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ukeenergy-my.sharepoint.com/personal/debbie_gates_duke-energy_com/Documents/Desktop/DEK Electric Rate STAFF 1st Set Excel/"/>
    </mc:Choice>
  </mc:AlternateContent>
  <bookViews>
    <workbookView xWindow="-15" yWindow="-15" windowWidth="20730" windowHeight="6180" tabRatio="599" activeTab="26"/>
  </bookViews>
  <sheets>
    <sheet name="INPUT" sheetId="1" r:id="rId1"/>
    <sheet name="PRINT" sheetId="2" r:id="rId2"/>
    <sheet name="SCH M" sheetId="3" r:id="rId3"/>
    <sheet name="SCH M-2.1" sheetId="4" r:id="rId4"/>
    <sheet name="SCH M-2.2" sheetId="5" r:id="rId5"/>
    <sheet name="SCH M-2.3" sheetId="6" r:id="rId6"/>
    <sheet name="Rate RS" sheetId="7" r:id="rId7"/>
    <sheet name="Rate DS" sheetId="8" r:id="rId8"/>
    <sheet name="Rate DT-Pri" sheetId="9" r:id="rId9"/>
    <sheet name="Rate DT-Sec" sheetId="10" r:id="rId10"/>
    <sheet name="Rate EH" sheetId="11" r:id="rId11"/>
    <sheet name="Rate SP GSFL" sheetId="12" r:id="rId12"/>
    <sheet name="Rate DP" sheetId="13" r:id="rId13"/>
    <sheet name="Rate TT" sheetId="14" r:id="rId14"/>
    <sheet name="Rate DT RTP-P" sheetId="29" r:id="rId15"/>
    <sheet name="Rate DT RTP-S" sheetId="30" r:id="rId16"/>
    <sheet name="Rate DS RTP" sheetId="31" r:id="rId17"/>
    <sheet name="Rate TT RTP" sheetId="33" r:id="rId18"/>
    <sheet name="Rate SL" sheetId="19" r:id="rId19"/>
    <sheet name="Rate TL" sheetId="20" r:id="rId20"/>
    <sheet name="Rate UOLS" sheetId="28" r:id="rId21"/>
    <sheet name="Rate NSU" sheetId="22" r:id="rId22"/>
    <sheet name="Rate SC" sheetId="24" r:id="rId23"/>
    <sheet name="Rate SE" sheetId="25" r:id="rId24"/>
    <sheet name="Rate LED" sheetId="34" r:id="rId25"/>
    <sheet name="SCH N" sheetId="26" r:id="rId26"/>
    <sheet name="BILL CALC" sheetId="27" r:id="rId27"/>
  </sheets>
  <externalReferences>
    <externalReference r:id="rId28"/>
  </externalReferences>
  <definedNames>
    <definedName name="_Fill" localSheetId="12" hidden="1">'Rate DP'!$AS$913:$AS$930</definedName>
    <definedName name="_Fill" localSheetId="7" hidden="1">'Rate DS'!$AS$925:$AS$942</definedName>
    <definedName name="_Fill" localSheetId="16" hidden="1">'Rate DS RTP'!$AS$903:$AS$920</definedName>
    <definedName name="_Fill" localSheetId="14" hidden="1">'Rate DT RTP-P'!$AS$831:$AS$848</definedName>
    <definedName name="_Fill" localSheetId="15" hidden="1">'Rate DT RTP-S'!$AS$897:$AS$914</definedName>
    <definedName name="_Fill" localSheetId="8" hidden="1">'Rate DT-Pri'!$AS$883:$AS$900</definedName>
    <definedName name="_Fill" localSheetId="9" hidden="1">'Rate DT-Sec'!$AS$879:$AS$896</definedName>
    <definedName name="_Fill" localSheetId="10" hidden="1">'Rate EH'!$AS$895:$AS$912</definedName>
    <definedName name="_Fill" localSheetId="24" hidden="1">'Rate LED'!$AU$1047:$AU$1064</definedName>
    <definedName name="_Fill" localSheetId="21" hidden="1">'Rate NSU'!$AS$849:$AS$866</definedName>
    <definedName name="_Fill" localSheetId="6" hidden="1">'Rate RS'!#REF!</definedName>
    <definedName name="_Fill" localSheetId="22" hidden="1">'Rate SC'!$AS$827:$AS$844</definedName>
    <definedName name="_Fill" localSheetId="23" hidden="1">'Rate SE'!$AS$865:$AS$882</definedName>
    <definedName name="_Fill" localSheetId="18" hidden="1">'Rate SL'!$AU$1122:$AU$1139</definedName>
    <definedName name="_Fill" localSheetId="11" hidden="1">'Rate SP GSFL'!$AS$926:$AS$943</definedName>
    <definedName name="_Fill" localSheetId="19" hidden="1">'Rate TL'!$AS$875:$AS$892</definedName>
    <definedName name="_Fill" localSheetId="13" hidden="1">'Rate TT'!$AS$881:$AS$898</definedName>
    <definedName name="_Fill" localSheetId="17" hidden="1">'Rate TT RTP'!$AS$845:$AS$862</definedName>
    <definedName name="_Fill" localSheetId="20" hidden="1">'Rate UOLS'!$AS$838:$AS$855</definedName>
    <definedName name="_Fill" localSheetId="2" hidden="1">'SCH M'!#REF!</definedName>
    <definedName name="_Fill" localSheetId="3" hidden="1">'SCH M-2.1'!#REF!</definedName>
    <definedName name="_Fill" localSheetId="4" hidden="1">'SCH M-2.2'!#REF!</definedName>
    <definedName name="_Fill" localSheetId="5" hidden="1">'SCH M-2.3'!#REF!</definedName>
    <definedName name="_Fill" hidden="1">'SCH N'!$A$217:$A$234</definedName>
    <definedName name="_Regression_Int" localSheetId="12" hidden="1">1</definedName>
    <definedName name="_Regression_Int" localSheetId="7" hidden="1">1</definedName>
    <definedName name="_Regression_Int" localSheetId="16" hidden="1">1</definedName>
    <definedName name="_Regression_Int" localSheetId="14" hidden="1">1</definedName>
    <definedName name="_Regression_Int" localSheetId="15" hidden="1">1</definedName>
    <definedName name="_Regression_Int" localSheetId="8" hidden="1">1</definedName>
    <definedName name="_Regression_Int" localSheetId="9" hidden="1">1</definedName>
    <definedName name="_Regression_Int" localSheetId="10" hidden="1">1</definedName>
    <definedName name="_Regression_Int" localSheetId="24" hidden="1">1</definedName>
    <definedName name="_Regression_Int" localSheetId="21" hidden="1">1</definedName>
    <definedName name="_Regression_Int" localSheetId="6" hidden="1">1</definedName>
    <definedName name="_Regression_Int" localSheetId="22" hidden="1">1</definedName>
    <definedName name="_Regression_Int" localSheetId="23" hidden="1">1</definedName>
    <definedName name="_Regression_Int" localSheetId="18" hidden="1">1</definedName>
    <definedName name="_Regression_Int" localSheetId="11" hidden="1">1</definedName>
    <definedName name="_Regression_Int" localSheetId="19" hidden="1">1</definedName>
    <definedName name="_Regression_Int" localSheetId="13" hidden="1">1</definedName>
    <definedName name="_Regression_Int" localSheetId="17" hidden="1">1</definedName>
    <definedName name="_Regression_Int" localSheetId="20" hidden="1">1</definedName>
    <definedName name="_Regression_Int" localSheetId="2" hidden="1">1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CASE_NO">INPUT!$B$11</definedName>
    <definedName name="CUR_BASE_FUEL">INPUT!$C$20</definedName>
    <definedName name="CUR_DCI">INPUT!$C$168</definedName>
    <definedName name="CUR_DCI_DIST">INPUT!$C$169</definedName>
    <definedName name="CUR_DCI_DP">INPUT!$C$175</definedName>
    <definedName name="CUR_DCI_DTP">INPUT!$C$170</definedName>
    <definedName name="CUR_DCI_DTS">INPUT!$C$171</definedName>
    <definedName name="CUR_DCI_EH">INPUT!$C$172</definedName>
    <definedName name="CUR_DCI_GSFL">INPUT!$C$174</definedName>
    <definedName name="CUR_DCI_SL">INPUT!$C$177</definedName>
    <definedName name="CUR_DCI_SP">INPUT!$C$173</definedName>
    <definedName name="CUR_DP_CST">'Rate DP'!$AC$77</definedName>
    <definedName name="CUR_DP_DEMAND">'Rate DP'!$AC$81</definedName>
    <definedName name="CUR_DP_KWH1">'Rate DP'!$AC$85</definedName>
    <definedName name="CUR_DP_KWH2">'Rate DP'!$AC$86</definedName>
    <definedName name="CUR_DP_LMR">'Rate DP'!$AC$76</definedName>
    <definedName name="CUR_DP_RTP_COM" localSheetId="15">'Rate DT RTP-S'!$AC$73</definedName>
    <definedName name="CUR_DP_RTP_COM">#REF!</definedName>
    <definedName name="CUR_DP_RTP_CUST" localSheetId="15">'Rate DT RTP-S'!$AC$68</definedName>
    <definedName name="CUR_DP_RTP_CUST">#REF!</definedName>
    <definedName name="CUR_DP_RTP_KWH1" localSheetId="15">'Rate DT RTP-S'!$AC$72</definedName>
    <definedName name="CUR_DP_RTP_KWH1" localSheetId="24">#REF!</definedName>
    <definedName name="CUR_DP_RTP_KWH1">#REF!</definedName>
    <definedName name="CUR_DP_RTP_KWH2" localSheetId="15">'Rate DT RTP-S'!#REF!</definedName>
    <definedName name="CUR_DP_RTP_KWH2">#REF!</definedName>
    <definedName name="CUR_DS_CST_1">'Rate DS'!$AC$80</definedName>
    <definedName name="CUR_DS_CST_2">'Rate DS'!$AC$81</definedName>
    <definedName name="CUR_DS_DEM_1">'Rate DS'!$AC$85</definedName>
    <definedName name="CUR_DS_DEM_3">'Rate DS'!$AC$86</definedName>
    <definedName name="CUR_DS_KWH_1">'Rate DS'!$AC$90</definedName>
    <definedName name="CUR_DS_KWH_2">'Rate DS'!$AC$91</definedName>
    <definedName name="CUR_DS_KWH_3">'Rate DS'!$AC$92</definedName>
    <definedName name="CUR_DS_LMR">'Rate DS'!#REF!</definedName>
    <definedName name="CUR_DS_RTP" localSheetId="16">'Rate DS RTP'!$T$45:$AQ$86</definedName>
    <definedName name="CUR_DS_RTP">#REF!</definedName>
    <definedName name="CUR_DS_RTP_COM" localSheetId="16">'Rate DS RTP'!$AC$73</definedName>
    <definedName name="CUR_DS_RTP_COM">#REF!</definedName>
    <definedName name="CUR_DS_RTP_CUST" localSheetId="16">'Rate DS RTP'!$AC$68</definedName>
    <definedName name="CUR_DS_RTP_CUST">#REF!</definedName>
    <definedName name="CUR_DS_RTP_KWH1" localSheetId="16">'Rate DS RTP'!$AC$72</definedName>
    <definedName name="CUR_DS_RTP_KWH1">#REF!</definedName>
    <definedName name="CUR_DS_RTP_KWH2" localSheetId="16">'Rate DS RTP'!#REF!</definedName>
    <definedName name="CUR_DS_RTP_KWH2">#REF!</definedName>
    <definedName name="CUR_DT_DISC">'Rate DT-Pri'!$AC$100</definedName>
    <definedName name="CUR_DT_DISC1">'Rate DT-Pri'!$AC$101</definedName>
    <definedName name="CUR_DT_PRI">'Rate DT-Pri'!$AC$93</definedName>
    <definedName name="CUR_DT_RTP_COM" localSheetId="14">'Rate DT RTP-P'!$AC$73</definedName>
    <definedName name="CUR_DT_RTP_COM">#REF!</definedName>
    <definedName name="CUR_DT_RTP_CUST" localSheetId="14">'Rate DT RTP-P'!$AC$68</definedName>
    <definedName name="CUR_DT_RTP_CUST">#REF!</definedName>
    <definedName name="CUR_DT_RTP_KWH1" localSheetId="14">'Rate DT RTP-P'!$AC$72</definedName>
    <definedName name="CUR_DT_RTP_KWH1">#REF!</definedName>
    <definedName name="CUR_DT_RTP_KWH2" localSheetId="14">'Rate DT RTP-P'!#REF!</definedName>
    <definedName name="CUR_DT_RTP_KWH2">#REF!</definedName>
    <definedName name="CUR_DT_RTP_P" localSheetId="14">'Rate DT RTP-P'!$T$45:$AQ$85</definedName>
    <definedName name="CUR_DT_RTP_P">#REF!</definedName>
    <definedName name="CUR_DT_RTP_S" localSheetId="15">'Rate DT RTP-S'!$T$45:$AQ$86</definedName>
    <definedName name="CUR_DT_RTP_S">#REF!</definedName>
    <definedName name="CUR_DT_SEC">'Rate DT-Sec'!$T$69:$AQ$133</definedName>
    <definedName name="CUR_DT_SEC_CST1">'Rate DT-Sec'!$AC$91</definedName>
    <definedName name="CUR_DT_SEC_CST3">'Rate DT-Sec'!$AC$92</definedName>
    <definedName name="CUR_DT_SEC_DEMOFF">'Rate DT-Sec'!$AC$97</definedName>
    <definedName name="CUR_DT_SEC_DEMON">'Rate DT-Sec'!$AC$96</definedName>
    <definedName name="CUR_DT_SEC_SUMKWH">'Rate DT-Sec'!$AC$102</definedName>
    <definedName name="CUR_DT_SEC_WINKWH">'Rate DT-Sec'!$AC$118</definedName>
    <definedName name="CUR_DT_SEC_WINOFF">'Rate DT-Sec'!$AC$113</definedName>
    <definedName name="CUR_DT_SEC_WINON">'Rate DT-Sec'!$AC$112</definedName>
    <definedName name="CUR_DT_SUM_E_OFF">'Rate DT-Pri'!$AC$105</definedName>
    <definedName name="CUR_DT_SUM_E_ON">'Rate DT-Pri'!$AC$104</definedName>
    <definedName name="CUR_DT_SUM_PEAK_ON">'Rate DT-Pri'!$AC$96</definedName>
    <definedName name="CUR_DT_SUM_PK_OFF">'Rate DT-Pri'!$AC$97</definedName>
    <definedName name="CUR_DT_WIN_E_ON">'Rate DT-Pri'!$AC$121</definedName>
    <definedName name="CUR_DT_WIN_PEAK_ON">'Rate DT-Pri'!$AC$113</definedName>
    <definedName name="CUR_DT_WIN_PK_OFF">'Rate DT-Pri'!$AC$114</definedName>
    <definedName name="CUR_EH_CST_1">'Rate EH'!$AC$72</definedName>
    <definedName name="CUR_EH_CST_2">'Rate EH'!$AC$73</definedName>
    <definedName name="CUR_EH_CST_3">'Rate EH'!$AC$74</definedName>
    <definedName name="CUR_EH_KWH_1">'Rate EH'!$AC$81</definedName>
    <definedName name="CUR_ESM">INPUT!$C$164</definedName>
    <definedName name="CUR_ESM_NONRES">INPUT!$C$165</definedName>
    <definedName name="CUR_FAC">INPUT!$C$19</definedName>
    <definedName name="CUR_FTR_DIST">INPUT!$C$183</definedName>
    <definedName name="CUR_FTR_DP">INPUT!$C$189</definedName>
    <definedName name="CUR_FTR_DTP">INPUT!$C$184</definedName>
    <definedName name="CUR_FTR_DTS">INPUT!$C$185</definedName>
    <definedName name="CUR_FTR_EH">INPUT!$C$186</definedName>
    <definedName name="CUR_FTR_GSFL">INPUT!$C$188</definedName>
    <definedName name="CUR_FTR_RES">INPUT!$C$182</definedName>
    <definedName name="CUR_FTR_SL">INPUT!$C$191</definedName>
    <definedName name="CUR_FTR_SP">INPUT!$C$187</definedName>
    <definedName name="CUR_FTR_TT">INPUT!$C$190</definedName>
    <definedName name="CUR_RS_CUST">'Rate RS'!$AB$64</definedName>
    <definedName name="CUR_RS_ENERGY">'Rate RS'!$AB$67</definedName>
    <definedName name="CUR_SUM_TT_ON_KWH">[1]INPUT!$C$124</definedName>
    <definedName name="CUR_TT_KWH">INPUT!$C$124</definedName>
    <definedName name="CUR_TT_OFF">[1]INPUT!$C$126</definedName>
    <definedName name="CUR_TT_RTP" localSheetId="17">'Rate TT RTP'!$T$47:$AQ$88</definedName>
    <definedName name="CUR_TT_RTP">#REF!</definedName>
    <definedName name="CUR_TT_RTP_COM" localSheetId="17">'Rate TT RTP'!$AC$75</definedName>
    <definedName name="CUR_TT_RTP_COM">#REF!</definedName>
    <definedName name="CUR_TT_RTP_CUST" localSheetId="17">'Rate TT RTP'!$AC$70</definedName>
    <definedName name="CUR_TT_RTP_CUST">#REF!</definedName>
    <definedName name="CUR_TT_RTP_KWH1" localSheetId="17">'Rate TT RTP'!$AC$74</definedName>
    <definedName name="CUR_TT_RTP_KWH1">#REF!</definedName>
    <definedName name="CUR_TT_RTP_KWH2" localSheetId="17">'Rate TT RTP'!#REF!</definedName>
    <definedName name="CUR_TT_RTP_KWH2">#REF!</definedName>
    <definedName name="CUR_TT_SUM_CST">'Rate TT'!$AC$85</definedName>
    <definedName name="CUR_TT_SUM_PEAK">'Rate TT'!$AC$88</definedName>
    <definedName name="CUR_TT_SUM_PK_OFF">'Rate TT'!$AC$89</definedName>
    <definedName name="CUR_TT_WIN_CST">'Rate TT'!$AC$99</definedName>
    <definedName name="CUR_TT_WIN_PEAK">'Rate TT'!$AC$102</definedName>
    <definedName name="CUR_TT_WIN_PK_OFF">'Rate TT'!$AC$103</definedName>
    <definedName name="CUR_WIN_TT_ON_KWH">[1]INPUT!$C$125</definedName>
    <definedName name="DATA_PERIOD">INPUT!$B$13</definedName>
    <definedName name="DATE">INPUT!$B$10</definedName>
    <definedName name="DCI_Name">INPUT!$B$200</definedName>
    <definedName name="DS_MSRE">INPUT!$C$24</definedName>
    <definedName name="DSM_DIST">INPUT!$C$30</definedName>
    <definedName name="DSM_RES">INPUT!$C$29</definedName>
    <definedName name="DSM_RS_CUST">INPUT!$J$29</definedName>
    <definedName name="DSM_TRANS">INPUT!$C$31</definedName>
    <definedName name="DSMR_Name">INPUT!$B$195</definedName>
    <definedName name="ESM_Name">INPUT!$B$196</definedName>
    <definedName name="FAC_Name">INPUT!$B$197</definedName>
    <definedName name="FTR_Name">INPUT!$B$199</definedName>
    <definedName name="HEA_Name">INPUT!$B$194</definedName>
    <definedName name="LT_COS_RATE">'Rate SL'!$AG$1</definedName>
    <definedName name="LT_MSRE">INPUT!$C$26</definedName>
    <definedName name="Migration_CC">#REF!</definedName>
    <definedName name="NAME">INPUT!$B$8</definedName>
    <definedName name="Page_Num_2.2">INPUT!$J$14</definedName>
    <definedName name="Page_Num_2.3">INPUT!$J$15</definedName>
    <definedName name="_xlnm.Print_Area" localSheetId="12">'Rate DP'!$A$1:$R$50</definedName>
    <definedName name="_xlnm.Print_Area" localSheetId="7">'Rate DS'!$A$1:$R$55</definedName>
    <definedName name="_xlnm.Print_Area" localSheetId="16">'Rate DS RTP'!$A$1:$R$41</definedName>
    <definedName name="_xlnm.Print_Area" localSheetId="14">'Rate DT RTP-P'!$A$1:$R$41</definedName>
    <definedName name="_xlnm.Print_Area" localSheetId="15">'Rate DT RTP-S'!$A$1:$R$41</definedName>
    <definedName name="_xlnm.Print_Area" localSheetId="8">'Rate DT-Pri'!$A$1:$R$67</definedName>
    <definedName name="_xlnm.Print_Area" localSheetId="9">'Rate DT-Sec'!$A$1:$R$65</definedName>
    <definedName name="_xlnm.Print_Area" localSheetId="10">'Rate EH'!$A$1:$R$47</definedName>
    <definedName name="_xlnm.Print_Area" localSheetId="24">'Rate LED'!$A$1:$R$206</definedName>
    <definedName name="_xlnm.Print_Area" localSheetId="21">'Rate NSU'!$A$1:$R$49</definedName>
    <definedName name="_xlnm.Print_Area" localSheetId="6">'Rate RS'!$A$1:$R$45</definedName>
    <definedName name="_xlnm.Print_Area" localSheetId="22">'Rate SC'!$A$1:$R$76</definedName>
    <definedName name="_xlnm.Print_Area" localSheetId="23">'Rate SE'!$A$1:$R$56</definedName>
    <definedName name="_xlnm.Print_Area" localSheetId="18">'Rate SL'!$A$1:$R$215</definedName>
    <definedName name="_xlnm.Print_Area" localSheetId="11">'Rate SP GSFL'!$A$1:$R$64</definedName>
    <definedName name="_xlnm.Print_Area" localSheetId="19">'Rate TL'!$A$1:$R$51</definedName>
    <definedName name="_xlnm.Print_Area" localSheetId="13">'Rate TT'!$A$1:$R$62</definedName>
    <definedName name="_xlnm.Print_Area" localSheetId="17">'Rate TT RTP'!$A$1:$R$41</definedName>
    <definedName name="_xlnm.Print_Area" localSheetId="20">'Rate UOLS'!$A$1:$R$32</definedName>
    <definedName name="_xlnm.Print_Area" localSheetId="2">'SCH M'!$A$1:$K$74</definedName>
    <definedName name="_xlnm.Print_Area" localSheetId="3">'SCH M-2.1'!$A$1:$T$55</definedName>
    <definedName name="_xlnm.Print_Area" localSheetId="4">'SCH M-2.2'!$A$1:$X$69</definedName>
    <definedName name="_xlnm.Print_Area" localSheetId="5">'SCH M-2.3'!$A$1:$R$71</definedName>
    <definedName name="_xlnm.Print_Area" localSheetId="25">'SCH N'!$A$1:$Q$241</definedName>
    <definedName name="PRO_BASE_FUEL">INPUT!$D$20</definedName>
    <definedName name="PRO_DCI">INPUT!$D$168</definedName>
    <definedName name="PRO_DCI_DIST">INPUT!$D$169</definedName>
    <definedName name="PRO_DCI_DP">INPUT!$D$175</definedName>
    <definedName name="PRO_DCI_DTP">INPUT!$D$170</definedName>
    <definedName name="PRO_DCI_DTS">INPUT!$D$171</definedName>
    <definedName name="PRO_DCI_EH">INPUT!$D$172</definedName>
    <definedName name="PRO_DCI_GSFL">INPUT!$D$174</definedName>
    <definedName name="PRO_DCI_SL">INPUT!$D$177</definedName>
    <definedName name="PRO_DCI_SP">INPUT!$D$173</definedName>
    <definedName name="PRO_DP_CST">'Rate DP'!$J$25</definedName>
    <definedName name="PRO_DP_DEMAND">'Rate DP'!$J$29</definedName>
    <definedName name="PRO_DP_KWH1">'Rate DP'!$J$33</definedName>
    <definedName name="PRO_DP_KWH2">'Rate DP'!$J$34</definedName>
    <definedName name="PRO_DP_LMR">'Rate DP'!$J$24</definedName>
    <definedName name="PRO_DP_RTP_COM" localSheetId="15">'Rate DT RTP-S'!$J$29</definedName>
    <definedName name="PRO_DP_RTP_COM">#REF!</definedName>
    <definedName name="PRO_DP_RTP_CUST" localSheetId="15">'Rate DT RTP-S'!$J$24</definedName>
    <definedName name="PRO_DP_RTP_CUST">#REF!</definedName>
    <definedName name="PRO_DP_RTP_KWH1" localSheetId="15">'Rate DT RTP-S'!$J$28</definedName>
    <definedName name="PRO_DP_RTP_KWH1">#REF!</definedName>
    <definedName name="PRO_DP_RTP_KWH2" localSheetId="15">'Rate DT RTP-S'!#REF!</definedName>
    <definedName name="PRO_DP_RTP_KWH2">#REF!</definedName>
    <definedName name="PRO_DS_CST_1">'Rate DS'!$J$25</definedName>
    <definedName name="PRO_DS_CST_2">'Rate DS'!$J$26</definedName>
    <definedName name="PRO_DS_DEM_1">'Rate DS'!$J$30</definedName>
    <definedName name="PRO_DS_DEM_3">'Rate DS'!$J$31</definedName>
    <definedName name="PRO_DS_KWH_1">'Rate DS'!$J$35</definedName>
    <definedName name="PRO_DS_KWH_2">'Rate DS'!$J$36</definedName>
    <definedName name="PRO_DS_KWH_3">'Rate DS'!$J$37</definedName>
    <definedName name="PRO_DS_LMR">'Rate DS'!#REF!</definedName>
    <definedName name="PRO_DS_MSRE">INPUT!$D$24</definedName>
    <definedName name="PRO_DS_RTP_COM" localSheetId="16">'Rate DS RTP'!$J$29</definedName>
    <definedName name="PRO_DS_RTP_COM">#REF!</definedName>
    <definedName name="PRO_DS_RTP_CUST" localSheetId="16">'Rate DS RTP'!$J$24</definedName>
    <definedName name="PRO_DS_RTP_CUST">#REF!</definedName>
    <definedName name="PRO_DS_RTP_KWH1" localSheetId="16">'Rate DS RTP'!$J$28</definedName>
    <definedName name="PRO_DS_RTP_KWH1">#REF!</definedName>
    <definedName name="PRO_DS_RTP_KWH2" localSheetId="16">'Rate DS RTP'!#REF!</definedName>
    <definedName name="PRO_DS_RTP_KWH2">#REF!</definedName>
    <definedName name="PRO_DSM_DIST">INPUT!$D$30</definedName>
    <definedName name="PRO_DSM_RES">INPUT!$D$29</definedName>
    <definedName name="PRO_DSM_TRANS">INPUT!$D$31</definedName>
    <definedName name="PRO_DT_DEMOFF">'Rate DT-Sec'!$J$29</definedName>
    <definedName name="PRO_DT_DEMON">'Rate DT-Sec'!$J$28</definedName>
    <definedName name="PRO_DT_DISC">'Rate DT-Pri'!$J$30</definedName>
    <definedName name="PRO_DT_DISC1">'Rate DT-Pri'!$J$31</definedName>
    <definedName name="PRO_DT_PRI">'Rate DT-Pri'!$J$23</definedName>
    <definedName name="PRO_DT_RTP_COM" localSheetId="14">'Rate DT RTP-P'!$J$29</definedName>
    <definedName name="PRO_DT_RTP_COM">#REF!</definedName>
    <definedName name="PRO_DT_RTP_CUST" localSheetId="14">'Rate DT RTP-P'!$J$24</definedName>
    <definedName name="PRO_DT_RTP_CUST">#REF!</definedName>
    <definedName name="PRO_DT_RTP_KWH1" localSheetId="14">'Rate DT RTP-P'!$J$28</definedName>
    <definedName name="PRO_DT_RTP_KWH1">#REF!</definedName>
    <definedName name="PRO_DT_RTP_KWH2" localSheetId="14">'Rate DT RTP-P'!#REF!</definedName>
    <definedName name="PRO_DT_RTP_KWH2">#REF!</definedName>
    <definedName name="PRO_DT_SEC_CST">'Rate DT-Sec'!$J$23</definedName>
    <definedName name="PRO_DT_SEC_CST3">'Rate DT-Sec'!$J$24</definedName>
    <definedName name="PRO_DT_SEC_DEMWINON">'Rate DT-Sec'!$J$44</definedName>
    <definedName name="PRO_DT_SEC_SUMKWH">'Rate DT-Sec'!$J$34</definedName>
    <definedName name="PRO_DT_SEC_WINKWH">'Rate DT-Sec'!$J$50</definedName>
    <definedName name="PRO_DT_SEC_WINOFF">'Rate DT-Sec'!$J$45</definedName>
    <definedName name="PRO_DT_SUM_E_OFF">'Rate DT-Pri'!$J$35</definedName>
    <definedName name="PRO_DT_SUM_E_ON">'Rate DT-Pri'!$J$34</definedName>
    <definedName name="PRO_DT_SUM_PEAK">'Rate DT-Pri'!$J$26</definedName>
    <definedName name="PRO_DT_SUM_PK_OFF">'Rate DT-Pri'!$J$27</definedName>
    <definedName name="PRO_DT_WIN_E_OFF">'Rate DT-Pri'!$J$52</definedName>
    <definedName name="PRO_DT_WIN_E_ON">'Rate DT-Pri'!$J$51</definedName>
    <definedName name="PRO_DT_WIN_PEAK">'Rate DT-Pri'!$J$43</definedName>
    <definedName name="PRO_DT_WIN_PK_OFF">'Rate DT-Pri'!$J$44</definedName>
    <definedName name="PRO_EH_CST_1">'Rate EH'!$J$24</definedName>
    <definedName name="PRO_EH_CST_2">'Rate EH'!$J$25</definedName>
    <definedName name="PRO_EH_CST_3">'Rate EH'!$J$26</definedName>
    <definedName name="PRO_EH_KWH_1">'Rate EH'!$J$33</definedName>
    <definedName name="PRO_ESM">INPUT!$D$164</definedName>
    <definedName name="PRO_ESM_NONRES">INPUT!$D$165</definedName>
    <definedName name="PRO_FAC">INPUT!$D$19</definedName>
    <definedName name="PRO_FTR_DIST">INPUT!$D$183</definedName>
    <definedName name="PRO_FTR_DP">INPUT!$D$189</definedName>
    <definedName name="PRO_FTR_DTP">INPUT!$D$184</definedName>
    <definedName name="PRO_FTR_DTS">INPUT!$D$185</definedName>
    <definedName name="PRO_FTR_EH">INPUT!$D$186</definedName>
    <definedName name="PRO_FTR_GSFL">INPUT!$D$188</definedName>
    <definedName name="PRO_FTR_RES">INPUT!$D$182</definedName>
    <definedName name="PRO_FTR_SL">INPUT!$D$191</definedName>
    <definedName name="PRO_FTR_SP">INPUT!$D$187</definedName>
    <definedName name="PRO_FTR_TT">INPUT!$D$190</definedName>
    <definedName name="PRO_LT_MSRE">INPUT!$D$26</definedName>
    <definedName name="PRO_PSM">INPUT!$D$34</definedName>
    <definedName name="PRO_RS_CUST">'Rate RS'!$J$23</definedName>
    <definedName name="PRO_RS_ENERGY">'Rate RS'!$J$26</definedName>
    <definedName name="PRO_RS_MSRE">INPUT!$D$23</definedName>
    <definedName name="PRO_SUM_TT_ON_KWH">INPUT!$D$124</definedName>
    <definedName name="PRO_TT_MSRE">INPUT!$D$25</definedName>
    <definedName name="PRO_TT_OFF">INPUT!$D$126</definedName>
    <definedName name="PRO_TT_RTP_COM" localSheetId="17">'Rate TT RTP'!$J$29</definedName>
    <definedName name="PRO_TT_RTP_COM">#REF!</definedName>
    <definedName name="PRO_TT_RTP_CUST" localSheetId="17">'Rate TT RTP'!$J$24</definedName>
    <definedName name="PRO_TT_RTP_CUST">#REF!</definedName>
    <definedName name="PRO_TT_RTP_KWH1" localSheetId="17">'Rate TT RTP'!$J$28</definedName>
    <definedName name="PRO_TT_RTP_KWH1">#REF!</definedName>
    <definedName name="PRO_TT_RTP_KWH2" localSheetId="17">'Rate TT RTP'!#REF!</definedName>
    <definedName name="PRO_TT_RTP_KWH2">#REF!</definedName>
    <definedName name="PRO_TT_SUM_CST">'Rate TT'!$J$21</definedName>
    <definedName name="PRO_TT_SUM_PEAK">'Rate TT'!$J$24</definedName>
    <definedName name="PRO_TT_SUM_PK_OFF">'Rate TT'!$J$25</definedName>
    <definedName name="PRO_TT_WIN_CST">'Rate TT'!$J$35</definedName>
    <definedName name="PRO_TT_WIN_PEAK">'Rate TT'!$J$38</definedName>
    <definedName name="PRO_TT_WIN_PK_OFF">'Rate TT'!$J$39</definedName>
    <definedName name="PRO_WIN_TT_ON_KWH">INPUT!$D$125</definedName>
    <definedName name="PSM_Name">INPUT!$B$198</definedName>
    <definedName name="RS_MSRE">INPUT!$C$23</definedName>
    <definedName name="RS_PSM">INPUT!$C$34</definedName>
    <definedName name="SCH_M">'SCH M'!$A$1:$K$74</definedName>
    <definedName name="SCH_M_2.1">'SCH M-2.1'!$A$1:$T$55</definedName>
    <definedName name="SCH_M_2.2PG1">'SCH M-2.2'!$A$1:$X$69</definedName>
    <definedName name="SCH_M_2.2PG10">'Rate DT RTP-S'!$T$45:$AQ$85</definedName>
    <definedName name="SCH_M_2.2PG11" localSheetId="15">'Rate DT RTP-S'!$T$45:$AQ$85</definedName>
    <definedName name="SCH_M_2.2PG11">'Rate DS RTP'!$T$45:$AQ$85</definedName>
    <definedName name="SCH_M_2.2PG12">'Rate TT RTP'!$T$47:$AQ$87</definedName>
    <definedName name="SCH_M_2.2PG13">'Rate SL'!$T$221:$AQ$284</definedName>
    <definedName name="SCH_M_2.2PG14">'Rate SL'!$T$287:$AQ$365</definedName>
    <definedName name="SCH_M_2.2PG15">'Rate SL'!$T$368:$AQ$435</definedName>
    <definedName name="SCH_M_2.2PG16">'Rate TL'!$T$52:$AQ$102</definedName>
    <definedName name="SCH_M_2.2PG17">'Rate UOLS'!$T$36:$AQ$67</definedName>
    <definedName name="SCH_M_2.2PG18">'Rate NSU'!$T$51:$AQ$99</definedName>
    <definedName name="SCH_M_2.2PG19">'Rate SC'!$T$74:$AQ$149</definedName>
    <definedName name="SCH_M_2.2PG2">'Rate RS'!$T$42:$AP$83</definedName>
    <definedName name="SCH_M_2.2PG20">'Rate SE'!$T$57:$AQ$112</definedName>
    <definedName name="SCH_M_2.2PG21">'Rate LED'!$T$214:$AQ$278</definedName>
    <definedName name="SCH_M_2.2PG22">'Rate LED'!$T$280:$AQ$358</definedName>
    <definedName name="SCH_M_2.2PG23">'Rate SE'!$T$57:$AQ$113</definedName>
    <definedName name="SCH_M_2.2PG3">'Rate DS'!$T$56:$AQ$109</definedName>
    <definedName name="SCH_M_2.2PG4">'Rate DT-Pri'!$T$71:$AQ$138</definedName>
    <definedName name="SCH_M_2.2PG5">'Rate DT-Sec'!$T$69:$AQ$133</definedName>
    <definedName name="SCH_M_2.2PG6">'Rate EH'!$T$49:$AQ$95</definedName>
    <definedName name="SCH_M_2.2PG7">'Rate SP GSFL'!$T$65:$AQ$127</definedName>
    <definedName name="SCH_M_2.2PG8">'Rate DP'!$T$53:$AQ$102</definedName>
    <definedName name="SCH_M_2.2PG9">'Rate TT'!$T$65:$AQ$125</definedName>
    <definedName name="SCH_M_2.3PG1">'SCH M-2.3'!$A$1:$R$71</definedName>
    <definedName name="SCH_M_2.3PG10">'Rate DT RTP-S'!$A$1:$R$41</definedName>
    <definedName name="SCH_M_2.3PG11">'Rate DS RTP'!$A$1:$R$41</definedName>
    <definedName name="SCH_M_2.3PG12">'Rate TT RTP'!$A$1:$R$41</definedName>
    <definedName name="SCH_M_2.3PG13">'Rate SL'!$A$1:$R$64</definedName>
    <definedName name="SCH_M_2.3PG14">'Rate SL'!$A$67:$R$145</definedName>
    <definedName name="SCH_M_2.3PG15">'Rate SL'!$A$148:$R$215</definedName>
    <definedName name="SCH_M_2.3PG16">'Rate TL'!$A$1:$R$51</definedName>
    <definedName name="SCH_M_2.3PG17">'Rate UOLS'!$A$1:$R$32</definedName>
    <definedName name="SCH_M_2.3PG18">'Rate NSU'!$A$1:$R$49</definedName>
    <definedName name="SCH_M_2.3PG19">'Rate SC'!$A$1:$R$76</definedName>
    <definedName name="SCH_M_2.3PG2">'Rate RS'!$A$1:$R$45</definedName>
    <definedName name="SCH_M_2.3PG20">'Rate SE'!$A$1:$R$56</definedName>
    <definedName name="SCH_M_2.3PG21">'Rate LED'!$A$1:$R$67</definedName>
    <definedName name="SCH_M_2.3PG22">'Rate LED'!$A$69:$R$137</definedName>
    <definedName name="SCH_M_2.3PG23">'Rate LED'!$A$139:$R$206</definedName>
    <definedName name="SCH_M_2.3PG3">'Rate DS'!$A$1:$R$55</definedName>
    <definedName name="SCH_M_2.3PG4">'Rate DT-Pri'!$A$1:$R$65</definedName>
    <definedName name="SCH_M_2.3PG5">'Rate DT-Sec'!$A$1:$R$65</definedName>
    <definedName name="SCH_M_2.3PG6">'Rate EH'!$A$1:$R$47</definedName>
    <definedName name="SCH_M_2.3PG7">'Rate SP GSFL'!$A$1:$R$64</definedName>
    <definedName name="SCH_M_2.3PG8">'Rate DP'!$A$1:$R$50</definedName>
    <definedName name="SCH_M_2.3PG9">'Rate TT'!$A$1:$R$62</definedName>
    <definedName name="SCH_N_1">'SCH N'!$A$1:$Q$33</definedName>
    <definedName name="SCH_N_2">'SCH N'!$A$34:$Q$84</definedName>
    <definedName name="SCH_N_3">'SCH N'!$A$85:$Q$130</definedName>
    <definedName name="SCH_N_4">'SCH N'!$A$131:$Q$179</definedName>
    <definedName name="SCH_N_5">'SCH N'!$A$180:$Q$243</definedName>
    <definedName name="SERVICE">INPUT!$D$12</definedName>
    <definedName name="TIME">INPUT!$B$6</definedName>
    <definedName name="TITLE">INPUT!$B$15</definedName>
    <definedName name="TT_MSRE">INPUT!$C$25</definedName>
    <definedName name="TYPE">INPUT!$B$14</definedName>
    <definedName name="WIT">INPUT!$D$38</definedName>
    <definedName name="Z_0BC1F393_8A13_47D5_BC6C_0C99615B5AB9_.wvu.PrintArea" localSheetId="12" hidden="1">'Rate DP'!$A$1:$R$50</definedName>
    <definedName name="Z_0BC1F393_8A13_47D5_BC6C_0C99615B5AB9_.wvu.PrintArea" localSheetId="7" hidden="1">'Rate DS'!$A$1:$R$55</definedName>
    <definedName name="Z_0BC1F393_8A13_47D5_BC6C_0C99615B5AB9_.wvu.PrintArea" localSheetId="16" hidden="1">'Rate DS RTP'!$A$1:$R$43</definedName>
    <definedName name="Z_0BC1F393_8A13_47D5_BC6C_0C99615B5AB9_.wvu.PrintArea" localSheetId="14" hidden="1">'Rate DT RTP-P'!$A$1:$R$41</definedName>
    <definedName name="Z_0BC1F393_8A13_47D5_BC6C_0C99615B5AB9_.wvu.PrintArea" localSheetId="15" hidden="1">'Rate DT RTP-S'!$A$1:$R$42</definedName>
    <definedName name="Z_0BC1F393_8A13_47D5_BC6C_0C99615B5AB9_.wvu.PrintArea" localSheetId="8" hidden="1">'Rate DT-Pri'!$A$1:$R$65</definedName>
    <definedName name="Z_0BC1F393_8A13_47D5_BC6C_0C99615B5AB9_.wvu.PrintArea" localSheetId="9" hidden="1">'Rate DT-Sec'!$A$1:$R$65</definedName>
    <definedName name="Z_0BC1F393_8A13_47D5_BC6C_0C99615B5AB9_.wvu.PrintArea" localSheetId="10" hidden="1">'Rate EH'!$A$1:$R$47</definedName>
    <definedName name="Z_0BC1F393_8A13_47D5_BC6C_0C99615B5AB9_.wvu.PrintArea" localSheetId="24" hidden="1">'Rate LED'!$A$67:$R$149</definedName>
    <definedName name="Z_0BC1F393_8A13_47D5_BC6C_0C99615B5AB9_.wvu.PrintArea" localSheetId="21" hidden="1">'Rate NSU'!$A$1:$R$49</definedName>
    <definedName name="Z_0BC1F393_8A13_47D5_BC6C_0C99615B5AB9_.wvu.PrintArea" localSheetId="6" hidden="1">'Rate RS'!$A$1:$R$45</definedName>
    <definedName name="Z_0BC1F393_8A13_47D5_BC6C_0C99615B5AB9_.wvu.PrintArea" localSheetId="22" hidden="1">'Rate SC'!$A$1:$R$77</definedName>
    <definedName name="Z_0BC1F393_8A13_47D5_BC6C_0C99615B5AB9_.wvu.PrintArea" localSheetId="23" hidden="1">'Rate SE'!$A$1:$R$56</definedName>
    <definedName name="Z_0BC1F393_8A13_47D5_BC6C_0C99615B5AB9_.wvu.PrintArea" localSheetId="18" hidden="1">'Rate SL'!$A$67:$R$217</definedName>
    <definedName name="Z_0BC1F393_8A13_47D5_BC6C_0C99615B5AB9_.wvu.PrintArea" localSheetId="11" hidden="1">'Rate SP GSFL'!$A$1:$R$64</definedName>
    <definedName name="Z_0BC1F393_8A13_47D5_BC6C_0C99615B5AB9_.wvu.PrintArea" localSheetId="19" hidden="1">'Rate TL'!$A$1:$R$51</definedName>
    <definedName name="Z_0BC1F393_8A13_47D5_BC6C_0C99615B5AB9_.wvu.PrintArea" localSheetId="13" hidden="1">'Rate TT'!$A$1:$R$62</definedName>
    <definedName name="Z_0BC1F393_8A13_47D5_BC6C_0C99615B5AB9_.wvu.PrintArea" localSheetId="17" hidden="1">'Rate TT RTP'!$A$1:$R$42</definedName>
    <definedName name="Z_0BC1F393_8A13_47D5_BC6C_0C99615B5AB9_.wvu.PrintArea" localSheetId="20" hidden="1">'Rate UOLS'!$A$1:$R$32</definedName>
    <definedName name="Z_0BC1F393_8A13_47D5_BC6C_0C99615B5AB9_.wvu.PrintArea" localSheetId="2" hidden="1">'SCH M'!$A$1:$O$68</definedName>
    <definedName name="Z_0BC1F393_8A13_47D5_BC6C_0C99615B5AB9_.wvu.PrintArea" localSheetId="3" hidden="1">'SCH M-2.1'!$A$1:$T$55</definedName>
    <definedName name="Z_0BC1F393_8A13_47D5_BC6C_0C99615B5AB9_.wvu.PrintArea" localSheetId="4" hidden="1">'SCH M-2.2'!$A$1:$X$76</definedName>
    <definedName name="Z_0BC1F393_8A13_47D5_BC6C_0C99615B5AB9_.wvu.PrintArea" localSheetId="5" hidden="1">'SCH M-2.3'!$A$1:$R$71</definedName>
    <definedName name="Z_0BC1F393_8A13_47D5_BC6C_0C99615B5AB9_.wvu.PrintArea" localSheetId="25" hidden="1">'SCH N'!$A$180:$Q$243</definedName>
    <definedName name="Z_0C49E549_011E_46F4_A82E_2CC8951A9C1E_.wvu.PrintArea" localSheetId="12" hidden="1">'Rate DP'!$A$1:$R$50</definedName>
    <definedName name="Z_0C49E549_011E_46F4_A82E_2CC8951A9C1E_.wvu.PrintArea" localSheetId="7" hidden="1">'Rate DS'!$A$1:$R$55</definedName>
    <definedName name="Z_0C49E549_011E_46F4_A82E_2CC8951A9C1E_.wvu.PrintArea" localSheetId="16" hidden="1">'Rate DS RTP'!$A$1:$R$43</definedName>
    <definedName name="Z_0C49E549_011E_46F4_A82E_2CC8951A9C1E_.wvu.PrintArea" localSheetId="14" hidden="1">'Rate DT RTP-P'!$A$1:$R$41</definedName>
    <definedName name="Z_0C49E549_011E_46F4_A82E_2CC8951A9C1E_.wvu.PrintArea" localSheetId="15" hidden="1">'Rate DT RTP-S'!$A$1:$R$42</definedName>
    <definedName name="Z_0C49E549_011E_46F4_A82E_2CC8951A9C1E_.wvu.PrintArea" localSheetId="8" hidden="1">'Rate DT-Pri'!$A$1:$R$65</definedName>
    <definedName name="Z_0C49E549_011E_46F4_A82E_2CC8951A9C1E_.wvu.PrintArea" localSheetId="9" hidden="1">'Rate DT-Sec'!$A$1:$R$65</definedName>
    <definedName name="Z_0C49E549_011E_46F4_A82E_2CC8951A9C1E_.wvu.PrintArea" localSheetId="10" hidden="1">'Rate EH'!$A$1:$R$47</definedName>
    <definedName name="Z_0C49E549_011E_46F4_A82E_2CC8951A9C1E_.wvu.PrintArea" localSheetId="24" hidden="1">'Rate LED'!$T$280:$AQ$361</definedName>
    <definedName name="Z_0C49E549_011E_46F4_A82E_2CC8951A9C1E_.wvu.PrintArea" localSheetId="21" hidden="1">'Rate NSU'!$A$1:$R$49</definedName>
    <definedName name="Z_0C49E549_011E_46F4_A82E_2CC8951A9C1E_.wvu.PrintArea" localSheetId="6" hidden="1">'Rate RS'!$A$1:$R$45</definedName>
    <definedName name="Z_0C49E549_011E_46F4_A82E_2CC8951A9C1E_.wvu.PrintArea" localSheetId="22" hidden="1">'Rate SC'!$A$1:$R$77</definedName>
    <definedName name="Z_0C49E549_011E_46F4_A82E_2CC8951A9C1E_.wvu.PrintArea" localSheetId="23" hidden="1">'Rate SE'!$A$1:$R$56</definedName>
    <definedName name="Z_0C49E549_011E_46F4_A82E_2CC8951A9C1E_.wvu.PrintArea" localSheetId="18" hidden="1">'Rate SL'!$T$287:$AQ$436</definedName>
    <definedName name="Z_0C49E549_011E_46F4_A82E_2CC8951A9C1E_.wvu.PrintArea" localSheetId="11" hidden="1">'Rate SP GSFL'!$A$1:$R$64</definedName>
    <definedName name="Z_0C49E549_011E_46F4_A82E_2CC8951A9C1E_.wvu.PrintArea" localSheetId="19" hidden="1">'Rate TL'!$A$1:$R$51</definedName>
    <definedName name="Z_0C49E549_011E_46F4_A82E_2CC8951A9C1E_.wvu.PrintArea" localSheetId="13" hidden="1">'Rate TT'!$A$1:$R$62</definedName>
    <definedName name="Z_0C49E549_011E_46F4_A82E_2CC8951A9C1E_.wvu.PrintArea" localSheetId="17" hidden="1">'Rate TT RTP'!$A$1:$R$42</definedName>
    <definedName name="Z_0C49E549_011E_46F4_A82E_2CC8951A9C1E_.wvu.PrintArea" localSheetId="20" hidden="1">'Rate UOLS'!$A$1:$R$32</definedName>
    <definedName name="Z_0C49E549_011E_46F4_A82E_2CC8951A9C1E_.wvu.PrintArea" localSheetId="2" hidden="1">'SCH M'!$A$1:$K$74</definedName>
    <definedName name="Z_0C49E549_011E_46F4_A82E_2CC8951A9C1E_.wvu.PrintArea" localSheetId="3" hidden="1">'SCH M-2.1'!$A$1:$T$55</definedName>
    <definedName name="Z_0C49E549_011E_46F4_A82E_2CC8951A9C1E_.wvu.PrintArea" localSheetId="4" hidden="1">'SCH M-2.2'!$A$1:$X$76</definedName>
    <definedName name="Z_0C49E549_011E_46F4_A82E_2CC8951A9C1E_.wvu.PrintArea" localSheetId="5" hidden="1">'SCH M-2.3'!$A$1:$R$71</definedName>
    <definedName name="Z_0C49E549_011E_46F4_A82E_2CC8951A9C1E_.wvu.PrintArea" localSheetId="25" hidden="1">'SCH N'!$A$180:$Q$243</definedName>
    <definedName name="Z_18BDED73_BFA0_442E_87EC_CED86EE4CF94_.wvu.PrintArea" localSheetId="12" hidden="1">'Rate DP'!$A$1:$R$50</definedName>
    <definedName name="Z_18BDED73_BFA0_442E_87EC_CED86EE4CF94_.wvu.PrintArea" localSheetId="7" hidden="1">'Rate DS'!$A$1:$R$55</definedName>
    <definedName name="Z_18BDED73_BFA0_442E_87EC_CED86EE4CF94_.wvu.PrintArea" localSheetId="16" hidden="1">'Rate DS RTP'!$A$1:$R$43</definedName>
    <definedName name="Z_18BDED73_BFA0_442E_87EC_CED86EE4CF94_.wvu.PrintArea" localSheetId="14" hidden="1">'Rate DT RTP-P'!$A$1:$R$41</definedName>
    <definedName name="Z_18BDED73_BFA0_442E_87EC_CED86EE4CF94_.wvu.PrintArea" localSheetId="15" hidden="1">'Rate DT RTP-S'!$A$1:$R$42</definedName>
    <definedName name="Z_18BDED73_BFA0_442E_87EC_CED86EE4CF94_.wvu.PrintArea" localSheetId="8" hidden="1">'Rate DT-Pri'!$A$1:$R$65</definedName>
    <definedName name="Z_18BDED73_BFA0_442E_87EC_CED86EE4CF94_.wvu.PrintArea" localSheetId="9" hidden="1">'Rate DT-Sec'!$A$1:$R$65</definedName>
    <definedName name="Z_18BDED73_BFA0_442E_87EC_CED86EE4CF94_.wvu.PrintArea" localSheetId="10" hidden="1">'Rate EH'!$A$1:$R$47</definedName>
    <definedName name="Z_18BDED73_BFA0_442E_87EC_CED86EE4CF94_.wvu.PrintArea" localSheetId="24" hidden="1">'Rate LED'!$A$67:$R$149</definedName>
    <definedName name="Z_18BDED73_BFA0_442E_87EC_CED86EE4CF94_.wvu.PrintArea" localSheetId="21" hidden="1">'Rate NSU'!$A$1:$R$49</definedName>
    <definedName name="Z_18BDED73_BFA0_442E_87EC_CED86EE4CF94_.wvu.PrintArea" localSheetId="6" hidden="1">'Rate RS'!$A$1:$R$45</definedName>
    <definedName name="Z_18BDED73_BFA0_442E_87EC_CED86EE4CF94_.wvu.PrintArea" localSheetId="22" hidden="1">'Rate SC'!$A$1:$R$77</definedName>
    <definedName name="Z_18BDED73_BFA0_442E_87EC_CED86EE4CF94_.wvu.PrintArea" localSheetId="23" hidden="1">'Rate SE'!$A$1:$R$56</definedName>
    <definedName name="Z_18BDED73_BFA0_442E_87EC_CED86EE4CF94_.wvu.PrintArea" localSheetId="18" hidden="1">'Rate SL'!$A$67:$R$217</definedName>
    <definedName name="Z_18BDED73_BFA0_442E_87EC_CED86EE4CF94_.wvu.PrintArea" localSheetId="11" hidden="1">'Rate SP GSFL'!$A$1:$R$64</definedName>
    <definedName name="Z_18BDED73_BFA0_442E_87EC_CED86EE4CF94_.wvu.PrintArea" localSheetId="19" hidden="1">'Rate TL'!$A$1:$R$51</definedName>
    <definedName name="Z_18BDED73_BFA0_442E_87EC_CED86EE4CF94_.wvu.PrintArea" localSheetId="13" hidden="1">'Rate TT'!$A$1:$R$62</definedName>
    <definedName name="Z_18BDED73_BFA0_442E_87EC_CED86EE4CF94_.wvu.PrintArea" localSheetId="17" hidden="1">'Rate TT RTP'!$A$1:$R$42</definedName>
    <definedName name="Z_18BDED73_BFA0_442E_87EC_CED86EE4CF94_.wvu.PrintArea" localSheetId="20" hidden="1">'Rate UOLS'!$A$1:$R$32</definedName>
    <definedName name="Z_18BDED73_BFA0_442E_87EC_CED86EE4CF94_.wvu.PrintArea" localSheetId="2" hidden="1">'SCH M'!$A$1:$O$68</definedName>
    <definedName name="Z_18BDED73_BFA0_442E_87EC_CED86EE4CF94_.wvu.PrintArea" localSheetId="3" hidden="1">'SCH M-2.1'!$A$1:$T$55</definedName>
    <definedName name="Z_18BDED73_BFA0_442E_87EC_CED86EE4CF94_.wvu.PrintArea" localSheetId="4" hidden="1">'SCH M-2.2'!$A$1:$X$76</definedName>
    <definedName name="Z_18BDED73_BFA0_442E_87EC_CED86EE4CF94_.wvu.PrintArea" localSheetId="5" hidden="1">'SCH M-2.3'!$A$1:$R$71</definedName>
    <definedName name="Z_18BDED73_BFA0_442E_87EC_CED86EE4CF94_.wvu.PrintArea" localSheetId="25" hidden="1">'SCH N'!$A$180:$Q$243</definedName>
    <definedName name="Z_195DF303_1BBD_4236_94B5_47432850B006_.wvu.PrintArea" localSheetId="12" hidden="1">'Rate DP'!$A$1:$R$50</definedName>
    <definedName name="Z_195DF303_1BBD_4236_94B5_47432850B006_.wvu.PrintArea" localSheetId="7" hidden="1">'Rate DS'!$A$1:$R$55</definedName>
    <definedName name="Z_195DF303_1BBD_4236_94B5_47432850B006_.wvu.PrintArea" localSheetId="16" hidden="1">'Rate DS RTP'!$A$1:$R$43</definedName>
    <definedName name="Z_195DF303_1BBD_4236_94B5_47432850B006_.wvu.PrintArea" localSheetId="14" hidden="1">'Rate DT RTP-P'!$A$1:$R$41</definedName>
    <definedName name="Z_195DF303_1BBD_4236_94B5_47432850B006_.wvu.PrintArea" localSheetId="15" hidden="1">'Rate DT RTP-S'!$A$1:$R$42</definedName>
    <definedName name="Z_195DF303_1BBD_4236_94B5_47432850B006_.wvu.PrintArea" localSheetId="8" hidden="1">'Rate DT-Pri'!$A$1:$R$65</definedName>
    <definedName name="Z_195DF303_1BBD_4236_94B5_47432850B006_.wvu.PrintArea" localSheetId="9" hidden="1">'Rate DT-Sec'!$A$1:$R$65</definedName>
    <definedName name="Z_195DF303_1BBD_4236_94B5_47432850B006_.wvu.PrintArea" localSheetId="10" hidden="1">'Rate EH'!$A$1:$R$47</definedName>
    <definedName name="Z_195DF303_1BBD_4236_94B5_47432850B006_.wvu.PrintArea" localSheetId="24" hidden="1">'Rate LED'!$T$280:$AQ$361</definedName>
    <definedName name="Z_195DF303_1BBD_4236_94B5_47432850B006_.wvu.PrintArea" localSheetId="21" hidden="1">'Rate NSU'!$A$1:$R$49</definedName>
    <definedName name="Z_195DF303_1BBD_4236_94B5_47432850B006_.wvu.PrintArea" localSheetId="6" hidden="1">'Rate RS'!$A$1:$R$45</definedName>
    <definedName name="Z_195DF303_1BBD_4236_94B5_47432850B006_.wvu.PrintArea" localSheetId="22" hidden="1">'Rate SC'!$A$1:$R$77</definedName>
    <definedName name="Z_195DF303_1BBD_4236_94B5_47432850B006_.wvu.PrintArea" localSheetId="23" hidden="1">'Rate SE'!$A$1:$R$56</definedName>
    <definedName name="Z_195DF303_1BBD_4236_94B5_47432850B006_.wvu.PrintArea" localSheetId="18" hidden="1">'Rate SL'!$T$287:$AQ$436</definedName>
    <definedName name="Z_195DF303_1BBD_4236_94B5_47432850B006_.wvu.PrintArea" localSheetId="11" hidden="1">'Rate SP GSFL'!$A$1:$R$64</definedName>
    <definedName name="Z_195DF303_1BBD_4236_94B5_47432850B006_.wvu.PrintArea" localSheetId="19" hidden="1">'Rate TL'!$A$1:$R$51</definedName>
    <definedName name="Z_195DF303_1BBD_4236_94B5_47432850B006_.wvu.PrintArea" localSheetId="13" hidden="1">'Rate TT'!$A$1:$R$62</definedName>
    <definedName name="Z_195DF303_1BBD_4236_94B5_47432850B006_.wvu.PrintArea" localSheetId="17" hidden="1">'Rate TT RTP'!$A$1:$R$42</definedName>
    <definedName name="Z_195DF303_1BBD_4236_94B5_47432850B006_.wvu.PrintArea" localSheetId="20" hidden="1">'Rate UOLS'!$A$1:$R$32</definedName>
    <definedName name="Z_195DF303_1BBD_4236_94B5_47432850B006_.wvu.PrintArea" localSheetId="2" hidden="1">'SCH M'!$A$1:$K$74</definedName>
    <definedName name="Z_195DF303_1BBD_4236_94B5_47432850B006_.wvu.PrintArea" localSheetId="3" hidden="1">'SCH M-2.1'!$A$1:$T$55</definedName>
    <definedName name="Z_195DF303_1BBD_4236_94B5_47432850B006_.wvu.PrintArea" localSheetId="4" hidden="1">'SCH M-2.2'!$A$1:$X$76</definedName>
    <definedName name="Z_195DF303_1BBD_4236_94B5_47432850B006_.wvu.PrintArea" localSheetId="5" hidden="1">'SCH M-2.3'!$A$1:$R$71</definedName>
    <definedName name="Z_195DF303_1BBD_4236_94B5_47432850B006_.wvu.PrintArea" localSheetId="25" hidden="1">'SCH N'!$A$180:$Q$243</definedName>
    <definedName name="Z_2431C9E5_7CC2_4B8D_99C3_962247B1DBF5_.wvu.PrintArea" localSheetId="8" hidden="1">'Rate DT-Pri'!$T$71:$AQ$138</definedName>
    <definedName name="Z_2431C9E5_7CC2_4B8D_99C3_962247B1DBF5_.wvu.PrintArea" localSheetId="9" hidden="1">'Rate DT-Sec'!$T$69:$AQ$133</definedName>
    <definedName name="Z_2431C9E5_7CC2_4B8D_99C3_962247B1DBF5_.wvu.PrintArea" localSheetId="24" hidden="1">'Rate LED'!$T$280:$AQ$361</definedName>
    <definedName name="Z_2431C9E5_7CC2_4B8D_99C3_962247B1DBF5_.wvu.PrintArea" localSheetId="18" hidden="1">'Rate SL'!$T$287:$AQ$436</definedName>
    <definedName name="Z_2EA35095_1ADC_4CC7_8C3C_B487D65FA247_.wvu.PrintArea" localSheetId="12" hidden="1">'Rate DP'!$A$1:$R$50</definedName>
    <definedName name="Z_2EA35095_1ADC_4CC7_8C3C_B487D65FA247_.wvu.PrintArea" localSheetId="7" hidden="1">'Rate DS'!$A$1:$R$55</definedName>
    <definedName name="Z_2EA35095_1ADC_4CC7_8C3C_B487D65FA247_.wvu.PrintArea" localSheetId="16" hidden="1">'Rate DS RTP'!$A$1:$R$43</definedName>
    <definedName name="Z_2EA35095_1ADC_4CC7_8C3C_B487D65FA247_.wvu.PrintArea" localSheetId="14" hidden="1">'Rate DT RTP-P'!$A$1:$R$41</definedName>
    <definedName name="Z_2EA35095_1ADC_4CC7_8C3C_B487D65FA247_.wvu.PrintArea" localSheetId="15" hidden="1">'Rate DT RTP-S'!$A$1:$R$42</definedName>
    <definedName name="Z_2EA35095_1ADC_4CC7_8C3C_B487D65FA247_.wvu.PrintArea" localSheetId="8" hidden="1">'Rate DT-Pri'!$A$1:$R$65</definedName>
    <definedName name="Z_2EA35095_1ADC_4CC7_8C3C_B487D65FA247_.wvu.PrintArea" localSheetId="9" hidden="1">'Rate DT-Sec'!$A$1:$R$65</definedName>
    <definedName name="Z_2EA35095_1ADC_4CC7_8C3C_B487D65FA247_.wvu.PrintArea" localSheetId="10" hidden="1">'Rate EH'!$A$1:$R$47</definedName>
    <definedName name="Z_2EA35095_1ADC_4CC7_8C3C_B487D65FA247_.wvu.PrintArea" localSheetId="24" hidden="1">'Rate LED'!$T$280:$AQ$361</definedName>
    <definedName name="Z_2EA35095_1ADC_4CC7_8C3C_B487D65FA247_.wvu.PrintArea" localSheetId="21" hidden="1">'Rate NSU'!$A$1:$R$49</definedName>
    <definedName name="Z_2EA35095_1ADC_4CC7_8C3C_B487D65FA247_.wvu.PrintArea" localSheetId="6" hidden="1">'Rate RS'!$A$1:$R$45</definedName>
    <definedName name="Z_2EA35095_1ADC_4CC7_8C3C_B487D65FA247_.wvu.PrintArea" localSheetId="22" hidden="1">'Rate SC'!$A$1:$R$77</definedName>
    <definedName name="Z_2EA35095_1ADC_4CC7_8C3C_B487D65FA247_.wvu.PrintArea" localSheetId="23" hidden="1">'Rate SE'!$A$1:$R$56</definedName>
    <definedName name="Z_2EA35095_1ADC_4CC7_8C3C_B487D65FA247_.wvu.PrintArea" localSheetId="18" hidden="1">'Rate SL'!$T$287:$AQ$436</definedName>
    <definedName name="Z_2EA35095_1ADC_4CC7_8C3C_B487D65FA247_.wvu.PrintArea" localSheetId="11" hidden="1">'Rate SP GSFL'!$A$1:$R$64</definedName>
    <definedName name="Z_2EA35095_1ADC_4CC7_8C3C_B487D65FA247_.wvu.PrintArea" localSheetId="19" hidden="1">'Rate TL'!$A$1:$R$51</definedName>
    <definedName name="Z_2EA35095_1ADC_4CC7_8C3C_B487D65FA247_.wvu.PrintArea" localSheetId="13" hidden="1">'Rate TT'!$A$1:$R$62</definedName>
    <definedName name="Z_2EA35095_1ADC_4CC7_8C3C_B487D65FA247_.wvu.PrintArea" localSheetId="17" hidden="1">'Rate TT RTP'!$A$1:$R$42</definedName>
    <definedName name="Z_2EA35095_1ADC_4CC7_8C3C_B487D65FA247_.wvu.PrintArea" localSheetId="20" hidden="1">'Rate UOLS'!$A$1:$R$32</definedName>
    <definedName name="Z_2EA35095_1ADC_4CC7_8C3C_B487D65FA247_.wvu.PrintArea" localSheetId="2" hidden="1">'SCH M'!$A$1:$K$74</definedName>
    <definedName name="Z_2EA35095_1ADC_4CC7_8C3C_B487D65FA247_.wvu.PrintArea" localSheetId="3" hidden="1">'SCH M-2.1'!$A$1:$T$55</definedName>
    <definedName name="Z_2EA35095_1ADC_4CC7_8C3C_B487D65FA247_.wvu.PrintArea" localSheetId="4" hidden="1">'SCH M-2.2'!$A$1:$X$76</definedName>
    <definedName name="Z_2EA35095_1ADC_4CC7_8C3C_B487D65FA247_.wvu.PrintArea" localSheetId="5" hidden="1">'SCH M-2.3'!$A$1:$R$71</definedName>
    <definedName name="Z_2EA35095_1ADC_4CC7_8C3C_B487D65FA247_.wvu.PrintArea" localSheetId="25" hidden="1">'SCH N'!$A$180:$Q$243</definedName>
    <definedName name="Z_35F19056_2E6F_4935_B863_78836FE990BF_.wvu.PrintArea" localSheetId="12" hidden="1">'Rate DP'!$A$1:$R$50</definedName>
    <definedName name="Z_35F19056_2E6F_4935_B863_78836FE990BF_.wvu.PrintArea" localSheetId="7" hidden="1">'Rate DS'!$A$1:$R$55</definedName>
    <definedName name="Z_35F19056_2E6F_4935_B863_78836FE990BF_.wvu.PrintArea" localSheetId="16" hidden="1">'Rate DS RTP'!$A$1:$R$43</definedName>
    <definedName name="Z_35F19056_2E6F_4935_B863_78836FE990BF_.wvu.PrintArea" localSheetId="14" hidden="1">'Rate DT RTP-P'!$A$1:$R$41</definedName>
    <definedName name="Z_35F19056_2E6F_4935_B863_78836FE990BF_.wvu.PrintArea" localSheetId="15" hidden="1">'Rate DT RTP-S'!$A$1:$R$42</definedName>
    <definedName name="Z_35F19056_2E6F_4935_B863_78836FE990BF_.wvu.PrintArea" localSheetId="8" hidden="1">'Rate DT-Pri'!$A$1:$R$65</definedName>
    <definedName name="Z_35F19056_2E6F_4935_B863_78836FE990BF_.wvu.PrintArea" localSheetId="9" hidden="1">'Rate DT-Sec'!$A$1:$R$65</definedName>
    <definedName name="Z_35F19056_2E6F_4935_B863_78836FE990BF_.wvu.PrintArea" localSheetId="10" hidden="1">'Rate EH'!$A$1:$R$47</definedName>
    <definedName name="Z_35F19056_2E6F_4935_B863_78836FE990BF_.wvu.PrintArea" localSheetId="24" hidden="1">'Rate LED'!$A$67:$R$149</definedName>
    <definedName name="Z_35F19056_2E6F_4935_B863_78836FE990BF_.wvu.PrintArea" localSheetId="21" hidden="1">'Rate NSU'!$A$1:$R$49</definedName>
    <definedName name="Z_35F19056_2E6F_4935_B863_78836FE990BF_.wvu.PrintArea" localSheetId="6" hidden="1">'Rate RS'!$A$1:$R$45</definedName>
    <definedName name="Z_35F19056_2E6F_4935_B863_78836FE990BF_.wvu.PrintArea" localSheetId="22" hidden="1">'Rate SC'!$A$1:$R$77</definedName>
    <definedName name="Z_35F19056_2E6F_4935_B863_78836FE990BF_.wvu.PrintArea" localSheetId="23" hidden="1">'Rate SE'!$A$1:$R$56</definedName>
    <definedName name="Z_35F19056_2E6F_4935_B863_78836FE990BF_.wvu.PrintArea" localSheetId="18" hidden="1">'Rate SL'!$A$67:$R$217</definedName>
    <definedName name="Z_35F19056_2E6F_4935_B863_78836FE990BF_.wvu.PrintArea" localSheetId="11" hidden="1">'Rate SP GSFL'!$A$1:$R$64</definedName>
    <definedName name="Z_35F19056_2E6F_4935_B863_78836FE990BF_.wvu.PrintArea" localSheetId="19" hidden="1">'Rate TL'!$A$1:$R$51</definedName>
    <definedName name="Z_35F19056_2E6F_4935_B863_78836FE990BF_.wvu.PrintArea" localSheetId="13" hidden="1">'Rate TT'!$A$1:$R$62</definedName>
    <definedName name="Z_35F19056_2E6F_4935_B863_78836FE990BF_.wvu.PrintArea" localSheetId="17" hidden="1">'Rate TT RTP'!$A$1:$R$42</definedName>
    <definedName name="Z_35F19056_2E6F_4935_B863_78836FE990BF_.wvu.PrintArea" localSheetId="20" hidden="1">'Rate UOLS'!$A$1:$R$32</definedName>
    <definedName name="Z_35F19056_2E6F_4935_B863_78836FE990BF_.wvu.PrintArea" localSheetId="2" hidden="1">'SCH M'!$A$1:$O$70</definedName>
    <definedName name="Z_35F19056_2E6F_4935_B863_78836FE990BF_.wvu.PrintArea" localSheetId="3" hidden="1">'SCH M-2.1'!$A$1:$T$55</definedName>
    <definedName name="Z_35F19056_2E6F_4935_B863_78836FE990BF_.wvu.PrintArea" localSheetId="4" hidden="1">'SCH M-2.2'!$A$1:$X$76</definedName>
    <definedName name="Z_35F19056_2E6F_4935_B863_78836FE990BF_.wvu.PrintArea" localSheetId="5" hidden="1">'SCH M-2.3'!$A$1:$R$71</definedName>
    <definedName name="Z_35F19056_2E6F_4935_B863_78836FE990BF_.wvu.PrintArea" localSheetId="25" hidden="1">'SCH N'!$A$180:$Q$243</definedName>
    <definedName name="Z_4BC93440_BA85_4935_A8C9_66DC6AE5DE5E_.wvu.PrintArea" localSheetId="12" hidden="1">'Rate DP'!$A$1:$R$50</definedName>
    <definedName name="Z_4BC93440_BA85_4935_A8C9_66DC6AE5DE5E_.wvu.PrintArea" localSheetId="7" hidden="1">'Rate DS'!$A$1:$R$55</definedName>
    <definedName name="Z_4BC93440_BA85_4935_A8C9_66DC6AE5DE5E_.wvu.PrintArea" localSheetId="16" hidden="1">'Rate DS RTP'!$A$1:$R$43</definedName>
    <definedName name="Z_4BC93440_BA85_4935_A8C9_66DC6AE5DE5E_.wvu.PrintArea" localSheetId="14" hidden="1">'Rate DT RTP-P'!$A$1:$R$41</definedName>
    <definedName name="Z_4BC93440_BA85_4935_A8C9_66DC6AE5DE5E_.wvu.PrintArea" localSheetId="15" hidden="1">'Rate DT RTP-S'!$A$1:$R$42</definedName>
    <definedName name="Z_4BC93440_BA85_4935_A8C9_66DC6AE5DE5E_.wvu.PrintArea" localSheetId="8" hidden="1">'Rate DT-Pri'!$T$71:$AQ$138</definedName>
    <definedName name="Z_4BC93440_BA85_4935_A8C9_66DC6AE5DE5E_.wvu.PrintArea" localSheetId="9" hidden="1">'Rate DT-Sec'!$T$69:$AQ$133</definedName>
    <definedName name="Z_4BC93440_BA85_4935_A8C9_66DC6AE5DE5E_.wvu.PrintArea" localSheetId="10" hidden="1">'Rate EH'!$A$1:$R$47</definedName>
    <definedName name="Z_4BC93440_BA85_4935_A8C9_66DC6AE5DE5E_.wvu.PrintArea" localSheetId="24" hidden="1">'Rate LED'!$T$280:$AQ$361</definedName>
    <definedName name="Z_4BC93440_BA85_4935_A8C9_66DC6AE5DE5E_.wvu.PrintArea" localSheetId="21" hidden="1">'Rate NSU'!$A$1:$R$49</definedName>
    <definedName name="Z_4BC93440_BA85_4935_A8C9_66DC6AE5DE5E_.wvu.PrintArea" localSheetId="6" hidden="1">'Rate RS'!$A$1:$R$45</definedName>
    <definedName name="Z_4BC93440_BA85_4935_A8C9_66DC6AE5DE5E_.wvu.PrintArea" localSheetId="22" hidden="1">'Rate SC'!$A$1:$R$77</definedName>
    <definedName name="Z_4BC93440_BA85_4935_A8C9_66DC6AE5DE5E_.wvu.PrintArea" localSheetId="23" hidden="1">'Rate SE'!$A$1:$R$56</definedName>
    <definedName name="Z_4BC93440_BA85_4935_A8C9_66DC6AE5DE5E_.wvu.PrintArea" localSheetId="18" hidden="1">'Rate SL'!$T$287:$AQ$436</definedName>
    <definedName name="Z_4BC93440_BA85_4935_A8C9_66DC6AE5DE5E_.wvu.PrintArea" localSheetId="11" hidden="1">'Rate SP GSFL'!$A$1:$R$64</definedName>
    <definedName name="Z_4BC93440_BA85_4935_A8C9_66DC6AE5DE5E_.wvu.PrintArea" localSheetId="19" hidden="1">'Rate TL'!$A$1:$R$51</definedName>
    <definedName name="Z_4BC93440_BA85_4935_A8C9_66DC6AE5DE5E_.wvu.PrintArea" localSheetId="13" hidden="1">'Rate TT'!$A$1:$R$62</definedName>
    <definedName name="Z_4BC93440_BA85_4935_A8C9_66DC6AE5DE5E_.wvu.PrintArea" localSheetId="17" hidden="1">'Rate TT RTP'!$A$1:$R$42</definedName>
    <definedName name="Z_4BC93440_BA85_4935_A8C9_66DC6AE5DE5E_.wvu.PrintArea" localSheetId="20" hidden="1">'Rate UOLS'!$A$1:$R$32</definedName>
    <definedName name="Z_4BC93440_BA85_4935_A8C9_66DC6AE5DE5E_.wvu.PrintArea" localSheetId="2" hidden="1">'SCH M'!$A$1:$K$74</definedName>
    <definedName name="Z_4BC93440_BA85_4935_A8C9_66DC6AE5DE5E_.wvu.PrintArea" localSheetId="3" hidden="1">'SCH M-2.1'!$A$1:$T$55</definedName>
    <definedName name="Z_4BC93440_BA85_4935_A8C9_66DC6AE5DE5E_.wvu.PrintArea" localSheetId="4" hidden="1">'SCH M-2.2'!$A$1:$X$76</definedName>
    <definedName name="Z_4BC93440_BA85_4935_A8C9_66DC6AE5DE5E_.wvu.PrintArea" localSheetId="5" hidden="1">'SCH M-2.3'!$A$1:$R$71</definedName>
    <definedName name="Z_4BC93440_BA85_4935_A8C9_66DC6AE5DE5E_.wvu.PrintArea" localSheetId="25" hidden="1">'SCH N'!$A$180:$Q$243</definedName>
    <definedName name="Z_6B3D5C27_2FDE_4561_9575_1E98BFB869D0_.wvu.PrintArea" localSheetId="12" hidden="1">'Rate DP'!$A$1:$R$50</definedName>
    <definedName name="Z_6B3D5C27_2FDE_4561_9575_1E98BFB869D0_.wvu.PrintArea" localSheetId="7" hidden="1">'Rate DS'!$A$1:$R$55</definedName>
    <definedName name="Z_6B3D5C27_2FDE_4561_9575_1E98BFB869D0_.wvu.PrintArea" localSheetId="16" hidden="1">'Rate DS RTP'!$A$1:$R$43</definedName>
    <definedName name="Z_6B3D5C27_2FDE_4561_9575_1E98BFB869D0_.wvu.PrintArea" localSheetId="14" hidden="1">'Rate DT RTP-P'!$A$1:$R$41</definedName>
    <definedName name="Z_6B3D5C27_2FDE_4561_9575_1E98BFB869D0_.wvu.PrintArea" localSheetId="15" hidden="1">'Rate DT RTP-S'!$A$1:$R$42</definedName>
    <definedName name="Z_6B3D5C27_2FDE_4561_9575_1E98BFB869D0_.wvu.PrintArea" localSheetId="8" hidden="1">'Rate DT-Pri'!$A$1:$R$65</definedName>
    <definedName name="Z_6B3D5C27_2FDE_4561_9575_1E98BFB869D0_.wvu.PrintArea" localSheetId="9" hidden="1">'Rate DT-Sec'!$A$1:$R$65</definedName>
    <definedName name="Z_6B3D5C27_2FDE_4561_9575_1E98BFB869D0_.wvu.PrintArea" localSheetId="10" hidden="1">'Rate EH'!$A$1:$R$47</definedName>
    <definedName name="Z_6B3D5C27_2FDE_4561_9575_1E98BFB869D0_.wvu.PrintArea" localSheetId="24" hidden="1">'Rate LED'!$T$280:$AQ$361</definedName>
    <definedName name="Z_6B3D5C27_2FDE_4561_9575_1E98BFB869D0_.wvu.PrintArea" localSheetId="21" hidden="1">'Rate NSU'!$A$1:$R$49</definedName>
    <definedName name="Z_6B3D5C27_2FDE_4561_9575_1E98BFB869D0_.wvu.PrintArea" localSheetId="6" hidden="1">'Rate RS'!$A$1:$R$45</definedName>
    <definedName name="Z_6B3D5C27_2FDE_4561_9575_1E98BFB869D0_.wvu.PrintArea" localSheetId="22" hidden="1">'Rate SC'!$A$1:$R$77</definedName>
    <definedName name="Z_6B3D5C27_2FDE_4561_9575_1E98BFB869D0_.wvu.PrintArea" localSheetId="23" hidden="1">'Rate SE'!$A$1:$R$56</definedName>
    <definedName name="Z_6B3D5C27_2FDE_4561_9575_1E98BFB869D0_.wvu.PrintArea" localSheetId="18" hidden="1">'Rate SL'!$T$287:$AQ$436</definedName>
    <definedName name="Z_6B3D5C27_2FDE_4561_9575_1E98BFB869D0_.wvu.PrintArea" localSheetId="11" hidden="1">'Rate SP GSFL'!$A$1:$R$64</definedName>
    <definedName name="Z_6B3D5C27_2FDE_4561_9575_1E98BFB869D0_.wvu.PrintArea" localSheetId="19" hidden="1">'Rate TL'!$A$1:$R$51</definedName>
    <definedName name="Z_6B3D5C27_2FDE_4561_9575_1E98BFB869D0_.wvu.PrintArea" localSheetId="13" hidden="1">'Rate TT'!$A$1:$R$62</definedName>
    <definedName name="Z_6B3D5C27_2FDE_4561_9575_1E98BFB869D0_.wvu.PrintArea" localSheetId="17" hidden="1">'Rate TT RTP'!$A$1:$R$42</definedName>
    <definedName name="Z_6B3D5C27_2FDE_4561_9575_1E98BFB869D0_.wvu.PrintArea" localSheetId="20" hidden="1">'Rate UOLS'!$A$1:$R$32</definedName>
    <definedName name="Z_6B3D5C27_2FDE_4561_9575_1E98BFB869D0_.wvu.PrintArea" localSheetId="2" hidden="1">'SCH M'!$A$1:$O$68</definedName>
    <definedName name="Z_6B3D5C27_2FDE_4561_9575_1E98BFB869D0_.wvu.PrintArea" localSheetId="3" hidden="1">'SCH M-2.1'!$A$1:$T$55</definedName>
    <definedName name="Z_6B3D5C27_2FDE_4561_9575_1E98BFB869D0_.wvu.PrintArea" localSheetId="4" hidden="1">'SCH M-2.2'!$A$1:$X$76</definedName>
    <definedName name="Z_6B3D5C27_2FDE_4561_9575_1E98BFB869D0_.wvu.PrintArea" localSheetId="5" hidden="1">'SCH M-2.3'!$A$1:$R$71</definedName>
    <definedName name="Z_6B3D5C27_2FDE_4561_9575_1E98BFB869D0_.wvu.PrintArea" localSheetId="25" hidden="1">'SCH N'!$A$180:$Q$243</definedName>
    <definedName name="Z_8FB94551_8874_4095_B8FB_5316E0D2FD2C_.wvu.PrintArea" localSheetId="12" hidden="1">'Rate DP'!$A$1:$R$50</definedName>
    <definedName name="Z_8FB94551_8874_4095_B8FB_5316E0D2FD2C_.wvu.PrintArea" localSheetId="7" hidden="1">'Rate DS'!$A$1:$R$55</definedName>
    <definedName name="Z_8FB94551_8874_4095_B8FB_5316E0D2FD2C_.wvu.PrintArea" localSheetId="16" hidden="1">'Rate DS RTP'!$A$1:$R$43</definedName>
    <definedName name="Z_8FB94551_8874_4095_B8FB_5316E0D2FD2C_.wvu.PrintArea" localSheetId="14" hidden="1">'Rate DT RTP-P'!$A$1:$R$41</definedName>
    <definedName name="Z_8FB94551_8874_4095_B8FB_5316E0D2FD2C_.wvu.PrintArea" localSheetId="15" hidden="1">'Rate DT RTP-S'!$A$1:$R$42</definedName>
    <definedName name="Z_8FB94551_8874_4095_B8FB_5316E0D2FD2C_.wvu.PrintArea" localSheetId="8" hidden="1">'Rate DT-Pri'!$A$1:$R$65</definedName>
    <definedName name="Z_8FB94551_8874_4095_B8FB_5316E0D2FD2C_.wvu.PrintArea" localSheetId="9" hidden="1">'Rate DT-Sec'!$A$1:$R$65</definedName>
    <definedName name="Z_8FB94551_8874_4095_B8FB_5316E0D2FD2C_.wvu.PrintArea" localSheetId="10" hidden="1">'Rate EH'!$A$1:$R$47</definedName>
    <definedName name="Z_8FB94551_8874_4095_B8FB_5316E0D2FD2C_.wvu.PrintArea" localSheetId="24" hidden="1">'Rate LED'!$T$280:$AQ$361</definedName>
    <definedName name="Z_8FB94551_8874_4095_B8FB_5316E0D2FD2C_.wvu.PrintArea" localSheetId="21" hidden="1">'Rate NSU'!$A$1:$R$49</definedName>
    <definedName name="Z_8FB94551_8874_4095_B8FB_5316E0D2FD2C_.wvu.PrintArea" localSheetId="6" hidden="1">'Rate RS'!$A$1:$R$45</definedName>
    <definedName name="Z_8FB94551_8874_4095_B8FB_5316E0D2FD2C_.wvu.PrintArea" localSheetId="22" hidden="1">'Rate SC'!$A$1:$R$77</definedName>
    <definedName name="Z_8FB94551_8874_4095_B8FB_5316E0D2FD2C_.wvu.PrintArea" localSheetId="23" hidden="1">'Rate SE'!$A$1:$R$56</definedName>
    <definedName name="Z_8FB94551_8874_4095_B8FB_5316E0D2FD2C_.wvu.PrintArea" localSheetId="18" hidden="1">'Rate SL'!$T$287:$AQ$436</definedName>
    <definedName name="Z_8FB94551_8874_4095_B8FB_5316E0D2FD2C_.wvu.PrintArea" localSheetId="11" hidden="1">'Rate SP GSFL'!$A$1:$R$64</definedName>
    <definedName name="Z_8FB94551_8874_4095_B8FB_5316E0D2FD2C_.wvu.PrintArea" localSheetId="19" hidden="1">'Rate TL'!$A$1:$R$51</definedName>
    <definedName name="Z_8FB94551_8874_4095_B8FB_5316E0D2FD2C_.wvu.PrintArea" localSheetId="13" hidden="1">'Rate TT'!$A$1:$R$62</definedName>
    <definedName name="Z_8FB94551_8874_4095_B8FB_5316E0D2FD2C_.wvu.PrintArea" localSheetId="17" hidden="1">'Rate TT RTP'!$A$1:$R$42</definedName>
    <definedName name="Z_8FB94551_8874_4095_B8FB_5316E0D2FD2C_.wvu.PrintArea" localSheetId="20" hidden="1">'Rate UOLS'!$A$1:$R$32</definedName>
    <definedName name="Z_8FB94551_8874_4095_B8FB_5316E0D2FD2C_.wvu.PrintArea" localSheetId="2" hidden="1">'SCH M'!$A$1:$K$74</definedName>
    <definedName name="Z_8FB94551_8874_4095_B8FB_5316E0D2FD2C_.wvu.PrintArea" localSheetId="3" hidden="1">'SCH M-2.1'!$A$1:$T$55</definedName>
    <definedName name="Z_8FB94551_8874_4095_B8FB_5316E0D2FD2C_.wvu.PrintArea" localSheetId="4" hidden="1">'SCH M-2.2'!$A$1:$X$76</definedName>
    <definedName name="Z_8FB94551_8874_4095_B8FB_5316E0D2FD2C_.wvu.PrintArea" localSheetId="5" hidden="1">'SCH M-2.3'!$A$1:$R$71</definedName>
    <definedName name="Z_8FB94551_8874_4095_B8FB_5316E0D2FD2C_.wvu.PrintArea" localSheetId="25" hidden="1">'SCH N'!$A$180:$Q$243</definedName>
    <definedName name="Z_8FC77C99_DBF7_40B8_99B8_01B75826CDCB_.wvu.PrintArea" localSheetId="12" hidden="1">'Rate DP'!$A$1:$R$50</definedName>
    <definedName name="Z_8FC77C99_DBF7_40B8_99B8_01B75826CDCB_.wvu.PrintArea" localSheetId="7" hidden="1">'Rate DS'!$A$1:$R$55</definedName>
    <definedName name="Z_8FC77C99_DBF7_40B8_99B8_01B75826CDCB_.wvu.PrintArea" localSheetId="16" hidden="1">'Rate DS RTP'!$A$1:$R$43</definedName>
    <definedName name="Z_8FC77C99_DBF7_40B8_99B8_01B75826CDCB_.wvu.PrintArea" localSheetId="14" hidden="1">'Rate DT RTP-P'!$A$1:$R$41</definedName>
    <definedName name="Z_8FC77C99_DBF7_40B8_99B8_01B75826CDCB_.wvu.PrintArea" localSheetId="15" hidden="1">'Rate DT RTP-S'!$A$1:$R$42</definedName>
    <definedName name="Z_8FC77C99_DBF7_40B8_99B8_01B75826CDCB_.wvu.PrintArea" localSheetId="8" hidden="1">'Rate DT-Pri'!$A$1:$R$65</definedName>
    <definedName name="Z_8FC77C99_DBF7_40B8_99B8_01B75826CDCB_.wvu.PrintArea" localSheetId="9" hidden="1">'Rate DT-Sec'!$A$1:$R$65</definedName>
    <definedName name="Z_8FC77C99_DBF7_40B8_99B8_01B75826CDCB_.wvu.PrintArea" localSheetId="10" hidden="1">'Rate EH'!$A$1:$R$47</definedName>
    <definedName name="Z_8FC77C99_DBF7_40B8_99B8_01B75826CDCB_.wvu.PrintArea" localSheetId="24" hidden="1">'Rate LED'!$T$280:$AQ$361</definedName>
    <definedName name="Z_8FC77C99_DBF7_40B8_99B8_01B75826CDCB_.wvu.PrintArea" localSheetId="21" hidden="1">'Rate NSU'!$A$1:$R$49</definedName>
    <definedName name="Z_8FC77C99_DBF7_40B8_99B8_01B75826CDCB_.wvu.PrintArea" localSheetId="6" hidden="1">'Rate RS'!$A$1:$R$45</definedName>
    <definedName name="Z_8FC77C99_DBF7_40B8_99B8_01B75826CDCB_.wvu.PrintArea" localSheetId="22" hidden="1">'Rate SC'!$A$1:$R$77</definedName>
    <definedName name="Z_8FC77C99_DBF7_40B8_99B8_01B75826CDCB_.wvu.PrintArea" localSheetId="23" hidden="1">'Rate SE'!$A$1:$R$56</definedName>
    <definedName name="Z_8FC77C99_DBF7_40B8_99B8_01B75826CDCB_.wvu.PrintArea" localSheetId="18" hidden="1">'Rate SL'!$T$287:$AQ$436</definedName>
    <definedName name="Z_8FC77C99_DBF7_40B8_99B8_01B75826CDCB_.wvu.PrintArea" localSheetId="11" hidden="1">'Rate SP GSFL'!$A$1:$R$64</definedName>
    <definedName name="Z_8FC77C99_DBF7_40B8_99B8_01B75826CDCB_.wvu.PrintArea" localSheetId="19" hidden="1">'Rate TL'!$A$1:$R$51</definedName>
    <definedName name="Z_8FC77C99_DBF7_40B8_99B8_01B75826CDCB_.wvu.PrintArea" localSheetId="13" hidden="1">'Rate TT'!$A$1:$R$62</definedName>
    <definedName name="Z_8FC77C99_DBF7_40B8_99B8_01B75826CDCB_.wvu.PrintArea" localSheetId="17" hidden="1">'Rate TT RTP'!$A$1:$R$42</definedName>
    <definedName name="Z_8FC77C99_DBF7_40B8_99B8_01B75826CDCB_.wvu.PrintArea" localSheetId="20" hidden="1">'Rate UOLS'!$A$1:$R$32</definedName>
    <definedName name="Z_8FC77C99_DBF7_40B8_99B8_01B75826CDCB_.wvu.PrintArea" localSheetId="2" hidden="1">'SCH M'!$A$1:$K$74</definedName>
    <definedName name="Z_8FC77C99_DBF7_40B8_99B8_01B75826CDCB_.wvu.PrintArea" localSheetId="3" hidden="1">'SCH M-2.1'!$A$1:$T$55</definedName>
    <definedName name="Z_8FC77C99_DBF7_40B8_99B8_01B75826CDCB_.wvu.PrintArea" localSheetId="4" hidden="1">'SCH M-2.2'!$A$1:$X$76</definedName>
    <definedName name="Z_8FC77C99_DBF7_40B8_99B8_01B75826CDCB_.wvu.PrintArea" localSheetId="5" hidden="1">'SCH M-2.3'!$A$1:$R$71</definedName>
    <definedName name="Z_8FC77C99_DBF7_40B8_99B8_01B75826CDCB_.wvu.PrintArea" localSheetId="25" hidden="1">'SCH N'!$A$180:$Q$243</definedName>
    <definedName name="Z_F562D92E_120C_4AE9_9663_89E64D41DC53_.wvu.PrintArea" localSheetId="12" hidden="1">'Rate DP'!$A$1:$R$50</definedName>
    <definedName name="Z_F562D92E_120C_4AE9_9663_89E64D41DC53_.wvu.PrintArea" localSheetId="7" hidden="1">'Rate DS'!$A$1:$R$55</definedName>
    <definedName name="Z_F562D92E_120C_4AE9_9663_89E64D41DC53_.wvu.PrintArea" localSheetId="16" hidden="1">'Rate DS RTP'!$A$1:$R$43</definedName>
    <definedName name="Z_F562D92E_120C_4AE9_9663_89E64D41DC53_.wvu.PrintArea" localSheetId="14" hidden="1">'Rate DT RTP-P'!$A$1:$R$41</definedName>
    <definedName name="Z_F562D92E_120C_4AE9_9663_89E64D41DC53_.wvu.PrintArea" localSheetId="15" hidden="1">'Rate DT RTP-S'!$A$1:$R$42</definedName>
    <definedName name="Z_F562D92E_120C_4AE9_9663_89E64D41DC53_.wvu.PrintArea" localSheetId="8" hidden="1">'Rate DT-Pri'!$A$1:$R$65</definedName>
    <definedName name="Z_F562D92E_120C_4AE9_9663_89E64D41DC53_.wvu.PrintArea" localSheetId="9" hidden="1">'Rate DT-Sec'!$A$1:$R$65</definedName>
    <definedName name="Z_F562D92E_120C_4AE9_9663_89E64D41DC53_.wvu.PrintArea" localSheetId="10" hidden="1">'Rate EH'!$A$1:$R$47</definedName>
    <definedName name="Z_F562D92E_120C_4AE9_9663_89E64D41DC53_.wvu.PrintArea" localSheetId="24" hidden="1">'Rate LED'!$A$67:$R$149</definedName>
    <definedName name="Z_F562D92E_120C_4AE9_9663_89E64D41DC53_.wvu.PrintArea" localSheetId="21" hidden="1">'Rate NSU'!$A$1:$R$49</definedName>
    <definedName name="Z_F562D92E_120C_4AE9_9663_89E64D41DC53_.wvu.PrintArea" localSheetId="6" hidden="1">'Rate RS'!$A$1:$R$45</definedName>
    <definedName name="Z_F562D92E_120C_4AE9_9663_89E64D41DC53_.wvu.PrintArea" localSheetId="22" hidden="1">'Rate SC'!$A$1:$R$77</definedName>
    <definedName name="Z_F562D92E_120C_4AE9_9663_89E64D41DC53_.wvu.PrintArea" localSheetId="23" hidden="1">'Rate SE'!$A$1:$R$56</definedName>
    <definedName name="Z_F562D92E_120C_4AE9_9663_89E64D41DC53_.wvu.PrintArea" localSheetId="18" hidden="1">'Rate SL'!$A$67:$R$217</definedName>
    <definedName name="Z_F562D92E_120C_4AE9_9663_89E64D41DC53_.wvu.PrintArea" localSheetId="11" hidden="1">'Rate SP GSFL'!$A$1:$R$64</definedName>
    <definedName name="Z_F562D92E_120C_4AE9_9663_89E64D41DC53_.wvu.PrintArea" localSheetId="19" hidden="1">'Rate TL'!$A$1:$R$51</definedName>
    <definedName name="Z_F562D92E_120C_4AE9_9663_89E64D41DC53_.wvu.PrintArea" localSheetId="13" hidden="1">'Rate TT'!$A$1:$R$62</definedName>
    <definedName name="Z_F562D92E_120C_4AE9_9663_89E64D41DC53_.wvu.PrintArea" localSheetId="17" hidden="1">'Rate TT RTP'!$A$1:$R$42</definedName>
    <definedName name="Z_F562D92E_120C_4AE9_9663_89E64D41DC53_.wvu.PrintArea" localSheetId="20" hidden="1">'Rate UOLS'!$A$1:$R$32</definedName>
    <definedName name="Z_F562D92E_120C_4AE9_9663_89E64D41DC53_.wvu.PrintArea" localSheetId="2" hidden="1">'SCH M'!$A$1:$O$70</definedName>
    <definedName name="Z_F562D92E_120C_4AE9_9663_89E64D41DC53_.wvu.PrintArea" localSheetId="3" hidden="1">'SCH M-2.1'!$A$1:$T$55</definedName>
    <definedName name="Z_F562D92E_120C_4AE9_9663_89E64D41DC53_.wvu.PrintArea" localSheetId="4" hidden="1">'SCH M-2.2'!$A$1:$X$76</definedName>
    <definedName name="Z_F562D92E_120C_4AE9_9663_89E64D41DC53_.wvu.PrintArea" localSheetId="5" hidden="1">'SCH M-2.3'!$A$1:$R$71</definedName>
    <definedName name="Z_F562D92E_120C_4AE9_9663_89E64D41DC53_.wvu.PrintArea" localSheetId="25" hidden="1">'SCH N'!$A$180:$Q$243</definedName>
  </definedNames>
  <calcPr calcId="171027" calcOnSave="0"/>
  <customWorkbookViews>
    <customWorkbookView name="Jeffrey R. Bailey - Personal View" guid="{195DF303-1BBD-4236-94B5-47432850B006}" mergeInterval="0" personalView="1" maximized="1" windowWidth="1020" windowHeight="550" tabRatio="599" activeSheetId="1"/>
    <customWorkbookView name="Donald J. Rottinghaus - Personal View" guid="{0C49E549-011E-46F4-A82E-2CC8951A9C1E}" mergeInterval="0" personalView="1" maximized="1" windowWidth="1276" windowHeight="763" tabRatio="599" activeSheetId="4"/>
    <customWorkbookView name="Mark E. Musick - Personal View" guid="{4BC93440-BA85-4935-A8C9-66DC6AE5DE5E}" mergeInterval="0" personalView="1" maximized="1" windowWidth="796" windowHeight="439" tabRatio="599" activeSheetId="7"/>
    <customWorkbookView name="Brad Beagle - Personal View" guid="{2431C9E5-7CC2-4B8D-99C3-962247B1DBF5}" mergeInterval="0" personalView="1" maximized="1" windowWidth="1271" windowHeight="897" tabRatio="599" activeSheetId="3"/>
    <customWorkbookView name="Jeff Pipher - Personal View" guid="{2EA35095-1ADC-4CC7-8C3C-B487D65FA247}" mergeInterval="0" personalView="1" xWindow="5" yWindow="29" windowWidth="684" windowHeight="318" tabRatio="599" activeSheetId="13"/>
    <customWorkbookView name="t01869 - Personal View" guid="{8FC77C99-DBF7-40B8-99B8-01B75826CDCB}" mergeInterval="0" personalView="1" maximized="1" windowWidth="1020" windowHeight="651" tabRatio="599" activeSheetId="2" showStatusbar="0"/>
    <customWorkbookView name="Bass Chaser - Personal View" guid="{8FB94551-8874-4095-B8FB-5316E0D2FD2C}" mergeInterval="0" personalView="1" maximized="1" windowWidth="1020" windowHeight="659" tabRatio="599" activeSheetId="1"/>
    <customWorkbookView name="bjb - Personal View" guid="{6B3D5C27-2FDE-4561-9575-1E98BFB869D0}" mergeInterval="0" personalView="1" maximized="1" windowWidth="1266" windowHeight="878" tabRatio="599" activeSheetId="8"/>
    <customWorkbookView name="rhe - Personal View" guid="{0BC1F393-8A13-47D5-BC6C-0C99615B5AB9}" mergeInterval="0" personalView="1" maximized="1" windowWidth="1276" windowHeight="915" tabRatio="599" activeSheetId="3"/>
    <customWorkbookView name="t93779 - Personal View" guid="{18BDED73-BFA0-442E-87EC-CED86EE4CF94}" mergeInterval="0" personalView="1" maximized="1" windowWidth="1276" windowHeight="862" tabRatio="599" activeSheetId="3"/>
    <customWorkbookView name="Administrator - Personal View" guid="{35F19056-2E6F-4935-B863-78836FE990BF}" mergeInterval="0" personalView="1" maximized="1" windowWidth="1020" windowHeight="605" tabRatio="599" activeSheetId="3"/>
    <customWorkbookView name="ramshof - Personal View" guid="{F562D92E-120C-4AE9-9663-89E64D41DC53}" mergeInterval="0" personalView="1" maximized="1" xWindow="1" yWindow="1" windowWidth="1280" windowHeight="806" tabRatio="599" activeSheetId="1"/>
  </customWorkbookViews>
</workbook>
</file>

<file path=xl/calcChain.xml><?xml version="1.0" encoding="utf-8"?>
<calcChain xmlns="http://schemas.openxmlformats.org/spreadsheetml/2006/main">
  <c r="K50" i="34" l="1"/>
  <c r="K49" i="34"/>
  <c r="K48" i="34"/>
  <c r="K47" i="34"/>
  <c r="K46" i="34"/>
  <c r="K45" i="34"/>
  <c r="K44" i="34"/>
  <c r="K43" i="34"/>
  <c r="K42" i="34"/>
  <c r="K41" i="34"/>
  <c r="J62" i="5" l="1"/>
  <c r="C238" i="26"/>
  <c r="C31" i="26"/>
  <c r="C82" i="26" l="1"/>
  <c r="C127" i="26"/>
  <c r="C177" i="26"/>
  <c r="R145" i="34"/>
  <c r="R75" i="34"/>
  <c r="R7" i="34"/>
  <c r="R7" i="25"/>
  <c r="R7" i="24"/>
  <c r="R7" i="22"/>
  <c r="R7" i="28"/>
  <c r="R7" i="20"/>
  <c r="R154" i="19"/>
  <c r="R73" i="19"/>
  <c r="R7" i="19"/>
  <c r="R7" i="33"/>
  <c r="R7" i="31"/>
  <c r="R7" i="30"/>
  <c r="R7" i="14"/>
  <c r="R7" i="13"/>
  <c r="R7" i="12"/>
  <c r="R7" i="11"/>
  <c r="R7" i="10"/>
  <c r="R7" i="9"/>
  <c r="R7" i="8"/>
  <c r="R7" i="7"/>
  <c r="R7" i="6"/>
  <c r="AO286" i="34"/>
  <c r="AO220" i="34"/>
  <c r="AO63" i="25"/>
  <c r="AO80" i="24"/>
  <c r="AO57" i="22"/>
  <c r="AO42" i="28"/>
  <c r="AO58" i="20"/>
  <c r="AO374" i="19"/>
  <c r="AO293" i="19"/>
  <c r="AO227" i="19"/>
  <c r="AO53" i="33"/>
  <c r="AO51" i="31"/>
  <c r="AO51" i="30"/>
  <c r="AO71" i="14"/>
  <c r="AO59" i="13"/>
  <c r="AO71" i="12"/>
  <c r="AO55" i="11"/>
  <c r="AO75" i="10"/>
  <c r="AO77" i="9"/>
  <c r="AO62" i="8"/>
  <c r="AN48" i="7"/>
  <c r="V7" i="5"/>
  <c r="AC50" i="34"/>
  <c r="AC49" i="34"/>
  <c r="AC48" i="34"/>
  <c r="AC47" i="34"/>
  <c r="AC46" i="34"/>
  <c r="AC45" i="34"/>
  <c r="AC44" i="34"/>
  <c r="H45" i="34" s="1"/>
  <c r="AC43" i="34"/>
  <c r="H44" i="34" s="1"/>
  <c r="AC42" i="34"/>
  <c r="AC41" i="34"/>
  <c r="AC40" i="34"/>
  <c r="AC39" i="34"/>
  <c r="AC38" i="34"/>
  <c r="AC37" i="34"/>
  <c r="AC36" i="34"/>
  <c r="H37" i="34" s="1"/>
  <c r="AC35" i="34"/>
  <c r="H36" i="34" s="1"/>
  <c r="AC34" i="34"/>
  <c r="AC33" i="34"/>
  <c r="AC32" i="34"/>
  <c r="AC31" i="34"/>
  <c r="AC30" i="34"/>
  <c r="AC29" i="34"/>
  <c r="H30" i="34" s="1"/>
  <c r="AC28" i="34"/>
  <c r="H29" i="34" s="1"/>
  <c r="AC27" i="34"/>
  <c r="AC26" i="34"/>
  <c r="AC25" i="34"/>
  <c r="AC24" i="34"/>
  <c r="AC23" i="34"/>
  <c r="AC22" i="34"/>
  <c r="AC21" i="34"/>
  <c r="AC20" i="34"/>
  <c r="C199" i="34"/>
  <c r="C198" i="34"/>
  <c r="R197" i="34"/>
  <c r="L197" i="34"/>
  <c r="C197" i="34"/>
  <c r="F194" i="34"/>
  <c r="R193" i="34"/>
  <c r="L193" i="34"/>
  <c r="R192" i="34"/>
  <c r="L192" i="34"/>
  <c r="L191" i="34"/>
  <c r="R191" i="34" s="1"/>
  <c r="L190" i="34"/>
  <c r="R190" i="34" s="1"/>
  <c r="R189" i="34"/>
  <c r="L189" i="34"/>
  <c r="R188" i="34"/>
  <c r="L188" i="34"/>
  <c r="L187" i="34"/>
  <c r="R187" i="34" s="1"/>
  <c r="F184" i="34"/>
  <c r="F202" i="34" s="1"/>
  <c r="R183" i="34"/>
  <c r="L183" i="34"/>
  <c r="L182" i="34"/>
  <c r="R182" i="34" s="1"/>
  <c r="L181" i="34"/>
  <c r="R181" i="34" s="1"/>
  <c r="L180" i="34"/>
  <c r="R180" i="34" s="1"/>
  <c r="R179" i="34"/>
  <c r="L179" i="34"/>
  <c r="L178" i="34"/>
  <c r="R178" i="34" s="1"/>
  <c r="L177" i="34"/>
  <c r="R177" i="34" s="1"/>
  <c r="L176" i="34"/>
  <c r="R176" i="34" s="1"/>
  <c r="R175" i="34"/>
  <c r="L175" i="34"/>
  <c r="L174" i="34"/>
  <c r="R174" i="34" s="1"/>
  <c r="L173" i="34"/>
  <c r="R173" i="34" s="1"/>
  <c r="L172" i="34"/>
  <c r="R172" i="34" s="1"/>
  <c r="R171" i="34"/>
  <c r="L171" i="34"/>
  <c r="L170" i="34"/>
  <c r="R170" i="34" s="1"/>
  <c r="L169" i="34"/>
  <c r="R169" i="34" s="1"/>
  <c r="L168" i="34"/>
  <c r="R168" i="34" s="1"/>
  <c r="R167" i="34"/>
  <c r="L167" i="34"/>
  <c r="L166" i="34"/>
  <c r="R166" i="34" s="1"/>
  <c r="L165" i="34"/>
  <c r="R165" i="34" s="1"/>
  <c r="L164" i="34"/>
  <c r="R164" i="34" s="1"/>
  <c r="R163" i="34"/>
  <c r="L163" i="34"/>
  <c r="L162" i="34"/>
  <c r="R162" i="34" s="1"/>
  <c r="L161" i="34"/>
  <c r="R161" i="34" s="1"/>
  <c r="L160" i="34"/>
  <c r="R160" i="34" s="1"/>
  <c r="R159" i="34"/>
  <c r="L159" i="34"/>
  <c r="L158" i="34"/>
  <c r="R158" i="34" s="1"/>
  <c r="R147" i="34"/>
  <c r="A145" i="34"/>
  <c r="A144" i="34"/>
  <c r="A143" i="34"/>
  <c r="A142" i="34"/>
  <c r="A141" i="34"/>
  <c r="A140" i="34"/>
  <c r="A139" i="34"/>
  <c r="F133" i="34"/>
  <c r="L132" i="34"/>
  <c r="R132" i="34" s="1"/>
  <c r="L131" i="34"/>
  <c r="R131" i="34" s="1"/>
  <c r="L130" i="34"/>
  <c r="R130" i="34" s="1"/>
  <c r="R129" i="34"/>
  <c r="L129" i="34"/>
  <c r="L128" i="34"/>
  <c r="R128" i="34" s="1"/>
  <c r="L127" i="34"/>
  <c r="R127" i="34" s="1"/>
  <c r="L126" i="34"/>
  <c r="R126" i="34" s="1"/>
  <c r="R125" i="34"/>
  <c r="L125" i="34"/>
  <c r="L124" i="34"/>
  <c r="R124" i="34" s="1"/>
  <c r="L123" i="34"/>
  <c r="R123" i="34" s="1"/>
  <c r="L122" i="34"/>
  <c r="L133" i="34" s="1"/>
  <c r="R121" i="34"/>
  <c r="L121" i="34"/>
  <c r="L120" i="34"/>
  <c r="R120" i="34" s="1"/>
  <c r="F117" i="34"/>
  <c r="R116" i="34"/>
  <c r="L116" i="34"/>
  <c r="R115" i="34"/>
  <c r="L115" i="34"/>
  <c r="L114" i="34"/>
  <c r="R114" i="34" s="1"/>
  <c r="L113" i="34"/>
  <c r="R113" i="34" s="1"/>
  <c r="R112" i="34"/>
  <c r="L112" i="34"/>
  <c r="R111" i="34"/>
  <c r="L111" i="34"/>
  <c r="L110" i="34"/>
  <c r="R110" i="34" s="1"/>
  <c r="L109" i="34"/>
  <c r="R109" i="34" s="1"/>
  <c r="R77" i="34"/>
  <c r="A75" i="34"/>
  <c r="A74" i="34"/>
  <c r="A73" i="34"/>
  <c r="A72" i="34"/>
  <c r="A71" i="34"/>
  <c r="A70" i="34"/>
  <c r="A69" i="34"/>
  <c r="F51" i="34"/>
  <c r="L50" i="34"/>
  <c r="R50" i="34" s="1"/>
  <c r="H50" i="34"/>
  <c r="L49" i="34"/>
  <c r="R49" i="34" s="1"/>
  <c r="H49" i="34"/>
  <c r="L48" i="34"/>
  <c r="R48" i="34" s="1"/>
  <c r="H48" i="34"/>
  <c r="L47" i="34"/>
  <c r="R47" i="34" s="1"/>
  <c r="H47" i="34"/>
  <c r="L46" i="34"/>
  <c r="R46" i="34" s="1"/>
  <c r="H46" i="34"/>
  <c r="L45" i="34"/>
  <c r="R45" i="34" s="1"/>
  <c r="L44" i="34"/>
  <c r="R44" i="34" s="1"/>
  <c r="L43" i="34"/>
  <c r="R43" i="34" s="1"/>
  <c r="H43" i="34"/>
  <c r="L42" i="34"/>
  <c r="R42" i="34" s="1"/>
  <c r="H42" i="34"/>
  <c r="L41" i="34"/>
  <c r="R41" i="34" s="1"/>
  <c r="H41" i="34"/>
  <c r="H40" i="34"/>
  <c r="H39" i="34"/>
  <c r="H38" i="34"/>
  <c r="H35" i="34"/>
  <c r="H34" i="34"/>
  <c r="H33" i="34"/>
  <c r="H32" i="34"/>
  <c r="H31" i="34"/>
  <c r="H28" i="34"/>
  <c r="H27" i="34"/>
  <c r="H26" i="34"/>
  <c r="H25" i="34"/>
  <c r="H24" i="34"/>
  <c r="H23" i="34"/>
  <c r="H22" i="34"/>
  <c r="H21" i="34"/>
  <c r="H20" i="34"/>
  <c r="R9" i="34"/>
  <c r="A7" i="34"/>
  <c r="A6" i="34"/>
  <c r="A5" i="34"/>
  <c r="A4" i="34"/>
  <c r="A3" i="34"/>
  <c r="A2" i="34"/>
  <c r="A1" i="34"/>
  <c r="H51" i="34" l="1"/>
  <c r="R194" i="34"/>
  <c r="H53" i="34"/>
  <c r="H202" i="34"/>
  <c r="R133" i="34"/>
  <c r="R184" i="34"/>
  <c r="L184" i="34"/>
  <c r="L194" i="34"/>
  <c r="R122" i="34"/>
  <c r="AC107" i="14"/>
  <c r="J199" i="34"/>
  <c r="J198" i="34"/>
  <c r="AC108" i="14" l="1"/>
  <c r="AC94" i="14"/>
  <c r="P202" i="34"/>
  <c r="A206" i="34"/>
  <c r="A67" i="34"/>
  <c r="A137" i="34"/>
  <c r="A205" i="34"/>
  <c r="A66" i="34"/>
  <c r="A136" i="34"/>
  <c r="L199" i="34"/>
  <c r="P198" i="34"/>
  <c r="R198" i="34" s="1"/>
  <c r="T66" i="33"/>
  <c r="T67" i="33"/>
  <c r="T69" i="33"/>
  <c r="T70" i="33"/>
  <c r="T71" i="33"/>
  <c r="T73" i="33"/>
  <c r="T74" i="33"/>
  <c r="T75" i="33"/>
  <c r="T76" i="33"/>
  <c r="T77" i="33"/>
  <c r="T64" i="31"/>
  <c r="T65" i="31"/>
  <c r="T67" i="31"/>
  <c r="T68" i="31"/>
  <c r="T69" i="31"/>
  <c r="T71" i="31"/>
  <c r="T72" i="31"/>
  <c r="T73" i="31"/>
  <c r="T74" i="31"/>
  <c r="T75" i="31"/>
  <c r="T65" i="29"/>
  <c r="T67" i="29"/>
  <c r="T68" i="29"/>
  <c r="T69" i="29"/>
  <c r="T71" i="29"/>
  <c r="T72" i="29"/>
  <c r="T73" i="29"/>
  <c r="T74" i="29"/>
  <c r="T75" i="29"/>
  <c r="T77" i="29"/>
  <c r="T78" i="29"/>
  <c r="T79" i="29"/>
  <c r="T80" i="29"/>
  <c r="T82" i="29"/>
  <c r="T64" i="29"/>
  <c r="H29" i="29"/>
  <c r="T64" i="30"/>
  <c r="T65" i="30"/>
  <c r="T67" i="30"/>
  <c r="T68" i="30"/>
  <c r="T69" i="30"/>
  <c r="T71" i="30"/>
  <c r="T72" i="30"/>
  <c r="T73" i="30"/>
  <c r="T74" i="30"/>
  <c r="T75" i="30"/>
  <c r="T75" i="8"/>
  <c r="T76" i="8"/>
  <c r="T78" i="8"/>
  <c r="T79" i="8"/>
  <c r="T80" i="8"/>
  <c r="T81" i="8"/>
  <c r="T82" i="8"/>
  <c r="T84" i="8"/>
  <c r="T85" i="8"/>
  <c r="T86" i="8"/>
  <c r="T87" i="8"/>
  <c r="T89" i="8"/>
  <c r="T90" i="8"/>
  <c r="T91" i="8"/>
  <c r="T92" i="8"/>
  <c r="T93" i="8"/>
  <c r="T94" i="8"/>
  <c r="T95" i="8"/>
  <c r="T96" i="8"/>
  <c r="L200" i="34" l="1"/>
  <c r="R199" i="34"/>
  <c r="R200" i="34" s="1"/>
  <c r="B6" i="1"/>
  <c r="A9" i="34" l="1"/>
  <c r="A77" i="34"/>
  <c r="A147" i="34"/>
  <c r="C241" i="26"/>
  <c r="C130" i="26"/>
  <c r="A1" i="1" l="1"/>
  <c r="B1" i="2" s="1"/>
  <c r="F52" i="6" l="1"/>
  <c r="AK350" i="34"/>
  <c r="AI350" i="34"/>
  <c r="T349" i="34"/>
  <c r="T348" i="34"/>
  <c r="V346" i="34"/>
  <c r="Y345" i="34"/>
  <c r="AE345" i="34" s="1"/>
  <c r="V345" i="34"/>
  <c r="Y344" i="34"/>
  <c r="AE344" i="34" s="1"/>
  <c r="V344" i="34"/>
  <c r="Y343" i="34"/>
  <c r="AE343" i="34" s="1"/>
  <c r="V343" i="34"/>
  <c r="Y342" i="34"/>
  <c r="AE342" i="34" s="1"/>
  <c r="AO342" i="34" s="1"/>
  <c r="AQ342" i="34" s="1"/>
  <c r="V342" i="34"/>
  <c r="AE341" i="34"/>
  <c r="AO341" i="34" s="1"/>
  <c r="AQ341" i="34" s="1"/>
  <c r="Y341" i="34"/>
  <c r="V341" i="34"/>
  <c r="AE340" i="34"/>
  <c r="AO340" i="34" s="1"/>
  <c r="AQ340" i="34" s="1"/>
  <c r="Y340" i="34"/>
  <c r="V340" i="34"/>
  <c r="Y339" i="34"/>
  <c r="AE339" i="34" s="1"/>
  <c r="AO339" i="34" s="1"/>
  <c r="AQ339" i="34" s="1"/>
  <c r="V339" i="34"/>
  <c r="Y338" i="34"/>
  <c r="AE338" i="34" s="1"/>
  <c r="V338" i="34"/>
  <c r="AE337" i="34"/>
  <c r="Y337" i="34"/>
  <c r="V337" i="34"/>
  <c r="Y336" i="34"/>
  <c r="AE336" i="34" s="1"/>
  <c r="V336" i="34"/>
  <c r="Y335" i="34"/>
  <c r="AE335" i="34" s="1"/>
  <c r="V335" i="34"/>
  <c r="Y334" i="34"/>
  <c r="AE334" i="34" s="1"/>
  <c r="V334" i="34"/>
  <c r="Y333" i="34"/>
  <c r="AE333" i="34" s="1"/>
  <c r="V333" i="34"/>
  <c r="Y332" i="34"/>
  <c r="AE332" i="34" s="1"/>
  <c r="V332" i="34"/>
  <c r="Y331" i="34"/>
  <c r="AE331" i="34" s="1"/>
  <c r="AO331" i="34" s="1"/>
  <c r="AQ331" i="34" s="1"/>
  <c r="V331" i="34"/>
  <c r="Y330" i="34"/>
  <c r="AE330" i="34" s="1"/>
  <c r="V330" i="34"/>
  <c r="Y329" i="34"/>
  <c r="AE329" i="34" s="1"/>
  <c r="V329" i="34"/>
  <c r="Y328" i="34"/>
  <c r="AE328" i="34" s="1"/>
  <c r="V328" i="34"/>
  <c r="Y327" i="34"/>
  <c r="AE327" i="34" s="1"/>
  <c r="V327" i="34"/>
  <c r="Y326" i="34"/>
  <c r="AE326" i="34" s="1"/>
  <c r="AO326" i="34" s="1"/>
  <c r="AQ326" i="34" s="1"/>
  <c r="V326" i="34"/>
  <c r="Y325" i="34"/>
  <c r="AE325" i="34" s="1"/>
  <c r="AO325" i="34" s="1"/>
  <c r="AQ325" i="34" s="1"/>
  <c r="V325" i="34"/>
  <c r="Y324" i="34"/>
  <c r="AE324" i="34" s="1"/>
  <c r="V324" i="34"/>
  <c r="Y323" i="34"/>
  <c r="AE323" i="34" s="1"/>
  <c r="AO323" i="34" s="1"/>
  <c r="AQ323" i="34" s="1"/>
  <c r="V323" i="34"/>
  <c r="Y322" i="34"/>
  <c r="AE322" i="34" s="1"/>
  <c r="V322" i="34"/>
  <c r="Y321" i="34"/>
  <c r="AE321" i="34" s="1"/>
  <c r="V321" i="34"/>
  <c r="Y320" i="34"/>
  <c r="AE320" i="34" s="1"/>
  <c r="V320" i="34"/>
  <c r="Y319" i="34"/>
  <c r="AE319" i="34" s="1"/>
  <c r="V319" i="34"/>
  <c r="Y318" i="34"/>
  <c r="AE318" i="34" s="1"/>
  <c r="V318" i="34"/>
  <c r="AE317" i="34"/>
  <c r="AK317" i="34" s="1"/>
  <c r="Y317" i="34"/>
  <c r="V317" i="34"/>
  <c r="Y316" i="34"/>
  <c r="AE316" i="34" s="1"/>
  <c r="V316" i="34"/>
  <c r="Y315" i="34"/>
  <c r="AE315" i="34" s="1"/>
  <c r="AO315" i="34" s="1"/>
  <c r="AQ315" i="34" s="1"/>
  <c r="V315" i="34"/>
  <c r="Y314" i="34"/>
  <c r="AE314" i="34" s="1"/>
  <c r="V314" i="34"/>
  <c r="Y313" i="34"/>
  <c r="AE313" i="34" s="1"/>
  <c r="V313" i="34"/>
  <c r="Y312" i="34"/>
  <c r="AE312" i="34" s="1"/>
  <c r="V312" i="34"/>
  <c r="Y311" i="34"/>
  <c r="AE311" i="34" s="1"/>
  <c r="V311" i="34"/>
  <c r="AO310" i="34"/>
  <c r="AQ310" i="34" s="1"/>
  <c r="Y310" i="34"/>
  <c r="AE310" i="34" s="1"/>
  <c r="AK310" i="34" s="1"/>
  <c r="V310" i="34"/>
  <c r="Y309" i="34"/>
  <c r="AE309" i="34" s="1"/>
  <c r="V309" i="34"/>
  <c r="Y308" i="34"/>
  <c r="AE308" i="34" s="1"/>
  <c r="V308" i="34"/>
  <c r="Y307" i="34"/>
  <c r="AE307" i="34" s="1"/>
  <c r="AO307" i="34" s="1"/>
  <c r="AQ307" i="34" s="1"/>
  <c r="V307" i="34"/>
  <c r="Y306" i="34"/>
  <c r="AE306" i="34" s="1"/>
  <c r="V306" i="34"/>
  <c r="Y305" i="34"/>
  <c r="AE305" i="34" s="1"/>
  <c r="V305" i="34"/>
  <c r="Y304" i="34"/>
  <c r="AE304" i="34" s="1"/>
  <c r="V304" i="34"/>
  <c r="Y303" i="34"/>
  <c r="AE303" i="34" s="1"/>
  <c r="V303" i="34"/>
  <c r="Y302" i="34"/>
  <c r="AE302" i="34" s="1"/>
  <c r="AK302" i="34" s="1"/>
  <c r="V302" i="34"/>
  <c r="Y301" i="34"/>
  <c r="AE301" i="34" s="1"/>
  <c r="AO301" i="34" s="1"/>
  <c r="AQ301" i="34" s="1"/>
  <c r="V301" i="34"/>
  <c r="Y300" i="34"/>
  <c r="AE300" i="34" s="1"/>
  <c r="AO300" i="34" s="1"/>
  <c r="AQ300" i="34" s="1"/>
  <c r="V300" i="34"/>
  <c r="AE299" i="34"/>
  <c r="Y299" i="34"/>
  <c r="V299" i="34"/>
  <c r="AO288" i="34"/>
  <c r="T288" i="34"/>
  <c r="T286" i="34"/>
  <c r="T285" i="34"/>
  <c r="T284" i="34"/>
  <c r="T283" i="34"/>
  <c r="T282" i="34"/>
  <c r="T281" i="34"/>
  <c r="T280" i="34"/>
  <c r="AM272" i="34"/>
  <c r="AG272" i="34"/>
  <c r="Y271" i="34"/>
  <c r="AE271" i="34" s="1"/>
  <c r="AO271" i="34" s="1"/>
  <c r="AQ271" i="34" s="1"/>
  <c r="V271" i="34"/>
  <c r="AN270" i="34"/>
  <c r="Y270" i="34"/>
  <c r="AE270" i="34" s="1"/>
  <c r="AK270" i="34" s="1"/>
  <c r="V270" i="34"/>
  <c r="Y269" i="34"/>
  <c r="AE269" i="34" s="1"/>
  <c r="AO269" i="34" s="1"/>
  <c r="AQ269" i="34" s="1"/>
  <c r="V269" i="34"/>
  <c r="Y268" i="34"/>
  <c r="AE268" i="34" s="1"/>
  <c r="AO268" i="34" s="1"/>
  <c r="AQ268" i="34" s="1"/>
  <c r="V268" i="34"/>
  <c r="Y267" i="34"/>
  <c r="AE267" i="34" s="1"/>
  <c r="AO267" i="34" s="1"/>
  <c r="AQ267" i="34" s="1"/>
  <c r="V267" i="34"/>
  <c r="Y266" i="34"/>
  <c r="AE266" i="34" s="1"/>
  <c r="AO266" i="34" s="1"/>
  <c r="AQ266" i="34" s="1"/>
  <c r="V266" i="34"/>
  <c r="Y265" i="34"/>
  <c r="AE265" i="34" s="1"/>
  <c r="AO265" i="34" s="1"/>
  <c r="AQ265" i="34" s="1"/>
  <c r="V265" i="34"/>
  <c r="Y264" i="34"/>
  <c r="AE264" i="34" s="1"/>
  <c r="AK264" i="34" s="1"/>
  <c r="V264" i="34"/>
  <c r="Y263" i="34"/>
  <c r="AE263" i="34" s="1"/>
  <c r="AO263" i="34" s="1"/>
  <c r="AQ263" i="34" s="1"/>
  <c r="V263" i="34"/>
  <c r="AO262" i="34"/>
  <c r="AQ262" i="34" s="1"/>
  <c r="Y262" i="34"/>
  <c r="AE262" i="34" s="1"/>
  <c r="AK262" i="34" s="1"/>
  <c r="V262" i="34"/>
  <c r="Y261" i="34"/>
  <c r="AE261" i="34" s="1"/>
  <c r="AO261" i="34" s="1"/>
  <c r="AQ261" i="34" s="1"/>
  <c r="V261" i="34"/>
  <c r="Y260" i="34"/>
  <c r="AE260" i="34" s="1"/>
  <c r="AO260" i="34" s="1"/>
  <c r="AQ260" i="34" s="1"/>
  <c r="V260" i="34"/>
  <c r="Y259" i="34"/>
  <c r="AE259" i="34" s="1"/>
  <c r="AO259" i="34" s="1"/>
  <c r="AQ259" i="34" s="1"/>
  <c r="V259" i="34"/>
  <c r="Y258" i="34"/>
  <c r="AE258" i="34" s="1"/>
  <c r="AO258" i="34" s="1"/>
  <c r="AQ258" i="34" s="1"/>
  <c r="V258" i="34"/>
  <c r="Y257" i="34"/>
  <c r="AE257" i="34" s="1"/>
  <c r="AO257" i="34" s="1"/>
  <c r="AQ257" i="34" s="1"/>
  <c r="V257" i="34"/>
  <c r="Y256" i="34"/>
  <c r="AE256" i="34" s="1"/>
  <c r="AK256" i="34" s="1"/>
  <c r="V256" i="34"/>
  <c r="Y255" i="34"/>
  <c r="AE255" i="34" s="1"/>
  <c r="V255" i="34"/>
  <c r="AK254" i="34"/>
  <c r="Y254" i="34"/>
  <c r="AE254" i="34" s="1"/>
  <c r="AO254" i="34" s="1"/>
  <c r="AQ254" i="34" s="1"/>
  <c r="V254" i="34"/>
  <c r="Y253" i="34"/>
  <c r="AE253" i="34" s="1"/>
  <c r="AK253" i="34" s="1"/>
  <c r="V253" i="34"/>
  <c r="Y252" i="34"/>
  <c r="AE252" i="34" s="1"/>
  <c r="AO252" i="34" s="1"/>
  <c r="AQ252" i="34" s="1"/>
  <c r="V252" i="34"/>
  <c r="Y251" i="34"/>
  <c r="AE251" i="34" s="1"/>
  <c r="AO251" i="34" s="1"/>
  <c r="AQ251" i="34" s="1"/>
  <c r="V251" i="34"/>
  <c r="Y250" i="34"/>
  <c r="AE250" i="34" s="1"/>
  <c r="AO250" i="34" s="1"/>
  <c r="AQ250" i="34" s="1"/>
  <c r="V250" i="34"/>
  <c r="Y249" i="34"/>
  <c r="AE249" i="34" s="1"/>
  <c r="AO249" i="34" s="1"/>
  <c r="AQ249" i="34" s="1"/>
  <c r="V249" i="34"/>
  <c r="Y248" i="34"/>
  <c r="AE248" i="34" s="1"/>
  <c r="AK248" i="34" s="1"/>
  <c r="V248" i="34"/>
  <c r="Y247" i="34"/>
  <c r="AE247" i="34" s="1"/>
  <c r="V247" i="34"/>
  <c r="Y246" i="34"/>
  <c r="AE246" i="34" s="1"/>
  <c r="AO246" i="34" s="1"/>
  <c r="AQ246" i="34" s="1"/>
  <c r="V246" i="34"/>
  <c r="Y245" i="34"/>
  <c r="AE245" i="34" s="1"/>
  <c r="AO245" i="34" s="1"/>
  <c r="AQ245" i="34" s="1"/>
  <c r="V245" i="34"/>
  <c r="Y244" i="34"/>
  <c r="AE244" i="34" s="1"/>
  <c r="AO244" i="34" s="1"/>
  <c r="AQ244" i="34" s="1"/>
  <c r="V244" i="34"/>
  <c r="Y243" i="34"/>
  <c r="AE243" i="34" s="1"/>
  <c r="AO243" i="34" s="1"/>
  <c r="AQ243" i="34" s="1"/>
  <c r="V243" i="34"/>
  <c r="AO242" i="34"/>
  <c r="AQ242" i="34" s="1"/>
  <c r="AK242" i="34"/>
  <c r="Y242" i="34"/>
  <c r="AE242" i="34" s="1"/>
  <c r="V242" i="34"/>
  <c r="Y241" i="34"/>
  <c r="AE241" i="34" s="1"/>
  <c r="AO241" i="34" s="1"/>
  <c r="AQ241" i="34" s="1"/>
  <c r="V241" i="34"/>
  <c r="Y240" i="34"/>
  <c r="AE240" i="34" s="1"/>
  <c r="AK240" i="34" s="1"/>
  <c r="V240" i="34"/>
  <c r="Y239" i="34"/>
  <c r="AE239" i="34" s="1"/>
  <c r="V239" i="34"/>
  <c r="Y238" i="34"/>
  <c r="AE238" i="34" s="1"/>
  <c r="AO238" i="34" s="1"/>
  <c r="AQ238" i="34" s="1"/>
  <c r="V238" i="34"/>
  <c r="Y237" i="34"/>
  <c r="AE237" i="34" s="1"/>
  <c r="AO237" i="34" s="1"/>
  <c r="AQ237" i="34" s="1"/>
  <c r="V237" i="34"/>
  <c r="Y236" i="34"/>
  <c r="AE236" i="34" s="1"/>
  <c r="AO236" i="34" s="1"/>
  <c r="AQ236" i="34" s="1"/>
  <c r="V236" i="34"/>
  <c r="Y235" i="34"/>
  <c r="AE235" i="34" s="1"/>
  <c r="AO235" i="34" s="1"/>
  <c r="AQ235" i="34" s="1"/>
  <c r="V235" i="34"/>
  <c r="Y234" i="34"/>
  <c r="AE234" i="34" s="1"/>
  <c r="AO234" i="34" s="1"/>
  <c r="AQ234" i="34" s="1"/>
  <c r="V234" i="34"/>
  <c r="Y233" i="34"/>
  <c r="AE233" i="34" s="1"/>
  <c r="V233" i="34"/>
  <c r="V232" i="34"/>
  <c r="AO222" i="34"/>
  <c r="T222" i="34"/>
  <c r="T220" i="34"/>
  <c r="T219" i="34"/>
  <c r="T218" i="34"/>
  <c r="T217" i="34"/>
  <c r="T216" i="34"/>
  <c r="T215" i="34"/>
  <c r="T214" i="34"/>
  <c r="V351" i="34"/>
  <c r="V350" i="34"/>
  <c r="V349" i="34"/>
  <c r="AA271" i="34"/>
  <c r="AA270" i="34"/>
  <c r="AA269" i="34"/>
  <c r="AA268" i="34"/>
  <c r="AA267" i="34"/>
  <c r="AA266" i="34"/>
  <c r="AA265" i="34"/>
  <c r="AA264" i="34"/>
  <c r="AA263" i="34"/>
  <c r="AA262" i="34"/>
  <c r="AA261" i="34"/>
  <c r="AA260" i="34"/>
  <c r="AA259" i="34"/>
  <c r="AA258" i="34"/>
  <c r="AA257" i="34"/>
  <c r="AA256" i="34"/>
  <c r="AA255" i="34"/>
  <c r="AA254" i="34"/>
  <c r="AA253" i="34"/>
  <c r="AA252" i="34"/>
  <c r="AA251" i="34"/>
  <c r="AA250" i="34"/>
  <c r="AA249" i="34"/>
  <c r="AA248" i="34"/>
  <c r="AA247" i="34"/>
  <c r="AA246" i="34"/>
  <c r="AA245" i="34"/>
  <c r="AA244" i="34"/>
  <c r="AA243" i="34"/>
  <c r="AA242" i="34"/>
  <c r="AA241" i="34"/>
  <c r="AA240" i="34"/>
  <c r="AA239" i="34"/>
  <c r="AA238" i="34"/>
  <c r="AA237" i="34"/>
  <c r="AA236" i="34"/>
  <c r="AA235" i="34"/>
  <c r="AA234" i="34"/>
  <c r="AA233" i="34"/>
  <c r="AC405" i="19"/>
  <c r="AC404" i="19"/>
  <c r="AC403" i="19"/>
  <c r="AC356" i="19"/>
  <c r="AK333" i="34" l="1"/>
  <c r="AO333" i="34"/>
  <c r="AQ333" i="34" s="1"/>
  <c r="AO253" i="34"/>
  <c r="AQ253" i="34" s="1"/>
  <c r="AO270" i="34"/>
  <c r="AQ270" i="34" s="1"/>
  <c r="AK243" i="34"/>
  <c r="AO317" i="34"/>
  <c r="AQ317" i="34" s="1"/>
  <c r="AK340" i="34"/>
  <c r="AK258" i="34"/>
  <c r="AK269" i="34"/>
  <c r="AK238" i="34"/>
  <c r="AO324" i="34"/>
  <c r="AQ324" i="34" s="1"/>
  <c r="AK324" i="34"/>
  <c r="AO309" i="34"/>
  <c r="AQ309" i="34" s="1"/>
  <c r="AK309" i="34"/>
  <c r="AO334" i="34"/>
  <c r="AQ334" i="34" s="1"/>
  <c r="AK334" i="34"/>
  <c r="AO308" i="34"/>
  <c r="AQ308" i="34" s="1"/>
  <c r="AK308" i="34"/>
  <c r="AO318" i="34"/>
  <c r="AQ318" i="34" s="1"/>
  <c r="AK318" i="34"/>
  <c r="AO332" i="34"/>
  <c r="AQ332" i="34" s="1"/>
  <c r="AK332" i="34"/>
  <c r="AO316" i="34"/>
  <c r="AQ316" i="34" s="1"/>
  <c r="AK316" i="34"/>
  <c r="AK235" i="34"/>
  <c r="AK246" i="34"/>
  <c r="AK266" i="34"/>
  <c r="AK300" i="34"/>
  <c r="AK326" i="34"/>
  <c r="AK342" i="34"/>
  <c r="AK250" i="34"/>
  <c r="AK261" i="34"/>
  <c r="AK325" i="34"/>
  <c r="AK341" i="34"/>
  <c r="AK234" i="34"/>
  <c r="AK245" i="34"/>
  <c r="AK267" i="34"/>
  <c r="AK271" i="34"/>
  <c r="AK237" i="34"/>
  <c r="AK259" i="34"/>
  <c r="AK251" i="34"/>
  <c r="AO302" i="34"/>
  <c r="AQ302" i="34" s="1"/>
  <c r="AO313" i="34"/>
  <c r="AQ313" i="34" s="1"/>
  <c r="AK313" i="34"/>
  <c r="AO239" i="34"/>
  <c r="AQ239" i="34" s="1"/>
  <c r="AK239" i="34"/>
  <c r="AO247" i="34"/>
  <c r="AQ247" i="34" s="1"/>
  <c r="AK247" i="34"/>
  <c r="AO255" i="34"/>
  <c r="AQ255" i="34" s="1"/>
  <c r="AK255" i="34"/>
  <c r="AK306" i="34"/>
  <c r="AO306" i="34"/>
  <c r="AQ306" i="34" s="1"/>
  <c r="AA272" i="34"/>
  <c r="AO240" i="34"/>
  <c r="AQ240" i="34" s="1"/>
  <c r="AO248" i="34"/>
  <c r="AQ248" i="34" s="1"/>
  <c r="AO256" i="34"/>
  <c r="AQ256" i="34" s="1"/>
  <c r="AO264" i="34"/>
  <c r="AQ264" i="34" s="1"/>
  <c r="Y272" i="34"/>
  <c r="AO299" i="34"/>
  <c r="AE346" i="34"/>
  <c r="AK346" i="34" s="1"/>
  <c r="AK263" i="34"/>
  <c r="AK299" i="34"/>
  <c r="AK307" i="34"/>
  <c r="AO320" i="34"/>
  <c r="AQ320" i="34" s="1"/>
  <c r="AK320" i="34"/>
  <c r="AO328" i="34"/>
  <c r="AQ328" i="34" s="1"/>
  <c r="AK328" i="34"/>
  <c r="AO336" i="34"/>
  <c r="AQ336" i="34" s="1"/>
  <c r="AK336" i="34"/>
  <c r="AO344" i="34"/>
  <c r="AQ344" i="34" s="1"/>
  <c r="AK344" i="34"/>
  <c r="AO305" i="34"/>
  <c r="AQ305" i="34" s="1"/>
  <c r="AK305" i="34"/>
  <c r="AE272" i="34"/>
  <c r="AK272" i="34" s="1"/>
  <c r="AK236" i="34"/>
  <c r="AK244" i="34"/>
  <c r="AK252" i="34"/>
  <c r="AK260" i="34"/>
  <c r="AK268" i="34"/>
  <c r="AK301" i="34"/>
  <c r="AO303" i="34"/>
  <c r="AQ303" i="34" s="1"/>
  <c r="AK303" i="34"/>
  <c r="AK315" i="34"/>
  <c r="AK233" i="34"/>
  <c r="AK241" i="34"/>
  <c r="AK249" i="34"/>
  <c r="AK257" i="34"/>
  <c r="AK265" i="34"/>
  <c r="AO311" i="34"/>
  <c r="AQ311" i="34" s="1"/>
  <c r="AK311" i="34"/>
  <c r="AK323" i="34"/>
  <c r="AK331" i="34"/>
  <c r="AK339" i="34"/>
  <c r="AO233" i="34"/>
  <c r="AK314" i="34"/>
  <c r="AO314" i="34"/>
  <c r="AQ314" i="34" s="1"/>
  <c r="AO321" i="34"/>
  <c r="AQ321" i="34" s="1"/>
  <c r="AK321" i="34"/>
  <c r="AO329" i="34"/>
  <c r="AQ329" i="34" s="1"/>
  <c r="AK329" i="34"/>
  <c r="AO337" i="34"/>
  <c r="AQ337" i="34" s="1"/>
  <c r="AK337" i="34"/>
  <c r="AO345" i="34"/>
  <c r="AQ345" i="34" s="1"/>
  <c r="AK345" i="34"/>
  <c r="AO304" i="34"/>
  <c r="AQ304" i="34" s="1"/>
  <c r="AK304" i="34"/>
  <c r="AO312" i="34"/>
  <c r="AQ312" i="34" s="1"/>
  <c r="AK312" i="34"/>
  <c r="AO319" i="34"/>
  <c r="AQ319" i="34" s="1"/>
  <c r="AK319" i="34"/>
  <c r="AK322" i="34"/>
  <c r="AO322" i="34"/>
  <c r="AQ322" i="34" s="1"/>
  <c r="AO327" i="34"/>
  <c r="AQ327" i="34" s="1"/>
  <c r="AK327" i="34"/>
  <c r="AK330" i="34"/>
  <c r="AO330" i="34"/>
  <c r="AQ330" i="34" s="1"/>
  <c r="AO335" i="34"/>
  <c r="AQ335" i="34" s="1"/>
  <c r="AK335" i="34"/>
  <c r="AK338" i="34"/>
  <c r="AO338" i="34"/>
  <c r="AQ338" i="34" s="1"/>
  <c r="AO343" i="34"/>
  <c r="AQ343" i="34" s="1"/>
  <c r="AK343" i="34"/>
  <c r="Y346" i="34"/>
  <c r="Y354" i="34" l="1"/>
  <c r="AQ233" i="34"/>
  <c r="AO272" i="34"/>
  <c r="H52" i="6"/>
  <c r="AA354" i="34"/>
  <c r="AA274" i="34"/>
  <c r="AE274" i="34" s="1"/>
  <c r="AO346" i="34"/>
  <c r="AQ346" i="34" s="1"/>
  <c r="AQ299" i="34"/>
  <c r="AC349" i="34"/>
  <c r="H39" i="4" l="1"/>
  <c r="L39" i="4" s="1"/>
  <c r="H52" i="5"/>
  <c r="J52" i="5" s="1"/>
  <c r="F39" i="4"/>
  <c r="F52" i="5"/>
  <c r="AK274" i="34"/>
  <c r="AO274" i="34"/>
  <c r="AQ274" i="34" s="1"/>
  <c r="AQ272" i="34"/>
  <c r="AC104" i="25"/>
  <c r="AC421" i="19"/>
  <c r="AC96" i="12"/>
  <c r="AC141" i="24"/>
  <c r="AC81" i="33"/>
  <c r="AC86" i="11"/>
  <c r="AC91" i="22"/>
  <c r="AC79" i="31"/>
  <c r="AC124" i="10"/>
  <c r="AC100" i="8"/>
  <c r="AC59" i="28"/>
  <c r="AC79" i="30"/>
  <c r="AC128" i="9"/>
  <c r="AC115" i="14"/>
  <c r="AC93" i="13"/>
  <c r="AC94" i="20"/>
  <c r="AC115" i="12"/>
  <c r="L63" i="5"/>
  <c r="AC351" i="34" l="1"/>
  <c r="AE351" i="34" s="1"/>
  <c r="AO351" i="34" s="1"/>
  <c r="AQ351" i="34" s="1"/>
  <c r="C83" i="26"/>
  <c r="C239" i="26"/>
  <c r="C32" i="26"/>
  <c r="C178" i="26"/>
  <c r="C128" i="26"/>
  <c r="AK351" i="34"/>
  <c r="L57" i="5"/>
  <c r="F39" i="25" l="1"/>
  <c r="F36" i="25"/>
  <c r="F35" i="25"/>
  <c r="F33" i="25"/>
  <c r="F30" i="25"/>
  <c r="F28" i="25"/>
  <c r="F24" i="25"/>
  <c r="F23" i="25"/>
  <c r="F49" i="19" l="1"/>
  <c r="F56" i="19"/>
  <c r="F27" i="19"/>
  <c r="T358" i="34" l="1"/>
  <c r="T278" i="34"/>
  <c r="AC350" i="34"/>
  <c r="AM350" i="34" s="1"/>
  <c r="AO350" i="34" s="1"/>
  <c r="AQ350" i="34" s="1"/>
  <c r="P52" i="6"/>
  <c r="AM354" i="34"/>
  <c r="P39" i="4" l="1"/>
  <c r="T52" i="5"/>
  <c r="C240" i="26" l="1"/>
  <c r="C179" i="26"/>
  <c r="C84" i="26"/>
  <c r="C129" i="26"/>
  <c r="C33" i="26"/>
  <c r="T357" i="34"/>
  <c r="T277" i="34"/>
  <c r="AE349" i="34"/>
  <c r="AC278" i="19"/>
  <c r="AC277" i="19"/>
  <c r="AC275" i="19"/>
  <c r="AC263" i="19"/>
  <c r="AC254" i="19"/>
  <c r="AC251" i="19"/>
  <c r="AC250" i="19"/>
  <c r="AC248" i="19"/>
  <c r="AC246" i="19"/>
  <c r="AC245" i="19"/>
  <c r="AC244" i="19"/>
  <c r="AC243" i="19"/>
  <c r="V418" i="19"/>
  <c r="V417" i="19"/>
  <c r="V416" i="19"/>
  <c r="V415" i="19"/>
  <c r="V414" i="19"/>
  <c r="V413" i="19"/>
  <c r="V412" i="19"/>
  <c r="V411" i="19"/>
  <c r="V410" i="19"/>
  <c r="V409" i="19"/>
  <c r="V408" i="19"/>
  <c r="V407" i="19"/>
  <c r="V406" i="19"/>
  <c r="V405" i="19"/>
  <c r="V404" i="19"/>
  <c r="V403" i="19"/>
  <c r="V402" i="19"/>
  <c r="V401" i="19"/>
  <c r="V400" i="19"/>
  <c r="V399" i="19"/>
  <c r="V396" i="19"/>
  <c r="V395" i="19"/>
  <c r="V394" i="19"/>
  <c r="V393" i="19"/>
  <c r="V392" i="19"/>
  <c r="V391" i="19"/>
  <c r="V390" i="19"/>
  <c r="V389" i="19"/>
  <c r="V388" i="19"/>
  <c r="V359" i="19"/>
  <c r="V358" i="19"/>
  <c r="V357" i="19"/>
  <c r="V356" i="19"/>
  <c r="V355" i="19"/>
  <c r="V354" i="19"/>
  <c r="V353" i="19"/>
  <c r="V352" i="19"/>
  <c r="V351" i="19"/>
  <c r="V349" i="19"/>
  <c r="V348" i="19"/>
  <c r="V347" i="19"/>
  <c r="V346" i="19"/>
  <c r="V345" i="19"/>
  <c r="V344" i="19"/>
  <c r="V343" i="19"/>
  <c r="V342" i="19"/>
  <c r="V341" i="19"/>
  <c r="V340" i="19"/>
  <c r="V339" i="19"/>
  <c r="V338" i="19"/>
  <c r="V337" i="19"/>
  <c r="V336" i="19"/>
  <c r="V335" i="19"/>
  <c r="V334" i="19"/>
  <c r="V333" i="19"/>
  <c r="V331" i="19"/>
  <c r="V330" i="19"/>
  <c r="V329" i="19"/>
  <c r="V327" i="19"/>
  <c r="V326" i="19"/>
  <c r="V325" i="19"/>
  <c r="V324" i="19"/>
  <c r="V323" i="19"/>
  <c r="V322" i="19"/>
  <c r="V321" i="19"/>
  <c r="V320" i="19"/>
  <c r="V319" i="19"/>
  <c r="V318" i="19"/>
  <c r="V313" i="19"/>
  <c r="V312" i="19"/>
  <c r="V311" i="19"/>
  <c r="V310" i="19"/>
  <c r="V309" i="19"/>
  <c r="V308" i="19"/>
  <c r="V307" i="19"/>
  <c r="V278" i="19"/>
  <c r="V277" i="19"/>
  <c r="V276" i="19"/>
  <c r="V275" i="19"/>
  <c r="V274" i="19"/>
  <c r="V273" i="19"/>
  <c r="V272" i="19"/>
  <c r="V271" i="19"/>
  <c r="V270" i="19"/>
  <c r="V269" i="19"/>
  <c r="V268" i="19"/>
  <c r="V267" i="19"/>
  <c r="V266" i="19"/>
  <c r="V265" i="19"/>
  <c r="V264" i="19"/>
  <c r="V263" i="19"/>
  <c r="V262" i="19"/>
  <c r="V261" i="19"/>
  <c r="V259" i="19"/>
  <c r="V258" i="19"/>
  <c r="V257" i="19"/>
  <c r="V256" i="19"/>
  <c r="V255" i="19"/>
  <c r="V254" i="19"/>
  <c r="V253" i="19"/>
  <c r="V251" i="19"/>
  <c r="V250" i="19"/>
  <c r="V249" i="19"/>
  <c r="V248" i="19"/>
  <c r="V247" i="19"/>
  <c r="V246" i="19"/>
  <c r="V245" i="19"/>
  <c r="V244" i="19"/>
  <c r="V243" i="19"/>
  <c r="V242" i="19"/>
  <c r="V241" i="19"/>
  <c r="AO349" i="34" l="1"/>
  <c r="AK349" i="34"/>
  <c r="AE352" i="34"/>
  <c r="BB248" i="19"/>
  <c r="AE354" i="34" l="1"/>
  <c r="AK352" i="34"/>
  <c r="AI349" i="34"/>
  <c r="AQ349" i="34"/>
  <c r="AO352" i="34"/>
  <c r="AQ352" i="34" l="1"/>
  <c r="AO354" i="34"/>
  <c r="AK354" i="34"/>
  <c r="L52" i="5"/>
  <c r="J39" i="4"/>
  <c r="AQ354" i="34" l="1"/>
  <c r="R39" i="4"/>
  <c r="V52" i="5"/>
  <c r="E52" i="3"/>
  <c r="K52" i="3" s="1"/>
  <c r="AC73" i="30"/>
  <c r="J32" i="12" l="1"/>
  <c r="L112" i="19" l="1"/>
  <c r="J53" i="12" l="1"/>
  <c r="AC125" i="10" l="1"/>
  <c r="J57" i="10"/>
  <c r="C36" i="30" l="1"/>
  <c r="C34" i="30"/>
  <c r="C35" i="30"/>
  <c r="H64" i="24" l="1"/>
  <c r="T120" i="14" l="1"/>
  <c r="T118" i="14"/>
  <c r="T117" i="14"/>
  <c r="T116" i="14"/>
  <c r="T115" i="14"/>
  <c r="T114" i="14"/>
  <c r="T113" i="14"/>
  <c r="T111" i="14"/>
  <c r="T110" i="14"/>
  <c r="T109" i="14"/>
  <c r="T108" i="14"/>
  <c r="T107" i="14"/>
  <c r="T106" i="14"/>
  <c r="T104" i="14"/>
  <c r="T103" i="14"/>
  <c r="T102" i="14"/>
  <c r="T101" i="14"/>
  <c r="T99" i="14"/>
  <c r="T98" i="14"/>
  <c r="T96" i="14"/>
  <c r="T95" i="14"/>
  <c r="T94" i="14"/>
  <c r="T93" i="14"/>
  <c r="T92" i="14"/>
  <c r="T90" i="14"/>
  <c r="T89" i="14"/>
  <c r="T88" i="14"/>
  <c r="T87" i="14"/>
  <c r="T85" i="14"/>
  <c r="T84" i="14"/>
  <c r="T83" i="14"/>
  <c r="C49" i="25" l="1"/>
  <c r="C48" i="25"/>
  <c r="C69" i="24"/>
  <c r="C68" i="24"/>
  <c r="C42" i="22"/>
  <c r="C41" i="22"/>
  <c r="C25" i="28"/>
  <c r="C24" i="28"/>
  <c r="C44" i="20"/>
  <c r="C43" i="20"/>
  <c r="C202" i="19"/>
  <c r="C201" i="19"/>
  <c r="C36" i="33"/>
  <c r="C35" i="33"/>
  <c r="C34" i="33"/>
  <c r="C36" i="31"/>
  <c r="C35" i="31"/>
  <c r="C34" i="31"/>
  <c r="C53" i="14"/>
  <c r="C52" i="14"/>
  <c r="C51" i="14"/>
  <c r="C50" i="14"/>
  <c r="C43" i="13"/>
  <c r="C42" i="13"/>
  <c r="C41" i="13"/>
  <c r="C40" i="13"/>
  <c r="C54" i="12"/>
  <c r="C53" i="12"/>
  <c r="C52" i="12"/>
  <c r="C51" i="12"/>
  <c r="C35" i="12"/>
  <c r="C34" i="12"/>
  <c r="C33" i="12"/>
  <c r="C32" i="12"/>
  <c r="C40" i="11"/>
  <c r="C39" i="11"/>
  <c r="C38" i="11"/>
  <c r="C37" i="11"/>
  <c r="C58" i="10"/>
  <c r="C57" i="10"/>
  <c r="C56" i="10"/>
  <c r="C55" i="10"/>
  <c r="C60" i="9"/>
  <c r="C59" i="9"/>
  <c r="C58" i="9"/>
  <c r="C57" i="9"/>
  <c r="C47" i="8"/>
  <c r="C46" i="8"/>
  <c r="C45" i="8"/>
  <c r="C44" i="8"/>
  <c r="C35" i="7"/>
  <c r="C34" i="7"/>
  <c r="C33" i="7"/>
  <c r="C32" i="7"/>
  <c r="C31" i="7"/>
  <c r="AC87" i="13" l="1"/>
  <c r="C126" i="26" l="1"/>
  <c r="C125" i="26"/>
  <c r="C237" i="26"/>
  <c r="C236" i="26"/>
  <c r="AC105" i="25" l="1"/>
  <c r="V104" i="25"/>
  <c r="V105" i="25"/>
  <c r="T108" i="25"/>
  <c r="T106" i="25"/>
  <c r="T105" i="25"/>
  <c r="T104" i="25"/>
  <c r="T103" i="25"/>
  <c r="AC142" i="24"/>
  <c r="V141" i="24"/>
  <c r="V142" i="24"/>
  <c r="T145" i="24"/>
  <c r="T143" i="24"/>
  <c r="T142" i="24"/>
  <c r="T141" i="24"/>
  <c r="T140" i="24"/>
  <c r="AC92" i="22"/>
  <c r="V91" i="22"/>
  <c r="V92" i="22"/>
  <c r="T95" i="22"/>
  <c r="T93" i="22"/>
  <c r="T92" i="22"/>
  <c r="T91" i="22"/>
  <c r="T90" i="22"/>
  <c r="AC60" i="28"/>
  <c r="V59" i="28"/>
  <c r="V60" i="28"/>
  <c r="T63" i="28"/>
  <c r="T61" i="28"/>
  <c r="T60" i="28"/>
  <c r="T59" i="28"/>
  <c r="T58" i="28"/>
  <c r="V94" i="20"/>
  <c r="V95" i="20"/>
  <c r="T98" i="20"/>
  <c r="T96" i="20"/>
  <c r="T95" i="20"/>
  <c r="T94" i="20"/>
  <c r="T93" i="20"/>
  <c r="V421" i="19"/>
  <c r="V422" i="19"/>
  <c r="T429" i="19"/>
  <c r="T428" i="19"/>
  <c r="T427" i="19"/>
  <c r="T426" i="19"/>
  <c r="T425" i="19"/>
  <c r="T423" i="19"/>
  <c r="T422" i="19"/>
  <c r="T421" i="19"/>
  <c r="T420" i="19"/>
  <c r="V82" i="33"/>
  <c r="V81" i="33"/>
  <c r="V80" i="33"/>
  <c r="T85" i="33"/>
  <c r="T83" i="33"/>
  <c r="T82" i="33"/>
  <c r="T81" i="33"/>
  <c r="T80" i="33"/>
  <c r="T79" i="33"/>
  <c r="AC80" i="31"/>
  <c r="AC78" i="31"/>
  <c r="V80" i="31"/>
  <c r="V79" i="31"/>
  <c r="V78" i="31"/>
  <c r="T83" i="31"/>
  <c r="T81" i="31"/>
  <c r="T80" i="31"/>
  <c r="T79" i="31"/>
  <c r="T78" i="31"/>
  <c r="T77" i="31"/>
  <c r="AC80" i="30"/>
  <c r="AC78" i="30"/>
  <c r="V80" i="30"/>
  <c r="V79" i="30"/>
  <c r="V78" i="30"/>
  <c r="T83" i="30"/>
  <c r="T81" i="30"/>
  <c r="T80" i="30"/>
  <c r="T79" i="30"/>
  <c r="T78" i="30"/>
  <c r="T77" i="30"/>
  <c r="Q34" i="30"/>
  <c r="AC117" i="14"/>
  <c r="AC116" i="14"/>
  <c r="AC114" i="14"/>
  <c r="V117" i="14"/>
  <c r="V116" i="14"/>
  <c r="V115" i="14"/>
  <c r="V114" i="14"/>
  <c r="AC95" i="13"/>
  <c r="AC94" i="13"/>
  <c r="AC92" i="13"/>
  <c r="V95" i="13"/>
  <c r="V94" i="13"/>
  <c r="V93" i="13"/>
  <c r="V92" i="13"/>
  <c r="T98" i="13"/>
  <c r="T96" i="13"/>
  <c r="T95" i="13"/>
  <c r="T94" i="13"/>
  <c r="T93" i="13"/>
  <c r="T92" i="13"/>
  <c r="T91" i="13"/>
  <c r="J42" i="13"/>
  <c r="AC117" i="12"/>
  <c r="AC116" i="12"/>
  <c r="AC114" i="12"/>
  <c r="AC98" i="12"/>
  <c r="AC97" i="12"/>
  <c r="AC95" i="12"/>
  <c r="T120" i="12"/>
  <c r="T118" i="12"/>
  <c r="T117" i="12"/>
  <c r="T116" i="12"/>
  <c r="T115" i="12"/>
  <c r="T114" i="12"/>
  <c r="T113" i="12"/>
  <c r="T111" i="12"/>
  <c r="T110" i="12"/>
  <c r="T109" i="12"/>
  <c r="T108" i="12"/>
  <c r="T106" i="12"/>
  <c r="T104" i="12"/>
  <c r="T101" i="12"/>
  <c r="T99" i="12"/>
  <c r="T98" i="12"/>
  <c r="T97" i="12"/>
  <c r="T96" i="12"/>
  <c r="T95" i="12"/>
  <c r="V117" i="12"/>
  <c r="V116" i="12"/>
  <c r="V115" i="12"/>
  <c r="V114" i="12"/>
  <c r="V98" i="12"/>
  <c r="V97" i="12"/>
  <c r="V96" i="12"/>
  <c r="V95" i="12"/>
  <c r="J34" i="12"/>
  <c r="AC88" i="11"/>
  <c r="AC87" i="11"/>
  <c r="AC85" i="11"/>
  <c r="V88" i="11"/>
  <c r="V87" i="11"/>
  <c r="V86" i="11"/>
  <c r="V85" i="11"/>
  <c r="T91" i="11"/>
  <c r="T89" i="11"/>
  <c r="T88" i="11"/>
  <c r="T87" i="11"/>
  <c r="T86" i="11"/>
  <c r="T85" i="11"/>
  <c r="T84" i="11"/>
  <c r="J39" i="11"/>
  <c r="AC126" i="10"/>
  <c r="AC123" i="10"/>
  <c r="T129" i="10"/>
  <c r="T127" i="10"/>
  <c r="T126" i="10"/>
  <c r="T125" i="10"/>
  <c r="T124" i="10"/>
  <c r="V126" i="10"/>
  <c r="V125" i="10"/>
  <c r="V124" i="10"/>
  <c r="V123" i="10"/>
  <c r="T123" i="10"/>
  <c r="J59" i="9" l="1"/>
  <c r="AC130" i="9"/>
  <c r="AC129" i="9"/>
  <c r="AC127" i="9"/>
  <c r="V130" i="9"/>
  <c r="V129" i="9"/>
  <c r="V128" i="9"/>
  <c r="V127" i="9"/>
  <c r="T133" i="9"/>
  <c r="T131" i="9"/>
  <c r="T130" i="9"/>
  <c r="T129" i="9"/>
  <c r="T128" i="9"/>
  <c r="T127" i="9"/>
  <c r="T126" i="9"/>
  <c r="V102" i="8"/>
  <c r="V101" i="8"/>
  <c r="V100" i="8"/>
  <c r="V99" i="8"/>
  <c r="T105" i="8"/>
  <c r="T103" i="8"/>
  <c r="T102" i="8"/>
  <c r="T101" i="8"/>
  <c r="T100" i="8"/>
  <c r="T99" i="8"/>
  <c r="T98" i="8"/>
  <c r="T79" i="7"/>
  <c r="T77" i="7"/>
  <c r="T76" i="7"/>
  <c r="T75" i="7"/>
  <c r="T74" i="7"/>
  <c r="T73" i="7"/>
  <c r="T72" i="7"/>
  <c r="V75" i="7"/>
  <c r="V74" i="7"/>
  <c r="V73" i="7"/>
  <c r="V72" i="7"/>
  <c r="V76" i="7"/>
  <c r="M23" i="27" l="1"/>
  <c r="M22" i="27"/>
  <c r="M21" i="27"/>
  <c r="D23" i="27"/>
  <c r="D22" i="27"/>
  <c r="D21" i="27"/>
  <c r="AB74" i="7" l="1"/>
  <c r="J34" i="7"/>
  <c r="Y90" i="20" l="1"/>
  <c r="AA83" i="20"/>
  <c r="Y83" i="20"/>
  <c r="Y75" i="20"/>
  <c r="AC79" i="8" l="1"/>
  <c r="J24" i="8"/>
  <c r="H198" i="19" l="1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6" i="19"/>
  <c r="H175" i="19"/>
  <c r="H174" i="19"/>
  <c r="H173" i="19"/>
  <c r="H172" i="19"/>
  <c r="H171" i="19"/>
  <c r="H170" i="19"/>
  <c r="H169" i="19"/>
  <c r="H168" i="19"/>
  <c r="H139" i="19"/>
  <c r="H138" i="19"/>
  <c r="H137" i="19"/>
  <c r="H136" i="19"/>
  <c r="H135" i="19"/>
  <c r="H134" i="19"/>
  <c r="H133" i="19"/>
  <c r="H132" i="19"/>
  <c r="H131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1" i="19"/>
  <c r="H110" i="19"/>
  <c r="H109" i="19"/>
  <c r="H107" i="19"/>
  <c r="H106" i="19"/>
  <c r="H105" i="19"/>
  <c r="H104" i="19"/>
  <c r="H103" i="19"/>
  <c r="H102" i="19"/>
  <c r="H101" i="19"/>
  <c r="H100" i="19"/>
  <c r="H99" i="19"/>
  <c r="H98" i="19"/>
  <c r="H93" i="19"/>
  <c r="H92" i="19"/>
  <c r="H91" i="19"/>
  <c r="H90" i="19"/>
  <c r="H89" i="19"/>
  <c r="H88" i="19"/>
  <c r="H87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4" i="19"/>
  <c r="H42" i="19"/>
  <c r="H41" i="19"/>
  <c r="H39" i="19"/>
  <c r="H38" i="19"/>
  <c r="H37" i="19"/>
  <c r="H36" i="19"/>
  <c r="H35" i="19"/>
  <c r="H34" i="19"/>
  <c r="H33" i="19"/>
  <c r="H31" i="19"/>
  <c r="H30" i="19"/>
  <c r="H29" i="19"/>
  <c r="H28" i="19"/>
  <c r="H27" i="19"/>
  <c r="H26" i="19"/>
  <c r="H25" i="19"/>
  <c r="H24" i="19"/>
  <c r="H23" i="19"/>
  <c r="H22" i="19"/>
  <c r="H21" i="19"/>
  <c r="H32" i="24" l="1"/>
  <c r="H45" i="19" l="1"/>
  <c r="F43" i="19"/>
  <c r="H43" i="19" s="1"/>
  <c r="H23" i="22" l="1"/>
  <c r="H22" i="22"/>
  <c r="H36" i="22"/>
  <c r="H30" i="22" l="1"/>
  <c r="H29" i="22"/>
  <c r="H28" i="22"/>
  <c r="H35" i="22"/>
  <c r="H44" i="25"/>
  <c r="H43" i="25"/>
  <c r="H42" i="25"/>
  <c r="H39" i="25"/>
  <c r="H38" i="25"/>
  <c r="H37" i="25"/>
  <c r="H36" i="25"/>
  <c r="H35" i="25"/>
  <c r="H34" i="25"/>
  <c r="H33" i="25"/>
  <c r="H30" i="25"/>
  <c r="H29" i="25"/>
  <c r="H28" i="25"/>
  <c r="H25" i="25"/>
  <c r="H24" i="25"/>
  <c r="H23" i="25"/>
  <c r="H22" i="25"/>
  <c r="H26" i="22"/>
  <c r="AC74" i="33" l="1"/>
  <c r="AC70" i="33"/>
  <c r="J24" i="33"/>
  <c r="AC72" i="31"/>
  <c r="AC68" i="31"/>
  <c r="J24" i="31"/>
  <c r="AC72" i="30"/>
  <c r="AC68" i="30"/>
  <c r="J24" i="30"/>
  <c r="J24" i="29"/>
  <c r="AC73" i="29"/>
  <c r="AC72" i="29"/>
  <c r="AC68" i="29"/>
  <c r="AC75" i="33"/>
  <c r="AC73" i="31" l="1"/>
  <c r="AC103" i="14"/>
  <c r="AC102" i="14"/>
  <c r="AC89" i="14"/>
  <c r="AC88" i="14"/>
  <c r="AC85" i="14"/>
  <c r="AC86" i="13"/>
  <c r="AC85" i="13"/>
  <c r="AC81" i="13"/>
  <c r="AC77" i="13"/>
  <c r="AC76" i="13"/>
  <c r="J24" i="13"/>
  <c r="AC110" i="12"/>
  <c r="AC109" i="12"/>
  <c r="AC106" i="12"/>
  <c r="AC91" i="12"/>
  <c r="AC88" i="12"/>
  <c r="AC81" i="11"/>
  <c r="AC78" i="11"/>
  <c r="AC74" i="11"/>
  <c r="AC73" i="11"/>
  <c r="AC72" i="11"/>
  <c r="J30" i="11"/>
  <c r="AC92" i="10"/>
  <c r="AC91" i="10"/>
  <c r="AC121" i="9"/>
  <c r="AC114" i="9"/>
  <c r="AC113" i="9"/>
  <c r="AC105" i="9"/>
  <c r="AC104" i="9"/>
  <c r="AC101" i="9"/>
  <c r="AC100" i="9"/>
  <c r="AC97" i="9"/>
  <c r="AC96" i="9"/>
  <c r="AC93" i="9"/>
  <c r="AC94" i="8"/>
  <c r="AC93" i="8"/>
  <c r="AC92" i="8"/>
  <c r="AC91" i="8"/>
  <c r="AC90" i="8"/>
  <c r="AC86" i="8"/>
  <c r="AC85" i="8"/>
  <c r="AC81" i="8"/>
  <c r="AC80" i="8"/>
  <c r="J30" i="8"/>
  <c r="AB67" i="7"/>
  <c r="AB64" i="7"/>
  <c r="D38" i="27" l="1"/>
  <c r="D34" i="27"/>
  <c r="D30" i="27"/>
  <c r="D26" i="27"/>
  <c r="D36" i="27"/>
  <c r="D28" i="27"/>
  <c r="D35" i="27"/>
  <c r="D27" i="27"/>
  <c r="D41" i="27"/>
  <c r="D37" i="27"/>
  <c r="D33" i="27"/>
  <c r="D29" i="27"/>
  <c r="D25" i="27"/>
  <c r="D40" i="27"/>
  <c r="D32" i="27"/>
  <c r="D24" i="27"/>
  <c r="D39" i="27"/>
  <c r="D31" i="27"/>
  <c r="AM83" i="33"/>
  <c r="AC82" i="33"/>
  <c r="T56" i="33"/>
  <c r="AO55" i="33"/>
  <c r="T55" i="33"/>
  <c r="T53" i="33"/>
  <c r="T52" i="33"/>
  <c r="T51" i="33"/>
  <c r="T50" i="33"/>
  <c r="T49" i="33"/>
  <c r="T48" i="33"/>
  <c r="T47" i="33"/>
  <c r="Y70" i="33"/>
  <c r="A10" i="33"/>
  <c r="R9" i="33"/>
  <c r="A9" i="33"/>
  <c r="A7" i="33"/>
  <c r="A6" i="33"/>
  <c r="A5" i="33"/>
  <c r="A4" i="33"/>
  <c r="A3" i="33"/>
  <c r="A2" i="33"/>
  <c r="A1" i="33"/>
  <c r="AM81" i="31"/>
  <c r="T54" i="31"/>
  <c r="AO53" i="31"/>
  <c r="T53" i="31"/>
  <c r="T51" i="31"/>
  <c r="T50" i="31"/>
  <c r="T49" i="31"/>
  <c r="T48" i="31"/>
  <c r="T47" i="31"/>
  <c r="T46" i="31"/>
  <c r="T45" i="31"/>
  <c r="P37" i="31"/>
  <c r="Y68" i="31"/>
  <c r="A10" i="31"/>
  <c r="R9" i="31"/>
  <c r="A9" i="31"/>
  <c r="A7" i="31"/>
  <c r="A6" i="31"/>
  <c r="A5" i="31"/>
  <c r="A4" i="31"/>
  <c r="A3" i="31"/>
  <c r="A2" i="31"/>
  <c r="A1" i="31"/>
  <c r="AM81" i="30"/>
  <c r="T54" i="30"/>
  <c r="AO53" i="30"/>
  <c r="T53" i="30"/>
  <c r="T51" i="30"/>
  <c r="T50" i="30"/>
  <c r="T49" i="30"/>
  <c r="T48" i="30"/>
  <c r="T47" i="30"/>
  <c r="T46" i="30"/>
  <c r="T45" i="30"/>
  <c r="P37" i="30"/>
  <c r="L24" i="30"/>
  <c r="L25" i="30" s="1"/>
  <c r="Y68" i="30"/>
  <c r="A10" i="30"/>
  <c r="R9" i="30"/>
  <c r="A9" i="30"/>
  <c r="A7" i="30"/>
  <c r="A6" i="30"/>
  <c r="A5" i="30"/>
  <c r="A4" i="30"/>
  <c r="A3" i="30"/>
  <c r="A2" i="30"/>
  <c r="A1" i="30"/>
  <c r="AC79" i="29"/>
  <c r="AA72" i="29"/>
  <c r="AE72" i="29" s="1"/>
  <c r="AO72" i="29" s="1"/>
  <c r="Y68" i="29"/>
  <c r="AE68" i="29" s="1"/>
  <c r="AE69" i="29" s="1"/>
  <c r="T54" i="29"/>
  <c r="AO53" i="29"/>
  <c r="T53" i="29"/>
  <c r="AO51" i="29"/>
  <c r="T51" i="29"/>
  <c r="T50" i="29"/>
  <c r="T49" i="29"/>
  <c r="T48" i="29"/>
  <c r="T47" i="29"/>
  <c r="T46" i="29"/>
  <c r="T45" i="29"/>
  <c r="P36" i="29"/>
  <c r="F31" i="29"/>
  <c r="F38" i="29" s="1"/>
  <c r="H30" i="29"/>
  <c r="AA74" i="29" s="1"/>
  <c r="AA75" i="29" s="1"/>
  <c r="L24" i="29"/>
  <c r="L25" i="29" s="1"/>
  <c r="A10" i="29"/>
  <c r="R9" i="29"/>
  <c r="A9" i="29"/>
  <c r="A7" i="29"/>
  <c r="A6" i="29"/>
  <c r="A5" i="29"/>
  <c r="A4" i="29"/>
  <c r="A3" i="29"/>
  <c r="A2" i="29"/>
  <c r="A1" i="29"/>
  <c r="AC80" i="33"/>
  <c r="Y75" i="29" l="1"/>
  <c r="Y82" i="29"/>
  <c r="F39" i="6"/>
  <c r="R24" i="29"/>
  <c r="R25" i="29" s="1"/>
  <c r="AI68" i="29"/>
  <c r="AI69" i="29" s="1"/>
  <c r="AC78" i="29"/>
  <c r="J34" i="33"/>
  <c r="F31" i="33"/>
  <c r="F39" i="33" s="1"/>
  <c r="F42" i="6" s="1"/>
  <c r="L24" i="33"/>
  <c r="L25" i="33" s="1"/>
  <c r="F31" i="31"/>
  <c r="F39" i="31" s="1"/>
  <c r="F41" i="6" s="1"/>
  <c r="L24" i="31"/>
  <c r="L25" i="31" s="1"/>
  <c r="R24" i="30"/>
  <c r="R25" i="30" s="1"/>
  <c r="AK68" i="29"/>
  <c r="AE70" i="33"/>
  <c r="Y77" i="33"/>
  <c r="Y85" i="33" s="1"/>
  <c r="Y75" i="31"/>
  <c r="Y83" i="31" s="1"/>
  <c r="AE68" i="31"/>
  <c r="Y75" i="30"/>
  <c r="AE68" i="30"/>
  <c r="F31" i="30"/>
  <c r="F39" i="30" s="1"/>
  <c r="AE79" i="29"/>
  <c r="AE78" i="29"/>
  <c r="AK69" i="29"/>
  <c r="P29" i="29"/>
  <c r="P30" i="29" s="1"/>
  <c r="P31" i="29" s="1"/>
  <c r="P38" i="29" s="1"/>
  <c r="P39" i="6" s="1"/>
  <c r="AA73" i="29"/>
  <c r="H31" i="29"/>
  <c r="AO68" i="29"/>
  <c r="AO69" i="29" s="1"/>
  <c r="AK72" i="29"/>
  <c r="F39" i="5" l="1"/>
  <c r="F29" i="4"/>
  <c r="J34" i="29"/>
  <c r="J51" i="12"/>
  <c r="J34" i="31"/>
  <c r="J40" i="13"/>
  <c r="J37" i="11"/>
  <c r="J55" i="10"/>
  <c r="J57" i="9"/>
  <c r="F41" i="5"/>
  <c r="F31" i="4"/>
  <c r="F32" i="4"/>
  <c r="F42" i="5"/>
  <c r="Y83" i="30"/>
  <c r="F40" i="6"/>
  <c r="AI70" i="33"/>
  <c r="AK70" i="33" s="1"/>
  <c r="R24" i="31"/>
  <c r="R25" i="31" s="1"/>
  <c r="J34" i="30"/>
  <c r="R24" i="33"/>
  <c r="R25" i="33" s="1"/>
  <c r="AO70" i="33"/>
  <c r="AE71" i="33"/>
  <c r="AE69" i="31"/>
  <c r="AO68" i="31"/>
  <c r="AI68" i="31"/>
  <c r="AE69" i="30"/>
  <c r="AI68" i="30"/>
  <c r="AO68" i="30"/>
  <c r="AO69" i="30" s="1"/>
  <c r="AE79" i="30" s="1"/>
  <c r="H38" i="29"/>
  <c r="L34" i="29"/>
  <c r="AE73" i="29"/>
  <c r="AM73" i="29"/>
  <c r="AM74" i="29" s="1"/>
  <c r="AM75" i="29" s="1"/>
  <c r="AM82" i="29" s="1"/>
  <c r="AK78" i="29"/>
  <c r="AE80" i="29"/>
  <c r="AO78" i="29"/>
  <c r="AK79" i="29"/>
  <c r="AO79" i="29"/>
  <c r="AA82" i="29" l="1"/>
  <c r="H39" i="6"/>
  <c r="P29" i="4"/>
  <c r="T39" i="5"/>
  <c r="F40" i="5"/>
  <c r="F30" i="4"/>
  <c r="AQ70" i="33"/>
  <c r="AO71" i="33"/>
  <c r="AE81" i="33" s="1"/>
  <c r="AI71" i="33"/>
  <c r="AK71" i="33" s="1"/>
  <c r="AK68" i="31"/>
  <c r="AI69" i="31"/>
  <c r="AK69" i="31" s="1"/>
  <c r="AQ68" i="31"/>
  <c r="AO69" i="31"/>
  <c r="AE79" i="31" s="1"/>
  <c r="AK68" i="30"/>
  <c r="AQ68" i="30"/>
  <c r="AI69" i="30"/>
  <c r="AK80" i="29"/>
  <c r="R34" i="29"/>
  <c r="AI78" i="29"/>
  <c r="AO80" i="29"/>
  <c r="AO73" i="29"/>
  <c r="AO74" i="29" s="1"/>
  <c r="AK73" i="29"/>
  <c r="AE74" i="29"/>
  <c r="H29" i="4" l="1"/>
  <c r="H39" i="5"/>
  <c r="AQ69" i="31"/>
  <c r="AQ71" i="33"/>
  <c r="AQ69" i="30"/>
  <c r="AK69" i="30"/>
  <c r="AO75" i="29"/>
  <c r="AO82" i="29"/>
  <c r="AK74" i="29"/>
  <c r="AE75" i="29"/>
  <c r="E39" i="3" l="1"/>
  <c r="V39" i="5"/>
  <c r="R29" i="4"/>
  <c r="AK75" i="29"/>
  <c r="AE82" i="29"/>
  <c r="AK82" i="29" l="1"/>
  <c r="L39" i="5"/>
  <c r="J29" i="4"/>
  <c r="F39" i="10" l="1"/>
  <c r="P44" i="4" l="1"/>
  <c r="J44" i="4"/>
  <c r="H44" i="4"/>
  <c r="L44" i="4" s="1"/>
  <c r="F44" i="4"/>
  <c r="P60" i="6"/>
  <c r="R60" i="6" s="1"/>
  <c r="G64" i="3" s="1"/>
  <c r="H60" i="6"/>
  <c r="J60" i="6" s="1"/>
  <c r="F60" i="6"/>
  <c r="V60" i="5"/>
  <c r="E64" i="3" s="1"/>
  <c r="J60" i="5"/>
  <c r="J61" i="5"/>
  <c r="J59" i="5"/>
  <c r="J58" i="5"/>
  <c r="I64" i="3" l="1"/>
  <c r="K64" i="3" s="1"/>
  <c r="R44" i="4"/>
  <c r="P60" i="5"/>
  <c r="AC412" i="19"/>
  <c r="AC411" i="19"/>
  <c r="AC410" i="19"/>
  <c r="AC396" i="19"/>
  <c r="AC395" i="19"/>
  <c r="AC392" i="19"/>
  <c r="AC389" i="19"/>
  <c r="AC346" i="19"/>
  <c r="AC340" i="19"/>
  <c r="AC337" i="19"/>
  <c r="AC336" i="19"/>
  <c r="AC334" i="19"/>
  <c r="AC335" i="19"/>
  <c r="AC268" i="19"/>
  <c r="AC267" i="19"/>
  <c r="AC258" i="19"/>
  <c r="AC256" i="19"/>
  <c r="AC255" i="19"/>
  <c r="Y412" i="19"/>
  <c r="Y411" i="19"/>
  <c r="Y396" i="19"/>
  <c r="Y395" i="19"/>
  <c r="Y394" i="19"/>
  <c r="AE394" i="19" s="1"/>
  <c r="Y393" i="19"/>
  <c r="Y392" i="19"/>
  <c r="AE392" i="19" s="1"/>
  <c r="Y389" i="19"/>
  <c r="Y346" i="19"/>
  <c r="Y345" i="19"/>
  <c r="AE345" i="19" s="1"/>
  <c r="Y340" i="19"/>
  <c r="Y337" i="19"/>
  <c r="Y336" i="19"/>
  <c r="Y334" i="19"/>
  <c r="Y268" i="19"/>
  <c r="Y259" i="19"/>
  <c r="Y258" i="19"/>
  <c r="Y257" i="19"/>
  <c r="Y256" i="19"/>
  <c r="Y255" i="19"/>
  <c r="Y254" i="19"/>
  <c r="Y253" i="19"/>
  <c r="AA256" i="19"/>
  <c r="AA255" i="19"/>
  <c r="AA254" i="19"/>
  <c r="AA258" i="19"/>
  <c r="AA268" i="19"/>
  <c r="AA334" i="19"/>
  <c r="AA337" i="19"/>
  <c r="AA336" i="19"/>
  <c r="AA340" i="19"/>
  <c r="AA389" i="19"/>
  <c r="AA392" i="19"/>
  <c r="AA412" i="19"/>
  <c r="AA411" i="19"/>
  <c r="AA396" i="19"/>
  <c r="AA394" i="19"/>
  <c r="AA395" i="19"/>
  <c r="AA346" i="19"/>
  <c r="AA345" i="19"/>
  <c r="H45" i="25"/>
  <c r="F45" i="25"/>
  <c r="F65" i="24"/>
  <c r="F72" i="24" s="1"/>
  <c r="AC95" i="20"/>
  <c r="F40" i="20"/>
  <c r="F47" i="20" s="1"/>
  <c r="AC422" i="19"/>
  <c r="J52" i="14"/>
  <c r="J50" i="14"/>
  <c r="AE346" i="19" l="1"/>
  <c r="AE256" i="19"/>
  <c r="AE340" i="19"/>
  <c r="AE258" i="19"/>
  <c r="AE389" i="19"/>
  <c r="X60" i="5"/>
  <c r="R60" i="5"/>
  <c r="AE396" i="19"/>
  <c r="AE337" i="19"/>
  <c r="AE336" i="19"/>
  <c r="AE334" i="19"/>
  <c r="AE412" i="19"/>
  <c r="AE268" i="19"/>
  <c r="AE411" i="19"/>
  <c r="AE255" i="19"/>
  <c r="AE254" i="19"/>
  <c r="AK394" i="19"/>
  <c r="AK345" i="19"/>
  <c r="F48" i="12"/>
  <c r="F29" i="12"/>
  <c r="AM124" i="9"/>
  <c r="AC102" i="8"/>
  <c r="AC101" i="8"/>
  <c r="AC99" i="8"/>
  <c r="J46" i="8"/>
  <c r="J44" i="8"/>
  <c r="AB76" i="7"/>
  <c r="AB75" i="7"/>
  <c r="AB73" i="7"/>
  <c r="AB72" i="7"/>
  <c r="J32" i="7"/>
  <c r="J31" i="7"/>
  <c r="A10" i="6"/>
  <c r="A10" i="5"/>
  <c r="A10" i="4"/>
  <c r="R9" i="8"/>
  <c r="AO64" i="8"/>
  <c r="R9" i="9"/>
  <c r="AO79" i="9"/>
  <c r="AO77" i="10"/>
  <c r="R9" i="10"/>
  <c r="AO57" i="11"/>
  <c r="R9" i="11"/>
  <c r="R9" i="12"/>
  <c r="AO73" i="12"/>
  <c r="R9" i="13"/>
  <c r="AO61" i="13"/>
  <c r="AO73" i="14"/>
  <c r="A186" i="26"/>
  <c r="A185" i="26"/>
  <c r="A183" i="26"/>
  <c r="A181" i="26"/>
  <c r="A180" i="26"/>
  <c r="A137" i="26"/>
  <c r="A136" i="26"/>
  <c r="A134" i="26"/>
  <c r="A132" i="26"/>
  <c r="A131" i="26"/>
  <c r="A91" i="26"/>
  <c r="A90" i="26"/>
  <c r="A88" i="26"/>
  <c r="A86" i="26"/>
  <c r="A85" i="26"/>
  <c r="A40" i="26"/>
  <c r="A39" i="26"/>
  <c r="A37" i="26"/>
  <c r="A35" i="26"/>
  <c r="A34" i="26"/>
  <c r="A7" i="26"/>
  <c r="A6" i="26"/>
  <c r="A4" i="26"/>
  <c r="A2" i="26"/>
  <c r="A1" i="26"/>
  <c r="AO65" i="25"/>
  <c r="T63" i="25"/>
  <c r="T62" i="25"/>
  <c r="T61" i="25"/>
  <c r="T60" i="25"/>
  <c r="T59" i="25"/>
  <c r="T58" i="25"/>
  <c r="T57" i="25"/>
  <c r="A7" i="25"/>
  <c r="A6" i="25"/>
  <c r="A5" i="25"/>
  <c r="A4" i="25"/>
  <c r="A3" i="25"/>
  <c r="A2" i="25"/>
  <c r="A1" i="25"/>
  <c r="AO82" i="24"/>
  <c r="T80" i="24"/>
  <c r="T79" i="24"/>
  <c r="T78" i="24"/>
  <c r="T77" i="24"/>
  <c r="T76" i="24"/>
  <c r="T75" i="24"/>
  <c r="T74" i="24"/>
  <c r="A7" i="24"/>
  <c r="A6" i="24"/>
  <c r="A5" i="24"/>
  <c r="A4" i="24"/>
  <c r="A3" i="24"/>
  <c r="A2" i="24"/>
  <c r="A1" i="24"/>
  <c r="AO59" i="22"/>
  <c r="T57" i="22"/>
  <c r="T56" i="22"/>
  <c r="T55" i="22"/>
  <c r="T54" i="22"/>
  <c r="T53" i="22"/>
  <c r="T52" i="22"/>
  <c r="T51" i="22"/>
  <c r="A7" i="22"/>
  <c r="A6" i="22"/>
  <c r="A5" i="22"/>
  <c r="A4" i="22"/>
  <c r="A3" i="22"/>
  <c r="A2" i="22"/>
  <c r="A1" i="22"/>
  <c r="AO44" i="28"/>
  <c r="T42" i="28"/>
  <c r="T41" i="28"/>
  <c r="T40" i="28"/>
  <c r="T39" i="28"/>
  <c r="T38" i="28"/>
  <c r="T37" i="28"/>
  <c r="T36" i="28"/>
  <c r="A7" i="28"/>
  <c r="A6" i="28"/>
  <c r="A5" i="28"/>
  <c r="A4" i="28"/>
  <c r="A3" i="28"/>
  <c r="A2" i="28"/>
  <c r="A1" i="28"/>
  <c r="AO60" i="20"/>
  <c r="T58" i="20"/>
  <c r="T57" i="20"/>
  <c r="T56" i="20"/>
  <c r="T55" i="20"/>
  <c r="T54" i="20"/>
  <c r="T53" i="20"/>
  <c r="T52" i="20"/>
  <c r="A7" i="20"/>
  <c r="A6" i="20"/>
  <c r="A5" i="20"/>
  <c r="A4" i="20"/>
  <c r="A3" i="20"/>
  <c r="A2" i="20"/>
  <c r="A1" i="20"/>
  <c r="T374" i="19"/>
  <c r="T373" i="19"/>
  <c r="T293" i="19"/>
  <c r="T292" i="19"/>
  <c r="T372" i="19"/>
  <c r="T371" i="19"/>
  <c r="T370" i="19"/>
  <c r="T369" i="19"/>
  <c r="T368" i="19"/>
  <c r="T291" i="19"/>
  <c r="T290" i="19"/>
  <c r="T289" i="19"/>
  <c r="T288" i="19"/>
  <c r="T287" i="19"/>
  <c r="AO229" i="19"/>
  <c r="T221" i="19"/>
  <c r="T227" i="19"/>
  <c r="T226" i="19"/>
  <c r="T225" i="19"/>
  <c r="T224" i="19"/>
  <c r="T223" i="19"/>
  <c r="T222" i="19"/>
  <c r="A154" i="19"/>
  <c r="A153" i="19"/>
  <c r="A152" i="19"/>
  <c r="A151" i="19"/>
  <c r="A150" i="19"/>
  <c r="A149" i="19"/>
  <c r="A148" i="19"/>
  <c r="A73" i="19"/>
  <c r="A72" i="19"/>
  <c r="A71" i="19"/>
  <c r="A70" i="19"/>
  <c r="A69" i="19"/>
  <c r="A68" i="19"/>
  <c r="A67" i="19"/>
  <c r="A7" i="19"/>
  <c r="A6" i="19"/>
  <c r="A5" i="19"/>
  <c r="A4" i="19"/>
  <c r="A3" i="19"/>
  <c r="A2" i="19"/>
  <c r="A1" i="19"/>
  <c r="T71" i="14"/>
  <c r="T70" i="14"/>
  <c r="T69" i="14"/>
  <c r="T68" i="14"/>
  <c r="T67" i="14"/>
  <c r="T66" i="14"/>
  <c r="T65" i="14"/>
  <c r="A7" i="14"/>
  <c r="A6" i="14"/>
  <c r="A5" i="14"/>
  <c r="A4" i="14"/>
  <c r="A3" i="14"/>
  <c r="A2" i="14"/>
  <c r="A1" i="14"/>
  <c r="T59" i="13"/>
  <c r="T58" i="13"/>
  <c r="T57" i="13"/>
  <c r="T56" i="13"/>
  <c r="T55" i="13"/>
  <c r="T54" i="13"/>
  <c r="T53" i="13"/>
  <c r="A7" i="13"/>
  <c r="A6" i="13"/>
  <c r="A5" i="13"/>
  <c r="A4" i="13"/>
  <c r="A3" i="13"/>
  <c r="A2" i="13"/>
  <c r="A1" i="13"/>
  <c r="T71" i="12"/>
  <c r="T70" i="12"/>
  <c r="T69" i="12"/>
  <c r="T68" i="12"/>
  <c r="T67" i="12"/>
  <c r="T66" i="12"/>
  <c r="T65" i="12"/>
  <c r="A7" i="12"/>
  <c r="A6" i="12"/>
  <c r="A5" i="12"/>
  <c r="A4" i="12"/>
  <c r="A3" i="12"/>
  <c r="A2" i="12"/>
  <c r="A1" i="12"/>
  <c r="T55" i="11"/>
  <c r="T54" i="11"/>
  <c r="T53" i="11"/>
  <c r="T52" i="11"/>
  <c r="T51" i="11"/>
  <c r="T50" i="11"/>
  <c r="T49" i="11"/>
  <c r="A7" i="11"/>
  <c r="A6" i="11"/>
  <c r="A5" i="11"/>
  <c r="A4" i="11"/>
  <c r="A3" i="11"/>
  <c r="A2" i="11"/>
  <c r="A1" i="11"/>
  <c r="T75" i="10"/>
  <c r="T74" i="10"/>
  <c r="T73" i="10"/>
  <c r="T72" i="10"/>
  <c r="T71" i="10"/>
  <c r="T70" i="10"/>
  <c r="T69" i="10"/>
  <c r="A7" i="10"/>
  <c r="A6" i="10"/>
  <c r="A5" i="10"/>
  <c r="A4" i="10"/>
  <c r="A3" i="10"/>
  <c r="A2" i="10"/>
  <c r="A1" i="10"/>
  <c r="T77" i="9"/>
  <c r="T76" i="9"/>
  <c r="T75" i="9"/>
  <c r="T74" i="9"/>
  <c r="T73" i="9"/>
  <c r="T72" i="9"/>
  <c r="T71" i="9"/>
  <c r="A7" i="9"/>
  <c r="A6" i="9"/>
  <c r="A5" i="9"/>
  <c r="A4" i="9"/>
  <c r="A3" i="9"/>
  <c r="A2" i="9"/>
  <c r="A1" i="9"/>
  <c r="T62" i="8"/>
  <c r="T61" i="8"/>
  <c r="T60" i="8"/>
  <c r="T59" i="8"/>
  <c r="T58" i="8"/>
  <c r="T57" i="8"/>
  <c r="T56" i="8"/>
  <c r="A7" i="8"/>
  <c r="A6" i="8"/>
  <c r="A5" i="8"/>
  <c r="A4" i="8"/>
  <c r="A3" i="8"/>
  <c r="A2" i="8"/>
  <c r="A1" i="8"/>
  <c r="AN50" i="7"/>
  <c r="T48" i="7"/>
  <c r="T47" i="7"/>
  <c r="T46" i="7"/>
  <c r="T45" i="7"/>
  <c r="T44" i="7"/>
  <c r="T43" i="7"/>
  <c r="T42" i="7"/>
  <c r="R9" i="7"/>
  <c r="A7" i="7"/>
  <c r="A6" i="7"/>
  <c r="A5" i="7"/>
  <c r="A4" i="7"/>
  <c r="A3" i="7"/>
  <c r="A2" i="7"/>
  <c r="A1" i="7"/>
  <c r="R9" i="6"/>
  <c r="A7" i="6"/>
  <c r="A6" i="6"/>
  <c r="A5" i="6"/>
  <c r="A4" i="6"/>
  <c r="A3" i="6"/>
  <c r="A2" i="6"/>
  <c r="A1" i="6"/>
  <c r="V9" i="5"/>
  <c r="A7" i="5"/>
  <c r="A6" i="5"/>
  <c r="A5" i="5"/>
  <c r="A4" i="5"/>
  <c r="A3" i="5"/>
  <c r="A2" i="5"/>
  <c r="A1" i="5"/>
  <c r="R9" i="4"/>
  <c r="A7" i="4"/>
  <c r="A6" i="4"/>
  <c r="A5" i="4"/>
  <c r="A4" i="4"/>
  <c r="A2" i="4"/>
  <c r="A1" i="4"/>
  <c r="I10" i="3"/>
  <c r="A8" i="3"/>
  <c r="A7" i="3"/>
  <c r="A5" i="3"/>
  <c r="A4" i="3"/>
  <c r="A2" i="3"/>
  <c r="A1" i="3"/>
  <c r="N234" i="26"/>
  <c r="N233" i="26"/>
  <c r="N232" i="26"/>
  <c r="N231" i="26"/>
  <c r="N230" i="26"/>
  <c r="N229" i="26"/>
  <c r="N228" i="26"/>
  <c r="N227" i="26"/>
  <c r="N226" i="26"/>
  <c r="N225" i="26"/>
  <c r="N224" i="26"/>
  <c r="N223" i="26"/>
  <c r="N222" i="26"/>
  <c r="N221" i="26"/>
  <c r="N220" i="26"/>
  <c r="N219" i="26"/>
  <c r="N218" i="26"/>
  <c r="N217" i="26"/>
  <c r="N215" i="26"/>
  <c r="N214" i="26"/>
  <c r="N213" i="26"/>
  <c r="N212" i="26"/>
  <c r="N211" i="26"/>
  <c r="N210" i="26"/>
  <c r="N209" i="26"/>
  <c r="N208" i="26"/>
  <c r="N207" i="26"/>
  <c r="N206" i="26"/>
  <c r="N205" i="26"/>
  <c r="N204" i="26"/>
  <c r="N203" i="26"/>
  <c r="N202" i="26"/>
  <c r="N201" i="26"/>
  <c r="N200" i="26"/>
  <c r="N199" i="26"/>
  <c r="N198" i="26"/>
  <c r="N172" i="26"/>
  <c r="N171" i="26"/>
  <c r="N170" i="26"/>
  <c r="N169" i="26"/>
  <c r="N168" i="26"/>
  <c r="N167" i="26"/>
  <c r="N166" i="26"/>
  <c r="N165" i="26"/>
  <c r="N164" i="26"/>
  <c r="N163" i="26"/>
  <c r="N162" i="26"/>
  <c r="N161" i="26"/>
  <c r="N160" i="26"/>
  <c r="N159" i="26"/>
  <c r="N158" i="26"/>
  <c r="N157" i="26"/>
  <c r="N156" i="26"/>
  <c r="N155" i="26"/>
  <c r="N154" i="26"/>
  <c r="N153" i="26"/>
  <c r="N152" i="26"/>
  <c r="N151" i="26"/>
  <c r="N150" i="26"/>
  <c r="N149" i="26"/>
  <c r="N123" i="26"/>
  <c r="N122" i="26"/>
  <c r="N121" i="26"/>
  <c r="N120" i="26"/>
  <c r="N119" i="26"/>
  <c r="N118" i="26"/>
  <c r="N117" i="26"/>
  <c r="N116" i="26"/>
  <c r="N115" i="26"/>
  <c r="N114" i="26"/>
  <c r="N112" i="26"/>
  <c r="N111" i="26"/>
  <c r="N110" i="26"/>
  <c r="N109" i="26"/>
  <c r="N108" i="26"/>
  <c r="N107" i="26"/>
  <c r="N106" i="26"/>
  <c r="N105" i="26"/>
  <c r="N104" i="26"/>
  <c r="N103" i="26"/>
  <c r="F75" i="26"/>
  <c r="N77" i="26"/>
  <c r="N76" i="26"/>
  <c r="N75" i="26"/>
  <c r="N72" i="26"/>
  <c r="N71" i="26"/>
  <c r="N70" i="26"/>
  <c r="N69" i="26"/>
  <c r="N68" i="26"/>
  <c r="N67" i="26"/>
  <c r="N66" i="26"/>
  <c r="N65" i="26"/>
  <c r="N64" i="26"/>
  <c r="N63" i="26"/>
  <c r="N62" i="26"/>
  <c r="N61" i="26"/>
  <c r="N60" i="26"/>
  <c r="N59" i="26"/>
  <c r="N58" i="26"/>
  <c r="N57" i="26"/>
  <c r="N56" i="26"/>
  <c r="N55" i="26"/>
  <c r="N54" i="26"/>
  <c r="N53" i="26"/>
  <c r="N52" i="26"/>
  <c r="J63" i="5"/>
  <c r="J57" i="5"/>
  <c r="P63" i="6"/>
  <c r="P61" i="6"/>
  <c r="P59" i="6"/>
  <c r="P58" i="6"/>
  <c r="P57" i="6"/>
  <c r="L58" i="6"/>
  <c r="P58" i="5" s="1"/>
  <c r="L57" i="6"/>
  <c r="P57" i="5" s="1"/>
  <c r="R57" i="5" s="1"/>
  <c r="A11" i="3"/>
  <c r="AA94" i="25"/>
  <c r="AA92" i="25"/>
  <c r="AA91" i="25"/>
  <c r="AA95" i="25"/>
  <c r="Y95" i="25"/>
  <c r="Y94" i="25"/>
  <c r="AA93" i="25"/>
  <c r="Y93" i="25"/>
  <c r="Y92" i="25"/>
  <c r="Y91" i="25"/>
  <c r="AA90" i="25"/>
  <c r="Y90" i="25"/>
  <c r="AA86" i="25"/>
  <c r="Y86" i="25"/>
  <c r="AE86" i="25" s="1"/>
  <c r="Y85" i="25"/>
  <c r="AA84" i="25"/>
  <c r="Y84" i="25"/>
  <c r="AY86" i="25"/>
  <c r="AX86" i="25"/>
  <c r="AU86" i="25" s="1"/>
  <c r="AY85" i="25"/>
  <c r="AX85" i="25"/>
  <c r="AU85" i="25" s="1"/>
  <c r="AY84" i="25"/>
  <c r="AX84" i="25"/>
  <c r="AU84" i="25" s="1"/>
  <c r="V67" i="28"/>
  <c r="V66" i="28"/>
  <c r="AU56" i="28"/>
  <c r="AY53" i="28"/>
  <c r="AX53" i="28"/>
  <c r="T44" i="28"/>
  <c r="C32" i="28"/>
  <c r="C31" i="28"/>
  <c r="R9" i="28"/>
  <c r="A9" i="28"/>
  <c r="AU83" i="20"/>
  <c r="AO376" i="19"/>
  <c r="T376" i="19"/>
  <c r="Y399" i="19"/>
  <c r="AE399" i="19" s="1"/>
  <c r="AX399" i="19"/>
  <c r="AT399" i="19" s="1"/>
  <c r="AY399" i="19"/>
  <c r="T363" i="19"/>
  <c r="T362" i="19"/>
  <c r="R156" i="19"/>
  <c r="A156" i="19"/>
  <c r="A143" i="19"/>
  <c r="A142" i="19"/>
  <c r="Y333" i="19"/>
  <c r="AE333" i="19" s="1"/>
  <c r="F94" i="19"/>
  <c r="AY403" i="19"/>
  <c r="AX403" i="19"/>
  <c r="AT403" i="19" s="1"/>
  <c r="AY319" i="19"/>
  <c r="AX319" i="19"/>
  <c r="AT319" i="19" s="1"/>
  <c r="AC417" i="19"/>
  <c r="AC416" i="19"/>
  <c r="AC414" i="19"/>
  <c r="AC408" i="19"/>
  <c r="AC402" i="19"/>
  <c r="AC400" i="19"/>
  <c r="AC390" i="19"/>
  <c r="AC358" i="19"/>
  <c r="AC355" i="19"/>
  <c r="AC353" i="19"/>
  <c r="AC352" i="19"/>
  <c r="AC349" i="19"/>
  <c r="AC348" i="19"/>
  <c r="AC344" i="19"/>
  <c r="AC343" i="19"/>
  <c r="AC342" i="19"/>
  <c r="AC327" i="19"/>
  <c r="AC325" i="19"/>
  <c r="AC324" i="19"/>
  <c r="AC322" i="19"/>
  <c r="AC321" i="19"/>
  <c r="AC320" i="19"/>
  <c r="AC313" i="19"/>
  <c r="AC311" i="19"/>
  <c r="AC310" i="19"/>
  <c r="AC273" i="19"/>
  <c r="AC272" i="19"/>
  <c r="AC271" i="19"/>
  <c r="AC270" i="19"/>
  <c r="AC265" i="19"/>
  <c r="AC264" i="19"/>
  <c r="AY409" i="19"/>
  <c r="AX409" i="19"/>
  <c r="AT409" i="19" s="1"/>
  <c r="Y409" i="19"/>
  <c r="AE409" i="19" s="1"/>
  <c r="AY407" i="19"/>
  <c r="AX407" i="19"/>
  <c r="AT407" i="19" s="1"/>
  <c r="Y407" i="19"/>
  <c r="AE407" i="19" s="1"/>
  <c r="AY405" i="19"/>
  <c r="AX405" i="19"/>
  <c r="AT405" i="19" s="1"/>
  <c r="Y405" i="19"/>
  <c r="AE405" i="19" s="1"/>
  <c r="AY393" i="19"/>
  <c r="AX393" i="19"/>
  <c r="AT393" i="19" s="1"/>
  <c r="AE393" i="19"/>
  <c r="AY388" i="19"/>
  <c r="AX388" i="19"/>
  <c r="AT388" i="19" s="1"/>
  <c r="Y388" i="19"/>
  <c r="AE388" i="19" s="1"/>
  <c r="AY357" i="19"/>
  <c r="AX357" i="19"/>
  <c r="AT357" i="19" s="1"/>
  <c r="Y357" i="19"/>
  <c r="AE357" i="19" s="1"/>
  <c r="AA409" i="19"/>
  <c r="AA407" i="19"/>
  <c r="AA405" i="19"/>
  <c r="AA393" i="19"/>
  <c r="AA388" i="19"/>
  <c r="AA357" i="19"/>
  <c r="AA333" i="19"/>
  <c r="AY333" i="19"/>
  <c r="AX333" i="19"/>
  <c r="AT333" i="19" s="1"/>
  <c r="A62" i="19"/>
  <c r="A61" i="19"/>
  <c r="A213" i="19"/>
  <c r="A212" i="19"/>
  <c r="T282" i="19"/>
  <c r="T281" i="19"/>
  <c r="AY415" i="19"/>
  <c r="AX415" i="19"/>
  <c r="AT415" i="19" s="1"/>
  <c r="Y415" i="19"/>
  <c r="AE415" i="19" s="1"/>
  <c r="AY413" i="19"/>
  <c r="AX413" i="19"/>
  <c r="AT413" i="19" s="1"/>
  <c r="Y413" i="19"/>
  <c r="AA418" i="19"/>
  <c r="AA416" i="19"/>
  <c r="AA415" i="19"/>
  <c r="AA414" i="19"/>
  <c r="AA413" i="19"/>
  <c r="AA410" i="19"/>
  <c r="Y418" i="19"/>
  <c r="AA417" i="19"/>
  <c r="Y417" i="19"/>
  <c r="Y416" i="19"/>
  <c r="Y414" i="19"/>
  <c r="Y410" i="19"/>
  <c r="AA408" i="19"/>
  <c r="Y408" i="19"/>
  <c r="Y403" i="19"/>
  <c r="AA403" i="19"/>
  <c r="AA399" i="19"/>
  <c r="Y319" i="19"/>
  <c r="AA319" i="19"/>
  <c r="AA259" i="19"/>
  <c r="AA257" i="19"/>
  <c r="AA253" i="19"/>
  <c r="AC117" i="10"/>
  <c r="AC113" i="10"/>
  <c r="AC112" i="10"/>
  <c r="AC97" i="10"/>
  <c r="AC96" i="10"/>
  <c r="AC102" i="10"/>
  <c r="AC101" i="10"/>
  <c r="T74" i="14"/>
  <c r="A10" i="14"/>
  <c r="T62" i="13"/>
  <c r="A10" i="13"/>
  <c r="T74" i="12"/>
  <c r="A10" i="12"/>
  <c r="T58" i="11"/>
  <c r="A10" i="11"/>
  <c r="T78" i="10"/>
  <c r="A10" i="10"/>
  <c r="T80" i="9"/>
  <c r="A10" i="9"/>
  <c r="V108" i="8"/>
  <c r="C53" i="8"/>
  <c r="A10" i="8"/>
  <c r="T65" i="8"/>
  <c r="T51" i="7"/>
  <c r="A10" i="7"/>
  <c r="C29" i="26"/>
  <c r="F26" i="26"/>
  <c r="F25" i="26"/>
  <c r="F24" i="26"/>
  <c r="F23" i="26"/>
  <c r="F22" i="26"/>
  <c r="F21" i="26"/>
  <c r="C28" i="26"/>
  <c r="F20" i="26"/>
  <c r="C13" i="27"/>
  <c r="C12" i="27"/>
  <c r="C11" i="27"/>
  <c r="C10" i="27"/>
  <c r="C9" i="27"/>
  <c r="C8" i="27"/>
  <c r="C7" i="27"/>
  <c r="B13" i="27"/>
  <c r="B12" i="27"/>
  <c r="B11" i="27"/>
  <c r="B10" i="27"/>
  <c r="B9" i="27"/>
  <c r="B8" i="27"/>
  <c r="B7" i="27"/>
  <c r="V82" i="7"/>
  <c r="C41" i="7"/>
  <c r="H94" i="19" l="1"/>
  <c r="P94" i="19" s="1"/>
  <c r="AE84" i="25"/>
  <c r="AE85" i="25"/>
  <c r="AK407" i="19"/>
  <c r="AK393" i="19"/>
  <c r="AK388" i="19"/>
  <c r="AE413" i="19"/>
  <c r="AK415" i="19"/>
  <c r="AE319" i="19"/>
  <c r="AK319" i="19" s="1"/>
  <c r="F7" i="27"/>
  <c r="F8" i="27"/>
  <c r="B21" i="27"/>
  <c r="C21" i="27"/>
  <c r="F21" i="27"/>
  <c r="G21" i="27"/>
  <c r="H21" i="27"/>
  <c r="L21" i="27"/>
  <c r="P21" i="27"/>
  <c r="Q21" i="27"/>
  <c r="B22" i="27"/>
  <c r="C22" i="27"/>
  <c r="F22" i="27"/>
  <c r="G22" i="27"/>
  <c r="H22" i="27"/>
  <c r="L22" i="27"/>
  <c r="P22" i="27"/>
  <c r="Q22" i="27"/>
  <c r="B23" i="27"/>
  <c r="C23" i="27"/>
  <c r="F23" i="27"/>
  <c r="G23" i="27"/>
  <c r="H23" i="27"/>
  <c r="L23" i="27"/>
  <c r="P23" i="27"/>
  <c r="Q23" i="27"/>
  <c r="B24" i="27"/>
  <c r="C24" i="27"/>
  <c r="F24" i="27"/>
  <c r="G24" i="27"/>
  <c r="H24" i="27"/>
  <c r="L24" i="27"/>
  <c r="P24" i="27"/>
  <c r="Q24" i="27"/>
  <c r="B25" i="27"/>
  <c r="C25" i="27"/>
  <c r="F25" i="27"/>
  <c r="G25" i="27"/>
  <c r="H25" i="27"/>
  <c r="L25" i="27"/>
  <c r="Q25" i="27"/>
  <c r="B26" i="27"/>
  <c r="C26" i="27"/>
  <c r="F26" i="27"/>
  <c r="G26" i="27"/>
  <c r="H26" i="27"/>
  <c r="L26" i="27"/>
  <c r="Q26" i="27"/>
  <c r="B27" i="27"/>
  <c r="C27" i="27"/>
  <c r="F27" i="27"/>
  <c r="G27" i="27"/>
  <c r="H27" i="27"/>
  <c r="L27" i="27"/>
  <c r="Q27" i="27"/>
  <c r="B28" i="27"/>
  <c r="C28" i="27"/>
  <c r="F28" i="27"/>
  <c r="G28" i="27"/>
  <c r="H28" i="27"/>
  <c r="L28" i="27"/>
  <c r="Q28" i="27"/>
  <c r="B29" i="27"/>
  <c r="C29" i="27"/>
  <c r="F29" i="27"/>
  <c r="G29" i="27"/>
  <c r="H29" i="27"/>
  <c r="L29" i="27"/>
  <c r="Q29" i="27"/>
  <c r="B30" i="27"/>
  <c r="C30" i="27"/>
  <c r="F30" i="27"/>
  <c r="G30" i="27"/>
  <c r="H30" i="27"/>
  <c r="L30" i="27"/>
  <c r="Q30" i="27"/>
  <c r="B31" i="27"/>
  <c r="C31" i="27"/>
  <c r="F31" i="27"/>
  <c r="G31" i="27"/>
  <c r="H31" i="27"/>
  <c r="L31" i="27"/>
  <c r="Q31" i="27"/>
  <c r="B32" i="27"/>
  <c r="C32" i="27"/>
  <c r="F32" i="27"/>
  <c r="G32" i="27"/>
  <c r="H32" i="27"/>
  <c r="L32" i="27"/>
  <c r="B33" i="27"/>
  <c r="C33" i="27"/>
  <c r="F33" i="27"/>
  <c r="G33" i="27"/>
  <c r="H33" i="27"/>
  <c r="L33" i="27"/>
  <c r="Q33" i="27"/>
  <c r="B34" i="27"/>
  <c r="C34" i="27"/>
  <c r="F34" i="27"/>
  <c r="G34" i="27"/>
  <c r="H34" i="27"/>
  <c r="L34" i="27"/>
  <c r="Q34" i="27"/>
  <c r="B35" i="27"/>
  <c r="C35" i="27"/>
  <c r="F35" i="27"/>
  <c r="G35" i="27"/>
  <c r="H35" i="27"/>
  <c r="L35" i="27"/>
  <c r="B36" i="27"/>
  <c r="C36" i="27"/>
  <c r="F36" i="27"/>
  <c r="G36" i="27"/>
  <c r="H36" i="27"/>
  <c r="L36" i="27"/>
  <c r="Q36" i="27"/>
  <c r="B37" i="27"/>
  <c r="C37" i="27"/>
  <c r="F37" i="27"/>
  <c r="G37" i="27"/>
  <c r="H37" i="27"/>
  <c r="L37" i="27"/>
  <c r="Q37" i="27"/>
  <c r="B38" i="27"/>
  <c r="C38" i="27"/>
  <c r="F38" i="27"/>
  <c r="G38" i="27"/>
  <c r="H38" i="27"/>
  <c r="L38" i="27"/>
  <c r="B39" i="27"/>
  <c r="C39" i="27"/>
  <c r="F39" i="27"/>
  <c r="G39" i="27"/>
  <c r="H39" i="27"/>
  <c r="L39" i="27"/>
  <c r="Q39" i="27"/>
  <c r="B40" i="27"/>
  <c r="C40" i="27"/>
  <c r="F40" i="27"/>
  <c r="G40" i="27"/>
  <c r="H40" i="27"/>
  <c r="L40" i="27"/>
  <c r="B41" i="27"/>
  <c r="C41" i="27"/>
  <c r="F41" i="27"/>
  <c r="G41" i="27"/>
  <c r="H41" i="27"/>
  <c r="L41" i="27"/>
  <c r="B45" i="27"/>
  <c r="F45" i="27"/>
  <c r="B46" i="27"/>
  <c r="F46" i="27"/>
  <c r="B47" i="27"/>
  <c r="F47" i="27"/>
  <c r="A9" i="26"/>
  <c r="P9" i="26"/>
  <c r="K20" i="26"/>
  <c r="L20" i="26"/>
  <c r="N20" i="26"/>
  <c r="K21" i="26"/>
  <c r="L21" i="26"/>
  <c r="N21" i="26"/>
  <c r="K22" i="26"/>
  <c r="L22" i="26"/>
  <c r="N22" i="26"/>
  <c r="K23" i="26"/>
  <c r="L23" i="26"/>
  <c r="N23" i="26"/>
  <c r="K24" i="26"/>
  <c r="L24" i="26"/>
  <c r="N24" i="26"/>
  <c r="K25" i="26"/>
  <c r="L25" i="26"/>
  <c r="N25" i="26"/>
  <c r="K26" i="26"/>
  <c r="L26" i="26"/>
  <c r="N26" i="26"/>
  <c r="C30" i="26"/>
  <c r="A42" i="26"/>
  <c r="P42" i="26"/>
  <c r="K52" i="26"/>
  <c r="L52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5" i="26"/>
  <c r="L75" i="26"/>
  <c r="M75" i="26" s="1"/>
  <c r="F76" i="26"/>
  <c r="K76" i="26"/>
  <c r="L76" i="26"/>
  <c r="F77" i="26"/>
  <c r="K77" i="26"/>
  <c r="L77" i="26"/>
  <c r="C80" i="26"/>
  <c r="C81" i="26"/>
  <c r="A93" i="26"/>
  <c r="P93" i="26"/>
  <c r="K103" i="26"/>
  <c r="L103" i="26"/>
  <c r="K104" i="26"/>
  <c r="L104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4" i="26"/>
  <c r="L114" i="26"/>
  <c r="K115" i="26"/>
  <c r="L115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A139" i="26"/>
  <c r="P139" i="26"/>
  <c r="F149" i="26"/>
  <c r="K149" i="26"/>
  <c r="L149" i="26"/>
  <c r="F150" i="26"/>
  <c r="K150" i="26"/>
  <c r="L150" i="26"/>
  <c r="F151" i="26"/>
  <c r="K151" i="26"/>
  <c r="L151" i="26"/>
  <c r="F152" i="26"/>
  <c r="K152" i="26"/>
  <c r="L152" i="26"/>
  <c r="F153" i="26"/>
  <c r="K153" i="26"/>
  <c r="L153" i="26"/>
  <c r="F154" i="26"/>
  <c r="K154" i="26"/>
  <c r="L154" i="26"/>
  <c r="F155" i="26"/>
  <c r="K155" i="26"/>
  <c r="L155" i="26"/>
  <c r="F156" i="26"/>
  <c r="K156" i="26"/>
  <c r="L156" i="26"/>
  <c r="F157" i="26"/>
  <c r="K157" i="26"/>
  <c r="L157" i="26"/>
  <c r="F158" i="26"/>
  <c r="K158" i="26"/>
  <c r="L158" i="26"/>
  <c r="F159" i="26"/>
  <c r="K159" i="26"/>
  <c r="L159" i="26"/>
  <c r="F160" i="26"/>
  <c r="K160" i="26"/>
  <c r="L160" i="26"/>
  <c r="F161" i="26"/>
  <c r="K161" i="26"/>
  <c r="L161" i="26"/>
  <c r="F162" i="26"/>
  <c r="K162" i="26"/>
  <c r="L162" i="26"/>
  <c r="F163" i="26"/>
  <c r="K163" i="26"/>
  <c r="L163" i="26"/>
  <c r="F164" i="26"/>
  <c r="K164" i="26"/>
  <c r="L164" i="26"/>
  <c r="F165" i="26"/>
  <c r="K165" i="26"/>
  <c r="L165" i="26"/>
  <c r="F166" i="26"/>
  <c r="K166" i="26"/>
  <c r="L166" i="26"/>
  <c r="F167" i="26"/>
  <c r="K167" i="26"/>
  <c r="L167" i="26"/>
  <c r="F168" i="26"/>
  <c r="K168" i="26"/>
  <c r="L168" i="26"/>
  <c r="F169" i="26"/>
  <c r="K169" i="26"/>
  <c r="L169" i="26"/>
  <c r="F170" i="26"/>
  <c r="K170" i="26"/>
  <c r="L170" i="26"/>
  <c r="F171" i="26"/>
  <c r="K171" i="26"/>
  <c r="L171" i="26"/>
  <c r="F172" i="26"/>
  <c r="K172" i="26"/>
  <c r="L172" i="26"/>
  <c r="C175" i="26"/>
  <c r="C176" i="26"/>
  <c r="A188" i="26"/>
  <c r="P188" i="26"/>
  <c r="K198" i="26"/>
  <c r="L198" i="26"/>
  <c r="K199" i="26"/>
  <c r="L199" i="26"/>
  <c r="K200" i="26"/>
  <c r="L200" i="26"/>
  <c r="K201" i="26"/>
  <c r="L201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7" i="26"/>
  <c r="L217" i="26"/>
  <c r="K218" i="26"/>
  <c r="L218" i="26"/>
  <c r="K219" i="26"/>
  <c r="L219" i="26"/>
  <c r="K220" i="26"/>
  <c r="L220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A9" i="25"/>
  <c r="R9" i="25"/>
  <c r="AA85" i="25"/>
  <c r="F52" i="25"/>
  <c r="F51" i="6" s="1"/>
  <c r="H52" i="25"/>
  <c r="C55" i="25"/>
  <c r="C56" i="25"/>
  <c r="T65" i="25"/>
  <c r="AX72" i="25"/>
  <c r="AY72" i="25"/>
  <c r="Y78" i="25"/>
  <c r="AA78" i="25"/>
  <c r="AW78" i="25"/>
  <c r="AX78" i="25" s="1"/>
  <c r="AU78" i="25" s="1"/>
  <c r="Y79" i="25"/>
  <c r="AA79" i="25"/>
  <c r="AX79" i="25"/>
  <c r="AU79" i="25" s="1"/>
  <c r="AY79" i="25"/>
  <c r="Y80" i="25"/>
  <c r="AA80" i="25"/>
  <c r="AX80" i="25"/>
  <c r="AU80" i="25" s="1"/>
  <c r="AY80" i="25"/>
  <c r="Y81" i="25"/>
  <c r="AA81" i="25"/>
  <c r="AX81" i="25"/>
  <c r="AU81" i="25" s="1"/>
  <c r="AY81" i="25"/>
  <c r="Y89" i="25"/>
  <c r="AA89" i="25"/>
  <c r="AX89" i="25"/>
  <c r="AU89" i="25" s="1"/>
  <c r="AY89" i="25"/>
  <c r="AX94" i="25"/>
  <c r="AE94" i="25" s="1"/>
  <c r="AY94" i="25"/>
  <c r="AX90" i="25"/>
  <c r="AY90" i="25"/>
  <c r="AX91" i="25"/>
  <c r="AU91" i="25" s="1"/>
  <c r="AY91" i="25"/>
  <c r="AX92" i="25"/>
  <c r="AY92" i="25"/>
  <c r="AX95" i="25"/>
  <c r="AU95" i="25" s="1"/>
  <c r="AY95" i="25"/>
  <c r="AX93" i="25"/>
  <c r="AY93" i="25"/>
  <c r="Y98" i="25"/>
  <c r="AA98" i="25"/>
  <c r="AX98" i="25"/>
  <c r="AU98" i="25" s="1"/>
  <c r="AY98" i="25"/>
  <c r="Y99" i="25"/>
  <c r="AA99" i="25"/>
  <c r="AX99" i="25"/>
  <c r="AY99" i="25"/>
  <c r="Y100" i="25"/>
  <c r="AA100" i="25"/>
  <c r="AX100" i="25"/>
  <c r="AU100" i="25" s="1"/>
  <c r="AY100" i="25"/>
  <c r="V111" i="25"/>
  <c r="V112" i="25"/>
  <c r="A9" i="24"/>
  <c r="R9" i="24"/>
  <c r="AA107" i="24"/>
  <c r="AA109" i="24"/>
  <c r="AA114" i="24"/>
  <c r="AA116" i="24"/>
  <c r="AA120" i="24"/>
  <c r="AA124" i="24"/>
  <c r="AA126" i="24"/>
  <c r="AW53" i="24"/>
  <c r="AX53" i="24" s="1"/>
  <c r="AA128" i="24"/>
  <c r="AX57" i="24"/>
  <c r="AY57" i="24"/>
  <c r="AA134" i="24"/>
  <c r="C75" i="24"/>
  <c r="C76" i="24"/>
  <c r="T82" i="24"/>
  <c r="Y95" i="24"/>
  <c r="AA95" i="24"/>
  <c r="AX95" i="24"/>
  <c r="AU95" i="24" s="1"/>
  <c r="AY95" i="24"/>
  <c r="Y96" i="24"/>
  <c r="AA96" i="24"/>
  <c r="AX96" i="24"/>
  <c r="AY96" i="24"/>
  <c r="Y97" i="24"/>
  <c r="AA97" i="24"/>
  <c r="AX97" i="24"/>
  <c r="AU97" i="24" s="1"/>
  <c r="AY97" i="24"/>
  <c r="Y100" i="24"/>
  <c r="AA100" i="24"/>
  <c r="AX100" i="24"/>
  <c r="AY100" i="24"/>
  <c r="Y101" i="24"/>
  <c r="AA101" i="24"/>
  <c r="AX101" i="24"/>
  <c r="AU101" i="24" s="1"/>
  <c r="AY101" i="24"/>
  <c r="Y102" i="24"/>
  <c r="AA102" i="24"/>
  <c r="AX102" i="24"/>
  <c r="AY102" i="24"/>
  <c r="Y105" i="24"/>
  <c r="AA105" i="24"/>
  <c r="AW105" i="24"/>
  <c r="AX105" i="24" s="1"/>
  <c r="AU105" i="24" s="1"/>
  <c r="Y106" i="24"/>
  <c r="AA106" i="24"/>
  <c r="AX106" i="24"/>
  <c r="AU106" i="24" s="1"/>
  <c r="AY106" i="24"/>
  <c r="Y107" i="24"/>
  <c r="AX107" i="24"/>
  <c r="AY107" i="24"/>
  <c r="Y108" i="24"/>
  <c r="AA108" i="24"/>
  <c r="AX108" i="24"/>
  <c r="AU108" i="24" s="1"/>
  <c r="AY108" i="24"/>
  <c r="Y109" i="24"/>
  <c r="AX109" i="24"/>
  <c r="AY109" i="24"/>
  <c r="Y113" i="24"/>
  <c r="AA113" i="24"/>
  <c r="AX113" i="24"/>
  <c r="AU113" i="24" s="1"/>
  <c r="AY113" i="24"/>
  <c r="Y114" i="24"/>
  <c r="AX114" i="24"/>
  <c r="AY114" i="24"/>
  <c r="Y115" i="24"/>
  <c r="AA115" i="24"/>
  <c r="AX115" i="24"/>
  <c r="AU115" i="24" s="1"/>
  <c r="AY115" i="24"/>
  <c r="Y116" i="24"/>
  <c r="AX116" i="24"/>
  <c r="AY116" i="24"/>
  <c r="Y119" i="24"/>
  <c r="AA119" i="24"/>
  <c r="AX119" i="24"/>
  <c r="AU119" i="24" s="1"/>
  <c r="AY119" i="24"/>
  <c r="Y120" i="24"/>
  <c r="AX120" i="24"/>
  <c r="AY120" i="24"/>
  <c r="Y121" i="24"/>
  <c r="AA121" i="24"/>
  <c r="AX121" i="24"/>
  <c r="AU121" i="24" s="1"/>
  <c r="AY121" i="24"/>
  <c r="Y124" i="24"/>
  <c r="AX124" i="24"/>
  <c r="AY124" i="24"/>
  <c r="Y125" i="24"/>
  <c r="AA125" i="24"/>
  <c r="AX125" i="24"/>
  <c r="AU125" i="24" s="1"/>
  <c r="AY125" i="24"/>
  <c r="Y126" i="24"/>
  <c r="AX126" i="24"/>
  <c r="AY126" i="24"/>
  <c r="Y127" i="24"/>
  <c r="AA127" i="24"/>
  <c r="AX127" i="24"/>
  <c r="AU127" i="24" s="1"/>
  <c r="AY127" i="24"/>
  <c r="Y128" i="24"/>
  <c r="AX128" i="24"/>
  <c r="AY128" i="24"/>
  <c r="Y129" i="24"/>
  <c r="AA129" i="24"/>
  <c r="AX129" i="24"/>
  <c r="AU129" i="24" s="1"/>
  <c r="AY129" i="24"/>
  <c r="Y130" i="24"/>
  <c r="AA130" i="24"/>
  <c r="AX130" i="24"/>
  <c r="AY130" i="24"/>
  <c r="Y133" i="24"/>
  <c r="AA133" i="24"/>
  <c r="AX133" i="24"/>
  <c r="AU133" i="24" s="1"/>
  <c r="AY133" i="24"/>
  <c r="Y134" i="24"/>
  <c r="AX134" i="24"/>
  <c r="AY134" i="24"/>
  <c r="AX136" i="24"/>
  <c r="AY136" i="24"/>
  <c r="Y137" i="24"/>
  <c r="AA137" i="24"/>
  <c r="AE137" i="24" s="1"/>
  <c r="V148" i="24"/>
  <c r="V149" i="24"/>
  <c r="A9" i="22"/>
  <c r="R9" i="22"/>
  <c r="F31" i="22"/>
  <c r="H31" i="22"/>
  <c r="F37" i="22"/>
  <c r="H37" i="22"/>
  <c r="C48" i="22"/>
  <c r="C49" i="22"/>
  <c r="T59" i="22"/>
  <c r="Y72" i="22"/>
  <c r="AA72" i="22"/>
  <c r="AX72" i="22"/>
  <c r="AU72" i="22" s="1"/>
  <c r="AY72" i="22"/>
  <c r="Y73" i="22"/>
  <c r="AA73" i="22"/>
  <c r="AX73" i="22"/>
  <c r="AY73" i="22"/>
  <c r="Y76" i="22"/>
  <c r="AA76" i="22"/>
  <c r="AX76" i="22"/>
  <c r="AU76" i="22" s="1"/>
  <c r="AY76" i="22"/>
  <c r="Y78" i="22"/>
  <c r="AA78" i="22"/>
  <c r="AX78" i="22"/>
  <c r="AY78" i="22"/>
  <c r="Y79" i="22"/>
  <c r="AA79" i="22"/>
  <c r="AX79" i="22"/>
  <c r="AU79" i="22" s="1"/>
  <c r="AY79" i="22"/>
  <c r="Y80" i="22"/>
  <c r="AA80" i="22"/>
  <c r="AX80" i="22"/>
  <c r="AY80" i="22"/>
  <c r="Y85" i="22"/>
  <c r="AA85" i="22"/>
  <c r="AX85" i="22"/>
  <c r="AY85" i="22"/>
  <c r="Y86" i="22"/>
  <c r="AA86" i="22"/>
  <c r="AX86" i="22"/>
  <c r="AU86" i="22" s="1"/>
  <c r="AY86" i="22"/>
  <c r="V98" i="22"/>
  <c r="V99" i="22"/>
  <c r="A9" i="20"/>
  <c r="R9" i="20"/>
  <c r="C50" i="20"/>
  <c r="C51" i="20"/>
  <c r="T60" i="20"/>
  <c r="AI83" i="20"/>
  <c r="Y91" i="20"/>
  <c r="Y98" i="20" s="1"/>
  <c r="F47" i="5" s="1"/>
  <c r="V101" i="20"/>
  <c r="V102" i="20"/>
  <c r="A9" i="19"/>
  <c r="R9" i="19"/>
  <c r="A75" i="19"/>
  <c r="R75" i="19"/>
  <c r="F199" i="19"/>
  <c r="F209" i="19" s="1"/>
  <c r="F46" i="6" s="1"/>
  <c r="H199" i="19"/>
  <c r="F208" i="19"/>
  <c r="T229" i="19"/>
  <c r="AX237" i="19"/>
  <c r="AY237" i="19"/>
  <c r="Y242" i="19"/>
  <c r="AA242" i="19"/>
  <c r="AW242" i="19"/>
  <c r="AX242" i="19" s="1"/>
  <c r="Y243" i="19"/>
  <c r="AA243" i="19"/>
  <c r="Y241" i="19"/>
  <c r="AA241" i="19"/>
  <c r="AW241" i="19"/>
  <c r="AX241" i="19" s="1"/>
  <c r="Y244" i="19"/>
  <c r="AA244" i="19"/>
  <c r="Y245" i="19"/>
  <c r="AA245" i="19"/>
  <c r="Y246" i="19"/>
  <c r="AA246" i="19"/>
  <c r="Y247" i="19"/>
  <c r="AA247" i="19"/>
  <c r="Y248" i="19"/>
  <c r="AE248" i="19" s="1"/>
  <c r="AA248" i="19"/>
  <c r="AX248" i="19"/>
  <c r="AY248" i="19"/>
  <c r="Y249" i="19"/>
  <c r="BA248" i="19" s="1"/>
  <c r="AA249" i="19"/>
  <c r="Y250" i="19"/>
  <c r="AA250" i="19"/>
  <c r="AX250" i="19"/>
  <c r="AY250" i="19"/>
  <c r="Y251" i="19"/>
  <c r="AA251" i="19"/>
  <c r="AX253" i="19"/>
  <c r="AT253" i="19" s="1"/>
  <c r="AY253" i="19"/>
  <c r="AX257" i="19"/>
  <c r="AY257" i="19"/>
  <c r="AX259" i="19"/>
  <c r="AT259" i="19" s="1"/>
  <c r="AY259" i="19"/>
  <c r="Y262" i="19"/>
  <c r="AA262" i="19"/>
  <c r="AX262" i="19"/>
  <c r="AY262" i="19"/>
  <c r="Y261" i="19"/>
  <c r="AA261" i="19"/>
  <c r="AX261" i="19"/>
  <c r="AY261" i="19"/>
  <c r="Y263" i="19"/>
  <c r="AA263" i="19"/>
  <c r="Y264" i="19"/>
  <c r="AA264" i="19"/>
  <c r="Y265" i="19"/>
  <c r="AA265" i="19"/>
  <c r="Y266" i="19"/>
  <c r="AA266" i="19"/>
  <c r="AX266" i="19"/>
  <c r="AY266" i="19"/>
  <c r="Y267" i="19"/>
  <c r="AA267" i="19"/>
  <c r="Y269" i="19"/>
  <c r="AA269" i="19"/>
  <c r="AX269" i="19"/>
  <c r="AY269" i="19"/>
  <c r="Y270" i="19"/>
  <c r="AA270" i="19"/>
  <c r="Y271" i="19"/>
  <c r="AA271" i="19"/>
  <c r="Y272" i="19"/>
  <c r="AA272" i="19"/>
  <c r="Y273" i="19"/>
  <c r="AA273" i="19"/>
  <c r="Y274" i="19"/>
  <c r="AA274" i="19"/>
  <c r="AX274" i="19"/>
  <c r="AY274" i="19"/>
  <c r="Y275" i="19"/>
  <c r="AA275" i="19"/>
  <c r="AX275" i="19"/>
  <c r="AY275" i="19"/>
  <c r="Y276" i="19"/>
  <c r="AA276" i="19"/>
  <c r="Y277" i="19"/>
  <c r="AA277" i="19"/>
  <c r="AN277" i="19"/>
  <c r="Y278" i="19"/>
  <c r="AA278" i="19"/>
  <c r="Y307" i="19"/>
  <c r="AA307" i="19"/>
  <c r="AX307" i="19"/>
  <c r="AT307" i="19" s="1"/>
  <c r="AY307" i="19"/>
  <c r="Y308" i="19"/>
  <c r="AA308" i="19"/>
  <c r="AX308" i="19"/>
  <c r="AY308" i="19"/>
  <c r="Y309" i="19"/>
  <c r="AA309" i="19"/>
  <c r="AX309" i="19"/>
  <c r="AY309" i="19"/>
  <c r="Y310" i="19"/>
  <c r="AA310" i="19"/>
  <c r="Y311" i="19"/>
  <c r="AA311" i="19"/>
  <c r="Y312" i="19"/>
  <c r="AA312" i="19"/>
  <c r="AX312" i="19"/>
  <c r="AY312" i="19"/>
  <c r="Y313" i="19"/>
  <c r="AA313" i="19"/>
  <c r="T295" i="19"/>
  <c r="AO295" i="19"/>
  <c r="Y318" i="19"/>
  <c r="AA318" i="19"/>
  <c r="AX318" i="19"/>
  <c r="AY318" i="19"/>
  <c r="Y320" i="19"/>
  <c r="AA320" i="19"/>
  <c r="Y321" i="19"/>
  <c r="AA321" i="19"/>
  <c r="Y322" i="19"/>
  <c r="AA322" i="19"/>
  <c r="Y323" i="19"/>
  <c r="AA323" i="19"/>
  <c r="AX323" i="19"/>
  <c r="AY323" i="19"/>
  <c r="Y324" i="19"/>
  <c r="AA324" i="19"/>
  <c r="Y325" i="19"/>
  <c r="AA325" i="19"/>
  <c r="Y326" i="19"/>
  <c r="AA326" i="19"/>
  <c r="AX326" i="19"/>
  <c r="AY326" i="19"/>
  <c r="Y327" i="19"/>
  <c r="AA327" i="19"/>
  <c r="Y329" i="19"/>
  <c r="AA329" i="19"/>
  <c r="AX329" i="19"/>
  <c r="AY329" i="19"/>
  <c r="Y330" i="19"/>
  <c r="AA330" i="19"/>
  <c r="AX330" i="19"/>
  <c r="AT330" i="19" s="1"/>
  <c r="AY330" i="19"/>
  <c r="Y331" i="19"/>
  <c r="AA331" i="19"/>
  <c r="AX331" i="19"/>
  <c r="AY331" i="19"/>
  <c r="Y335" i="19"/>
  <c r="AA335" i="19"/>
  <c r="AX335" i="19"/>
  <c r="AT335" i="19" s="1"/>
  <c r="AY335" i="19"/>
  <c r="Y338" i="19"/>
  <c r="AA338" i="19"/>
  <c r="AX338" i="19"/>
  <c r="AY338" i="19"/>
  <c r="Y339" i="19"/>
  <c r="AA339" i="19"/>
  <c r="AX339" i="19"/>
  <c r="AT339" i="19" s="1"/>
  <c r="AY339" i="19"/>
  <c r="Y341" i="19"/>
  <c r="AA341" i="19"/>
  <c r="AX341" i="19"/>
  <c r="AY341" i="19"/>
  <c r="Y342" i="19"/>
  <c r="AA342" i="19"/>
  <c r="Y343" i="19"/>
  <c r="AA343" i="19"/>
  <c r="Y344" i="19"/>
  <c r="AA344" i="19"/>
  <c r="Y347" i="19"/>
  <c r="AA347" i="19"/>
  <c r="AX347" i="19"/>
  <c r="AY347" i="19"/>
  <c r="Y348" i="19"/>
  <c r="AA348" i="19"/>
  <c r="Y349" i="19"/>
  <c r="AA349" i="19"/>
  <c r="Y351" i="19"/>
  <c r="AA351" i="19"/>
  <c r="AX351" i="19"/>
  <c r="AT351" i="19" s="1"/>
  <c r="AY351" i="19"/>
  <c r="Y352" i="19"/>
  <c r="AA352" i="19"/>
  <c r="Y353" i="19"/>
  <c r="AA353" i="19"/>
  <c r="Y354" i="19"/>
  <c r="AA354" i="19"/>
  <c r="AX354" i="19"/>
  <c r="AY354" i="19"/>
  <c r="Y355" i="19"/>
  <c r="AA355" i="19"/>
  <c r="Y356" i="19"/>
  <c r="AA356" i="19"/>
  <c r="AX356" i="19"/>
  <c r="AT356" i="19" s="1"/>
  <c r="AY356" i="19"/>
  <c r="Y358" i="19"/>
  <c r="AA358" i="19"/>
  <c r="Y359" i="19"/>
  <c r="AA359" i="19"/>
  <c r="AX359" i="19"/>
  <c r="AT359" i="19" s="1"/>
  <c r="AY359" i="19"/>
  <c r="Y390" i="19"/>
  <c r="AA390" i="19"/>
  <c r="Y391" i="19"/>
  <c r="AA391" i="19"/>
  <c r="AX391" i="19"/>
  <c r="AY391" i="19"/>
  <c r="Y400" i="19"/>
  <c r="AA400" i="19"/>
  <c r="Y401" i="19"/>
  <c r="AA401" i="19"/>
  <c r="AX401" i="19"/>
  <c r="AY401" i="19"/>
  <c r="Y402" i="19"/>
  <c r="AA402" i="19"/>
  <c r="Y404" i="19"/>
  <c r="AA404" i="19"/>
  <c r="AX404" i="19"/>
  <c r="AT404" i="19" s="1"/>
  <c r="AY404" i="19"/>
  <c r="Y406" i="19"/>
  <c r="AA406" i="19"/>
  <c r="AX418" i="19"/>
  <c r="AY418" i="19"/>
  <c r="Y426" i="19"/>
  <c r="AE426" i="19" s="1"/>
  <c r="Y427" i="19"/>
  <c r="AE427" i="19" s="1"/>
  <c r="T432" i="19"/>
  <c r="T433" i="19"/>
  <c r="A9" i="14"/>
  <c r="R9" i="14"/>
  <c r="C59" i="14"/>
  <c r="C60" i="14"/>
  <c r="T73" i="14"/>
  <c r="AC99" i="14"/>
  <c r="V123" i="14"/>
  <c r="V124" i="14"/>
  <c r="A9" i="13"/>
  <c r="C49" i="13"/>
  <c r="C50" i="13"/>
  <c r="T61" i="13"/>
  <c r="V101" i="13"/>
  <c r="V102" i="13"/>
  <c r="A9" i="12"/>
  <c r="R23" i="12"/>
  <c r="F38" i="12"/>
  <c r="Y101" i="12" s="1"/>
  <c r="F57" i="12"/>
  <c r="Y120" i="12" s="1"/>
  <c r="C60" i="12"/>
  <c r="C61" i="12"/>
  <c r="T73" i="12"/>
  <c r="Y86" i="12"/>
  <c r="AE86" i="12"/>
  <c r="Y88" i="12"/>
  <c r="Y106" i="12"/>
  <c r="AE106" i="12" s="1"/>
  <c r="Y109" i="12"/>
  <c r="Y110" i="12"/>
  <c r="V123" i="12"/>
  <c r="V124" i="12"/>
  <c r="A9" i="11"/>
  <c r="C46" i="11"/>
  <c r="C47" i="11"/>
  <c r="T57" i="11"/>
  <c r="Y74" i="11"/>
  <c r="AE74" i="11" s="1"/>
  <c r="AE78" i="11"/>
  <c r="V94" i="11"/>
  <c r="V95" i="11"/>
  <c r="A9" i="10"/>
  <c r="H37" i="10"/>
  <c r="C64" i="10"/>
  <c r="C65" i="10"/>
  <c r="T77" i="10"/>
  <c r="Y91" i="10"/>
  <c r="AE91" i="10" s="1"/>
  <c r="Y107" i="10"/>
  <c r="AC107" i="10"/>
  <c r="AC108" i="10"/>
  <c r="V132" i="10"/>
  <c r="V133" i="10"/>
  <c r="A9" i="9"/>
  <c r="H38" i="9"/>
  <c r="C66" i="9"/>
  <c r="C67" i="9"/>
  <c r="T79" i="9"/>
  <c r="AC110" i="9"/>
  <c r="AC117" i="9"/>
  <c r="AC118" i="9"/>
  <c r="AC122" i="9"/>
  <c r="AC118" i="10" s="1"/>
  <c r="V136" i="9"/>
  <c r="V137" i="9"/>
  <c r="A9" i="8"/>
  <c r="C54" i="8"/>
  <c r="T64" i="8"/>
  <c r="V109" i="8"/>
  <c r="A9" i="7"/>
  <c r="C42" i="7"/>
  <c r="T50" i="7"/>
  <c r="V83" i="7"/>
  <c r="A9" i="6"/>
  <c r="F47" i="6"/>
  <c r="F50" i="6"/>
  <c r="F56" i="6"/>
  <c r="H56" i="6"/>
  <c r="F57" i="6"/>
  <c r="H57" i="6"/>
  <c r="J57" i="6" s="1"/>
  <c r="R57" i="6"/>
  <c r="G61" i="3" s="1"/>
  <c r="F58" i="6"/>
  <c r="H58" i="6"/>
  <c r="J58" i="6" s="1"/>
  <c r="R58" i="6"/>
  <c r="G62" i="3" s="1"/>
  <c r="F59" i="6"/>
  <c r="H59" i="6"/>
  <c r="J59" i="6" s="1"/>
  <c r="F61" i="6"/>
  <c r="H61" i="6"/>
  <c r="J61" i="6" s="1"/>
  <c r="F63" i="6"/>
  <c r="H63" i="6"/>
  <c r="J63" i="6" s="1"/>
  <c r="A9" i="5"/>
  <c r="T56" i="5"/>
  <c r="V57" i="5"/>
  <c r="R58" i="5"/>
  <c r="V58" i="5"/>
  <c r="R42" i="4" s="1"/>
  <c r="V59" i="5"/>
  <c r="R43" i="4" s="1"/>
  <c r="V61" i="5"/>
  <c r="R45" i="4" s="1"/>
  <c r="A9" i="4"/>
  <c r="F40" i="4"/>
  <c r="H40" i="4"/>
  <c r="F41" i="4"/>
  <c r="H41" i="4"/>
  <c r="L41" i="4" s="1"/>
  <c r="J41" i="4"/>
  <c r="P41" i="4"/>
  <c r="F42" i="4"/>
  <c r="H42" i="4"/>
  <c r="L42" i="4" s="1"/>
  <c r="J42" i="4"/>
  <c r="P42" i="4"/>
  <c r="F43" i="4"/>
  <c r="H43" i="4"/>
  <c r="L43" i="4" s="1"/>
  <c r="J43" i="4"/>
  <c r="P43" i="4"/>
  <c r="F45" i="4"/>
  <c r="H45" i="4"/>
  <c r="L45" i="4" s="1"/>
  <c r="J45" i="4"/>
  <c r="P45" i="4"/>
  <c r="F47" i="4"/>
  <c r="H47" i="4"/>
  <c r="L47" i="4" s="1"/>
  <c r="P47" i="4"/>
  <c r="A10" i="3"/>
  <c r="E61" i="3"/>
  <c r="M21" i="26" l="1"/>
  <c r="M23" i="26"/>
  <c r="M22" i="26"/>
  <c r="O22" i="26" s="1"/>
  <c r="O75" i="26"/>
  <c r="M171" i="26"/>
  <c r="O171" i="26" s="1"/>
  <c r="M163" i="26"/>
  <c r="O163" i="26" s="1"/>
  <c r="M155" i="26"/>
  <c r="O155" i="26" s="1"/>
  <c r="M168" i="26"/>
  <c r="O168" i="26" s="1"/>
  <c r="M165" i="26"/>
  <c r="O165" i="26" s="1"/>
  <c r="M157" i="26"/>
  <c r="O157" i="26" s="1"/>
  <c r="M149" i="26"/>
  <c r="O149" i="26" s="1"/>
  <c r="M24" i="26"/>
  <c r="O24" i="26" s="1"/>
  <c r="M25" i="26"/>
  <c r="O25" i="26" s="1"/>
  <c r="M160" i="26"/>
  <c r="O160" i="26" s="1"/>
  <c r="M170" i="26"/>
  <c r="O170" i="26" s="1"/>
  <c r="M162" i="26"/>
  <c r="O162" i="26" s="1"/>
  <c r="M154" i="26"/>
  <c r="O154" i="26" s="1"/>
  <c r="M77" i="26"/>
  <c r="O77" i="26" s="1"/>
  <c r="M167" i="26"/>
  <c r="O167" i="26" s="1"/>
  <c r="M159" i="26"/>
  <c r="O159" i="26" s="1"/>
  <c r="M151" i="26"/>
  <c r="O151" i="26" s="1"/>
  <c r="M20" i="26"/>
  <c r="O20" i="26" s="1"/>
  <c r="O21" i="26"/>
  <c r="M152" i="26"/>
  <c r="O152" i="26" s="1"/>
  <c r="M172" i="26"/>
  <c r="O172" i="26" s="1"/>
  <c r="M164" i="26"/>
  <c r="O164" i="26" s="1"/>
  <c r="M156" i="26"/>
  <c r="O156" i="26" s="1"/>
  <c r="M169" i="26"/>
  <c r="O169" i="26" s="1"/>
  <c r="M161" i="26"/>
  <c r="O161" i="26" s="1"/>
  <c r="M153" i="26"/>
  <c r="O153" i="26" s="1"/>
  <c r="M76" i="26"/>
  <c r="O76" i="26" s="1"/>
  <c r="O23" i="26"/>
  <c r="M26" i="26"/>
  <c r="O26" i="26" s="1"/>
  <c r="M166" i="26"/>
  <c r="O166" i="26" s="1"/>
  <c r="M158" i="26"/>
  <c r="O158" i="26" s="1"/>
  <c r="M150" i="26"/>
  <c r="O150" i="26" s="1"/>
  <c r="E65" i="3"/>
  <c r="Y81" i="22"/>
  <c r="H51" i="6"/>
  <c r="P52" i="25"/>
  <c r="F38" i="22"/>
  <c r="AY53" i="24"/>
  <c r="P199" i="19"/>
  <c r="BD248" i="19"/>
  <c r="AE249" i="19"/>
  <c r="BF248" i="19"/>
  <c r="BC248" i="19"/>
  <c r="BE248" i="19" s="1"/>
  <c r="R41" i="4"/>
  <c r="X57" i="5"/>
  <c r="F34" i="4"/>
  <c r="F45" i="22"/>
  <c r="F49" i="6" s="1"/>
  <c r="H45" i="22"/>
  <c r="H38" i="22"/>
  <c r="F26" i="4"/>
  <c r="F30" i="5"/>
  <c r="F30" i="6"/>
  <c r="E63" i="3"/>
  <c r="E62" i="3"/>
  <c r="I62" i="3" s="1"/>
  <c r="K62" i="3" s="1"/>
  <c r="P40" i="4"/>
  <c r="L56" i="5"/>
  <c r="J56" i="6" s="1"/>
  <c r="F29" i="6"/>
  <c r="F29" i="5"/>
  <c r="F25" i="4"/>
  <c r="AI86" i="12"/>
  <c r="AE88" i="12"/>
  <c r="AO88" i="12" s="1"/>
  <c r="Y92" i="12"/>
  <c r="Y111" i="12"/>
  <c r="AA101" i="25"/>
  <c r="Y101" i="25"/>
  <c r="Y108" i="25" s="1"/>
  <c r="Y138" i="24"/>
  <c r="Y145" i="24" s="1"/>
  <c r="AA138" i="24"/>
  <c r="AY105" i="24"/>
  <c r="H65" i="24"/>
  <c r="Y419" i="19"/>
  <c r="AO78" i="11"/>
  <c r="AQ78" i="11" s="1"/>
  <c r="AO74" i="11"/>
  <c r="AQ74" i="11" s="1"/>
  <c r="L61" i="6"/>
  <c r="E55" i="3"/>
  <c r="P56" i="6"/>
  <c r="AY78" i="25"/>
  <c r="I26" i="27"/>
  <c r="F57" i="26" s="1"/>
  <c r="I27" i="27"/>
  <c r="F58" i="26" s="1"/>
  <c r="I25" i="27"/>
  <c r="F56" i="26" s="1"/>
  <c r="AA87" i="22"/>
  <c r="AA81" i="22"/>
  <c r="P45" i="22"/>
  <c r="P49" i="6" s="1"/>
  <c r="Y314" i="19"/>
  <c r="AK413" i="19"/>
  <c r="AA314" i="19"/>
  <c r="AY241" i="19"/>
  <c r="AY242" i="19"/>
  <c r="AA419" i="19"/>
  <c r="H209" i="19"/>
  <c r="AO86" i="12"/>
  <c r="AE107" i="10"/>
  <c r="I28" i="27"/>
  <c r="F59" i="26" s="1"/>
  <c r="AO426" i="19"/>
  <c r="AO106" i="12"/>
  <c r="I31" i="27"/>
  <c r="F62" i="26" s="1"/>
  <c r="I30" i="27"/>
  <c r="F61" i="26" s="1"/>
  <c r="I29" i="27"/>
  <c r="F60" i="26" s="1"/>
  <c r="I47" i="27"/>
  <c r="I46" i="27"/>
  <c r="I45" i="27"/>
  <c r="I23" i="27"/>
  <c r="F54" i="26" s="1"/>
  <c r="I22" i="27"/>
  <c r="F53" i="26" s="1"/>
  <c r="I21" i="27"/>
  <c r="F52" i="26" s="1"/>
  <c r="I32" i="27"/>
  <c r="F63" i="26" s="1"/>
  <c r="I24" i="27"/>
  <c r="F55" i="26" s="1"/>
  <c r="F11" i="27"/>
  <c r="F13" i="27"/>
  <c r="F9" i="27"/>
  <c r="F10" i="27"/>
  <c r="F12" i="27"/>
  <c r="AE353" i="19"/>
  <c r="AE242" i="19"/>
  <c r="AU90" i="20"/>
  <c r="AU75" i="20"/>
  <c r="AE400" i="19"/>
  <c r="AE348" i="19"/>
  <c r="AT347" i="19"/>
  <c r="AE327" i="19"/>
  <c r="AT326" i="19"/>
  <c r="AE320" i="19"/>
  <c r="AT318" i="19"/>
  <c r="AE310" i="19"/>
  <c r="AT309" i="19"/>
  <c r="AE276" i="19"/>
  <c r="AT275" i="19"/>
  <c r="AE270" i="19"/>
  <c r="AE273" i="19"/>
  <c r="AT269" i="19"/>
  <c r="AE263" i="19"/>
  <c r="AT261" i="19"/>
  <c r="AE265" i="19"/>
  <c r="AT248" i="19"/>
  <c r="I61" i="3"/>
  <c r="K61" i="3" s="1"/>
  <c r="AE417" i="19"/>
  <c r="AE414" i="19"/>
  <c r="AE406" i="19"/>
  <c r="AE404" i="19"/>
  <c r="AE395" i="19"/>
  <c r="AE359" i="19"/>
  <c r="AE356" i="19"/>
  <c r="AE347" i="19"/>
  <c r="AE339" i="19"/>
  <c r="AE335" i="19"/>
  <c r="AE330" i="19"/>
  <c r="AE326" i="19"/>
  <c r="AE318" i="19"/>
  <c r="AE309" i="19"/>
  <c r="AE307" i="19"/>
  <c r="AE275" i="19"/>
  <c r="AE261" i="19"/>
  <c r="AE259" i="19"/>
  <c r="AE253" i="19"/>
  <c r="AE79" i="22"/>
  <c r="AE76" i="22"/>
  <c r="AE72" i="22"/>
  <c r="AK72" i="22" s="1"/>
  <c r="AE129" i="24"/>
  <c r="AE125" i="24"/>
  <c r="AE121" i="24"/>
  <c r="AE119" i="24"/>
  <c r="AE115" i="24"/>
  <c r="AE113" i="24"/>
  <c r="AE108" i="24"/>
  <c r="AE106" i="24"/>
  <c r="AU94" i="25"/>
  <c r="I41" i="27"/>
  <c r="F72" i="26" s="1"/>
  <c r="I40" i="27"/>
  <c r="F71" i="26" s="1"/>
  <c r="I39" i="27"/>
  <c r="F70" i="26" s="1"/>
  <c r="I38" i="27"/>
  <c r="F69" i="26" s="1"/>
  <c r="I37" i="27"/>
  <c r="F68" i="26" s="1"/>
  <c r="I36" i="27"/>
  <c r="F67" i="26" s="1"/>
  <c r="I35" i="27"/>
  <c r="F66" i="26" s="1"/>
  <c r="I34" i="27"/>
  <c r="F65" i="26" s="1"/>
  <c r="I33" i="27"/>
  <c r="F64" i="26" s="1"/>
  <c r="AE278" i="19"/>
  <c r="AE269" i="19"/>
  <c r="AE86" i="22"/>
  <c r="AE133" i="24"/>
  <c r="AE127" i="24"/>
  <c r="AE101" i="24"/>
  <c r="AE97" i="24"/>
  <c r="AE95" i="24"/>
  <c r="AE100" i="25"/>
  <c r="AK100" i="25" s="1"/>
  <c r="AE98" i="25"/>
  <c r="AE95" i="25"/>
  <c r="AE91" i="25"/>
  <c r="AO91" i="10"/>
  <c r="AK91" i="10"/>
  <c r="AT418" i="19"/>
  <c r="AE418" i="19"/>
  <c r="AE416" i="19"/>
  <c r="AE408" i="19"/>
  <c r="AE410" i="19"/>
  <c r="AT401" i="19"/>
  <c r="AE401" i="19"/>
  <c r="AE403" i="19"/>
  <c r="AT391" i="19"/>
  <c r="AE391" i="19"/>
  <c r="AE390" i="19"/>
  <c r="AE358" i="19"/>
  <c r="AT354" i="19"/>
  <c r="AE354" i="19"/>
  <c r="AE402" i="19"/>
  <c r="AE355" i="19"/>
  <c r="AO427" i="19"/>
  <c r="AE428" i="19"/>
  <c r="AE341" i="19"/>
  <c r="AT341" i="19"/>
  <c r="AE338" i="19"/>
  <c r="AT338" i="19"/>
  <c r="AE331" i="19"/>
  <c r="AT331" i="19"/>
  <c r="AE329" i="19"/>
  <c r="AT329" i="19"/>
  <c r="AE323" i="19"/>
  <c r="AE325" i="19"/>
  <c r="AT323" i="19"/>
  <c r="AE312" i="19"/>
  <c r="AT312" i="19"/>
  <c r="AE308" i="19"/>
  <c r="AT308" i="19"/>
  <c r="AE274" i="19"/>
  <c r="AT274" i="19"/>
  <c r="AE262" i="19"/>
  <c r="AT262" i="19"/>
  <c r="AE257" i="19"/>
  <c r="AT257" i="19"/>
  <c r="AE250" i="19"/>
  <c r="AT250" i="19"/>
  <c r="AT242" i="19"/>
  <c r="AE344" i="19"/>
  <c r="AE343" i="19"/>
  <c r="AE342" i="19"/>
  <c r="AE324" i="19"/>
  <c r="AE313" i="19"/>
  <c r="AE251" i="19"/>
  <c r="AE241" i="19"/>
  <c r="AE243" i="19"/>
  <c r="AE266" i="19"/>
  <c r="AT266" i="19"/>
  <c r="AT241" i="19"/>
  <c r="AE244" i="19"/>
  <c r="AE247" i="19"/>
  <c r="AE246" i="19"/>
  <c r="X58" i="5"/>
  <c r="AK78" i="11"/>
  <c r="AK74" i="11"/>
  <c r="Y428" i="19"/>
  <c r="AE352" i="19"/>
  <c r="AE351" i="19"/>
  <c r="AE267" i="19"/>
  <c r="AE245" i="19"/>
  <c r="AE80" i="22"/>
  <c r="AU80" i="22"/>
  <c r="AE78" i="22"/>
  <c r="AU78" i="22"/>
  <c r="AE73" i="22"/>
  <c r="AU73" i="22"/>
  <c r="AE134" i="24"/>
  <c r="AU134" i="24"/>
  <c r="AE128" i="24"/>
  <c r="AU128" i="24"/>
  <c r="AE124" i="24"/>
  <c r="AU124" i="24"/>
  <c r="AE120" i="24"/>
  <c r="AU120" i="24"/>
  <c r="AE116" i="24"/>
  <c r="AU116" i="24"/>
  <c r="AE114" i="24"/>
  <c r="AU114" i="24"/>
  <c r="AE109" i="24"/>
  <c r="AU109" i="24"/>
  <c r="AE107" i="24"/>
  <c r="AU107" i="24"/>
  <c r="AE349" i="19"/>
  <c r="AE322" i="19"/>
  <c r="AE321" i="19"/>
  <c r="AE311" i="19"/>
  <c r="AE277" i="19"/>
  <c r="AE272" i="19"/>
  <c r="AE271" i="19"/>
  <c r="AE264" i="19"/>
  <c r="AE85" i="22"/>
  <c r="AK85" i="22" s="1"/>
  <c r="AU85" i="22"/>
  <c r="AE130" i="24"/>
  <c r="AU130" i="24"/>
  <c r="AE126" i="24"/>
  <c r="AU126" i="24"/>
  <c r="AE102" i="24"/>
  <c r="AU102" i="24"/>
  <c r="AE100" i="24"/>
  <c r="AU100" i="24"/>
  <c r="AE96" i="24"/>
  <c r="AU96" i="24"/>
  <c r="AE99" i="25"/>
  <c r="AU99" i="25"/>
  <c r="AE93" i="25"/>
  <c r="AU93" i="25"/>
  <c r="AE92" i="25"/>
  <c r="AU92" i="25"/>
  <c r="AE90" i="25"/>
  <c r="AU90" i="25"/>
  <c r="AK94" i="25"/>
  <c r="AE105" i="24"/>
  <c r="Y87" i="22"/>
  <c r="Y88" i="22" s="1"/>
  <c r="Y95" i="22" s="1"/>
  <c r="AU137" i="24"/>
  <c r="AE80" i="25"/>
  <c r="AE79" i="25"/>
  <c r="AE78" i="25"/>
  <c r="AE89" i="25"/>
  <c r="AE81" i="25"/>
  <c r="M67" i="26" l="1"/>
  <c r="O67" i="26" s="1"/>
  <c r="M55" i="26"/>
  <c r="O55" i="26" s="1"/>
  <c r="M69" i="26"/>
  <c r="O69" i="26" s="1"/>
  <c r="M63" i="26"/>
  <c r="O63" i="26" s="1"/>
  <c r="M61" i="26"/>
  <c r="O61" i="26" s="1"/>
  <c r="M70" i="26"/>
  <c r="O70" i="26" s="1"/>
  <c r="M52" i="26"/>
  <c r="O52" i="26" s="1"/>
  <c r="M62" i="26"/>
  <c r="O62" i="26" s="1"/>
  <c r="M56" i="26"/>
  <c r="O56" i="26" s="1"/>
  <c r="M71" i="26"/>
  <c r="O71" i="26" s="1"/>
  <c r="M53" i="26"/>
  <c r="O53" i="26" s="1"/>
  <c r="M58" i="26"/>
  <c r="O58" i="26" s="1"/>
  <c r="M64" i="26"/>
  <c r="O64" i="26" s="1"/>
  <c r="M72" i="26"/>
  <c r="O72" i="26" s="1"/>
  <c r="M54" i="26"/>
  <c r="O54" i="26" s="1"/>
  <c r="M57" i="26"/>
  <c r="O57" i="26" s="1"/>
  <c r="M65" i="26"/>
  <c r="O65" i="26" s="1"/>
  <c r="M59" i="26"/>
  <c r="O59" i="26" s="1"/>
  <c r="M68" i="26"/>
  <c r="O68" i="26" s="1"/>
  <c r="M60" i="26"/>
  <c r="O60" i="26" s="1"/>
  <c r="M66" i="26"/>
  <c r="O66" i="26" s="1"/>
  <c r="H49" i="6"/>
  <c r="H46" i="6"/>
  <c r="AM419" i="19"/>
  <c r="AE105" i="25"/>
  <c r="P38" i="25"/>
  <c r="P22" i="25"/>
  <c r="V63" i="5"/>
  <c r="J47" i="4"/>
  <c r="L63" i="6"/>
  <c r="AE142" i="24"/>
  <c r="AM314" i="19"/>
  <c r="AE422" i="19"/>
  <c r="Y429" i="19"/>
  <c r="F46" i="5" s="1"/>
  <c r="AA429" i="19"/>
  <c r="H46" i="5" s="1"/>
  <c r="P44" i="25"/>
  <c r="P35" i="22"/>
  <c r="AK107" i="10"/>
  <c r="AO107" i="10"/>
  <c r="P36" i="22"/>
  <c r="P26" i="22"/>
  <c r="P37" i="22"/>
  <c r="P30" i="25"/>
  <c r="J56" i="5"/>
  <c r="J40" i="4"/>
  <c r="L40" i="4" s="1"/>
  <c r="AA88" i="22"/>
  <c r="AQ86" i="12"/>
  <c r="AA108" i="25"/>
  <c r="AM108" i="25" s="1"/>
  <c r="AE101" i="25"/>
  <c r="F51" i="5"/>
  <c r="F38" i="4"/>
  <c r="F50" i="5"/>
  <c r="F37" i="4"/>
  <c r="AE138" i="24"/>
  <c r="AA145" i="24"/>
  <c r="H72" i="24"/>
  <c r="P39" i="25"/>
  <c r="P28" i="22"/>
  <c r="P22" i="22"/>
  <c r="P29" i="22"/>
  <c r="P31" i="22"/>
  <c r="R40" i="4"/>
  <c r="P25" i="25"/>
  <c r="P35" i="25"/>
  <c r="P42" i="25"/>
  <c r="P61" i="5"/>
  <c r="R61" i="6"/>
  <c r="G65" i="3" s="1"/>
  <c r="I65" i="3" s="1"/>
  <c r="K65" i="3" s="1"/>
  <c r="P59" i="5"/>
  <c r="R59" i="6"/>
  <c r="P24" i="25"/>
  <c r="P34" i="25"/>
  <c r="P37" i="25"/>
  <c r="P28" i="25"/>
  <c r="P51" i="6"/>
  <c r="P33" i="25"/>
  <c r="P36" i="25"/>
  <c r="P43" i="25"/>
  <c r="P29" i="25"/>
  <c r="P23" i="25"/>
  <c r="P23" i="22"/>
  <c r="AE314" i="19"/>
  <c r="P209" i="19"/>
  <c r="P126" i="19" s="1"/>
  <c r="F43" i="6"/>
  <c r="AE81" i="22"/>
  <c r="F49" i="5"/>
  <c r="F36" i="4"/>
  <c r="AE419" i="19"/>
  <c r="AE87" i="22"/>
  <c r="AO428" i="19"/>
  <c r="P28" i="19" l="1"/>
  <c r="P98" i="19"/>
  <c r="AE92" i="22"/>
  <c r="AM100" i="25"/>
  <c r="AO100" i="25" s="1"/>
  <c r="AQ100" i="25" s="1"/>
  <c r="AM78" i="25"/>
  <c r="AO78" i="25" s="1"/>
  <c r="P133" i="19"/>
  <c r="P107" i="19"/>
  <c r="R63" i="6"/>
  <c r="G66" i="3" s="1"/>
  <c r="P63" i="5"/>
  <c r="R47" i="4"/>
  <c r="E66" i="3"/>
  <c r="E67" i="3" s="1"/>
  <c r="F33" i="4"/>
  <c r="AM429" i="19"/>
  <c r="AM241" i="19" s="1"/>
  <c r="H33" i="4"/>
  <c r="P38" i="22"/>
  <c r="R56" i="6"/>
  <c r="G55" i="3" s="1"/>
  <c r="I55" i="3" s="1"/>
  <c r="K55" i="3" s="1"/>
  <c r="AM85" i="25"/>
  <c r="AO85" i="25" s="1"/>
  <c r="AQ85" i="25" s="1"/>
  <c r="T51" i="5"/>
  <c r="AM92" i="25"/>
  <c r="AO92" i="25" s="1"/>
  <c r="AA95" i="22"/>
  <c r="AM95" i="22" s="1"/>
  <c r="AM84" i="25"/>
  <c r="AO84" i="25" s="1"/>
  <c r="AM86" i="25"/>
  <c r="AO86" i="25" s="1"/>
  <c r="AM94" i="25"/>
  <c r="AO94" i="25" s="1"/>
  <c r="AQ94" i="25" s="1"/>
  <c r="P30" i="22"/>
  <c r="H38" i="4"/>
  <c r="H51" i="5"/>
  <c r="P38" i="4"/>
  <c r="AM95" i="25"/>
  <c r="AO95" i="25" s="1"/>
  <c r="P56" i="5"/>
  <c r="AM81" i="25"/>
  <c r="AO81" i="25" s="1"/>
  <c r="AM99" i="25"/>
  <c r="AO99" i="25" s="1"/>
  <c r="AM80" i="25"/>
  <c r="AO80" i="25" s="1"/>
  <c r="AM90" i="25"/>
  <c r="AO90" i="25" s="1"/>
  <c r="AM79" i="25"/>
  <c r="AO79" i="25" s="1"/>
  <c r="AM98" i="25"/>
  <c r="AO98" i="25" s="1"/>
  <c r="AM89" i="25"/>
  <c r="AO89" i="25" s="1"/>
  <c r="AM93" i="25"/>
  <c r="AO93" i="25" s="1"/>
  <c r="AM91" i="25"/>
  <c r="AO91" i="25" s="1"/>
  <c r="AO105" i="25"/>
  <c r="AO142" i="24"/>
  <c r="AE88" i="22"/>
  <c r="P34" i="19"/>
  <c r="P36" i="19"/>
  <c r="P35" i="19"/>
  <c r="P48" i="19"/>
  <c r="P38" i="19"/>
  <c r="P114" i="19"/>
  <c r="P125" i="19"/>
  <c r="P117" i="19"/>
  <c r="P116" i="19"/>
  <c r="P169" i="19"/>
  <c r="P120" i="19"/>
  <c r="P174" i="19"/>
  <c r="P172" i="19"/>
  <c r="P176" i="19"/>
  <c r="P192" i="19"/>
  <c r="P191" i="19"/>
  <c r="AO422" i="19"/>
  <c r="P45" i="25"/>
  <c r="H50" i="6"/>
  <c r="P72" i="24"/>
  <c r="P23" i="19"/>
  <c r="J39" i="6"/>
  <c r="G63" i="3"/>
  <c r="R59" i="5"/>
  <c r="X59" i="5"/>
  <c r="R61" i="5"/>
  <c r="X61" i="5"/>
  <c r="H49" i="5"/>
  <c r="P187" i="19"/>
  <c r="P189" i="19"/>
  <c r="P173" i="19"/>
  <c r="P185" i="19"/>
  <c r="P137" i="19"/>
  <c r="P168" i="19"/>
  <c r="P195" i="19"/>
  <c r="P113" i="19"/>
  <c r="P99" i="19"/>
  <c r="P193" i="19"/>
  <c r="P183" i="19"/>
  <c r="P197" i="19"/>
  <c r="P186" i="19"/>
  <c r="P182" i="19"/>
  <c r="P175" i="19"/>
  <c r="P136" i="19"/>
  <c r="P131" i="19"/>
  <c r="P128" i="19"/>
  <c r="P118" i="19"/>
  <c r="P109" i="19"/>
  <c r="P103" i="19"/>
  <c r="P101" i="19"/>
  <c r="P92" i="19"/>
  <c r="P90" i="19"/>
  <c r="P55" i="19"/>
  <c r="P47" i="19"/>
  <c r="P39" i="19"/>
  <c r="P31" i="19"/>
  <c r="P27" i="19"/>
  <c r="P25" i="19"/>
  <c r="P22" i="19"/>
  <c r="P198" i="19"/>
  <c r="P188" i="19"/>
  <c r="P181" i="19"/>
  <c r="P171" i="19"/>
  <c r="P138" i="19"/>
  <c r="P127" i="19"/>
  <c r="P123" i="19"/>
  <c r="P119" i="19"/>
  <c r="P110" i="19"/>
  <c r="P105" i="19"/>
  <c r="P93" i="19"/>
  <c r="P87" i="19"/>
  <c r="P57" i="19"/>
  <c r="P54" i="19"/>
  <c r="P52" i="19"/>
  <c r="P50" i="19"/>
  <c r="P45" i="19"/>
  <c r="P43" i="19"/>
  <c r="P37" i="19"/>
  <c r="P29" i="19"/>
  <c r="P194" i="19"/>
  <c r="P184" i="19"/>
  <c r="P179" i="19"/>
  <c r="P139" i="19"/>
  <c r="P135" i="19"/>
  <c r="P129" i="19"/>
  <c r="P121" i="19"/>
  <c r="P111" i="19"/>
  <c r="P102" i="19"/>
  <c r="P100" i="19"/>
  <c r="P91" i="19"/>
  <c r="P88" i="19"/>
  <c r="P49" i="19"/>
  <c r="P41" i="19"/>
  <c r="P33" i="19"/>
  <c r="P26" i="19"/>
  <c r="P24" i="19"/>
  <c r="P196" i="19"/>
  <c r="P190" i="19"/>
  <c r="P180" i="19"/>
  <c r="P170" i="19"/>
  <c r="P134" i="19"/>
  <c r="P132" i="19"/>
  <c r="P124" i="19"/>
  <c r="P122" i="19"/>
  <c r="P115" i="19"/>
  <c r="P106" i="19"/>
  <c r="P104" i="19"/>
  <c r="P89" i="19"/>
  <c r="P58" i="19"/>
  <c r="P56" i="19"/>
  <c r="P53" i="19"/>
  <c r="P51" i="19"/>
  <c r="P46" i="19"/>
  <c r="P44" i="19"/>
  <c r="P42" i="19"/>
  <c r="P30" i="19"/>
  <c r="P21" i="19"/>
  <c r="P46" i="6"/>
  <c r="F43" i="5"/>
  <c r="AO92" i="22" l="1"/>
  <c r="AM78" i="22"/>
  <c r="AO78" i="22" s="1"/>
  <c r="AM79" i="22"/>
  <c r="AO79" i="22" s="1"/>
  <c r="AZ249" i="19"/>
  <c r="AZ250" i="19" s="1"/>
  <c r="BE252" i="19" s="1"/>
  <c r="AO241" i="19"/>
  <c r="AM353" i="19"/>
  <c r="AO353" i="19" s="1"/>
  <c r="AM327" i="19"/>
  <c r="AO327" i="19" s="1"/>
  <c r="AM248" i="19"/>
  <c r="AO248" i="19" s="1"/>
  <c r="R63" i="5"/>
  <c r="X63" i="5"/>
  <c r="I66" i="3"/>
  <c r="K66" i="3" s="1"/>
  <c r="AM341" i="19"/>
  <c r="AO341" i="19" s="1"/>
  <c r="AM356" i="19"/>
  <c r="AO356" i="19" s="1"/>
  <c r="AM313" i="19"/>
  <c r="AO313" i="19" s="1"/>
  <c r="AM401" i="19"/>
  <c r="AO401" i="19" s="1"/>
  <c r="AM272" i="19"/>
  <c r="AO272" i="19" s="1"/>
  <c r="T46" i="5"/>
  <c r="AM253" i="19"/>
  <c r="AO253" i="19" s="1"/>
  <c r="AM257" i="19"/>
  <c r="AO257" i="19" s="1"/>
  <c r="AM342" i="19"/>
  <c r="AO342" i="19" s="1"/>
  <c r="AM312" i="19"/>
  <c r="AO312" i="19" s="1"/>
  <c r="AM413" i="19"/>
  <c r="AO413" i="19" s="1"/>
  <c r="AQ413" i="19" s="1"/>
  <c r="AM346" i="19"/>
  <c r="AO346" i="19" s="1"/>
  <c r="AM358" i="19"/>
  <c r="AO358" i="19" s="1"/>
  <c r="AQ358" i="19" s="1"/>
  <c r="AM348" i="19"/>
  <c r="AO348" i="19" s="1"/>
  <c r="AM275" i="19"/>
  <c r="AO275" i="19" s="1"/>
  <c r="AM323" i="19"/>
  <c r="AO323" i="19" s="1"/>
  <c r="AQ323" i="19" s="1"/>
  <c r="AM265" i="19"/>
  <c r="AO265" i="19" s="1"/>
  <c r="AM393" i="19"/>
  <c r="AO393" i="19" s="1"/>
  <c r="AQ393" i="19" s="1"/>
  <c r="AM334" i="19"/>
  <c r="AO334" i="19" s="1"/>
  <c r="AM418" i="19"/>
  <c r="AO418" i="19" s="1"/>
  <c r="AQ418" i="19" s="1"/>
  <c r="AM404" i="19"/>
  <c r="AO404" i="19" s="1"/>
  <c r="AM326" i="19"/>
  <c r="AO326" i="19" s="1"/>
  <c r="AM244" i="19"/>
  <c r="AO244" i="19" s="1"/>
  <c r="AM277" i="19"/>
  <c r="AO277" i="19" s="1"/>
  <c r="AM258" i="19"/>
  <c r="AO258" i="19" s="1"/>
  <c r="AM408" i="19"/>
  <c r="AO408" i="19" s="1"/>
  <c r="AM352" i="19"/>
  <c r="AO352" i="19" s="1"/>
  <c r="AM395" i="19"/>
  <c r="AO395" i="19" s="1"/>
  <c r="AM344" i="19"/>
  <c r="AO344" i="19" s="1"/>
  <c r="AM324" i="19"/>
  <c r="AO324" i="19" s="1"/>
  <c r="AM267" i="19"/>
  <c r="AO267" i="19" s="1"/>
  <c r="AM243" i="19"/>
  <c r="AO243" i="19" s="1"/>
  <c r="AM321" i="19"/>
  <c r="AO321" i="19" s="1"/>
  <c r="AM274" i="19"/>
  <c r="AO274" i="19" s="1"/>
  <c r="AM263" i="19"/>
  <c r="AO263" i="19" s="1"/>
  <c r="AM407" i="19"/>
  <c r="AO407" i="19" s="1"/>
  <c r="AQ407" i="19" s="1"/>
  <c r="AM255" i="19"/>
  <c r="AO255" i="19" s="1"/>
  <c r="AM394" i="19"/>
  <c r="AO394" i="19" s="1"/>
  <c r="AQ394" i="19" s="1"/>
  <c r="AM391" i="19"/>
  <c r="AO391" i="19" s="1"/>
  <c r="AQ391" i="19" s="1"/>
  <c r="AM414" i="19"/>
  <c r="AO414" i="19" s="1"/>
  <c r="AM351" i="19"/>
  <c r="AO351" i="19" s="1"/>
  <c r="AQ351" i="19" s="1"/>
  <c r="AM335" i="19"/>
  <c r="AO335" i="19" s="1"/>
  <c r="AM307" i="19"/>
  <c r="AO307" i="19" s="1"/>
  <c r="AQ307" i="19" s="1"/>
  <c r="AM247" i="19"/>
  <c r="AO247" i="19" s="1"/>
  <c r="AM331" i="19"/>
  <c r="AO331" i="19" s="1"/>
  <c r="AQ331" i="19" s="1"/>
  <c r="AM310" i="19"/>
  <c r="AO310" i="19" s="1"/>
  <c r="AM270" i="19"/>
  <c r="AO270" i="19" s="1"/>
  <c r="AM249" i="19"/>
  <c r="AO249" i="19" s="1"/>
  <c r="AM319" i="19"/>
  <c r="AO319" i="19" s="1"/>
  <c r="AQ319" i="19" s="1"/>
  <c r="AM357" i="19"/>
  <c r="AO357" i="19" s="1"/>
  <c r="AQ357" i="19" s="1"/>
  <c r="AM337" i="19"/>
  <c r="AO337" i="19" s="1"/>
  <c r="AM396" i="19"/>
  <c r="AO396" i="19" s="1"/>
  <c r="AM410" i="19"/>
  <c r="AO410" i="19" s="1"/>
  <c r="AQ410" i="19" s="1"/>
  <c r="AM390" i="19"/>
  <c r="AO390" i="19" s="1"/>
  <c r="P33" i="4"/>
  <c r="AM406" i="19"/>
  <c r="AO406" i="19" s="1"/>
  <c r="AM359" i="19"/>
  <c r="AO359" i="19" s="1"/>
  <c r="AM349" i="19"/>
  <c r="AO349" i="19" s="1"/>
  <c r="AM343" i="19"/>
  <c r="AO343" i="19" s="1"/>
  <c r="AM330" i="19"/>
  <c r="AO330" i="19" s="1"/>
  <c r="AQ330" i="19" s="1"/>
  <c r="AM318" i="19"/>
  <c r="AO318" i="19" s="1"/>
  <c r="AM278" i="19"/>
  <c r="AO278" i="19" s="1"/>
  <c r="AM259" i="19"/>
  <c r="AO259" i="19" s="1"/>
  <c r="AQ259" i="19" s="1"/>
  <c r="AM245" i="19"/>
  <c r="AO245" i="19" s="1"/>
  <c r="AM242" i="19"/>
  <c r="AO242" i="19" s="1"/>
  <c r="AM329" i="19"/>
  <c r="AO329" i="19" s="1"/>
  <c r="AQ329" i="19" s="1"/>
  <c r="AM320" i="19"/>
  <c r="AO320" i="19" s="1"/>
  <c r="AM308" i="19"/>
  <c r="AO308" i="19" s="1"/>
  <c r="AM273" i="19"/>
  <c r="AO273" i="19" s="1"/>
  <c r="AM266" i="19"/>
  <c r="AO266" i="19" s="1"/>
  <c r="AM262" i="19"/>
  <c r="AO262" i="19" s="1"/>
  <c r="AM246" i="19"/>
  <c r="AO246" i="19" s="1"/>
  <c r="AM403" i="19"/>
  <c r="AO403" i="19" s="1"/>
  <c r="AM415" i="19"/>
  <c r="AO415" i="19" s="1"/>
  <c r="AQ415" i="19" s="1"/>
  <c r="AM333" i="19"/>
  <c r="AO333" i="19" s="1"/>
  <c r="AQ333" i="19" s="1"/>
  <c r="AM405" i="19"/>
  <c r="AO405" i="19" s="1"/>
  <c r="AM336" i="19"/>
  <c r="AO336" i="19" s="1"/>
  <c r="AM389" i="19"/>
  <c r="AO389" i="19" s="1"/>
  <c r="AM340" i="19"/>
  <c r="AO340" i="19" s="1"/>
  <c r="AM416" i="19"/>
  <c r="AO416" i="19" s="1"/>
  <c r="AM400" i="19"/>
  <c r="AO400" i="19" s="1"/>
  <c r="AM354" i="19"/>
  <c r="AO354" i="19" s="1"/>
  <c r="AM417" i="19"/>
  <c r="AO417" i="19" s="1"/>
  <c r="AM402" i="19"/>
  <c r="AO402" i="19" s="1"/>
  <c r="AM355" i="19"/>
  <c r="AO355" i="19" s="1"/>
  <c r="AM347" i="19"/>
  <c r="AO347" i="19" s="1"/>
  <c r="AM339" i="19"/>
  <c r="AO339" i="19" s="1"/>
  <c r="AQ339" i="19" s="1"/>
  <c r="AM325" i="19"/>
  <c r="AO325" i="19" s="1"/>
  <c r="AM309" i="19"/>
  <c r="AO309" i="19" s="1"/>
  <c r="AM269" i="19"/>
  <c r="AO269" i="19" s="1"/>
  <c r="AM251" i="19"/>
  <c r="AO251" i="19" s="1"/>
  <c r="AM338" i="19"/>
  <c r="AO338" i="19" s="1"/>
  <c r="AQ338" i="19" s="1"/>
  <c r="AM322" i="19"/>
  <c r="AO322" i="19" s="1"/>
  <c r="AM311" i="19"/>
  <c r="AO311" i="19" s="1"/>
  <c r="AQ311" i="19" s="1"/>
  <c r="AM276" i="19"/>
  <c r="AO276" i="19" s="1"/>
  <c r="AM271" i="19"/>
  <c r="AO271" i="19" s="1"/>
  <c r="AM264" i="19"/>
  <c r="AO264" i="19" s="1"/>
  <c r="AM250" i="19"/>
  <c r="AO250" i="19" s="1"/>
  <c r="AM261" i="19"/>
  <c r="AO261" i="19" s="1"/>
  <c r="AM388" i="19"/>
  <c r="AO388" i="19" s="1"/>
  <c r="AQ388" i="19" s="1"/>
  <c r="AM409" i="19"/>
  <c r="AO409" i="19" s="1"/>
  <c r="AQ409" i="19" s="1"/>
  <c r="AM256" i="19"/>
  <c r="AO256" i="19" s="1"/>
  <c r="AM345" i="19"/>
  <c r="AO345" i="19" s="1"/>
  <c r="AQ345" i="19" s="1"/>
  <c r="AM254" i="19"/>
  <c r="AO254" i="19" s="1"/>
  <c r="AM399" i="19"/>
  <c r="AO399" i="19" s="1"/>
  <c r="AM412" i="19"/>
  <c r="AO412" i="19" s="1"/>
  <c r="AQ412" i="19" s="1"/>
  <c r="AM392" i="19"/>
  <c r="AO392" i="19" s="1"/>
  <c r="AQ392" i="19" s="1"/>
  <c r="AM268" i="19"/>
  <c r="AO268" i="19" s="1"/>
  <c r="AM411" i="19"/>
  <c r="AO411" i="19" s="1"/>
  <c r="AQ411" i="19" s="1"/>
  <c r="H36" i="4"/>
  <c r="AM72" i="22"/>
  <c r="AO72" i="22" s="1"/>
  <c r="AQ72" i="22" s="1"/>
  <c r="AM85" i="22"/>
  <c r="AO85" i="22" s="1"/>
  <c r="AQ85" i="22" s="1"/>
  <c r="AM81" i="22"/>
  <c r="AO81" i="22" s="1"/>
  <c r="AM80" i="22"/>
  <c r="AO80" i="22" s="1"/>
  <c r="T49" i="5"/>
  <c r="AM86" i="22"/>
  <c r="AO86" i="22" s="1"/>
  <c r="AM76" i="22"/>
  <c r="AO76" i="22" s="1"/>
  <c r="P36" i="4"/>
  <c r="AM87" i="22"/>
  <c r="AM73" i="22"/>
  <c r="AO73" i="22" s="1"/>
  <c r="AO101" i="25"/>
  <c r="AE104" i="25" s="1"/>
  <c r="R56" i="5"/>
  <c r="X56" i="5"/>
  <c r="AM101" i="25"/>
  <c r="P50" i="6"/>
  <c r="P61" i="24"/>
  <c r="P48" i="24"/>
  <c r="P35" i="24"/>
  <c r="P23" i="24"/>
  <c r="P54" i="24"/>
  <c r="P43" i="24"/>
  <c r="P32" i="24"/>
  <c r="P55" i="24"/>
  <c r="P42" i="24"/>
  <c r="P29" i="24"/>
  <c r="P60" i="24"/>
  <c r="P51" i="24"/>
  <c r="P36" i="24"/>
  <c r="P24" i="24"/>
  <c r="P34" i="24"/>
  <c r="P47" i="24"/>
  <c r="P56" i="24"/>
  <c r="P33" i="24"/>
  <c r="P46" i="24"/>
  <c r="P57" i="24"/>
  <c r="P28" i="24"/>
  <c r="P41" i="24"/>
  <c r="P53" i="24"/>
  <c r="P64" i="24"/>
  <c r="P27" i="24"/>
  <c r="P40" i="24"/>
  <c r="P52" i="24"/>
  <c r="P22" i="24"/>
  <c r="AM145" i="24"/>
  <c r="H50" i="5"/>
  <c r="H37" i="4"/>
  <c r="G67" i="3"/>
  <c r="I63" i="3"/>
  <c r="L48" i="25" l="1"/>
  <c r="AO314" i="19"/>
  <c r="AO419" i="19"/>
  <c r="AM88" i="22"/>
  <c r="AO87" i="22"/>
  <c r="P65" i="24"/>
  <c r="T50" i="5"/>
  <c r="AM129" i="24"/>
  <c r="AO129" i="24" s="1"/>
  <c r="AM134" i="24"/>
  <c r="AO134" i="24" s="1"/>
  <c r="AM128" i="24"/>
  <c r="AO128" i="24" s="1"/>
  <c r="AM124" i="24"/>
  <c r="AO124" i="24" s="1"/>
  <c r="AM116" i="24"/>
  <c r="AO116" i="24" s="1"/>
  <c r="AM109" i="24"/>
  <c r="AO109" i="24" s="1"/>
  <c r="AM105" i="24"/>
  <c r="AO105" i="24" s="1"/>
  <c r="AM100" i="24"/>
  <c r="AO100" i="24" s="1"/>
  <c r="AM119" i="24"/>
  <c r="AO119" i="24" s="1"/>
  <c r="AM113" i="24"/>
  <c r="AO113" i="24" s="1"/>
  <c r="AM106" i="24"/>
  <c r="AO106" i="24" s="1"/>
  <c r="AM97" i="24"/>
  <c r="AO97" i="24" s="1"/>
  <c r="AM95" i="24"/>
  <c r="P37" i="4"/>
  <c r="AM125" i="24"/>
  <c r="AO125" i="24" s="1"/>
  <c r="AM137" i="24"/>
  <c r="AO137" i="24" s="1"/>
  <c r="AM133" i="24"/>
  <c r="AO133" i="24" s="1"/>
  <c r="AM127" i="24"/>
  <c r="AO127" i="24" s="1"/>
  <c r="AM130" i="24"/>
  <c r="AO130" i="24" s="1"/>
  <c r="AM126" i="24"/>
  <c r="AO126" i="24" s="1"/>
  <c r="AM120" i="24"/>
  <c r="AO120" i="24" s="1"/>
  <c r="AM114" i="24"/>
  <c r="AO114" i="24" s="1"/>
  <c r="AM107" i="24"/>
  <c r="AO107" i="24" s="1"/>
  <c r="AM102" i="24"/>
  <c r="AO102" i="24" s="1"/>
  <c r="AM96" i="24"/>
  <c r="AO96" i="24" s="1"/>
  <c r="AM121" i="24"/>
  <c r="AO121" i="24" s="1"/>
  <c r="AM115" i="24"/>
  <c r="AO115" i="24" s="1"/>
  <c r="AM108" i="24"/>
  <c r="AO108" i="24" s="1"/>
  <c r="AM101" i="24"/>
  <c r="AO101" i="24" s="1"/>
  <c r="K63" i="3"/>
  <c r="I67" i="3"/>
  <c r="K67" i="3" s="1"/>
  <c r="AE421" i="19" l="1"/>
  <c r="L201" i="19" s="1"/>
  <c r="AE106" i="25"/>
  <c r="AO104" i="25"/>
  <c r="AO88" i="22"/>
  <c r="AE91" i="22" s="1"/>
  <c r="AO95" i="24"/>
  <c r="AO138" i="24" s="1"/>
  <c r="AE141" i="24" s="1"/>
  <c r="AM138" i="24"/>
  <c r="J39" i="5"/>
  <c r="L29" i="4"/>
  <c r="L68" i="24" l="1"/>
  <c r="AO421" i="19"/>
  <c r="AE423" i="19"/>
  <c r="AO106" i="25"/>
  <c r="L41" i="22"/>
  <c r="AE108" i="25"/>
  <c r="AG106" i="25" s="1"/>
  <c r="AE143" i="24" l="1"/>
  <c r="AE145" i="24" s="1"/>
  <c r="AO141" i="24"/>
  <c r="AO91" i="22"/>
  <c r="AE93" i="22"/>
  <c r="AG79" i="25"/>
  <c r="AG100" i="25"/>
  <c r="L51" i="5"/>
  <c r="J51" i="5" s="1"/>
  <c r="AG84" i="25"/>
  <c r="AG99" i="25"/>
  <c r="AG101" i="25"/>
  <c r="AG95" i="25"/>
  <c r="AG92" i="25"/>
  <c r="AG93" i="25"/>
  <c r="AG105" i="25"/>
  <c r="AG90" i="25"/>
  <c r="AG104" i="25"/>
  <c r="AG80" i="25"/>
  <c r="J38" i="4"/>
  <c r="L38" i="4" s="1"/>
  <c r="AG89" i="25"/>
  <c r="AG86" i="25"/>
  <c r="AG91" i="25"/>
  <c r="AG81" i="25"/>
  <c r="AG85" i="25"/>
  <c r="AG94" i="25"/>
  <c r="AG98" i="25"/>
  <c r="AG78" i="25"/>
  <c r="AE429" i="19"/>
  <c r="AG419" i="19" s="1"/>
  <c r="AO108" i="25"/>
  <c r="AO423" i="19"/>
  <c r="AG143" i="24" l="1"/>
  <c r="AG137" i="24"/>
  <c r="AG423" i="19"/>
  <c r="AG418" i="19"/>
  <c r="AG312" i="19"/>
  <c r="AO143" i="24"/>
  <c r="AO145" i="24" s="1"/>
  <c r="R37" i="4" s="1"/>
  <c r="AO93" i="22"/>
  <c r="AO95" i="22" s="1"/>
  <c r="V49" i="5" s="1"/>
  <c r="AG106" i="24"/>
  <c r="AG127" i="24"/>
  <c r="AG97" i="24"/>
  <c r="AG121" i="24"/>
  <c r="AG108" i="24"/>
  <c r="AG126" i="24"/>
  <c r="AG134" i="24"/>
  <c r="AG107" i="24"/>
  <c r="AG138" i="24"/>
  <c r="AG125" i="24"/>
  <c r="AG95" i="24"/>
  <c r="AG119" i="24"/>
  <c r="AG105" i="24"/>
  <c r="AG102" i="24"/>
  <c r="AG115" i="24"/>
  <c r="AG113" i="24"/>
  <c r="AG124" i="24"/>
  <c r="AG128" i="24"/>
  <c r="AG129" i="24"/>
  <c r="L50" i="5"/>
  <c r="J50" i="5" s="1"/>
  <c r="J37" i="4"/>
  <c r="AG109" i="24"/>
  <c r="AG96" i="24"/>
  <c r="AG114" i="24"/>
  <c r="AG101" i="24"/>
  <c r="AG142" i="24"/>
  <c r="AG116" i="24"/>
  <c r="AG120" i="24"/>
  <c r="AG133" i="24"/>
  <c r="AG100" i="24"/>
  <c r="AG130" i="24"/>
  <c r="AG141" i="24"/>
  <c r="AE95" i="22"/>
  <c r="AG79" i="22" s="1"/>
  <c r="AO429" i="19"/>
  <c r="R38" i="4"/>
  <c r="V51" i="5"/>
  <c r="E51" i="3"/>
  <c r="AG410" i="19"/>
  <c r="AG354" i="19"/>
  <c r="AG253" i="19"/>
  <c r="AG242" i="19"/>
  <c r="AG265" i="19"/>
  <c r="AG257" i="19"/>
  <c r="AG274" i="19"/>
  <c r="AG243" i="19"/>
  <c r="AG402" i="19"/>
  <c r="AG342" i="19"/>
  <c r="AG409" i="19"/>
  <c r="AG396" i="19"/>
  <c r="AG394" i="19"/>
  <c r="AG345" i="19"/>
  <c r="AG258" i="19"/>
  <c r="AG254" i="19"/>
  <c r="AG314" i="19"/>
  <c r="AG313" i="19"/>
  <c r="AG355" i="19"/>
  <c r="AG247" i="19"/>
  <c r="AG352" i="19"/>
  <c r="AG324" i="19"/>
  <c r="AG270" i="19"/>
  <c r="AG335" i="19"/>
  <c r="AG417" i="19"/>
  <c r="AG275" i="19"/>
  <c r="AG395" i="19"/>
  <c r="AG333" i="19"/>
  <c r="AG307" i="19"/>
  <c r="AG422" i="19"/>
  <c r="AG276" i="19"/>
  <c r="AG263" i="19"/>
  <c r="AG278" i="19"/>
  <c r="AG399" i="19"/>
  <c r="AG323" i="19"/>
  <c r="AG341" i="19"/>
  <c r="J33" i="4"/>
  <c r="L33" i="4" s="1"/>
  <c r="AG414" i="19"/>
  <c r="AG321" i="19"/>
  <c r="AG426" i="19"/>
  <c r="AG309" i="19"/>
  <c r="AG339" i="19"/>
  <c r="AG330" i="19"/>
  <c r="AG331" i="19"/>
  <c r="AG390" i="19"/>
  <c r="AG428" i="19"/>
  <c r="AG416" i="19"/>
  <c r="AG266" i="19"/>
  <c r="AG359" i="19"/>
  <c r="AG404" i="19"/>
  <c r="AG327" i="19"/>
  <c r="AG267" i="19"/>
  <c r="AG325" i="19"/>
  <c r="AG261" i="19"/>
  <c r="AG415" i="19"/>
  <c r="AG403" i="19"/>
  <c r="AG412" i="19"/>
  <c r="AG389" i="19"/>
  <c r="AG336" i="19"/>
  <c r="AG358" i="19"/>
  <c r="AG245" i="19"/>
  <c r="AG329" i="19"/>
  <c r="AG262" i="19"/>
  <c r="AG401" i="19"/>
  <c r="AG349" i="19"/>
  <c r="AG310" i="19"/>
  <c r="AG400" i="19"/>
  <c r="AG249" i="19"/>
  <c r="AG347" i="19"/>
  <c r="AG319" i="19"/>
  <c r="AG393" i="19"/>
  <c r="AG311" i="19"/>
  <c r="AG318" i="19"/>
  <c r="AG348" i="19"/>
  <c r="AG264" i="19"/>
  <c r="AG322" i="19"/>
  <c r="AG353" i="19"/>
  <c r="AG251" i="19"/>
  <c r="AG244" i="19"/>
  <c r="AG277" i="19"/>
  <c r="AG388" i="19"/>
  <c r="AG405" i="19"/>
  <c r="AG392" i="19"/>
  <c r="AG340" i="19"/>
  <c r="AG337" i="19"/>
  <c r="AG255" i="19"/>
  <c r="AG343" i="19"/>
  <c r="AG272" i="19"/>
  <c r="AG246" i="19"/>
  <c r="AG250" i="19"/>
  <c r="AG344" i="19"/>
  <c r="AG271" i="19"/>
  <c r="AG326" i="19"/>
  <c r="AG406" i="19"/>
  <c r="AG268" i="19"/>
  <c r="AG338" i="19"/>
  <c r="AG273" i="19"/>
  <c r="AG320" i="19"/>
  <c r="AG357" i="19"/>
  <c r="AG334" i="19"/>
  <c r="AG351" i="19"/>
  <c r="AG413" i="19"/>
  <c r="AG411" i="19"/>
  <c r="AG256" i="19"/>
  <c r="AG308" i="19"/>
  <c r="AG427" i="19"/>
  <c r="AG356" i="19"/>
  <c r="AG407" i="19"/>
  <c r="AG346" i="19"/>
  <c r="AG391" i="19"/>
  <c r="AG408" i="19"/>
  <c r="AG269" i="19"/>
  <c r="L46" i="5"/>
  <c r="AG248" i="19"/>
  <c r="AG241" i="19"/>
  <c r="AG259" i="19"/>
  <c r="AG421" i="19"/>
  <c r="J46" i="5" l="1"/>
  <c r="AG93" i="22"/>
  <c r="AG72" i="22"/>
  <c r="L37" i="4"/>
  <c r="V50" i="5"/>
  <c r="E50" i="3"/>
  <c r="R36" i="4"/>
  <c r="E49" i="3"/>
  <c r="AG88" i="22"/>
  <c r="AG73" i="22"/>
  <c r="AG78" i="22"/>
  <c r="AG86" i="22"/>
  <c r="AG92" i="22"/>
  <c r="AG87" i="22"/>
  <c r="AG76" i="22"/>
  <c r="J36" i="4"/>
  <c r="L36" i="4" s="1"/>
  <c r="L49" i="5"/>
  <c r="J49" i="5" s="1"/>
  <c r="AG80" i="22"/>
  <c r="AG85" i="22"/>
  <c r="AG91" i="22"/>
  <c r="E46" i="3"/>
  <c r="R33" i="4"/>
  <c r="V46" i="5"/>
  <c r="AG81" i="22" l="1"/>
  <c r="P30" i="31" l="1"/>
  <c r="P31" i="31" s="1"/>
  <c r="P39" i="31" s="1"/>
  <c r="P41" i="6" s="1"/>
  <c r="AM74" i="31" l="1"/>
  <c r="AM75" i="31" s="1"/>
  <c r="AM83" i="31" s="1"/>
  <c r="T41" i="5" l="1"/>
  <c r="P31" i="4"/>
  <c r="Y76" i="13" l="1"/>
  <c r="AE76" i="13" s="1"/>
  <c r="L24" i="13"/>
  <c r="R24" i="13" l="1"/>
  <c r="AI76" i="13"/>
  <c r="AO76" i="13"/>
  <c r="AK76" i="13" l="1"/>
  <c r="AQ76" i="13"/>
  <c r="F26" i="13" l="1"/>
  <c r="Y77" i="13"/>
  <c r="AE77" i="13" s="1"/>
  <c r="AO77" i="13" l="1"/>
  <c r="AO78" i="13" s="1"/>
  <c r="AE78" i="13"/>
  <c r="F37" i="13"/>
  <c r="F46" i="13"/>
  <c r="Y78" i="13"/>
  <c r="Y89" i="13" l="1"/>
  <c r="Y98" i="13"/>
  <c r="F31" i="6"/>
  <c r="F27" i="4" l="1"/>
  <c r="F31" i="5"/>
  <c r="F62" i="6" l="1"/>
  <c r="F64" i="6" s="1"/>
  <c r="F64" i="5"/>
  <c r="F46" i="4"/>
  <c r="P30" i="33" l="1"/>
  <c r="P31" i="33" s="1"/>
  <c r="P39" i="33" s="1"/>
  <c r="P42" i="6" s="1"/>
  <c r="P30" i="30" l="1"/>
  <c r="P31" i="30" s="1"/>
  <c r="P39" i="30" s="1"/>
  <c r="P40" i="6" s="1"/>
  <c r="P43" i="6" s="1"/>
  <c r="AM76" i="33"/>
  <c r="AM77" i="33" s="1"/>
  <c r="AM85" i="33" s="1"/>
  <c r="AM74" i="30" l="1"/>
  <c r="AM75" i="30" s="1"/>
  <c r="AM83" i="30" s="1"/>
  <c r="T42" i="5"/>
  <c r="P32" i="4"/>
  <c r="T40" i="5" l="1"/>
  <c r="T43" i="5" s="1"/>
  <c r="P30" i="4"/>
  <c r="F28" i="28" l="1"/>
  <c r="F48" i="6" s="1"/>
  <c r="F53" i="6" s="1"/>
  <c r="Y56" i="28"/>
  <c r="Y63" i="28" s="1"/>
  <c r="F35" i="4" s="1"/>
  <c r="F48" i="5" l="1"/>
  <c r="F53" i="5" s="1"/>
  <c r="K39" i="3" l="1"/>
  <c r="AK270" i="19" l="1"/>
  <c r="AQ270" i="19"/>
  <c r="AK248" i="19"/>
  <c r="AQ248" i="19"/>
  <c r="F46" i="14" l="1"/>
  <c r="Y110" i="14" s="1"/>
  <c r="Y99" i="14"/>
  <c r="AE99" i="14" s="1"/>
  <c r="Y72" i="11"/>
  <c r="AE72" i="11" s="1"/>
  <c r="Y79" i="8"/>
  <c r="AE79" i="8" s="1"/>
  <c r="L24" i="8"/>
  <c r="Y81" i="8"/>
  <c r="AE81" i="8" s="1"/>
  <c r="F32" i="14" l="1"/>
  <c r="Y85" i="14"/>
  <c r="AE85" i="14" s="1"/>
  <c r="AO99" i="14"/>
  <c r="L31" i="7"/>
  <c r="F28" i="7"/>
  <c r="F38" i="7"/>
  <c r="F21" i="6" s="1"/>
  <c r="F22" i="6" s="1"/>
  <c r="X64" i="7"/>
  <c r="F27" i="11"/>
  <c r="Y73" i="11"/>
  <c r="AE73" i="11" s="1"/>
  <c r="AO72" i="11"/>
  <c r="F27" i="8"/>
  <c r="Y80" i="8"/>
  <c r="AE80" i="8" s="1"/>
  <c r="R24" i="8"/>
  <c r="AI79" i="8"/>
  <c r="AO81" i="8"/>
  <c r="AO79" i="8"/>
  <c r="AO85" i="14" l="1"/>
  <c r="Y96" i="14"/>
  <c r="Y111" i="14" s="1"/>
  <c r="Y120" i="14" s="1"/>
  <c r="F47" i="14"/>
  <c r="F56" i="14"/>
  <c r="F35" i="6" s="1"/>
  <c r="F36" i="6" s="1"/>
  <c r="AD72" i="7"/>
  <c r="AD64" i="7"/>
  <c r="X69" i="7"/>
  <c r="X79" i="7"/>
  <c r="R31" i="7"/>
  <c r="AE75" i="11"/>
  <c r="AO73" i="11"/>
  <c r="Y75" i="11"/>
  <c r="Y82" i="11" s="1"/>
  <c r="Y91" i="11" s="1"/>
  <c r="F34" i="11"/>
  <c r="F43" i="11" s="1"/>
  <c r="F28" i="6" s="1"/>
  <c r="AQ79" i="8"/>
  <c r="AO80" i="8"/>
  <c r="AE82" i="8"/>
  <c r="Y82" i="8"/>
  <c r="Y96" i="8" s="1"/>
  <c r="F41" i="8"/>
  <c r="F50" i="8" s="1"/>
  <c r="AK79" i="8"/>
  <c r="F28" i="4" l="1"/>
  <c r="F35" i="5"/>
  <c r="F36" i="5" s="1"/>
  <c r="F20" i="4"/>
  <c r="F21" i="5"/>
  <c r="F22" i="5" s="1"/>
  <c r="AN64" i="7"/>
  <c r="AH72" i="7"/>
  <c r="AN72" i="7"/>
  <c r="F28" i="5"/>
  <c r="F24" i="4"/>
  <c r="AO75" i="11"/>
  <c r="AO82" i="8"/>
  <c r="F25" i="6"/>
  <c r="Y105" i="8"/>
  <c r="AP72" i="7" l="1"/>
  <c r="AJ72" i="7"/>
  <c r="F25" i="5"/>
  <c r="F21" i="4"/>
  <c r="AA103" i="14" l="1"/>
  <c r="AE103" i="14" s="1"/>
  <c r="AA89" i="14"/>
  <c r="AE89" i="14" s="1"/>
  <c r="AA102" i="14" l="1"/>
  <c r="AE102" i="14" s="1"/>
  <c r="H40" i="14"/>
  <c r="AA104" i="14" s="1"/>
  <c r="AO103" i="14"/>
  <c r="AA88" i="14"/>
  <c r="AE88" i="14" s="1"/>
  <c r="H26" i="14"/>
  <c r="AA90" i="14" s="1"/>
  <c r="AO89" i="14"/>
  <c r="L30" i="11"/>
  <c r="AA78" i="11"/>
  <c r="L30" i="8"/>
  <c r="AA85" i="8"/>
  <c r="AE85" i="8" s="1"/>
  <c r="H32" i="8"/>
  <c r="AA86" i="8"/>
  <c r="AE86" i="8" s="1"/>
  <c r="H30" i="13"/>
  <c r="AA81" i="13"/>
  <c r="AE81" i="13" s="1"/>
  <c r="AE90" i="14" l="1"/>
  <c r="AO88" i="14"/>
  <c r="AA94" i="14"/>
  <c r="AE94" i="14" s="1"/>
  <c r="AE104" i="14"/>
  <c r="AO102" i="14"/>
  <c r="W198" i="26"/>
  <c r="X198" i="26"/>
  <c r="AI78" i="11"/>
  <c r="R30" i="11"/>
  <c r="AA87" i="8"/>
  <c r="AO85" i="8"/>
  <c r="AE87" i="8"/>
  <c r="AO86" i="8"/>
  <c r="R30" i="8"/>
  <c r="AI85" i="8"/>
  <c r="AA82" i="13"/>
  <c r="AO81" i="13"/>
  <c r="AO82" i="13" s="1"/>
  <c r="AE82" i="13"/>
  <c r="AO104" i="14" l="1"/>
  <c r="AO94" i="14"/>
  <c r="AO90" i="14"/>
  <c r="AQ85" i="8"/>
  <c r="AO87" i="8"/>
  <c r="AA56" i="28" l="1"/>
  <c r="H28" i="28"/>
  <c r="AA75" i="20"/>
  <c r="AE75" i="20" s="1"/>
  <c r="AA90" i="8"/>
  <c r="AE90" i="8" s="1"/>
  <c r="AA93" i="8"/>
  <c r="AE93" i="8" s="1"/>
  <c r="H29" i="31"/>
  <c r="AA94" i="8"/>
  <c r="AE94" i="8" s="1"/>
  <c r="AA87" i="13"/>
  <c r="AE87" i="13" s="1"/>
  <c r="H29" i="33" l="1"/>
  <c r="H30" i="33"/>
  <c r="H48" i="6"/>
  <c r="P28" i="28"/>
  <c r="AE60" i="28"/>
  <c r="AE56" i="28"/>
  <c r="AA63" i="28"/>
  <c r="T62" i="5"/>
  <c r="H64" i="5"/>
  <c r="H46" i="4"/>
  <c r="H62" i="6"/>
  <c r="AA74" i="33"/>
  <c r="AE74" i="33" s="1"/>
  <c r="H45" i="14"/>
  <c r="Z198" i="26" s="1"/>
  <c r="AA107" i="14"/>
  <c r="AE107" i="14" s="1"/>
  <c r="AA91" i="12"/>
  <c r="H29" i="12"/>
  <c r="H38" i="12"/>
  <c r="AA110" i="12"/>
  <c r="AE110" i="12" s="1"/>
  <c r="AA109" i="12"/>
  <c r="AA85" i="13"/>
  <c r="AE85" i="13" s="1"/>
  <c r="AA92" i="8"/>
  <c r="AE92" i="8" s="1"/>
  <c r="H30" i="31"/>
  <c r="AA72" i="31"/>
  <c r="AE72" i="31" s="1"/>
  <c r="AO90" i="8"/>
  <c r="AO93" i="8"/>
  <c r="AO94" i="8"/>
  <c r="AO87" i="13"/>
  <c r="AA86" i="13"/>
  <c r="AE86" i="13" s="1"/>
  <c r="M218" i="26" l="1"/>
  <c r="O218" i="26" s="1"/>
  <c r="M226" i="26"/>
  <c r="O226" i="26" s="1"/>
  <c r="M225" i="26"/>
  <c r="O225" i="26" s="1"/>
  <c r="M219" i="26"/>
  <c r="O219" i="26" s="1"/>
  <c r="M227" i="26"/>
  <c r="O227" i="26" s="1"/>
  <c r="M217" i="26"/>
  <c r="O217" i="26" s="1"/>
  <c r="M220" i="26"/>
  <c r="O220" i="26" s="1"/>
  <c r="M228" i="26"/>
  <c r="O228" i="26" s="1"/>
  <c r="M222" i="26"/>
  <c r="O222" i="26" s="1"/>
  <c r="M230" i="26"/>
  <c r="O230" i="26" s="1"/>
  <c r="M233" i="26"/>
  <c r="O233" i="26" s="1"/>
  <c r="M223" i="26"/>
  <c r="O223" i="26" s="1"/>
  <c r="M231" i="26"/>
  <c r="O231" i="26" s="1"/>
  <c r="M224" i="26"/>
  <c r="O224" i="26" s="1"/>
  <c r="M232" i="26"/>
  <c r="O232" i="26" s="1"/>
  <c r="AA108" i="14"/>
  <c r="AE108" i="14" s="1"/>
  <c r="AE109" i="14" s="1"/>
  <c r="H48" i="5"/>
  <c r="H35" i="4"/>
  <c r="AM63" i="28"/>
  <c r="AO60" i="28"/>
  <c r="P21" i="28"/>
  <c r="P48" i="6"/>
  <c r="H40" i="20"/>
  <c r="AA90" i="20"/>
  <c r="H64" i="6"/>
  <c r="T64" i="5"/>
  <c r="P46" i="4"/>
  <c r="P62" i="6"/>
  <c r="AO74" i="33"/>
  <c r="AO107" i="14"/>
  <c r="AA109" i="14"/>
  <c r="H46" i="14"/>
  <c r="AA93" i="14"/>
  <c r="AE93" i="14" s="1"/>
  <c r="H31" i="14"/>
  <c r="H29" i="6"/>
  <c r="AA101" i="12"/>
  <c r="L32" i="12"/>
  <c r="P34" i="12"/>
  <c r="AA92" i="12"/>
  <c r="AE91" i="12"/>
  <c r="AO110" i="12"/>
  <c r="H57" i="12"/>
  <c r="H48" i="12"/>
  <c r="AE109" i="12"/>
  <c r="AA111" i="12"/>
  <c r="AA81" i="11"/>
  <c r="H34" i="11"/>
  <c r="AO92" i="8"/>
  <c r="AO72" i="31"/>
  <c r="AA91" i="8"/>
  <c r="AE91" i="8" s="1"/>
  <c r="H40" i="8"/>
  <c r="AA74" i="31"/>
  <c r="AA75" i="31" s="1"/>
  <c r="H31" i="31"/>
  <c r="AE88" i="13"/>
  <c r="AO85" i="13"/>
  <c r="AO86" i="13"/>
  <c r="H36" i="13"/>
  <c r="P64" i="6" l="1"/>
  <c r="R62" i="6"/>
  <c r="L62" i="6" s="1"/>
  <c r="J62" i="6" s="1"/>
  <c r="AO108" i="14"/>
  <c r="M229" i="26"/>
  <c r="O229" i="26" s="1"/>
  <c r="M234" i="26"/>
  <c r="O234" i="26" s="1"/>
  <c r="M221" i="26"/>
  <c r="O221" i="26" s="1"/>
  <c r="T48" i="5"/>
  <c r="P35" i="4"/>
  <c r="AM56" i="28"/>
  <c r="AO56" i="28" s="1"/>
  <c r="AA91" i="20"/>
  <c r="AE90" i="20"/>
  <c r="H47" i="20"/>
  <c r="AO109" i="14"/>
  <c r="AO110" i="14" s="1"/>
  <c r="AA110" i="14"/>
  <c r="AA76" i="33"/>
  <c r="AA77" i="33" s="1"/>
  <c r="H31" i="33"/>
  <c r="AA75" i="33"/>
  <c r="AE75" i="33" s="1"/>
  <c r="Y198" i="26"/>
  <c r="H32" i="14"/>
  <c r="H47" i="14" s="1"/>
  <c r="AA95" i="14"/>
  <c r="AE95" i="14"/>
  <c r="AO93" i="14"/>
  <c r="AO95" i="14" s="1"/>
  <c r="AO96" i="14" s="1"/>
  <c r="AE110" i="14"/>
  <c r="H25" i="4"/>
  <c r="H29" i="5"/>
  <c r="AO91" i="12"/>
  <c r="AE92" i="12"/>
  <c r="R34" i="12"/>
  <c r="P36" i="12"/>
  <c r="P38" i="12" s="1"/>
  <c r="P29" i="6" s="1"/>
  <c r="AM97" i="12"/>
  <c r="AE95" i="12"/>
  <c r="AI95" i="12" s="1"/>
  <c r="AE98" i="12"/>
  <c r="R32" i="12"/>
  <c r="H28" i="7"/>
  <c r="P34" i="7"/>
  <c r="L32" i="7"/>
  <c r="Z67" i="7"/>
  <c r="H38" i="7"/>
  <c r="H21" i="6" s="1"/>
  <c r="H30" i="6"/>
  <c r="AA120" i="12"/>
  <c r="P53" i="12"/>
  <c r="L51" i="12"/>
  <c r="AE114" i="12"/>
  <c r="AE117" i="12"/>
  <c r="AM116" i="12"/>
  <c r="AO109" i="12"/>
  <c r="AO111" i="12" s="1"/>
  <c r="AE111" i="12"/>
  <c r="H43" i="11"/>
  <c r="H28" i="6" s="1"/>
  <c r="L37" i="11"/>
  <c r="P39" i="11"/>
  <c r="AA82" i="11"/>
  <c r="AE81" i="11"/>
  <c r="AO91" i="8"/>
  <c r="AE95" i="8"/>
  <c r="AA73" i="31"/>
  <c r="AE73" i="31" s="1"/>
  <c r="L34" i="31"/>
  <c r="H39" i="31"/>
  <c r="H41" i="6" s="1"/>
  <c r="AA83" i="31"/>
  <c r="AE78" i="31"/>
  <c r="AE80" i="31"/>
  <c r="AA95" i="8"/>
  <c r="H41" i="8"/>
  <c r="P46" i="8"/>
  <c r="AO88" i="13"/>
  <c r="AO89" i="13" s="1"/>
  <c r="H46" i="13"/>
  <c r="H37" i="13"/>
  <c r="AA88" i="13"/>
  <c r="AA89" i="13" s="1"/>
  <c r="AE89" i="13"/>
  <c r="M205" i="26" l="1"/>
  <c r="O205" i="26" s="1"/>
  <c r="M213" i="26"/>
  <c r="O213" i="26" s="1"/>
  <c r="M214" i="26"/>
  <c r="O214" i="26" s="1"/>
  <c r="M200" i="26"/>
  <c r="O200" i="26" s="1"/>
  <c r="M208" i="26"/>
  <c r="O208" i="26" s="1"/>
  <c r="M212" i="26"/>
  <c r="O212" i="26" s="1"/>
  <c r="M201" i="26"/>
  <c r="O201" i="26" s="1"/>
  <c r="M209" i="26"/>
  <c r="O209" i="26" s="1"/>
  <c r="M202" i="26"/>
  <c r="O202" i="26" s="1"/>
  <c r="M210" i="26"/>
  <c r="O210" i="26" s="1"/>
  <c r="M204" i="26"/>
  <c r="O204" i="26" s="1"/>
  <c r="AE93" i="13"/>
  <c r="L41" i="13" s="1"/>
  <c r="AE59" i="28"/>
  <c r="L24" i="28" s="1"/>
  <c r="AE115" i="12"/>
  <c r="AE118" i="12" s="1"/>
  <c r="AE120" i="12" s="1"/>
  <c r="AG110" i="12" s="1"/>
  <c r="AO111" i="14"/>
  <c r="AE91" i="20"/>
  <c r="AA98" i="20"/>
  <c r="AE95" i="20"/>
  <c r="P47" i="20"/>
  <c r="H47" i="6"/>
  <c r="H53" i="6" s="1"/>
  <c r="AA85" i="33"/>
  <c r="AE80" i="33"/>
  <c r="AE82" i="33"/>
  <c r="L50" i="14"/>
  <c r="P52" i="14"/>
  <c r="H56" i="14"/>
  <c r="H35" i="6" s="1"/>
  <c r="H36" i="6" s="1"/>
  <c r="AA96" i="14"/>
  <c r="AA111" i="14" s="1"/>
  <c r="AE96" i="14"/>
  <c r="AO75" i="33"/>
  <c r="AE76" i="33"/>
  <c r="L34" i="33"/>
  <c r="H39" i="33"/>
  <c r="H42" i="6" s="1"/>
  <c r="AO92" i="12"/>
  <c r="AE96" i="12" s="1"/>
  <c r="AK95" i="12"/>
  <c r="AO98" i="12"/>
  <c r="AO95" i="12"/>
  <c r="AM99" i="12"/>
  <c r="AM101" i="12" s="1"/>
  <c r="AO97" i="12"/>
  <c r="AQ97" i="12" s="1"/>
  <c r="R32" i="7"/>
  <c r="R34" i="7"/>
  <c r="P36" i="7"/>
  <c r="P38" i="7" s="1"/>
  <c r="P21" i="6" s="1"/>
  <c r="P22" i="6" s="1"/>
  <c r="H22" i="6"/>
  <c r="AD67" i="7"/>
  <c r="Z79" i="7"/>
  <c r="AD73" i="7"/>
  <c r="AD76" i="7"/>
  <c r="AL75" i="7"/>
  <c r="Z69" i="7"/>
  <c r="AO117" i="12"/>
  <c r="R53" i="12"/>
  <c r="P55" i="12"/>
  <c r="P57" i="12" s="1"/>
  <c r="P30" i="6" s="1"/>
  <c r="H26" i="4"/>
  <c r="H30" i="5"/>
  <c r="AO114" i="12"/>
  <c r="AO116" i="12"/>
  <c r="AM118" i="12"/>
  <c r="AM120" i="12" s="1"/>
  <c r="R51" i="12"/>
  <c r="AI114" i="12"/>
  <c r="AK114" i="12" s="1"/>
  <c r="AO81" i="11"/>
  <c r="AO82" i="11" s="1"/>
  <c r="AE82" i="11"/>
  <c r="AE85" i="11"/>
  <c r="AA91" i="11"/>
  <c r="AE88" i="11"/>
  <c r="AM87" i="11"/>
  <c r="P41" i="11"/>
  <c r="P43" i="11" s="1"/>
  <c r="P28" i="6" s="1"/>
  <c r="R39" i="11"/>
  <c r="R37" i="11"/>
  <c r="AT91" i="8"/>
  <c r="AT93" i="8"/>
  <c r="AO95" i="8"/>
  <c r="AT90" i="8"/>
  <c r="AT94" i="8"/>
  <c r="AT92" i="8"/>
  <c r="AO80" i="31"/>
  <c r="H50" i="8"/>
  <c r="L44" i="8"/>
  <c r="AM101" i="8"/>
  <c r="AE102" i="8"/>
  <c r="AE99" i="8"/>
  <c r="AA96" i="8"/>
  <c r="AO78" i="31"/>
  <c r="R46" i="8"/>
  <c r="P48" i="8"/>
  <c r="P50" i="8" s="1"/>
  <c r="P25" i="6" s="1"/>
  <c r="H31" i="4"/>
  <c r="H41" i="5"/>
  <c r="R34" i="31"/>
  <c r="AI78" i="31"/>
  <c r="AO73" i="31"/>
  <c r="AE74" i="31"/>
  <c r="AE96" i="8"/>
  <c r="P42" i="13"/>
  <c r="L40" i="13"/>
  <c r="AA98" i="13"/>
  <c r="H31" i="6"/>
  <c r="AE92" i="13"/>
  <c r="AM94" i="13"/>
  <c r="AE95" i="13"/>
  <c r="AO93" i="13" l="1"/>
  <c r="M206" i="26"/>
  <c r="O206" i="26" s="1"/>
  <c r="M211" i="26"/>
  <c r="O211" i="26" s="1"/>
  <c r="M198" i="26"/>
  <c r="O198" i="26" s="1"/>
  <c r="M203" i="26"/>
  <c r="O203" i="26" s="1"/>
  <c r="M215" i="26"/>
  <c r="O215" i="26" s="1"/>
  <c r="M207" i="26"/>
  <c r="O207" i="26" s="1"/>
  <c r="M199" i="26"/>
  <c r="O199" i="26" s="1"/>
  <c r="AO59" i="28"/>
  <c r="AO61" i="28" s="1"/>
  <c r="AO63" i="28" s="1"/>
  <c r="AE61" i="28"/>
  <c r="AE63" i="28" s="1"/>
  <c r="L52" i="12"/>
  <c r="AO115" i="12"/>
  <c r="AO118" i="12" s="1"/>
  <c r="AO120" i="12" s="1"/>
  <c r="AE115" i="14"/>
  <c r="L51" i="14" s="1"/>
  <c r="AE86" i="11"/>
  <c r="L38" i="11" s="1"/>
  <c r="L35" i="30"/>
  <c r="P47" i="6"/>
  <c r="P53" i="6" s="1"/>
  <c r="P39" i="20"/>
  <c r="P32" i="20"/>
  <c r="R32" i="20" s="1"/>
  <c r="P24" i="20"/>
  <c r="AO95" i="20"/>
  <c r="AM98" i="20"/>
  <c r="H47" i="5"/>
  <c r="H53" i="5" s="1"/>
  <c r="H34" i="4"/>
  <c r="AE77" i="33"/>
  <c r="P54" i="14"/>
  <c r="P56" i="14" s="1"/>
  <c r="P35" i="6" s="1"/>
  <c r="P36" i="6" s="1"/>
  <c r="R52" i="14"/>
  <c r="R50" i="14"/>
  <c r="AE111" i="14"/>
  <c r="AO76" i="33"/>
  <c r="AO82" i="33"/>
  <c r="AO80" i="33"/>
  <c r="AI80" i="33"/>
  <c r="AK80" i="33" s="1"/>
  <c r="R34" i="33"/>
  <c r="AE114" i="14"/>
  <c r="AM116" i="14"/>
  <c r="AE117" i="14"/>
  <c r="AA120" i="14"/>
  <c r="H42" i="5"/>
  <c r="H32" i="4"/>
  <c r="T29" i="5"/>
  <c r="P25" i="4"/>
  <c r="AQ95" i="12"/>
  <c r="L33" i="12"/>
  <c r="AN73" i="7"/>
  <c r="H20" i="4"/>
  <c r="H21" i="5"/>
  <c r="AN67" i="7"/>
  <c r="AN69" i="7" s="1"/>
  <c r="AD74" i="7" s="1"/>
  <c r="L33" i="7" s="1"/>
  <c r="AD69" i="7"/>
  <c r="AH73" i="7"/>
  <c r="AQ114" i="12"/>
  <c r="AN75" i="7"/>
  <c r="AP75" i="7" s="1"/>
  <c r="AL77" i="7"/>
  <c r="AL79" i="7" s="1"/>
  <c r="AQ116" i="12"/>
  <c r="AN76" i="7"/>
  <c r="AG118" i="12"/>
  <c r="J26" i="4"/>
  <c r="L26" i="4" s="1"/>
  <c r="AG106" i="12"/>
  <c r="L30" i="5"/>
  <c r="J30" i="5" s="1"/>
  <c r="AG109" i="12"/>
  <c r="AG114" i="12"/>
  <c r="AG115" i="12"/>
  <c r="AG117" i="12"/>
  <c r="AG111" i="12"/>
  <c r="T30" i="5"/>
  <c r="P26" i="4"/>
  <c r="AO88" i="11"/>
  <c r="H24" i="4"/>
  <c r="H28" i="5"/>
  <c r="AO87" i="11"/>
  <c r="AQ87" i="11" s="1"/>
  <c r="AM89" i="11"/>
  <c r="AM91" i="11" s="1"/>
  <c r="AO85" i="11"/>
  <c r="AI85" i="11"/>
  <c r="AK85" i="11" s="1"/>
  <c r="AO79" i="30"/>
  <c r="AO99" i="8"/>
  <c r="AO102" i="8"/>
  <c r="AO101" i="8"/>
  <c r="AQ101" i="8" s="1"/>
  <c r="AM103" i="8"/>
  <c r="AM105" i="8" s="1"/>
  <c r="AT95" i="8"/>
  <c r="AT87" i="8" s="1"/>
  <c r="AO96" i="8"/>
  <c r="AE100" i="8" s="1"/>
  <c r="AI99" i="8"/>
  <c r="R44" i="8"/>
  <c r="AK78" i="31"/>
  <c r="AE75" i="31"/>
  <c r="AQ78" i="31"/>
  <c r="H25" i="6"/>
  <c r="AA105" i="8"/>
  <c r="AO74" i="31"/>
  <c r="AO95" i="13"/>
  <c r="P44" i="13"/>
  <c r="P46" i="13" s="1"/>
  <c r="P31" i="6" s="1"/>
  <c r="R42" i="13"/>
  <c r="AO94" i="13"/>
  <c r="AM96" i="13"/>
  <c r="AM98" i="13" s="1"/>
  <c r="AO92" i="13"/>
  <c r="AE96" i="13"/>
  <c r="R40" i="13"/>
  <c r="AI92" i="13"/>
  <c r="H27" i="4"/>
  <c r="H31" i="5"/>
  <c r="AO86" i="11" l="1"/>
  <c r="AE89" i="11"/>
  <c r="AE91" i="11" s="1"/>
  <c r="AO115" i="14"/>
  <c r="V48" i="5"/>
  <c r="E48" i="3"/>
  <c r="R35" i="4"/>
  <c r="AG59" i="28"/>
  <c r="J35" i="4"/>
  <c r="L35" i="4" s="1"/>
  <c r="L48" i="5"/>
  <c r="AG60" i="28"/>
  <c r="AG56" i="28"/>
  <c r="AG61" i="28"/>
  <c r="P40" i="20"/>
  <c r="AM75" i="20"/>
  <c r="AO75" i="20" s="1"/>
  <c r="T47" i="5"/>
  <c r="T53" i="5" s="1"/>
  <c r="AM90" i="20"/>
  <c r="P34" i="4"/>
  <c r="AM83" i="20"/>
  <c r="AO83" i="20" s="1"/>
  <c r="H35" i="5"/>
  <c r="H28" i="4"/>
  <c r="AO117" i="14"/>
  <c r="AO77" i="33"/>
  <c r="AM118" i="14"/>
  <c r="AM120" i="14" s="1"/>
  <c r="AO116" i="14"/>
  <c r="AQ116" i="14" s="1"/>
  <c r="AO114" i="14"/>
  <c r="AE118" i="14"/>
  <c r="AE120" i="14" s="1"/>
  <c r="AQ80" i="33"/>
  <c r="AI114" i="14"/>
  <c r="AK114" i="14" s="1"/>
  <c r="AO96" i="12"/>
  <c r="AO99" i="12" s="1"/>
  <c r="AE99" i="12"/>
  <c r="AE101" i="12" s="1"/>
  <c r="AG96" i="12" s="1"/>
  <c r="AD77" i="7"/>
  <c r="AD79" i="7" s="1"/>
  <c r="AN74" i="7"/>
  <c r="AN77" i="7" s="1"/>
  <c r="AN79" i="7" s="1"/>
  <c r="T21" i="5"/>
  <c r="T22" i="5" s="1"/>
  <c r="P20" i="4"/>
  <c r="AP73" i="7"/>
  <c r="AJ73" i="7"/>
  <c r="H22" i="5"/>
  <c r="E30" i="3"/>
  <c r="V30" i="5"/>
  <c r="R26" i="4"/>
  <c r="J24" i="4"/>
  <c r="L24" i="4" s="1"/>
  <c r="AG81" i="11"/>
  <c r="AO89" i="11"/>
  <c r="AO91" i="11" s="1"/>
  <c r="AQ85" i="11"/>
  <c r="P24" i="4"/>
  <c r="T28" i="5"/>
  <c r="L45" i="8"/>
  <c r="AO75" i="31"/>
  <c r="AK99" i="8"/>
  <c r="T25" i="5"/>
  <c r="P21" i="4"/>
  <c r="H25" i="5"/>
  <c r="H21" i="4"/>
  <c r="AQ99" i="8"/>
  <c r="AK92" i="13"/>
  <c r="AE98" i="13"/>
  <c r="AQ92" i="13"/>
  <c r="AO96" i="13"/>
  <c r="AO98" i="13" s="1"/>
  <c r="T31" i="5"/>
  <c r="P27" i="4"/>
  <c r="AQ94" i="13"/>
  <c r="AG89" i="11" l="1"/>
  <c r="AG85" i="11"/>
  <c r="AG73" i="11"/>
  <c r="AG96" i="13"/>
  <c r="AG77" i="13"/>
  <c r="AG82" i="11"/>
  <c r="AG75" i="11"/>
  <c r="AG86" i="11"/>
  <c r="L28" i="5"/>
  <c r="J28" i="5" s="1"/>
  <c r="AG78" i="11"/>
  <c r="AG74" i="11"/>
  <c r="AG88" i="11"/>
  <c r="AG72" i="11"/>
  <c r="J48" i="5"/>
  <c r="AM91" i="20"/>
  <c r="AO90" i="20"/>
  <c r="AG118" i="14"/>
  <c r="J28" i="4"/>
  <c r="L28" i="4" s="1"/>
  <c r="L35" i="5"/>
  <c r="J35" i="5" s="1"/>
  <c r="AG99" i="14"/>
  <c r="AG85" i="14"/>
  <c r="AG103" i="14"/>
  <c r="AG89" i="14"/>
  <c r="AG102" i="14"/>
  <c r="AG88" i="14"/>
  <c r="AG94" i="14"/>
  <c r="AG90" i="14"/>
  <c r="AG104" i="14"/>
  <c r="AG108" i="14"/>
  <c r="AG107" i="14"/>
  <c r="AG109" i="14"/>
  <c r="AG93" i="14"/>
  <c r="AG115" i="14"/>
  <c r="AG110" i="14"/>
  <c r="AG95" i="14"/>
  <c r="AG96" i="14"/>
  <c r="AG114" i="14"/>
  <c r="AG111" i="14"/>
  <c r="AG117" i="14"/>
  <c r="AQ114" i="14"/>
  <c r="AO118" i="14"/>
  <c r="AO120" i="14" s="1"/>
  <c r="P28" i="4"/>
  <c r="T35" i="5"/>
  <c r="T36" i="5" s="1"/>
  <c r="L35" i="33"/>
  <c r="H36" i="5"/>
  <c r="AO101" i="12"/>
  <c r="AG99" i="12"/>
  <c r="AG88" i="12"/>
  <c r="L29" i="5"/>
  <c r="J29" i="5" s="1"/>
  <c r="AG86" i="12"/>
  <c r="J25" i="4"/>
  <c r="L25" i="4" s="1"/>
  <c r="AG91" i="12"/>
  <c r="AG95" i="12"/>
  <c r="AG98" i="12"/>
  <c r="AG92" i="12"/>
  <c r="AF69" i="7"/>
  <c r="L21" i="5"/>
  <c r="J20" i="4"/>
  <c r="AF72" i="7"/>
  <c r="AF64" i="7"/>
  <c r="AF67" i="7"/>
  <c r="AF73" i="7"/>
  <c r="AF76" i="7"/>
  <c r="AF74" i="7"/>
  <c r="V21" i="5"/>
  <c r="V22" i="5" s="1"/>
  <c r="E21" i="3"/>
  <c r="R20" i="4"/>
  <c r="AF77" i="7"/>
  <c r="E28" i="3"/>
  <c r="V28" i="5"/>
  <c r="R24" i="4"/>
  <c r="L35" i="31"/>
  <c r="AO100" i="8"/>
  <c r="AE103" i="8"/>
  <c r="AE105" i="8" s="1"/>
  <c r="AG78" i="13"/>
  <c r="L31" i="5"/>
  <c r="AG76" i="13"/>
  <c r="J27" i="4"/>
  <c r="AG81" i="13"/>
  <c r="AG82" i="13"/>
  <c r="AG87" i="13"/>
  <c r="AG85" i="13"/>
  <c r="AG86" i="13"/>
  <c r="AG88" i="13"/>
  <c r="AG89" i="13"/>
  <c r="AG93" i="13"/>
  <c r="AG95" i="13"/>
  <c r="AG92" i="13"/>
  <c r="E31" i="3"/>
  <c r="R27" i="4"/>
  <c r="V31" i="5"/>
  <c r="AG100" i="8" l="1"/>
  <c r="AG95" i="8"/>
  <c r="L20" i="4"/>
  <c r="AO91" i="20"/>
  <c r="AE94" i="20" s="1"/>
  <c r="AO81" i="33"/>
  <c r="AE83" i="33"/>
  <c r="E35" i="3"/>
  <c r="E36" i="3" s="1"/>
  <c r="R28" i="4"/>
  <c r="V35" i="5"/>
  <c r="V36" i="5" s="1"/>
  <c r="L36" i="5"/>
  <c r="N35" i="5" s="1"/>
  <c r="E29" i="3"/>
  <c r="R25" i="4"/>
  <c r="V29" i="5"/>
  <c r="L22" i="5"/>
  <c r="J22" i="5" s="1"/>
  <c r="J21" i="5"/>
  <c r="E22" i="3"/>
  <c r="AO79" i="31"/>
  <c r="AE81" i="31"/>
  <c r="AG103" i="8"/>
  <c r="J21" i="4"/>
  <c r="L25" i="5"/>
  <c r="J25" i="5" s="1"/>
  <c r="AG79" i="8"/>
  <c r="AG81" i="8"/>
  <c r="AG80" i="8"/>
  <c r="AG82" i="8"/>
  <c r="AG85" i="8"/>
  <c r="AG86" i="8"/>
  <c r="AG87" i="8"/>
  <c r="AG94" i="8"/>
  <c r="AG90" i="8"/>
  <c r="AG93" i="8"/>
  <c r="AG92" i="8"/>
  <c r="AG91" i="8"/>
  <c r="AG96" i="8"/>
  <c r="AG99" i="8"/>
  <c r="AG102" i="8"/>
  <c r="AO103" i="8"/>
  <c r="L27" i="4"/>
  <c r="J31" i="5"/>
  <c r="L21" i="4" l="1"/>
  <c r="L43" i="20"/>
  <c r="J36" i="5"/>
  <c r="AO83" i="33"/>
  <c r="AE85" i="33"/>
  <c r="AG82" i="33" s="1"/>
  <c r="N21" i="5"/>
  <c r="AO81" i="31"/>
  <c r="AE83" i="31"/>
  <c r="AO105" i="8"/>
  <c r="AE96" i="20" l="1"/>
  <c r="AE98" i="20" s="1"/>
  <c r="AG94" i="20" s="1"/>
  <c r="AO94" i="20"/>
  <c r="AO85" i="33"/>
  <c r="AG83" i="33"/>
  <c r="J32" i="4"/>
  <c r="L32" i="4" s="1"/>
  <c r="AG71" i="33"/>
  <c r="L42" i="5"/>
  <c r="J42" i="5" s="1"/>
  <c r="AG70" i="33"/>
  <c r="AG74" i="33"/>
  <c r="AG75" i="33"/>
  <c r="AG76" i="33"/>
  <c r="AG80" i="33"/>
  <c r="AG77" i="33"/>
  <c r="AG81" i="33"/>
  <c r="AG68" i="31"/>
  <c r="AG69" i="31"/>
  <c r="L41" i="5"/>
  <c r="J31" i="4"/>
  <c r="AG72" i="31"/>
  <c r="AG73" i="31"/>
  <c r="AG80" i="31"/>
  <c r="AG78" i="31"/>
  <c r="AG74" i="31"/>
  <c r="AG75" i="31"/>
  <c r="AG79" i="31"/>
  <c r="R21" i="4"/>
  <c r="V25" i="5"/>
  <c r="E25" i="3"/>
  <c r="AO83" i="31"/>
  <c r="AG81" i="31"/>
  <c r="AO96" i="20" l="1"/>
  <c r="AO98" i="20" s="1"/>
  <c r="AG96" i="20"/>
  <c r="AG83" i="20"/>
  <c r="L47" i="5"/>
  <c r="L53" i="5" s="1"/>
  <c r="J34" i="4"/>
  <c r="L34" i="4" s="1"/>
  <c r="AG75" i="20"/>
  <c r="AG90" i="20"/>
  <c r="AG91" i="20"/>
  <c r="AG95" i="20"/>
  <c r="R32" i="4"/>
  <c r="E42" i="3"/>
  <c r="V42" i="5"/>
  <c r="V41" i="5"/>
  <c r="E41" i="3"/>
  <c r="R31" i="4"/>
  <c r="L31" i="4"/>
  <c r="J41" i="5"/>
  <c r="V47" i="5" l="1"/>
  <c r="V53" i="5" s="1"/>
  <c r="E47" i="3"/>
  <c r="E53" i="3" s="1"/>
  <c r="R34" i="4"/>
  <c r="N47" i="5"/>
  <c r="J47" i="5"/>
  <c r="N48" i="5" l="1"/>
  <c r="N50" i="5"/>
  <c r="N51" i="5"/>
  <c r="N46" i="5"/>
  <c r="N49" i="5"/>
  <c r="J53" i="5"/>
  <c r="J29" i="33" l="1"/>
  <c r="L29" i="33" s="1"/>
  <c r="AI75" i="33" l="1"/>
  <c r="R29" i="33"/>
  <c r="J29" i="30"/>
  <c r="J29" i="29"/>
  <c r="L29" i="29" s="1"/>
  <c r="AK75" i="33" l="1"/>
  <c r="AQ75" i="33"/>
  <c r="R29" i="29"/>
  <c r="AI73" i="29"/>
  <c r="J29" i="31" l="1"/>
  <c r="L29" i="31" s="1"/>
  <c r="R29" i="31" l="1"/>
  <c r="AI73" i="31"/>
  <c r="AK73" i="31" s="1"/>
  <c r="AQ73" i="31" l="1"/>
  <c r="AI96" i="12" l="1"/>
  <c r="R33" i="12"/>
  <c r="AQ96" i="12" l="1"/>
  <c r="AK96" i="12"/>
  <c r="AH74" i="7" l="1"/>
  <c r="R33" i="7"/>
  <c r="R35" i="33" l="1"/>
  <c r="AI81" i="33"/>
  <c r="AP74" i="7"/>
  <c r="AJ74" i="7"/>
  <c r="AK81" i="33" l="1"/>
  <c r="AQ81" i="33"/>
  <c r="R35" i="30" l="1"/>
  <c r="AI79" i="30"/>
  <c r="R35" i="31"/>
  <c r="AI79" i="31"/>
  <c r="AI59" i="28" l="1"/>
  <c r="R24" i="28"/>
  <c r="AK79" i="31"/>
  <c r="AQ79" i="31"/>
  <c r="R41" i="13"/>
  <c r="AI93" i="13"/>
  <c r="AK79" i="30"/>
  <c r="AQ79" i="30"/>
  <c r="R43" i="20" l="1"/>
  <c r="AI94" i="20"/>
  <c r="AQ94" i="20" s="1"/>
  <c r="AI104" i="25"/>
  <c r="AQ104" i="25" s="1"/>
  <c r="R48" i="25"/>
  <c r="AI421" i="19"/>
  <c r="R201" i="19"/>
  <c r="R38" i="11"/>
  <c r="AI86" i="11"/>
  <c r="AI141" i="24"/>
  <c r="R68" i="24"/>
  <c r="AQ59" i="28"/>
  <c r="AK59" i="28"/>
  <c r="AQ93" i="13"/>
  <c r="AK93" i="13"/>
  <c r="AI91" i="22"/>
  <c r="R41" i="22"/>
  <c r="AK94" i="20" l="1"/>
  <c r="AK104" i="25"/>
  <c r="AQ91" i="22"/>
  <c r="AK91" i="22"/>
  <c r="AQ141" i="24"/>
  <c r="AK141" i="24"/>
  <c r="AK86" i="11"/>
  <c r="AQ86" i="11"/>
  <c r="R52" i="12"/>
  <c r="AI115" i="12"/>
  <c r="AK421" i="19"/>
  <c r="AQ421" i="19"/>
  <c r="AQ115" i="12" l="1"/>
  <c r="AK115" i="12"/>
  <c r="R51" i="14" l="1"/>
  <c r="AI115" i="14"/>
  <c r="AQ115" i="14" l="1"/>
  <c r="AK115" i="14"/>
  <c r="R45" i="8" l="1"/>
  <c r="AI100" i="8"/>
  <c r="AK100" i="8" l="1"/>
  <c r="AQ100" i="8"/>
  <c r="J49" i="25" l="1"/>
  <c r="L49" i="25" s="1"/>
  <c r="J35" i="12"/>
  <c r="J40" i="11"/>
  <c r="J69" i="24"/>
  <c r="L69" i="24" s="1"/>
  <c r="J36" i="31"/>
  <c r="J42" i="22"/>
  <c r="L42" i="22" s="1"/>
  <c r="J25" i="28"/>
  <c r="L25" i="28" s="1"/>
  <c r="J43" i="13"/>
  <c r="J58" i="10"/>
  <c r="J54" i="12"/>
  <c r="L54" i="12" s="1"/>
  <c r="J60" i="9"/>
  <c r="J36" i="30"/>
  <c r="J35" i="29"/>
  <c r="J36" i="33"/>
  <c r="L35" i="29"/>
  <c r="J44" i="20"/>
  <c r="L44" i="20" s="1"/>
  <c r="J53" i="14"/>
  <c r="J202" i="19"/>
  <c r="L202" i="19" s="1"/>
  <c r="J47" i="8"/>
  <c r="L47" i="8" s="1"/>
  <c r="J35" i="7"/>
  <c r="L35" i="7" s="1"/>
  <c r="L35" i="12"/>
  <c r="L40" i="11"/>
  <c r="L36" i="31"/>
  <c r="L43" i="13"/>
  <c r="L36" i="33"/>
  <c r="L53" i="14"/>
  <c r="R25" i="28" l="1"/>
  <c r="R26" i="28" s="1"/>
  <c r="AI60" i="28"/>
  <c r="L26" i="28"/>
  <c r="R40" i="11"/>
  <c r="R41" i="11" s="1"/>
  <c r="AI88" i="11"/>
  <c r="L41" i="11"/>
  <c r="R42" i="22"/>
  <c r="R43" i="22" s="1"/>
  <c r="AI92" i="22"/>
  <c r="L43" i="22"/>
  <c r="R53" i="14"/>
  <c r="R54" i="14" s="1"/>
  <c r="AI117" i="14"/>
  <c r="L54" i="14"/>
  <c r="R35" i="12"/>
  <c r="R36" i="12" s="1"/>
  <c r="AI98" i="12"/>
  <c r="L36" i="12"/>
  <c r="R36" i="33"/>
  <c r="R37" i="33" s="1"/>
  <c r="AI82" i="33"/>
  <c r="L37" i="33"/>
  <c r="R35" i="7"/>
  <c r="R36" i="7" s="1"/>
  <c r="AH76" i="7"/>
  <c r="L36" i="7"/>
  <c r="R69" i="24"/>
  <c r="R70" i="24" s="1"/>
  <c r="AI142" i="24"/>
  <c r="L70" i="24"/>
  <c r="R35" i="29"/>
  <c r="R36" i="29" s="1"/>
  <c r="L36" i="29"/>
  <c r="AI79" i="29"/>
  <c r="AI80" i="29" s="1"/>
  <c r="R43" i="13"/>
  <c r="R44" i="13" s="1"/>
  <c r="AI95" i="13"/>
  <c r="L44" i="13"/>
  <c r="AI102" i="8"/>
  <c r="R47" i="8"/>
  <c r="R48" i="8" s="1"/>
  <c r="L48" i="8"/>
  <c r="R202" i="19"/>
  <c r="R203" i="19" s="1"/>
  <c r="AI422" i="19"/>
  <c r="L203" i="19"/>
  <c r="R54" i="12"/>
  <c r="R55" i="12" s="1"/>
  <c r="AI117" i="12"/>
  <c r="L55" i="12"/>
  <c r="R36" i="31"/>
  <c r="R37" i="31" s="1"/>
  <c r="AI80" i="31"/>
  <c r="L37" i="31"/>
  <c r="R49" i="25"/>
  <c r="R50" i="25" s="1"/>
  <c r="AI105" i="25"/>
  <c r="L50" i="25"/>
  <c r="R44" i="20"/>
  <c r="R45" i="20" s="1"/>
  <c r="AI95" i="20"/>
  <c r="L45" i="20"/>
  <c r="AI351" i="34"/>
  <c r="AI352" i="34" s="1"/>
  <c r="AJ76" i="7" l="1"/>
  <c r="AP76" i="7"/>
  <c r="AH77" i="7"/>
  <c r="AK98" i="12"/>
  <c r="AQ98" i="12"/>
  <c r="AI99" i="12"/>
  <c r="AK88" i="11"/>
  <c r="AQ88" i="11"/>
  <c r="AI89" i="11"/>
  <c r="AK92" i="22"/>
  <c r="AQ92" i="22"/>
  <c r="AI93" i="22"/>
  <c r="AK80" i="31"/>
  <c r="AQ80" i="31"/>
  <c r="AI81" i="31"/>
  <c r="AK117" i="12"/>
  <c r="AQ117" i="12"/>
  <c r="AI118" i="12"/>
  <c r="AK82" i="33"/>
  <c r="AQ82" i="33"/>
  <c r="AI83" i="33"/>
  <c r="AQ95" i="20"/>
  <c r="AK95" i="20"/>
  <c r="AI96" i="20"/>
  <c r="AQ95" i="13"/>
  <c r="AK95" i="13"/>
  <c r="AI96" i="13"/>
  <c r="AK117" i="14"/>
  <c r="AQ117" i="14"/>
  <c r="AI118" i="14"/>
  <c r="AQ105" i="25"/>
  <c r="AK105" i="25"/>
  <c r="AI106" i="25"/>
  <c r="AK102" i="8"/>
  <c r="AQ102" i="8"/>
  <c r="AI103" i="8"/>
  <c r="AK142" i="24"/>
  <c r="AQ142" i="24"/>
  <c r="AI143" i="24"/>
  <c r="AK60" i="28"/>
  <c r="AQ60" i="28"/>
  <c r="AI61" i="28"/>
  <c r="AK422" i="19"/>
  <c r="AQ422" i="19"/>
  <c r="AI423" i="19"/>
  <c r="AK99" i="12" l="1"/>
  <c r="AQ99" i="12"/>
  <c r="AK83" i="33"/>
  <c r="AQ83" i="33"/>
  <c r="AQ118" i="12"/>
  <c r="AK118" i="12"/>
  <c r="AQ93" i="22"/>
  <c r="AK93" i="22"/>
  <c r="AQ106" i="25"/>
  <c r="AK106" i="25"/>
  <c r="AQ89" i="11"/>
  <c r="AK89" i="11"/>
  <c r="AK103" i="8"/>
  <c r="AQ103" i="8"/>
  <c r="AQ423" i="19"/>
  <c r="AK423" i="19"/>
  <c r="AK96" i="20"/>
  <c r="AQ96" i="20"/>
  <c r="AP77" i="7"/>
  <c r="AJ77" i="7"/>
  <c r="AK96" i="13"/>
  <c r="AQ96" i="13"/>
  <c r="AQ61" i="28"/>
  <c r="AK61" i="28"/>
  <c r="AQ143" i="24"/>
  <c r="AK143" i="24"/>
  <c r="AK81" i="31"/>
  <c r="AQ81" i="31"/>
  <c r="AK118" i="14"/>
  <c r="AQ118" i="14"/>
  <c r="J25" i="13" l="1"/>
  <c r="L25" i="13" s="1"/>
  <c r="L26" i="13" l="1"/>
  <c r="R25" i="13"/>
  <c r="R26" i="13" s="1"/>
  <c r="AI77" i="13"/>
  <c r="AI78" i="13" l="1"/>
  <c r="AQ78" i="13" s="1"/>
  <c r="AK77" i="13"/>
  <c r="AK78" i="13" s="1"/>
  <c r="AQ77" i="13"/>
  <c r="J26" i="11" l="1"/>
  <c r="L26" i="11" s="1"/>
  <c r="R26" i="11" l="1"/>
  <c r="AI74" i="11"/>
  <c r="J21" i="14" l="1"/>
  <c r="J35" i="14" l="1"/>
  <c r="L35" i="14" s="1"/>
  <c r="L21" i="14"/>
  <c r="AI85" i="14" l="1"/>
  <c r="R21" i="14"/>
  <c r="AI99" i="14"/>
  <c r="R35" i="14"/>
  <c r="J23" i="9"/>
  <c r="J24" i="10"/>
  <c r="J23" i="10"/>
  <c r="L23" i="10" l="1"/>
  <c r="J39" i="10"/>
  <c r="L39" i="10" s="1"/>
  <c r="J40" i="9"/>
  <c r="J40" i="10"/>
  <c r="AK99" i="14"/>
  <c r="AQ99" i="14"/>
  <c r="AK85" i="14"/>
  <c r="AQ85" i="14"/>
  <c r="R39" i="10" l="1"/>
  <c r="AI107" i="10"/>
  <c r="R23" i="10"/>
  <c r="AI91" i="10"/>
  <c r="J25" i="12" l="1"/>
  <c r="L25" i="12" s="1"/>
  <c r="J25" i="11"/>
  <c r="J24" i="11"/>
  <c r="L24" i="11" s="1"/>
  <c r="K46" i="27" l="1"/>
  <c r="K47" i="27"/>
  <c r="K45" i="27"/>
  <c r="L25" i="11"/>
  <c r="R24" i="11"/>
  <c r="AI72" i="11"/>
  <c r="AI88" i="12"/>
  <c r="R25" i="12"/>
  <c r="L27" i="11" l="1"/>
  <c r="R25" i="11"/>
  <c r="AI73" i="11"/>
  <c r="AI75" i="11" s="1"/>
  <c r="R27" i="11"/>
  <c r="AK88" i="12"/>
  <c r="AQ88" i="12"/>
  <c r="AK72" i="11"/>
  <c r="AQ72" i="11"/>
  <c r="J26" i="8"/>
  <c r="J25" i="8"/>
  <c r="L25" i="8" s="1"/>
  <c r="AK73" i="11" l="1"/>
  <c r="AQ73" i="11"/>
  <c r="K24" i="27"/>
  <c r="K28" i="27"/>
  <c r="K31" i="27"/>
  <c r="K40" i="27"/>
  <c r="K27" i="27"/>
  <c r="K36" i="27"/>
  <c r="K30" i="27"/>
  <c r="K25" i="27"/>
  <c r="K21" i="27"/>
  <c r="K22" i="27"/>
  <c r="K33" i="27"/>
  <c r="K37" i="27"/>
  <c r="K39" i="27"/>
  <c r="K38" i="27"/>
  <c r="K26" i="27"/>
  <c r="K29" i="27"/>
  <c r="K23" i="27"/>
  <c r="K32" i="27"/>
  <c r="K34" i="27"/>
  <c r="L26" i="8"/>
  <c r="K41" i="27"/>
  <c r="K35" i="27"/>
  <c r="AK75" i="11"/>
  <c r="AQ75" i="11"/>
  <c r="AI80" i="8"/>
  <c r="R25" i="8"/>
  <c r="R26" i="8" l="1"/>
  <c r="AI81" i="8"/>
  <c r="L27" i="8"/>
  <c r="R27" i="8"/>
  <c r="AQ80" i="8"/>
  <c r="AK80" i="8"/>
  <c r="AI82" i="8"/>
  <c r="AQ81" i="8" l="1"/>
  <c r="AK81" i="8"/>
  <c r="AQ82" i="8"/>
  <c r="AK82" i="8"/>
  <c r="V62" i="5" l="1"/>
  <c r="R46" i="4" l="1"/>
  <c r="E56" i="3"/>
  <c r="V64" i="5"/>
  <c r="L62" i="5"/>
  <c r="L64" i="5" l="1"/>
  <c r="J46" i="4"/>
  <c r="N57" i="5" l="1"/>
  <c r="N61" i="5"/>
  <c r="N60" i="5"/>
  <c r="N63" i="5"/>
  <c r="N59" i="5"/>
  <c r="N56" i="5"/>
  <c r="N58" i="5"/>
  <c r="P62" i="5"/>
  <c r="L64" i="6"/>
  <c r="L46" i="4"/>
  <c r="N62" i="5"/>
  <c r="G56" i="3" l="1"/>
  <c r="I56" i="3" s="1"/>
  <c r="K56" i="3" s="1"/>
  <c r="R64" i="6"/>
  <c r="N62" i="6"/>
  <c r="N57" i="6"/>
  <c r="N58" i="6"/>
  <c r="J64" i="6"/>
  <c r="N63" i="6"/>
  <c r="N56" i="6"/>
  <c r="N59" i="6"/>
  <c r="N60" i="6"/>
  <c r="N61" i="6"/>
  <c r="R62" i="5"/>
  <c r="X62" i="5"/>
  <c r="P64" i="5"/>
  <c r="R64" i="5" l="1"/>
  <c r="X64" i="5"/>
  <c r="J23" i="7" l="1"/>
  <c r="H13" i="27" l="1"/>
  <c r="H11" i="27"/>
  <c r="H10" i="27"/>
  <c r="H9" i="27"/>
  <c r="H12" i="27"/>
  <c r="L23" i="7"/>
  <c r="H7" i="27"/>
  <c r="H8" i="27"/>
  <c r="R23" i="7" l="1"/>
  <c r="AH64" i="7"/>
  <c r="AJ64" i="7" l="1"/>
  <c r="AP64" i="7"/>
  <c r="Y110" i="9" l="1"/>
  <c r="AE110" i="9" s="1"/>
  <c r="F41" i="9"/>
  <c r="L40" i="9"/>
  <c r="Y92" i="10"/>
  <c r="AE92" i="10" s="1"/>
  <c r="F25" i="10"/>
  <c r="L24" i="10"/>
  <c r="Y93" i="9"/>
  <c r="AE93" i="9" s="1"/>
  <c r="F24" i="9"/>
  <c r="L23" i="9"/>
  <c r="AE94" i="9" l="1"/>
  <c r="AO93" i="9"/>
  <c r="AO94" i="9" s="1"/>
  <c r="AI92" i="10"/>
  <c r="AK92" i="10" s="1"/>
  <c r="L25" i="10"/>
  <c r="R24" i="10"/>
  <c r="R25" i="10" s="1"/>
  <c r="Y93" i="10"/>
  <c r="F35" i="10"/>
  <c r="AO92" i="10"/>
  <c r="AO93" i="10" s="1"/>
  <c r="AE93" i="10"/>
  <c r="AI110" i="9"/>
  <c r="R40" i="9"/>
  <c r="R41" i="9" s="1"/>
  <c r="L41" i="9"/>
  <c r="R23" i="9"/>
  <c r="R24" i="9" s="1"/>
  <c r="L24" i="9"/>
  <c r="AI93" i="9"/>
  <c r="AK93" i="9" s="1"/>
  <c r="Y111" i="9"/>
  <c r="F53" i="9"/>
  <c r="Y123" i="9" s="1"/>
  <c r="Y94" i="9"/>
  <c r="F36" i="9"/>
  <c r="AO110" i="9"/>
  <c r="AO111" i="9" s="1"/>
  <c r="AE111" i="9"/>
  <c r="AK110" i="9"/>
  <c r="AI111" i="9" l="1"/>
  <c r="AQ111" i="9" s="1"/>
  <c r="AQ110" i="9"/>
  <c r="Y103" i="10"/>
  <c r="F41" i="10"/>
  <c r="Y108" i="10"/>
  <c r="AE108" i="10" s="1"/>
  <c r="L40" i="10"/>
  <c r="AK111" i="9"/>
  <c r="Y106" i="9"/>
  <c r="Y124" i="9" s="1"/>
  <c r="F54" i="9"/>
  <c r="F63" i="9" s="1"/>
  <c r="AQ93" i="9"/>
  <c r="AI94" i="9"/>
  <c r="AI93" i="10"/>
  <c r="AK93" i="10" s="1"/>
  <c r="AQ92" i="10"/>
  <c r="F51" i="10" l="1"/>
  <c r="Y109" i="10"/>
  <c r="AO108" i="10"/>
  <c r="AO109" i="10" s="1"/>
  <c r="AE109" i="10"/>
  <c r="Y133" i="9"/>
  <c r="F26" i="6"/>
  <c r="AI108" i="10"/>
  <c r="R40" i="10"/>
  <c r="R41" i="10" s="1"/>
  <c r="L41" i="10"/>
  <c r="AQ93" i="10"/>
  <c r="AQ94" i="9"/>
  <c r="AK94" i="9"/>
  <c r="AQ108" i="10" l="1"/>
  <c r="AI109" i="10"/>
  <c r="AK109" i="10" s="1"/>
  <c r="AK108" i="10"/>
  <c r="F22" i="4"/>
  <c r="F26" i="5"/>
  <c r="Y119" i="10"/>
  <c r="Y120" i="10" s="1"/>
  <c r="Y129" i="10" s="1"/>
  <c r="F61" i="10"/>
  <c r="F27" i="6" s="1"/>
  <c r="F32" i="6" s="1"/>
  <c r="F66" i="6" s="1"/>
  <c r="F52" i="10"/>
  <c r="AQ109" i="10" l="1"/>
  <c r="F23" i="4"/>
  <c r="F48" i="4" s="1"/>
  <c r="F27" i="5"/>
  <c r="F32" i="5" s="1"/>
  <c r="F66" i="5" s="1"/>
  <c r="AA113" i="10" l="1"/>
  <c r="AE113" i="10" s="1"/>
  <c r="AA97" i="10" l="1"/>
  <c r="AE97" i="10" s="1"/>
  <c r="AA96" i="10"/>
  <c r="AE96" i="10" s="1"/>
  <c r="H30" i="10"/>
  <c r="AA98" i="10" s="1"/>
  <c r="W103" i="26"/>
  <c r="AA118" i="9"/>
  <c r="AE118" i="9" s="1"/>
  <c r="AA112" i="10"/>
  <c r="AE112" i="10" s="1"/>
  <c r="H46" i="10"/>
  <c r="AA114" i="10" s="1"/>
  <c r="AO113" i="10"/>
  <c r="H49" i="9" l="1"/>
  <c r="AA119" i="9" s="1"/>
  <c r="AA117" i="9"/>
  <c r="AE117" i="9" s="1"/>
  <c r="AA114" i="9"/>
  <c r="AE114" i="9" s="1"/>
  <c r="X103" i="26"/>
  <c r="AA113" i="9"/>
  <c r="AE113" i="9" s="1"/>
  <c r="H45" i="9"/>
  <c r="AA115" i="9" s="1"/>
  <c r="AA101" i="9"/>
  <c r="AE101" i="9" s="1"/>
  <c r="AA96" i="9"/>
  <c r="AE96" i="9" s="1"/>
  <c r="H28" i="9"/>
  <c r="AA98" i="9" s="1"/>
  <c r="AO112" i="10"/>
  <c r="AO114" i="10" s="1"/>
  <c r="AE114" i="10"/>
  <c r="AE98" i="10"/>
  <c r="AO96" i="10"/>
  <c r="AA97" i="9"/>
  <c r="AE97" i="9" s="1"/>
  <c r="AA100" i="9"/>
  <c r="AE100" i="9" s="1"/>
  <c r="H32" i="9"/>
  <c r="AA102" i="9" s="1"/>
  <c r="AO118" i="9"/>
  <c r="AO97" i="10"/>
  <c r="AO97" i="9" l="1"/>
  <c r="AE115" i="9"/>
  <c r="AO113" i="9"/>
  <c r="AO98" i="10"/>
  <c r="AE98" i="9"/>
  <c r="AO96" i="9"/>
  <c r="AO98" i="9" s="1"/>
  <c r="AO114" i="9"/>
  <c r="AO100" i="9"/>
  <c r="AO117" i="9"/>
  <c r="AO101" i="9"/>
  <c r="AE119" i="9" l="1"/>
  <c r="AO102" i="9"/>
  <c r="AE102" i="9"/>
  <c r="AO115" i="9"/>
  <c r="AO119" i="9" s="1"/>
  <c r="AA118" i="10" l="1"/>
  <c r="AE118" i="10" s="1"/>
  <c r="AA102" i="10"/>
  <c r="AE102" i="10" s="1"/>
  <c r="H29" i="30"/>
  <c r="H30" i="30"/>
  <c r="AA72" i="30"/>
  <c r="AE72" i="30" s="1"/>
  <c r="AA74" i="30" l="1"/>
  <c r="AA75" i="30" s="1"/>
  <c r="H31" i="30"/>
  <c r="AA117" i="10"/>
  <c r="AE117" i="10" s="1"/>
  <c r="H51" i="10"/>
  <c r="AA73" i="30"/>
  <c r="AE73" i="30" s="1"/>
  <c r="AE74" i="30" s="1"/>
  <c r="L29" i="30"/>
  <c r="AA104" i="9"/>
  <c r="AE104" i="9" s="1"/>
  <c r="H36" i="9"/>
  <c r="AA101" i="10"/>
  <c r="AE101" i="10" s="1"/>
  <c r="H35" i="10"/>
  <c r="U103" i="26"/>
  <c r="AA105" i="9"/>
  <c r="AE105" i="9" s="1"/>
  <c r="AO102" i="10"/>
  <c r="AA121" i="9"/>
  <c r="AE121" i="9" s="1"/>
  <c r="H53" i="9"/>
  <c r="AA123" i="9" s="1"/>
  <c r="AO72" i="30"/>
  <c r="AO118" i="10"/>
  <c r="H52" i="10" l="1"/>
  <c r="AA119" i="10"/>
  <c r="F108" i="26"/>
  <c r="M108" i="26" s="1"/>
  <c r="O108" i="26" s="1"/>
  <c r="F103" i="26"/>
  <c r="M103" i="26" s="1"/>
  <c r="O103" i="26" s="1"/>
  <c r="F104" i="26"/>
  <c r="M104" i="26" s="1"/>
  <c r="O104" i="26" s="1"/>
  <c r="F111" i="26"/>
  <c r="M111" i="26" s="1"/>
  <c r="O111" i="26" s="1"/>
  <c r="F106" i="26"/>
  <c r="M106" i="26" s="1"/>
  <c r="O106" i="26" s="1"/>
  <c r="F109" i="26"/>
  <c r="M109" i="26" s="1"/>
  <c r="O109" i="26" s="1"/>
  <c r="F107" i="26"/>
  <c r="M107" i="26" s="1"/>
  <c r="O107" i="26" s="1"/>
  <c r="F110" i="26"/>
  <c r="M110" i="26" s="1"/>
  <c r="O110" i="26" s="1"/>
  <c r="F105" i="26"/>
  <c r="M105" i="26" s="1"/>
  <c r="O105" i="26" s="1"/>
  <c r="F112" i="26"/>
  <c r="M112" i="26" s="1"/>
  <c r="O112" i="26" s="1"/>
  <c r="H39" i="30"/>
  <c r="L34" i="30"/>
  <c r="L36" i="30"/>
  <c r="AE75" i="30"/>
  <c r="AA103" i="10"/>
  <c r="H61" i="10"/>
  <c r="H27" i="6" s="1"/>
  <c r="H54" i="9"/>
  <c r="AA106" i="9"/>
  <c r="AA124" i="9" s="1"/>
  <c r="AE78" i="30"/>
  <c r="AE80" i="30"/>
  <c r="AO105" i="9"/>
  <c r="AO101" i="10"/>
  <c r="AO103" i="10" s="1"/>
  <c r="AE103" i="10"/>
  <c r="AO104" i="9"/>
  <c r="AE106" i="9"/>
  <c r="R29" i="30"/>
  <c r="AI73" i="30"/>
  <c r="AA122" i="9"/>
  <c r="AE122" i="9" s="1"/>
  <c r="AE123" i="9" s="1"/>
  <c r="AO73" i="30"/>
  <c r="AO74" i="30" s="1"/>
  <c r="AO75" i="30" s="1"/>
  <c r="AO117" i="10"/>
  <c r="AO119" i="10" s="1"/>
  <c r="AO120" i="10" s="1"/>
  <c r="AE119" i="10"/>
  <c r="AO121" i="9"/>
  <c r="V103" i="26"/>
  <c r="AO106" i="9" l="1"/>
  <c r="AE124" i="9"/>
  <c r="AA120" i="10"/>
  <c r="AE124" i="10" s="1"/>
  <c r="P57" i="10"/>
  <c r="L55" i="10"/>
  <c r="L58" i="10"/>
  <c r="AO80" i="30"/>
  <c r="AO78" i="30"/>
  <c r="AE81" i="30"/>
  <c r="AK73" i="30"/>
  <c r="AQ73" i="30"/>
  <c r="AE127" i="9"/>
  <c r="AM129" i="9"/>
  <c r="AE130" i="9"/>
  <c r="AI80" i="30"/>
  <c r="AK80" i="30" s="1"/>
  <c r="R36" i="30"/>
  <c r="F115" i="26"/>
  <c r="M115" i="26" s="1"/>
  <c r="O115" i="26" s="1"/>
  <c r="F118" i="26"/>
  <c r="M118" i="26" s="1"/>
  <c r="O118" i="26" s="1"/>
  <c r="F123" i="26"/>
  <c r="M123" i="26" s="1"/>
  <c r="O123" i="26" s="1"/>
  <c r="F119" i="26"/>
  <c r="M119" i="26" s="1"/>
  <c r="O119" i="26" s="1"/>
  <c r="F121" i="26"/>
  <c r="M121" i="26" s="1"/>
  <c r="O121" i="26" s="1"/>
  <c r="F122" i="26"/>
  <c r="M122" i="26" s="1"/>
  <c r="O122" i="26" s="1"/>
  <c r="F114" i="26"/>
  <c r="M114" i="26" s="1"/>
  <c r="O114" i="26" s="1"/>
  <c r="F117" i="26"/>
  <c r="M117" i="26" s="1"/>
  <c r="O117" i="26" s="1"/>
  <c r="F120" i="26"/>
  <c r="M120" i="26" s="1"/>
  <c r="O120" i="26" s="1"/>
  <c r="F116" i="26"/>
  <c r="M116" i="26" s="1"/>
  <c r="O116" i="26" s="1"/>
  <c r="L57" i="9"/>
  <c r="P59" i="9"/>
  <c r="H63" i="9"/>
  <c r="L60" i="9"/>
  <c r="AI78" i="30"/>
  <c r="R34" i="30"/>
  <c r="L37" i="30"/>
  <c r="AA83" i="30"/>
  <c r="H40" i="6"/>
  <c r="AE120" i="10"/>
  <c r="AO122" i="9"/>
  <c r="AO123" i="9" s="1"/>
  <c r="AO124" i="9" s="1"/>
  <c r="AE128" i="9" s="1"/>
  <c r="AQ80" i="30" l="1"/>
  <c r="AI81" i="30"/>
  <c r="AK78" i="30"/>
  <c r="AO128" i="9"/>
  <c r="L58" i="9"/>
  <c r="AI130" i="9"/>
  <c r="AK130" i="9" s="1"/>
  <c r="R60" i="9"/>
  <c r="AO130" i="9"/>
  <c r="AQ78" i="30"/>
  <c r="AO81" i="30"/>
  <c r="P59" i="10"/>
  <c r="P61" i="10" s="1"/>
  <c r="P27" i="6" s="1"/>
  <c r="R57" i="10"/>
  <c r="H26" i="6"/>
  <c r="AA133" i="9"/>
  <c r="AM131" i="9"/>
  <c r="AM133" i="9" s="1"/>
  <c r="AO129" i="9"/>
  <c r="P61" i="9"/>
  <c r="P63" i="9" s="1"/>
  <c r="P26" i="6" s="1"/>
  <c r="R59" i="9"/>
  <c r="AO127" i="9"/>
  <c r="AE131" i="9"/>
  <c r="AK127" i="9"/>
  <c r="AK81" i="30"/>
  <c r="AE83" i="30"/>
  <c r="AG81" i="30" s="1"/>
  <c r="H30" i="4"/>
  <c r="H40" i="5"/>
  <c r="H43" i="5" s="1"/>
  <c r="R55" i="10"/>
  <c r="AI127" i="9"/>
  <c r="R57" i="9"/>
  <c r="L61" i="9"/>
  <c r="L56" i="10"/>
  <c r="L59" i="10" s="1"/>
  <c r="AO124" i="10"/>
  <c r="H43" i="6"/>
  <c r="R37" i="30"/>
  <c r="R58" i="10"/>
  <c r="AA129" i="10"/>
  <c r="AE123" i="10"/>
  <c r="AM125" i="10"/>
  <c r="AE126" i="10"/>
  <c r="AI126" i="10" s="1"/>
  <c r="AI123" i="10" l="1"/>
  <c r="AQ130" i="9"/>
  <c r="AO131" i="9"/>
  <c r="AO133" i="9" s="1"/>
  <c r="R22" i="4" s="1"/>
  <c r="AK123" i="10"/>
  <c r="AO83" i="30"/>
  <c r="AQ81" i="30"/>
  <c r="AO126" i="10"/>
  <c r="AQ126" i="10" s="1"/>
  <c r="AK126" i="10"/>
  <c r="AI124" i="10"/>
  <c r="R56" i="10"/>
  <c r="R59" i="10" s="1"/>
  <c r="AG72" i="30"/>
  <c r="AG69" i="30"/>
  <c r="J30" i="4"/>
  <c r="L40" i="5"/>
  <c r="AG68" i="30"/>
  <c r="AG79" i="30"/>
  <c r="AG73" i="30"/>
  <c r="AG74" i="30"/>
  <c r="AG78" i="30"/>
  <c r="AG80" i="30"/>
  <c r="AG75" i="30"/>
  <c r="AE133" i="9"/>
  <c r="AG105" i="9" s="1"/>
  <c r="T26" i="5"/>
  <c r="P22" i="4"/>
  <c r="AM127" i="10"/>
  <c r="AM129" i="10" s="1"/>
  <c r="AO125" i="10"/>
  <c r="AQ125" i="10" s="1"/>
  <c r="E26" i="3"/>
  <c r="V26" i="5"/>
  <c r="H22" i="4"/>
  <c r="H26" i="5"/>
  <c r="AO123" i="10"/>
  <c r="AQ123" i="10" s="1"/>
  <c r="AE127" i="10"/>
  <c r="H23" i="4"/>
  <c r="H27" i="5"/>
  <c r="AQ127" i="9"/>
  <c r="AQ129" i="9"/>
  <c r="H32" i="6"/>
  <c r="R58" i="9"/>
  <c r="R61" i="9" s="1"/>
  <c r="AI128" i="9"/>
  <c r="P32" i="6"/>
  <c r="P66" i="6" s="1"/>
  <c r="AI127" i="10" l="1"/>
  <c r="AK124" i="10"/>
  <c r="AQ124" i="10"/>
  <c r="AI131" i="9"/>
  <c r="AK128" i="9"/>
  <c r="AQ128" i="9"/>
  <c r="AQ131" i="9"/>
  <c r="AK131" i="9"/>
  <c r="AG131" i="9"/>
  <c r="H48" i="4"/>
  <c r="AG127" i="9"/>
  <c r="J22" i="4"/>
  <c r="L26" i="5"/>
  <c r="AG93" i="9"/>
  <c r="AG110" i="9"/>
  <c r="AG94" i="9"/>
  <c r="AG111" i="9"/>
  <c r="AG118" i="9"/>
  <c r="AG113" i="9"/>
  <c r="AG114" i="9"/>
  <c r="AG117" i="9"/>
  <c r="AG100" i="9"/>
  <c r="AG97" i="9"/>
  <c r="AG101" i="9"/>
  <c r="AG96" i="9"/>
  <c r="AG115" i="9"/>
  <c r="AG98" i="9"/>
  <c r="AG102" i="9"/>
  <c r="AG119" i="9"/>
  <c r="AG121" i="9"/>
  <c r="AG104" i="9"/>
  <c r="AG122" i="9"/>
  <c r="AG123" i="9"/>
  <c r="AG106" i="9"/>
  <c r="AG128" i="9"/>
  <c r="AG130" i="9"/>
  <c r="AG124" i="9"/>
  <c r="J40" i="5"/>
  <c r="L43" i="5"/>
  <c r="N40" i="5" s="1"/>
  <c r="T27" i="5"/>
  <c r="T32" i="5" s="1"/>
  <c r="T66" i="5" s="1"/>
  <c r="P23" i="4"/>
  <c r="P48" i="4" s="1"/>
  <c r="L30" i="4"/>
  <c r="V40" i="5"/>
  <c r="V43" i="5" s="1"/>
  <c r="E40" i="3"/>
  <c r="R30" i="4"/>
  <c r="H66" i="6"/>
  <c r="H32" i="5"/>
  <c r="AE129" i="10"/>
  <c r="AK127" i="10"/>
  <c r="AO127" i="10"/>
  <c r="AO129" i="10" s="1"/>
  <c r="AG96" i="10" l="1"/>
  <c r="AG114" i="10"/>
  <c r="AG123" i="10"/>
  <c r="E27" i="3"/>
  <c r="E32" i="3" s="1"/>
  <c r="V27" i="5"/>
  <c r="V32" i="5" s="1"/>
  <c r="V66" i="5" s="1"/>
  <c r="N42" i="5"/>
  <c r="N39" i="5"/>
  <c r="N41" i="5"/>
  <c r="J43" i="5"/>
  <c r="L22" i="4"/>
  <c r="AG127" i="10"/>
  <c r="AG107" i="10"/>
  <c r="AG91" i="10"/>
  <c r="L27" i="5"/>
  <c r="J23" i="4"/>
  <c r="AG92" i="10"/>
  <c r="AG93" i="10"/>
  <c r="AG108" i="10"/>
  <c r="AG109" i="10"/>
  <c r="AG113" i="10"/>
  <c r="AG112" i="10"/>
  <c r="AG97" i="10"/>
  <c r="AG98" i="10"/>
  <c r="AG102" i="10"/>
  <c r="AG118" i="10"/>
  <c r="AG101" i="10"/>
  <c r="AG117" i="10"/>
  <c r="AG103" i="10"/>
  <c r="AG119" i="10"/>
  <c r="AG120" i="10"/>
  <c r="AG124" i="10"/>
  <c r="AG126" i="10"/>
  <c r="J26" i="5"/>
  <c r="H66" i="5"/>
  <c r="E43" i="3"/>
  <c r="AQ127" i="10"/>
  <c r="J48" i="4" l="1"/>
  <c r="N23" i="4" s="1"/>
  <c r="J27" i="5"/>
  <c r="L32" i="5"/>
  <c r="E58" i="3"/>
  <c r="R23" i="4"/>
  <c r="L23" i="4"/>
  <c r="N44" i="4" l="1"/>
  <c r="N25" i="4"/>
  <c r="N46" i="4"/>
  <c r="N31" i="4"/>
  <c r="N24" i="4"/>
  <c r="N34" i="4"/>
  <c r="N30" i="4"/>
  <c r="N29" i="4"/>
  <c r="N35" i="4"/>
  <c r="N45" i="4"/>
  <c r="N37" i="4"/>
  <c r="N42" i="4"/>
  <c r="N47" i="4"/>
  <c r="N32" i="4"/>
  <c r="N28" i="4"/>
  <c r="N39" i="4"/>
  <c r="N36" i="4"/>
  <c r="N41" i="4"/>
  <c r="N38" i="4"/>
  <c r="N26" i="4"/>
  <c r="N33" i="4"/>
  <c r="N40" i="4"/>
  <c r="N43" i="4"/>
  <c r="N27" i="4"/>
  <c r="L48" i="4"/>
  <c r="N22" i="4"/>
  <c r="N27" i="5"/>
  <c r="N20" i="4"/>
  <c r="N21" i="4"/>
  <c r="E69" i="3"/>
  <c r="R48" i="4"/>
  <c r="N31" i="5"/>
  <c r="N28" i="5"/>
  <c r="N30" i="5"/>
  <c r="N25" i="5"/>
  <c r="N29" i="5"/>
  <c r="J32" i="5"/>
  <c r="N26" i="5"/>
  <c r="L66" i="5"/>
  <c r="N32" i="5" s="1"/>
  <c r="T23" i="4" l="1"/>
  <c r="T20" i="4"/>
  <c r="N64" i="5"/>
  <c r="N53" i="5"/>
  <c r="N36" i="5"/>
  <c r="N22" i="5"/>
  <c r="N43" i="5"/>
  <c r="J66" i="5"/>
  <c r="T44" i="4"/>
  <c r="T37" i="4"/>
  <c r="T43" i="4"/>
  <c r="T42" i="4"/>
  <c r="T41" i="4"/>
  <c r="T33" i="4"/>
  <c r="T47" i="4"/>
  <c r="T39" i="4"/>
  <c r="T34" i="4"/>
  <c r="T27" i="4"/>
  <c r="T24" i="4"/>
  <c r="T26" i="4"/>
  <c r="T38" i="4"/>
  <c r="T35" i="4"/>
  <c r="T25" i="4"/>
  <c r="T29" i="4"/>
  <c r="T46" i="4"/>
  <c r="T36" i="4"/>
  <c r="T28" i="4"/>
  <c r="T21" i="4"/>
  <c r="T32" i="4"/>
  <c r="T40" i="4"/>
  <c r="T45" i="4"/>
  <c r="T31" i="4"/>
  <c r="T22" i="4"/>
  <c r="T30" i="4"/>
  <c r="AI324" i="34" l="1"/>
  <c r="AI257" i="34"/>
  <c r="AI328" i="34"/>
  <c r="AI268" i="34"/>
  <c r="AI342" i="34"/>
  <c r="AI254" i="34"/>
  <c r="AI334" i="34"/>
  <c r="AI337" i="34"/>
  <c r="AI344" i="34"/>
  <c r="AI300" i="34"/>
  <c r="AI299" i="34"/>
  <c r="AI340" i="34"/>
  <c r="AI341" i="34"/>
  <c r="AI329" i="34"/>
  <c r="AI255" i="34"/>
  <c r="AI345" i="34"/>
  <c r="AI326" i="34"/>
  <c r="AI335" i="34"/>
  <c r="AI338" i="34"/>
  <c r="AI336" i="34"/>
  <c r="AI333" i="34"/>
  <c r="AI332" i="34"/>
  <c r="AI258" i="34"/>
  <c r="AI331" i="34"/>
  <c r="AI343" i="34"/>
  <c r="AI260" i="34"/>
  <c r="AI263" i="34"/>
  <c r="AI323" i="34"/>
  <c r="AI339" i="34"/>
  <c r="AI325" i="34"/>
  <c r="AI322" i="34"/>
  <c r="AI327" i="34"/>
  <c r="AI256" i="34" l="1"/>
  <c r="AI262" i="34"/>
  <c r="AI259" i="34"/>
  <c r="AI265" i="34"/>
  <c r="L52" i="6"/>
  <c r="AI261" i="34"/>
  <c r="AI267" i="34"/>
  <c r="R52" i="6" l="1"/>
  <c r="G52" i="3"/>
  <c r="I52" i="3" s="1"/>
  <c r="J26" i="7" l="1"/>
  <c r="L26" i="7" l="1"/>
  <c r="G25" i="26"/>
  <c r="P25" i="26" s="1"/>
  <c r="G26" i="26"/>
  <c r="P26" i="26" s="1"/>
  <c r="I7" i="27"/>
  <c r="L7" i="27" s="1"/>
  <c r="G20" i="26"/>
  <c r="P20" i="26" s="1"/>
  <c r="G24" i="26"/>
  <c r="P24" i="26" s="1"/>
  <c r="I13" i="27"/>
  <c r="L13" i="27" s="1"/>
  <c r="I9" i="27"/>
  <c r="L9" i="27" s="1"/>
  <c r="I10" i="27"/>
  <c r="L10" i="27" s="1"/>
  <c r="G21" i="26"/>
  <c r="P21" i="26" s="1"/>
  <c r="G22" i="26"/>
  <c r="P22" i="26" s="1"/>
  <c r="G23" i="26"/>
  <c r="P23" i="26" s="1"/>
  <c r="I8" i="27"/>
  <c r="L8" i="27" s="1"/>
  <c r="I12" i="27"/>
  <c r="L12" i="27" s="1"/>
  <c r="I11" i="27"/>
  <c r="L11" i="27" s="1"/>
  <c r="J28" i="33"/>
  <c r="L28" i="33" s="1"/>
  <c r="H24" i="26" l="1"/>
  <c r="I24" i="26" s="1"/>
  <c r="H23" i="26"/>
  <c r="I23" i="26" s="1"/>
  <c r="L30" i="33"/>
  <c r="AI74" i="33"/>
  <c r="R28" i="33"/>
  <c r="R30" i="33" s="1"/>
  <c r="R31" i="33" s="1"/>
  <c r="R39" i="33" s="1"/>
  <c r="H20" i="26"/>
  <c r="I20" i="26" s="1"/>
  <c r="H26" i="26"/>
  <c r="I26" i="26" s="1"/>
  <c r="H21" i="26"/>
  <c r="I21" i="26" s="1"/>
  <c r="H25" i="26"/>
  <c r="I25" i="26" s="1"/>
  <c r="H22" i="26"/>
  <c r="I22" i="26" s="1"/>
  <c r="L28" i="7"/>
  <c r="R26" i="7"/>
  <c r="R28" i="7" s="1"/>
  <c r="R38" i="7" s="1"/>
  <c r="AH67" i="7"/>
  <c r="J28" i="12"/>
  <c r="L28" i="12" s="1"/>
  <c r="J33" i="13"/>
  <c r="J34" i="13"/>
  <c r="L34" i="13" s="1"/>
  <c r="Q25" i="26" l="1"/>
  <c r="Q21" i="26"/>
  <c r="Q22" i="26"/>
  <c r="Q23" i="26"/>
  <c r="Q20" i="26"/>
  <c r="Q26" i="26"/>
  <c r="Q24" i="26"/>
  <c r="J107" i="34"/>
  <c r="L107" i="34" s="1"/>
  <c r="J98" i="34"/>
  <c r="L98" i="34" s="1"/>
  <c r="J93" i="34"/>
  <c r="L93" i="34" s="1"/>
  <c r="J89" i="34"/>
  <c r="L89" i="34" s="1"/>
  <c r="J56" i="34"/>
  <c r="L56" i="34" s="1"/>
  <c r="K38" i="34"/>
  <c r="J35" i="34"/>
  <c r="K30" i="34"/>
  <c r="J27" i="34"/>
  <c r="K22" i="34"/>
  <c r="J106" i="34"/>
  <c r="L106" i="34" s="1"/>
  <c r="J88" i="34"/>
  <c r="L88" i="34" s="1"/>
  <c r="J61" i="34"/>
  <c r="L61" i="34" s="1"/>
  <c r="J53" i="34"/>
  <c r="L53" i="34" s="1"/>
  <c r="K40" i="34"/>
  <c r="J38" i="34"/>
  <c r="K32" i="34"/>
  <c r="J30" i="34"/>
  <c r="K24" i="34"/>
  <c r="J22" i="34"/>
  <c r="L22" i="34" s="1"/>
  <c r="J94" i="34"/>
  <c r="L94" i="34" s="1"/>
  <c r="K35" i="34"/>
  <c r="J102" i="34"/>
  <c r="L102" i="34" s="1"/>
  <c r="J60" i="34"/>
  <c r="L60" i="34" s="1"/>
  <c r="R60" i="34" s="1"/>
  <c r="J40" i="34"/>
  <c r="K34" i="34"/>
  <c r="J32" i="34"/>
  <c r="K29" i="34"/>
  <c r="K26" i="34"/>
  <c r="J24" i="34"/>
  <c r="L24" i="34" s="1"/>
  <c r="J99" i="34"/>
  <c r="L99" i="34" s="1"/>
  <c r="J20" i="34"/>
  <c r="J101" i="34"/>
  <c r="L101" i="34" s="1"/>
  <c r="J97" i="34"/>
  <c r="L97" i="34" s="1"/>
  <c r="J92" i="34"/>
  <c r="L92" i="34" s="1"/>
  <c r="J59" i="34"/>
  <c r="L59" i="34" s="1"/>
  <c r="R59" i="34" s="1"/>
  <c r="K37" i="34"/>
  <c r="J34" i="34"/>
  <c r="L34" i="34" s="1"/>
  <c r="J29" i="34"/>
  <c r="J26" i="34"/>
  <c r="L26" i="34" s="1"/>
  <c r="K21" i="34"/>
  <c r="J62" i="34"/>
  <c r="L62" i="34" s="1"/>
  <c r="R62" i="34" s="1"/>
  <c r="J105" i="34"/>
  <c r="L105" i="34" s="1"/>
  <c r="J96" i="34"/>
  <c r="L96" i="34" s="1"/>
  <c r="J91" i="34"/>
  <c r="L91" i="34" s="1"/>
  <c r="K39" i="34"/>
  <c r="J37" i="34"/>
  <c r="K31" i="34"/>
  <c r="K28" i="34"/>
  <c r="K23" i="34"/>
  <c r="J21" i="34"/>
  <c r="J103" i="34"/>
  <c r="L103" i="34" s="1"/>
  <c r="J104" i="34"/>
  <c r="L104" i="34" s="1"/>
  <c r="J90" i="34"/>
  <c r="L90" i="34" s="1"/>
  <c r="J39" i="34"/>
  <c r="K36" i="34"/>
  <c r="K33" i="34"/>
  <c r="J31" i="34"/>
  <c r="J28" i="34"/>
  <c r="K25" i="34"/>
  <c r="J23" i="34"/>
  <c r="L23" i="34" s="1"/>
  <c r="J57" i="34"/>
  <c r="L57" i="34" s="1"/>
  <c r="J100" i="34"/>
  <c r="L100" i="34" s="1"/>
  <c r="J95" i="34"/>
  <c r="L95" i="34" s="1"/>
  <c r="J63" i="34"/>
  <c r="L63" i="34" s="1"/>
  <c r="R63" i="34" s="1"/>
  <c r="J58" i="34"/>
  <c r="L58" i="34" s="1"/>
  <c r="J36" i="34"/>
  <c r="J33" i="34"/>
  <c r="J25" i="34"/>
  <c r="K20" i="34"/>
  <c r="J108" i="34"/>
  <c r="L108" i="34" s="1"/>
  <c r="K27" i="34"/>
  <c r="AK74" i="33"/>
  <c r="AI76" i="33"/>
  <c r="AQ74" i="33"/>
  <c r="R28" i="12"/>
  <c r="R29" i="12" s="1"/>
  <c r="R38" i="12" s="1"/>
  <c r="AI91" i="12"/>
  <c r="L29" i="12"/>
  <c r="AJ67" i="7"/>
  <c r="AH69" i="7"/>
  <c r="AP67" i="7"/>
  <c r="L31" i="33"/>
  <c r="L39" i="33" s="1"/>
  <c r="L33" i="13"/>
  <c r="R21" i="6"/>
  <c r="R22" i="6" s="1"/>
  <c r="G21" i="3"/>
  <c r="J29" i="13"/>
  <c r="L29" i="13" s="1"/>
  <c r="L38" i="7"/>
  <c r="N28" i="7" s="1"/>
  <c r="R34" i="13"/>
  <c r="AI86" i="13"/>
  <c r="G42" i="3"/>
  <c r="I42" i="3" s="1"/>
  <c r="K42" i="3" s="1"/>
  <c r="R42" i="6"/>
  <c r="L38" i="34" l="1"/>
  <c r="L20" i="34"/>
  <c r="L27" i="34"/>
  <c r="L39" i="34"/>
  <c r="L25" i="34"/>
  <c r="L33" i="34"/>
  <c r="L28" i="34"/>
  <c r="L32" i="34"/>
  <c r="AI245" i="34" s="1"/>
  <c r="G170" i="26"/>
  <c r="P170" i="26" s="1"/>
  <c r="R20" i="34"/>
  <c r="AI233" i="34"/>
  <c r="R100" i="34"/>
  <c r="AI313" i="34"/>
  <c r="R104" i="34"/>
  <c r="AI317" i="34"/>
  <c r="R91" i="34"/>
  <c r="AI304" i="34"/>
  <c r="L37" i="34"/>
  <c r="R94" i="34"/>
  <c r="AI307" i="34"/>
  <c r="R61" i="34"/>
  <c r="AI274" i="34"/>
  <c r="R56" i="34"/>
  <c r="L117" i="34"/>
  <c r="AI269" i="34"/>
  <c r="AJ69" i="7"/>
  <c r="AP69" i="7"/>
  <c r="AH79" i="7"/>
  <c r="R38" i="34"/>
  <c r="AI251" i="34"/>
  <c r="G162" i="26"/>
  <c r="P162" i="26" s="1"/>
  <c r="R39" i="34"/>
  <c r="AI252" i="34"/>
  <c r="R99" i="34"/>
  <c r="AI312" i="34"/>
  <c r="G166" i="26"/>
  <c r="P166" i="26" s="1"/>
  <c r="L38" i="12"/>
  <c r="N29" i="12"/>
  <c r="R57" i="34"/>
  <c r="AI270" i="34"/>
  <c r="R90" i="34"/>
  <c r="AI303" i="34"/>
  <c r="R34" i="34"/>
  <c r="AI247" i="34"/>
  <c r="R24" i="34"/>
  <c r="AI237" i="34"/>
  <c r="L35" i="34"/>
  <c r="R53" i="34"/>
  <c r="AI266" i="34"/>
  <c r="G152" i="26"/>
  <c r="P152" i="26" s="1"/>
  <c r="G159" i="26"/>
  <c r="P159" i="26" s="1"/>
  <c r="G171" i="26"/>
  <c r="P171" i="26" s="1"/>
  <c r="AQ91" i="12"/>
  <c r="AI92" i="12"/>
  <c r="AK91" i="12"/>
  <c r="R25" i="34"/>
  <c r="AI238" i="34"/>
  <c r="R23" i="34"/>
  <c r="AI236" i="34"/>
  <c r="AQ86" i="13"/>
  <c r="AK86" i="13"/>
  <c r="G169" i="26"/>
  <c r="P169" i="26" s="1"/>
  <c r="G150" i="26"/>
  <c r="P150" i="26" s="1"/>
  <c r="G157" i="26"/>
  <c r="P157" i="26" s="1"/>
  <c r="G154" i="26"/>
  <c r="P154" i="26" s="1"/>
  <c r="G29" i="3"/>
  <c r="I29" i="3" s="1"/>
  <c r="K29" i="3" s="1"/>
  <c r="R29" i="6"/>
  <c r="R33" i="34"/>
  <c r="AI246" i="34"/>
  <c r="R103" i="34"/>
  <c r="AI316" i="34"/>
  <c r="R96" i="34"/>
  <c r="AI309" i="34"/>
  <c r="L29" i="34"/>
  <c r="R22" i="34"/>
  <c r="AI235" i="34"/>
  <c r="R88" i="34"/>
  <c r="AI301" i="34"/>
  <c r="R89" i="34"/>
  <c r="AI302" i="34"/>
  <c r="L30" i="13"/>
  <c r="R29" i="13"/>
  <c r="R30" i="13" s="1"/>
  <c r="AI81" i="13"/>
  <c r="G168" i="26"/>
  <c r="P168" i="26" s="1"/>
  <c r="G156" i="26"/>
  <c r="P156" i="26" s="1"/>
  <c r="R102" i="34"/>
  <c r="AI315" i="34"/>
  <c r="R105" i="34"/>
  <c r="AI318" i="34"/>
  <c r="R92" i="34"/>
  <c r="AI305" i="34"/>
  <c r="R106" i="34"/>
  <c r="AI319" i="34"/>
  <c r="R93" i="34"/>
  <c r="AI306" i="34"/>
  <c r="R27" i="34"/>
  <c r="AI240" i="34"/>
  <c r="R26" i="34"/>
  <c r="AI239" i="34"/>
  <c r="R108" i="34"/>
  <c r="AI321" i="34"/>
  <c r="G165" i="26"/>
  <c r="P165" i="26" s="1"/>
  <c r="N31" i="33"/>
  <c r="N29" i="33"/>
  <c r="N24" i="33"/>
  <c r="N25" i="33"/>
  <c r="N36" i="33"/>
  <c r="N35" i="33"/>
  <c r="L42" i="6"/>
  <c r="N34" i="33"/>
  <c r="N37" i="33"/>
  <c r="N28" i="33"/>
  <c r="L36" i="34"/>
  <c r="R28" i="34"/>
  <c r="AI241" i="34"/>
  <c r="G160" i="26"/>
  <c r="P160" i="26" s="1"/>
  <c r="G161" i="26"/>
  <c r="P161" i="26" s="1"/>
  <c r="G164" i="26"/>
  <c r="P164" i="26" s="1"/>
  <c r="N30" i="33"/>
  <c r="AI77" i="33"/>
  <c r="AQ76" i="33"/>
  <c r="AK76" i="33"/>
  <c r="R58" i="34"/>
  <c r="AI271" i="34"/>
  <c r="L31" i="34"/>
  <c r="R97" i="34"/>
  <c r="AI310" i="34"/>
  <c r="L30" i="34"/>
  <c r="R98" i="34"/>
  <c r="AI311" i="34"/>
  <c r="G163" i="26"/>
  <c r="P163" i="26" s="1"/>
  <c r="R95" i="34"/>
  <c r="AI308" i="34"/>
  <c r="R33" i="13"/>
  <c r="AI85" i="13"/>
  <c r="G22" i="3"/>
  <c r="I21" i="3"/>
  <c r="G149" i="26"/>
  <c r="P149" i="26" s="1"/>
  <c r="G153" i="26"/>
  <c r="P153" i="26" s="1"/>
  <c r="G167" i="26"/>
  <c r="P167" i="26" s="1"/>
  <c r="G172" i="26"/>
  <c r="P172" i="26" s="1"/>
  <c r="L21" i="6"/>
  <c r="N33" i="7"/>
  <c r="N35" i="7"/>
  <c r="N23" i="7"/>
  <c r="N32" i="7"/>
  <c r="N36" i="7"/>
  <c r="N34" i="7"/>
  <c r="N31" i="7"/>
  <c r="N26" i="7"/>
  <c r="G158" i="26"/>
  <c r="P158" i="26" s="1"/>
  <c r="G151" i="26"/>
  <c r="P151" i="26" s="1"/>
  <c r="G155" i="26"/>
  <c r="P155" i="26" s="1"/>
  <c r="L21" i="34"/>
  <c r="R101" i="34"/>
  <c r="AI314" i="34"/>
  <c r="L40" i="34"/>
  <c r="R107" i="34"/>
  <c r="AI320" i="34"/>
  <c r="J35" i="13"/>
  <c r="L35" i="13" s="1"/>
  <c r="R32" i="34" l="1"/>
  <c r="H167" i="26"/>
  <c r="I167" i="26" s="1"/>
  <c r="Q167" i="26"/>
  <c r="R36" i="34"/>
  <c r="AI249" i="34"/>
  <c r="N28" i="12"/>
  <c r="N32" i="12"/>
  <c r="N36" i="12"/>
  <c r="N33" i="12"/>
  <c r="N25" i="12"/>
  <c r="L29" i="6"/>
  <c r="N35" i="12"/>
  <c r="N23" i="12"/>
  <c r="H153" i="26"/>
  <c r="I153" i="26" s="1"/>
  <c r="Q153" i="26"/>
  <c r="AQ81" i="13"/>
  <c r="AI82" i="13"/>
  <c r="AK81" i="13"/>
  <c r="Q171" i="26"/>
  <c r="H171" i="26"/>
  <c r="I171" i="26" s="1"/>
  <c r="Q166" i="26"/>
  <c r="H166" i="26"/>
  <c r="I166" i="26" s="1"/>
  <c r="AP79" i="7"/>
  <c r="AJ79" i="7"/>
  <c r="P21" i="5"/>
  <c r="Q172" i="26"/>
  <c r="H172" i="26"/>
  <c r="I172" i="26" s="1"/>
  <c r="H168" i="26"/>
  <c r="I168" i="26" s="1"/>
  <c r="Q168" i="26"/>
  <c r="R21" i="34"/>
  <c r="AI234" i="34"/>
  <c r="Q149" i="26"/>
  <c r="H149" i="26"/>
  <c r="I149" i="26" s="1"/>
  <c r="H164" i="26"/>
  <c r="I164" i="26" s="1"/>
  <c r="Q164" i="26"/>
  <c r="R29" i="34"/>
  <c r="AI242" i="34"/>
  <c r="Q159" i="26"/>
  <c r="H159" i="26"/>
  <c r="I159" i="26" s="1"/>
  <c r="Q155" i="26"/>
  <c r="H155" i="26"/>
  <c r="I155" i="26" s="1"/>
  <c r="I22" i="3"/>
  <c r="K22" i="3" s="1"/>
  <c r="K21" i="3"/>
  <c r="H163" i="26"/>
  <c r="I163" i="26" s="1"/>
  <c r="Q163" i="26"/>
  <c r="R31" i="34"/>
  <c r="AI244" i="34"/>
  <c r="Q161" i="26"/>
  <c r="H161" i="26"/>
  <c r="I161" i="26" s="1"/>
  <c r="Q165" i="26"/>
  <c r="H165" i="26"/>
  <c r="I165" i="26" s="1"/>
  <c r="Q154" i="26"/>
  <c r="H154" i="26"/>
  <c r="I154" i="26" s="1"/>
  <c r="Q152" i="26"/>
  <c r="H152" i="26"/>
  <c r="I152" i="26" s="1"/>
  <c r="R37" i="34"/>
  <c r="AI250" i="34"/>
  <c r="Q151" i="26"/>
  <c r="H151" i="26"/>
  <c r="I151" i="26" s="1"/>
  <c r="J54" i="19"/>
  <c r="J21" i="28"/>
  <c r="AE16" i="19"/>
  <c r="AG16" i="19" s="1"/>
  <c r="J92" i="19"/>
  <c r="J43" i="25"/>
  <c r="AE13" i="19"/>
  <c r="AG13" i="19" s="1"/>
  <c r="J25" i="25"/>
  <c r="J32" i="24"/>
  <c r="J184" i="19"/>
  <c r="L184" i="19" s="1"/>
  <c r="J54" i="24"/>
  <c r="J42" i="24"/>
  <c r="J183" i="19"/>
  <c r="L183" i="19" s="1"/>
  <c r="J23" i="25"/>
  <c r="J113" i="19"/>
  <c r="J23" i="24"/>
  <c r="J32" i="20"/>
  <c r="J121" i="19"/>
  <c r="J88" i="19"/>
  <c r="L88" i="19" s="1"/>
  <c r="J187" i="19"/>
  <c r="J193" i="19"/>
  <c r="J186" i="19"/>
  <c r="L186" i="19" s="1"/>
  <c r="J22" i="24"/>
  <c r="J134" i="19"/>
  <c r="J174" i="19"/>
  <c r="J28" i="22"/>
  <c r="J35" i="24"/>
  <c r="J39" i="20"/>
  <c r="J29" i="22"/>
  <c r="J137" i="19"/>
  <c r="J21" i="19"/>
  <c r="AE10" i="19"/>
  <c r="AG10" i="19" s="1"/>
  <c r="J52" i="24"/>
  <c r="J34" i="24"/>
  <c r="J49" i="19"/>
  <c r="J29" i="25"/>
  <c r="J56" i="24"/>
  <c r="J43" i="24"/>
  <c r="J131" i="19"/>
  <c r="J33" i="25"/>
  <c r="J198" i="19"/>
  <c r="L198" i="19" s="1"/>
  <c r="J57" i="24"/>
  <c r="AE11" i="19"/>
  <c r="AG11" i="19" s="1"/>
  <c r="J60" i="24"/>
  <c r="J29" i="24"/>
  <c r="J44" i="25"/>
  <c r="AE17" i="19"/>
  <c r="AG17" i="19" s="1"/>
  <c r="J99" i="19"/>
  <c r="L99" i="19" s="1"/>
  <c r="AE12" i="19"/>
  <c r="AG12" i="19" s="1"/>
  <c r="AE5" i="19"/>
  <c r="AG5" i="19" s="1"/>
  <c r="J23" i="22"/>
  <c r="J61" i="24"/>
  <c r="J27" i="19"/>
  <c r="J55" i="24"/>
  <c r="J41" i="24"/>
  <c r="AE8" i="19"/>
  <c r="AG8" i="19" s="1"/>
  <c r="J39" i="19"/>
  <c r="L39" i="19" s="1"/>
  <c r="J181" i="19"/>
  <c r="J38" i="25"/>
  <c r="J89" i="19"/>
  <c r="AE6" i="19"/>
  <c r="AG6" i="19" s="1"/>
  <c r="J109" i="19"/>
  <c r="L109" i="19" s="1"/>
  <c r="J195" i="19"/>
  <c r="AE9" i="19"/>
  <c r="AG9" i="19" s="1"/>
  <c r="J24" i="20"/>
  <c r="J53" i="24"/>
  <c r="J22" i="22"/>
  <c r="J24" i="24"/>
  <c r="J28" i="24"/>
  <c r="J30" i="25"/>
  <c r="J42" i="19"/>
  <c r="L42" i="19" s="1"/>
  <c r="J27" i="24"/>
  <c r="AE14" i="19"/>
  <c r="AG14" i="19" s="1"/>
  <c r="J22" i="19"/>
  <c r="L22" i="19" s="1"/>
  <c r="J33" i="24"/>
  <c r="J36" i="25"/>
  <c r="J30" i="22"/>
  <c r="J98" i="19"/>
  <c r="J39" i="25"/>
  <c r="J28" i="25"/>
  <c r="J26" i="22"/>
  <c r="J36" i="24"/>
  <c r="J168" i="19"/>
  <c r="J125" i="19"/>
  <c r="J37" i="25"/>
  <c r="J36" i="22"/>
  <c r="J139" i="19"/>
  <c r="L139" i="19" s="1"/>
  <c r="J37" i="19"/>
  <c r="J110" i="19"/>
  <c r="L110" i="19" s="1"/>
  <c r="J171" i="19"/>
  <c r="J189" i="19"/>
  <c r="J22" i="25"/>
  <c r="J87" i="19"/>
  <c r="L87" i="19" s="1"/>
  <c r="J24" i="25"/>
  <c r="J185" i="19"/>
  <c r="L185" i="19" s="1"/>
  <c r="AE18" i="19"/>
  <c r="AG18" i="19" s="1"/>
  <c r="J46" i="24"/>
  <c r="J118" i="19"/>
  <c r="L118" i="19" s="1"/>
  <c r="J127" i="19"/>
  <c r="J206" i="19"/>
  <c r="L206" i="19" s="1"/>
  <c r="J29" i="19"/>
  <c r="AE15" i="19"/>
  <c r="AG15" i="19" s="1"/>
  <c r="J40" i="24"/>
  <c r="J56" i="19"/>
  <c r="J35" i="22"/>
  <c r="J42" i="25"/>
  <c r="J106" i="19"/>
  <c r="J179" i="19"/>
  <c r="J34" i="25"/>
  <c r="J48" i="24"/>
  <c r="J173" i="19"/>
  <c r="L173" i="19" s="1"/>
  <c r="J119" i="19"/>
  <c r="J35" i="25"/>
  <c r="J47" i="24"/>
  <c r="J41" i="19"/>
  <c r="J46" i="19"/>
  <c r="J51" i="24"/>
  <c r="J103" i="19"/>
  <c r="J111" i="19"/>
  <c r="L111" i="19" s="1"/>
  <c r="AE7" i="19"/>
  <c r="AG7" i="19" s="1"/>
  <c r="J64" i="24"/>
  <c r="J136" i="19"/>
  <c r="L136" i="19" s="1"/>
  <c r="J33" i="19"/>
  <c r="J207" i="19"/>
  <c r="L207" i="19" s="1"/>
  <c r="H160" i="26"/>
  <c r="I160" i="26" s="1"/>
  <c r="Q160" i="26"/>
  <c r="J42" i="6"/>
  <c r="H157" i="26"/>
  <c r="I157" i="26" s="1"/>
  <c r="Q157" i="26"/>
  <c r="L51" i="34"/>
  <c r="AI264" i="34" s="1"/>
  <c r="AK77" i="33"/>
  <c r="AI85" i="33"/>
  <c r="AQ77" i="33"/>
  <c r="AI87" i="13"/>
  <c r="AI88" i="13" s="1"/>
  <c r="R35" i="13"/>
  <c r="H158" i="26"/>
  <c r="I158" i="26" s="1"/>
  <c r="Q158" i="26"/>
  <c r="L36" i="13"/>
  <c r="H150" i="26"/>
  <c r="I150" i="26" s="1"/>
  <c r="Q150" i="26"/>
  <c r="AI330" i="34"/>
  <c r="AI346" i="34" s="1"/>
  <c r="R40" i="34"/>
  <c r="AI253" i="34"/>
  <c r="AI101" i="12"/>
  <c r="AK92" i="12"/>
  <c r="AQ92" i="12"/>
  <c r="R30" i="34"/>
  <c r="AI243" i="34"/>
  <c r="L22" i="6"/>
  <c r="N21" i="6" s="1"/>
  <c r="J21" i="6"/>
  <c r="AK85" i="13"/>
  <c r="AQ85" i="13"/>
  <c r="Q156" i="26"/>
  <c r="H156" i="26"/>
  <c r="I156" i="26" s="1"/>
  <c r="Q169" i="26"/>
  <c r="H169" i="26"/>
  <c r="I169" i="26" s="1"/>
  <c r="R35" i="34"/>
  <c r="AI248" i="34"/>
  <c r="H162" i="26"/>
  <c r="I162" i="26" s="1"/>
  <c r="Q162" i="26"/>
  <c r="R117" i="34"/>
  <c r="H170" i="26"/>
  <c r="I170" i="26" s="1"/>
  <c r="Q170" i="26"/>
  <c r="J33" i="11"/>
  <c r="J43" i="12"/>
  <c r="L43" i="12" s="1"/>
  <c r="J46" i="12"/>
  <c r="L46" i="12" s="1"/>
  <c r="R51" i="34" l="1"/>
  <c r="AI272" i="34"/>
  <c r="AI354" i="34" s="1"/>
  <c r="P52" i="5" s="1"/>
  <c r="R52" i="5" s="1"/>
  <c r="J48" i="19"/>
  <c r="L48" i="19" s="1"/>
  <c r="L46" i="19"/>
  <c r="J47" i="19"/>
  <c r="L47" i="19" s="1"/>
  <c r="Y22" i="25"/>
  <c r="L22" i="25"/>
  <c r="L125" i="19"/>
  <c r="J126" i="19"/>
  <c r="L126" i="19" s="1"/>
  <c r="L61" i="24"/>
  <c r="Y61" i="24"/>
  <c r="Y39" i="20"/>
  <c r="L39" i="20"/>
  <c r="J107" i="19"/>
  <c r="L107" i="19" s="1"/>
  <c r="L106" i="19"/>
  <c r="Y33" i="24"/>
  <c r="L33" i="24"/>
  <c r="L23" i="22"/>
  <c r="Y23" i="22"/>
  <c r="L35" i="24"/>
  <c r="Y35" i="24"/>
  <c r="Y21" i="28"/>
  <c r="L21" i="28"/>
  <c r="Y42" i="25"/>
  <c r="L42" i="25"/>
  <c r="L171" i="19"/>
  <c r="J172" i="19"/>
  <c r="L172" i="19" s="1"/>
  <c r="L53" i="24"/>
  <c r="Y53" i="24"/>
  <c r="Y34" i="24"/>
  <c r="L34" i="24"/>
  <c r="J124" i="19"/>
  <c r="L124" i="19" s="1"/>
  <c r="L121" i="19"/>
  <c r="J122" i="19"/>
  <c r="L122" i="19" s="1"/>
  <c r="J123" i="19"/>
  <c r="L123" i="19" s="1"/>
  <c r="L35" i="25"/>
  <c r="Y35" i="25"/>
  <c r="Y46" i="24"/>
  <c r="L46" i="24"/>
  <c r="R198" i="19"/>
  <c r="AI418" i="19"/>
  <c r="AK418" i="19" s="1"/>
  <c r="J176" i="19"/>
  <c r="L176" i="19" s="1"/>
  <c r="J175" i="19"/>
  <c r="L175" i="19" s="1"/>
  <c r="L174" i="19"/>
  <c r="L32" i="24"/>
  <c r="Y32" i="24"/>
  <c r="R202" i="34"/>
  <c r="J180" i="19"/>
  <c r="L180" i="19" s="1"/>
  <c r="L179" i="19"/>
  <c r="Y24" i="24"/>
  <c r="L24" i="24"/>
  <c r="L60" i="24"/>
  <c r="Y60" i="24"/>
  <c r="L42" i="24"/>
  <c r="Y42" i="24"/>
  <c r="J36" i="19"/>
  <c r="L36" i="19" s="1"/>
  <c r="L33" i="19"/>
  <c r="J35" i="19"/>
  <c r="L35" i="19" s="1"/>
  <c r="J34" i="19"/>
  <c r="L34" i="19" s="1"/>
  <c r="J169" i="19"/>
  <c r="L169" i="19" s="1"/>
  <c r="L168" i="19"/>
  <c r="J170" i="19"/>
  <c r="L170" i="19" s="1"/>
  <c r="R88" i="19"/>
  <c r="AI308" i="19"/>
  <c r="L54" i="24"/>
  <c r="Y54" i="24"/>
  <c r="L47" i="24"/>
  <c r="Y47" i="24"/>
  <c r="R22" i="19"/>
  <c r="AI242" i="19"/>
  <c r="L181" i="19"/>
  <c r="J182" i="19"/>
  <c r="L182" i="19" s="1"/>
  <c r="Y28" i="22"/>
  <c r="L28" i="22"/>
  <c r="L202" i="34"/>
  <c r="AK87" i="13"/>
  <c r="AQ87" i="13"/>
  <c r="Y64" i="24"/>
  <c r="L64" i="24"/>
  <c r="L35" i="22"/>
  <c r="Y35" i="22"/>
  <c r="R110" i="19"/>
  <c r="AI330" i="19"/>
  <c r="AK330" i="19" s="1"/>
  <c r="L26" i="22"/>
  <c r="Y26" i="22"/>
  <c r="Y24" i="20"/>
  <c r="L24" i="20"/>
  <c r="Y52" i="24"/>
  <c r="L52" i="24"/>
  <c r="R46" i="12"/>
  <c r="AI109" i="12"/>
  <c r="L119" i="19"/>
  <c r="J120" i="19"/>
  <c r="L120" i="19" s="1"/>
  <c r="L56" i="19"/>
  <c r="J58" i="19"/>
  <c r="L58" i="19" s="1"/>
  <c r="J57" i="19"/>
  <c r="L57" i="19" s="1"/>
  <c r="L37" i="19"/>
  <c r="J38" i="19"/>
  <c r="L38" i="19" s="1"/>
  <c r="Y28" i="25"/>
  <c r="L28" i="25"/>
  <c r="Y27" i="24"/>
  <c r="L27" i="24"/>
  <c r="AI319" i="19"/>
  <c r="R99" i="19"/>
  <c r="L33" i="25"/>
  <c r="Y33" i="25"/>
  <c r="L134" i="19"/>
  <c r="J135" i="19"/>
  <c r="L135" i="19" s="1"/>
  <c r="L23" i="24"/>
  <c r="Y23" i="24"/>
  <c r="L25" i="25"/>
  <c r="Y25" i="25"/>
  <c r="X21" i="5"/>
  <c r="R21" i="5"/>
  <c r="P22" i="5"/>
  <c r="L127" i="19"/>
  <c r="J129" i="19"/>
  <c r="L129" i="19" s="1"/>
  <c r="J128" i="19"/>
  <c r="L128" i="19" s="1"/>
  <c r="Y38" i="25"/>
  <c r="L38" i="25"/>
  <c r="AI331" i="19"/>
  <c r="AK331" i="19" s="1"/>
  <c r="R111" i="19"/>
  <c r="AI393" i="19"/>
  <c r="R173" i="19"/>
  <c r="L40" i="24"/>
  <c r="Y40" i="24"/>
  <c r="R185" i="19"/>
  <c r="AI405" i="19"/>
  <c r="AI359" i="19"/>
  <c r="R139" i="19"/>
  <c r="Y39" i="25"/>
  <c r="L39" i="25"/>
  <c r="AI262" i="19"/>
  <c r="R42" i="19"/>
  <c r="J196" i="19"/>
  <c r="L196" i="19" s="1"/>
  <c r="L195" i="19"/>
  <c r="J197" i="19"/>
  <c r="L197" i="19" s="1"/>
  <c r="Y41" i="24"/>
  <c r="L41" i="24"/>
  <c r="J132" i="19"/>
  <c r="L132" i="19" s="1"/>
  <c r="L131" i="19"/>
  <c r="J133" i="19"/>
  <c r="L133" i="19" s="1"/>
  <c r="J25" i="19"/>
  <c r="L25" i="19" s="1"/>
  <c r="J23" i="19"/>
  <c r="L23" i="19" s="1"/>
  <c r="J24" i="19"/>
  <c r="L24" i="19" s="1"/>
  <c r="J26" i="19"/>
  <c r="L26" i="19" s="1"/>
  <c r="L21" i="19"/>
  <c r="Y22" i="24"/>
  <c r="L22" i="24"/>
  <c r="J117" i="19"/>
  <c r="L117" i="19" s="1"/>
  <c r="L113" i="19"/>
  <c r="J116" i="19"/>
  <c r="L116" i="19" s="1"/>
  <c r="J115" i="19"/>
  <c r="L115" i="19" s="1"/>
  <c r="J114" i="19"/>
  <c r="L114" i="19" s="1"/>
  <c r="R207" i="19"/>
  <c r="AI427" i="19"/>
  <c r="R136" i="19"/>
  <c r="AI356" i="19"/>
  <c r="P29" i="5"/>
  <c r="AK101" i="12"/>
  <c r="AQ101" i="12"/>
  <c r="R36" i="13"/>
  <c r="R37" i="13" s="1"/>
  <c r="R46" i="13" s="1"/>
  <c r="L37" i="13"/>
  <c r="L46" i="13" s="1"/>
  <c r="N36" i="13" s="1"/>
  <c r="L103" i="19"/>
  <c r="J104" i="19"/>
  <c r="L104" i="19" s="1"/>
  <c r="J105" i="19"/>
  <c r="L105" i="19" s="1"/>
  <c r="L48" i="24"/>
  <c r="Y48" i="24"/>
  <c r="L24" i="25"/>
  <c r="Y24" i="25"/>
  <c r="L36" i="22"/>
  <c r="Y36" i="22"/>
  <c r="L98" i="19"/>
  <c r="J100" i="19"/>
  <c r="L100" i="19" s="1"/>
  <c r="J101" i="19"/>
  <c r="L101" i="19" s="1"/>
  <c r="J102" i="19"/>
  <c r="L102" i="19" s="1"/>
  <c r="Y30" i="25"/>
  <c r="L30" i="25"/>
  <c r="AI329" i="19"/>
  <c r="AK329" i="19" s="1"/>
  <c r="R109" i="19"/>
  <c r="L55" i="24"/>
  <c r="Y55" i="24"/>
  <c r="L44" i="25"/>
  <c r="Y44" i="25"/>
  <c r="L43" i="24"/>
  <c r="Y43" i="24"/>
  <c r="L137" i="19"/>
  <c r="J138" i="19"/>
  <c r="L138" i="19" s="1"/>
  <c r="AI406" i="19"/>
  <c r="R186" i="19"/>
  <c r="Y23" i="25"/>
  <c r="L23" i="25"/>
  <c r="L43" i="25"/>
  <c r="Y43" i="25"/>
  <c r="J29" i="6"/>
  <c r="AI426" i="19"/>
  <c r="L208" i="19"/>
  <c r="R206" i="19"/>
  <c r="R208" i="19" s="1"/>
  <c r="Y36" i="25"/>
  <c r="L36" i="25"/>
  <c r="J91" i="19"/>
  <c r="L91" i="19" s="1"/>
  <c r="L89" i="19"/>
  <c r="J90" i="19"/>
  <c r="L90" i="19" s="1"/>
  <c r="L29" i="25"/>
  <c r="Y29" i="25"/>
  <c r="J188" i="19"/>
  <c r="L188" i="19" s="1"/>
  <c r="L187" i="19"/>
  <c r="AQ82" i="13"/>
  <c r="AK82" i="13"/>
  <c r="AI89" i="13"/>
  <c r="L41" i="19"/>
  <c r="J44" i="19"/>
  <c r="L44" i="19" s="1"/>
  <c r="J43" i="19"/>
  <c r="L43" i="19" s="1"/>
  <c r="J45" i="19"/>
  <c r="L45" i="19" s="1"/>
  <c r="L189" i="19"/>
  <c r="J191" i="19"/>
  <c r="L191" i="19" s="1"/>
  <c r="J192" i="19"/>
  <c r="L192" i="19" s="1"/>
  <c r="J190" i="19"/>
  <c r="L190" i="19" s="1"/>
  <c r="L22" i="22"/>
  <c r="Y22" i="22"/>
  <c r="J51" i="19"/>
  <c r="L51" i="19" s="1"/>
  <c r="J52" i="19"/>
  <c r="L52" i="19" s="1"/>
  <c r="L49" i="19"/>
  <c r="J50" i="19"/>
  <c r="L50" i="19" s="1"/>
  <c r="J53" i="19"/>
  <c r="L53" i="19" s="1"/>
  <c r="AQ88" i="13"/>
  <c r="AK88" i="13"/>
  <c r="AI338" i="19"/>
  <c r="AK338" i="19" s="1"/>
  <c r="R118" i="19"/>
  <c r="Y36" i="24"/>
  <c r="L36" i="24"/>
  <c r="Y57" i="24"/>
  <c r="L57" i="24"/>
  <c r="AI404" i="19"/>
  <c r="R184" i="19"/>
  <c r="L54" i="19"/>
  <c r="J55" i="19"/>
  <c r="L55" i="19" s="1"/>
  <c r="O47" i="27"/>
  <c r="R47" i="27" s="1"/>
  <c r="L33" i="11"/>
  <c r="G76" i="26"/>
  <c r="P76" i="26" s="1"/>
  <c r="O45" i="27"/>
  <c r="R45" i="27" s="1"/>
  <c r="O46" i="27"/>
  <c r="R46" i="27" s="1"/>
  <c r="G75" i="26"/>
  <c r="P75" i="26" s="1"/>
  <c r="G77" i="26"/>
  <c r="P77" i="26" s="1"/>
  <c r="AI259" i="19"/>
  <c r="AK259" i="19" s="1"/>
  <c r="R39" i="19"/>
  <c r="AI106" i="12"/>
  <c r="R43" i="12"/>
  <c r="J22" i="6"/>
  <c r="P42" i="5"/>
  <c r="AQ85" i="33"/>
  <c r="AK85" i="33"/>
  <c r="L51" i="24"/>
  <c r="Y51" i="24"/>
  <c r="Y34" i="25"/>
  <c r="L34" i="25"/>
  <c r="J31" i="19"/>
  <c r="L31" i="19" s="1"/>
  <c r="J30" i="19"/>
  <c r="L30" i="19" s="1"/>
  <c r="L29" i="19"/>
  <c r="R87" i="19"/>
  <c r="AI307" i="19"/>
  <c r="AK307" i="19" s="1"/>
  <c r="L37" i="25"/>
  <c r="Y37" i="25"/>
  <c r="L30" i="22"/>
  <c r="Y30" i="22"/>
  <c r="L28" i="24"/>
  <c r="Y28" i="24"/>
  <c r="J28" i="19"/>
  <c r="L28" i="19" s="1"/>
  <c r="L27" i="19"/>
  <c r="L29" i="24"/>
  <c r="Y29" i="24"/>
  <c r="Y56" i="24"/>
  <c r="L56" i="24"/>
  <c r="Y29" i="22"/>
  <c r="L29" i="22"/>
  <c r="L193" i="19"/>
  <c r="J194" i="19"/>
  <c r="L194" i="19" s="1"/>
  <c r="AI403" i="19"/>
  <c r="R183" i="19"/>
  <c r="J93" i="19"/>
  <c r="L93" i="19" s="1"/>
  <c r="L92" i="19"/>
  <c r="J38" i="14"/>
  <c r="L38" i="14" s="1"/>
  <c r="J25" i="14"/>
  <c r="L25" i="14" s="1"/>
  <c r="J24" i="14"/>
  <c r="L24" i="14" s="1"/>
  <c r="X52" i="5" l="1"/>
  <c r="R92" i="19"/>
  <c r="AI312" i="19"/>
  <c r="AI101" i="24"/>
  <c r="R28" i="24"/>
  <c r="R29" i="19"/>
  <c r="AI249" i="19"/>
  <c r="R33" i="11"/>
  <c r="R34" i="11" s="1"/>
  <c r="R43" i="11" s="1"/>
  <c r="AI81" i="11"/>
  <c r="L34" i="11"/>
  <c r="R53" i="19"/>
  <c r="AI273" i="19"/>
  <c r="R192" i="19"/>
  <c r="AI412" i="19"/>
  <c r="AK412" i="19" s="1"/>
  <c r="R91" i="19"/>
  <c r="AI311" i="19"/>
  <c r="AK311" i="19" s="1"/>
  <c r="AI358" i="19"/>
  <c r="AK358" i="19" s="1"/>
  <c r="R138" i="19"/>
  <c r="R98" i="19"/>
  <c r="L199" i="19"/>
  <c r="AI318" i="19"/>
  <c r="R104" i="19"/>
  <c r="AI324" i="19"/>
  <c r="R114" i="19"/>
  <c r="AI334" i="19"/>
  <c r="R26" i="19"/>
  <c r="AI246" i="19"/>
  <c r="AI113" i="24"/>
  <c r="R40" i="24"/>
  <c r="R25" i="25"/>
  <c r="AI81" i="25"/>
  <c r="AI277" i="19"/>
  <c r="R57" i="19"/>
  <c r="AK109" i="12"/>
  <c r="AQ109" i="12"/>
  <c r="AK242" i="19"/>
  <c r="AQ242" i="19"/>
  <c r="AI344" i="19"/>
  <c r="R124" i="19"/>
  <c r="AI345" i="19"/>
  <c r="R125" i="19"/>
  <c r="R56" i="24"/>
  <c r="AI129" i="24"/>
  <c r="R36" i="24"/>
  <c r="AI109" i="24"/>
  <c r="AI323" i="19"/>
  <c r="AK323" i="19" s="1"/>
  <c r="R103" i="19"/>
  <c r="R128" i="19"/>
  <c r="AI348" i="19"/>
  <c r="R42" i="24"/>
  <c r="AI115" i="24"/>
  <c r="R34" i="24"/>
  <c r="AI107" i="24"/>
  <c r="AI269" i="19"/>
  <c r="R49" i="19"/>
  <c r="R116" i="19"/>
  <c r="AI336" i="19"/>
  <c r="AI415" i="19"/>
  <c r="R195" i="19"/>
  <c r="R129" i="19"/>
  <c r="AI349" i="19"/>
  <c r="AI276" i="19"/>
  <c r="R56" i="19"/>
  <c r="R168" i="19"/>
  <c r="AI388" i="19"/>
  <c r="AI105" i="24"/>
  <c r="R32" i="24"/>
  <c r="R24" i="14"/>
  <c r="L26" i="14"/>
  <c r="AI88" i="14"/>
  <c r="AI90" i="25"/>
  <c r="R34" i="25"/>
  <c r="Q77" i="26"/>
  <c r="H77" i="26"/>
  <c r="I77" i="26" s="1"/>
  <c r="R54" i="19"/>
  <c r="AI274" i="19"/>
  <c r="R52" i="19"/>
  <c r="AI272" i="19"/>
  <c r="R45" i="19"/>
  <c r="AI265" i="19"/>
  <c r="R188" i="19"/>
  <c r="AI408" i="19"/>
  <c r="R23" i="25"/>
  <c r="AI79" i="25"/>
  <c r="AI116" i="24"/>
  <c r="R43" i="24"/>
  <c r="AI86" i="25"/>
  <c r="R30" i="25"/>
  <c r="N37" i="13"/>
  <c r="N40" i="13"/>
  <c r="N43" i="13"/>
  <c r="N26" i="13"/>
  <c r="N24" i="13"/>
  <c r="N41" i="13"/>
  <c r="N25" i="13"/>
  <c r="L31" i="6"/>
  <c r="N44" i="13"/>
  <c r="N34" i="13"/>
  <c r="N33" i="13"/>
  <c r="N29" i="13"/>
  <c r="N35" i="13"/>
  <c r="N30" i="13"/>
  <c r="AK356" i="19"/>
  <c r="AQ356" i="19"/>
  <c r="R113" i="19"/>
  <c r="AI333" i="19"/>
  <c r="AK333" i="19" s="1"/>
  <c r="AI245" i="19"/>
  <c r="R25" i="19"/>
  <c r="R196" i="19"/>
  <c r="AI416" i="19"/>
  <c r="AQ359" i="19"/>
  <c r="AK359" i="19"/>
  <c r="R127" i="19"/>
  <c r="AI347" i="19"/>
  <c r="R135" i="19"/>
  <c r="AI355" i="19"/>
  <c r="AI340" i="19"/>
  <c r="R120" i="19"/>
  <c r="R28" i="22"/>
  <c r="AI78" i="22"/>
  <c r="R47" i="24"/>
  <c r="AI120" i="24"/>
  <c r="R169" i="19"/>
  <c r="AI389" i="19"/>
  <c r="R60" i="24"/>
  <c r="AI133" i="24"/>
  <c r="AI394" i="19"/>
  <c r="R174" i="19"/>
  <c r="AI90" i="20"/>
  <c r="L40" i="20"/>
  <c r="R39" i="20"/>
  <c r="AI267" i="19"/>
  <c r="R47" i="19"/>
  <c r="AI313" i="19"/>
  <c r="R93" i="19"/>
  <c r="X42" i="5"/>
  <c r="R42" i="5"/>
  <c r="R50" i="19"/>
  <c r="AI270" i="19"/>
  <c r="AI357" i="19"/>
  <c r="AK357" i="19" s="1"/>
  <c r="R137" i="19"/>
  <c r="R24" i="19"/>
  <c r="AI244" i="19"/>
  <c r="R170" i="19"/>
  <c r="AI390" i="19"/>
  <c r="R46" i="24"/>
  <c r="AI119" i="24"/>
  <c r="R30" i="22"/>
  <c r="AI80" i="22"/>
  <c r="AI409" i="19"/>
  <c r="AK409" i="19" s="1"/>
  <c r="R189" i="19"/>
  <c r="R43" i="25"/>
  <c r="AI99" i="25"/>
  <c r="R36" i="22"/>
  <c r="AI86" i="22"/>
  <c r="AQ86" i="22" s="1"/>
  <c r="R23" i="19"/>
  <c r="AI243" i="19"/>
  <c r="AI96" i="24"/>
  <c r="R23" i="24"/>
  <c r="R27" i="24"/>
  <c r="AI100" i="24"/>
  <c r="R52" i="24"/>
  <c r="AI125" i="24"/>
  <c r="R107" i="19"/>
  <c r="AI327" i="19"/>
  <c r="AI89" i="14"/>
  <c r="R25" i="14"/>
  <c r="AK403" i="19"/>
  <c r="AQ403" i="19"/>
  <c r="R29" i="24"/>
  <c r="AI102" i="24"/>
  <c r="R37" i="25"/>
  <c r="AI93" i="25"/>
  <c r="Q75" i="26"/>
  <c r="H75" i="26"/>
  <c r="I75" i="26" s="1"/>
  <c r="AI271" i="19"/>
  <c r="R51" i="19"/>
  <c r="R43" i="19"/>
  <c r="AI263" i="19"/>
  <c r="AI80" i="25"/>
  <c r="R24" i="25"/>
  <c r="G31" i="3"/>
  <c r="I31" i="3" s="1"/>
  <c r="K31" i="3" s="1"/>
  <c r="R31" i="6"/>
  <c r="R117" i="19"/>
  <c r="AI337" i="19"/>
  <c r="AI353" i="19"/>
  <c r="R133" i="19"/>
  <c r="X22" i="5"/>
  <c r="R22" i="5"/>
  <c r="AI354" i="19"/>
  <c r="R134" i="19"/>
  <c r="R28" i="25"/>
  <c r="AI84" i="25"/>
  <c r="AI339" i="19"/>
  <c r="AK339" i="19" s="1"/>
  <c r="R119" i="19"/>
  <c r="R24" i="20"/>
  <c r="AI75" i="20"/>
  <c r="AI85" i="22"/>
  <c r="R35" i="22"/>
  <c r="R37" i="22" s="1"/>
  <c r="L37" i="22"/>
  <c r="R34" i="19"/>
  <c r="AI254" i="19"/>
  <c r="R24" i="24"/>
  <c r="AI97" i="24"/>
  <c r="R175" i="19"/>
  <c r="AI395" i="19"/>
  <c r="AI91" i="25"/>
  <c r="R35" i="25"/>
  <c r="AI126" i="24"/>
  <c r="R53" i="24"/>
  <c r="R35" i="24"/>
  <c r="AI108" i="24"/>
  <c r="R46" i="19"/>
  <c r="AI266" i="19"/>
  <c r="R30" i="19"/>
  <c r="AI250" i="19"/>
  <c r="R115" i="19"/>
  <c r="AI335" i="19"/>
  <c r="L45" i="25"/>
  <c r="L52" i="25" s="1"/>
  <c r="N44" i="25" s="1"/>
  <c r="AI78" i="25"/>
  <c r="R22" i="25"/>
  <c r="R55" i="19"/>
  <c r="AI275" i="19"/>
  <c r="AI102" i="14"/>
  <c r="R38" i="14"/>
  <c r="R194" i="19"/>
  <c r="AI414" i="19"/>
  <c r="R27" i="19"/>
  <c r="AI247" i="19"/>
  <c r="R44" i="19"/>
  <c r="AI264" i="19"/>
  <c r="R29" i="25"/>
  <c r="AI85" i="25"/>
  <c r="AK85" i="25" s="1"/>
  <c r="AI100" i="25"/>
  <c r="R44" i="25"/>
  <c r="AI322" i="19"/>
  <c r="R102" i="19"/>
  <c r="AI95" i="24"/>
  <c r="L65" i="24"/>
  <c r="L72" i="24" s="1"/>
  <c r="N42" i="24" s="1"/>
  <c r="R22" i="24"/>
  <c r="R131" i="19"/>
  <c r="AI351" i="19"/>
  <c r="AK351" i="19" s="1"/>
  <c r="AK405" i="19"/>
  <c r="AQ405" i="19"/>
  <c r="R64" i="24"/>
  <c r="AI137" i="24"/>
  <c r="AI402" i="19"/>
  <c r="R182" i="19"/>
  <c r="AI127" i="24"/>
  <c r="R54" i="24"/>
  <c r="R35" i="19"/>
  <c r="AI255" i="19"/>
  <c r="AI396" i="19"/>
  <c r="R176" i="19"/>
  <c r="R123" i="19"/>
  <c r="AI343" i="19"/>
  <c r="AI392" i="19"/>
  <c r="AK392" i="19" s="1"/>
  <c r="R172" i="19"/>
  <c r="R48" i="19"/>
  <c r="AI268" i="19"/>
  <c r="AI411" i="19"/>
  <c r="AK411" i="19" s="1"/>
  <c r="R191" i="19"/>
  <c r="L28" i="28"/>
  <c r="N21" i="28" s="1"/>
  <c r="R21" i="28"/>
  <c r="R28" i="28" s="1"/>
  <c r="AI56" i="28"/>
  <c r="AI251" i="19"/>
  <c r="R31" i="19"/>
  <c r="R187" i="19"/>
  <c r="AI407" i="19"/>
  <c r="R193" i="19"/>
  <c r="AI413" i="19"/>
  <c r="AI248" i="19"/>
  <c r="R28" i="19"/>
  <c r="R51" i="24"/>
  <c r="AI124" i="24"/>
  <c r="AQ404" i="19"/>
  <c r="AK404" i="19"/>
  <c r="AI72" i="22"/>
  <c r="L31" i="22"/>
  <c r="R22" i="22"/>
  <c r="AI261" i="19"/>
  <c r="R41" i="19"/>
  <c r="R90" i="19"/>
  <c r="AI310" i="19"/>
  <c r="AQ426" i="19"/>
  <c r="AI428" i="19"/>
  <c r="AK426" i="19"/>
  <c r="AI321" i="19"/>
  <c r="R101" i="19"/>
  <c r="AI121" i="24"/>
  <c r="R48" i="24"/>
  <c r="AQ427" i="19"/>
  <c r="AK427" i="19"/>
  <c r="R132" i="19"/>
  <c r="AI352" i="19"/>
  <c r="AQ262" i="19"/>
  <c r="AK262" i="19"/>
  <c r="R33" i="25"/>
  <c r="AI89" i="25"/>
  <c r="R38" i="19"/>
  <c r="AI258" i="19"/>
  <c r="R181" i="19"/>
  <c r="AI401" i="19"/>
  <c r="AI253" i="19"/>
  <c r="R33" i="19"/>
  <c r="R179" i="19"/>
  <c r="AI399" i="19"/>
  <c r="R122" i="19"/>
  <c r="AI342" i="19"/>
  <c r="AI391" i="19"/>
  <c r="AK391" i="19" s="1"/>
  <c r="R171" i="19"/>
  <c r="AI73" i="22"/>
  <c r="R23" i="22"/>
  <c r="R61" i="24"/>
  <c r="AI134" i="24"/>
  <c r="R36" i="25"/>
  <c r="AI92" i="25"/>
  <c r="R197" i="19"/>
  <c r="AI417" i="19"/>
  <c r="AI278" i="19"/>
  <c r="R58" i="19"/>
  <c r="R106" i="19"/>
  <c r="AI326" i="19"/>
  <c r="R29" i="22"/>
  <c r="AI79" i="22"/>
  <c r="AK106" i="12"/>
  <c r="AQ106" i="12"/>
  <c r="Q76" i="26"/>
  <c r="H76" i="26"/>
  <c r="I76" i="26" s="1"/>
  <c r="AI130" i="24"/>
  <c r="R57" i="24"/>
  <c r="R190" i="19"/>
  <c r="AI410" i="19"/>
  <c r="AK410" i="19" s="1"/>
  <c r="AI98" i="13"/>
  <c r="AQ89" i="13"/>
  <c r="AK89" i="13"/>
  <c r="AI309" i="19"/>
  <c r="R89" i="19"/>
  <c r="AQ406" i="19"/>
  <c r="AK406" i="19"/>
  <c r="AI128" i="24"/>
  <c r="R55" i="24"/>
  <c r="AI320" i="19"/>
  <c r="R100" i="19"/>
  <c r="R105" i="19"/>
  <c r="AI325" i="19"/>
  <c r="X29" i="5"/>
  <c r="R29" i="5"/>
  <c r="L94" i="19"/>
  <c r="AI241" i="19"/>
  <c r="R21" i="19"/>
  <c r="R41" i="24"/>
  <c r="AI114" i="24"/>
  <c r="AI95" i="25"/>
  <c r="R39" i="25"/>
  <c r="AI94" i="25"/>
  <c r="R38" i="25"/>
  <c r="N38" i="25"/>
  <c r="AI257" i="19"/>
  <c r="R37" i="19"/>
  <c r="R26" i="22"/>
  <c r="AI76" i="22"/>
  <c r="AK308" i="19"/>
  <c r="AQ308" i="19"/>
  <c r="AI256" i="19"/>
  <c r="R36" i="19"/>
  <c r="AI400" i="19"/>
  <c r="R180" i="19"/>
  <c r="R121" i="19"/>
  <c r="AI341" i="19"/>
  <c r="AI98" i="25"/>
  <c r="R42" i="25"/>
  <c r="N42" i="25"/>
  <c r="R33" i="24"/>
  <c r="AI106" i="24"/>
  <c r="AI346" i="19"/>
  <c r="R126" i="19"/>
  <c r="J47" i="12"/>
  <c r="L47" i="12" s="1"/>
  <c r="J39" i="14"/>
  <c r="L39" i="14" s="1"/>
  <c r="AI81" i="22" l="1"/>
  <c r="N41" i="24"/>
  <c r="N34" i="25"/>
  <c r="N29" i="25"/>
  <c r="N22" i="25"/>
  <c r="N39" i="25"/>
  <c r="N36" i="25"/>
  <c r="N35" i="25"/>
  <c r="N33" i="25"/>
  <c r="N30" i="25"/>
  <c r="AK81" i="22"/>
  <c r="AQ81" i="22"/>
  <c r="AQ343" i="19"/>
  <c r="AK343" i="19"/>
  <c r="AQ102" i="14"/>
  <c r="AK102" i="14"/>
  <c r="AK337" i="19"/>
  <c r="AQ337" i="19"/>
  <c r="AK263" i="19"/>
  <c r="AQ263" i="19"/>
  <c r="N27" i="24"/>
  <c r="AQ79" i="25"/>
  <c r="AK79" i="25"/>
  <c r="N36" i="24"/>
  <c r="AK326" i="19"/>
  <c r="AQ326" i="19"/>
  <c r="AQ335" i="19"/>
  <c r="AK335" i="19"/>
  <c r="AQ349" i="19"/>
  <c r="AK349" i="19"/>
  <c r="R47" i="12"/>
  <c r="R48" i="12" s="1"/>
  <c r="R57" i="12" s="1"/>
  <c r="AI110" i="12"/>
  <c r="L48" i="12"/>
  <c r="AQ95" i="25"/>
  <c r="AK95" i="25"/>
  <c r="N55" i="24"/>
  <c r="AK417" i="19"/>
  <c r="AQ417" i="19"/>
  <c r="AK401" i="19"/>
  <c r="AQ401" i="19"/>
  <c r="AQ137" i="24"/>
  <c r="AK137" i="24"/>
  <c r="R65" i="24"/>
  <c r="R72" i="24" s="1"/>
  <c r="AK266" i="19"/>
  <c r="AQ266" i="19"/>
  <c r="N37" i="25"/>
  <c r="AK243" i="19"/>
  <c r="AQ243" i="19"/>
  <c r="AQ313" i="19"/>
  <c r="AK313" i="19"/>
  <c r="N47" i="24"/>
  <c r="AQ340" i="19"/>
  <c r="AK340" i="19"/>
  <c r="N23" i="25"/>
  <c r="N32" i="24"/>
  <c r="AK276" i="19"/>
  <c r="AQ276" i="19"/>
  <c r="AQ336" i="19"/>
  <c r="AK336" i="19"/>
  <c r="AQ249" i="19"/>
  <c r="AK249" i="19"/>
  <c r="N65" i="24"/>
  <c r="N68" i="24"/>
  <c r="N70" i="24"/>
  <c r="L50" i="6"/>
  <c r="N69" i="24"/>
  <c r="AQ254" i="19"/>
  <c r="AK254" i="19"/>
  <c r="AK390" i="19"/>
  <c r="AQ390" i="19"/>
  <c r="AQ273" i="19"/>
  <c r="AK273" i="19"/>
  <c r="AQ257" i="19"/>
  <c r="AK257" i="19"/>
  <c r="AK98" i="13"/>
  <c r="AQ98" i="13"/>
  <c r="P31" i="5"/>
  <c r="AQ354" i="19"/>
  <c r="AK354" i="19"/>
  <c r="AQ416" i="19"/>
  <c r="AK416" i="19"/>
  <c r="J31" i="6"/>
  <c r="AQ272" i="19"/>
  <c r="AK272" i="19"/>
  <c r="N28" i="24"/>
  <c r="AQ346" i="19"/>
  <c r="AK346" i="19"/>
  <c r="AQ341" i="19"/>
  <c r="AK341" i="19"/>
  <c r="AK325" i="19"/>
  <c r="AQ325" i="19"/>
  <c r="AK92" i="25"/>
  <c r="AQ92" i="25"/>
  <c r="AK258" i="19"/>
  <c r="AQ258" i="19"/>
  <c r="AK352" i="19"/>
  <c r="AQ352" i="19"/>
  <c r="AK268" i="19"/>
  <c r="AQ268" i="19"/>
  <c r="AQ275" i="19"/>
  <c r="AK275" i="19"/>
  <c r="AQ395" i="19"/>
  <c r="AK395" i="19"/>
  <c r="N29" i="24"/>
  <c r="AQ80" i="22"/>
  <c r="AK80" i="22"/>
  <c r="AK267" i="19"/>
  <c r="AQ267" i="19"/>
  <c r="AK90" i="25"/>
  <c r="AQ90" i="25"/>
  <c r="AK277" i="19"/>
  <c r="AQ277" i="19"/>
  <c r="AK246" i="19"/>
  <c r="AQ246" i="19"/>
  <c r="AQ399" i="19"/>
  <c r="AK399" i="19"/>
  <c r="AK91" i="25"/>
  <c r="AQ91" i="25"/>
  <c r="N60" i="24"/>
  <c r="N33" i="24"/>
  <c r="AQ321" i="19"/>
  <c r="AK321" i="19"/>
  <c r="N51" i="24"/>
  <c r="AI63" i="28"/>
  <c r="AQ56" i="28"/>
  <c r="AK56" i="28"/>
  <c r="AK414" i="19"/>
  <c r="AQ414" i="19"/>
  <c r="L38" i="22"/>
  <c r="L45" i="22" s="1"/>
  <c r="N37" i="22"/>
  <c r="AK327" i="19"/>
  <c r="AQ327" i="19"/>
  <c r="N23" i="24"/>
  <c r="N43" i="25"/>
  <c r="AQ244" i="19"/>
  <c r="AK244" i="19"/>
  <c r="R40" i="20"/>
  <c r="R47" i="20" s="1"/>
  <c r="AQ78" i="22"/>
  <c r="AK78" i="22"/>
  <c r="AK86" i="25"/>
  <c r="AQ86" i="25"/>
  <c r="AK408" i="19"/>
  <c r="AQ408" i="19"/>
  <c r="AK269" i="19"/>
  <c r="AQ269" i="19"/>
  <c r="AQ348" i="19"/>
  <c r="AK348" i="19"/>
  <c r="N56" i="24"/>
  <c r="AK344" i="19"/>
  <c r="AQ344" i="19"/>
  <c r="N25" i="25"/>
  <c r="AI419" i="19"/>
  <c r="AQ318" i="19"/>
  <c r="AK318" i="19"/>
  <c r="L43" i="11"/>
  <c r="N34" i="11" s="1"/>
  <c r="AK98" i="25"/>
  <c r="AQ98" i="25"/>
  <c r="AQ310" i="19"/>
  <c r="AK310" i="19"/>
  <c r="N54" i="24"/>
  <c r="AQ247" i="19"/>
  <c r="AK247" i="19"/>
  <c r="AQ93" i="25"/>
  <c r="AK93" i="25"/>
  <c r="AI138" i="24"/>
  <c r="N35" i="24"/>
  <c r="AI103" i="14"/>
  <c r="AI104" i="14" s="1"/>
  <c r="R39" i="14"/>
  <c r="R94" i="19"/>
  <c r="N61" i="24"/>
  <c r="AK261" i="19"/>
  <c r="AQ261" i="19"/>
  <c r="G48" i="3"/>
  <c r="I48" i="3" s="1"/>
  <c r="K48" i="3" s="1"/>
  <c r="R48" i="6"/>
  <c r="AK396" i="19"/>
  <c r="AQ396" i="19"/>
  <c r="AQ322" i="19"/>
  <c r="AK322" i="19"/>
  <c r="R45" i="25"/>
  <c r="R52" i="25" s="1"/>
  <c r="AK250" i="19"/>
  <c r="AQ250" i="19"/>
  <c r="N53" i="24"/>
  <c r="N24" i="24"/>
  <c r="N28" i="25"/>
  <c r="N24" i="25"/>
  <c r="AQ271" i="19"/>
  <c r="AK271" i="19"/>
  <c r="AK99" i="25"/>
  <c r="AQ99" i="25"/>
  <c r="N46" i="24"/>
  <c r="L47" i="20"/>
  <c r="N40" i="20" s="1"/>
  <c r="AQ347" i="19"/>
  <c r="AK347" i="19"/>
  <c r="N43" i="24"/>
  <c r="AQ274" i="19"/>
  <c r="AK274" i="19"/>
  <c r="AI90" i="14"/>
  <c r="AQ88" i="14"/>
  <c r="AK88" i="14"/>
  <c r="N34" i="24"/>
  <c r="AQ81" i="25"/>
  <c r="AK81" i="25"/>
  <c r="AK81" i="11"/>
  <c r="AI82" i="11"/>
  <c r="AQ81" i="11"/>
  <c r="AK76" i="22"/>
  <c r="AQ76" i="22"/>
  <c r="AK241" i="19"/>
  <c r="AQ241" i="19"/>
  <c r="AI314" i="19"/>
  <c r="N57" i="24"/>
  <c r="AK278" i="19"/>
  <c r="AQ278" i="19"/>
  <c r="AK253" i="19"/>
  <c r="AQ253" i="19"/>
  <c r="AQ89" i="25"/>
  <c r="AK89" i="25"/>
  <c r="AK428" i="19"/>
  <c r="AQ428" i="19"/>
  <c r="N25" i="28"/>
  <c r="N24" i="28"/>
  <c r="N26" i="28"/>
  <c r="N28" i="28" s="1"/>
  <c r="L48" i="6"/>
  <c r="AQ402" i="19"/>
  <c r="AK402" i="19"/>
  <c r="AK264" i="19"/>
  <c r="AQ264" i="19"/>
  <c r="AI101" i="25"/>
  <c r="AQ78" i="25"/>
  <c r="AK78" i="25"/>
  <c r="AI87" i="22"/>
  <c r="AQ84" i="25"/>
  <c r="AK84" i="25"/>
  <c r="N52" i="24"/>
  <c r="AK90" i="20"/>
  <c r="AI91" i="20"/>
  <c r="AQ90" i="20"/>
  <c r="AQ389" i="19"/>
  <c r="AK389" i="19"/>
  <c r="AQ245" i="19"/>
  <c r="AK245" i="19"/>
  <c r="AQ334" i="19"/>
  <c r="AK334" i="19"/>
  <c r="R199" i="19"/>
  <c r="G28" i="3"/>
  <c r="I28" i="3" s="1"/>
  <c r="K28" i="3" s="1"/>
  <c r="R28" i="6"/>
  <c r="AQ312" i="19"/>
  <c r="AK312" i="19"/>
  <c r="AQ324" i="19"/>
  <c r="AK324" i="19"/>
  <c r="AK256" i="19"/>
  <c r="AQ256" i="19"/>
  <c r="AK73" i="22"/>
  <c r="AQ73" i="22"/>
  <c r="AK251" i="19"/>
  <c r="AQ251" i="19"/>
  <c r="AQ89" i="14"/>
  <c r="AK89" i="14"/>
  <c r="AQ355" i="19"/>
  <c r="AK355" i="19"/>
  <c r="AK400" i="19"/>
  <c r="AQ400" i="19"/>
  <c r="L209" i="19"/>
  <c r="N199" i="19" s="1"/>
  <c r="AK320" i="19"/>
  <c r="AQ320" i="19"/>
  <c r="AK309" i="19"/>
  <c r="AQ309" i="19"/>
  <c r="AQ79" i="22"/>
  <c r="AK79" i="22"/>
  <c r="AQ342" i="19"/>
  <c r="AK342" i="19"/>
  <c r="N48" i="24"/>
  <c r="R31" i="22"/>
  <c r="R38" i="22" s="1"/>
  <c r="R45" i="22" s="1"/>
  <c r="AQ255" i="19"/>
  <c r="AK255" i="19"/>
  <c r="N64" i="24"/>
  <c r="N22" i="24"/>
  <c r="L40" i="14"/>
  <c r="N45" i="25"/>
  <c r="N49" i="25"/>
  <c r="N50" i="25"/>
  <c r="N48" i="25"/>
  <c r="L51" i="6"/>
  <c r="AQ75" i="20"/>
  <c r="AK75" i="20"/>
  <c r="AQ353" i="19"/>
  <c r="AK353" i="19"/>
  <c r="AK80" i="25"/>
  <c r="AQ80" i="25"/>
  <c r="AQ265" i="19"/>
  <c r="AK265" i="19"/>
  <c r="R26" i="14"/>
  <c r="N40" i="24"/>
  <c r="G49" i="3" l="1"/>
  <c r="I49" i="3" s="1"/>
  <c r="K49" i="3" s="1"/>
  <c r="R49" i="6"/>
  <c r="R51" i="6"/>
  <c r="G51" i="3"/>
  <c r="I51" i="3" s="1"/>
  <c r="K51" i="3" s="1"/>
  <c r="R209" i="19"/>
  <c r="N25" i="11"/>
  <c r="N40" i="11"/>
  <c r="N27" i="11"/>
  <c r="N41" i="11"/>
  <c r="N38" i="11"/>
  <c r="L28" i="6"/>
  <c r="N37" i="11"/>
  <c r="N39" i="11"/>
  <c r="N26" i="11"/>
  <c r="N24" i="11"/>
  <c r="N30" i="11"/>
  <c r="N33" i="11"/>
  <c r="R31" i="5"/>
  <c r="X31" i="5"/>
  <c r="G30" i="3"/>
  <c r="I30" i="3" s="1"/>
  <c r="K30" i="3" s="1"/>
  <c r="R30" i="6"/>
  <c r="AI88" i="22"/>
  <c r="AK87" i="22"/>
  <c r="AQ87" i="22"/>
  <c r="N39" i="20"/>
  <c r="L47" i="6"/>
  <c r="N44" i="20"/>
  <c r="N45" i="20"/>
  <c r="N32" i="20"/>
  <c r="N43" i="20"/>
  <c r="N24" i="20"/>
  <c r="J48" i="6"/>
  <c r="AK63" i="28"/>
  <c r="AQ63" i="28"/>
  <c r="P48" i="5"/>
  <c r="AK91" i="20"/>
  <c r="AQ91" i="20"/>
  <c r="AI98" i="20"/>
  <c r="AQ101" i="25"/>
  <c r="AK101" i="25"/>
  <c r="AI108" i="25"/>
  <c r="AI91" i="11"/>
  <c r="AK82" i="11"/>
  <c r="AQ82" i="11"/>
  <c r="AK90" i="14"/>
  <c r="AQ90" i="14"/>
  <c r="G47" i="3"/>
  <c r="I47" i="3" s="1"/>
  <c r="K47" i="3" s="1"/>
  <c r="R47" i="6"/>
  <c r="N38" i="22"/>
  <c r="L49" i="6"/>
  <c r="N41" i="22"/>
  <c r="N42" i="22"/>
  <c r="N43" i="22"/>
  <c r="N22" i="22"/>
  <c r="N29" i="22"/>
  <c r="N26" i="22"/>
  <c r="N28" i="22"/>
  <c r="N35" i="22"/>
  <c r="N36" i="22" s="1"/>
  <c r="N30" i="22"/>
  <c r="N23" i="22"/>
  <c r="R50" i="6"/>
  <c r="G50" i="3"/>
  <c r="I50" i="3" s="1"/>
  <c r="K50" i="3" s="1"/>
  <c r="J51" i="6"/>
  <c r="AK103" i="14"/>
  <c r="AQ103" i="14"/>
  <c r="AK419" i="19"/>
  <c r="AQ419" i="19"/>
  <c r="AQ110" i="12"/>
  <c r="AK110" i="12"/>
  <c r="AI111" i="12"/>
  <c r="N94" i="19"/>
  <c r="AK314" i="19"/>
  <c r="AQ314" i="19"/>
  <c r="AI429" i="19"/>
  <c r="J50" i="6"/>
  <c r="AQ104" i="14"/>
  <c r="AK104" i="14"/>
  <c r="R40" i="14"/>
  <c r="N175" i="19"/>
  <c r="N202" i="19"/>
  <c r="N201" i="19"/>
  <c r="L46" i="6"/>
  <c r="N203" i="19"/>
  <c r="N22" i="19"/>
  <c r="N99" i="19"/>
  <c r="N198" i="19"/>
  <c r="N88" i="19"/>
  <c r="N173" i="19"/>
  <c r="N207" i="19"/>
  <c r="N186" i="19"/>
  <c r="N87" i="19"/>
  <c r="N139" i="19"/>
  <c r="N111" i="19"/>
  <c r="N185" i="19"/>
  <c r="N42" i="19"/>
  <c r="N184" i="19"/>
  <c r="N136" i="19"/>
  <c r="N183" i="19"/>
  <c r="N206" i="19"/>
  <c r="N118" i="19"/>
  <c r="N110" i="19"/>
  <c r="N109" i="19"/>
  <c r="N39" i="19"/>
  <c r="N29" i="19"/>
  <c r="N138" i="19"/>
  <c r="N125" i="19"/>
  <c r="N116" i="19"/>
  <c r="N113" i="19"/>
  <c r="N174" i="19"/>
  <c r="N189" i="19"/>
  <c r="N23" i="19"/>
  <c r="N46" i="19"/>
  <c r="N191" i="19"/>
  <c r="N28" i="19"/>
  <c r="N181" i="19"/>
  <c r="N197" i="19"/>
  <c r="N105" i="19"/>
  <c r="N103" i="19"/>
  <c r="N56" i="19"/>
  <c r="N45" i="19"/>
  <c r="N120" i="19"/>
  <c r="N93" i="19"/>
  <c r="N137" i="19"/>
  <c r="N35" i="19"/>
  <c r="N122" i="19"/>
  <c r="N92" i="19"/>
  <c r="N192" i="19"/>
  <c r="N114" i="19"/>
  <c r="N169" i="19"/>
  <c r="N133" i="19"/>
  <c r="N44" i="19"/>
  <c r="N172" i="19"/>
  <c r="N187" i="19"/>
  <c r="N89" i="19"/>
  <c r="N100" i="19"/>
  <c r="N180" i="19"/>
  <c r="N91" i="19"/>
  <c r="N195" i="19"/>
  <c r="N54" i="19"/>
  <c r="N25" i="19"/>
  <c r="N127" i="19"/>
  <c r="N30" i="19"/>
  <c r="N131" i="19"/>
  <c r="N182" i="19"/>
  <c r="N33" i="19"/>
  <c r="N58" i="19"/>
  <c r="N21" i="19"/>
  <c r="N119" i="19"/>
  <c r="N48" i="19"/>
  <c r="N121" i="19"/>
  <c r="N98" i="19"/>
  <c r="N128" i="19"/>
  <c r="N168" i="19"/>
  <c r="N188" i="19"/>
  <c r="N24" i="19"/>
  <c r="N107" i="19"/>
  <c r="N51" i="19"/>
  <c r="N194" i="19"/>
  <c r="N102" i="19"/>
  <c r="N176" i="19"/>
  <c r="N41" i="19"/>
  <c r="N171" i="19"/>
  <c r="N190" i="19"/>
  <c r="N26" i="19"/>
  <c r="N124" i="19"/>
  <c r="N49" i="19"/>
  <c r="N55" i="19"/>
  <c r="N193" i="19"/>
  <c r="N101" i="19"/>
  <c r="N132" i="19"/>
  <c r="N196" i="19"/>
  <c r="N135" i="19"/>
  <c r="N47" i="19"/>
  <c r="N50" i="19"/>
  <c r="N115" i="19"/>
  <c r="N208" i="19"/>
  <c r="N106" i="19"/>
  <c r="N126" i="19"/>
  <c r="N53" i="19"/>
  <c r="N104" i="19"/>
  <c r="N170" i="19"/>
  <c r="N43" i="19"/>
  <c r="N117" i="19"/>
  <c r="N134" i="19"/>
  <c r="N34" i="19"/>
  <c r="N27" i="19"/>
  <c r="N123" i="19"/>
  <c r="N31" i="19"/>
  <c r="N90" i="19"/>
  <c r="N37" i="19"/>
  <c r="N36" i="19"/>
  <c r="N38" i="19"/>
  <c r="N57" i="19"/>
  <c r="N129" i="19"/>
  <c r="N52" i="19"/>
  <c r="N179" i="19"/>
  <c r="AI145" i="24"/>
  <c r="AQ138" i="24"/>
  <c r="AK138" i="24"/>
  <c r="N31" i="22"/>
  <c r="L57" i="12"/>
  <c r="N48" i="12" s="1"/>
  <c r="AK98" i="20" l="1"/>
  <c r="AQ98" i="20"/>
  <c r="P47" i="5"/>
  <c r="AQ429" i="19"/>
  <c r="P46" i="5"/>
  <c r="AK429" i="19"/>
  <c r="AI95" i="22"/>
  <c r="AQ88" i="22"/>
  <c r="AK88" i="22"/>
  <c r="AQ145" i="24"/>
  <c r="P50" i="5"/>
  <c r="AK145" i="24"/>
  <c r="J49" i="6"/>
  <c r="X48" i="5"/>
  <c r="R48" i="5"/>
  <c r="R46" i="6"/>
  <c r="R53" i="6" s="1"/>
  <c r="G46" i="3"/>
  <c r="P28" i="5"/>
  <c r="AQ91" i="11"/>
  <c r="AK91" i="11"/>
  <c r="AQ108" i="25"/>
  <c r="P51" i="5"/>
  <c r="AK108" i="25"/>
  <c r="J28" i="6"/>
  <c r="J46" i="6"/>
  <c r="L53" i="6"/>
  <c r="N49" i="6" s="1"/>
  <c r="AK111" i="12"/>
  <c r="AI120" i="12"/>
  <c r="AQ111" i="12"/>
  <c r="J47" i="6"/>
  <c r="N51" i="12"/>
  <c r="N54" i="12"/>
  <c r="N55" i="12"/>
  <c r="N52" i="12"/>
  <c r="L30" i="6"/>
  <c r="N46" i="12"/>
  <c r="N43" i="12"/>
  <c r="N47" i="12"/>
  <c r="AQ120" i="12" l="1"/>
  <c r="P30" i="5"/>
  <c r="AK120" i="12"/>
  <c r="X51" i="5"/>
  <c r="R51" i="5"/>
  <c r="AK95" i="22"/>
  <c r="P49" i="5"/>
  <c r="AQ95" i="22"/>
  <c r="J53" i="6"/>
  <c r="N52" i="6"/>
  <c r="N48" i="6"/>
  <c r="N51" i="6"/>
  <c r="N50" i="6"/>
  <c r="R46" i="5"/>
  <c r="X46" i="5"/>
  <c r="N46" i="6"/>
  <c r="R28" i="5"/>
  <c r="X28" i="5"/>
  <c r="R50" i="5"/>
  <c r="X50" i="5"/>
  <c r="X47" i="5"/>
  <c r="R47" i="5"/>
  <c r="N47" i="6"/>
  <c r="I46" i="3"/>
  <c r="G53" i="3"/>
  <c r="J30" i="6"/>
  <c r="R49" i="5" l="1"/>
  <c r="X49" i="5"/>
  <c r="K46" i="3"/>
  <c r="I53" i="3"/>
  <c r="K53" i="3" s="1"/>
  <c r="P53" i="5"/>
  <c r="X30" i="5"/>
  <c r="R30" i="5"/>
  <c r="R53" i="5" l="1"/>
  <c r="X53" i="5"/>
  <c r="J28" i="31" l="1"/>
  <c r="L28" i="31" s="1"/>
  <c r="J28" i="30"/>
  <c r="L28" i="30" s="1"/>
  <c r="AI72" i="30" l="1"/>
  <c r="L30" i="30"/>
  <c r="L31" i="30" s="1"/>
  <c r="R28" i="30"/>
  <c r="R30" i="30" s="1"/>
  <c r="R31" i="30" s="1"/>
  <c r="R39" i="30" s="1"/>
  <c r="L30" i="31"/>
  <c r="L31" i="31" s="1"/>
  <c r="R28" i="31"/>
  <c r="R30" i="31" s="1"/>
  <c r="R31" i="31" s="1"/>
  <c r="R39" i="31" s="1"/>
  <c r="AI72" i="31"/>
  <c r="AI74" i="31" l="1"/>
  <c r="AK72" i="31"/>
  <c r="AQ72" i="31"/>
  <c r="G41" i="3"/>
  <c r="I41" i="3" s="1"/>
  <c r="K41" i="3" s="1"/>
  <c r="R41" i="6"/>
  <c r="L39" i="31"/>
  <c r="N31" i="31" s="1"/>
  <c r="G40" i="3"/>
  <c r="I40" i="3" s="1"/>
  <c r="K40" i="3" s="1"/>
  <c r="R40" i="6"/>
  <c r="L39" i="30"/>
  <c r="N31" i="30"/>
  <c r="AI74" i="30"/>
  <c r="AQ72" i="30"/>
  <c r="AK72" i="30"/>
  <c r="J28" i="29"/>
  <c r="L28" i="29" s="1"/>
  <c r="AI72" i="29" l="1"/>
  <c r="AI74" i="29" s="1"/>
  <c r="AI75" i="29" s="1"/>
  <c r="AI82" i="29" s="1"/>
  <c r="P39" i="5" s="1"/>
  <c r="R28" i="29"/>
  <c r="R30" i="29" s="1"/>
  <c r="R31" i="29" s="1"/>
  <c r="R38" i="29" s="1"/>
  <c r="L30" i="29"/>
  <c r="L31" i="29" s="1"/>
  <c r="L38" i="29" s="1"/>
  <c r="L39" i="6" s="1"/>
  <c r="N30" i="31"/>
  <c r="N29" i="31"/>
  <c r="N37" i="31"/>
  <c r="N34" i="31"/>
  <c r="N35" i="31"/>
  <c r="N25" i="31"/>
  <c r="N24" i="31"/>
  <c r="L41" i="6"/>
  <c r="N36" i="31"/>
  <c r="N28" i="31"/>
  <c r="AQ74" i="30"/>
  <c r="AK74" i="30"/>
  <c r="AI75" i="30"/>
  <c r="N30" i="30"/>
  <c r="N29" i="30"/>
  <c r="N24" i="30"/>
  <c r="N25" i="30"/>
  <c r="L40" i="6"/>
  <c r="J40" i="6" s="1"/>
  <c r="N35" i="30"/>
  <c r="M34" i="30"/>
  <c r="N36" i="30"/>
  <c r="N37" i="30"/>
  <c r="N34" i="30"/>
  <c r="N28" i="30"/>
  <c r="AK74" i="31"/>
  <c r="AI75" i="31"/>
  <c r="AQ74" i="31"/>
  <c r="AK75" i="30" l="1"/>
  <c r="AI83" i="30"/>
  <c r="AQ75" i="30"/>
  <c r="AI83" i="31"/>
  <c r="AQ75" i="31"/>
  <c r="AK75" i="31"/>
  <c r="J41" i="6"/>
  <c r="N41" i="6"/>
  <c r="L43" i="6"/>
  <c r="N39" i="6"/>
  <c r="R39" i="6"/>
  <c r="R43" i="6" s="1"/>
  <c r="G39" i="3"/>
  <c r="R39" i="5"/>
  <c r="X39" i="5"/>
  <c r="J26" i="9"/>
  <c r="J34" i="9"/>
  <c r="J31" i="9"/>
  <c r="J44" i="9"/>
  <c r="J43" i="9"/>
  <c r="J30" i="9"/>
  <c r="J27" i="9"/>
  <c r="J31" i="8"/>
  <c r="J44" i="10" l="1"/>
  <c r="L44" i="10" s="1"/>
  <c r="L43" i="9"/>
  <c r="J48" i="9"/>
  <c r="L48" i="9" s="1"/>
  <c r="L31" i="9"/>
  <c r="J33" i="10"/>
  <c r="L33" i="10" s="1"/>
  <c r="L34" i="9"/>
  <c r="J28" i="10"/>
  <c r="L28" i="10" s="1"/>
  <c r="L26" i="9"/>
  <c r="J29" i="10"/>
  <c r="L29" i="10" s="1"/>
  <c r="L27" i="9"/>
  <c r="I39" i="3"/>
  <c r="I43" i="3" s="1"/>
  <c r="K43" i="3" s="1"/>
  <c r="G43" i="3"/>
  <c r="AK83" i="31"/>
  <c r="P41" i="5"/>
  <c r="AQ83" i="31"/>
  <c r="M30" i="27"/>
  <c r="M25" i="27"/>
  <c r="M37" i="27"/>
  <c r="M41" i="27"/>
  <c r="M39" i="27"/>
  <c r="M34" i="27"/>
  <c r="M24" i="27"/>
  <c r="M26" i="27"/>
  <c r="M29" i="27"/>
  <c r="M35" i="27"/>
  <c r="M28" i="27"/>
  <c r="M36" i="27"/>
  <c r="M32" i="27"/>
  <c r="L31" i="8"/>
  <c r="M38" i="27"/>
  <c r="M40" i="27"/>
  <c r="M27" i="27"/>
  <c r="M33" i="27"/>
  <c r="M31" i="27"/>
  <c r="L30" i="9"/>
  <c r="J47" i="9"/>
  <c r="L47" i="9" s="1"/>
  <c r="P40" i="5"/>
  <c r="AQ83" i="30"/>
  <c r="AK83" i="30"/>
  <c r="J45" i="10"/>
  <c r="L45" i="10" s="1"/>
  <c r="L44" i="9"/>
  <c r="N40" i="6"/>
  <c r="J43" i="6"/>
  <c r="N42" i="6"/>
  <c r="J51" i="9"/>
  <c r="R40" i="5" l="1"/>
  <c r="X40" i="5"/>
  <c r="P43" i="5"/>
  <c r="L32" i="8"/>
  <c r="R31" i="8"/>
  <c r="R32" i="8" s="1"/>
  <c r="AI86" i="8"/>
  <c r="X41" i="5"/>
  <c r="R41" i="5"/>
  <c r="R47" i="9"/>
  <c r="AI117" i="9"/>
  <c r="R34" i="9"/>
  <c r="AI104" i="9"/>
  <c r="J49" i="10"/>
  <c r="L49" i="10" s="1"/>
  <c r="L51" i="9"/>
  <c r="AI114" i="9"/>
  <c r="R44" i="9"/>
  <c r="AI97" i="10"/>
  <c r="R29" i="10"/>
  <c r="R48" i="9"/>
  <c r="AI118" i="9"/>
  <c r="AI100" i="9"/>
  <c r="R30" i="9"/>
  <c r="R33" i="10"/>
  <c r="AI101" i="10"/>
  <c r="R27" i="9"/>
  <c r="AI97" i="9"/>
  <c r="R45" i="10"/>
  <c r="AI113" i="10"/>
  <c r="R26" i="9"/>
  <c r="L28" i="9"/>
  <c r="AI96" i="9"/>
  <c r="L45" i="9"/>
  <c r="R43" i="9"/>
  <c r="AI113" i="9"/>
  <c r="AI101" i="9"/>
  <c r="R31" i="9"/>
  <c r="L30" i="10"/>
  <c r="AI96" i="10"/>
  <c r="R28" i="10"/>
  <c r="R30" i="10" s="1"/>
  <c r="AI112" i="10"/>
  <c r="L46" i="10"/>
  <c r="R44" i="10"/>
  <c r="J35" i="9"/>
  <c r="R45" i="9" l="1"/>
  <c r="R49" i="9" s="1"/>
  <c r="L35" i="9"/>
  <c r="J52" i="9"/>
  <c r="J34" i="10"/>
  <c r="L34" i="10" s="1"/>
  <c r="G105" i="26"/>
  <c r="P105" i="26" s="1"/>
  <c r="G107" i="26"/>
  <c r="P107" i="26" s="1"/>
  <c r="G108" i="26"/>
  <c r="P108" i="26" s="1"/>
  <c r="G111" i="26"/>
  <c r="P111" i="26" s="1"/>
  <c r="G103" i="26"/>
  <c r="P103" i="26" s="1"/>
  <c r="G104" i="26"/>
  <c r="P104" i="26" s="1"/>
  <c r="G112" i="26"/>
  <c r="P112" i="26" s="1"/>
  <c r="G109" i="26"/>
  <c r="P109" i="26" s="1"/>
  <c r="G110" i="26"/>
  <c r="P110" i="26" s="1"/>
  <c r="G106" i="26"/>
  <c r="P106" i="26" s="1"/>
  <c r="L49" i="9"/>
  <c r="AK100" i="9"/>
  <c r="AQ100" i="9"/>
  <c r="AQ104" i="9"/>
  <c r="AK104" i="9"/>
  <c r="AI98" i="10"/>
  <c r="AK96" i="10"/>
  <c r="L35" i="10"/>
  <c r="AK97" i="9"/>
  <c r="AQ97" i="9"/>
  <c r="AK86" i="8"/>
  <c r="AI87" i="8"/>
  <c r="AQ86" i="8"/>
  <c r="R46" i="10"/>
  <c r="AI98" i="9"/>
  <c r="AK96" i="9"/>
  <c r="AQ118" i="9"/>
  <c r="AK118" i="9"/>
  <c r="AQ114" i="9"/>
  <c r="AK114" i="9"/>
  <c r="L32" i="9"/>
  <c r="AI114" i="10"/>
  <c r="AK112" i="10"/>
  <c r="AK101" i="9"/>
  <c r="AQ101" i="9"/>
  <c r="R28" i="9"/>
  <c r="R32" i="9" s="1"/>
  <c r="AK101" i="10"/>
  <c r="AQ101" i="10"/>
  <c r="AK117" i="9"/>
  <c r="AQ117" i="9"/>
  <c r="R43" i="5"/>
  <c r="X43" i="5"/>
  <c r="AI121" i="9"/>
  <c r="R51" i="9"/>
  <c r="AI115" i="9"/>
  <c r="AK113" i="9"/>
  <c r="AQ113" i="10"/>
  <c r="AK113" i="10"/>
  <c r="AQ97" i="10"/>
  <c r="AK97" i="10"/>
  <c r="AI117" i="10"/>
  <c r="R49" i="10"/>
  <c r="AQ117" i="10" l="1"/>
  <c r="AK117" i="10"/>
  <c r="H103" i="26"/>
  <c r="I103" i="26" s="1"/>
  <c r="Q103" i="26"/>
  <c r="AQ121" i="9"/>
  <c r="AK121" i="9"/>
  <c r="H111" i="26"/>
  <c r="I111" i="26" s="1"/>
  <c r="Q111" i="26"/>
  <c r="J44" i="14"/>
  <c r="L44" i="14" s="1"/>
  <c r="J30" i="14"/>
  <c r="L30" i="14" s="1"/>
  <c r="L36" i="9"/>
  <c r="AK98" i="9"/>
  <c r="AQ98" i="9"/>
  <c r="AI102" i="9"/>
  <c r="H108" i="26"/>
  <c r="I108" i="26" s="1"/>
  <c r="Q108" i="26"/>
  <c r="Q106" i="26"/>
  <c r="H106" i="26"/>
  <c r="I106" i="26" s="1"/>
  <c r="Q107" i="26"/>
  <c r="H107" i="26"/>
  <c r="I107" i="26" s="1"/>
  <c r="AQ98" i="10"/>
  <c r="AK98" i="10"/>
  <c r="H110" i="26"/>
  <c r="I110" i="26" s="1"/>
  <c r="Q110" i="26"/>
  <c r="H105" i="26"/>
  <c r="I105" i="26" s="1"/>
  <c r="Q105" i="26"/>
  <c r="AQ87" i="8"/>
  <c r="AK87" i="8"/>
  <c r="Q109" i="26"/>
  <c r="H109" i="26"/>
  <c r="I109" i="26" s="1"/>
  <c r="AI102" i="10"/>
  <c r="R34" i="10"/>
  <c r="R35" i="10" s="1"/>
  <c r="AI119" i="9"/>
  <c r="AK115" i="9"/>
  <c r="AQ115" i="9"/>
  <c r="AK114" i="10"/>
  <c r="AQ114" i="10"/>
  <c r="H112" i="26"/>
  <c r="I112" i="26" s="1"/>
  <c r="Q112" i="26"/>
  <c r="J50" i="10"/>
  <c r="L50" i="10" s="1"/>
  <c r="L52" i="9"/>
  <c r="G118" i="26"/>
  <c r="P118" i="26" s="1"/>
  <c r="G121" i="26"/>
  <c r="P121" i="26" s="1"/>
  <c r="G123" i="26"/>
  <c r="P123" i="26" s="1"/>
  <c r="G120" i="26"/>
  <c r="P120" i="26" s="1"/>
  <c r="G116" i="26"/>
  <c r="P116" i="26" s="1"/>
  <c r="G119" i="26"/>
  <c r="P119" i="26" s="1"/>
  <c r="G122" i="26"/>
  <c r="P122" i="26" s="1"/>
  <c r="G115" i="26"/>
  <c r="P115" i="26" s="1"/>
  <c r="G114" i="26"/>
  <c r="P114" i="26" s="1"/>
  <c r="G117" i="26"/>
  <c r="P117" i="26" s="1"/>
  <c r="Q104" i="26"/>
  <c r="H104" i="26"/>
  <c r="I104" i="26" s="1"/>
  <c r="AI105" i="9"/>
  <c r="R35" i="9"/>
  <c r="R36" i="9" s="1"/>
  <c r="Q115" i="26" l="1"/>
  <c r="H115" i="26"/>
  <c r="I115" i="26" s="1"/>
  <c r="L53" i="9"/>
  <c r="R52" i="9"/>
  <c r="R53" i="9" s="1"/>
  <c r="AI122" i="9"/>
  <c r="AQ102" i="9"/>
  <c r="AI106" i="9"/>
  <c r="AK102" i="9"/>
  <c r="H122" i="26"/>
  <c r="I122" i="26" s="1"/>
  <c r="Q122" i="26"/>
  <c r="R50" i="10"/>
  <c r="R51" i="10" s="1"/>
  <c r="R52" i="10" s="1"/>
  <c r="R61" i="10" s="1"/>
  <c r="AI118" i="10"/>
  <c r="L51" i="10"/>
  <c r="AK119" i="9"/>
  <c r="AQ119" i="9"/>
  <c r="AI123" i="9"/>
  <c r="AQ105" i="9"/>
  <c r="AK105" i="9"/>
  <c r="Q119" i="26"/>
  <c r="H119" i="26"/>
  <c r="I119" i="26" s="1"/>
  <c r="G219" i="26"/>
  <c r="P219" i="26" s="1"/>
  <c r="J43" i="14"/>
  <c r="L43" i="14" s="1"/>
  <c r="G234" i="26"/>
  <c r="P234" i="26" s="1"/>
  <c r="G226" i="26"/>
  <c r="P226" i="26" s="1"/>
  <c r="G228" i="26"/>
  <c r="P228" i="26" s="1"/>
  <c r="G223" i="26"/>
  <c r="P223" i="26" s="1"/>
  <c r="G232" i="26"/>
  <c r="P232" i="26" s="1"/>
  <c r="G217" i="26"/>
  <c r="P217" i="26" s="1"/>
  <c r="G229" i="26"/>
  <c r="P229" i="26" s="1"/>
  <c r="G233" i="26"/>
  <c r="P233" i="26" s="1"/>
  <c r="G222" i="26"/>
  <c r="P222" i="26" s="1"/>
  <c r="G220" i="26"/>
  <c r="P220" i="26" s="1"/>
  <c r="G230" i="26"/>
  <c r="P230" i="26" s="1"/>
  <c r="G225" i="26"/>
  <c r="P225" i="26" s="1"/>
  <c r="G224" i="26"/>
  <c r="P224" i="26" s="1"/>
  <c r="G218" i="26"/>
  <c r="P218" i="26" s="1"/>
  <c r="G221" i="26"/>
  <c r="P221" i="26" s="1"/>
  <c r="G227" i="26"/>
  <c r="P227" i="26" s="1"/>
  <c r="G231" i="26"/>
  <c r="P231" i="26" s="1"/>
  <c r="H116" i="26"/>
  <c r="I116" i="26" s="1"/>
  <c r="Q116" i="26"/>
  <c r="G198" i="26"/>
  <c r="P198" i="26" s="1"/>
  <c r="G203" i="26"/>
  <c r="P203" i="26" s="1"/>
  <c r="G208" i="26"/>
  <c r="P208" i="26" s="1"/>
  <c r="G213" i="26"/>
  <c r="P213" i="26" s="1"/>
  <c r="G204" i="26"/>
  <c r="P204" i="26" s="1"/>
  <c r="J29" i="14"/>
  <c r="L29" i="14" s="1"/>
  <c r="G215" i="26"/>
  <c r="P215" i="26" s="1"/>
  <c r="G207" i="26"/>
  <c r="P207" i="26" s="1"/>
  <c r="G209" i="26"/>
  <c r="P209" i="26" s="1"/>
  <c r="G201" i="26"/>
  <c r="P201" i="26" s="1"/>
  <c r="G214" i="26"/>
  <c r="P214" i="26" s="1"/>
  <c r="G202" i="26"/>
  <c r="P202" i="26" s="1"/>
  <c r="G206" i="26"/>
  <c r="P206" i="26" s="1"/>
  <c r="G205" i="26"/>
  <c r="P205" i="26" s="1"/>
  <c r="G211" i="26"/>
  <c r="P211" i="26" s="1"/>
  <c r="G199" i="26"/>
  <c r="P199" i="26" s="1"/>
  <c r="G212" i="26"/>
  <c r="P212" i="26" s="1"/>
  <c r="G210" i="26"/>
  <c r="P210" i="26" s="1"/>
  <c r="G200" i="26"/>
  <c r="P200" i="26" s="1"/>
  <c r="Q120" i="26"/>
  <c r="H120" i="26"/>
  <c r="I120" i="26" s="1"/>
  <c r="AQ102" i="10"/>
  <c r="AK102" i="10"/>
  <c r="L54" i="9"/>
  <c r="Q123" i="26"/>
  <c r="H123" i="26"/>
  <c r="I123" i="26" s="1"/>
  <c r="AI94" i="14"/>
  <c r="R30" i="14"/>
  <c r="H117" i="26"/>
  <c r="I117" i="26" s="1"/>
  <c r="Q117" i="26"/>
  <c r="Q121" i="26"/>
  <c r="H121" i="26"/>
  <c r="I121" i="26" s="1"/>
  <c r="AI103" i="10"/>
  <c r="AI108" i="14"/>
  <c r="R44" i="14"/>
  <c r="H114" i="26"/>
  <c r="I114" i="26" s="1"/>
  <c r="Q114" i="26"/>
  <c r="Q118" i="26"/>
  <c r="H118" i="26"/>
  <c r="I118" i="26" s="1"/>
  <c r="J39" i="8"/>
  <c r="L39" i="8" s="1"/>
  <c r="J38" i="8"/>
  <c r="L38" i="8" s="1"/>
  <c r="J35" i="8"/>
  <c r="Q227" i="26" l="1"/>
  <c r="H227" i="26"/>
  <c r="I227" i="26" s="1"/>
  <c r="AQ94" i="14"/>
  <c r="AK94" i="14"/>
  <c r="Q202" i="26"/>
  <c r="H202" i="26"/>
  <c r="I202" i="26" s="1"/>
  <c r="Q213" i="26"/>
  <c r="H213" i="26"/>
  <c r="I213" i="26" s="1"/>
  <c r="H221" i="26"/>
  <c r="I221" i="26" s="1"/>
  <c r="Q221" i="26"/>
  <c r="H229" i="26"/>
  <c r="I229" i="26" s="1"/>
  <c r="Q229" i="26"/>
  <c r="Q219" i="26"/>
  <c r="H219" i="26"/>
  <c r="I219" i="26" s="1"/>
  <c r="L52" i="10"/>
  <c r="R43" i="14"/>
  <c r="R45" i="14" s="1"/>
  <c r="R46" i="14" s="1"/>
  <c r="L45" i="14"/>
  <c r="AI107" i="14"/>
  <c r="AQ103" i="10"/>
  <c r="AK103" i="10"/>
  <c r="H200" i="26"/>
  <c r="I200" i="26" s="1"/>
  <c r="Q200" i="26"/>
  <c r="H214" i="26"/>
  <c r="I214" i="26" s="1"/>
  <c r="Q214" i="26"/>
  <c r="Q208" i="26"/>
  <c r="H208" i="26"/>
  <c r="I208" i="26" s="1"/>
  <c r="H218" i="26"/>
  <c r="I218" i="26" s="1"/>
  <c r="Q218" i="26"/>
  <c r="Q217" i="26"/>
  <c r="H217" i="26"/>
  <c r="I217" i="26" s="1"/>
  <c r="H233" i="26"/>
  <c r="I233" i="26" s="1"/>
  <c r="Q233" i="26"/>
  <c r="Q210" i="26"/>
  <c r="H210" i="26"/>
  <c r="I210" i="26" s="1"/>
  <c r="Q201" i="26"/>
  <c r="H201" i="26"/>
  <c r="I201" i="26" s="1"/>
  <c r="Q203" i="26"/>
  <c r="H203" i="26"/>
  <c r="I203" i="26" s="1"/>
  <c r="Q224" i="26"/>
  <c r="H224" i="26"/>
  <c r="I224" i="26" s="1"/>
  <c r="Q232" i="26"/>
  <c r="H232" i="26"/>
  <c r="I232" i="26" s="1"/>
  <c r="AK118" i="10"/>
  <c r="AQ118" i="10"/>
  <c r="AI119" i="10"/>
  <c r="AQ122" i="9"/>
  <c r="AK122" i="9"/>
  <c r="AK108" i="14"/>
  <c r="AQ108" i="14"/>
  <c r="AQ106" i="9"/>
  <c r="AK106" i="9"/>
  <c r="R38" i="8"/>
  <c r="AI93" i="8"/>
  <c r="Q212" i="26"/>
  <c r="H212" i="26"/>
  <c r="I212" i="26" s="1"/>
  <c r="Q209" i="26"/>
  <c r="H209" i="26"/>
  <c r="I209" i="26" s="1"/>
  <c r="Q198" i="26"/>
  <c r="H198" i="26"/>
  <c r="I198" i="26" s="1"/>
  <c r="H225" i="26"/>
  <c r="I225" i="26" s="1"/>
  <c r="Q225" i="26"/>
  <c r="Q223" i="26"/>
  <c r="H223" i="26"/>
  <c r="I223" i="26" s="1"/>
  <c r="G27" i="3"/>
  <c r="I27" i="3" s="1"/>
  <c r="K27" i="3" s="1"/>
  <c r="R27" i="6"/>
  <c r="H204" i="26"/>
  <c r="I204" i="26" s="1"/>
  <c r="Q204" i="26"/>
  <c r="R54" i="9"/>
  <c r="R63" i="9" s="1"/>
  <c r="L63" i="9"/>
  <c r="H199" i="26"/>
  <c r="I199" i="26" s="1"/>
  <c r="Q199" i="26"/>
  <c r="H207" i="26"/>
  <c r="I207" i="26" s="1"/>
  <c r="Q207" i="26"/>
  <c r="H230" i="26"/>
  <c r="I230" i="26" s="1"/>
  <c r="Q230" i="26"/>
  <c r="H228" i="26"/>
  <c r="I228" i="26" s="1"/>
  <c r="Q228" i="26"/>
  <c r="AI94" i="8"/>
  <c r="R39" i="8"/>
  <c r="Q211" i="26"/>
  <c r="H211" i="26"/>
  <c r="I211" i="26" s="1"/>
  <c r="Q215" i="26"/>
  <c r="H215" i="26"/>
  <c r="I215" i="26" s="1"/>
  <c r="Q220" i="26"/>
  <c r="H220" i="26"/>
  <c r="I220" i="26" s="1"/>
  <c r="H226" i="26"/>
  <c r="I226" i="26" s="1"/>
  <c r="Q226" i="26"/>
  <c r="AI124" i="9"/>
  <c r="AQ123" i="9"/>
  <c r="AK123" i="9"/>
  <c r="Q206" i="26"/>
  <c r="H206" i="26"/>
  <c r="I206" i="26" s="1"/>
  <c r="O41" i="27"/>
  <c r="O21" i="27"/>
  <c r="R21" i="27" s="1"/>
  <c r="G52" i="26" s="1"/>
  <c r="P52" i="26" s="1"/>
  <c r="L35" i="8"/>
  <c r="O26" i="27"/>
  <c r="O22" i="27"/>
  <c r="R22" i="27" s="1"/>
  <c r="G53" i="26" s="1"/>
  <c r="P53" i="26" s="1"/>
  <c r="O29" i="27"/>
  <c r="O27" i="27"/>
  <c r="O33" i="27"/>
  <c r="O35" i="27"/>
  <c r="O38" i="27"/>
  <c r="O28" i="27"/>
  <c r="O32" i="27"/>
  <c r="O37" i="27"/>
  <c r="O36" i="27"/>
  <c r="O25" i="27"/>
  <c r="O31" i="27"/>
  <c r="O30" i="27"/>
  <c r="O34" i="27"/>
  <c r="O39" i="27"/>
  <c r="O40" i="27"/>
  <c r="O24" i="27"/>
  <c r="R24" i="27" s="1"/>
  <c r="G55" i="26" s="1"/>
  <c r="P55" i="26" s="1"/>
  <c r="O23" i="27"/>
  <c r="R23" i="27" s="1"/>
  <c r="G54" i="26" s="1"/>
  <c r="P54" i="26" s="1"/>
  <c r="Q205" i="26"/>
  <c r="H205" i="26"/>
  <c r="I205" i="26" s="1"/>
  <c r="AI93" i="14"/>
  <c r="R29" i="14"/>
  <c r="R31" i="14" s="1"/>
  <c r="R32" i="14" s="1"/>
  <c r="L31" i="14"/>
  <c r="Q231" i="26"/>
  <c r="H231" i="26"/>
  <c r="I231" i="26" s="1"/>
  <c r="H222" i="26"/>
  <c r="I222" i="26" s="1"/>
  <c r="Q222" i="26"/>
  <c r="Q234" i="26"/>
  <c r="H234" i="26"/>
  <c r="I234" i="26" s="1"/>
  <c r="J37" i="8"/>
  <c r="J36" i="8"/>
  <c r="N54" i="9" l="1"/>
  <c r="N57" i="9"/>
  <c r="N24" i="9"/>
  <c r="N61" i="9"/>
  <c r="N41" i="9"/>
  <c r="N40" i="9"/>
  <c r="L26" i="6"/>
  <c r="N60" i="9"/>
  <c r="N58" i="9"/>
  <c r="N23" i="9"/>
  <c r="N30" i="9"/>
  <c r="N43" i="9"/>
  <c r="N47" i="9"/>
  <c r="N31" i="9"/>
  <c r="N48" i="9"/>
  <c r="N26" i="9"/>
  <c r="N44" i="9"/>
  <c r="N27" i="9"/>
  <c r="N34" i="9"/>
  <c r="N51" i="9"/>
  <c r="N45" i="9"/>
  <c r="N28" i="9"/>
  <c r="N49" i="9"/>
  <c r="N32" i="9"/>
  <c r="N35" i="9"/>
  <c r="N36" i="9"/>
  <c r="N52" i="9"/>
  <c r="L61" i="10"/>
  <c r="N52" i="10" s="1"/>
  <c r="H54" i="26"/>
  <c r="I54" i="26" s="1"/>
  <c r="Q54" i="26"/>
  <c r="G26" i="3"/>
  <c r="I26" i="3" s="1"/>
  <c r="K26" i="3" s="1"/>
  <c r="R26" i="6"/>
  <c r="AK93" i="8"/>
  <c r="AQ93" i="8"/>
  <c r="AQ119" i="10"/>
  <c r="AK119" i="10"/>
  <c r="AI120" i="10"/>
  <c r="Q55" i="26"/>
  <c r="H55" i="26"/>
  <c r="I55" i="26" s="1"/>
  <c r="Q53" i="26"/>
  <c r="H53" i="26"/>
  <c r="I53" i="26" s="1"/>
  <c r="AK124" i="9"/>
  <c r="AQ124" i="9"/>
  <c r="AI133" i="9"/>
  <c r="L37" i="8"/>
  <c r="Q41" i="27"/>
  <c r="Q38" i="27"/>
  <c r="Q40" i="27"/>
  <c r="Q32" i="27"/>
  <c r="Q35" i="27"/>
  <c r="L32" i="14"/>
  <c r="R35" i="8"/>
  <c r="AI90" i="8"/>
  <c r="H52" i="26"/>
  <c r="I52" i="26" s="1"/>
  <c r="Q52" i="26"/>
  <c r="AI109" i="14"/>
  <c r="AK107" i="14"/>
  <c r="AQ107" i="14"/>
  <c r="P33" i="27"/>
  <c r="R33" i="27" s="1"/>
  <c r="G64" i="26" s="1"/>
  <c r="P64" i="26" s="1"/>
  <c r="P27" i="27"/>
  <c r="R27" i="27" s="1"/>
  <c r="G58" i="26" s="1"/>
  <c r="P58" i="26" s="1"/>
  <c r="P41" i="27"/>
  <c r="P32" i="27"/>
  <c r="R32" i="27" s="1"/>
  <c r="G63" i="26" s="1"/>
  <c r="P63" i="26" s="1"/>
  <c r="P38" i="27"/>
  <c r="R38" i="27" s="1"/>
  <c r="G69" i="26" s="1"/>
  <c r="P69" i="26" s="1"/>
  <c r="P26" i="27"/>
  <c r="R26" i="27" s="1"/>
  <c r="G57" i="26" s="1"/>
  <c r="P57" i="26" s="1"/>
  <c r="P39" i="27"/>
  <c r="R39" i="27" s="1"/>
  <c r="G70" i="26" s="1"/>
  <c r="P70" i="26" s="1"/>
  <c r="P40" i="27"/>
  <c r="P35" i="27"/>
  <c r="R35" i="27" s="1"/>
  <c r="G66" i="26" s="1"/>
  <c r="P66" i="26" s="1"/>
  <c r="P31" i="27"/>
  <c r="R31" i="27" s="1"/>
  <c r="G62" i="26" s="1"/>
  <c r="P62" i="26" s="1"/>
  <c r="P34" i="27"/>
  <c r="R34" i="27" s="1"/>
  <c r="G65" i="26" s="1"/>
  <c r="P65" i="26" s="1"/>
  <c r="P30" i="27"/>
  <c r="R30" i="27" s="1"/>
  <c r="G61" i="26" s="1"/>
  <c r="P61" i="26" s="1"/>
  <c r="P29" i="27"/>
  <c r="R29" i="27" s="1"/>
  <c r="G60" i="26" s="1"/>
  <c r="P60" i="26" s="1"/>
  <c r="P28" i="27"/>
  <c r="R28" i="27" s="1"/>
  <c r="G59" i="26" s="1"/>
  <c r="P59" i="26" s="1"/>
  <c r="P25" i="27"/>
  <c r="R25" i="27" s="1"/>
  <c r="G56" i="26" s="1"/>
  <c r="P56" i="26" s="1"/>
  <c r="L36" i="8"/>
  <c r="P36" i="27"/>
  <c r="R36" i="27" s="1"/>
  <c r="G67" i="26" s="1"/>
  <c r="P67" i="26" s="1"/>
  <c r="P37" i="27"/>
  <c r="R37" i="27" s="1"/>
  <c r="G68" i="26" s="1"/>
  <c r="P68" i="26" s="1"/>
  <c r="AQ93" i="14"/>
  <c r="AI95" i="14"/>
  <c r="AK93" i="14"/>
  <c r="AK94" i="8"/>
  <c r="AQ94" i="8"/>
  <c r="L46" i="14"/>
  <c r="N53" i="9"/>
  <c r="R47" i="14"/>
  <c r="R56" i="14" s="1"/>
  <c r="R40" i="27" l="1"/>
  <c r="G71" i="26" s="1"/>
  <c r="P71" i="26" s="1"/>
  <c r="Q66" i="26"/>
  <c r="H66" i="26"/>
  <c r="I66" i="26" s="1"/>
  <c r="Q63" i="26"/>
  <c r="H63" i="26"/>
  <c r="I63" i="26" s="1"/>
  <c r="Q67" i="26"/>
  <c r="H67" i="26"/>
  <c r="I67" i="26" s="1"/>
  <c r="Q64" i="26"/>
  <c r="H64" i="26"/>
  <c r="I64" i="26" s="1"/>
  <c r="AK90" i="8"/>
  <c r="AQ90" i="8"/>
  <c r="AI91" i="8"/>
  <c r="R36" i="8"/>
  <c r="H71" i="26"/>
  <c r="I71" i="26" s="1"/>
  <c r="Q71" i="26"/>
  <c r="R40" i="8"/>
  <c r="R41" i="8" s="1"/>
  <c r="R50" i="8" s="1"/>
  <c r="AI92" i="8"/>
  <c r="R37" i="8"/>
  <c r="J26" i="6"/>
  <c r="H56" i="26"/>
  <c r="I56" i="26" s="1"/>
  <c r="Q56" i="26"/>
  <c r="Q70" i="26"/>
  <c r="H70" i="26"/>
  <c r="I70" i="26" s="1"/>
  <c r="AQ133" i="9"/>
  <c r="AK133" i="9"/>
  <c r="P26" i="5"/>
  <c r="AK120" i="10"/>
  <c r="AI129" i="10"/>
  <c r="Q59" i="26"/>
  <c r="H59" i="26"/>
  <c r="I59" i="26" s="1"/>
  <c r="Q57" i="26"/>
  <c r="H57" i="26"/>
  <c r="I57" i="26" s="1"/>
  <c r="AK109" i="14"/>
  <c r="AQ109" i="14"/>
  <c r="AI110" i="14"/>
  <c r="H60" i="26"/>
  <c r="I60" i="26" s="1"/>
  <c r="Q60" i="26"/>
  <c r="Q69" i="26"/>
  <c r="H69" i="26"/>
  <c r="I69" i="26" s="1"/>
  <c r="N35" i="10"/>
  <c r="N41" i="10"/>
  <c r="N59" i="10"/>
  <c r="N55" i="10"/>
  <c r="N23" i="10"/>
  <c r="N58" i="10"/>
  <c r="N24" i="10"/>
  <c r="N25" i="10"/>
  <c r="L27" i="6"/>
  <c r="N56" i="10"/>
  <c r="N40" i="10"/>
  <c r="N39" i="10"/>
  <c r="N28" i="10"/>
  <c r="N45" i="10"/>
  <c r="N44" i="10"/>
  <c r="N29" i="10"/>
  <c r="N33" i="10"/>
  <c r="N49" i="10"/>
  <c r="N46" i="10"/>
  <c r="N30" i="10"/>
  <c r="N34" i="10"/>
  <c r="N50" i="10"/>
  <c r="N51" i="10"/>
  <c r="G35" i="3"/>
  <c r="R35" i="6"/>
  <c r="R36" i="6" s="1"/>
  <c r="AQ95" i="14"/>
  <c r="AK95" i="14"/>
  <c r="AI96" i="14"/>
  <c r="Q61" i="26"/>
  <c r="H61" i="26"/>
  <c r="I61" i="26" s="1"/>
  <c r="Q65" i="26"/>
  <c r="H65" i="26"/>
  <c r="I65" i="26" s="1"/>
  <c r="R41" i="27"/>
  <c r="G72" i="26" s="1"/>
  <c r="P72" i="26" s="1"/>
  <c r="L47" i="14"/>
  <c r="H68" i="26"/>
  <c r="I68" i="26" s="1"/>
  <c r="Q68" i="26"/>
  <c r="H62" i="26"/>
  <c r="I62" i="26" s="1"/>
  <c r="Q62" i="26"/>
  <c r="H58" i="26"/>
  <c r="I58" i="26" s="1"/>
  <c r="Q58" i="26"/>
  <c r="L40" i="8"/>
  <c r="P27" i="5" l="1"/>
  <c r="AK129" i="10"/>
  <c r="AQ129" i="10"/>
  <c r="AQ96" i="14"/>
  <c r="AK96" i="14"/>
  <c r="AK110" i="14"/>
  <c r="AI111" i="14"/>
  <c r="AQ110" i="14"/>
  <c r="G25" i="3"/>
  <c r="R25" i="6"/>
  <c r="R32" i="6" s="1"/>
  <c r="R66" i="6" s="1"/>
  <c r="X26" i="5"/>
  <c r="R26" i="5"/>
  <c r="L41" i="8"/>
  <c r="L56" i="14"/>
  <c r="N47" i="14"/>
  <c r="H72" i="26"/>
  <c r="I72" i="26" s="1"/>
  <c r="Q72" i="26"/>
  <c r="J27" i="6"/>
  <c r="AI95" i="8"/>
  <c r="AQ91" i="8"/>
  <c r="AK91" i="8"/>
  <c r="G36" i="3"/>
  <c r="I35" i="3"/>
  <c r="AQ92" i="8"/>
  <c r="AK92" i="8"/>
  <c r="N21" i="14" l="1"/>
  <c r="N54" i="14"/>
  <c r="N35" i="14"/>
  <c r="N50" i="14"/>
  <c r="N51" i="14"/>
  <c r="L35" i="6"/>
  <c r="N53" i="14"/>
  <c r="N38" i="14"/>
  <c r="N24" i="14"/>
  <c r="N25" i="14"/>
  <c r="N26" i="14"/>
  <c r="N39" i="14"/>
  <c r="N40" i="14"/>
  <c r="N30" i="14"/>
  <c r="N44" i="14"/>
  <c r="N43" i="14"/>
  <c r="N29" i="14"/>
  <c r="N31" i="14"/>
  <c r="N45" i="14"/>
  <c r="N32" i="14"/>
  <c r="N46" i="14"/>
  <c r="AK111" i="14"/>
  <c r="AI120" i="14"/>
  <c r="AQ111" i="14"/>
  <c r="AI96" i="8"/>
  <c r="L50" i="8"/>
  <c r="N41" i="8" s="1"/>
  <c r="AQ95" i="8"/>
  <c r="AK95" i="8"/>
  <c r="I36" i="3"/>
  <c r="K36" i="3" s="1"/>
  <c r="K35" i="3"/>
  <c r="I25" i="3"/>
  <c r="G32" i="3"/>
  <c r="G58" i="3" s="1"/>
  <c r="R27" i="5"/>
  <c r="X27" i="5"/>
  <c r="AQ120" i="14" l="1"/>
  <c r="X35" i="5" s="1"/>
  <c r="AK120" i="14"/>
  <c r="P35" i="5"/>
  <c r="J35" i="6"/>
  <c r="L36" i="6"/>
  <c r="N35" i="6" s="1"/>
  <c r="I32" i="3"/>
  <c r="K32" i="3" s="1"/>
  <c r="K25" i="3"/>
  <c r="N24" i="8"/>
  <c r="N30" i="8"/>
  <c r="N25" i="8"/>
  <c r="N45" i="8"/>
  <c r="N26" i="8"/>
  <c r="N48" i="8"/>
  <c r="N27" i="8"/>
  <c r="N47" i="8"/>
  <c r="N44" i="8"/>
  <c r="L25" i="6"/>
  <c r="N31" i="8"/>
  <c r="N32" i="8"/>
  <c r="N39" i="8"/>
  <c r="N38" i="8"/>
  <c r="N35" i="8"/>
  <c r="N37" i="8"/>
  <c r="N36" i="8"/>
  <c r="N40" i="8"/>
  <c r="G69" i="3"/>
  <c r="I58" i="3"/>
  <c r="AK96" i="8"/>
  <c r="AQ96" i="8"/>
  <c r="AI105" i="8"/>
  <c r="P25" i="5" l="1"/>
  <c r="AQ105" i="8"/>
  <c r="AK105" i="8"/>
  <c r="K58" i="3"/>
  <c r="I69" i="3"/>
  <c r="K69" i="3" s="1"/>
  <c r="J36" i="6"/>
  <c r="L66" i="6"/>
  <c r="J25" i="6"/>
  <c r="L32" i="6"/>
  <c r="N25" i="6" s="1"/>
  <c r="R35" i="5"/>
  <c r="P36" i="5"/>
  <c r="J66" i="6" l="1"/>
  <c r="N64" i="6"/>
  <c r="N22" i="6"/>
  <c r="N53" i="6"/>
  <c r="N43" i="6"/>
  <c r="N36" i="6"/>
  <c r="R36" i="5"/>
  <c r="X36" i="5"/>
  <c r="N32" i="6"/>
  <c r="J32" i="6"/>
  <c r="N29" i="6"/>
  <c r="N31" i="6"/>
  <c r="N28" i="6"/>
  <c r="N30" i="6"/>
  <c r="N26" i="6"/>
  <c r="N27" i="6"/>
  <c r="R25" i="5"/>
  <c r="P32" i="5"/>
  <c r="X25" i="5"/>
  <c r="X32" i="5" l="1"/>
  <c r="R32" i="5"/>
  <c r="P66" i="5"/>
  <c r="X66" i="5" l="1"/>
  <c r="R66" i="5"/>
</calcChain>
</file>

<file path=xl/comments1.xml><?xml version="1.0" encoding="utf-8"?>
<comments xmlns="http://schemas.openxmlformats.org/spreadsheetml/2006/main">
  <authors>
    <author>Sailers, Bruce L</author>
  </authors>
  <commentList>
    <comment ref="F24" authorId="0" shape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an incremental charge just like DS</t>
        </r>
      </text>
    </comment>
  </commentList>
</comments>
</file>

<file path=xl/comments2.xml><?xml version="1.0" encoding="utf-8"?>
<comments xmlns="http://schemas.openxmlformats.org/spreadsheetml/2006/main">
  <authors>
    <author>Sailers, Bruce L</author>
  </authors>
  <commentList>
    <comment ref="F21" authorId="0" shape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DEK Master St Lt Base file</t>
        </r>
      </text>
    </comment>
    <comment ref="F209" authorId="0" shape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we use the DEK Master St Lt Base file and formulas for the kWh.</t>
        </r>
      </text>
    </comment>
    <comment ref="AA209" authorId="0" shape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The value of 10,802,308 is from the DEK Master St Lt 2016 file.  Compare this to the value received here through formula calculations</t>
        </r>
      </text>
    </comment>
  </commentList>
</comments>
</file>

<file path=xl/comments3.xml><?xml version="1.0" encoding="utf-8"?>
<comments xmlns="http://schemas.openxmlformats.org/spreadsheetml/2006/main">
  <authors>
    <author>t01869</author>
  </authors>
  <commentList>
    <comment ref="H24" authorId="0" shapeId="0">
      <text>
        <r>
          <rPr>
            <b/>
            <sz val="8"/>
            <color indexed="81"/>
            <rFont val="Tahoma"/>
            <family val="2"/>
          </rPr>
          <t>t071150:</t>
        </r>
        <r>
          <rPr>
            <sz val="8"/>
            <color indexed="81"/>
            <rFont val="Tahoma"/>
            <family val="2"/>
          </rPr>
          <t xml:space="preserve">
TL01
Unlike other light schedules, TL does not have a pre determined kwh per year.  Therefore, all data is taken straight from the TL summary 2017 rev rpt file where the billing determinants are calculated.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t01869:</t>
        </r>
        <r>
          <rPr>
            <sz val="8"/>
            <color indexed="81"/>
            <rFont val="Tahoma"/>
            <family val="2"/>
          </rPr>
          <t xml:space="preserve">
TL02</t>
        </r>
      </text>
    </comment>
    <comment ref="H39" authorId="0" shapeId="0">
      <text>
        <r>
          <rPr>
            <b/>
            <sz val="8"/>
            <color indexed="81"/>
            <rFont val="Tahoma"/>
            <family val="2"/>
          </rPr>
          <t>t01869:</t>
        </r>
        <r>
          <rPr>
            <sz val="8"/>
            <color indexed="81"/>
            <rFont val="Tahoma"/>
            <family val="2"/>
          </rPr>
          <t xml:space="preserve">
TL03
</t>
        </r>
      </text>
    </comment>
    <comment ref="AA75" authorId="0" shapeId="0">
      <text>
        <r>
          <rPr>
            <b/>
            <sz val="8"/>
            <color indexed="81"/>
            <rFont val="Tahoma"/>
            <family val="2"/>
          </rPr>
          <t>t01869:</t>
        </r>
        <r>
          <rPr>
            <sz val="8"/>
            <color indexed="81"/>
            <rFont val="Tahoma"/>
            <family val="2"/>
          </rPr>
          <t xml:space="preserve">
TL01
</t>
        </r>
      </text>
    </comment>
    <comment ref="AA83" authorId="0" shapeId="0">
      <text>
        <r>
          <rPr>
            <b/>
            <sz val="8"/>
            <color indexed="81"/>
            <rFont val="Tahoma"/>
            <family val="2"/>
          </rPr>
          <t>t01869:</t>
        </r>
        <r>
          <rPr>
            <sz val="8"/>
            <color indexed="81"/>
            <rFont val="Tahoma"/>
            <family val="2"/>
          </rPr>
          <t xml:space="preserve">
TL02</t>
        </r>
      </text>
    </comment>
    <comment ref="AA90" authorId="0" shapeId="0">
      <text>
        <r>
          <rPr>
            <b/>
            <sz val="8"/>
            <color indexed="81"/>
            <rFont val="Tahoma"/>
            <family val="2"/>
          </rPr>
          <t>t01869:</t>
        </r>
        <r>
          <rPr>
            <sz val="8"/>
            <color indexed="81"/>
            <rFont val="Tahoma"/>
            <family val="2"/>
          </rPr>
          <t xml:space="preserve">
TL03
Reduced 9kwh to agree with Datasets
</t>
        </r>
      </text>
    </comment>
  </commentList>
</comments>
</file>

<file path=xl/comments4.xml><?xml version="1.0" encoding="utf-8"?>
<comments xmlns="http://schemas.openxmlformats.org/spreadsheetml/2006/main">
  <authors>
    <author>Sailers, Bruce L</author>
  </authors>
  <commentList>
    <comment ref="H21" authorId="0" shape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Source is  the OU summary file which includes OL &amp; NSP</t>
        </r>
      </text>
    </comment>
  </commentList>
</comments>
</file>

<file path=xl/comments5.xml><?xml version="1.0" encoding="utf-8"?>
<comments xmlns="http://schemas.openxmlformats.org/spreadsheetml/2006/main">
  <authors>
    <author>Sailers, Bruce L</author>
    <author>t01869</author>
  </authors>
  <commentList>
    <comment ref="F38" authorId="0" shape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These #s taken from 2017 Number of Lites E Sched.  The monthly values represent an annualized value so only take the 5/17 value.</t>
        </r>
      </text>
    </comment>
    <comment ref="AW73" authorId="1" shapeId="0">
      <text>
        <r>
          <rPr>
            <b/>
            <sz val="8"/>
            <color indexed="81"/>
            <rFont val="Tahoma"/>
            <family val="2"/>
          </rPr>
          <t>t01869:</t>
        </r>
        <r>
          <rPr>
            <sz val="8"/>
            <color indexed="81"/>
            <rFont val="Tahoma"/>
            <family val="2"/>
          </rPr>
          <t xml:space="preserve">
NSU1
</t>
        </r>
      </text>
    </comment>
    <comment ref="AW76" authorId="1" shapeId="0">
      <text>
        <r>
          <rPr>
            <b/>
            <sz val="8"/>
            <color indexed="81"/>
            <rFont val="Tahoma"/>
            <family val="2"/>
          </rPr>
          <t>t01869:</t>
        </r>
        <r>
          <rPr>
            <sz val="8"/>
            <color indexed="81"/>
            <rFont val="Tahoma"/>
            <family val="2"/>
          </rPr>
          <t xml:space="preserve">
NSU2
</t>
        </r>
      </text>
    </comment>
    <comment ref="AW78" authorId="1" shapeId="0">
      <text>
        <r>
          <rPr>
            <b/>
            <sz val="8"/>
            <color indexed="81"/>
            <rFont val="Tahoma"/>
            <family val="2"/>
          </rPr>
          <t>t01869:</t>
        </r>
        <r>
          <rPr>
            <sz val="8"/>
            <color indexed="81"/>
            <rFont val="Tahoma"/>
            <family val="2"/>
          </rPr>
          <t xml:space="preserve">
NSU3
</t>
        </r>
      </text>
    </comment>
    <comment ref="AW79" authorId="1" shapeId="0">
      <text>
        <r>
          <rPr>
            <b/>
            <sz val="8"/>
            <color indexed="81"/>
            <rFont val="Tahoma"/>
            <family val="2"/>
          </rPr>
          <t>t01869:</t>
        </r>
        <r>
          <rPr>
            <sz val="8"/>
            <color indexed="81"/>
            <rFont val="Tahoma"/>
            <family val="2"/>
          </rPr>
          <t xml:space="preserve">
NSU3</t>
        </r>
      </text>
    </comment>
    <comment ref="AW80" authorId="1" shapeId="0">
      <text>
        <r>
          <rPr>
            <b/>
            <sz val="8"/>
            <color indexed="81"/>
            <rFont val="Tahoma"/>
            <family val="2"/>
          </rPr>
          <t>t01869:</t>
        </r>
        <r>
          <rPr>
            <sz val="8"/>
            <color indexed="81"/>
            <rFont val="Tahoma"/>
            <family val="2"/>
          </rPr>
          <t xml:space="preserve">
NSU3</t>
        </r>
      </text>
    </comment>
    <comment ref="AW86" authorId="1" shapeId="0">
      <text>
        <r>
          <rPr>
            <b/>
            <sz val="8"/>
            <color indexed="81"/>
            <rFont val="Tahoma"/>
            <family val="2"/>
          </rPr>
          <t>t01869:</t>
        </r>
        <r>
          <rPr>
            <sz val="8"/>
            <color indexed="81"/>
            <rFont val="Tahoma"/>
            <family val="2"/>
          </rPr>
          <t xml:space="preserve">
NSU5
</t>
        </r>
      </text>
    </comment>
  </commentList>
</comments>
</file>

<file path=xl/comments6.xml><?xml version="1.0" encoding="utf-8"?>
<comments xmlns="http://schemas.openxmlformats.org/spreadsheetml/2006/main">
  <authors>
    <author>Sailers, Bruce L</author>
    <author>t01869</author>
  </authors>
  <commentList>
    <comment ref="F64" authorId="0" shape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use the 2017 Number of Lites E Schedule.  The monthly values represent annuallized values.  </t>
        </r>
      </text>
    </comment>
    <comment ref="H64" authorId="1" shapeId="0">
      <text>
        <r>
          <rPr>
            <b/>
            <sz val="8"/>
            <color indexed="81"/>
            <rFont val="Tahoma"/>
            <family val="2"/>
          </rPr>
          <t>t71150:</t>
        </r>
        <r>
          <rPr>
            <sz val="8"/>
            <color indexed="81"/>
            <rFont val="Tahoma"/>
            <family val="2"/>
          </rPr>
          <t xml:space="preserve">
Use the SC Summary 2016/2017 from Rev Rpt for the monthly kWh of 8133.  and then multiply by 12.
Can't use a formula here because there's no rate to multiply this by per se because of the custom nature of the schedule.</t>
        </r>
      </text>
    </comment>
  </commentList>
</comments>
</file>

<file path=xl/comments7.xml><?xml version="1.0" encoding="utf-8"?>
<comments xmlns="http://schemas.openxmlformats.org/spreadsheetml/2006/main">
  <authors>
    <author>Sailers, Bruce L</author>
  </authors>
  <commentList>
    <comment ref="F45" authorId="0" shape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2017 # of Lites E Sched.  Monthly values are annualized. this value is stable each month so use the last 2017 value.</t>
        </r>
      </text>
    </comment>
  </commentList>
</comments>
</file>

<file path=xl/comments8.xml><?xml version="1.0" encoding="utf-8"?>
<comments xmlns="http://schemas.openxmlformats.org/spreadsheetml/2006/main">
  <authors>
    <author>Sailers, Bruce L</author>
  </authors>
  <commentList>
    <comment ref="F20" authorId="0" shape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DEK Master St Lt Base file</t>
        </r>
      </text>
    </comment>
    <comment ref="F21" authorId="0" shape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DEK Master St Lt Base file</t>
        </r>
      </text>
    </comment>
    <comment ref="Y354" authorId="0" shape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we use the DEK Master St Lt Base file and formulas for the kWh.</t>
        </r>
      </text>
    </comment>
    <comment ref="AA354" authorId="0" shapeId="0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we use the DEK Master St Lt Base file and formulas for the kWh.</t>
        </r>
      </text>
    </comment>
  </commentList>
</comments>
</file>

<file path=xl/sharedStrings.xml><?xml version="1.0" encoding="utf-8"?>
<sst xmlns="http://schemas.openxmlformats.org/spreadsheetml/2006/main" count="4825" uniqueCount="826">
  <si>
    <t>AUTOMATED RATE CASE FILING SYSTEM</t>
  </si>
  <si>
    <t>SERVICE:</t>
  </si>
  <si>
    <t>(ELECTRIC SERVICE)</t>
  </si>
  <si>
    <t>WITNESS:</t>
  </si>
  <si>
    <t>WITNESS RESPONSIBLE:</t>
  </si>
  <si>
    <t xml:space="preserve">  CURRENT ANNUALIZED</t>
  </si>
  <si>
    <t>PROPOSED</t>
  </si>
  <si>
    <t>% OF REV TO</t>
  </si>
  <si>
    <t>CURRENT</t>
  </si>
  <si>
    <t>REVENUE</t>
  </si>
  <si>
    <t>% INCR IN</t>
  </si>
  <si>
    <t>TOTAL</t>
  </si>
  <si>
    <t>REVENUE LESS</t>
  </si>
  <si>
    <t>TOTAL LESS</t>
  </si>
  <si>
    <t>MOST</t>
  </si>
  <si>
    <t>INCR LESS</t>
  </si>
  <si>
    <t xml:space="preserve">REV LESS </t>
  </si>
  <si>
    <t>LINE</t>
  </si>
  <si>
    <t>RATE</t>
  </si>
  <si>
    <t>CLASS /</t>
  </si>
  <si>
    <t>CUSTOMER</t>
  </si>
  <si>
    <t>FUEL COST</t>
  </si>
  <si>
    <t>FUEL COST REV</t>
  </si>
  <si>
    <t>% INCREASE</t>
  </si>
  <si>
    <t xml:space="preserve"> NO.</t>
  </si>
  <si>
    <t>CODE</t>
  </si>
  <si>
    <t>DESCRIPTION</t>
  </si>
  <si>
    <t>BILLS(1)</t>
  </si>
  <si>
    <t>SALES</t>
  </si>
  <si>
    <t>RATES</t>
  </si>
  <si>
    <t>(F + H)</t>
  </si>
  <si>
    <t>(F - K)</t>
  </si>
  <si>
    <t>(M / K)</t>
  </si>
  <si>
    <t>(K + H)</t>
  </si>
  <si>
    <t>(M / K1)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</si>
  <si>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</si>
  <si>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</si>
  <si>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</si>
  <si>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</si>
  <si>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</si>
  <si>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</si>
  <si>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</si>
  <si>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</si>
  <si>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</si>
  <si>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</si>
  <si>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</si>
  <si>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</si>
  <si>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</si>
  <si>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</si>
  <si>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(K1)</t>
  </si>
  <si>
    <t>(O)</t>
  </si>
  <si>
    <t>(KWH)</t>
  </si>
  <si>
    <t>($)</t>
  </si>
  <si>
    <t>(%)</t>
  </si>
  <si>
    <t>RS</t>
  </si>
  <si>
    <t>RESIDENTIAL</t>
  </si>
  <si>
    <t>SUMMER:</t>
  </si>
  <si>
    <t>BILLS</t>
  </si>
  <si>
    <t>TOTAL SUMMER</t>
  </si>
  <si>
    <t>WINTER:</t>
  </si>
  <si>
    <t>TOTAL WINTER</t>
  </si>
  <si>
    <t>(1) BILLS THAT TERMINATE IN RESPECTIVE RATE STEPS.</t>
  </si>
  <si>
    <t>TT</t>
  </si>
  <si>
    <t>TIME OF DAY</t>
  </si>
  <si>
    <t>CUSTOMER CHARGE</t>
  </si>
  <si>
    <t>DEMAND CHARGE:</t>
  </si>
  <si>
    <t xml:space="preserve">  ON PEAK KW</t>
  </si>
  <si>
    <t xml:space="preserve">  OFF PEAK KW</t>
  </si>
  <si>
    <t>TOTAL DEMAND</t>
  </si>
  <si>
    <t>ENERGY CHARGE:</t>
  </si>
  <si>
    <t xml:space="preserve">  ALL KWH</t>
  </si>
  <si>
    <t>($/UNIT)</t>
  </si>
  <si>
    <t>SE</t>
  </si>
  <si>
    <t xml:space="preserve">STREET LIGHTING - </t>
  </si>
  <si>
    <t xml:space="preserve"> OVERHEAD EQUIVALENT RATE</t>
  </si>
  <si>
    <t>SC</t>
  </si>
  <si>
    <t xml:space="preserve"> CUST OWNED/CUST MAINT</t>
  </si>
  <si>
    <t>ENERGY ONLY</t>
  </si>
  <si>
    <t>(1) THESE FIGURES REPRESENT NUMBER OF UNITS BILLED.</t>
  </si>
  <si>
    <t>SL</t>
  </si>
  <si>
    <t>STREET LIGHTING</t>
  </si>
  <si>
    <t>OVERHEAD DISTRIBUTION:</t>
  </si>
  <si>
    <t>UNDERGROUND DISTRIBUTION:</t>
  </si>
  <si>
    <t>TL</t>
  </si>
  <si>
    <t>TRAFFIC LIGHTING</t>
  </si>
  <si>
    <t xml:space="preserve">    SERVICE</t>
  </si>
  <si>
    <t>(A) WHERE COMPANY</t>
  </si>
  <si>
    <t xml:space="preserve">  ALL CONSUMPTION</t>
  </si>
  <si>
    <t>(B) WHERE COMPANY</t>
  </si>
  <si>
    <t>SUPPLIES ENERGY AND</t>
  </si>
  <si>
    <t>PROVIDES LIMITED</t>
  </si>
  <si>
    <t>MAINTENANCE:</t>
  </si>
  <si>
    <t>NSU</t>
  </si>
  <si>
    <t xml:space="preserve">  2,500 LUMEN MULTIPLE</t>
  </si>
  <si>
    <t xml:space="preserve">  2,500 LUMEN SERIES</t>
  </si>
  <si>
    <t xml:space="preserve">  21,000 LUMEN</t>
  </si>
  <si>
    <t>TOTAL COMPANY OWNED</t>
  </si>
  <si>
    <t>DS</t>
  </si>
  <si>
    <t>DP</t>
  </si>
  <si>
    <t>GSFL</t>
  </si>
  <si>
    <t>EH</t>
  </si>
  <si>
    <t>SP</t>
  </si>
  <si>
    <t>IS</t>
  </si>
  <si>
    <t>OTHER MISC</t>
  </si>
  <si>
    <t xml:space="preserve">    TOTAL</t>
  </si>
  <si>
    <t>PAGE 1 OF 5</t>
  </si>
  <si>
    <t>WORK PAPER REFERENCE NO(S).: SEE BELOW</t>
  </si>
  <si>
    <t>LEVEL</t>
  </si>
  <si>
    <t>DOLLAR</t>
  </si>
  <si>
    <t>PERCENT</t>
  </si>
  <si>
    <t>of</t>
  </si>
  <si>
    <t>INCREASE</t>
  </si>
  <si>
    <t>FUEL</t>
  </si>
  <si>
    <t>BILL</t>
  </si>
  <si>
    <t>KWH</t>
  </si>
  <si>
    <t>DEMAND</t>
  </si>
  <si>
    <t>USE</t>
  </si>
  <si>
    <t>(D - C)</t>
  </si>
  <si>
    <t>(E / C)</t>
  </si>
  <si>
    <t>FIRST</t>
  </si>
  <si>
    <t>SECOND</t>
  </si>
  <si>
    <t>THIRD</t>
  </si>
  <si>
    <t>CHARGE</t>
  </si>
  <si>
    <t>STEP</t>
  </si>
  <si>
    <t>(KW)</t>
  </si>
  <si>
    <t>NA</t>
  </si>
  <si>
    <t>WINTER</t>
  </si>
  <si>
    <t>PAGE 2 OF 5</t>
  </si>
  <si>
    <t>CST CHRG</t>
  </si>
  <si>
    <t>ALL KWH</t>
  </si>
  <si>
    <t>PAGE 5 OF 5</t>
  </si>
  <si>
    <t xml:space="preserve">   TT (SUMMER)</t>
  </si>
  <si>
    <t xml:space="preserve">   TT (WINTER)</t>
  </si>
  <si>
    <t>PAGE 3 OF 5</t>
  </si>
  <si>
    <t xml:space="preserve">   DT (SUMMER)</t>
  </si>
  <si>
    <t xml:space="preserve">   DT (WINTER)</t>
  </si>
  <si>
    <t>PROPOSED ANNUALIZED</t>
  </si>
  <si>
    <t>CURRENT ANNUALIZED</t>
  </si>
  <si>
    <t>SERVICE AT SECONDARY</t>
  </si>
  <si>
    <t>DISTRIBUTION VOLTAGE</t>
  </si>
  <si>
    <t>CUSTOMER CHARGE:</t>
  </si>
  <si>
    <t xml:space="preserve">  SINGLE PHASE</t>
  </si>
  <si>
    <t xml:space="preserve">  THREE PHASE</t>
  </si>
  <si>
    <t>TOTAL CUSTOMER CHARGE</t>
  </si>
  <si>
    <t xml:space="preserve">  FIRST 15 KW</t>
  </si>
  <si>
    <t xml:space="preserve">  ADDITIONAL KW</t>
  </si>
  <si>
    <t xml:space="preserve">  FIRST  6000 KWH</t>
  </si>
  <si>
    <t xml:space="preserve">  NEXT 300KWH/KW</t>
  </si>
  <si>
    <t xml:space="preserve">  ADDITIONAL KWH</t>
  </si>
  <si>
    <t>TOTAL ENERGY</t>
  </si>
  <si>
    <t>SERVICE AT</t>
  </si>
  <si>
    <t xml:space="preserve">  PRIMARY VOLTAGE</t>
  </si>
  <si>
    <t>SUB-TOTAL</t>
  </si>
  <si>
    <t>PRIMARY SERV. DIS.</t>
  </si>
  <si>
    <t>FIRST 1000 KW</t>
  </si>
  <si>
    <t>ADDITIONAL KW</t>
  </si>
  <si>
    <t>SERVICE AT PRIMARY</t>
  </si>
  <si>
    <t xml:space="preserve">  ALL KW</t>
  </si>
  <si>
    <t xml:space="preserve">  FIRST 300KWH/KW</t>
  </si>
  <si>
    <t>SMALL FIXED LOADS</t>
  </si>
  <si>
    <t xml:space="preserve">    ALL CONSUMPTION</t>
  </si>
  <si>
    <t>OPTIONAL RATE FOR</t>
  </si>
  <si>
    <t>ELEC. SPACE HEATING</t>
  </si>
  <si>
    <t>SCHEDULE M-2.3</t>
  </si>
  <si>
    <t>SCHEDULE M-2.2</t>
  </si>
  <si>
    <t>PAGE  1  OF  1</t>
  </si>
  <si>
    <t>CLASSIFICATION</t>
  </si>
  <si>
    <t>REVENUE AT</t>
  </si>
  <si>
    <t>CHANGE</t>
  </si>
  <si>
    <t>(D=C-B)</t>
  </si>
  <si>
    <t>(AMOUNT)</t>
  </si>
  <si>
    <t>SCHEDULE M</t>
  </si>
  <si>
    <t>(E=D / B)</t>
  </si>
  <si>
    <t xml:space="preserve">  TOTAL DISTRIBUTION</t>
  </si>
  <si>
    <t xml:space="preserve">  TOTAL TRANSMISSION</t>
  </si>
  <si>
    <t xml:space="preserve">  TOTAL LIGHTING</t>
  </si>
  <si>
    <t>TOTAL REVENUE</t>
  </si>
  <si>
    <t>WORK PAPER REFERENCE NO(S).:</t>
  </si>
  <si>
    <t>TYPICAL BILL COMPARISON</t>
  </si>
  <si>
    <t>SCHEDULE N</t>
  </si>
  <si>
    <t xml:space="preserve"> </t>
  </si>
  <si>
    <t>Summer</t>
  </si>
  <si>
    <t>Winter</t>
  </si>
  <si>
    <t xml:space="preserve">CURRENT RATE DS BILL      </t>
  </si>
  <si>
    <t xml:space="preserve">PROPOSED RATE DS BILL      </t>
  </si>
  <si>
    <t xml:space="preserve"> CURRENT RATE EH BILL      </t>
  </si>
  <si>
    <t xml:space="preserve">PROPOSED RATES EH BILL      </t>
  </si>
  <si>
    <t>PAGE 4 OF 5</t>
  </si>
  <si>
    <t>PRIMARY VOLTAGE</t>
  </si>
  <si>
    <t>CURRENT RATES RS BILL</t>
  </si>
  <si>
    <t>PROPOSED RATES RS BILL</t>
  </si>
  <si>
    <t>PRESENT</t>
  </si>
  <si>
    <t>% OF</t>
  </si>
  <si>
    <t xml:space="preserve">WORK PAPER REFERENCE NO(S).: </t>
  </si>
  <si>
    <t>SCHEDULE M-2.1</t>
  </si>
  <si>
    <t>AVERAGE</t>
  </si>
  <si>
    <t>(F=E/D)</t>
  </si>
  <si>
    <t>% OF REV</t>
  </si>
  <si>
    <t>TO TOTAL</t>
  </si>
  <si>
    <t xml:space="preserve">EXCLUSIVE OF </t>
  </si>
  <si>
    <t>NOTE: DETAIL CONTAINED ON SCHEDULES M-2.2 AND M-2.3.</t>
  </si>
  <si>
    <t>Input Areas in Grey</t>
  </si>
  <si>
    <t xml:space="preserve">  TOTAL RESIDENTIAL</t>
  </si>
  <si>
    <t>(KW/KWH)</t>
  </si>
  <si>
    <t>(¢/KWH)</t>
  </si>
  <si>
    <t>MINIMUM BILLS</t>
  </si>
  <si>
    <t xml:space="preserve">  LOAD RANGE 540 TO 720 HRS</t>
  </si>
  <si>
    <t xml:space="preserve">  LOAD RANGE LESS THAN 540 HRS</t>
  </si>
  <si>
    <t>MERCURY VAPOR :</t>
  </si>
  <si>
    <t>SODIUM VAPOR:</t>
  </si>
  <si>
    <t>DECORATIVE SODIUM VAPOR:</t>
  </si>
  <si>
    <t>MERCURY VAPOR:</t>
  </si>
  <si>
    <t>SUPPLIES ENERGY FROM A</t>
  </si>
  <si>
    <t>SEPARATELY METERED SOURCE</t>
  </si>
  <si>
    <t>AND PROVIDES LIMITED</t>
  </si>
  <si>
    <t>(C) WHERE COMPANY</t>
  </si>
  <si>
    <t xml:space="preserve">     7,000 LUMEN (OPEN)</t>
  </si>
  <si>
    <t xml:space="preserve">     7,000 LUMEN</t>
  </si>
  <si>
    <t xml:space="preserve">    10,000 LUMEN</t>
  </si>
  <si>
    <t xml:space="preserve">    21,000 LUMEN</t>
  </si>
  <si>
    <t xml:space="preserve">     9,500 LUMEN (OPEN)</t>
  </si>
  <si>
    <t xml:space="preserve">     9,500 LUMEN</t>
  </si>
  <si>
    <t xml:space="preserve">   16,000 LUMEN</t>
  </si>
  <si>
    <t xml:space="preserve">   22,000 LUMEN</t>
  </si>
  <si>
    <t xml:space="preserve">   50,000 LUMEN</t>
  </si>
  <si>
    <t xml:space="preserve">     7,000 LUMEN (4)</t>
  </si>
  <si>
    <t xml:space="preserve">  10,000 LUMEN</t>
  </si>
  <si>
    <t xml:space="preserve">    22,000 LUMEN (RECTILINEAR)</t>
  </si>
  <si>
    <t xml:space="preserve">    50,000 LUMEN (RECTILINEAR)</t>
  </si>
  <si>
    <t xml:space="preserve">  21,000 LUMEN MERCURY VAPOR</t>
  </si>
  <si>
    <t>NON STANDARD STREET LIGHT UNITS</t>
  </si>
  <si>
    <t>(A) COMPANY OWNED</t>
  </si>
  <si>
    <t>(1) BOULEVARD INCANDESCENT(UG):</t>
  </si>
  <si>
    <t>(2) HOLOPHANE DECORATIVE:</t>
  </si>
  <si>
    <t xml:space="preserve">  10,000 LUMEN MV W </t>
  </si>
  <si>
    <t xml:space="preserve">     17' FIBERGLASS POLE</t>
  </si>
  <si>
    <t>(3) STREET LGT UNITS (OH)</t>
  </si>
  <si>
    <t xml:space="preserve">    2,500 LUMEN INDANDESCENT</t>
  </si>
  <si>
    <t xml:space="preserve">    2,500 LUMEN MERCURY VAPOR</t>
  </si>
  <si>
    <t>(B) CUSTOMER OWNED WITH LTD MAINT</t>
  </si>
  <si>
    <t>TOTAL CUSTOMER OWNED</t>
  </si>
  <si>
    <t>MERCURY VAPOR 7,000 LUMEN:</t>
  </si>
  <si>
    <t xml:space="preserve">   TOWN &amp; COUNTRY</t>
  </si>
  <si>
    <t xml:space="preserve">    HOLOPHANE</t>
  </si>
  <si>
    <t xml:space="preserve">    GAS REPLICA</t>
  </si>
  <si>
    <t xml:space="preserve">    ASPEN</t>
  </si>
  <si>
    <t>SODIUM VAPOR 9,500 LUMEN:</t>
  </si>
  <si>
    <t xml:space="preserve">    RECTILINEAR</t>
  </si>
  <si>
    <t xml:space="preserve">  50,000 LUMEN (SETBACK)</t>
  </si>
  <si>
    <t xml:space="preserve">  50,000 LUMEN (RECTILINEAR)</t>
  </si>
  <si>
    <t xml:space="preserve">  22,000 LUMEN (RECTILINEAR)</t>
  </si>
  <si>
    <t>UOLS</t>
  </si>
  <si>
    <t>UNMETERED OUTDOOR LIGHTING SERV</t>
  </si>
  <si>
    <t>BASE RATE</t>
  </si>
  <si>
    <t>RESIDENTIAL SERV</t>
  </si>
  <si>
    <t>DISTRIBUTION SERV</t>
  </si>
  <si>
    <t>SPORTS SERV</t>
  </si>
  <si>
    <t>ELEC SPACE HEATING</t>
  </si>
  <si>
    <t>UNMTRD OUTDR LIGHT</t>
  </si>
  <si>
    <t>NON STD STREET LIGHT</t>
  </si>
  <si>
    <t>BAD CHECK CHARGES</t>
  </si>
  <si>
    <t xml:space="preserve">UOLS </t>
  </si>
  <si>
    <t>RENTS</t>
  </si>
  <si>
    <t>RECONNECTION CHGS</t>
  </si>
  <si>
    <t>RIDER</t>
  </si>
  <si>
    <t>DISTRIBUTION</t>
  </si>
  <si>
    <t>TRANSMISSION</t>
  </si>
  <si>
    <t>DSMR (2)</t>
  </si>
  <si>
    <t>DSMR (3)</t>
  </si>
  <si>
    <t>REAL TIME PRICING</t>
  </si>
  <si>
    <t xml:space="preserve"> CUST OWNED/LTD MAINT</t>
  </si>
  <si>
    <t>(4) WITH 30' WOOD POLE.</t>
  </si>
  <si>
    <t>(5) WITH 35' WOOD POLE.</t>
  </si>
  <si>
    <t>(3) WITH 17' WOOD LAMINATED POLE.</t>
  </si>
  <si>
    <t>(6) WITH 40' WOOD POLE.</t>
  </si>
  <si>
    <t>(7) WITH 12' ALUM POLE.</t>
  </si>
  <si>
    <t>(8) WITH 28' ALUM POLE.</t>
  </si>
  <si>
    <t>(9) WITH 30' ALUM POLE.</t>
  </si>
  <si>
    <t>(10) WITH 17' FIBERGLASS POLE.</t>
  </si>
  <si>
    <t>(11) WITH 12' FIBERGLASS POLE.</t>
  </si>
  <si>
    <t>(12) WITH 30' FIBERGLASS POLE.</t>
  </si>
  <si>
    <t>(13) WITH 35' FIBERGLASS POLE.</t>
  </si>
  <si>
    <t xml:space="preserve">     7,000 LUMEN (5)</t>
  </si>
  <si>
    <t xml:space="preserve">     7,000 LUMEN (6)</t>
  </si>
  <si>
    <t xml:space="preserve">    21,000 LUMEN (5)</t>
  </si>
  <si>
    <t xml:space="preserve">     9,500 LUMEN (4)</t>
  </si>
  <si>
    <t xml:space="preserve">     9,500 LUMEN (5)</t>
  </si>
  <si>
    <t xml:space="preserve">     9,500 LUMEN (6)</t>
  </si>
  <si>
    <t xml:space="preserve">   22,000 LUMEN (4)</t>
  </si>
  <si>
    <t xml:space="preserve">   22,000 LUMEN (5)</t>
  </si>
  <si>
    <t xml:space="preserve">   22,000 LUMEN (6)</t>
  </si>
  <si>
    <t xml:space="preserve">   50,000 LUMEN (5)</t>
  </si>
  <si>
    <t xml:space="preserve">   50,000 LUMEN (6)</t>
  </si>
  <si>
    <t xml:space="preserve">     7,000 LUMEN (8)</t>
  </si>
  <si>
    <t xml:space="preserve">  10,000 LUMEN (4)</t>
  </si>
  <si>
    <t xml:space="preserve">  10,000 LUMEN (8)</t>
  </si>
  <si>
    <t xml:space="preserve">  21,000 LUMEN (8)</t>
  </si>
  <si>
    <t>STREET LIGHTING -- CO OWNED &amp; MAINTAINED</t>
  </si>
  <si>
    <t>DS-RTP</t>
  </si>
  <si>
    <t>TT-RTP</t>
  </si>
  <si>
    <t xml:space="preserve">  TOTAL REAL TIME PRICING</t>
  </si>
  <si>
    <t xml:space="preserve"> TOTAL REAL TIME PRICING</t>
  </si>
  <si>
    <t>TOTAL OVERHEAD</t>
  </si>
  <si>
    <t>STREET LIGHTING -- CO OWNED &amp; MAINTAINED (CONT'D.)</t>
  </si>
  <si>
    <t>TOTAL UNDERGROUND</t>
  </si>
  <si>
    <t>METAL HALIDE:</t>
  </si>
  <si>
    <t xml:space="preserve">    GRANVILLE ACORN</t>
  </si>
  <si>
    <t xml:space="preserve">    36,000 LUMEN</t>
  </si>
  <si>
    <t xml:space="preserve">    14,000 LUMEN</t>
  </si>
  <si>
    <t xml:space="preserve">    20,500 LUMEN</t>
  </si>
  <si>
    <t xml:space="preserve">  7,000 LUMEN  TOWN &amp; COUNTRY</t>
  </si>
  <si>
    <t xml:space="preserve">  7,000 LUMEN TOWN &amp; COUNTRY (3)</t>
  </si>
  <si>
    <t xml:space="preserve">  7,000 LUMEN TOWN &amp; COUNTRY (10)</t>
  </si>
  <si>
    <t xml:space="preserve">  7,000 LUMEN HOLOPHANE</t>
  </si>
  <si>
    <t xml:space="preserve">  7,000 LUMEN HOLOPHANE (10)</t>
  </si>
  <si>
    <t xml:space="preserve">  7,000 LUMEN ASPEN</t>
  </si>
  <si>
    <t xml:space="preserve">  7,000 LUMEN GRANVILLE (7)</t>
  </si>
  <si>
    <t>DECORATIVE MERCURY VAPOR:</t>
  </si>
  <si>
    <t xml:space="preserve">  9,500 LUMEN TOWN &amp; COUNTRY</t>
  </si>
  <si>
    <t xml:space="preserve">  9,500 LUMEN TOWN &amp; COUNTRY (10)</t>
  </si>
  <si>
    <t xml:space="preserve">  9,500 LUMEN HOLOPHANE</t>
  </si>
  <si>
    <t xml:space="preserve">  9,500 LUMEN HOLOPHANE (10)</t>
  </si>
  <si>
    <t xml:space="preserve">  9,500 LUMEN GRANVILLE (7)</t>
  </si>
  <si>
    <t xml:space="preserve">  9,500 LUMEN ASPEN (7)</t>
  </si>
  <si>
    <t xml:space="preserve">   27,500 LUMEN</t>
  </si>
  <si>
    <t>DECORATIVE METAL HALIDE:</t>
  </si>
  <si>
    <t xml:space="preserve"> 14,000 LUMEN GRANVILLE</t>
  </si>
  <si>
    <t xml:space="preserve">   16,000 LUMEN (5)</t>
  </si>
  <si>
    <t xml:space="preserve">   22,000 LUMEN (8)</t>
  </si>
  <si>
    <t xml:space="preserve">    10,000 LUMEN (5)</t>
  </si>
  <si>
    <t xml:space="preserve">     9,500 LUMEN (8)</t>
  </si>
  <si>
    <t xml:space="preserve">   50,000 LUMEN (8)</t>
  </si>
  <si>
    <t xml:space="preserve">   50,000 LUMEN (9)</t>
  </si>
  <si>
    <t xml:space="preserve"> 14,000 LUMEN TRADITIONAIRE (10)</t>
  </si>
  <si>
    <t xml:space="preserve">  9,500 LUMEN TRADITIONAIRE (10)</t>
  </si>
  <si>
    <t xml:space="preserve">   TRADITIONAIRE</t>
  </si>
  <si>
    <t>Pole Rate Increases</t>
  </si>
  <si>
    <t>w17</t>
  </si>
  <si>
    <t>w30</t>
  </si>
  <si>
    <t>w35</t>
  </si>
  <si>
    <t>w40</t>
  </si>
  <si>
    <t>a12</t>
  </si>
  <si>
    <t>a28</t>
  </si>
  <si>
    <t>a28h</t>
  </si>
  <si>
    <t>a30</t>
  </si>
  <si>
    <t>f17</t>
  </si>
  <si>
    <t>f30</t>
  </si>
  <si>
    <t>f35</t>
  </si>
  <si>
    <t>s27</t>
  </si>
  <si>
    <t>s27h</t>
  </si>
  <si>
    <t>f12</t>
  </si>
  <si>
    <t>code</t>
  </si>
  <si>
    <t>base fuel</t>
  </si>
  <si>
    <t>annual kwh</t>
  </si>
  <si>
    <t>current</t>
  </si>
  <si>
    <t>proposed</t>
  </si>
  <si>
    <t>($/UNIT)/</t>
  </si>
  <si>
    <t>ADD'L FACILITIES CHARGE:</t>
  </si>
  <si>
    <t xml:space="preserve">    OVERHEAD</t>
  </si>
  <si>
    <t xml:space="preserve">    UNDERGROUND</t>
  </si>
  <si>
    <t>TOTAL ADD'L FACILITIES CHG</t>
  </si>
  <si>
    <t>TT  RTP</t>
  </si>
  <si>
    <t>DT  RTP</t>
  </si>
  <si>
    <t>DS RTP</t>
  </si>
  <si>
    <t>DS  RTP</t>
  </si>
  <si>
    <t>TIME OF DAY SERVICE AT</t>
  </si>
  <si>
    <t>TRANSMISSION VOLTAGE</t>
  </si>
  <si>
    <t xml:space="preserve">  BILLS  (Real-Time Pricing)</t>
  </si>
  <si>
    <t>($/KWH)</t>
  </si>
  <si>
    <t>RESIDENTIAL SERVICE  (RS)</t>
  </si>
  <si>
    <t>DISTRIBUTION SERVICE  (DS)</t>
  </si>
  <si>
    <t>SPORTS SERVICE  (SP)</t>
  </si>
  <si>
    <t>SMALL FIXED LOADS  (GSFL)</t>
  </si>
  <si>
    <t>PRIMARY VOLTAGE  (DP)</t>
  </si>
  <si>
    <t>TIME OF DAY  (TT)</t>
  </si>
  <si>
    <t>DS-REAL TIME PRICING  (DS-RTP)</t>
  </si>
  <si>
    <t>TT-REAL TIME PRICING  (TT-RTP)</t>
  </si>
  <si>
    <t>STREET LIGHTING  (SL)</t>
  </si>
  <si>
    <t>TRAFFIC LIGHTING  (TL)</t>
  </si>
  <si>
    <t>REVENUE (2)</t>
  </si>
  <si>
    <t>RATES(3)</t>
  </si>
  <si>
    <t>RATES(1A)</t>
  </si>
  <si>
    <t>INTERDEPARTMENTAL</t>
  </si>
  <si>
    <t>SPECIAL CONTRACTS</t>
  </si>
  <si>
    <t>($/KW)</t>
  </si>
  <si>
    <t>WS</t>
  </si>
  <si>
    <t>8A</t>
  </si>
  <si>
    <t>(8A) WITH 28' ALUM POLE HEAVY GAUGE.</t>
  </si>
  <si>
    <t xml:space="preserve">     7,000 LUMEN (8A)</t>
  </si>
  <si>
    <t xml:space="preserve">   22,000 LUMEN (8A)</t>
  </si>
  <si>
    <t>($/KWH)/</t>
  </si>
  <si>
    <t>$ PER KWH</t>
  </si>
  <si>
    <t>TYPE OF FILING: _X_ ORIGINAL   ___UPDATED  ___ REVISED</t>
  </si>
  <si>
    <t xml:space="preserve">  STANDARD UNIT-COBRAHEAD</t>
  </si>
  <si>
    <t xml:space="preserve">    MERCURY VAPOR --</t>
  </si>
  <si>
    <t xml:space="preserve">   10,000 LUMEN</t>
  </si>
  <si>
    <t xml:space="preserve">   21,000 LUMEN</t>
  </si>
  <si>
    <t xml:space="preserve">  METAL HALIDE --</t>
  </si>
  <si>
    <t xml:space="preserve">   14,000 LUMEN</t>
  </si>
  <si>
    <t xml:space="preserve">   20,500 LUMEN</t>
  </si>
  <si>
    <t xml:space="preserve">   36,000 LUMEN</t>
  </si>
  <si>
    <t xml:space="preserve">  SODIUM VAPOR--</t>
  </si>
  <si>
    <t xml:space="preserve">    9,500 LUMEN</t>
  </si>
  <si>
    <t>DECORATIVE UNITS:</t>
  </si>
  <si>
    <t xml:space="preserve">   7,000 LUMEN MERCURY VAPOR--</t>
  </si>
  <si>
    <t xml:space="preserve">    TOWN &amp; COUNTRY</t>
  </si>
  <si>
    <t xml:space="preserve"> 14,000 LUMEN METAL HALIDE--</t>
  </si>
  <si>
    <t xml:space="preserve">    TRADITIONAIRE</t>
  </si>
  <si>
    <t xml:space="preserve">  9,500 LUMEN SODIUM VAPOR--</t>
  </si>
  <si>
    <t>SODIUM VAPOR --</t>
  </si>
  <si>
    <t>CURRENT BASE</t>
  </si>
  <si>
    <t>ANNUAL</t>
  </si>
  <si>
    <t>BASEFUEL</t>
  </si>
  <si>
    <t>ID01</t>
  </si>
  <si>
    <t xml:space="preserve">  LOAD MANAGEMENT RIDER</t>
  </si>
  <si>
    <t>EXCLUDES ALL RIDERS AND FUEL</t>
  </si>
  <si>
    <t>FAC (1)</t>
  </si>
  <si>
    <t>GS-FL</t>
  </si>
  <si>
    <t>RIDERS</t>
  </si>
  <si>
    <t>PSM (5)</t>
  </si>
  <si>
    <t>FAC (2)</t>
  </si>
  <si>
    <t xml:space="preserve">  NON-CHURCH "CAP" RATE</t>
  </si>
  <si>
    <t xml:space="preserve">  CHURCH CAP RATE</t>
  </si>
  <si>
    <t>TIME OF DAY SERVICE AT SECONDARY</t>
  </si>
  <si>
    <t>TIME OF DAY SERVICE AT PRIMARY</t>
  </si>
  <si>
    <t xml:space="preserve">DT RTP </t>
  </si>
  <si>
    <t xml:space="preserve">REVENUE </t>
  </si>
  <si>
    <t>TOTAL RETAIL REVENUE</t>
  </si>
  <si>
    <t>DT PRIMARY-REAL TIME PRICING  (DT-RTP PRI)</t>
  </si>
  <si>
    <t>DT-RTP PRI</t>
  </si>
  <si>
    <t>DT-RTP SEC</t>
  </si>
  <si>
    <t xml:space="preserve">  COMMODITY CHARGES</t>
  </si>
  <si>
    <t>ENERGY CHARGE (3):</t>
  </si>
  <si>
    <t>BASE RATE (3):</t>
  </si>
  <si>
    <t>SUPPLIES ENERGY ONLY (3):</t>
  </si>
  <si>
    <t>MAINTENANCE (3):</t>
  </si>
  <si>
    <t xml:space="preserve"> BILL DATA LESS RIDERS</t>
  </si>
  <si>
    <t>TIME OF DAY PRIMARY</t>
  </si>
  <si>
    <t>DT-SEC</t>
  </si>
  <si>
    <t>TIME OF DAY SECONDARY</t>
  </si>
  <si>
    <t>DT-PRI</t>
  </si>
  <si>
    <t>DT PRIMARY TIME OF DAY (DT-PRI)</t>
  </si>
  <si>
    <t>DT SECONDARY TIME OF DAY  (DT-SEC)</t>
  </si>
  <si>
    <t xml:space="preserve">  ALL  KWH</t>
  </si>
  <si>
    <t>DT SECONDARY-REAL TIME PRICING  (DT-RTP SEC)</t>
  </si>
  <si>
    <t xml:space="preserve">  ON PEAK KWH</t>
  </si>
  <si>
    <t xml:space="preserve">  OFF PEAK KWH</t>
  </si>
  <si>
    <t xml:space="preserve"> LIGHTING</t>
  </si>
  <si>
    <t>All Rates</t>
  </si>
  <si>
    <t>(4) 1.5% OF INSTALLED TRANSFORMER AMD METERING COSTS BUT NOT LESS THAN CUSTOMER CHARGE WHETHER SERVICE IS ON OR DISCONNECTED.</t>
  </si>
  <si>
    <t>SEASONAL SPORTS SERVICE</t>
  </si>
  <si>
    <t xml:space="preserve">   50,000 LUMEN SETBACK</t>
  </si>
  <si>
    <t xml:space="preserve">   50,000 LUMEN SETBACK (6)</t>
  </si>
  <si>
    <t xml:space="preserve">     9,500 LUMEN RECTILINEAR</t>
  </si>
  <si>
    <t xml:space="preserve">   22,000 LUMEN RECTILINEAR</t>
  </si>
  <si>
    <t xml:space="preserve">   50,000 LUMEN RECTILINEAR</t>
  </si>
  <si>
    <t xml:space="preserve">   50,000 LUMEN RECTILINEAR (5)</t>
  </si>
  <si>
    <t xml:space="preserve">   50,000 LUMEN RECTILINEAR (6)</t>
  </si>
  <si>
    <t xml:space="preserve">  22,000 LUMEN RECTILINEAR</t>
  </si>
  <si>
    <t xml:space="preserve">  50,000 LUMEN RECTILINEAR</t>
  </si>
  <si>
    <t xml:space="preserve">  50,000 LUMEN RECTILINEAR (12)</t>
  </si>
  <si>
    <t xml:space="preserve">  22,000 LUMEN RECTILINEAR (12)</t>
  </si>
  <si>
    <t xml:space="preserve">  50,000 LUMEN RECTILINEAR (13)</t>
  </si>
  <si>
    <t xml:space="preserve">  50,000 LUMEN SETBACK</t>
  </si>
  <si>
    <t xml:space="preserve">     9,500 LUMEN </t>
  </si>
  <si>
    <t xml:space="preserve">  7,000 LUMEN GRANVILLE </t>
  </si>
  <si>
    <t xml:space="preserve"> 14,000 LUMEN TRADITIONAIRE</t>
  </si>
  <si>
    <t xml:space="preserve">  9,500 LUMEN TRADITIONAIRE</t>
  </si>
  <si>
    <t xml:space="preserve">  9,500 LUMEN GRANVILLE </t>
  </si>
  <si>
    <t xml:space="preserve"> 14,000 LUMEN GAS REPLICA</t>
  </si>
  <si>
    <t>Lighting rate on</t>
  </si>
  <si>
    <t>Tariff Sheet</t>
  </si>
  <si>
    <t>less Base Fuel</t>
  </si>
  <si>
    <t>formula</t>
  </si>
  <si>
    <t>input</t>
  </si>
  <si>
    <t>LT_COS_RATE Increase</t>
  </si>
  <si>
    <t>UNDERGROUND DISTRIBUTION (CONT'D.):</t>
  </si>
  <si>
    <t>rounding</t>
  </si>
  <si>
    <t>LEGEND</t>
  </si>
  <si>
    <t>METAL HALIDE 14,000 LUMEN:</t>
  </si>
  <si>
    <t xml:space="preserve">   GRANVILLE ACORN</t>
  </si>
  <si>
    <t xml:space="preserve">   GAS REPLICA</t>
  </si>
  <si>
    <t>REVENUES AT PRESENT AND PROPOSED RATES</t>
  </si>
  <si>
    <t xml:space="preserve">RESIDENTIAL </t>
  </si>
  <si>
    <t>LIGHTING</t>
  </si>
  <si>
    <t>OTHER MISC REVENUE</t>
  </si>
  <si>
    <t xml:space="preserve">  TOTAL MISC REVENUE</t>
  </si>
  <si>
    <t>MINIMUM BILLS (4)</t>
  </si>
  <si>
    <t>ELECTRIC SPACE HEATING  (EH)</t>
  </si>
  <si>
    <t>UNMETERED OUTDOOR LIGHTING (UOLS)</t>
  </si>
  <si>
    <t>NON STANDARD STREET LIGHTING  (NSU)</t>
  </si>
  <si>
    <t>CUST OWNED STREET LIGHTING SERVICE  (SC)</t>
  </si>
  <si>
    <t>OVERHEAD EQUIV STREET LIGHTING SERVICE  (SE)</t>
  </si>
  <si>
    <t>RECONNECTION CHARGES</t>
  </si>
  <si>
    <t>OTHER MISCELLANEOUS</t>
  </si>
  <si>
    <t xml:space="preserve">  TOTAL MISCELLANEOUS REVENUE</t>
  </si>
  <si>
    <t>OTHER MISCELLANEOUS REVENUE</t>
  </si>
  <si>
    <t xml:space="preserve">CUST OWNED STREET LIGHTING </t>
  </si>
  <si>
    <t>OVR HD EQUIV STREET LIGHTING</t>
  </si>
  <si>
    <t>INCLUDES FUEL AND ALL RIDERS</t>
  </si>
  <si>
    <t xml:space="preserve"> CUSTOMER CHARGE IS BASED ON THREE PHASE SECONDARY SERVICE.</t>
  </si>
  <si>
    <t>SCHEDULE M-2.2       (CURRENT RATES)</t>
  </si>
  <si>
    <t>SCHEDULE M-2.3       (PROPOSED RATES)</t>
  </si>
  <si>
    <t>BASE FUEL COST:</t>
  </si>
  <si>
    <t>RIDERS:</t>
  </si>
  <si>
    <t xml:space="preserve">  TOTAL RATE RS EXCLUDING RIDERS</t>
  </si>
  <si>
    <t>PROFIT SHARING MECHANISM (PSM)</t>
  </si>
  <si>
    <t>HOME ENERGY ASSISTANCE (HEA)</t>
  </si>
  <si>
    <t>DEMAND SIDE MANAGEMENT RIDER (DSMR)</t>
  </si>
  <si>
    <t>FUEL ADJUSTMENT CLAUSE (FAC)</t>
  </si>
  <si>
    <t xml:space="preserve">  TOTAL RIDERS</t>
  </si>
  <si>
    <t xml:space="preserve">  TOTAL RATE RS INCLUDING RIDERS</t>
  </si>
  <si>
    <t>TOTAL RATE DS EXCLUDING RIDERS</t>
  </si>
  <si>
    <t xml:space="preserve"> TOTAL RATE DS INCLUDING RIDERS</t>
  </si>
  <si>
    <t xml:space="preserve">  TOTAL RATE DT PRIMARY EXCLUDING RIDERS</t>
  </si>
  <si>
    <t xml:space="preserve">  TOTAL RATE DT PRIMARY INCLUDING RIDERS</t>
  </si>
  <si>
    <t xml:space="preserve">  TOTAL RATE DT SECONDARY INCLUDING RIDERS</t>
  </si>
  <si>
    <t xml:space="preserve">  TOTAL RATE DT SECONDARY EXCLUDING RIDERS</t>
  </si>
  <si>
    <t xml:space="preserve">  TOTAL RATE EH EXCLUDING RIDERS</t>
  </si>
  <si>
    <t xml:space="preserve">    TOTAL RATE EH INCLUDING RIDERS</t>
  </si>
  <si>
    <t xml:space="preserve">  TOTAL RATE SP EXCLUDING RIDERS</t>
  </si>
  <si>
    <t xml:space="preserve">  TOTAL RATE GS-FL EXCLUDING RIDERS</t>
  </si>
  <si>
    <t>TOTAL RATE GS-FL INCLUDING RIDERS</t>
  </si>
  <si>
    <t>TOTAL RATE SP INCLUDING RIDERS</t>
  </si>
  <si>
    <t xml:space="preserve">  TOTAL RATE DP EXCLUDING RIDERS</t>
  </si>
  <si>
    <t xml:space="preserve"> TOTAL RATE DP INCLUDING RIDERS</t>
  </si>
  <si>
    <t>TOTAL RATE DP INCLUDING RIDERS</t>
  </si>
  <si>
    <t xml:space="preserve">  TOTAL RATE TT EXCLUDING RIDERS</t>
  </si>
  <si>
    <t xml:space="preserve">  TOTAL RATE TT INCLUDING RIDERS</t>
  </si>
  <si>
    <t xml:space="preserve">  TOTAL RATE DT RTP PRIMARY EXCLUDING RIDERS</t>
  </si>
  <si>
    <t xml:space="preserve">  TOTAL RATE  DT RTP PRIMARY INCLUDING RIDERS</t>
  </si>
  <si>
    <t xml:space="preserve">  TOTAL RATE DT RTP SECONDARY EXCLUDING RIDERS</t>
  </si>
  <si>
    <t xml:space="preserve"> TOTAL RATE DT RTP SECONDARY INCLUDING RIDERS</t>
  </si>
  <si>
    <t xml:space="preserve">  TOTAL RATE  DT RTP SECONDARY INCLUDING RIDERS</t>
  </si>
  <si>
    <t xml:space="preserve">  TOTAL RATE  DS RTP INCLUDING RIDERS</t>
  </si>
  <si>
    <t xml:space="preserve">  TOTAL RATE DS RTP  EXCLUDING RIDERS</t>
  </si>
  <si>
    <t xml:space="preserve">  TOTAL RATE TT RTP  EXCLUDING RIDERS</t>
  </si>
  <si>
    <t xml:space="preserve">  TOTAL RATE  TT RTP INCLUDING RIDERS</t>
  </si>
  <si>
    <t xml:space="preserve">  TOTAL RIDERS NOT INCLUDED IN RATES ABOVE</t>
  </si>
  <si>
    <t xml:space="preserve">  TOTAL RATE TL  EXCLUDING RIDERS</t>
  </si>
  <si>
    <t xml:space="preserve">    TOTAL RATE TL INCLUDING RIDERS</t>
  </si>
  <si>
    <t>TOTAL RATE UOLS INCLUDING RIDERS</t>
  </si>
  <si>
    <t>RIDERS NOT INCLUDED IN RATES ABOVE ($/KWH):</t>
  </si>
  <si>
    <t xml:space="preserve">  TOTAL RATE NSU  EXCLUDING RIDERS</t>
  </si>
  <si>
    <t>TOTAL RATE NSU INCLUDING RIDERS</t>
  </si>
  <si>
    <t xml:space="preserve">  TOTAL RATE SC  EXCLUDING RIDERS</t>
  </si>
  <si>
    <t>TOTAL RATE SC INCLUDING RIDERS</t>
  </si>
  <si>
    <t xml:space="preserve">  TOTAL RATE SE  EXCLUDING RIDERS</t>
  </si>
  <si>
    <t xml:space="preserve">  TOTAL RATE SE INCLUDING RIDERS</t>
  </si>
  <si>
    <t xml:space="preserve">TOTAL RATE SLI NCLUDING RIDERS </t>
  </si>
  <si>
    <t>TOTAL RATE SL INCLUDING RIDERS</t>
  </si>
  <si>
    <t>RIDERS NOT INCLUDED IN RATES ABOVE:</t>
  </si>
  <si>
    <t xml:space="preserve">    14,000 LUMEN (5)</t>
  </si>
  <si>
    <t xml:space="preserve">    14,000 LUMEN (6)</t>
  </si>
  <si>
    <t xml:space="preserve">    14,000 LUMEN (10)</t>
  </si>
  <si>
    <t xml:space="preserve">    20,500 LUMEN (6)</t>
  </si>
  <si>
    <t xml:space="preserve">   16,000 LUMEN (6)</t>
  </si>
  <si>
    <t xml:space="preserve">     9,500 LUMEN (6) </t>
  </si>
  <si>
    <t xml:space="preserve">     9,500 LUMEN (10)</t>
  </si>
  <si>
    <t xml:space="preserve">     9,500 LUMEN (13)</t>
  </si>
  <si>
    <t xml:space="preserve">   27,500 LUMEN (9)</t>
  </si>
  <si>
    <t xml:space="preserve"> 14,000 LUMEN TRADITIONAIRE (7)</t>
  </si>
  <si>
    <t xml:space="preserve"> 14,000 LUMEN GRANVILLE (11)</t>
  </si>
  <si>
    <t xml:space="preserve"> 14,500 LUMEN GAS REPLICA </t>
  </si>
  <si>
    <t xml:space="preserve"> 14,500 LUMEN GAS REPLICA (7)</t>
  </si>
  <si>
    <t xml:space="preserve"> 14,500 LUMEN GAS REPLICA (10)</t>
  </si>
  <si>
    <t xml:space="preserve">  9,500 LUMEN GRANVILLE (10)</t>
  </si>
  <si>
    <t xml:space="preserve">  9,500 LUMEN GRANVILLE (11)</t>
  </si>
  <si>
    <t>OVERHEAD DISTRIBUTION (CONT'D.):</t>
  </si>
  <si>
    <r>
      <t xml:space="preserve">RIDER MSR-E: </t>
    </r>
    <r>
      <rPr>
        <b/>
        <u/>
        <sz val="12"/>
        <color theme="5" tint="-0.249977111117893"/>
        <rFont val="Arial"/>
        <family val="2"/>
      </rPr>
      <t>(EFFECTIVE MAY 2010)</t>
    </r>
  </si>
  <si>
    <t>POLE AND LINE ATTACHMENTS</t>
  </si>
  <si>
    <t>DUKE ENERGY KENTUCKY, INC.</t>
  </si>
  <si>
    <r>
      <t xml:space="preserve">RIDER PSM : </t>
    </r>
    <r>
      <rPr>
        <b/>
        <u/>
        <sz val="12"/>
        <color theme="5" tint="-0.249977111117893"/>
        <rFont val="Arial"/>
        <family val="2"/>
      </rPr>
      <t>(EFFECTIVE NOV 30, 2016)</t>
    </r>
  </si>
  <si>
    <r>
      <t>FUEL COSTS:</t>
    </r>
    <r>
      <rPr>
        <u/>
        <sz val="14"/>
        <color theme="5" tint="-0.249977111117893"/>
        <rFont val="Arial"/>
        <family val="2"/>
      </rPr>
      <t xml:space="preserve">  (BFC EFFECTIVE DEC 2006)</t>
    </r>
  </si>
  <si>
    <t>$ PER MONTH</t>
  </si>
  <si>
    <t>ENERGY CHARGE</t>
  </si>
  <si>
    <t xml:space="preserve">  Single Phase</t>
  </si>
  <si>
    <t xml:space="preserve">  Three Phase</t>
  </si>
  <si>
    <t xml:space="preserve">  First 6000</t>
  </si>
  <si>
    <t xml:space="preserve">  Next 300 KWH/KW</t>
  </si>
  <si>
    <t xml:space="preserve">  Additional</t>
  </si>
  <si>
    <t>DEMAND CHARGE</t>
  </si>
  <si>
    <t>$ PER KW</t>
  </si>
  <si>
    <t xml:space="preserve">  First 15 KW</t>
  </si>
  <si>
    <r>
      <t xml:space="preserve">RATE DS: </t>
    </r>
    <r>
      <rPr>
        <b/>
        <u/>
        <sz val="12"/>
        <color theme="5" tint="-0.249977111117893"/>
        <rFont val="Arial"/>
        <family val="2"/>
      </rPr>
      <t>(EFFECTIVE  AUGUST 31, 2015)</t>
    </r>
  </si>
  <si>
    <r>
      <t xml:space="preserve">RATE RS: </t>
    </r>
    <r>
      <rPr>
        <b/>
        <u/>
        <sz val="12"/>
        <color theme="5" tint="-0.249977111117893"/>
        <rFont val="Arial"/>
        <family val="2"/>
      </rPr>
      <t>(EFFECTIVE  AUGUST 31, 2015)</t>
    </r>
  </si>
  <si>
    <t>CAP RATES</t>
  </si>
  <si>
    <t xml:space="preserve">  NON-CHURCH</t>
  </si>
  <si>
    <t xml:space="preserve">  CHURCH</t>
  </si>
  <si>
    <r>
      <t xml:space="preserve">RIDER LM: </t>
    </r>
    <r>
      <rPr>
        <b/>
        <u/>
        <sz val="12"/>
        <color theme="5" tint="-0.249977111117893"/>
        <rFont val="Arial"/>
        <family val="2"/>
      </rPr>
      <t>(EFFECTIVE  SEPTEMBER 30, 2010)</t>
    </r>
  </si>
  <si>
    <r>
      <t xml:space="preserve">RATE DT: </t>
    </r>
    <r>
      <rPr>
        <b/>
        <u/>
        <sz val="12"/>
        <color theme="5" tint="-0.249977111117893"/>
        <rFont val="Arial"/>
        <family val="2"/>
      </rPr>
      <t>(EFFECTIVE  AUGUST 31, 2015)</t>
    </r>
  </si>
  <si>
    <t xml:space="preserve">  Primary Voltage</t>
  </si>
  <si>
    <t xml:space="preserve">  Summer On-Peak</t>
  </si>
  <si>
    <t xml:space="preserve">  Winter On-Peak</t>
  </si>
  <si>
    <t xml:space="preserve">  Off-Peak</t>
  </si>
  <si>
    <t xml:space="preserve">  Summer Off-Peak</t>
  </si>
  <si>
    <t xml:space="preserve">  Winter Off-Peak</t>
  </si>
  <si>
    <t xml:space="preserve">  Primary Service Discount First 1000 KW</t>
  </si>
  <si>
    <t xml:space="preserve">  Primary Service Discount Additional KW</t>
  </si>
  <si>
    <t xml:space="preserve">  All KWH</t>
  </si>
  <si>
    <t xml:space="preserve">  All KW</t>
  </si>
  <si>
    <r>
      <t xml:space="preserve">RATE EH: </t>
    </r>
    <r>
      <rPr>
        <b/>
        <u/>
        <sz val="12"/>
        <color theme="5" tint="-0.249977111117893"/>
        <rFont val="Arial"/>
        <family val="2"/>
      </rPr>
      <t>(EFFECTIVE  AUGUST 31, 2015)</t>
    </r>
  </si>
  <si>
    <r>
      <t xml:space="preserve">RATE SP: </t>
    </r>
    <r>
      <rPr>
        <b/>
        <u/>
        <sz val="12"/>
        <color theme="5" tint="-0.249977111117893"/>
        <rFont val="Arial"/>
        <family val="2"/>
      </rPr>
      <t>(EFFECTIVE  AUGUST 31, 2015)</t>
    </r>
  </si>
  <si>
    <r>
      <t xml:space="preserve">RATE GSFL: </t>
    </r>
    <r>
      <rPr>
        <b/>
        <u/>
        <sz val="12"/>
        <color theme="5" tint="-0.249977111117893"/>
        <rFont val="Arial"/>
        <family val="2"/>
      </rPr>
      <t>(EFFECTIVE  AUGUST 31, 2015)</t>
    </r>
  </si>
  <si>
    <t xml:space="preserve">  Minimum Bill</t>
  </si>
  <si>
    <t xml:space="preserve">  Loads &lt; 540 Hours Use per Month</t>
  </si>
  <si>
    <t xml:space="preserve">  Loads Between 540 to 720 Hours Use per Month</t>
  </si>
  <si>
    <t>MINIMUM BILL</t>
  </si>
  <si>
    <r>
      <t xml:space="preserve">RATE DP: </t>
    </r>
    <r>
      <rPr>
        <b/>
        <u/>
        <sz val="12"/>
        <color theme="5" tint="-0.249977111117893"/>
        <rFont val="Arial"/>
        <family val="2"/>
      </rPr>
      <t>(EFFECTIVE  AUGUST 31, 2015)</t>
    </r>
  </si>
  <si>
    <t xml:space="preserve">  First 300 KWH/KW</t>
  </si>
  <si>
    <r>
      <t xml:space="preserve">RATE TT: </t>
    </r>
    <r>
      <rPr>
        <b/>
        <u/>
        <sz val="12"/>
        <color theme="5" tint="-0.249977111117893"/>
        <rFont val="Arial"/>
        <family val="2"/>
      </rPr>
      <t>(EFFECTIVE  AUGUST 31, 2015)</t>
    </r>
  </si>
  <si>
    <t xml:space="preserve">  Customer Charge</t>
  </si>
  <si>
    <t xml:space="preserve">  Secondary Voltage</t>
  </si>
  <si>
    <t xml:space="preserve">  Transmission Voltage</t>
  </si>
  <si>
    <t>ENERGY DELIVERY CHARGE</t>
  </si>
  <si>
    <t>ANSCILLARY SERVICES CHARGE</t>
  </si>
  <si>
    <t>COMMODITY CHARGE</t>
  </si>
  <si>
    <t xml:space="preserve">  Distribution Service</t>
  </si>
  <si>
    <t xml:space="preserve">  Primary Service</t>
  </si>
  <si>
    <t xml:space="preserve">  Transmission Service</t>
  </si>
  <si>
    <r>
      <t xml:space="preserve">RATE RTP: </t>
    </r>
    <r>
      <rPr>
        <b/>
        <u/>
        <sz val="12"/>
        <color theme="5" tint="-0.249977111117893"/>
        <rFont val="Arial"/>
        <family val="2"/>
      </rPr>
      <t>(EFFECTIVE  June 1, 2012)</t>
    </r>
  </si>
  <si>
    <t>PROGRAM CHARGE</t>
  </si>
  <si>
    <t xml:space="preserve">  Program Charge</t>
  </si>
  <si>
    <t xml:space="preserve">PJM AND TRANSMISSION </t>
  </si>
  <si>
    <t>PJM AND TRANSMISSION</t>
  </si>
  <si>
    <t>Lighting kWh on</t>
  </si>
  <si>
    <t xml:space="preserve">   27,500 LUMEN (6)</t>
  </si>
  <si>
    <t xml:space="preserve">    21,000 LUMEN (6)</t>
  </si>
  <si>
    <t xml:space="preserve">  9,500 LUMEN GAS REPLICA (7)</t>
  </si>
  <si>
    <t xml:space="preserve">  9,500 LUMEN GAS REPLICA (10)</t>
  </si>
  <si>
    <t xml:space="preserve">  9,500 LUMEN GAS REPLICA (11)</t>
  </si>
  <si>
    <t xml:space="preserve">  7,000 LUMEN GAS REPLICA (7)</t>
  </si>
  <si>
    <t>Annual kWh / Light</t>
  </si>
  <si>
    <t>PAGE  xx  OF  20</t>
  </si>
  <si>
    <t>EXCLUDES ALL RIDERS AND FUEL-UNFINISHED-NOT USED</t>
  </si>
  <si>
    <t>On-peak Energy %</t>
  </si>
  <si>
    <t>On-peak Demand %</t>
  </si>
  <si>
    <t xml:space="preserve">  CAP RATE KWH</t>
  </si>
  <si>
    <t xml:space="preserve">  Cap Rate</t>
  </si>
  <si>
    <t>RIDER NAMES:</t>
  </si>
  <si>
    <t>ENVIRONMENTAL SURCHARGE MECHANISM RIDER (ESM)</t>
  </si>
  <si>
    <t>ESM (4)</t>
  </si>
  <si>
    <t>CANCELLED &amp; WITHDRAWN</t>
  </si>
  <si>
    <t>FUEL ADJUSTMENT CLAUSE (FAC):</t>
  </si>
  <si>
    <t>ESM (3)</t>
  </si>
  <si>
    <t xml:space="preserve">  On-Peak Summer</t>
  </si>
  <si>
    <t xml:space="preserve">  On-Peak Winter</t>
  </si>
  <si>
    <t>% of BASE REVENUE</t>
  </si>
  <si>
    <r>
      <t xml:space="preserve">RIDER ESM : </t>
    </r>
    <r>
      <rPr>
        <b/>
        <u/>
        <sz val="12"/>
        <color theme="5" tint="-0.249977111117893"/>
        <rFont val="Arial"/>
        <family val="2"/>
      </rPr>
      <t>(EFFECTIVE APR 1, 2018)</t>
    </r>
  </si>
  <si>
    <t xml:space="preserve">  DS &amp; DP (INTERVAL DATA RECORDER)</t>
  </si>
  <si>
    <t xml:space="preserve">  DS (NO INTERVAL DATA RECORDER)</t>
  </si>
  <si>
    <t>TEST PERIOD REVENUES AT CURRENT RATES</t>
  </si>
  <si>
    <t>Increase in Street Lighting rate SL per COSS:</t>
  </si>
  <si>
    <r>
      <t xml:space="preserve">RATE RTP-M: </t>
    </r>
    <r>
      <rPr>
        <b/>
        <u/>
        <sz val="12"/>
        <color theme="5" tint="-0.249977111117893"/>
        <rFont val="Arial"/>
        <family val="2"/>
      </rPr>
      <t>(EFFECTIVE  June 1, 2012) (WITHDRAW &amp; CANCEL)</t>
    </r>
  </si>
  <si>
    <t>TEST PERIOD</t>
  </si>
  <si>
    <t>HEA $ / MONTH</t>
  </si>
  <si>
    <r>
      <t xml:space="preserve">RIDER DSMR: </t>
    </r>
    <r>
      <rPr>
        <b/>
        <u/>
        <sz val="12"/>
        <color theme="5" tint="-0.249977111117893"/>
        <rFont val="Arial"/>
        <family val="2"/>
      </rPr>
      <t>(EFFECTIVE JUNE 26,  2017)</t>
    </r>
  </si>
  <si>
    <t xml:space="preserve">RATE WS: </t>
  </si>
  <si>
    <t>Energy</t>
  </si>
  <si>
    <t xml:space="preserve">  Distribution Service (DS-Secondary)</t>
  </si>
  <si>
    <t xml:space="preserve">  Primary Service (DT-Secondary)</t>
  </si>
  <si>
    <t>not used</t>
  </si>
  <si>
    <t>DATA: __X__ BASE PERIOD   ____FORECASTED PERIOD</t>
  </si>
  <si>
    <t>ANNUALIZED BASE YEAR REVENUES AT PROPOSED VS. MOST CURRENT RATES</t>
  </si>
  <si>
    <t>6 Months Actual Ending May 31, 2019</t>
  </si>
  <si>
    <t>FOR THE TWELVE MONTHS ENDED November 30, 2019</t>
  </si>
  <si>
    <t>J. L. Kern</t>
  </si>
  <si>
    <t>Residential</t>
  </si>
  <si>
    <t>Non Residential</t>
  </si>
  <si>
    <t>FIXTURE</t>
  </si>
  <si>
    <t>MAINTNCE</t>
  </si>
  <si>
    <t>(E1)</t>
  </si>
  <si>
    <t>(E2)</t>
  </si>
  <si>
    <t>LED</t>
  </si>
  <si>
    <t>STREET LIGHTING -- LED</t>
  </si>
  <si>
    <t>FIXTURES</t>
  </si>
  <si>
    <t>Monthly kwh/light</t>
  </si>
  <si>
    <t xml:space="preserve">   70W LED Open Deluxe Acorn</t>
  </si>
  <si>
    <t xml:space="preserve">   150W LED Teardrop</t>
  </si>
  <si>
    <t xml:space="preserve">   50W LED Teardrop Pedestrian</t>
  </si>
  <si>
    <t xml:space="preserve">   220W LED Shoebox</t>
  </si>
  <si>
    <t xml:space="preserve">   420W LED Shoebox</t>
  </si>
  <si>
    <t xml:space="preserve">   50W Neighborhood</t>
  </si>
  <si>
    <t xml:space="preserve">   50W Neighborhood with Lens</t>
  </si>
  <si>
    <t>TOTAL LED FIXTURES</t>
  </si>
  <si>
    <t>ENERGY CHARGE (1A)</t>
  </si>
  <si>
    <t>STREET LIGHTING -- LED (CONT'D)</t>
  </si>
  <si>
    <t>POLES</t>
  </si>
  <si>
    <t xml:space="preserve">   30' Class 7 Wood Pole</t>
  </si>
  <si>
    <t xml:space="preserve">   35' Class 5 Wood Pole</t>
  </si>
  <si>
    <t xml:space="preserve">   40' Class 4 Wood Pole</t>
  </si>
  <si>
    <t xml:space="preserve">   45' Class 4 Wood Pole</t>
  </si>
  <si>
    <t>TOTAL LED POLES</t>
  </si>
  <si>
    <t>TOTAL RATE LED INCLUDING RIDERS</t>
  </si>
  <si>
    <t>MOST CURRENT</t>
  </si>
  <si>
    <t>(J1)</t>
  </si>
  <si>
    <t>(J2)</t>
  </si>
  <si>
    <t xml:space="preserve">TOTAL RATE LED INCLUDING RIDERS </t>
  </si>
  <si>
    <t>LED OUTDOOR LIGHT</t>
  </si>
  <si>
    <t>NOTE: DETAIL CONTAINED ON SCHEDULES M-2.2 PAGES 2 THROUGH 22.</t>
  </si>
  <si>
    <t>(1) DETAIL CONTAINED ON SCHEDULES M-2.3 PAGES 2 THROUGH 22.</t>
  </si>
  <si>
    <t>LED OUDTOOR LIGHTING SERVICE (LED)</t>
  </si>
  <si>
    <t>BASE PERIOD REVENUES AT CURRENT RATES</t>
  </si>
  <si>
    <t>BILL(1)(6)</t>
  </si>
  <si>
    <t>BILL (5)</t>
  </si>
  <si>
    <t>PSM (4)</t>
  </si>
  <si>
    <t>BILL (5)(6)</t>
  </si>
  <si>
    <t>FAC</t>
  </si>
  <si>
    <t xml:space="preserve">   50W Standard LED</t>
  </si>
  <si>
    <t xml:space="preserve">   70W Standard LED</t>
  </si>
  <si>
    <t xml:space="preserve">   110W Standard LED</t>
  </si>
  <si>
    <t xml:space="preserve">   150W Standard LED</t>
  </si>
  <si>
    <t xml:space="preserve">   220W Standard LED</t>
  </si>
  <si>
    <t xml:space="preserve">   280W Standard LED</t>
  </si>
  <si>
    <t xml:space="preserve">   50W Acorn LED</t>
  </si>
  <si>
    <t xml:space="preserve">   50W Deluxe Acorn LED</t>
  </si>
  <si>
    <t xml:space="preserve">   50W Traditional LED</t>
  </si>
  <si>
    <t xml:space="preserve">   50W Open Traditional LED</t>
  </si>
  <si>
    <t xml:space="preserve">   50W Mini Bell LED</t>
  </si>
  <si>
    <t xml:space="preserve">   50W Enterprise LED</t>
  </si>
  <si>
    <t xml:space="preserve">   70W Sanibel LED</t>
  </si>
  <si>
    <t xml:space="preserve">   150W Sanibel LED</t>
  </si>
  <si>
    <t xml:space="preserve">   530W LED Shoebox</t>
  </si>
  <si>
    <t xml:space="preserve">   150W Clermont LED</t>
  </si>
  <si>
    <t xml:space="preserve">   130W Flood LED</t>
  </si>
  <si>
    <t xml:space="preserve">   260W Flood LED</t>
  </si>
  <si>
    <t xml:space="preserve">   50W Monticello LED</t>
  </si>
  <si>
    <t xml:space="preserve">   50W Mitchell Finial</t>
  </si>
  <si>
    <t xml:space="preserve">   50W Mitchell Ribs, Bands, and Medallions LED</t>
  </si>
  <si>
    <t xml:space="preserve">   50W Mitchell Top Hat LED</t>
  </si>
  <si>
    <t xml:space="preserve">   50W Mitchell Top Hat with Ribs, Bands, and Medallions LED</t>
  </si>
  <si>
    <t xml:space="preserve">   50W Open Monticello LED</t>
  </si>
  <si>
    <t xml:space="preserve">   Style A 12 Ft Long Anchor Base Top Tenon Aluminum</t>
  </si>
  <si>
    <t xml:space="preserve">   Style A 15 Ft Long Direct Buried Top Tenon Aluminum</t>
  </si>
  <si>
    <t xml:space="preserve">   Style A 15 Ft Long Anchor Base Top Tenon Aluminum</t>
  </si>
  <si>
    <t xml:space="preserve">   Style A 18 Ft Long Direct Buried Top Tenon Aluminum</t>
  </si>
  <si>
    <t xml:space="preserve">   Style A 17 Ft Long Anchor Base Top Tenon Aluminum</t>
  </si>
  <si>
    <t xml:space="preserve">   Style A 25 Ft Long Direct Buried Top Tenon Aluminum</t>
  </si>
  <si>
    <t xml:space="preserve">   Style A 22 Ft Long Anchor Base Top Tenon Aluminum</t>
  </si>
  <si>
    <t xml:space="preserve">   Style A 30 Ft Long Direct Buried Top Tenon Aluminum</t>
  </si>
  <si>
    <t>POLES (CONT'D)</t>
  </si>
  <si>
    <t xml:space="preserve">   Style A 27 Ft Long Anchor Base  Top Tenon Aluminum</t>
  </si>
  <si>
    <t xml:space="preserve">   Style A 35 Ft Long Direct Buried Top Tenon Aluminum</t>
  </si>
  <si>
    <t xml:space="preserve">   Style A 32 Ft Long Anchor Base  Top Tenon Aluminum</t>
  </si>
  <si>
    <t xml:space="preserve">   Style A 41 Ft Long Direct Buried Top Tenon Aluminum</t>
  </si>
  <si>
    <t xml:space="preserve">   Style B 12 Ft Long Anchor Base Post Top Aluminum</t>
  </si>
  <si>
    <t xml:space="preserve">   Style C 12 Ft Long Anchor Base Post Top Aluminum</t>
  </si>
  <si>
    <t xml:space="preserve">   Style C 12 Ft Long Anchor Base Davit Steel</t>
  </si>
  <si>
    <t xml:space="preserve">   Style C 14 Ft Long Anchor Base Top Tenon Steel</t>
  </si>
  <si>
    <t xml:space="preserve">   Style C 21 Ft Long Anchor Base Davit Steel</t>
  </si>
  <si>
    <t xml:space="preserve">   Style C 23 Ft Long Anchor Base Boston Harbor Steel</t>
  </si>
  <si>
    <t xml:space="preserve">   Style D 12 Ft Long Anchor Base Breakaway Aluminum</t>
  </si>
  <si>
    <t xml:space="preserve">   Style E 12 Ft Long Anchor Base Post Top Aluminum</t>
  </si>
  <si>
    <t xml:space="preserve">   Style F 12 Ft Long Anchor Base Post Top Aluminum</t>
  </si>
  <si>
    <t xml:space="preserve">   Legacy Style 39 Ft Direct Buried Single or Twin Side Mount Aluminum Satin Finish</t>
  </si>
  <si>
    <t xml:space="preserve">   Legacy Style 27 Ft Long Anchor Base Side Mount Aluminum Pole Satin Finish Breakaway</t>
  </si>
  <si>
    <t xml:space="preserve">   Legacy Style 33 Ft Long Anchor Base Side Mount Aluminum Pole Satin Finish Breakaway</t>
  </si>
  <si>
    <t xml:space="preserve">   Legacy Style 37 Ft Long Anchor Base Side Mount Aluminum Pole Satin Finish</t>
  </si>
  <si>
    <t xml:space="preserve">   15' Style A - Fluted - for Shroud - Aluminum Direct Buried Pole </t>
  </si>
  <si>
    <t xml:space="preserve">   20' Style A - Fluted - for Shroud - Aluminum Direct Buried Pole </t>
  </si>
  <si>
    <t xml:space="preserve">   15' Style A - Smooth - for Shroud - Aluminum Direct Buried Pole </t>
  </si>
  <si>
    <t xml:space="preserve">   20' Style A - Smooth - for Shroud - Aluminum Direct Buried Pole </t>
  </si>
  <si>
    <t xml:space="preserve">   Shroud - Standard Style for anchor base poles</t>
  </si>
  <si>
    <t xml:space="preserve">   Shroud - Style B Pole for smooth and fluted poles</t>
  </si>
  <si>
    <t xml:space="preserve">   Shroud - Style C Pole for smooth and fluted poles</t>
  </si>
  <si>
    <t xml:space="preserve">   Shroud - Style D Pole for smooth and fluted poles </t>
  </si>
  <si>
    <t>POLE FOUNDATIONS</t>
  </si>
  <si>
    <t xml:space="preserve">   Flush - Pre-fabricated - Style A Pole</t>
  </si>
  <si>
    <t xml:space="preserve">   Flush - Pre-fabricated - Style B Pole</t>
  </si>
  <si>
    <t xml:space="preserve">   Flush - Pre-fabricated - Style C Pole</t>
  </si>
  <si>
    <t xml:space="preserve">   Flush - Pre-fabricated - Style E Pole</t>
  </si>
  <si>
    <t xml:space="preserve">   Flush - Pre-fabricated - Style F Pole</t>
  </si>
  <si>
    <t xml:space="preserve">   Flush - Pre-fabricated - Style D Pole</t>
  </si>
  <si>
    <t xml:space="preserve">   Reveal - Pre-fabricated - Style A Pole</t>
  </si>
  <si>
    <t xml:space="preserve">   Reveal - Pre-fabricated - Style B Pole</t>
  </si>
  <si>
    <t xml:space="preserve">   Reveal - Pre-fabricated - Style C Pole</t>
  </si>
  <si>
    <t xml:space="preserve">   Reveal - Pre-fabricated - Style D Pole</t>
  </si>
  <si>
    <t xml:space="preserve">   Reveal - Pre-fabricated - Style E Pole</t>
  </si>
  <si>
    <t xml:space="preserve">   Reveal - Pre-fabricated - Style F Pole</t>
  </si>
  <si>
    <t xml:space="preserve">   Screw-in Foundation</t>
  </si>
  <si>
    <t>TOTAL LED POLE FOUNDATIONS</t>
  </si>
  <si>
    <t>BRACKETS</t>
  </si>
  <si>
    <t xml:space="preserve">   14 inch bracket - wood pole - side mount</t>
  </si>
  <si>
    <t xml:space="preserve">   4 foot bracket - wood pole - side mount</t>
  </si>
  <si>
    <t xml:space="preserve">   6 foot bracket - wood pole - side mount</t>
  </si>
  <si>
    <t xml:space="preserve">   8 foot bracket - wood pole - side mount</t>
  </si>
  <si>
    <t xml:space="preserve">   10 foot bracket - wood pole - side mount</t>
  </si>
  <si>
    <t xml:space="preserve">   12 foot bracket - wood pole - side mount</t>
  </si>
  <si>
    <t xml:space="preserve">   15 foot bracket - wood pole - side mount</t>
  </si>
  <si>
    <t xml:space="preserve">   4 foot bracket - metal pole - side mount</t>
  </si>
  <si>
    <t xml:space="preserve">   6 foot bracket - metal pole - side mount</t>
  </si>
  <si>
    <t xml:space="preserve">   8 foot bracket - metal pole - side mount</t>
  </si>
  <si>
    <t xml:space="preserve">   10 foot bracket - metal pole - side mount</t>
  </si>
  <si>
    <t xml:space="preserve">   12 foot bracket - metal pole - side mount</t>
  </si>
  <si>
    <t xml:space="preserve">   15 foot bracket - metal pole - side mount</t>
  </si>
  <si>
    <t xml:space="preserve">   18 inch bracket - metal pole - double Flood Mount - top mount </t>
  </si>
  <si>
    <t xml:space="preserve">   14 inch bracket - metal pole - single mount - top tenon</t>
  </si>
  <si>
    <t xml:space="preserve">   14 inch bracket - metal pole - double mount - top tenon</t>
  </si>
  <si>
    <t xml:space="preserve">   14 inch bracket - metal pole - triple mount - top tenon</t>
  </si>
  <si>
    <t xml:space="preserve">   14 inch bracket - metal pole - quad mount - top tenon</t>
  </si>
  <si>
    <t xml:space="preserve">   6 foot - metal pole - single - top tenon</t>
  </si>
  <si>
    <t xml:space="preserve">   6 foot - metal pole - double - top tenon</t>
  </si>
  <si>
    <t xml:space="preserve">   4 foot - Boston Harbor - top tenon</t>
  </si>
  <si>
    <t xml:space="preserve">   6 foot - Boston Harbor - top tenon</t>
  </si>
  <si>
    <t xml:space="preserve">   12 foot - Boston Harbor Style C pole double mount - top tenon</t>
  </si>
  <si>
    <t xml:space="preserve">   4 foot - Davit arm - top tenon</t>
  </si>
  <si>
    <t xml:space="preserve">   18 inch - Cobrahead fixture for wood pole</t>
  </si>
  <si>
    <t xml:space="preserve">   18 inch - Flood light for wood pole</t>
  </si>
  <si>
    <t>TOTAL BRACKETS</t>
  </si>
  <si>
    <t>WIRING EQUIPMENT</t>
  </si>
  <si>
    <t xml:space="preserve">   Secondary Pedestal (cost per unit)</t>
  </si>
  <si>
    <t xml:space="preserve">   Handhole (cost per unit)</t>
  </si>
  <si>
    <t xml:space="preserve">   6AL DUPLEX and Trench (cost per foot)</t>
  </si>
  <si>
    <t xml:space="preserve">   6AL DUPLEX and Trench with conduit (cost per foot)</t>
  </si>
  <si>
    <t xml:space="preserve">   6AL DUPLEX with existing conduit (cost per foot)</t>
  </si>
  <si>
    <t xml:space="preserve">   6AL DUPLEX and Bore with conduit (cost per foot)</t>
  </si>
  <si>
    <t xml:space="preserve">   6AL DUPLEX OH wire (cost per foot)</t>
  </si>
  <si>
    <t>TOTAL WIRING EQUIPMENT</t>
  </si>
  <si>
    <t>CASE NO.   2019-000271</t>
  </si>
  <si>
    <t>Number of Pages</t>
  </si>
  <si>
    <t>Schedule M-2.2</t>
  </si>
  <si>
    <t>Schedule M-2.3</t>
  </si>
  <si>
    <t>(C+G+H+I+J)</t>
  </si>
  <si>
    <t>(D+G+H+I+J)</t>
  </si>
  <si>
    <t>(L-K) / K</t>
  </si>
  <si>
    <r>
      <t xml:space="preserve">RIDERS NOT INCLUDED IN RATES ABOVE </t>
    </r>
    <r>
      <rPr>
        <b/>
        <i/>
        <sz val="11"/>
        <rFont val="Arial"/>
        <family val="2"/>
      </rPr>
      <t>($ PER KWH)</t>
    </r>
    <r>
      <rPr>
        <b/>
        <i/>
        <sz val="12"/>
        <rFont val="Arial"/>
        <family val="2"/>
      </rPr>
      <t>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</si>
</sst>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5" formatCode="&quot;$&quot;#,##0_);\(&quot;$&quot;#,##0\)"/>
    <numFmt numFmtId="7" formatCode="&quot;$&quot;#,##0.00_);\(&quot;$&quot;#,##0.00\)"/>
    <numFmt numFmtId="43" formatCode="_(* #,##0.00_);_(* \(#,##0.00\);_(* &quot;-&quot;??_);_(@_)"/>
    <numFmt numFmtId="164" formatCode=";;;"/>
    <numFmt numFmtId="165" formatCode="0.0000_)"/>
    <numFmt numFmtId="166" formatCode="0.00_)"/>
    <numFmt numFmtId="167" formatCode="0.000_)"/>
    <numFmt numFmtId="168" formatCode="#,##0.0000_);\(#,##0.0000\)"/>
    <numFmt numFmtId="169" formatCode="0.0_)"/>
    <numFmt numFmtId="170" formatCode="#,##0.0_);\(#,##0.0\)"/>
    <numFmt numFmtId="171" formatCode="0_)"/>
    <numFmt numFmtId="172" formatCode="#,##0.000000_);\(#,##0.000000\)"/>
    <numFmt numFmtId="173" formatCode="0.00_);\(0.00\)"/>
    <numFmt numFmtId="174" formatCode="0.0000_);\(0.0000\)"/>
    <numFmt numFmtId="175" formatCode="0_);\(0\)"/>
    <numFmt numFmtId="176" formatCode="#,##0.000_);\(#,##0.000\)"/>
    <numFmt numFmtId="177" formatCode="0.000000_);\(0.000000\)"/>
    <numFmt numFmtId="178" formatCode="0.000000%"/>
    <numFmt numFmtId="179" formatCode="&quot;$&quot;#,##0.000000_);\(&quot;$&quot;#,##0.000000\)"/>
    <numFmt numFmtId="180" formatCode="0.000000"/>
    <numFmt numFmtId="181" formatCode="0.0_);\(0.0\)"/>
    <numFmt numFmtId="182" formatCode="0.000000_)"/>
    <numFmt numFmtId="183" formatCode="_(* #,##0_);_(* \(#,##0\);_(* &quot;-&quot;??_);_(@_)"/>
    <numFmt numFmtId="184" formatCode="_(* #,##0.000000_);_(* \(#,##0.000000\);_(* &quot;-&quot;??_);_(@_)"/>
    <numFmt numFmtId="185" formatCode="0.0000%"/>
  </numFmts>
  <fonts count="46" x14ac:knownFonts="1">
    <font>
      <sz val="12"/>
      <name val="Courier"/>
    </font>
    <font>
      <sz val="12"/>
      <name val="Arial"/>
      <family val="2"/>
    </font>
    <font>
      <sz val="12"/>
      <color indexed="12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u/>
      <sz val="12"/>
      <name val="Arial"/>
      <family val="2"/>
    </font>
    <font>
      <u val="double"/>
      <sz val="12"/>
      <name val="Arial"/>
      <family val="2"/>
    </font>
    <font>
      <sz val="8"/>
      <name val="Courier"/>
      <family val="3"/>
    </font>
    <font>
      <sz val="2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name val="Arial"/>
      <family val="2"/>
    </font>
    <font>
      <sz val="12"/>
      <color theme="8" tint="-0.499984740745262"/>
      <name val="Arial"/>
      <family val="2"/>
    </font>
    <font>
      <b/>
      <sz val="12"/>
      <color theme="5" tint="-0.249977111117893"/>
      <name val="Arial"/>
      <family val="2"/>
    </font>
    <font>
      <b/>
      <i/>
      <sz val="12"/>
      <name val="Arial"/>
      <family val="2"/>
    </font>
    <font>
      <b/>
      <i/>
      <sz val="12"/>
      <color theme="5" tint="-0.249977111117893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b/>
      <sz val="12"/>
      <color rgb="FFC00000"/>
      <name val="Arial"/>
      <family val="2"/>
    </font>
    <font>
      <b/>
      <sz val="12"/>
      <color theme="3" tint="-0.249977111117893"/>
      <name val="Arial"/>
      <family val="2"/>
    </font>
    <font>
      <sz val="12"/>
      <color rgb="FFC00000"/>
      <name val="Arial"/>
      <family val="2"/>
    </font>
    <font>
      <b/>
      <sz val="24"/>
      <name val="Arial"/>
      <family val="2"/>
    </font>
    <font>
      <b/>
      <u/>
      <sz val="12"/>
      <name val="Arial"/>
      <family val="2"/>
    </font>
    <font>
      <b/>
      <u/>
      <sz val="12"/>
      <color theme="5" tint="-0.249977111117893"/>
      <name val="Arial"/>
      <family val="2"/>
    </font>
    <font>
      <b/>
      <u/>
      <sz val="14"/>
      <color theme="5" tint="-0.249977111117893"/>
      <name val="Arial"/>
      <family val="2"/>
    </font>
    <font>
      <b/>
      <sz val="10"/>
      <name val="Arial"/>
      <family val="2"/>
    </font>
    <font>
      <sz val="12"/>
      <name val="Courier"/>
      <family val="3"/>
    </font>
    <font>
      <b/>
      <sz val="12"/>
      <color rgb="FFFF0000"/>
      <name val="Arial"/>
      <family val="2"/>
    </font>
    <font>
      <b/>
      <sz val="8"/>
      <color theme="5" tint="-0.249977111117893"/>
      <name val="Arial"/>
      <family val="2"/>
    </font>
    <font>
      <b/>
      <sz val="12"/>
      <color rgb="FF000000"/>
      <name val="Arial"/>
      <family val="2"/>
    </font>
    <font>
      <b/>
      <sz val="8"/>
      <color rgb="FF000080"/>
      <name val="Arial"/>
      <family val="2"/>
    </font>
    <font>
      <b/>
      <sz val="8"/>
      <color rgb="FF000000"/>
      <name val="Arial"/>
      <family val="2"/>
    </font>
    <font>
      <b/>
      <sz val="8"/>
      <color rgb="FF996666"/>
      <name val="Arial"/>
      <family val="2"/>
    </font>
    <font>
      <u/>
      <sz val="14"/>
      <color theme="5" tint="-0.24997711111789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Courier"/>
      <family val="3"/>
    </font>
    <font>
      <sz val="12"/>
      <name val="Courier"/>
      <family val="3"/>
    </font>
    <font>
      <b/>
      <sz val="12"/>
      <color rgb="FF000080"/>
      <name val="Courier"/>
    </font>
    <font>
      <sz val="12"/>
      <color theme="8" tint="0.59999389629810485"/>
      <name val="Arial"/>
      <family val="2"/>
    </font>
    <font>
      <sz val="8"/>
      <color rgb="FF000000"/>
      <name val="Segoe UI"/>
      <family val="2"/>
    </font>
    <font>
      <b/>
      <i/>
      <u/>
      <sz val="12"/>
      <name val="Arial"/>
      <family val="2"/>
    </font>
    <font>
      <i/>
      <sz val="11"/>
      <name val="Arial"/>
      <family val="2"/>
    </font>
    <font>
      <i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9">
    <xf numFmtId="0" fontId="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8" fillId="0" borderId="0" applyFont="0" applyFill="0" applyBorder="0" applyAlignment="0" applyProtection="0"/>
  </cellStyleXfs>
  <cellXfs count="596">
    <xf numFmtId="0" fontId="0" fillId="0" borderId="0" xfId="0"/>
    <xf numFmtId="0" fontId="1" fillId="0" borderId="0" xfId="0" applyFont="1" applyProtection="1"/>
    <xf numFmtId="0" fontId="1" fillId="0" borderId="0" xfId="0" applyFont="1"/>
    <xf numFmtId="0" fontId="1" fillId="0" borderId="0" xfId="0" applyFont="1" applyAlignment="1" applyProtection="1">
      <alignment horizontal="left"/>
    </xf>
    <xf numFmtId="0" fontId="1" fillId="0" borderId="0" xfId="0" applyFont="1" applyAlignment="1" applyProtection="1">
      <alignment horizontal="center"/>
    </xf>
    <xf numFmtId="37" fontId="1" fillId="0" borderId="0" xfId="0" applyNumberFormat="1" applyFont="1" applyProtection="1"/>
    <xf numFmtId="169" fontId="1" fillId="0" borderId="0" xfId="0" applyNumberFormat="1" applyFont="1" applyProtection="1"/>
    <xf numFmtId="39" fontId="1" fillId="0" borderId="0" xfId="0" applyNumberFormat="1" applyFont="1" applyProtection="1"/>
    <xf numFmtId="170" fontId="1" fillId="0" borderId="0" xfId="0" applyNumberFormat="1" applyFont="1" applyProtection="1"/>
    <xf numFmtId="166" fontId="1" fillId="0" borderId="0" xfId="0" applyNumberFormat="1" applyFont="1" applyProtection="1"/>
    <xf numFmtId="0" fontId="1" fillId="0" borderId="1" xfId="0" applyFont="1" applyBorder="1"/>
    <xf numFmtId="0" fontId="1" fillId="0" borderId="1" xfId="0" applyFont="1" applyBorder="1" applyAlignment="1" applyProtection="1">
      <alignment horizontal="center"/>
    </xf>
    <xf numFmtId="0" fontId="1" fillId="0" borderId="1" xfId="0" applyFont="1" applyBorder="1" applyAlignment="1" applyProtection="1">
      <alignment horizontal="centerContinuous"/>
    </xf>
    <xf numFmtId="0" fontId="1" fillId="0" borderId="1" xfId="0" applyFont="1" applyBorder="1" applyAlignment="1">
      <alignment horizontal="centerContinuous"/>
    </xf>
    <xf numFmtId="39" fontId="1" fillId="0" borderId="0" xfId="0" applyNumberFormat="1" applyFont="1" applyAlignment="1" applyProtection="1">
      <alignment horizontal="center"/>
    </xf>
    <xf numFmtId="0" fontId="3" fillId="0" borderId="1" xfId="0" applyFont="1" applyBorder="1" applyAlignment="1" applyProtection="1">
      <alignment horizontal="centerContinuous"/>
    </xf>
    <xf numFmtId="39" fontId="2" fillId="0" borderId="0" xfId="0" applyNumberFormat="1" applyFont="1" applyProtection="1"/>
    <xf numFmtId="171" fontId="1" fillId="0" borderId="0" xfId="0" applyNumberFormat="1" applyFont="1" applyProtection="1"/>
    <xf numFmtId="0" fontId="1" fillId="2" borderId="0" xfId="0" applyFont="1" applyFill="1"/>
    <xf numFmtId="39" fontId="1" fillId="2" borderId="0" xfId="0" applyNumberFormat="1" applyFont="1" applyFill="1" applyProtection="1"/>
    <xf numFmtId="39" fontId="2" fillId="2" borderId="0" xfId="0" applyNumberFormat="1" applyFont="1" applyFill="1" applyProtection="1"/>
    <xf numFmtId="0" fontId="0" fillId="3" borderId="0" xfId="0" applyFill="1"/>
    <xf numFmtId="0" fontId="1" fillId="4" borderId="0" xfId="0" applyFont="1" applyFill="1"/>
    <xf numFmtId="0" fontId="1" fillId="4" borderId="0" xfId="0" applyFont="1" applyFill="1" applyAlignment="1" applyProtection="1">
      <alignment horizontal="left"/>
    </xf>
    <xf numFmtId="0" fontId="1" fillId="4" borderId="0" xfId="0" quotePrefix="1" applyFont="1" applyFill="1" applyAlignment="1" applyProtection="1">
      <alignment horizontal="left"/>
    </xf>
    <xf numFmtId="0" fontId="4" fillId="4" borderId="0" xfId="0" applyFont="1" applyFill="1" applyAlignment="1" applyProtection="1">
      <alignment horizontal="left"/>
      <protection locked="0"/>
    </xf>
    <xf numFmtId="0" fontId="1" fillId="4" borderId="0" xfId="0" applyFont="1" applyFill="1" applyAlignment="1">
      <alignment horizontal="centerContinuous"/>
    </xf>
    <xf numFmtId="0" fontId="2" fillId="4" borderId="0" xfId="0" applyFont="1" applyFill="1" applyAlignment="1" applyProtection="1">
      <alignment horizontal="left"/>
      <protection locked="0"/>
    </xf>
    <xf numFmtId="172" fontId="5" fillId="4" borderId="0" xfId="0" applyNumberFormat="1" applyFont="1" applyFill="1" applyProtection="1">
      <protection locked="0"/>
    </xf>
    <xf numFmtId="0" fontId="2" fillId="4" borderId="0" xfId="0" applyFont="1" applyFill="1" applyProtection="1">
      <protection locked="0"/>
    </xf>
    <xf numFmtId="0" fontId="3" fillId="4" borderId="0" xfId="0" applyFont="1" applyFill="1"/>
    <xf numFmtId="0" fontId="6" fillId="4" borderId="0" xfId="0" applyFont="1" applyFill="1"/>
    <xf numFmtId="0" fontId="4" fillId="5" borderId="2" xfId="0" applyFont="1" applyFill="1" applyBorder="1" applyAlignment="1" applyProtection="1">
      <alignment horizontal="left"/>
      <protection locked="0"/>
    </xf>
    <xf numFmtId="0" fontId="1" fillId="5" borderId="3" xfId="0" applyFont="1" applyFill="1" applyBorder="1" applyAlignment="1">
      <alignment horizontal="centerContinuous"/>
    </xf>
    <xf numFmtId="0" fontId="1" fillId="5" borderId="4" xfId="0" applyFont="1" applyFill="1" applyBorder="1" applyAlignment="1">
      <alignment horizontal="centerContinuous"/>
    </xf>
    <xf numFmtId="0" fontId="3" fillId="5" borderId="4" xfId="0" applyFont="1" applyFill="1" applyBorder="1"/>
    <xf numFmtId="0" fontId="1" fillId="5" borderId="4" xfId="0" applyFont="1" applyFill="1" applyBorder="1"/>
    <xf numFmtId="0" fontId="3" fillId="5" borderId="2" xfId="0" applyFont="1" applyFill="1" applyBorder="1" applyAlignment="1" applyProtection="1">
      <alignment horizontal="left"/>
      <protection locked="0"/>
    </xf>
    <xf numFmtId="0" fontId="3" fillId="5" borderId="3" xfId="0" applyFont="1" applyFill="1" applyBorder="1"/>
    <xf numFmtId="0" fontId="3" fillId="5" borderId="3" xfId="0" applyFont="1" applyFill="1" applyBorder="1" applyAlignment="1" applyProtection="1">
      <alignment horizontal="left"/>
      <protection locked="0"/>
    </xf>
    <xf numFmtId="0" fontId="3" fillId="4" borderId="0" xfId="0" applyFont="1" applyFill="1" applyAlignment="1" applyProtection="1">
      <alignment horizontal="left"/>
      <protection locked="0"/>
    </xf>
    <xf numFmtId="0" fontId="3" fillId="4" borderId="0" xfId="0" applyFont="1" applyFill="1" applyAlignment="1" applyProtection="1">
      <alignment horizontal="left"/>
    </xf>
    <xf numFmtId="0" fontId="3" fillId="5" borderId="2" xfId="0" applyFont="1" applyFill="1" applyBorder="1" applyAlignment="1" applyProtection="1">
      <alignment horizontal="left"/>
    </xf>
    <xf numFmtId="0" fontId="3" fillId="0" borderId="0" xfId="0" applyFont="1" applyAlignment="1">
      <alignment horizontal="centerContinuous"/>
    </xf>
    <xf numFmtId="0" fontId="3" fillId="0" borderId="0" xfId="0" applyFont="1" applyAlignment="1" applyProtection="1">
      <alignment horizontal="centerContinuous"/>
    </xf>
    <xf numFmtId="0" fontId="3" fillId="0" borderId="0" xfId="0" applyFont="1" applyProtection="1"/>
    <xf numFmtId="0" fontId="3" fillId="0" borderId="0" xfId="0" applyFont="1" applyAlignment="1" applyProtection="1">
      <alignment horizontal="left"/>
    </xf>
    <xf numFmtId="0" fontId="3" fillId="0" borderId="1" xfId="0" applyFont="1" applyBorder="1" applyAlignment="1" applyProtection="1">
      <alignment horizontal="fill"/>
    </xf>
    <xf numFmtId="37" fontId="3" fillId="0" borderId="0" xfId="0" applyNumberFormat="1" applyFont="1" applyProtection="1"/>
    <xf numFmtId="169" fontId="3" fillId="0" borderId="0" xfId="0" applyNumberFormat="1" applyFont="1" applyProtection="1"/>
    <xf numFmtId="169" fontId="3" fillId="0" borderId="0" xfId="0" applyNumberFormat="1" applyFont="1" applyBorder="1" applyProtection="1"/>
    <xf numFmtId="166" fontId="3" fillId="0" borderId="0" xfId="0" applyNumberFormat="1" applyFont="1" applyProtection="1"/>
    <xf numFmtId="0" fontId="3" fillId="0" borderId="0" xfId="0" quotePrefix="1" applyFont="1" applyAlignment="1" applyProtection="1">
      <alignment horizontal="left"/>
    </xf>
    <xf numFmtId="0" fontId="3" fillId="0" borderId="0" xfId="0" applyFont="1" applyBorder="1" applyProtection="1"/>
    <xf numFmtId="0" fontId="3" fillId="0" borderId="0" xfId="0" applyFont="1" applyBorder="1" applyAlignment="1" applyProtection="1">
      <alignment horizontal="left"/>
    </xf>
    <xf numFmtId="0" fontId="3" fillId="0" borderId="0" xfId="0" applyFont="1" applyBorder="1" applyAlignment="1" applyProtection="1">
      <alignment horizontal="fill"/>
    </xf>
    <xf numFmtId="0" fontId="3" fillId="0" borderId="0" xfId="0" applyFont="1" applyBorder="1" applyAlignment="1" applyProtection="1">
      <alignment horizontal="center"/>
    </xf>
    <xf numFmtId="0" fontId="3" fillId="0" borderId="0" xfId="0" applyFont="1" applyBorder="1" applyAlignment="1">
      <alignment horizontal="centerContinuous"/>
    </xf>
    <xf numFmtId="0" fontId="3" fillId="0" borderId="0" xfId="0" applyFont="1" applyBorder="1" applyAlignment="1" applyProtection="1">
      <alignment horizontal="centerContinuous"/>
    </xf>
    <xf numFmtId="166" fontId="3" fillId="0" borderId="0" xfId="0" applyNumberFormat="1" applyFont="1" applyBorder="1" applyProtection="1"/>
    <xf numFmtId="170" fontId="3" fillId="0" borderId="0" xfId="0" applyNumberFormat="1" applyFont="1" applyBorder="1" applyProtection="1"/>
    <xf numFmtId="7" fontId="3" fillId="0" borderId="0" xfId="0" applyNumberFormat="1" applyFont="1" applyBorder="1" applyAlignment="1" applyProtection="1">
      <alignment horizontal="center"/>
    </xf>
    <xf numFmtId="7" fontId="3" fillId="0" borderId="0" xfId="0" applyNumberFormat="1" applyFont="1" applyBorder="1" applyProtection="1"/>
    <xf numFmtId="37" fontId="3" fillId="0" borderId="0" xfId="0" applyNumberFormat="1" applyFont="1" applyBorder="1" applyAlignment="1" applyProtection="1">
      <alignment horizontal="fill"/>
    </xf>
    <xf numFmtId="169" fontId="3" fillId="0" borderId="0" xfId="0" applyNumberFormat="1" applyFont="1" applyBorder="1" applyAlignment="1" applyProtection="1">
      <alignment horizontal="fill"/>
    </xf>
    <xf numFmtId="39" fontId="3" fillId="0" borderId="0" xfId="0" applyNumberFormat="1" applyFont="1" applyBorder="1" applyProtection="1"/>
    <xf numFmtId="39" fontId="3" fillId="0" borderId="0" xfId="0" applyNumberFormat="1" applyFont="1" applyBorder="1" applyAlignment="1" applyProtection="1">
      <alignment horizontal="fill"/>
    </xf>
    <xf numFmtId="39" fontId="3" fillId="0" borderId="0" xfId="0" applyNumberFormat="1" applyFont="1" applyBorder="1" applyAlignment="1" applyProtection="1">
      <alignment horizontal="center"/>
    </xf>
    <xf numFmtId="171" fontId="3" fillId="0" borderId="0" xfId="0" applyNumberFormat="1" applyFont="1" applyBorder="1" applyProtection="1"/>
    <xf numFmtId="0" fontId="3" fillId="0" borderId="0" xfId="0" quotePrefix="1" applyFont="1" applyAlignment="1">
      <alignment horizontal="left"/>
    </xf>
    <xf numFmtId="0" fontId="3" fillId="0" borderId="0" xfId="0" quotePrefix="1" applyFont="1" applyAlignment="1" applyProtection="1">
      <alignment horizontal="center"/>
    </xf>
    <xf numFmtId="0" fontId="3" fillId="0" borderId="1" xfId="0" applyFont="1" applyBorder="1"/>
    <xf numFmtId="0" fontId="3" fillId="0" borderId="0" xfId="0" applyFont="1" applyAlignment="1" applyProtection="1">
      <alignment horizontal="fill"/>
    </xf>
    <xf numFmtId="0" fontId="3" fillId="0" borderId="5" xfId="0" applyFont="1" applyBorder="1"/>
    <xf numFmtId="0" fontId="3" fillId="0" borderId="5" xfId="0" applyFont="1" applyBorder="1" applyAlignment="1" applyProtection="1">
      <alignment horizontal="center"/>
    </xf>
    <xf numFmtId="39" fontId="3" fillId="0" borderId="0" xfId="0" applyNumberFormat="1" applyFont="1" applyProtection="1"/>
    <xf numFmtId="39" fontId="3" fillId="0" borderId="0" xfId="0" applyNumberFormat="1" applyFont="1"/>
    <xf numFmtId="39" fontId="3" fillId="0" borderId="0" xfId="0" applyNumberFormat="1" applyFont="1" applyBorder="1"/>
    <xf numFmtId="39" fontId="3" fillId="0" borderId="0" xfId="0" applyNumberFormat="1" applyFont="1" applyBorder="1" applyAlignment="1" applyProtection="1">
      <alignment horizontal="right"/>
    </xf>
    <xf numFmtId="0" fontId="3" fillId="0" borderId="0" xfId="0" quotePrefix="1" applyFont="1" applyAlignment="1">
      <alignment horizontal="center"/>
    </xf>
    <xf numFmtId="0" fontId="3" fillId="0" borderId="1" xfId="0" applyFont="1" applyBorder="1" applyAlignment="1" applyProtection="1">
      <alignment horizontal="center"/>
    </xf>
    <xf numFmtId="37" fontId="1" fillId="0" borderId="1" xfId="0" applyNumberFormat="1" applyFont="1" applyBorder="1" applyProtection="1"/>
    <xf numFmtId="37" fontId="1" fillId="0" borderId="6" xfId="0" applyNumberFormat="1" applyFont="1" applyBorder="1" applyProtection="1"/>
    <xf numFmtId="37" fontId="1" fillId="0" borderId="0" xfId="0" applyNumberFormat="1" applyFont="1" applyBorder="1" applyProtection="1"/>
    <xf numFmtId="0" fontId="1" fillId="0" borderId="0" xfId="0" applyFont="1" applyBorder="1"/>
    <xf numFmtId="166" fontId="1" fillId="0" borderId="0" xfId="0" applyNumberFormat="1" applyFont="1" applyBorder="1" applyProtection="1"/>
    <xf numFmtId="37" fontId="1" fillId="0" borderId="0" xfId="0" applyNumberFormat="1" applyFont="1" applyProtection="1">
      <protection locked="0"/>
    </xf>
    <xf numFmtId="37" fontId="1" fillId="0" borderId="1" xfId="0" applyNumberFormat="1" applyFont="1" applyBorder="1" applyProtection="1">
      <protection locked="0"/>
    </xf>
    <xf numFmtId="169" fontId="1" fillId="0" borderId="1" xfId="0" applyNumberFormat="1" applyFont="1" applyBorder="1" applyProtection="1"/>
    <xf numFmtId="37" fontId="1" fillId="0" borderId="7" xfId="0" applyNumberFormat="1" applyFont="1" applyBorder="1" applyProtection="1">
      <protection locked="0"/>
    </xf>
    <xf numFmtId="37" fontId="1" fillId="0" borderId="7" xfId="0" applyNumberFormat="1" applyFont="1" applyBorder="1" applyProtection="1"/>
    <xf numFmtId="169" fontId="1" fillId="0" borderId="0" xfId="0" applyNumberFormat="1" applyFont="1" applyBorder="1" applyProtection="1"/>
    <xf numFmtId="169" fontId="1" fillId="0" borderId="6" xfId="0" applyNumberFormat="1" applyFont="1" applyBorder="1" applyProtection="1"/>
    <xf numFmtId="169" fontId="1" fillId="0" borderId="7" xfId="0" applyNumberFormat="1" applyFont="1" applyBorder="1" applyProtection="1"/>
    <xf numFmtId="37" fontId="1" fillId="0" borderId="0" xfId="0" applyNumberFormat="1" applyFont="1" applyBorder="1" applyProtection="1">
      <protection locked="0"/>
    </xf>
    <xf numFmtId="37" fontId="1" fillId="0" borderId="6" xfId="0" applyNumberFormat="1" applyFont="1" applyBorder="1" applyProtection="1">
      <protection locked="0"/>
    </xf>
    <xf numFmtId="7" fontId="1" fillId="0" borderId="0" xfId="0" applyNumberFormat="1" applyFont="1" applyProtection="1">
      <protection locked="0"/>
    </xf>
    <xf numFmtId="0" fontId="1" fillId="0" borderId="0" xfId="0" applyFont="1" applyBorder="1" applyProtection="1"/>
    <xf numFmtId="170" fontId="1" fillId="0" borderId="6" xfId="0" applyNumberFormat="1" applyFont="1" applyBorder="1" applyProtection="1"/>
    <xf numFmtId="0" fontId="1" fillId="0" borderId="0" xfId="0" applyFont="1" applyBorder="1" applyAlignment="1" applyProtection="1">
      <alignment horizontal="fill"/>
    </xf>
    <xf numFmtId="0" fontId="1" fillId="0" borderId="0" xfId="0" applyFont="1" applyBorder="1" applyAlignment="1" applyProtection="1">
      <alignment horizontal="center"/>
    </xf>
    <xf numFmtId="37" fontId="1" fillId="0" borderId="0" xfId="0" applyNumberFormat="1" applyFont="1" applyBorder="1" applyAlignment="1" applyProtection="1">
      <alignment horizontal="right"/>
    </xf>
    <xf numFmtId="169" fontId="7" fillId="0" borderId="0" xfId="0" applyNumberFormat="1" applyFont="1" applyProtection="1"/>
    <xf numFmtId="170" fontId="1" fillId="0" borderId="0" xfId="0" applyNumberFormat="1" applyFont="1" applyBorder="1" applyProtection="1"/>
    <xf numFmtId="7" fontId="1" fillId="0" borderId="0" xfId="0" applyNumberFormat="1" applyFont="1" applyProtection="1"/>
    <xf numFmtId="37" fontId="1" fillId="0" borderId="1" xfId="0" applyNumberFormat="1" applyFont="1" applyBorder="1"/>
    <xf numFmtId="7" fontId="1" fillId="0" borderId="0" xfId="0" applyNumberFormat="1" applyFont="1" applyAlignment="1" applyProtection="1">
      <alignment horizontal="center"/>
    </xf>
    <xf numFmtId="0" fontId="1" fillId="0" borderId="0" xfId="0" quotePrefix="1" applyFont="1" applyAlignment="1" applyProtection="1">
      <alignment horizontal="center"/>
    </xf>
    <xf numFmtId="37" fontId="1" fillId="0" borderId="0" xfId="0" applyNumberFormat="1" applyFont="1"/>
    <xf numFmtId="0" fontId="1" fillId="0" borderId="1" xfId="0" applyFont="1" applyBorder="1" applyProtection="1"/>
    <xf numFmtId="37" fontId="1" fillId="0" borderId="8" xfId="0" applyNumberFormat="1" applyFont="1" applyBorder="1" applyProtection="1"/>
    <xf numFmtId="169" fontId="1" fillId="0" borderId="8" xfId="0" applyNumberFormat="1" applyFont="1" applyBorder="1" applyProtection="1"/>
    <xf numFmtId="39" fontId="1" fillId="0" borderId="0" xfId="0" applyNumberFormat="1" applyFont="1"/>
    <xf numFmtId="0" fontId="1" fillId="0" borderId="0" xfId="0" quotePrefix="1" applyFont="1" applyBorder="1" applyAlignment="1" applyProtection="1">
      <alignment horizontal="center"/>
    </xf>
    <xf numFmtId="0" fontId="1" fillId="0" borderId="7" xfId="0" applyFont="1" applyBorder="1"/>
    <xf numFmtId="37" fontId="1" fillId="0" borderId="7" xfId="0" applyNumberFormat="1" applyFont="1" applyBorder="1"/>
    <xf numFmtId="37" fontId="1" fillId="0" borderId="0" xfId="0" applyNumberFormat="1" applyFont="1" applyBorder="1"/>
    <xf numFmtId="37" fontId="1" fillId="0" borderId="6" xfId="0" applyNumberFormat="1" applyFont="1" applyBorder="1"/>
    <xf numFmtId="170" fontId="1" fillId="0" borderId="6" xfId="0" applyNumberFormat="1" applyFont="1" applyBorder="1"/>
    <xf numFmtId="0" fontId="3" fillId="0" borderId="1" xfId="0" applyFont="1" applyBorder="1" applyAlignment="1">
      <alignment horizontal="centerContinuous"/>
    </xf>
    <xf numFmtId="0" fontId="3" fillId="0" borderId="1" xfId="0" applyFont="1" applyBorder="1" applyAlignment="1" applyProtection="1">
      <alignment horizontal="left"/>
    </xf>
    <xf numFmtId="39" fontId="1" fillId="0" borderId="0" xfId="0" applyNumberFormat="1" applyFont="1" applyBorder="1" applyAlignment="1" applyProtection="1">
      <alignment horizontal="right"/>
    </xf>
    <xf numFmtId="39" fontId="1" fillId="0" borderId="8" xfId="0" applyNumberFormat="1" applyFont="1" applyBorder="1" applyAlignment="1" applyProtection="1">
      <alignment horizontal="right"/>
    </xf>
    <xf numFmtId="39" fontId="1" fillId="0" borderId="1" xfId="0" applyNumberFormat="1" applyFont="1" applyBorder="1" applyProtection="1"/>
    <xf numFmtId="39" fontId="1" fillId="0" borderId="6" xfId="0" applyNumberFormat="1" applyFont="1" applyBorder="1" applyProtection="1"/>
    <xf numFmtId="39" fontId="1" fillId="0" borderId="0" xfId="0" applyNumberFormat="1" applyFont="1" applyBorder="1" applyProtection="1"/>
    <xf numFmtId="10" fontId="7" fillId="0" borderId="0" xfId="0" applyNumberFormat="1" applyFont="1" applyBorder="1" applyAlignment="1" applyProtection="1">
      <alignment horizontal="center"/>
    </xf>
    <xf numFmtId="166" fontId="1" fillId="0" borderId="0" xfId="0" applyNumberFormat="1" applyFont="1" applyAlignment="1" applyProtection="1">
      <alignment horizontal="center"/>
    </xf>
    <xf numFmtId="0" fontId="1" fillId="0" borderId="0" xfId="0" applyFont="1" applyAlignment="1">
      <alignment horizontal="center"/>
    </xf>
    <xf numFmtId="10" fontId="1" fillId="0" borderId="0" xfId="0" applyNumberFormat="1" applyFont="1" applyBorder="1" applyAlignment="1" applyProtection="1">
      <alignment horizontal="center"/>
    </xf>
    <xf numFmtId="10" fontId="8" fillId="0" borderId="0" xfId="0" applyNumberFormat="1" applyFont="1" applyBorder="1" applyAlignment="1" applyProtection="1">
      <alignment horizontal="center"/>
    </xf>
    <xf numFmtId="0" fontId="1" fillId="0" borderId="0" xfId="0" applyFont="1" applyFill="1"/>
    <xf numFmtId="0" fontId="3" fillId="0" borderId="0" xfId="0" applyFont="1" applyBorder="1" applyAlignment="1">
      <alignment horizontal="right"/>
    </xf>
    <xf numFmtId="0" fontId="3" fillId="0" borderId="0" xfId="0" applyFont="1" applyBorder="1" applyAlignment="1" applyProtection="1">
      <alignment horizontal="right"/>
    </xf>
    <xf numFmtId="178" fontId="3" fillId="0" borderId="0" xfId="0" applyNumberFormat="1" applyFont="1" applyBorder="1"/>
    <xf numFmtId="0" fontId="3" fillId="0" borderId="0" xfId="0" applyFont="1" applyFill="1" applyBorder="1" applyAlignment="1" applyProtection="1">
      <alignment horizontal="right"/>
    </xf>
    <xf numFmtId="0" fontId="3" fillId="0" borderId="0" xfId="0" quotePrefix="1" applyFont="1" applyBorder="1" applyAlignment="1" applyProtection="1">
      <alignment horizontal="center"/>
    </xf>
    <xf numFmtId="0" fontId="3" fillId="0" borderId="0" xfId="0" applyFont="1" applyBorder="1" applyAlignment="1">
      <alignment horizontal="center"/>
    </xf>
    <xf numFmtId="0" fontId="3" fillId="0" borderId="7" xfId="0" applyFont="1" applyBorder="1"/>
    <xf numFmtId="39" fontId="1" fillId="0" borderId="7" xfId="0" applyNumberFormat="1" applyFont="1" applyBorder="1" applyProtection="1"/>
    <xf numFmtId="0" fontId="3" fillId="5" borderId="9" xfId="0" applyFont="1" applyFill="1" applyBorder="1"/>
    <xf numFmtId="0" fontId="3" fillId="5" borderId="10" xfId="0" applyFont="1" applyFill="1" applyBorder="1"/>
    <xf numFmtId="0" fontId="1" fillId="5" borderId="3" xfId="0" applyFont="1" applyFill="1" applyBorder="1"/>
    <xf numFmtId="181" fontId="3" fillId="0" borderId="0" xfId="0" applyNumberFormat="1" applyFont="1"/>
    <xf numFmtId="181" fontId="3" fillId="0" borderId="0" xfId="0" applyNumberFormat="1" applyFont="1" applyAlignment="1">
      <alignment horizontal="centerContinuous"/>
    </xf>
    <xf numFmtId="181" fontId="3" fillId="0" borderId="1" xfId="0" applyNumberFormat="1" applyFont="1" applyBorder="1" applyAlignment="1" applyProtection="1">
      <alignment horizontal="fill"/>
    </xf>
    <xf numFmtId="181" fontId="3" fillId="0" borderId="0" xfId="0" applyNumberFormat="1" applyFont="1" applyAlignment="1" applyProtection="1">
      <alignment horizontal="center"/>
    </xf>
    <xf numFmtId="181" fontId="1" fillId="0" borderId="0" xfId="0" applyNumberFormat="1" applyFont="1"/>
    <xf numFmtId="181" fontId="1" fillId="0" borderId="1" xfId="0" applyNumberFormat="1" applyFont="1" applyBorder="1" applyProtection="1"/>
    <xf numFmtId="181" fontId="1" fillId="0" borderId="0" xfId="0" applyNumberFormat="1" applyFont="1" applyProtection="1"/>
    <xf numFmtId="181" fontId="1" fillId="0" borderId="7" xfId="0" applyNumberFormat="1" applyFont="1" applyBorder="1" applyProtection="1"/>
    <xf numFmtId="181" fontId="1" fillId="0" borderId="6" xfId="0" applyNumberFormat="1" applyFont="1" applyBorder="1" applyProtection="1"/>
    <xf numFmtId="181" fontId="3" fillId="0" borderId="0" xfId="0" applyNumberFormat="1" applyFont="1" applyProtection="1"/>
    <xf numFmtId="181" fontId="3" fillId="0" borderId="0" xfId="0" applyNumberFormat="1" applyFont="1" applyBorder="1"/>
    <xf numFmtId="181" fontId="3" fillId="0" borderId="0" xfId="0" applyNumberFormat="1" applyFont="1" applyBorder="1" applyAlignment="1" applyProtection="1">
      <alignment horizontal="fill"/>
    </xf>
    <xf numFmtId="181" fontId="3" fillId="0" borderId="0" xfId="0" applyNumberFormat="1" applyFont="1" applyBorder="1" applyAlignment="1" applyProtection="1">
      <alignment horizontal="center"/>
    </xf>
    <xf numFmtId="181" fontId="3" fillId="0" borderId="0" xfId="0" applyNumberFormat="1" applyFont="1" applyBorder="1" applyProtection="1"/>
    <xf numFmtId="181" fontId="1" fillId="0" borderId="0" xfId="0" applyNumberFormat="1" applyFont="1" applyAlignment="1" applyProtection="1">
      <alignment horizontal="center"/>
    </xf>
    <xf numFmtId="181" fontId="3" fillId="0" borderId="0" xfId="0" applyNumberFormat="1" applyFont="1" applyBorder="1" applyAlignment="1">
      <alignment horizontal="centerContinuous"/>
    </xf>
    <xf numFmtId="181" fontId="3" fillId="0" borderId="0" xfId="0" applyNumberFormat="1" applyFont="1" applyAlignment="1" applyProtection="1">
      <alignment horizontal="fill"/>
    </xf>
    <xf numFmtId="181" fontId="3" fillId="0" borderId="5" xfId="0" applyNumberFormat="1" applyFont="1" applyBorder="1" applyAlignment="1" applyProtection="1">
      <alignment horizontal="center"/>
    </xf>
    <xf numFmtId="181" fontId="3" fillId="0" borderId="0" xfId="0" applyNumberFormat="1" applyFont="1" applyBorder="1" applyAlignment="1" applyProtection="1">
      <alignment horizontal="left"/>
    </xf>
    <xf numFmtId="181" fontId="3" fillId="0" borderId="0" xfId="0" applyNumberFormat="1" applyFont="1" applyBorder="1" applyAlignment="1" applyProtection="1">
      <alignment horizontal="right"/>
    </xf>
    <xf numFmtId="181" fontId="1" fillId="0" borderId="1" xfId="0" applyNumberFormat="1" applyFont="1" applyBorder="1" applyAlignment="1" applyProtection="1">
      <alignment horizontal="right"/>
    </xf>
    <xf numFmtId="181" fontId="1" fillId="0" borderId="0" xfId="0" applyNumberFormat="1" applyFont="1" applyAlignment="1" applyProtection="1">
      <alignment horizontal="right"/>
    </xf>
    <xf numFmtId="181" fontId="1" fillId="0" borderId="7" xfId="0" applyNumberFormat="1" applyFont="1" applyBorder="1" applyAlignment="1" applyProtection="1">
      <alignment horizontal="right"/>
    </xf>
    <xf numFmtId="181" fontId="1" fillId="0" borderId="6" xfId="0" applyNumberFormat="1" applyFont="1" applyBorder="1" applyAlignment="1" applyProtection="1">
      <alignment horizontal="right"/>
    </xf>
    <xf numFmtId="181" fontId="1" fillId="0" borderId="0" xfId="0" applyNumberFormat="1" applyFont="1" applyBorder="1"/>
    <xf numFmtId="181" fontId="1" fillId="0" borderId="0" xfId="0" applyNumberFormat="1" applyFont="1" applyBorder="1" applyAlignment="1" applyProtection="1">
      <alignment horizontal="right"/>
    </xf>
    <xf numFmtId="181" fontId="3" fillId="0" borderId="0" xfId="0" applyNumberFormat="1" applyFont="1" applyBorder="1" applyAlignment="1" applyProtection="1">
      <alignment horizontal="centerContinuous"/>
    </xf>
    <xf numFmtId="181" fontId="3" fillId="0" borderId="0" xfId="0" applyNumberFormat="1" applyFont="1" applyBorder="1" applyAlignment="1">
      <alignment horizontal="right"/>
    </xf>
    <xf numFmtId="181" fontId="3" fillId="0" borderId="0" xfId="0" applyNumberFormat="1" applyFont="1" applyAlignment="1">
      <alignment horizontal="right"/>
    </xf>
    <xf numFmtId="181" fontId="3" fillId="0" borderId="0" xfId="0" applyNumberFormat="1" applyFont="1" applyAlignment="1" applyProtection="1">
      <alignment horizontal="right"/>
    </xf>
    <xf numFmtId="181" fontId="1" fillId="0" borderId="0" xfId="0" applyNumberFormat="1" applyFont="1" applyAlignment="1">
      <alignment horizontal="right"/>
    </xf>
    <xf numFmtId="181" fontId="3" fillId="0" borderId="0" xfId="0" applyNumberFormat="1" applyFont="1" applyAlignment="1" applyProtection="1">
      <alignment horizontal="left"/>
    </xf>
    <xf numFmtId="181" fontId="3" fillId="0" borderId="0" xfId="0" applyNumberFormat="1" applyFont="1" applyAlignment="1" applyProtection="1">
      <alignment horizontal="centerContinuous"/>
    </xf>
    <xf numFmtId="181" fontId="1" fillId="0" borderId="0" xfId="0" applyNumberFormat="1" applyFont="1" applyBorder="1" applyAlignment="1" applyProtection="1">
      <alignment horizontal="center"/>
    </xf>
    <xf numFmtId="181" fontId="1" fillId="0" borderId="6" xfId="0" applyNumberFormat="1" applyFont="1" applyBorder="1"/>
    <xf numFmtId="181" fontId="1" fillId="0" borderId="0" xfId="0" applyNumberFormat="1" applyFont="1" applyProtection="1">
      <protection locked="0"/>
    </xf>
    <xf numFmtId="0" fontId="3" fillId="0" borderId="0" xfId="0" quotePrefix="1" applyFont="1" applyBorder="1" applyAlignment="1">
      <alignment horizontal="right"/>
    </xf>
    <xf numFmtId="169" fontId="3" fillId="0" borderId="0" xfId="0" applyNumberFormat="1" applyFont="1" applyBorder="1"/>
    <xf numFmtId="37" fontId="3" fillId="0" borderId="0" xfId="0" applyNumberFormat="1" applyFont="1" applyBorder="1" applyAlignment="1" applyProtection="1">
      <alignment horizontal="left"/>
    </xf>
    <xf numFmtId="170" fontId="3" fillId="0" borderId="0" xfId="0" applyNumberFormat="1" applyFont="1" applyBorder="1" applyAlignment="1" applyProtection="1">
      <alignment horizontal="right"/>
    </xf>
    <xf numFmtId="37" fontId="3" fillId="0" borderId="0" xfId="0" applyNumberFormat="1" applyFont="1" applyBorder="1" applyAlignment="1">
      <alignment horizontal="right"/>
    </xf>
    <xf numFmtId="170" fontId="3" fillId="0" borderId="0" xfId="0" applyNumberFormat="1" applyFont="1" applyBorder="1"/>
    <xf numFmtId="177" fontId="3" fillId="5" borderId="11" xfId="0" applyNumberFormat="1" applyFont="1" applyFill="1" applyBorder="1" applyProtection="1">
      <protection locked="0"/>
    </xf>
    <xf numFmtId="177" fontId="3" fillId="4" borderId="0" xfId="0" applyNumberFormat="1" applyFont="1" applyFill="1" applyAlignment="1" applyProtection="1">
      <alignment horizontal="left"/>
      <protection locked="0"/>
    </xf>
    <xf numFmtId="174" fontId="1" fillId="0" borderId="0" xfId="0" applyNumberFormat="1" applyFont="1" applyProtection="1"/>
    <xf numFmtId="182" fontId="3" fillId="0" borderId="0" xfId="0" applyNumberFormat="1" applyFont="1" applyBorder="1"/>
    <xf numFmtId="37" fontId="1" fillId="0" borderId="0" xfId="0" applyNumberFormat="1" applyFont="1" applyFill="1" applyProtection="1">
      <protection locked="0"/>
    </xf>
    <xf numFmtId="39" fontId="3" fillId="0" borderId="0" xfId="0" applyNumberFormat="1" applyFont="1" applyBorder="1" applyAlignment="1" applyProtection="1">
      <alignment horizontal="left"/>
    </xf>
    <xf numFmtId="37" fontId="1" fillId="0" borderId="0" xfId="0" applyNumberFormat="1" applyFont="1" applyFill="1" applyProtection="1"/>
    <xf numFmtId="39" fontId="1" fillId="0" borderId="0" xfId="0" applyNumberFormat="1" applyFont="1" applyBorder="1"/>
    <xf numFmtId="0" fontId="1" fillId="0" borderId="6" xfId="0" applyFont="1" applyBorder="1"/>
    <xf numFmtId="0" fontId="3" fillId="0" borderId="0" xfId="0" applyFont="1" applyFill="1"/>
    <xf numFmtId="0" fontId="3" fillId="0" borderId="0" xfId="0" quotePrefix="1" applyFont="1" applyFill="1" applyAlignment="1" applyProtection="1">
      <alignment horizontal="left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1" fillId="0" borderId="0" xfId="0" applyFont="1" applyFill="1" applyBorder="1"/>
    <xf numFmtId="0" fontId="10" fillId="0" borderId="0" xfId="0" applyFont="1" applyAlignment="1">
      <alignment horizontal="center"/>
    </xf>
    <xf numFmtId="37" fontId="3" fillId="0" borderId="0" xfId="0" applyNumberFormat="1" applyFont="1"/>
    <xf numFmtId="39" fontId="1" fillId="0" borderId="0" xfId="0" applyNumberFormat="1" applyFont="1" applyFill="1" applyBorder="1" applyAlignment="1" applyProtection="1">
      <alignment horizontal="right"/>
    </xf>
    <xf numFmtId="183" fontId="3" fillId="0" borderId="0" xfId="0" applyNumberFormat="1" applyFont="1"/>
    <xf numFmtId="39" fontId="3" fillId="0" borderId="0" xfId="0" applyNumberFormat="1" applyFont="1" applyFill="1" applyBorder="1" applyAlignment="1" applyProtection="1">
      <alignment horizontal="left"/>
    </xf>
    <xf numFmtId="3" fontId="1" fillId="0" borderId="0" xfId="0" applyNumberFormat="1" applyFont="1"/>
    <xf numFmtId="10" fontId="3" fillId="0" borderId="0" xfId="0" applyNumberFormat="1" applyFont="1" applyBorder="1"/>
    <xf numFmtId="169" fontId="1" fillId="0" borderId="0" xfId="0" applyNumberFormat="1" applyFont="1" applyBorder="1"/>
    <xf numFmtId="22" fontId="3" fillId="0" borderId="0" xfId="0" applyNumberFormat="1" applyFont="1"/>
    <xf numFmtId="166" fontId="3" fillId="0" borderId="0" xfId="0" applyNumberFormat="1" applyFont="1" applyBorder="1" applyAlignment="1" applyProtection="1">
      <alignment horizontal="right"/>
    </xf>
    <xf numFmtId="166" fontId="3" fillId="0" borderId="0" xfId="0" applyNumberFormat="1" applyFont="1" applyBorder="1" applyAlignment="1">
      <alignment horizontal="right"/>
    </xf>
    <xf numFmtId="0" fontId="3" fillId="0" borderId="0" xfId="0" applyFont="1" applyBorder="1" applyAlignment="1" applyProtection="1"/>
    <xf numFmtId="0" fontId="3" fillId="0" borderId="0" xfId="0" applyFont="1" applyBorder="1" applyAlignment="1"/>
    <xf numFmtId="0" fontId="3" fillId="0" borderId="0" xfId="0" applyNumberFormat="1" applyFont="1" applyBorder="1" applyProtection="1"/>
    <xf numFmtId="176" fontId="1" fillId="0" borderId="0" xfId="0" applyNumberFormat="1" applyFont="1" applyBorder="1" applyProtection="1"/>
    <xf numFmtId="176" fontId="1" fillId="0" borderId="0" xfId="0" applyNumberFormat="1" applyFont="1" applyBorder="1"/>
    <xf numFmtId="0" fontId="1" fillId="0" borderId="0" xfId="0" applyNumberFormat="1" applyFont="1" applyBorder="1" applyAlignment="1" applyProtection="1"/>
    <xf numFmtId="0" fontId="3" fillId="0" borderId="0" xfId="0" applyFont="1" applyAlignment="1" applyProtection="1">
      <alignment horizontal="left" indent="1"/>
    </xf>
    <xf numFmtId="39" fontId="14" fillId="0" borderId="0" xfId="0" applyNumberFormat="1" applyFont="1" applyProtection="1"/>
    <xf numFmtId="0" fontId="16" fillId="0" borderId="0" xfId="0" applyFont="1"/>
    <xf numFmtId="0" fontId="17" fillId="0" borderId="0" xfId="0" applyFont="1"/>
    <xf numFmtId="0" fontId="3" fillId="0" borderId="0" xfId="0" applyFont="1" applyBorder="1" applyAlignment="1">
      <alignment horizontal="left"/>
    </xf>
    <xf numFmtId="39" fontId="3" fillId="0" borderId="0" xfId="0" applyNumberFormat="1" applyFont="1" applyBorder="1" applyProtection="1">
      <protection locked="0"/>
    </xf>
    <xf numFmtId="0" fontId="16" fillId="0" borderId="0" xfId="0" applyFont="1" applyAlignment="1" applyProtection="1">
      <alignment horizontal="left"/>
    </xf>
    <xf numFmtId="39" fontId="3" fillId="0" borderId="0" xfId="0" applyNumberFormat="1" applyFont="1" applyProtection="1">
      <protection locked="0"/>
    </xf>
    <xf numFmtId="172" fontId="3" fillId="0" borderId="0" xfId="0" applyNumberFormat="1" applyFont="1" applyBorder="1" applyProtection="1">
      <protection locked="0"/>
    </xf>
    <xf numFmtId="168" fontId="1" fillId="0" borderId="0" xfId="0" applyNumberFormat="1" applyFont="1" applyBorder="1" applyAlignment="1" applyProtection="1">
      <alignment horizontal="right"/>
    </xf>
    <xf numFmtId="168" fontId="1" fillId="0" borderId="1" xfId="0" applyNumberFormat="1" applyFont="1" applyBorder="1" applyAlignment="1" applyProtection="1">
      <alignment horizontal="right"/>
    </xf>
    <xf numFmtId="168" fontId="1" fillId="0" borderId="6" xfId="0" applyNumberFormat="1" applyFont="1" applyBorder="1" applyAlignment="1" applyProtection="1">
      <alignment horizontal="right"/>
    </xf>
    <xf numFmtId="0" fontId="3" fillId="0" borderId="0" xfId="0" applyFont="1" applyFill="1" applyBorder="1" applyAlignment="1">
      <alignment horizontal="centerContinuous"/>
    </xf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fill"/>
    </xf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quotePrefix="1" applyFont="1" applyFill="1" applyBorder="1" applyAlignment="1" applyProtection="1">
      <alignment horizontal="center"/>
    </xf>
    <xf numFmtId="0" fontId="3" fillId="0" borderId="0" xfId="0" quotePrefix="1" applyFont="1" applyFill="1" applyBorder="1" applyAlignment="1">
      <alignment horizontal="center"/>
    </xf>
    <xf numFmtId="10" fontId="1" fillId="0" borderId="0" xfId="0" applyNumberFormat="1" applyFont="1" applyFill="1" applyBorder="1" applyAlignment="1" applyProtection="1">
      <alignment horizontal="center"/>
    </xf>
    <xf numFmtId="3" fontId="1" fillId="0" borderId="0" xfId="0" applyNumberFormat="1" applyFont="1" applyFill="1" applyBorder="1"/>
    <xf numFmtId="37" fontId="3" fillId="0" borderId="0" xfId="0" applyNumberFormat="1" applyFont="1" applyFill="1" applyBorder="1"/>
    <xf numFmtId="37" fontId="1" fillId="0" borderId="0" xfId="0" applyNumberFormat="1" applyFont="1" applyFill="1" applyBorder="1"/>
    <xf numFmtId="3" fontId="3" fillId="0" borderId="0" xfId="0" applyNumberFormat="1" applyFont="1" applyFill="1" applyBorder="1"/>
    <xf numFmtId="0" fontId="1" fillId="0" borderId="0" xfId="0" applyFont="1" applyFill="1" applyBorder="1" applyAlignment="1">
      <alignment horizontal="center"/>
    </xf>
    <xf numFmtId="174" fontId="1" fillId="0" borderId="0" xfId="0" applyNumberFormat="1" applyFont="1" applyAlignment="1" applyProtection="1">
      <alignment horizontal="center"/>
    </xf>
    <xf numFmtId="174" fontId="1" fillId="0" borderId="0" xfId="0" applyNumberFormat="1" applyFont="1" applyAlignment="1">
      <alignment horizontal="center"/>
    </xf>
    <xf numFmtId="0" fontId="18" fillId="0" borderId="0" xfId="0" applyFont="1" applyAlignment="1" applyProtection="1">
      <alignment horizontal="left"/>
    </xf>
    <xf numFmtId="0" fontId="18" fillId="0" borderId="0" xfId="0" quotePrefix="1" applyFont="1" applyAlignment="1" applyProtection="1">
      <alignment horizontal="left"/>
    </xf>
    <xf numFmtId="0" fontId="18" fillId="0" borderId="0" xfId="0" applyFont="1" applyBorder="1"/>
    <xf numFmtId="0" fontId="18" fillId="0" borderId="0" xfId="0" applyFont="1"/>
    <xf numFmtId="181" fontId="18" fillId="0" borderId="0" xfId="0" applyNumberFormat="1" applyFont="1"/>
    <xf numFmtId="0" fontId="18" fillId="0" borderId="0" xfId="0" quotePrefix="1" applyFont="1" applyBorder="1" applyAlignment="1">
      <alignment horizontal="left"/>
    </xf>
    <xf numFmtId="0" fontId="16" fillId="0" borderId="0" xfId="0" applyFont="1" applyBorder="1"/>
    <xf numFmtId="181" fontId="18" fillId="0" borderId="0" xfId="0" applyNumberFormat="1" applyFont="1" applyBorder="1"/>
    <xf numFmtId="0" fontId="19" fillId="0" borderId="0" xfId="0" applyFont="1" applyAlignment="1" applyProtection="1">
      <alignment horizontal="center"/>
    </xf>
    <xf numFmtId="0" fontId="20" fillId="6" borderId="2" xfId="0" applyFont="1" applyFill="1" applyBorder="1"/>
    <xf numFmtId="0" fontId="22" fillId="6" borderId="3" xfId="0" applyFont="1" applyFill="1" applyBorder="1"/>
    <xf numFmtId="0" fontId="22" fillId="6" borderId="4" xfId="0" applyFont="1" applyFill="1" applyBorder="1"/>
    <xf numFmtId="0" fontId="24" fillId="4" borderId="0" xfId="0" applyFont="1" applyFill="1" applyAlignment="1">
      <alignment horizontal="center"/>
    </xf>
    <xf numFmtId="0" fontId="20" fillId="6" borderId="3" xfId="0" applyFont="1" applyFill="1" applyBorder="1"/>
    <xf numFmtId="0" fontId="4" fillId="5" borderId="3" xfId="0" applyFont="1" applyFill="1" applyBorder="1" applyAlignment="1" applyProtection="1">
      <alignment horizontal="left"/>
      <protection locked="0"/>
    </xf>
    <xf numFmtId="0" fontId="3" fillId="4" borderId="0" xfId="0" applyFont="1" applyFill="1" applyAlignment="1" applyProtection="1">
      <protection locked="0"/>
    </xf>
    <xf numFmtId="0" fontId="24" fillId="4" borderId="0" xfId="0" applyFont="1" applyFill="1" applyAlignment="1"/>
    <xf numFmtId="0" fontId="26" fillId="4" borderId="0" xfId="0" applyFont="1" applyFill="1" applyAlignment="1"/>
    <xf numFmtId="0" fontId="26" fillId="4" borderId="0" xfId="0" applyFont="1" applyFill="1" applyBorder="1" applyAlignment="1" applyProtection="1">
      <alignment horizontal="left"/>
      <protection locked="0"/>
    </xf>
    <xf numFmtId="0" fontId="27" fillId="4" borderId="0" xfId="0" applyFont="1" applyFill="1"/>
    <xf numFmtId="0" fontId="3" fillId="6" borderId="2" xfId="0" applyFont="1" applyFill="1" applyBorder="1" applyAlignment="1" applyProtection="1">
      <alignment horizontal="left"/>
    </xf>
    <xf numFmtId="37" fontId="1" fillId="0" borderId="7" xfId="0" applyNumberFormat="1" applyFont="1" applyFill="1" applyBorder="1" applyProtection="1">
      <protection locked="0"/>
    </xf>
    <xf numFmtId="0" fontId="16" fillId="0" borderId="0" xfId="0" applyFont="1" applyAlignment="1" applyProtection="1">
      <alignment horizontal="center"/>
    </xf>
    <xf numFmtId="172" fontId="1" fillId="0" borderId="0" xfId="0" applyNumberFormat="1" applyFont="1" applyBorder="1" applyProtection="1">
      <protection locked="0"/>
    </xf>
    <xf numFmtId="177" fontId="1" fillId="0" borderId="0" xfId="0" applyNumberFormat="1" applyFont="1" applyProtection="1"/>
    <xf numFmtId="177" fontId="1" fillId="0" borderId="0" xfId="0" applyNumberFormat="1" applyFont="1" applyProtection="1">
      <protection locked="0"/>
    </xf>
    <xf numFmtId="177" fontId="1" fillId="0" borderId="0" xfId="0" applyNumberFormat="1" applyFont="1" applyBorder="1" applyProtection="1">
      <protection locked="0"/>
    </xf>
    <xf numFmtId="177" fontId="1" fillId="0" borderId="0" xfId="0" applyNumberFormat="1" applyFont="1"/>
    <xf numFmtId="0" fontId="3" fillId="0" borderId="0" xfId="1" applyFont="1" applyFill="1"/>
    <xf numFmtId="0" fontId="3" fillId="0" borderId="0" xfId="1" applyFont="1" applyFill="1" applyAlignment="1" applyProtection="1">
      <alignment horizontal="left"/>
    </xf>
    <xf numFmtId="0" fontId="3" fillId="0" borderId="0" xfId="13" applyFont="1" applyFill="1"/>
    <xf numFmtId="0" fontId="3" fillId="0" borderId="0" xfId="13" applyFont="1" applyFill="1" applyAlignment="1" applyProtection="1">
      <alignment horizontal="left"/>
    </xf>
    <xf numFmtId="0" fontId="3" fillId="0" borderId="0" xfId="16" applyFont="1" applyFill="1"/>
    <xf numFmtId="0" fontId="3" fillId="0" borderId="0" xfId="16" quotePrefix="1" applyFont="1" applyFill="1" applyAlignment="1" applyProtection="1">
      <alignment horizontal="left"/>
    </xf>
    <xf numFmtId="0" fontId="3" fillId="0" borderId="0" xfId="17" applyFont="1"/>
    <xf numFmtId="0" fontId="3" fillId="0" borderId="0" xfId="17" quotePrefix="1" applyFont="1" applyFill="1" applyAlignment="1" applyProtection="1">
      <alignment horizontal="left"/>
    </xf>
    <xf numFmtId="0" fontId="3" fillId="0" borderId="0" xfId="19" applyFont="1"/>
    <xf numFmtId="0" fontId="3" fillId="0" borderId="0" xfId="19" quotePrefix="1" applyFont="1" applyFill="1" applyAlignment="1" applyProtection="1">
      <alignment horizontal="left"/>
    </xf>
    <xf numFmtId="0" fontId="3" fillId="0" borderId="0" xfId="21" applyFont="1"/>
    <xf numFmtId="0" fontId="3" fillId="0" borderId="0" xfId="21" quotePrefix="1" applyFont="1" applyFill="1" applyAlignment="1" applyProtection="1">
      <alignment horizontal="left"/>
    </xf>
    <xf numFmtId="0" fontId="3" fillId="0" borderId="0" xfId="21" applyFont="1" applyFill="1" applyAlignment="1" applyProtection="1">
      <alignment horizontal="left"/>
    </xf>
    <xf numFmtId="0" fontId="3" fillId="0" borderId="0" xfId="23" applyFont="1"/>
    <xf numFmtId="0" fontId="3" fillId="0" borderId="0" xfId="23" applyFont="1" applyFill="1" applyAlignment="1" applyProtection="1">
      <alignment horizontal="left"/>
    </xf>
    <xf numFmtId="0" fontId="3" fillId="0" borderId="0" xfId="25" applyFont="1" applyFill="1"/>
    <xf numFmtId="0" fontId="3" fillId="0" borderId="0" xfId="30" applyFont="1" applyFill="1"/>
    <xf numFmtId="0" fontId="3" fillId="0" borderId="0" xfId="31" applyFont="1" applyFill="1"/>
    <xf numFmtId="0" fontId="3" fillId="0" borderId="0" xfId="33" applyFont="1" applyFill="1"/>
    <xf numFmtId="0" fontId="3" fillId="0" borderId="0" xfId="35" applyFont="1" applyFill="1"/>
    <xf numFmtId="0" fontId="3" fillId="0" borderId="0" xfId="37" applyFont="1" applyFill="1"/>
    <xf numFmtId="0" fontId="3" fillId="0" borderId="0" xfId="39" applyFont="1" applyFill="1"/>
    <xf numFmtId="0" fontId="18" fillId="0" borderId="0" xfId="0" applyFont="1" applyFill="1"/>
    <xf numFmtId="0" fontId="3" fillId="0" borderId="0" xfId="28" applyFont="1" applyFill="1"/>
    <xf numFmtId="0" fontId="3" fillId="0" borderId="0" xfId="28" applyFont="1" applyFill="1" applyAlignment="1" applyProtection="1">
      <alignment horizontal="left"/>
    </xf>
    <xf numFmtId="0" fontId="3" fillId="0" borderId="0" xfId="42" applyFont="1" applyFill="1"/>
    <xf numFmtId="0" fontId="3" fillId="0" borderId="0" xfId="0" applyFont="1" applyFill="1" applyAlignment="1">
      <alignment horizontal="centerContinuous"/>
    </xf>
    <xf numFmtId="0" fontId="3" fillId="0" borderId="0" xfId="0" applyFont="1" applyFill="1" applyAlignment="1" applyProtection="1">
      <alignment horizontal="fill"/>
    </xf>
    <xf numFmtId="0" fontId="3" fillId="0" borderId="5" xfId="0" applyFont="1" applyFill="1" applyBorder="1"/>
    <xf numFmtId="0" fontId="3" fillId="0" borderId="0" xfId="0" applyFont="1" applyFill="1" applyAlignment="1" applyProtection="1">
      <alignment horizontal="left" indent="1"/>
    </xf>
    <xf numFmtId="0" fontId="3" fillId="0" borderId="0" xfId="0" applyFont="1" applyFill="1" applyBorder="1" applyAlignment="1" applyProtection="1">
      <alignment horizontal="left"/>
    </xf>
    <xf numFmtId="181" fontId="1" fillId="0" borderId="0" xfId="0" applyNumberFormat="1" applyFont="1" applyFill="1" applyProtection="1"/>
    <xf numFmtId="169" fontId="1" fillId="0" borderId="0" xfId="0" applyNumberFormat="1" applyFont="1" applyFill="1" applyProtection="1"/>
    <xf numFmtId="181" fontId="1" fillId="0" borderId="0" xfId="0" applyNumberFormat="1" applyFont="1" applyFill="1" applyAlignment="1" applyProtection="1">
      <alignment horizontal="right"/>
    </xf>
    <xf numFmtId="170" fontId="1" fillId="0" borderId="0" xfId="0" applyNumberFormat="1" applyFont="1" applyFill="1" applyProtection="1"/>
    <xf numFmtId="0" fontId="3" fillId="0" borderId="0" xfId="0" applyFont="1" applyFill="1" applyProtection="1"/>
    <xf numFmtId="175" fontId="1" fillId="0" borderId="0" xfId="0" applyNumberFormat="1" applyFont="1" applyFill="1"/>
    <xf numFmtId="37" fontId="1" fillId="0" borderId="0" xfId="0" applyNumberFormat="1" applyFont="1" applyFill="1"/>
    <xf numFmtId="39" fontId="1" fillId="0" borderId="0" xfId="0" applyNumberFormat="1" applyFont="1" applyFill="1" applyProtection="1"/>
    <xf numFmtId="37" fontId="1" fillId="0" borderId="0" xfId="0" applyNumberFormat="1" applyFont="1" applyFill="1" applyBorder="1" applyProtection="1"/>
    <xf numFmtId="181" fontId="1" fillId="0" borderId="0" xfId="0" applyNumberFormat="1" applyFont="1" applyFill="1"/>
    <xf numFmtId="181" fontId="1" fillId="0" borderId="0" xfId="0" applyNumberFormat="1" applyFont="1" applyFill="1" applyAlignment="1">
      <alignment horizontal="right"/>
    </xf>
    <xf numFmtId="181" fontId="1" fillId="0" borderId="1" xfId="0" applyNumberFormat="1" applyFont="1" applyFill="1" applyBorder="1" applyProtection="1"/>
    <xf numFmtId="37" fontId="1" fillId="0" borderId="1" xfId="0" applyNumberFormat="1" applyFont="1" applyFill="1" applyBorder="1" applyProtection="1"/>
    <xf numFmtId="181" fontId="1" fillId="0" borderId="1" xfId="0" applyNumberFormat="1" applyFont="1" applyFill="1" applyBorder="1" applyAlignment="1" applyProtection="1">
      <alignment horizontal="right"/>
    </xf>
    <xf numFmtId="37" fontId="1" fillId="0" borderId="7" xfId="0" applyNumberFormat="1" applyFont="1" applyFill="1" applyBorder="1" applyProtection="1"/>
    <xf numFmtId="181" fontId="1" fillId="0" borderId="7" xfId="0" applyNumberFormat="1" applyFont="1" applyFill="1" applyBorder="1" applyProtection="1"/>
    <xf numFmtId="181" fontId="1" fillId="0" borderId="7" xfId="0" applyNumberFormat="1" applyFont="1" applyFill="1" applyBorder="1" applyAlignment="1" applyProtection="1">
      <alignment horizontal="right"/>
    </xf>
    <xf numFmtId="181" fontId="1" fillId="0" borderId="0" xfId="0" applyNumberFormat="1" applyFont="1" applyFill="1" applyBorder="1" applyAlignment="1" applyProtection="1">
      <alignment horizontal="right"/>
    </xf>
    <xf numFmtId="0" fontId="18" fillId="0" borderId="0" xfId="0" applyFont="1" applyFill="1" applyAlignment="1" applyProtection="1">
      <alignment horizontal="left"/>
    </xf>
    <xf numFmtId="0" fontId="18" fillId="0" borderId="0" xfId="0" applyFont="1" applyFill="1" applyBorder="1"/>
    <xf numFmtId="0" fontId="18" fillId="0" borderId="0" xfId="0" quotePrefix="1" applyFont="1" applyFill="1" applyAlignment="1" applyProtection="1">
      <alignment horizontal="left"/>
    </xf>
    <xf numFmtId="181" fontId="18" fillId="0" borderId="0" xfId="0" applyNumberFormat="1" applyFont="1" applyFill="1"/>
    <xf numFmtId="0" fontId="18" fillId="0" borderId="0" xfId="0" quotePrefix="1" applyFont="1" applyFill="1" applyBorder="1" applyAlignment="1">
      <alignment horizontal="left"/>
    </xf>
    <xf numFmtId="0" fontId="13" fillId="0" borderId="0" xfId="0" applyFont="1" applyFill="1"/>
    <xf numFmtId="181" fontId="13" fillId="0" borderId="0" xfId="0" applyNumberFormat="1" applyFont="1" applyFill="1" applyAlignment="1">
      <alignment horizontal="right"/>
    </xf>
    <xf numFmtId="39" fontId="18" fillId="0" borderId="0" xfId="0" applyNumberFormat="1" applyFont="1" applyFill="1"/>
    <xf numFmtId="181" fontId="18" fillId="0" borderId="0" xfId="0" applyNumberFormat="1" applyFont="1" applyFill="1" applyBorder="1"/>
    <xf numFmtId="39" fontId="3" fillId="0" borderId="0" xfId="0" applyNumberFormat="1" applyFont="1" applyFill="1"/>
    <xf numFmtId="181" fontId="3" fillId="0" borderId="0" xfId="0" applyNumberFormat="1" applyFont="1" applyFill="1" applyBorder="1"/>
    <xf numFmtId="181" fontId="3" fillId="0" borderId="0" xfId="0" applyNumberFormat="1" applyFont="1" applyFill="1" applyAlignment="1">
      <alignment horizontal="right"/>
    </xf>
    <xf numFmtId="181" fontId="3" fillId="0" borderId="0" xfId="0" applyNumberFormat="1" applyFont="1" applyFill="1" applyBorder="1" applyAlignment="1" applyProtection="1">
      <alignment horizontal="center"/>
    </xf>
    <xf numFmtId="181" fontId="3" fillId="0" borderId="0" xfId="0" applyNumberFormat="1" applyFont="1" applyFill="1" applyBorder="1" applyAlignment="1">
      <alignment horizontal="right"/>
    </xf>
    <xf numFmtId="0" fontId="3" fillId="0" borderId="0" xfId="0" applyFont="1" applyFill="1" applyAlignment="1" applyProtection="1">
      <alignment horizontal="centerContinuous"/>
    </xf>
    <xf numFmtId="181" fontId="3" fillId="0" borderId="0" xfId="0" applyNumberFormat="1" applyFont="1" applyFill="1"/>
    <xf numFmtId="37" fontId="3" fillId="0" borderId="0" xfId="0" applyNumberFormat="1" applyFont="1" applyFill="1" applyProtection="1"/>
    <xf numFmtId="181" fontId="3" fillId="0" borderId="0" xfId="0" applyNumberFormat="1" applyFont="1" applyFill="1" applyAlignment="1">
      <alignment horizontal="centerContinuous"/>
    </xf>
    <xf numFmtId="181" fontId="3" fillId="0" borderId="0" xfId="0" applyNumberFormat="1" applyFont="1" applyFill="1" applyAlignment="1" applyProtection="1">
      <alignment horizontal="fill"/>
    </xf>
    <xf numFmtId="181" fontId="3" fillId="0" borderId="0" xfId="0" applyNumberFormat="1" applyFont="1" applyFill="1" applyAlignment="1" applyProtection="1">
      <alignment horizontal="right"/>
    </xf>
    <xf numFmtId="0" fontId="3" fillId="0" borderId="5" xfId="0" applyFont="1" applyFill="1" applyBorder="1" applyAlignment="1" applyProtection="1">
      <alignment horizontal="center"/>
    </xf>
    <xf numFmtId="181" fontId="3" fillId="0" borderId="5" xfId="0" applyNumberFormat="1" applyFont="1" applyFill="1" applyBorder="1" applyAlignment="1" applyProtection="1">
      <alignment horizontal="center"/>
    </xf>
    <xf numFmtId="181" fontId="3" fillId="0" borderId="0" xfId="0" applyNumberFormat="1" applyFont="1" applyFill="1" applyAlignment="1" applyProtection="1">
      <alignment horizontal="center"/>
    </xf>
    <xf numFmtId="0" fontId="3" fillId="0" borderId="0" xfId="0" quotePrefix="1" applyFont="1" applyFill="1" applyAlignment="1" applyProtection="1">
      <alignment horizontal="center"/>
    </xf>
    <xf numFmtId="181" fontId="1" fillId="0" borderId="0" xfId="0" applyNumberFormat="1" applyFont="1" applyFill="1" applyBorder="1" applyProtection="1"/>
    <xf numFmtId="169" fontId="1" fillId="0" borderId="0" xfId="0" applyNumberFormat="1" applyFont="1" applyFill="1" applyBorder="1" applyProtection="1"/>
    <xf numFmtId="170" fontId="1" fillId="0" borderId="0" xfId="0" applyNumberFormat="1" applyFont="1" applyFill="1" applyBorder="1" applyProtection="1"/>
    <xf numFmtId="37" fontId="3" fillId="0" borderId="0" xfId="0" applyNumberFormat="1" applyFont="1" applyFill="1" applyBorder="1" applyProtection="1"/>
    <xf numFmtId="170" fontId="3" fillId="0" borderId="0" xfId="0" applyNumberFormat="1" applyFont="1" applyFill="1" applyBorder="1" applyProtection="1"/>
    <xf numFmtId="0" fontId="3" fillId="0" borderId="0" xfId="0" applyFont="1" applyFill="1" applyBorder="1" applyProtection="1"/>
    <xf numFmtId="37" fontId="1" fillId="0" borderId="1" xfId="0" applyNumberFormat="1" applyFont="1" applyFill="1" applyBorder="1"/>
    <xf numFmtId="37" fontId="1" fillId="0" borderId="5" xfId="0" applyNumberFormat="1" applyFont="1" applyFill="1" applyBorder="1" applyProtection="1"/>
    <xf numFmtId="37" fontId="1" fillId="0" borderId="8" xfId="0" applyNumberFormat="1" applyFont="1" applyFill="1" applyBorder="1" applyProtection="1"/>
    <xf numFmtId="181" fontId="1" fillId="0" borderId="8" xfId="0" applyNumberFormat="1" applyFont="1" applyFill="1" applyBorder="1" applyProtection="1"/>
    <xf numFmtId="181" fontId="1" fillId="0" borderId="8" xfId="0" applyNumberFormat="1" applyFont="1" applyFill="1" applyBorder="1" applyAlignment="1" applyProtection="1">
      <alignment horizontal="right"/>
    </xf>
    <xf numFmtId="181" fontId="3" fillId="0" borderId="0" xfId="0" applyNumberFormat="1" applyFont="1" applyFill="1" applyBorder="1" applyAlignment="1" applyProtection="1">
      <alignment horizontal="fill"/>
    </xf>
    <xf numFmtId="181" fontId="3" fillId="0" borderId="0" xfId="0" applyNumberFormat="1" applyFont="1" applyFill="1" applyBorder="1" applyProtection="1"/>
    <xf numFmtId="169" fontId="3" fillId="0" borderId="0" xfId="0" applyNumberFormat="1" applyFont="1" applyFill="1" applyBorder="1" applyProtection="1"/>
    <xf numFmtId="37" fontId="3" fillId="0" borderId="0" xfId="0" applyNumberFormat="1" applyFont="1" applyFill="1" applyBorder="1" applyAlignment="1" applyProtection="1">
      <alignment horizontal="right"/>
    </xf>
    <xf numFmtId="181" fontId="3" fillId="0" borderId="0" xfId="0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 applyProtection="1"/>
    <xf numFmtId="7" fontId="3" fillId="0" borderId="0" xfId="0" applyNumberFormat="1" applyFont="1" applyFill="1" applyBorder="1" applyAlignment="1" applyProtection="1">
      <alignment horizontal="center"/>
    </xf>
    <xf numFmtId="7" fontId="3" fillId="0" borderId="0" xfId="0" applyNumberFormat="1" applyFont="1" applyFill="1" applyBorder="1" applyProtection="1"/>
    <xf numFmtId="0" fontId="3" fillId="0" borderId="0" xfId="43" applyFont="1" applyProtection="1"/>
    <xf numFmtId="0" fontId="3" fillId="0" borderId="0" xfId="43" applyFont="1" applyBorder="1"/>
    <xf numFmtId="0" fontId="3" fillId="0" borderId="0" xfId="43" applyFont="1" applyFill="1" applyProtection="1"/>
    <xf numFmtId="0" fontId="3" fillId="0" borderId="0" xfId="46" applyFont="1" applyProtection="1"/>
    <xf numFmtId="0" fontId="3" fillId="0" borderId="0" xfId="46" applyFont="1" applyBorder="1"/>
    <xf numFmtId="0" fontId="3" fillId="0" borderId="0" xfId="47" applyFont="1" applyProtection="1"/>
    <xf numFmtId="0" fontId="3" fillId="0" borderId="0" xfId="47" applyFont="1" applyBorder="1"/>
    <xf numFmtId="0" fontId="3" fillId="0" borderId="0" xfId="47" applyFont="1" applyBorder="1" applyProtection="1"/>
    <xf numFmtId="0" fontId="15" fillId="4" borderId="0" xfId="0" applyFont="1" applyFill="1" applyProtection="1">
      <protection locked="0"/>
    </xf>
    <xf numFmtId="0" fontId="15" fillId="4" borderId="0" xfId="0" applyFont="1" applyFill="1"/>
    <xf numFmtId="0" fontId="29" fillId="4" borderId="0" xfId="0" applyFont="1" applyFill="1"/>
    <xf numFmtId="37" fontId="3" fillId="0" borderId="0" xfId="1" applyNumberFormat="1" applyFont="1"/>
    <xf numFmtId="37" fontId="3" fillId="0" borderId="0" xfId="1" applyNumberFormat="1" applyFont="1" applyFill="1"/>
    <xf numFmtId="0" fontId="3" fillId="0" borderId="0" xfId="10" applyFont="1"/>
    <xf numFmtId="0" fontId="3" fillId="0" borderId="0" xfId="10" applyFont="1" applyBorder="1"/>
    <xf numFmtId="0" fontId="3" fillId="0" borderId="0" xfId="0" applyFont="1"/>
    <xf numFmtId="37" fontId="3" fillId="0" borderId="0" xfId="0" applyNumberFormat="1" applyFont="1" applyBorder="1" applyProtection="1"/>
    <xf numFmtId="0" fontId="3" fillId="0" borderId="0" xfId="0" applyFont="1" applyBorder="1"/>
    <xf numFmtId="37" fontId="3" fillId="0" borderId="0" xfId="0" applyNumberFormat="1" applyFont="1" applyBorder="1" applyAlignment="1" applyProtection="1">
      <alignment horizontal="right"/>
    </xf>
    <xf numFmtId="37" fontId="3" fillId="0" borderId="0" xfId="0" applyNumberFormat="1" applyFont="1" applyBorder="1"/>
    <xf numFmtId="181" fontId="1" fillId="0" borderId="0" xfId="0" applyNumberFormat="1" applyFont="1" applyBorder="1" applyProtection="1"/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right"/>
    </xf>
    <xf numFmtId="0" fontId="30" fillId="4" borderId="0" xfId="0" applyFont="1" applyFill="1" applyProtection="1">
      <protection locked="0"/>
    </xf>
    <xf numFmtId="0" fontId="30" fillId="4" borderId="0" xfId="0" applyFont="1" applyFill="1"/>
    <xf numFmtId="168" fontId="3" fillId="0" borderId="0" xfId="0" applyNumberFormat="1" applyFont="1" applyBorder="1" applyAlignment="1" applyProtection="1">
      <alignment horizontal="right"/>
    </xf>
    <xf numFmtId="0" fontId="3" fillId="12" borderId="0" xfId="0" applyFont="1" applyFill="1" applyBorder="1"/>
    <xf numFmtId="183" fontId="3" fillId="0" borderId="0" xfId="56" applyNumberFormat="1" applyFont="1" applyBorder="1" applyAlignment="1"/>
    <xf numFmtId="37" fontId="3" fillId="0" borderId="0" xfId="0" applyNumberFormat="1" applyFont="1" applyFill="1" applyProtection="1">
      <protection locked="0"/>
    </xf>
    <xf numFmtId="37" fontId="3" fillId="0" borderId="0" xfId="0" applyNumberFormat="1" applyFont="1" applyProtection="1">
      <protection locked="0"/>
    </xf>
    <xf numFmtId="0" fontId="1" fillId="4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/>
    <xf numFmtId="173" fontId="3" fillId="5" borderId="11" xfId="0" applyNumberFormat="1" applyFont="1" applyFill="1" applyBorder="1" applyProtection="1">
      <protection locked="0"/>
    </xf>
    <xf numFmtId="172" fontId="3" fillId="0" borderId="0" xfId="0" applyNumberFormat="1" applyFont="1" applyBorder="1"/>
    <xf numFmtId="0" fontId="2" fillId="0" borderId="0" xfId="0" applyFont="1" applyFill="1" applyAlignment="1" applyProtection="1">
      <alignment horizontal="left"/>
      <protection locked="0"/>
    </xf>
    <xf numFmtId="37" fontId="3" fillId="0" borderId="0" xfId="0" applyNumberFormat="1" applyFont="1" applyFill="1"/>
    <xf numFmtId="37" fontId="1" fillId="0" borderId="0" xfId="0" applyNumberFormat="1" applyFont="1" applyFill="1" applyBorder="1" applyProtection="1">
      <protection locked="0"/>
    </xf>
    <xf numFmtId="7" fontId="3" fillId="0" borderId="0" xfId="0" applyNumberFormat="1" applyFont="1" applyBorder="1"/>
    <xf numFmtId="177" fontId="1" fillId="0" borderId="0" xfId="0" applyNumberFormat="1" applyFont="1" applyAlignment="1" applyProtection="1">
      <alignment horizontal="center"/>
    </xf>
    <xf numFmtId="183" fontId="3" fillId="0" borderId="0" xfId="56" applyNumberFormat="1" applyFont="1"/>
    <xf numFmtId="184" fontId="3" fillId="0" borderId="0" xfId="0" applyNumberFormat="1" applyFont="1"/>
    <xf numFmtId="37" fontId="3" fillId="0" borderId="0" xfId="0" applyNumberFormat="1" applyFont="1" applyBorder="1" applyAlignment="1">
      <alignment horizontal="center"/>
    </xf>
    <xf numFmtId="172" fontId="1" fillId="4" borderId="0" xfId="0" applyNumberFormat="1" applyFont="1" applyFill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4" borderId="0" xfId="0" applyFont="1" applyFill="1" applyProtection="1">
      <protection locked="0"/>
    </xf>
    <xf numFmtId="0" fontId="20" fillId="6" borderId="2" xfId="0" quotePrefix="1" applyFont="1" applyFill="1" applyBorder="1" applyAlignment="1">
      <alignment horizontal="left"/>
    </xf>
    <xf numFmtId="0" fontId="4" fillId="5" borderId="2" xfId="0" quotePrefix="1" applyFont="1" applyFill="1" applyBorder="1" applyAlignment="1" applyProtection="1">
      <alignment horizontal="left"/>
      <protection locked="0"/>
    </xf>
    <xf numFmtId="0" fontId="3" fillId="5" borderId="2" xfId="0" quotePrefix="1" applyFont="1" applyFill="1" applyBorder="1" applyAlignment="1">
      <alignment horizontal="left"/>
    </xf>
    <xf numFmtId="176" fontId="1" fillId="0" borderId="0" xfId="0" quotePrefix="1" applyNumberFormat="1" applyFont="1" applyAlignment="1" applyProtection="1">
      <alignment horizontal="left"/>
    </xf>
    <xf numFmtId="0" fontId="1" fillId="4" borderId="12" xfId="0" applyFont="1" applyFill="1" applyBorder="1"/>
    <xf numFmtId="0" fontId="1" fillId="4" borderId="14" xfId="0" applyFont="1" applyFill="1" applyBorder="1"/>
    <xf numFmtId="0" fontId="41" fillId="4" borderId="0" xfId="0" applyFont="1" applyFill="1"/>
    <xf numFmtId="10" fontId="3" fillId="5" borderId="11" xfId="57" applyNumberFormat="1" applyFont="1" applyFill="1" applyBorder="1" applyProtection="1">
      <protection locked="0"/>
    </xf>
    <xf numFmtId="2" fontId="1" fillId="0" borderId="0" xfId="0" applyNumberFormat="1" applyFont="1" applyBorder="1" applyAlignment="1" applyProtection="1">
      <alignment horizontal="right"/>
    </xf>
    <xf numFmtId="0" fontId="3" fillId="0" borderId="0" xfId="0" quotePrefix="1" applyFont="1" applyAlignment="1" applyProtection="1">
      <alignment horizontal="centerContinuous"/>
    </xf>
    <xf numFmtId="170" fontId="1" fillId="0" borderId="7" xfId="0" applyNumberFormat="1" applyFont="1" applyBorder="1" applyProtection="1"/>
    <xf numFmtId="174" fontId="1" fillId="0" borderId="0" xfId="0" applyNumberFormat="1" applyFont="1" applyBorder="1" applyAlignment="1" applyProtection="1">
      <alignment horizontal="center"/>
    </xf>
    <xf numFmtId="0" fontId="3" fillId="0" borderId="0" xfId="0" quotePrefix="1" applyFont="1" applyFill="1" applyBorder="1" applyAlignment="1" applyProtection="1">
      <alignment horizontal="left"/>
    </xf>
    <xf numFmtId="0" fontId="3" fillId="0" borderId="0" xfId="0" applyFont="1" applyFill="1" applyBorder="1" applyAlignment="1" applyProtection="1"/>
    <xf numFmtId="175" fontId="3" fillId="5" borderId="11" xfId="0" applyNumberFormat="1" applyFont="1" applyFill="1" applyBorder="1" applyProtection="1">
      <protection locked="0"/>
    </xf>
    <xf numFmtId="0" fontId="3" fillId="0" borderId="0" xfId="0" applyFont="1" applyAlignment="1">
      <alignment horizontal="center"/>
    </xf>
    <xf numFmtId="0" fontId="3" fillId="0" borderId="0" xfId="0" applyFont="1" applyAlignment="1" applyProtection="1">
      <alignment horizontal="center"/>
    </xf>
    <xf numFmtId="0" fontId="19" fillId="0" borderId="0" xfId="0" applyFont="1" applyAlignment="1" applyProtection="1">
      <alignment horizontal="left"/>
    </xf>
    <xf numFmtId="0" fontId="16" fillId="0" borderId="0" xfId="0" applyFont="1" applyAlignment="1">
      <alignment horizontal="centerContinuous"/>
    </xf>
    <xf numFmtId="0" fontId="16" fillId="0" borderId="1" xfId="0" quotePrefix="1" applyFont="1" applyBorder="1" applyAlignment="1" applyProtection="1">
      <alignment horizontal="center"/>
    </xf>
    <xf numFmtId="0" fontId="16" fillId="0" borderId="1" xfId="0" applyFont="1" applyBorder="1" applyAlignment="1" applyProtection="1">
      <alignment horizontal="center"/>
    </xf>
    <xf numFmtId="0" fontId="16" fillId="0" borderId="1" xfId="0" applyFont="1" applyBorder="1"/>
    <xf numFmtId="0" fontId="19" fillId="0" borderId="0" xfId="0" applyFont="1" applyAlignment="1">
      <alignment horizontal="center"/>
    </xf>
    <xf numFmtId="0" fontId="19" fillId="0" borderId="0" xfId="0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 indent="1"/>
    </xf>
    <xf numFmtId="0" fontId="16" fillId="0" borderId="0" xfId="0" quotePrefix="1" applyFont="1" applyAlignment="1" applyProtection="1">
      <alignment horizontal="left" indent="1"/>
    </xf>
    <xf numFmtId="0" fontId="16" fillId="0" borderId="0" xfId="0" applyFont="1" applyAlignment="1">
      <alignment horizontal="left"/>
    </xf>
    <xf numFmtId="0" fontId="16" fillId="0" borderId="0" xfId="0" applyFont="1" applyProtection="1"/>
    <xf numFmtId="0" fontId="16" fillId="0" borderId="0" xfId="0" quotePrefix="1" applyFont="1" applyAlignment="1" applyProtection="1">
      <alignment horizontal="center"/>
    </xf>
    <xf numFmtId="181" fontId="16" fillId="0" borderId="0" xfId="0" applyNumberFormat="1" applyFont="1" applyAlignment="1" applyProtection="1">
      <alignment horizontal="center"/>
    </xf>
    <xf numFmtId="0" fontId="18" fillId="0" borderId="0" xfId="0" applyFont="1" applyAlignment="1" applyProtection="1">
      <alignment horizontal="center"/>
    </xf>
    <xf numFmtId="0" fontId="18" fillId="0" borderId="0" xfId="0" quotePrefix="1" applyFont="1" applyAlignment="1" applyProtection="1">
      <alignment horizontal="center"/>
    </xf>
    <xf numFmtId="181" fontId="18" fillId="0" borderId="0" xfId="0" applyNumberFormat="1" applyFont="1" applyAlignment="1" applyProtection="1">
      <alignment horizontal="center"/>
    </xf>
    <xf numFmtId="0" fontId="16" fillId="0" borderId="0" xfId="0" quotePrefix="1" applyFont="1" applyAlignment="1" applyProtection="1">
      <alignment horizontal="left"/>
    </xf>
    <xf numFmtId="174" fontId="1" fillId="0" borderId="0" xfId="0" applyNumberFormat="1" applyFont="1" applyAlignment="1" applyProtection="1">
      <alignment horizontal="center"/>
      <protection locked="0"/>
    </xf>
    <xf numFmtId="166" fontId="1" fillId="0" borderId="0" xfId="0" applyNumberFormat="1" applyFont="1" applyProtection="1">
      <protection locked="0"/>
    </xf>
    <xf numFmtId="37" fontId="3" fillId="0" borderId="0" xfId="0" applyNumberFormat="1" applyFont="1" applyFill="1" applyBorder="1" applyProtection="1">
      <protection locked="0"/>
    </xf>
    <xf numFmtId="5" fontId="3" fillId="0" borderId="0" xfId="0" applyNumberFormat="1" applyFont="1"/>
    <xf numFmtId="37" fontId="3" fillId="0" borderId="0" xfId="0" applyNumberFormat="1" applyFont="1" applyBorder="1" applyProtection="1">
      <protection locked="0"/>
    </xf>
    <xf numFmtId="7" fontId="3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37" fontId="3" fillId="0" borderId="1" xfId="0" applyNumberFormat="1" applyFont="1" applyBorder="1" applyProtection="1">
      <protection locked="0"/>
    </xf>
    <xf numFmtId="172" fontId="3" fillId="0" borderId="0" xfId="0" applyNumberFormat="1" applyFont="1" applyProtection="1">
      <protection locked="0"/>
    </xf>
    <xf numFmtId="165" fontId="1" fillId="0" borderId="0" xfId="0" applyNumberFormat="1" applyFont="1" applyProtection="1">
      <protection locked="0"/>
    </xf>
    <xf numFmtId="179" fontId="3" fillId="0" borderId="0" xfId="0" applyNumberFormat="1" applyFont="1" applyProtection="1">
      <protection locked="0"/>
    </xf>
    <xf numFmtId="168" fontId="1" fillId="0" borderId="0" xfId="0" applyNumberFormat="1" applyFont="1" applyProtection="1">
      <protection locked="0"/>
    </xf>
    <xf numFmtId="177" fontId="3" fillId="0" borderId="0" xfId="0" applyNumberFormat="1" applyFont="1" applyProtection="1">
      <protection locked="0"/>
    </xf>
    <xf numFmtId="10" fontId="3" fillId="0" borderId="0" xfId="57" applyNumberFormat="1" applyFont="1" applyProtection="1">
      <protection locked="0"/>
    </xf>
    <xf numFmtId="0" fontId="44" fillId="0" borderId="0" xfId="0" applyFont="1"/>
    <xf numFmtId="0" fontId="18" fillId="0" borderId="0" xfId="0" quotePrefix="1" applyFont="1" applyAlignment="1">
      <alignment horizontal="center"/>
    </xf>
    <xf numFmtId="7" fontId="3" fillId="0" borderId="0" xfId="0" applyNumberFormat="1" applyFont="1" applyBorder="1" applyProtection="1">
      <protection locked="0"/>
    </xf>
    <xf numFmtId="7" fontId="3" fillId="0" borderId="0" xfId="0" applyNumberFormat="1" applyFont="1"/>
    <xf numFmtId="168" fontId="3" fillId="0" borderId="0" xfId="0" applyNumberFormat="1" applyFont="1" applyBorder="1" applyProtection="1">
      <protection locked="0"/>
    </xf>
    <xf numFmtId="166" fontId="3" fillId="0" borderId="0" xfId="0" applyNumberFormat="1" applyFont="1" applyBorder="1" applyProtection="1">
      <protection locked="0"/>
    </xf>
    <xf numFmtId="177" fontId="3" fillId="0" borderId="0" xfId="0" applyNumberFormat="1" applyFont="1" applyProtection="1"/>
    <xf numFmtId="0" fontId="16" fillId="0" borderId="0" xfId="0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44" fillId="0" borderId="0" xfId="0" applyFont="1" applyBorder="1"/>
    <xf numFmtId="181" fontId="44" fillId="0" borderId="0" xfId="0" applyNumberFormat="1" applyFont="1"/>
    <xf numFmtId="0" fontId="3" fillId="0" borderId="0" xfId="0" applyFont="1" applyBorder="1" applyProtection="1">
      <protection locked="0"/>
    </xf>
    <xf numFmtId="170" fontId="1" fillId="0" borderId="0" xfId="0" applyNumberFormat="1" applyFont="1" applyProtection="1">
      <protection locked="0"/>
    </xf>
    <xf numFmtId="165" fontId="3" fillId="0" borderId="0" xfId="0" applyNumberFormat="1" applyFont="1" applyBorder="1" applyProtection="1">
      <protection locked="0"/>
    </xf>
    <xf numFmtId="10" fontId="3" fillId="0" borderId="0" xfId="57" applyNumberFormat="1" applyFont="1" applyProtection="1"/>
    <xf numFmtId="181" fontId="3" fillId="0" borderId="0" xfId="0" applyNumberFormat="1" applyFont="1" applyBorder="1" applyProtection="1">
      <protection locked="0"/>
    </xf>
    <xf numFmtId="170" fontId="3" fillId="0" borderId="0" xfId="0" applyNumberFormat="1" applyFont="1" applyBorder="1" applyProtection="1">
      <protection locked="0"/>
    </xf>
    <xf numFmtId="169" fontId="3" fillId="0" borderId="0" xfId="0" applyNumberFormat="1" applyFont="1" applyBorder="1" applyProtection="1">
      <protection locked="0"/>
    </xf>
    <xf numFmtId="167" fontId="3" fillId="0" borderId="0" xfId="0" applyNumberFormat="1" applyFont="1" applyBorder="1" applyProtection="1">
      <protection locked="0"/>
    </xf>
    <xf numFmtId="164" fontId="3" fillId="0" borderId="0" xfId="0" applyNumberFormat="1" applyFont="1" applyBorder="1" applyProtection="1">
      <protection locked="0"/>
    </xf>
    <xf numFmtId="37" fontId="3" fillId="0" borderId="0" xfId="0" applyNumberFormat="1" applyFont="1" applyBorder="1" applyAlignment="1" applyProtection="1">
      <alignment horizontal="fill"/>
      <protection locked="0"/>
    </xf>
    <xf numFmtId="0" fontId="3" fillId="0" borderId="0" xfId="0" applyFont="1" applyBorder="1" applyAlignment="1" applyProtection="1">
      <alignment horizontal="left"/>
      <protection locked="0"/>
    </xf>
    <xf numFmtId="167" fontId="1" fillId="0" borderId="0" xfId="0" applyNumberFormat="1" applyFont="1" applyProtection="1">
      <protection locked="0"/>
    </xf>
    <xf numFmtId="37" fontId="3" fillId="0" borderId="7" xfId="0" applyNumberFormat="1" applyFont="1" applyBorder="1" applyProtection="1"/>
    <xf numFmtId="164" fontId="1" fillId="0" borderId="0" xfId="0" applyNumberFormat="1" applyFont="1" applyProtection="1">
      <protection locked="0"/>
    </xf>
    <xf numFmtId="181" fontId="44" fillId="0" borderId="0" xfId="0" applyNumberFormat="1" applyFont="1" applyBorder="1"/>
    <xf numFmtId="39" fontId="1" fillId="0" borderId="0" xfId="0" applyNumberFormat="1" applyFont="1" applyProtection="1">
      <protection locked="0"/>
    </xf>
    <xf numFmtId="37" fontId="3" fillId="0" borderId="1" xfId="0" applyNumberFormat="1" applyFont="1" applyBorder="1" applyProtection="1"/>
    <xf numFmtId="166" fontId="1" fillId="0" borderId="0" xfId="0" applyNumberFormat="1" applyFont="1" applyBorder="1" applyProtection="1">
      <protection locked="0"/>
    </xf>
    <xf numFmtId="172" fontId="1" fillId="0" borderId="0" xfId="0" applyNumberFormat="1" applyFont="1" applyProtection="1">
      <protection locked="0"/>
    </xf>
    <xf numFmtId="165" fontId="1" fillId="0" borderId="0" xfId="0" applyNumberFormat="1" applyFont="1" applyBorder="1" applyProtection="1">
      <protection locked="0"/>
    </xf>
    <xf numFmtId="7" fontId="3" fillId="0" borderId="0" xfId="0" applyNumberFormat="1" applyFont="1" applyProtection="1"/>
    <xf numFmtId="0" fontId="0" fillId="0" borderId="0" xfId="0" applyFont="1"/>
    <xf numFmtId="169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37" fontId="3" fillId="0" borderId="1" xfId="0" applyNumberFormat="1" applyFont="1" applyFill="1" applyBorder="1" applyProtection="1">
      <protection locked="0"/>
    </xf>
    <xf numFmtId="0" fontId="18" fillId="0" borderId="5" xfId="0" quotePrefix="1" applyFont="1" applyBorder="1" applyAlignment="1" applyProtection="1">
      <alignment horizontal="center"/>
    </xf>
    <xf numFmtId="0" fontId="18" fillId="0" borderId="5" xfId="0" applyFont="1" applyBorder="1" applyAlignment="1" applyProtection="1">
      <alignment horizontal="center"/>
    </xf>
    <xf numFmtId="167" fontId="3" fillId="0" borderId="0" xfId="0" applyNumberFormat="1" applyFont="1" applyProtection="1">
      <protection locked="0"/>
    </xf>
    <xf numFmtId="181" fontId="18" fillId="0" borderId="5" xfId="0" applyNumberFormat="1" applyFont="1" applyBorder="1" applyAlignment="1" applyProtection="1">
      <alignment horizontal="center"/>
    </xf>
    <xf numFmtId="182" fontId="3" fillId="0" borderId="0" xfId="0" applyNumberFormat="1" applyFont="1" applyProtection="1"/>
    <xf numFmtId="168" fontId="1" fillId="0" borderId="0" xfId="0" applyNumberFormat="1" applyFont="1" applyBorder="1" applyProtection="1">
      <protection locked="0"/>
    </xf>
    <xf numFmtId="0" fontId="16" fillId="0" borderId="0" xfId="0" applyFont="1" applyAlignment="1" applyProtection="1"/>
    <xf numFmtId="166" fontId="3" fillId="0" borderId="0" xfId="0" applyNumberFormat="1" applyFont="1" applyProtection="1">
      <protection locked="0"/>
    </xf>
    <xf numFmtId="177" fontId="3" fillId="13" borderId="0" xfId="0" applyNumberFormat="1" applyFont="1" applyFill="1" applyProtection="1">
      <protection locked="0"/>
    </xf>
    <xf numFmtId="165" fontId="3" fillId="0" borderId="0" xfId="0" applyNumberFormat="1" applyFont="1" applyProtection="1">
      <protection locked="0"/>
    </xf>
    <xf numFmtId="177" fontId="3" fillId="0" borderId="0" xfId="0" applyNumberFormat="1" applyFont="1" applyFill="1" applyProtection="1">
      <protection locked="0"/>
    </xf>
    <xf numFmtId="177" fontId="3" fillId="0" borderId="0" xfId="0" applyNumberFormat="1" applyFont="1" applyBorder="1" applyProtection="1">
      <protection locked="0"/>
    </xf>
    <xf numFmtId="177" fontId="3" fillId="0" borderId="0" xfId="0" applyNumberFormat="1" applyFont="1" applyFill="1" applyBorder="1" applyProtection="1">
      <protection locked="0"/>
    </xf>
    <xf numFmtId="185" fontId="3" fillId="12" borderId="0" xfId="0" applyNumberFormat="1" applyFont="1" applyFill="1" applyBorder="1"/>
    <xf numFmtId="2" fontId="3" fillId="0" borderId="0" xfId="0" applyNumberFormat="1" applyFont="1" applyBorder="1"/>
    <xf numFmtId="39" fontId="3" fillId="0" borderId="0" xfId="0" applyNumberFormat="1" applyFont="1" applyFill="1" applyBorder="1"/>
    <xf numFmtId="2" fontId="3" fillId="0" borderId="0" xfId="0" applyNumberFormat="1" applyFont="1" applyFill="1" applyBorder="1"/>
    <xf numFmtId="0" fontId="16" fillId="0" borderId="0" xfId="0" applyFont="1" applyFill="1" applyAlignment="1" applyProtection="1">
      <alignment horizontal="center"/>
    </xf>
    <xf numFmtId="39" fontId="3" fillId="7" borderId="0" xfId="0" applyNumberFormat="1" applyFont="1" applyFill="1" applyBorder="1" applyProtection="1">
      <protection locked="0"/>
    </xf>
    <xf numFmtId="10" fontId="3" fillId="0" borderId="0" xfId="57" applyNumberFormat="1" applyFont="1" applyBorder="1"/>
    <xf numFmtId="39" fontId="3" fillId="8" borderId="0" xfId="0" applyNumberFormat="1" applyFont="1" applyFill="1" applyBorder="1" applyProtection="1">
      <protection locked="0"/>
    </xf>
    <xf numFmtId="39" fontId="3" fillId="9" borderId="0" xfId="0" applyNumberFormat="1" applyFont="1" applyFill="1" applyBorder="1" applyProtection="1">
      <protection locked="0"/>
    </xf>
    <xf numFmtId="39" fontId="3" fillId="10" borderId="0" xfId="0" applyNumberFormat="1" applyFont="1" applyFill="1" applyBorder="1" applyProtection="1">
      <protection locked="0"/>
    </xf>
    <xf numFmtId="0" fontId="16" fillId="0" borderId="0" xfId="0" quotePrefix="1" applyFont="1" applyFill="1" applyAlignment="1" applyProtection="1">
      <alignment horizontal="left"/>
    </xf>
    <xf numFmtId="175" fontId="3" fillId="0" borderId="0" xfId="0" applyNumberFormat="1" applyFont="1" applyFill="1"/>
    <xf numFmtId="0" fontId="16" fillId="0" borderId="0" xfId="0" applyFont="1" applyFill="1" applyAlignment="1" applyProtection="1">
      <alignment horizontal="left"/>
    </xf>
    <xf numFmtId="39" fontId="3" fillId="0" borderId="0" xfId="0" applyNumberFormat="1" applyFont="1" applyFill="1" applyProtection="1">
      <protection locked="0"/>
    </xf>
    <xf numFmtId="172" fontId="3" fillId="0" borderId="0" xfId="0" applyNumberFormat="1" applyFont="1"/>
    <xf numFmtId="0" fontId="16" fillId="0" borderId="0" xfId="0" applyFont="1" applyFill="1" applyBorder="1" applyAlignment="1" applyProtection="1">
      <alignment horizontal="left"/>
    </xf>
    <xf numFmtId="39" fontId="1" fillId="0" borderId="0" xfId="0" applyNumberFormat="1" applyFont="1" applyBorder="1" applyProtection="1">
      <protection locked="0"/>
    </xf>
    <xf numFmtId="37" fontId="3" fillId="0" borderId="6" xfId="0" applyNumberFormat="1" applyFont="1" applyBorder="1" applyProtection="1"/>
    <xf numFmtId="39" fontId="1" fillId="0" borderId="0" xfId="0" applyNumberFormat="1" applyFont="1" applyFill="1" applyProtection="1">
      <protection locked="0"/>
    </xf>
    <xf numFmtId="0" fontId="16" fillId="0" borderId="0" xfId="0" applyFont="1" applyFill="1"/>
    <xf numFmtId="181" fontId="16" fillId="0" borderId="0" xfId="0" applyNumberFormat="1" applyFont="1" applyFill="1" applyAlignment="1" applyProtection="1">
      <alignment horizontal="center"/>
    </xf>
    <xf numFmtId="0" fontId="18" fillId="0" borderId="5" xfId="0" applyFont="1" applyFill="1" applyBorder="1" applyAlignment="1" applyProtection="1">
      <alignment horizontal="center"/>
    </xf>
    <xf numFmtId="0" fontId="18" fillId="0" borderId="5" xfId="0" quotePrefix="1" applyFont="1" applyFill="1" applyBorder="1" applyAlignment="1" applyProtection="1">
      <alignment horizontal="center"/>
    </xf>
    <xf numFmtId="181" fontId="18" fillId="0" borderId="5" xfId="0" applyNumberFormat="1" applyFont="1" applyFill="1" applyBorder="1" applyAlignment="1" applyProtection="1">
      <alignment horizontal="center"/>
    </xf>
    <xf numFmtId="37" fontId="3" fillId="0" borderId="7" xfId="0" applyNumberFormat="1" applyFont="1" applyFill="1" applyBorder="1"/>
    <xf numFmtId="39" fontId="3" fillId="12" borderId="0" xfId="0" applyNumberFormat="1" applyFont="1" applyFill="1" applyBorder="1"/>
    <xf numFmtId="37" fontId="3" fillId="12" borderId="0" xfId="0" applyNumberFormat="1" applyFont="1" applyFill="1" applyProtection="1">
      <protection locked="0"/>
    </xf>
    <xf numFmtId="39" fontId="3" fillId="0" borderId="0" xfId="0" applyNumberFormat="1" applyFont="1" applyFill="1" applyProtection="1"/>
    <xf numFmtId="7" fontId="1" fillId="0" borderId="0" xfId="0" applyNumberFormat="1" applyFont="1" applyFill="1" applyProtection="1">
      <protection locked="0"/>
    </xf>
    <xf numFmtId="37" fontId="3" fillId="0" borderId="1" xfId="0" applyNumberFormat="1" applyFont="1" applyFill="1" applyBorder="1"/>
    <xf numFmtId="10" fontId="3" fillId="0" borderId="0" xfId="57" applyNumberFormat="1" applyFont="1" applyFill="1" applyBorder="1"/>
    <xf numFmtId="172" fontId="3" fillId="0" borderId="0" xfId="0" applyNumberFormat="1" applyFont="1" applyFill="1" applyBorder="1"/>
    <xf numFmtId="173" fontId="3" fillId="0" borderId="0" xfId="0" applyNumberFormat="1" applyFont="1" applyFill="1" applyBorder="1"/>
    <xf numFmtId="37" fontId="3" fillId="0" borderId="6" xfId="0" applyNumberFormat="1" applyFont="1" applyFill="1" applyBorder="1"/>
    <xf numFmtId="7" fontId="3" fillId="0" borderId="0" xfId="0" applyNumberFormat="1" applyFont="1" applyFill="1" applyBorder="1" applyProtection="1">
      <protection locked="0"/>
    </xf>
    <xf numFmtId="170" fontId="3" fillId="0" borderId="0" xfId="0" applyNumberFormat="1" applyFont="1" applyFill="1" applyBorder="1" applyProtection="1">
      <protection locked="0"/>
    </xf>
    <xf numFmtId="169" fontId="3" fillId="0" borderId="0" xfId="0" applyNumberFormat="1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168" fontId="3" fillId="0" borderId="0" xfId="0" applyNumberFormat="1" applyFont="1" applyFill="1" applyBorder="1" applyProtection="1">
      <protection locked="0"/>
    </xf>
    <xf numFmtId="181" fontId="3" fillId="0" borderId="0" xfId="0" applyNumberFormat="1" applyFont="1" applyFill="1" applyBorder="1" applyProtection="1">
      <protection locked="0"/>
    </xf>
    <xf numFmtId="166" fontId="3" fillId="0" borderId="0" xfId="0" applyNumberFormat="1" applyFont="1" applyFill="1" applyBorder="1" applyProtection="1">
      <protection locked="0"/>
    </xf>
    <xf numFmtId="167" fontId="3" fillId="0" borderId="0" xfId="0" applyNumberFormat="1" applyFont="1" applyFill="1" applyBorder="1" applyProtection="1">
      <protection locked="0"/>
    </xf>
    <xf numFmtId="172" fontId="3" fillId="0" borderId="0" xfId="0" applyNumberFormat="1" applyFont="1" applyBorder="1" applyAlignment="1" applyProtection="1">
      <alignment horizontal="right"/>
    </xf>
    <xf numFmtId="177" fontId="3" fillId="0" borderId="0" xfId="0" applyNumberFormat="1" applyFont="1"/>
    <xf numFmtId="177" fontId="3" fillId="0" borderId="0" xfId="0" applyNumberFormat="1" applyFont="1" applyBorder="1"/>
    <xf numFmtId="172" fontId="3" fillId="0" borderId="0" xfId="0" applyNumberFormat="1" applyFont="1" applyProtection="1"/>
    <xf numFmtId="37" fontId="3" fillId="0" borderId="6" xfId="0" applyNumberFormat="1" applyFont="1" applyBorder="1" applyProtection="1">
      <protection locked="0"/>
    </xf>
    <xf numFmtId="179" fontId="3" fillId="0" borderId="0" xfId="0" applyNumberFormat="1" applyFont="1" applyBorder="1" applyProtection="1">
      <protection locked="0"/>
    </xf>
    <xf numFmtId="0" fontId="16" fillId="0" borderId="5" xfId="0" applyFont="1" applyBorder="1" applyAlignment="1" applyProtection="1">
      <alignment horizontal="center"/>
    </xf>
    <xf numFmtId="0" fontId="16" fillId="0" borderId="5" xfId="0" quotePrefix="1" applyFont="1" applyBorder="1" applyAlignment="1" applyProtection="1">
      <alignment horizontal="center"/>
    </xf>
    <xf numFmtId="181" fontId="16" fillId="0" borderId="5" xfId="0" applyNumberFormat="1" applyFont="1" applyBorder="1" applyAlignment="1" applyProtection="1">
      <alignment horizontal="center"/>
    </xf>
    <xf numFmtId="37" fontId="45" fillId="0" borderId="0" xfId="0" applyNumberFormat="1" applyFont="1" applyBorder="1" applyProtection="1"/>
    <xf numFmtId="179" fontId="3" fillId="0" borderId="0" xfId="0" applyNumberFormat="1" applyFont="1"/>
    <xf numFmtId="179" fontId="3" fillId="0" borderId="0" xfId="0" applyNumberFormat="1" applyFont="1" applyBorder="1"/>
    <xf numFmtId="167" fontId="1" fillId="0" borderId="0" xfId="0" applyNumberFormat="1" applyFont="1" applyBorder="1" applyProtection="1">
      <protection locked="0"/>
    </xf>
    <xf numFmtId="37" fontId="3" fillId="0" borderId="6" xfId="0" applyNumberFormat="1" applyFont="1" applyBorder="1"/>
    <xf numFmtId="39" fontId="3" fillId="0" borderId="0" xfId="0" applyNumberFormat="1" applyFont="1" applyBorder="1" applyAlignment="1">
      <alignment horizontal="centerContinuous"/>
    </xf>
    <xf numFmtId="39" fontId="18" fillId="0" borderId="0" xfId="0" quotePrefix="1" applyNumberFormat="1" applyFont="1" applyAlignment="1">
      <alignment horizontal="center"/>
    </xf>
    <xf numFmtId="0" fontId="18" fillId="0" borderId="0" xfId="0" quotePrefix="1" applyFont="1" applyBorder="1" applyAlignment="1" applyProtection="1">
      <alignment horizontal="center"/>
    </xf>
    <xf numFmtId="173" fontId="3" fillId="0" borderId="0" xfId="0" applyNumberFormat="1" applyFont="1"/>
    <xf numFmtId="3" fontId="3" fillId="0" borderId="0" xfId="0" applyNumberFormat="1" applyFont="1"/>
    <xf numFmtId="182" fontId="3" fillId="0" borderId="0" xfId="0" applyNumberFormat="1" applyFont="1" applyProtection="1">
      <protection locked="0"/>
    </xf>
    <xf numFmtId="180" fontId="3" fillId="0" borderId="0" xfId="0" applyNumberFormat="1" applyFont="1" applyBorder="1"/>
    <xf numFmtId="0" fontId="16" fillId="0" borderId="0" xfId="0" quotePrefix="1" applyFont="1" applyBorder="1" applyAlignment="1">
      <alignment horizontal="left"/>
    </xf>
    <xf numFmtId="0" fontId="16" fillId="0" borderId="0" xfId="0" applyFont="1" applyBorder="1" applyAlignment="1" applyProtection="1">
      <alignment horizontal="left"/>
    </xf>
    <xf numFmtId="37" fontId="3" fillId="0" borderId="1" xfId="0" applyNumberFormat="1" applyFont="1" applyFill="1" applyBorder="1" applyProtection="1"/>
    <xf numFmtId="10" fontId="3" fillId="0" borderId="0" xfId="58" applyNumberFormat="1" applyFont="1" applyBorder="1"/>
    <xf numFmtId="39" fontId="3" fillId="0" borderId="0" xfId="0" applyNumberFormat="1" applyFont="1" applyBorder="1" applyAlignment="1" applyProtection="1">
      <protection locked="0"/>
    </xf>
    <xf numFmtId="10" fontId="3" fillId="0" borderId="0" xfId="58" applyNumberFormat="1" applyFont="1" applyFill="1" applyBorder="1"/>
    <xf numFmtId="37" fontId="1" fillId="0" borderId="6" xfId="0" applyNumberFormat="1" applyFont="1" applyFill="1" applyBorder="1"/>
    <xf numFmtId="0" fontId="18" fillId="0" borderId="1" xfId="0" applyFont="1" applyBorder="1" applyAlignment="1" applyProtection="1">
      <alignment horizontal="center"/>
    </xf>
    <xf numFmtId="0" fontId="26" fillId="4" borderId="0" xfId="0" applyFont="1" applyFill="1" applyAlignment="1" applyProtection="1">
      <alignment horizontal="left"/>
      <protection locked="0"/>
    </xf>
    <xf numFmtId="0" fontId="26" fillId="4" borderId="0" xfId="0" applyFont="1" applyFill="1" applyAlignment="1" applyProtection="1">
      <alignment horizontal="left"/>
    </xf>
    <xf numFmtId="0" fontId="23" fillId="4" borderId="0" xfId="0" quotePrefix="1" applyFont="1" applyFill="1" applyAlignment="1">
      <alignment horizontal="center"/>
    </xf>
    <xf numFmtId="0" fontId="23" fillId="4" borderId="0" xfId="0" applyFont="1" applyFill="1" applyAlignment="1">
      <alignment horizontal="center"/>
    </xf>
    <xf numFmtId="0" fontId="21" fillId="11" borderId="2" xfId="0" applyFont="1" applyFill="1" applyBorder="1" applyAlignment="1">
      <alignment horizontal="center"/>
    </xf>
    <xf numFmtId="0" fontId="21" fillId="11" borderId="3" xfId="0" applyFont="1" applyFill="1" applyBorder="1" applyAlignment="1">
      <alignment horizontal="center"/>
    </xf>
    <xf numFmtId="0" fontId="21" fillId="11" borderId="4" xfId="0" applyFont="1" applyFill="1" applyBorder="1" applyAlignment="1">
      <alignment horizontal="center"/>
    </xf>
    <xf numFmtId="0" fontId="23" fillId="3" borderId="0" xfId="0" quotePrefix="1" applyFont="1" applyFill="1" applyAlignment="1">
      <alignment horizontal="center"/>
    </xf>
    <xf numFmtId="0" fontId="23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Border="1" applyAlignment="1">
      <alignment horizontal="center"/>
    </xf>
    <xf numFmtId="0" fontId="43" fillId="0" borderId="0" xfId="0" applyFont="1" applyAlignment="1" applyProtection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Alignment="1" applyProtection="1">
      <alignment horizontal="center"/>
    </xf>
    <xf numFmtId="0" fontId="3" fillId="0" borderId="1" xfId="0" applyFont="1" applyBorder="1" applyAlignment="1">
      <alignment horizontal="center"/>
    </xf>
    <xf numFmtId="0" fontId="16" fillId="0" borderId="0" xfId="0" applyFont="1" applyAlignment="1">
      <alignment horizontal="center"/>
    </xf>
  </cellXfs>
  <cellStyles count="59">
    <cellStyle name="Comma" xfId="56" builtinId="3"/>
    <cellStyle name="Normal" xfId="0" builtinId="0"/>
    <cellStyle name="Normal 10" xfId="10"/>
    <cellStyle name="Normal 11" xfId="11"/>
    <cellStyle name="Normal 12" xfId="13"/>
    <cellStyle name="Normal 12 2" xfId="50"/>
    <cellStyle name="Normal 12 3" xfId="51"/>
    <cellStyle name="Normal 12 4" xfId="53"/>
    <cellStyle name="Normal 12 5" xfId="52"/>
    <cellStyle name="Normal 12 6" xfId="54"/>
    <cellStyle name="Normal 13" xfId="12"/>
    <cellStyle name="Normal 14" xfId="16"/>
    <cellStyle name="Normal 15" xfId="17"/>
    <cellStyle name="Normal 16" xfId="19"/>
    <cellStyle name="Normal 17" xfId="21"/>
    <cellStyle name="Normal 18" xfId="23"/>
    <cellStyle name="Normal 19" xfId="25"/>
    <cellStyle name="Normal 2" xfId="1"/>
    <cellStyle name="Normal 2 10" xfId="29"/>
    <cellStyle name="Normal 2 11" xfId="32"/>
    <cellStyle name="Normal 2 12" xfId="34"/>
    <cellStyle name="Normal 2 13" xfId="36"/>
    <cellStyle name="Normal 2 14" xfId="38"/>
    <cellStyle name="Normal 2 15" xfId="40"/>
    <cellStyle name="Normal 2 16" xfId="27"/>
    <cellStyle name="Normal 2 17" xfId="41"/>
    <cellStyle name="Normal 2 18" xfId="44"/>
    <cellStyle name="Normal 2 19" xfId="45"/>
    <cellStyle name="Normal 2 2" xfId="2"/>
    <cellStyle name="Normal 2 20" xfId="48"/>
    <cellStyle name="Normal 2 3" xfId="14"/>
    <cellStyle name="Normal 2 4" xfId="15"/>
    <cellStyle name="Normal 2 5" xfId="18"/>
    <cellStyle name="Normal 2 6" xfId="20"/>
    <cellStyle name="Normal 2 7" xfId="22"/>
    <cellStyle name="Normal 2 8" xfId="24"/>
    <cellStyle name="Normal 2 9" xfId="26"/>
    <cellStyle name="Normal 20" xfId="30"/>
    <cellStyle name="Normal 21" xfId="31"/>
    <cellStyle name="Normal 22" xfId="33"/>
    <cellStyle name="Normal 23" xfId="35"/>
    <cellStyle name="Normal 24" xfId="37"/>
    <cellStyle name="Normal 25" xfId="39"/>
    <cellStyle name="Normal 26" xfId="28"/>
    <cellStyle name="Normal 27" xfId="42"/>
    <cellStyle name="Normal 28" xfId="43"/>
    <cellStyle name="Normal 29" xfId="46"/>
    <cellStyle name="Normal 3" xfId="3"/>
    <cellStyle name="Normal 30" xfId="47"/>
    <cellStyle name="Normal 31" xfId="55"/>
    <cellStyle name="Normal 32" xfId="49"/>
    <cellStyle name="Normal 4" xfId="4"/>
    <cellStyle name="Normal 5" xfId="5"/>
    <cellStyle name="Normal 6" xfId="6"/>
    <cellStyle name="Normal 7" xfId="7"/>
    <cellStyle name="Normal 8" xfId="8"/>
    <cellStyle name="Normal 9" xfId="9"/>
    <cellStyle name="Percent" xfId="57" builtinId="5"/>
    <cellStyle name="Percent 2" xfId="5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66CC"/>
      <color rgb="FF3333FF"/>
      <color rgb="FF255997"/>
      <color rgb="FFB919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checked="Checked" firstButton="1" fmlaLink="$H$7" lockText="1" noThreeD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4</xdr:row>
          <xdr:rowOff>9525</xdr:rowOff>
        </xdr:from>
        <xdr:to>
          <xdr:col>8</xdr:col>
          <xdr:colOff>0</xdr:colOff>
          <xdr:row>5</xdr:row>
          <xdr:rowOff>9525</xdr:rowOff>
        </xdr:to>
        <xdr:sp macro="" textlink="">
          <xdr:nvSpPr>
            <xdr:cNvPr id="99330" name="Option Button 2" descr="With Riders" hidden="1">
              <a:extLst>
                <a:ext uri="{63B3BB69-23CF-44E3-9099-C40C66FF867C}">
                  <a14:compatExt spid="_x0000_s99330"/>
                </a:ext>
                <a:ext uri="{FF2B5EF4-FFF2-40B4-BE49-F238E27FC236}">
                  <a16:creationId xmlns:a16="http://schemas.microsoft.com/office/drawing/2014/main" id="{00000000-0008-0000-0000-000002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With Riders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5</xdr:row>
          <xdr:rowOff>0</xdr:rowOff>
        </xdr:from>
        <xdr:to>
          <xdr:col>8</xdr:col>
          <xdr:colOff>0</xdr:colOff>
          <xdr:row>6</xdr:row>
          <xdr:rowOff>0</xdr:rowOff>
        </xdr:to>
        <xdr:sp macro="" textlink="">
          <xdr:nvSpPr>
            <xdr:cNvPr id="99331" name="Option Button 3" hidden="1">
              <a:extLst>
                <a:ext uri="{63B3BB69-23CF-44E3-9099-C40C66FF867C}">
                  <a14:compatExt spid="_x0000_s99331"/>
                </a:ext>
                <a:ext uri="{FF2B5EF4-FFF2-40B4-BE49-F238E27FC236}">
                  <a16:creationId xmlns:a16="http://schemas.microsoft.com/office/drawing/2014/main" id="{00000000-0008-0000-0000-000003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Without Riders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3</xdr:row>
          <xdr:rowOff>19050</xdr:rowOff>
        </xdr:from>
        <xdr:to>
          <xdr:col>7</xdr:col>
          <xdr:colOff>9525</xdr:colOff>
          <xdr:row>4</xdr:row>
          <xdr:rowOff>9525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Revenue Summary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3</xdr:row>
          <xdr:rowOff>0</xdr:rowOff>
        </xdr:from>
        <xdr:to>
          <xdr:col>20</xdr:col>
          <xdr:colOff>0</xdr:colOff>
          <xdr:row>4</xdr:row>
          <xdr:rowOff>9525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N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Typical Bill Comparison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</xdr:row>
          <xdr:rowOff>0</xdr:rowOff>
        </xdr:from>
        <xdr:to>
          <xdr:col>2</xdr:col>
          <xdr:colOff>0</xdr:colOff>
          <xdr:row>8</xdr:row>
          <xdr:rowOff>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(ALL)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752475</xdr:colOff>
          <xdr:row>9</xdr:row>
          <xdr:rowOff>9525</xdr:rowOff>
        </xdr:from>
        <xdr:to>
          <xdr:col>2</xdr:col>
          <xdr:colOff>9525</xdr:colOff>
          <xdr:row>10</xdr:row>
          <xdr:rowOff>9525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(Summary)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11</xdr:row>
          <xdr:rowOff>0</xdr:rowOff>
        </xdr:from>
        <xdr:to>
          <xdr:col>2</xdr:col>
          <xdr:colOff>0</xdr:colOff>
          <xdr:row>12</xdr:row>
          <xdr:rowOff>0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2-23)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0</xdr:rowOff>
        </xdr:from>
        <xdr:to>
          <xdr:col>4</xdr:col>
          <xdr:colOff>0</xdr:colOff>
          <xdr:row>8</xdr:row>
          <xdr:rowOff>9525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180975</xdr:rowOff>
        </xdr:from>
        <xdr:to>
          <xdr:col>3</xdr:col>
          <xdr:colOff>1085850</xdr:colOff>
          <xdr:row>10</xdr:row>
          <xdr:rowOff>0</xdr:rowOff>
        </xdr:to>
        <xdr:sp macro="" textlink="">
          <xdr:nvSpPr>
            <xdr:cNvPr id="1031" name="Butto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9525</xdr:rowOff>
        </xdr:from>
        <xdr:to>
          <xdr:col>4</xdr:col>
          <xdr:colOff>0</xdr:colOff>
          <xdr:row>12</xdr:row>
          <xdr:rowOff>0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9</xdr:row>
          <xdr:rowOff>9525</xdr:rowOff>
        </xdr:from>
        <xdr:to>
          <xdr:col>5</xdr:col>
          <xdr:colOff>1085850</xdr:colOff>
          <xdr:row>10</xdr:row>
          <xdr:rowOff>9525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6</xdr:row>
          <xdr:rowOff>190500</xdr:rowOff>
        </xdr:from>
        <xdr:to>
          <xdr:col>6</xdr:col>
          <xdr:colOff>0</xdr:colOff>
          <xdr:row>8</xdr:row>
          <xdr:rowOff>0</xdr:rowOff>
        </xdr:to>
        <xdr:sp macro="" textlink="">
          <xdr:nvSpPr>
            <xdr:cNvPr id="1034" name="Butto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SP &amp; GSFL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180975</xdr:rowOff>
        </xdr:from>
        <xdr:to>
          <xdr:col>4</xdr:col>
          <xdr:colOff>9525</xdr:colOff>
          <xdr:row>15</xdr:row>
          <xdr:rowOff>495300</xdr:rowOff>
        </xdr:to>
        <xdr:sp macro="" textlink="">
          <xdr:nvSpPr>
            <xdr:cNvPr id="1035" name="Butto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1076325</xdr:colOff>
          <xdr:row>10</xdr:row>
          <xdr:rowOff>180975</xdr:rowOff>
        </xdr:from>
        <xdr:to>
          <xdr:col>6</xdr:col>
          <xdr:colOff>0</xdr:colOff>
          <xdr:row>11</xdr:row>
          <xdr:rowOff>495300</xdr:rowOff>
        </xdr:to>
        <xdr:sp macro="" textlink="">
          <xdr:nvSpPr>
            <xdr:cNvPr id="1036" name="Butto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9</xdr:row>
          <xdr:rowOff>9525</xdr:rowOff>
        </xdr:from>
        <xdr:to>
          <xdr:col>8</xdr:col>
          <xdr:colOff>9525</xdr:colOff>
          <xdr:row>9</xdr:row>
          <xdr:rowOff>504825</xdr:rowOff>
        </xdr:to>
        <xdr:sp macro="" textlink="">
          <xdr:nvSpPr>
            <xdr:cNvPr id="1037" name="Butto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13-15)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9</xdr:row>
          <xdr:rowOff>9525</xdr:rowOff>
        </xdr:from>
        <xdr:to>
          <xdr:col>10</xdr:col>
          <xdr:colOff>0</xdr:colOff>
          <xdr:row>10</xdr:row>
          <xdr:rowOff>9525</xdr:rowOff>
        </xdr:to>
        <xdr:sp macro="" textlink="">
          <xdr:nvSpPr>
            <xdr:cNvPr id="1038" name="Butto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1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10</xdr:row>
          <xdr:rowOff>152400</xdr:rowOff>
        </xdr:from>
        <xdr:to>
          <xdr:col>8</xdr:col>
          <xdr:colOff>0</xdr:colOff>
          <xdr:row>11</xdr:row>
          <xdr:rowOff>485775</xdr:rowOff>
        </xdr:to>
        <xdr:sp macro="" textlink="">
          <xdr:nvSpPr>
            <xdr:cNvPr id="1039" name="Butto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14</xdr:row>
          <xdr:rowOff>142875</xdr:rowOff>
        </xdr:from>
        <xdr:to>
          <xdr:col>8</xdr:col>
          <xdr:colOff>9525</xdr:colOff>
          <xdr:row>15</xdr:row>
          <xdr:rowOff>485775</xdr:rowOff>
        </xdr:to>
        <xdr:sp macro="" textlink="">
          <xdr:nvSpPr>
            <xdr:cNvPr id="1041" name="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NSU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 18)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7</xdr:row>
          <xdr:rowOff>9525</xdr:rowOff>
        </xdr:from>
        <xdr:to>
          <xdr:col>12</xdr:col>
          <xdr:colOff>0</xdr:colOff>
          <xdr:row>7</xdr:row>
          <xdr:rowOff>495300</xdr:rowOff>
        </xdr:to>
        <xdr:sp macro="" textlink="">
          <xdr:nvSpPr>
            <xdr:cNvPr id="1043" name="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(ALL)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742950</xdr:colOff>
          <xdr:row>9</xdr:row>
          <xdr:rowOff>0</xdr:rowOff>
        </xdr:from>
        <xdr:to>
          <xdr:col>12</xdr:col>
          <xdr:colOff>0</xdr:colOff>
          <xdr:row>10</xdr:row>
          <xdr:rowOff>0</xdr:rowOff>
        </xdr:to>
        <xdr:sp macro="" textlink="">
          <xdr:nvSpPr>
            <xdr:cNvPr id="1044" name="Butto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(Summary)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11</xdr:row>
          <xdr:rowOff>0</xdr:rowOff>
        </xdr:from>
        <xdr:to>
          <xdr:col>12</xdr:col>
          <xdr:colOff>0</xdr:colOff>
          <xdr:row>12</xdr:row>
          <xdr:rowOff>19050</xdr:rowOff>
        </xdr:to>
        <xdr:sp macro="" textlink="">
          <xdr:nvSpPr>
            <xdr:cNvPr id="1045" name="Butto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2-23)</a:t>
              </a:r>
              <a:endParaRPr lang="en-US" sz="800" b="1" i="0" u="none" strike="noStrike" baseline="0">
                <a:solidFill>
                  <a:srgbClr val="00008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en-US" sz="800" b="1" i="0" u="none" strike="noStrike" baseline="0">
                <a:solidFill>
                  <a:srgbClr val="000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7</xdr:row>
          <xdr:rowOff>9525</xdr:rowOff>
        </xdr:from>
        <xdr:to>
          <xdr:col>14</xdr:col>
          <xdr:colOff>0</xdr:colOff>
          <xdr:row>8</xdr:row>
          <xdr:rowOff>9525</xdr:rowOff>
        </xdr:to>
        <xdr:sp macro="" textlink="">
          <xdr:nvSpPr>
            <xdr:cNvPr id="1046" name="Butto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1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161925</xdr:colOff>
          <xdr:row>8</xdr:row>
          <xdr:rowOff>180975</xdr:rowOff>
        </xdr:from>
        <xdr:to>
          <xdr:col>13</xdr:col>
          <xdr:colOff>1085850</xdr:colOff>
          <xdr:row>10</xdr:row>
          <xdr:rowOff>9525</xdr:rowOff>
        </xdr:to>
        <xdr:sp macro="" textlink="">
          <xdr:nvSpPr>
            <xdr:cNvPr id="1047" name="Butto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</a:t>
              </a: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Pg3)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161925</xdr:colOff>
          <xdr:row>11</xdr:row>
          <xdr:rowOff>0</xdr:rowOff>
        </xdr:from>
        <xdr:to>
          <xdr:col>14</xdr:col>
          <xdr:colOff>0</xdr:colOff>
          <xdr:row>12</xdr:row>
          <xdr:rowOff>19050</xdr:rowOff>
        </xdr:to>
        <xdr:sp macro="" textlink="">
          <xdr:nvSpPr>
            <xdr:cNvPr id="1048" name="Butto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9</xdr:row>
          <xdr:rowOff>9525</xdr:rowOff>
        </xdr:from>
        <xdr:to>
          <xdr:col>15</xdr:col>
          <xdr:colOff>1085850</xdr:colOff>
          <xdr:row>10</xdr:row>
          <xdr:rowOff>9525</xdr:rowOff>
        </xdr:to>
        <xdr:sp macro="" textlink="">
          <xdr:nvSpPr>
            <xdr:cNvPr id="1049" name="Butto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7</xdr:row>
          <xdr:rowOff>9525</xdr:rowOff>
        </xdr:from>
        <xdr:to>
          <xdr:col>15</xdr:col>
          <xdr:colOff>1085850</xdr:colOff>
          <xdr:row>8</xdr:row>
          <xdr:rowOff>0</xdr:rowOff>
        </xdr:to>
        <xdr:sp macro="" textlink="">
          <xdr:nvSpPr>
            <xdr:cNvPr id="1050" name="Butto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1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SP &amp; GSFL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15</xdr:row>
          <xdr:rowOff>0</xdr:rowOff>
        </xdr:from>
        <xdr:to>
          <xdr:col>13</xdr:col>
          <xdr:colOff>1085850</xdr:colOff>
          <xdr:row>16</xdr:row>
          <xdr:rowOff>9525</xdr:rowOff>
        </xdr:to>
        <xdr:sp macro="" textlink="">
          <xdr:nvSpPr>
            <xdr:cNvPr id="1051" name="Butto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1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11</xdr:row>
          <xdr:rowOff>9525</xdr:rowOff>
        </xdr:from>
        <xdr:to>
          <xdr:col>15</xdr:col>
          <xdr:colOff>1085850</xdr:colOff>
          <xdr:row>11</xdr:row>
          <xdr:rowOff>495300</xdr:rowOff>
        </xdr:to>
        <xdr:sp macro="" textlink="">
          <xdr:nvSpPr>
            <xdr:cNvPr id="1052" name="Butto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9</xdr:row>
          <xdr:rowOff>19050</xdr:rowOff>
        </xdr:from>
        <xdr:to>
          <xdr:col>18</xdr:col>
          <xdr:colOff>19050</xdr:colOff>
          <xdr:row>10</xdr:row>
          <xdr:rowOff>9525</xdr:rowOff>
        </xdr:to>
        <xdr:sp macro="" textlink="">
          <xdr:nvSpPr>
            <xdr:cNvPr id="1053" name="Butto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13-15)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123825</xdr:colOff>
          <xdr:row>8</xdr:row>
          <xdr:rowOff>152400</xdr:rowOff>
        </xdr:from>
        <xdr:to>
          <xdr:col>19</xdr:col>
          <xdr:colOff>819150</xdr:colOff>
          <xdr:row>10</xdr:row>
          <xdr:rowOff>0</xdr:rowOff>
        </xdr:to>
        <xdr:sp macro="" textlink="">
          <xdr:nvSpPr>
            <xdr:cNvPr id="1054" name="Butto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11</xdr:row>
          <xdr:rowOff>19050</xdr:rowOff>
        </xdr:from>
        <xdr:to>
          <xdr:col>18</xdr:col>
          <xdr:colOff>0</xdr:colOff>
          <xdr:row>12</xdr:row>
          <xdr:rowOff>9525</xdr:rowOff>
        </xdr:to>
        <xdr:sp macro="" textlink="">
          <xdr:nvSpPr>
            <xdr:cNvPr id="1055" name="Butto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15</xdr:row>
          <xdr:rowOff>9525</xdr:rowOff>
        </xdr:from>
        <xdr:to>
          <xdr:col>18</xdr:col>
          <xdr:colOff>47625</xdr:colOff>
          <xdr:row>16</xdr:row>
          <xdr:rowOff>9525</xdr:rowOff>
        </xdr:to>
        <xdr:sp macro="" textlink="">
          <xdr:nvSpPr>
            <xdr:cNvPr id="1057" name="Butto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1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NSU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</xdr:row>
          <xdr:rowOff>209550</xdr:rowOff>
        </xdr:from>
        <xdr:to>
          <xdr:col>13</xdr:col>
          <xdr:colOff>9525</xdr:colOff>
          <xdr:row>4</xdr:row>
          <xdr:rowOff>0</xdr:rowOff>
        </xdr:to>
        <xdr:sp macro="" textlink="">
          <xdr:nvSpPr>
            <xdr:cNvPr id="1059" name="Butto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1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M-2.1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Revenue at Average Rates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7</xdr:row>
          <xdr:rowOff>0</xdr:rowOff>
        </xdr:from>
        <xdr:to>
          <xdr:col>9</xdr:col>
          <xdr:colOff>828675</xdr:colOff>
          <xdr:row>8</xdr:row>
          <xdr:rowOff>9525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1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 19)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85725</xdr:colOff>
          <xdr:row>7</xdr:row>
          <xdr:rowOff>9525</xdr:rowOff>
        </xdr:from>
        <xdr:to>
          <xdr:col>19</xdr:col>
          <xdr:colOff>790575</xdr:colOff>
          <xdr:row>7</xdr:row>
          <xdr:rowOff>495300</xdr:rowOff>
        </xdr:to>
        <xdr:sp macro="" textlink="">
          <xdr:nvSpPr>
            <xdr:cNvPr id="1061" name="Butto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742950</xdr:colOff>
          <xdr:row>13</xdr:row>
          <xdr:rowOff>9525</xdr:rowOff>
        </xdr:from>
        <xdr:to>
          <xdr:col>2</xdr:col>
          <xdr:colOff>9525</xdr:colOff>
          <xdr:row>13</xdr:row>
          <xdr:rowOff>495300</xdr:rowOff>
        </xdr:to>
        <xdr:sp macro="" textlink="">
          <xdr:nvSpPr>
            <xdr:cNvPr id="1062" name="Butto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1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RTP SCH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(Only)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13</xdr:row>
          <xdr:rowOff>19050</xdr:rowOff>
        </xdr:from>
        <xdr:to>
          <xdr:col>12</xdr:col>
          <xdr:colOff>0</xdr:colOff>
          <xdr:row>13</xdr:row>
          <xdr:rowOff>495300</xdr:rowOff>
        </xdr:to>
        <xdr:sp macro="" textlink="">
          <xdr:nvSpPr>
            <xdr:cNvPr id="1063" name="Butto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RTP SCH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(Only)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9525</xdr:colOff>
          <xdr:row>13</xdr:row>
          <xdr:rowOff>0</xdr:rowOff>
        </xdr:from>
        <xdr:to>
          <xdr:col>14</xdr:col>
          <xdr:colOff>0</xdr:colOff>
          <xdr:row>13</xdr:row>
          <xdr:rowOff>495300</xdr:rowOff>
        </xdr:to>
        <xdr:sp macro="" textlink="">
          <xdr:nvSpPr>
            <xdr:cNvPr id="1064" name="Butto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1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1085850</xdr:colOff>
          <xdr:row>12</xdr:row>
          <xdr:rowOff>180975</xdr:rowOff>
        </xdr:from>
        <xdr:to>
          <xdr:col>4</xdr:col>
          <xdr:colOff>9525</xdr:colOff>
          <xdr:row>13</xdr:row>
          <xdr:rowOff>485775</xdr:rowOff>
        </xdr:to>
        <xdr:sp macro="" textlink="">
          <xdr:nvSpPr>
            <xdr:cNvPr id="1065" name="Butto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1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13</xdr:row>
          <xdr:rowOff>9525</xdr:rowOff>
        </xdr:from>
        <xdr:to>
          <xdr:col>18</xdr:col>
          <xdr:colOff>19050</xdr:colOff>
          <xdr:row>13</xdr:row>
          <xdr:rowOff>504825</xdr:rowOff>
        </xdr:to>
        <xdr:sp macro="" textlink="">
          <xdr:nvSpPr>
            <xdr:cNvPr id="1067" name="Butto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1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UOLS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123825</xdr:colOff>
          <xdr:row>13</xdr:row>
          <xdr:rowOff>0</xdr:rowOff>
        </xdr:from>
        <xdr:to>
          <xdr:col>7</xdr:col>
          <xdr:colOff>819150</xdr:colOff>
          <xdr:row>14</xdr:row>
          <xdr:rowOff>9525</xdr:rowOff>
        </xdr:to>
        <xdr:sp macro="" textlink="">
          <xdr:nvSpPr>
            <xdr:cNvPr id="1070" name="Button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1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UOLS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</xdr:colOff>
          <xdr:row>12</xdr:row>
          <xdr:rowOff>152400</xdr:rowOff>
        </xdr:from>
        <xdr:to>
          <xdr:col>6</xdr:col>
          <xdr:colOff>9525</xdr:colOff>
          <xdr:row>13</xdr:row>
          <xdr:rowOff>485775</xdr:rowOff>
        </xdr:to>
        <xdr:sp macro="" textlink="">
          <xdr:nvSpPr>
            <xdr:cNvPr id="1072" name="Button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1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28575</xdr:colOff>
          <xdr:row>14</xdr:row>
          <xdr:rowOff>142875</xdr:rowOff>
        </xdr:from>
        <xdr:to>
          <xdr:col>6</xdr:col>
          <xdr:colOff>28575</xdr:colOff>
          <xdr:row>15</xdr:row>
          <xdr:rowOff>476250</xdr:rowOff>
        </xdr:to>
        <xdr:sp macro="" textlink="">
          <xdr:nvSpPr>
            <xdr:cNvPr id="1073" name="Button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1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7</xdr:row>
          <xdr:rowOff>0</xdr:rowOff>
        </xdr:from>
        <xdr:to>
          <xdr:col>7</xdr:col>
          <xdr:colOff>828675</xdr:colOff>
          <xdr:row>7</xdr:row>
          <xdr:rowOff>495300</xdr:rowOff>
        </xdr:to>
        <xdr:sp macro="" textlink="">
          <xdr:nvSpPr>
            <xdr:cNvPr id="1074" name="Button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1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13</xdr:row>
          <xdr:rowOff>0</xdr:rowOff>
        </xdr:from>
        <xdr:to>
          <xdr:col>16</xdr:col>
          <xdr:colOff>9525</xdr:colOff>
          <xdr:row>13</xdr:row>
          <xdr:rowOff>495300</xdr:rowOff>
        </xdr:to>
        <xdr:sp macro="" textlink="">
          <xdr:nvSpPr>
            <xdr:cNvPr id="1076" name="Button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1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28575</xdr:colOff>
          <xdr:row>14</xdr:row>
          <xdr:rowOff>152400</xdr:rowOff>
        </xdr:from>
        <xdr:to>
          <xdr:col>16</xdr:col>
          <xdr:colOff>38100</xdr:colOff>
          <xdr:row>15</xdr:row>
          <xdr:rowOff>476250</xdr:rowOff>
        </xdr:to>
        <xdr:sp macro="" textlink="">
          <xdr:nvSpPr>
            <xdr:cNvPr id="1077" name="Button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1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123825</xdr:colOff>
          <xdr:row>7</xdr:row>
          <xdr:rowOff>19050</xdr:rowOff>
        </xdr:from>
        <xdr:to>
          <xdr:col>18</xdr:col>
          <xdr:colOff>9525</xdr:colOff>
          <xdr:row>8</xdr:row>
          <xdr:rowOff>9525</xdr:rowOff>
        </xdr:to>
        <xdr:sp macro="" textlink="">
          <xdr:nvSpPr>
            <xdr:cNvPr id="1078" name="Button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1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11</xdr:row>
          <xdr:rowOff>9525</xdr:rowOff>
        </xdr:from>
        <xdr:to>
          <xdr:col>10</xdr:col>
          <xdr:colOff>0</xdr:colOff>
          <xdr:row>12</xdr:row>
          <xdr:rowOff>9525</xdr:rowOff>
        </xdr:to>
        <xdr:sp macro="" textlink="">
          <xdr:nvSpPr>
            <xdr:cNvPr id="1079" name="Button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1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LED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(Pg21-22)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11</xdr:row>
          <xdr:rowOff>9525</xdr:rowOff>
        </xdr:from>
        <xdr:to>
          <xdr:col>20</xdr:col>
          <xdr:colOff>9525</xdr:colOff>
          <xdr:row>12</xdr:row>
          <xdr:rowOff>9525</xdr:rowOff>
        </xdr:to>
        <xdr:sp macro="" textlink="">
          <xdr:nvSpPr>
            <xdr:cNvPr id="1081" name="Button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1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LED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(Pg21-23)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Rate%20Case%20Filings\DEK%20Electric%20Case%202019-00271\M%20Schedules\Sched%20M%20Filed\DEK%20ELEC%20SCH-M%20and%20N%20-%20Test%20Perio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PRINT"/>
      <sheetName val="Revenue Check"/>
      <sheetName val="SCH M"/>
      <sheetName val="SCH M-2.1"/>
      <sheetName val="SCH M-2.2"/>
      <sheetName val="SCH M-2.3"/>
      <sheetName val="Rate RS"/>
      <sheetName val="Rate DS"/>
      <sheetName val="Rate DT-Pri"/>
      <sheetName val="Rate DT-Sec"/>
      <sheetName val="Rate EH"/>
      <sheetName val="Rate SP GSFL"/>
      <sheetName val="Rate DP"/>
      <sheetName val="Rate TT"/>
      <sheetName val="Rate DT RTP-P"/>
      <sheetName val="Rate DT RTP-S"/>
      <sheetName val="Rate DS RTP"/>
      <sheetName val="Rate TT RTP"/>
      <sheetName val="Rate SL"/>
      <sheetName val="Rate TL"/>
      <sheetName val="Rate UOLS"/>
      <sheetName val="Rate NSU"/>
      <sheetName val="Rate SC"/>
      <sheetName val="Rate SE"/>
      <sheetName val="Rate LED"/>
      <sheetName val="SCH N"/>
      <sheetName val="BILL CALC"/>
      <sheetName val="Revenue Requirements"/>
      <sheetName val="Proposed Rates"/>
      <sheetName val="TBI"/>
      <sheetName val="RTP Worksheet"/>
    </sheetNames>
    <sheetDataSet>
      <sheetData sheetId="0">
        <row r="19">
          <cell r="C19">
            <v>6.8099999999999996E-4</v>
          </cell>
        </row>
        <row r="124">
          <cell r="C124">
            <v>4.9050999999999997E-2</v>
          </cell>
        </row>
        <row r="125">
          <cell r="C125">
            <v>4.6826E-2</v>
          </cell>
        </row>
        <row r="126">
          <cell r="C126">
            <v>4.0168000000000002E-2</v>
          </cell>
        </row>
      </sheetData>
      <sheetData sheetId="1"/>
      <sheetData sheetId="2"/>
      <sheetData sheetId="3"/>
      <sheetData sheetId="4"/>
      <sheetData sheetId="5"/>
      <sheetData sheetId="6">
        <row r="62">
          <cell r="J62">
            <v>5.32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G1">
            <v>0.12265235788475171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33">
          <cell r="O33">
            <v>0.12265235788475171</v>
          </cell>
        </row>
      </sheetData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5" Type="http://schemas.openxmlformats.org/officeDocument/2006/relationships/comments" Target="../comments1.xml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Relationship Id="rId14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4.bin"/><Relationship Id="rId13" Type="http://schemas.openxmlformats.org/officeDocument/2006/relationships/printerSettings" Target="../printerSettings/printerSettings199.bin"/><Relationship Id="rId3" Type="http://schemas.openxmlformats.org/officeDocument/2006/relationships/printerSettings" Target="../printerSettings/printerSettings189.bin"/><Relationship Id="rId7" Type="http://schemas.openxmlformats.org/officeDocument/2006/relationships/printerSettings" Target="../printerSettings/printerSettings193.bin"/><Relationship Id="rId12" Type="http://schemas.openxmlformats.org/officeDocument/2006/relationships/printerSettings" Target="../printerSettings/printerSettings198.bin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Relationship Id="rId6" Type="http://schemas.openxmlformats.org/officeDocument/2006/relationships/printerSettings" Target="../printerSettings/printerSettings192.bin"/><Relationship Id="rId11" Type="http://schemas.openxmlformats.org/officeDocument/2006/relationships/printerSettings" Target="../printerSettings/printerSettings197.bin"/><Relationship Id="rId5" Type="http://schemas.openxmlformats.org/officeDocument/2006/relationships/printerSettings" Target="../printerSettings/printerSettings191.bin"/><Relationship Id="rId15" Type="http://schemas.openxmlformats.org/officeDocument/2006/relationships/comments" Target="../comments2.xml"/><Relationship Id="rId10" Type="http://schemas.openxmlformats.org/officeDocument/2006/relationships/printerSettings" Target="../printerSettings/printerSettings196.bin"/><Relationship Id="rId4" Type="http://schemas.openxmlformats.org/officeDocument/2006/relationships/printerSettings" Target="../printerSettings/printerSettings190.bin"/><Relationship Id="rId9" Type="http://schemas.openxmlformats.org/officeDocument/2006/relationships/printerSettings" Target="../printerSettings/printerSettings195.bin"/><Relationship Id="rId14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6.bin"/><Relationship Id="rId18" Type="http://schemas.openxmlformats.org/officeDocument/2006/relationships/ctrlProp" Target="../ctrlProps/ctrlProp5.xml"/><Relationship Id="rId26" Type="http://schemas.openxmlformats.org/officeDocument/2006/relationships/ctrlProp" Target="../ctrlProps/ctrlProp13.xml"/><Relationship Id="rId39" Type="http://schemas.openxmlformats.org/officeDocument/2006/relationships/ctrlProp" Target="../ctrlProps/ctrlProp26.xml"/><Relationship Id="rId21" Type="http://schemas.openxmlformats.org/officeDocument/2006/relationships/ctrlProp" Target="../ctrlProps/ctrlProp8.xml"/><Relationship Id="rId34" Type="http://schemas.openxmlformats.org/officeDocument/2006/relationships/ctrlProp" Target="../ctrlProps/ctrlProp21.xml"/><Relationship Id="rId42" Type="http://schemas.openxmlformats.org/officeDocument/2006/relationships/ctrlProp" Target="../ctrlProps/ctrlProp29.xml"/><Relationship Id="rId47" Type="http://schemas.openxmlformats.org/officeDocument/2006/relationships/ctrlProp" Target="../ctrlProps/ctrlProp34.xml"/><Relationship Id="rId50" Type="http://schemas.openxmlformats.org/officeDocument/2006/relationships/ctrlProp" Target="../ctrlProps/ctrlProp37.xml"/><Relationship Id="rId55" Type="http://schemas.openxmlformats.org/officeDocument/2006/relationships/ctrlProp" Target="../ctrlProps/ctrlProp42.xml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6" Type="http://schemas.openxmlformats.org/officeDocument/2006/relationships/ctrlProp" Target="../ctrlProps/ctrlProp3.xml"/><Relationship Id="rId20" Type="http://schemas.openxmlformats.org/officeDocument/2006/relationships/ctrlProp" Target="../ctrlProps/ctrlProp7.xml"/><Relationship Id="rId29" Type="http://schemas.openxmlformats.org/officeDocument/2006/relationships/ctrlProp" Target="../ctrlProps/ctrlProp16.xml"/><Relationship Id="rId41" Type="http://schemas.openxmlformats.org/officeDocument/2006/relationships/ctrlProp" Target="../ctrlProps/ctrlProp28.xml"/><Relationship Id="rId54" Type="http://schemas.openxmlformats.org/officeDocument/2006/relationships/ctrlProp" Target="../ctrlProps/ctrlProp41.xml"/><Relationship Id="rId62" Type="http://schemas.openxmlformats.org/officeDocument/2006/relationships/ctrlProp" Target="../ctrlProps/ctrlProp49.xml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24" Type="http://schemas.openxmlformats.org/officeDocument/2006/relationships/ctrlProp" Target="../ctrlProps/ctrlProp11.xml"/><Relationship Id="rId32" Type="http://schemas.openxmlformats.org/officeDocument/2006/relationships/ctrlProp" Target="../ctrlProps/ctrlProp19.xml"/><Relationship Id="rId37" Type="http://schemas.openxmlformats.org/officeDocument/2006/relationships/ctrlProp" Target="../ctrlProps/ctrlProp24.xml"/><Relationship Id="rId40" Type="http://schemas.openxmlformats.org/officeDocument/2006/relationships/ctrlProp" Target="../ctrlProps/ctrlProp27.xml"/><Relationship Id="rId45" Type="http://schemas.openxmlformats.org/officeDocument/2006/relationships/ctrlProp" Target="../ctrlProps/ctrlProp32.xml"/><Relationship Id="rId53" Type="http://schemas.openxmlformats.org/officeDocument/2006/relationships/ctrlProp" Target="../ctrlProps/ctrlProp40.xml"/><Relationship Id="rId58" Type="http://schemas.openxmlformats.org/officeDocument/2006/relationships/ctrlProp" Target="../ctrlProps/ctrlProp45.xml"/><Relationship Id="rId5" Type="http://schemas.openxmlformats.org/officeDocument/2006/relationships/printerSettings" Target="../printerSettings/printerSettings18.bin"/><Relationship Id="rId15" Type="http://schemas.openxmlformats.org/officeDocument/2006/relationships/vmlDrawing" Target="../drawings/vmlDrawing2.vml"/><Relationship Id="rId23" Type="http://schemas.openxmlformats.org/officeDocument/2006/relationships/ctrlProp" Target="../ctrlProps/ctrlProp10.xml"/><Relationship Id="rId28" Type="http://schemas.openxmlformats.org/officeDocument/2006/relationships/ctrlProp" Target="../ctrlProps/ctrlProp15.xml"/><Relationship Id="rId36" Type="http://schemas.openxmlformats.org/officeDocument/2006/relationships/ctrlProp" Target="../ctrlProps/ctrlProp23.xml"/><Relationship Id="rId49" Type="http://schemas.openxmlformats.org/officeDocument/2006/relationships/ctrlProp" Target="../ctrlProps/ctrlProp36.xml"/><Relationship Id="rId57" Type="http://schemas.openxmlformats.org/officeDocument/2006/relationships/ctrlProp" Target="../ctrlProps/ctrlProp44.xml"/><Relationship Id="rId61" Type="http://schemas.openxmlformats.org/officeDocument/2006/relationships/ctrlProp" Target="../ctrlProps/ctrlProp48.xml"/><Relationship Id="rId10" Type="http://schemas.openxmlformats.org/officeDocument/2006/relationships/printerSettings" Target="../printerSettings/printerSettings23.bin"/><Relationship Id="rId19" Type="http://schemas.openxmlformats.org/officeDocument/2006/relationships/ctrlProp" Target="../ctrlProps/ctrlProp6.xml"/><Relationship Id="rId31" Type="http://schemas.openxmlformats.org/officeDocument/2006/relationships/ctrlProp" Target="../ctrlProps/ctrlProp18.xml"/><Relationship Id="rId44" Type="http://schemas.openxmlformats.org/officeDocument/2006/relationships/ctrlProp" Target="../ctrlProps/ctrlProp31.xml"/><Relationship Id="rId52" Type="http://schemas.openxmlformats.org/officeDocument/2006/relationships/ctrlProp" Target="../ctrlProps/ctrlProp39.xml"/><Relationship Id="rId60" Type="http://schemas.openxmlformats.org/officeDocument/2006/relationships/ctrlProp" Target="../ctrlProps/ctrlProp47.xml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Relationship Id="rId14" Type="http://schemas.openxmlformats.org/officeDocument/2006/relationships/drawing" Target="../drawings/drawing2.xml"/><Relationship Id="rId22" Type="http://schemas.openxmlformats.org/officeDocument/2006/relationships/ctrlProp" Target="../ctrlProps/ctrlProp9.xml"/><Relationship Id="rId27" Type="http://schemas.openxmlformats.org/officeDocument/2006/relationships/ctrlProp" Target="../ctrlProps/ctrlProp14.xml"/><Relationship Id="rId30" Type="http://schemas.openxmlformats.org/officeDocument/2006/relationships/ctrlProp" Target="../ctrlProps/ctrlProp17.xml"/><Relationship Id="rId35" Type="http://schemas.openxmlformats.org/officeDocument/2006/relationships/ctrlProp" Target="../ctrlProps/ctrlProp22.xml"/><Relationship Id="rId43" Type="http://schemas.openxmlformats.org/officeDocument/2006/relationships/ctrlProp" Target="../ctrlProps/ctrlProp30.xml"/><Relationship Id="rId48" Type="http://schemas.openxmlformats.org/officeDocument/2006/relationships/ctrlProp" Target="../ctrlProps/ctrlProp35.xml"/><Relationship Id="rId56" Type="http://schemas.openxmlformats.org/officeDocument/2006/relationships/ctrlProp" Target="../ctrlProps/ctrlProp43.xml"/><Relationship Id="rId8" Type="http://schemas.openxmlformats.org/officeDocument/2006/relationships/printerSettings" Target="../printerSettings/printerSettings21.bin"/><Relationship Id="rId51" Type="http://schemas.openxmlformats.org/officeDocument/2006/relationships/ctrlProp" Target="../ctrlProps/ctrlProp38.xml"/><Relationship Id="rId3" Type="http://schemas.openxmlformats.org/officeDocument/2006/relationships/printerSettings" Target="../printerSettings/printerSettings16.bin"/><Relationship Id="rId12" Type="http://schemas.openxmlformats.org/officeDocument/2006/relationships/printerSettings" Target="../printerSettings/printerSettings25.bin"/><Relationship Id="rId17" Type="http://schemas.openxmlformats.org/officeDocument/2006/relationships/ctrlProp" Target="../ctrlProps/ctrlProp4.xml"/><Relationship Id="rId25" Type="http://schemas.openxmlformats.org/officeDocument/2006/relationships/ctrlProp" Target="../ctrlProps/ctrlProp12.xml"/><Relationship Id="rId33" Type="http://schemas.openxmlformats.org/officeDocument/2006/relationships/ctrlProp" Target="../ctrlProps/ctrlProp20.xml"/><Relationship Id="rId38" Type="http://schemas.openxmlformats.org/officeDocument/2006/relationships/ctrlProp" Target="../ctrlProps/ctrlProp25.xml"/><Relationship Id="rId46" Type="http://schemas.openxmlformats.org/officeDocument/2006/relationships/ctrlProp" Target="../ctrlProps/ctrlProp33.xml"/><Relationship Id="rId59" Type="http://schemas.openxmlformats.org/officeDocument/2006/relationships/ctrlProp" Target="../ctrlProps/ctrlProp46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7.bin"/><Relationship Id="rId13" Type="http://schemas.openxmlformats.org/officeDocument/2006/relationships/printerSettings" Target="../printerSettings/printerSettings212.bin"/><Relationship Id="rId3" Type="http://schemas.openxmlformats.org/officeDocument/2006/relationships/printerSettings" Target="../printerSettings/printerSettings202.bin"/><Relationship Id="rId7" Type="http://schemas.openxmlformats.org/officeDocument/2006/relationships/printerSettings" Target="../printerSettings/printerSettings206.bin"/><Relationship Id="rId12" Type="http://schemas.openxmlformats.org/officeDocument/2006/relationships/printerSettings" Target="../printerSettings/printerSettings211.bin"/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Relationship Id="rId6" Type="http://schemas.openxmlformats.org/officeDocument/2006/relationships/printerSettings" Target="../printerSettings/printerSettings205.bin"/><Relationship Id="rId11" Type="http://schemas.openxmlformats.org/officeDocument/2006/relationships/printerSettings" Target="../printerSettings/printerSettings210.bin"/><Relationship Id="rId5" Type="http://schemas.openxmlformats.org/officeDocument/2006/relationships/printerSettings" Target="../printerSettings/printerSettings204.bin"/><Relationship Id="rId15" Type="http://schemas.openxmlformats.org/officeDocument/2006/relationships/comments" Target="../comments3.xml"/><Relationship Id="rId10" Type="http://schemas.openxmlformats.org/officeDocument/2006/relationships/printerSettings" Target="../printerSettings/printerSettings209.bin"/><Relationship Id="rId4" Type="http://schemas.openxmlformats.org/officeDocument/2006/relationships/printerSettings" Target="../printerSettings/printerSettings203.bin"/><Relationship Id="rId9" Type="http://schemas.openxmlformats.org/officeDocument/2006/relationships/printerSettings" Target="../printerSettings/printerSettings208.bin"/><Relationship Id="rId14" Type="http://schemas.openxmlformats.org/officeDocument/2006/relationships/vmlDrawing" Target="../drawings/vmlDrawing5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3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13" Type="http://schemas.openxmlformats.org/officeDocument/2006/relationships/printerSettings" Target="../printerSettings/printerSettings226.bin"/><Relationship Id="rId3" Type="http://schemas.openxmlformats.org/officeDocument/2006/relationships/printerSettings" Target="../printerSettings/printerSettings216.bin"/><Relationship Id="rId7" Type="http://schemas.openxmlformats.org/officeDocument/2006/relationships/printerSettings" Target="../printerSettings/printerSettings220.bin"/><Relationship Id="rId12" Type="http://schemas.openxmlformats.org/officeDocument/2006/relationships/printerSettings" Target="../printerSettings/printerSettings225.bin"/><Relationship Id="rId2" Type="http://schemas.openxmlformats.org/officeDocument/2006/relationships/printerSettings" Target="../printerSettings/printerSettings215.bin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5" Type="http://schemas.openxmlformats.org/officeDocument/2006/relationships/printerSettings" Target="../printerSettings/printerSettings218.bin"/><Relationship Id="rId15" Type="http://schemas.openxmlformats.org/officeDocument/2006/relationships/comments" Target="../comments5.xml"/><Relationship Id="rId10" Type="http://schemas.openxmlformats.org/officeDocument/2006/relationships/printerSettings" Target="../printerSettings/printerSettings223.bin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vmlDrawing" Target="../drawings/vmlDrawing7.v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4.bin"/><Relationship Id="rId13" Type="http://schemas.openxmlformats.org/officeDocument/2006/relationships/printerSettings" Target="../printerSettings/printerSettings239.bin"/><Relationship Id="rId3" Type="http://schemas.openxmlformats.org/officeDocument/2006/relationships/printerSettings" Target="../printerSettings/printerSettings229.bin"/><Relationship Id="rId7" Type="http://schemas.openxmlformats.org/officeDocument/2006/relationships/printerSettings" Target="../printerSettings/printerSettings233.bin"/><Relationship Id="rId12" Type="http://schemas.openxmlformats.org/officeDocument/2006/relationships/printerSettings" Target="../printerSettings/printerSettings238.bin"/><Relationship Id="rId2" Type="http://schemas.openxmlformats.org/officeDocument/2006/relationships/printerSettings" Target="../printerSettings/printerSettings228.bin"/><Relationship Id="rId1" Type="http://schemas.openxmlformats.org/officeDocument/2006/relationships/printerSettings" Target="../printerSettings/printerSettings227.bin"/><Relationship Id="rId6" Type="http://schemas.openxmlformats.org/officeDocument/2006/relationships/printerSettings" Target="../printerSettings/printerSettings232.bin"/><Relationship Id="rId11" Type="http://schemas.openxmlformats.org/officeDocument/2006/relationships/printerSettings" Target="../printerSettings/printerSettings237.bin"/><Relationship Id="rId5" Type="http://schemas.openxmlformats.org/officeDocument/2006/relationships/printerSettings" Target="../printerSettings/printerSettings231.bin"/><Relationship Id="rId15" Type="http://schemas.openxmlformats.org/officeDocument/2006/relationships/comments" Target="../comments6.xml"/><Relationship Id="rId10" Type="http://schemas.openxmlformats.org/officeDocument/2006/relationships/printerSettings" Target="../printerSettings/printerSettings236.bin"/><Relationship Id="rId4" Type="http://schemas.openxmlformats.org/officeDocument/2006/relationships/printerSettings" Target="../printerSettings/printerSettings230.bin"/><Relationship Id="rId9" Type="http://schemas.openxmlformats.org/officeDocument/2006/relationships/printerSettings" Target="../printerSettings/printerSettings235.bin"/><Relationship Id="rId14" Type="http://schemas.openxmlformats.org/officeDocument/2006/relationships/vmlDrawing" Target="../drawings/vmlDrawing8.v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7.bin"/><Relationship Id="rId13" Type="http://schemas.openxmlformats.org/officeDocument/2006/relationships/printerSettings" Target="../printerSettings/printerSettings252.bin"/><Relationship Id="rId3" Type="http://schemas.openxmlformats.org/officeDocument/2006/relationships/printerSettings" Target="../printerSettings/printerSettings242.bin"/><Relationship Id="rId7" Type="http://schemas.openxmlformats.org/officeDocument/2006/relationships/printerSettings" Target="../printerSettings/printerSettings246.bin"/><Relationship Id="rId12" Type="http://schemas.openxmlformats.org/officeDocument/2006/relationships/printerSettings" Target="../printerSettings/printerSettings251.bin"/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Relationship Id="rId6" Type="http://schemas.openxmlformats.org/officeDocument/2006/relationships/printerSettings" Target="../printerSettings/printerSettings245.bin"/><Relationship Id="rId11" Type="http://schemas.openxmlformats.org/officeDocument/2006/relationships/printerSettings" Target="../printerSettings/printerSettings250.bin"/><Relationship Id="rId5" Type="http://schemas.openxmlformats.org/officeDocument/2006/relationships/printerSettings" Target="../printerSettings/printerSettings244.bin"/><Relationship Id="rId15" Type="http://schemas.openxmlformats.org/officeDocument/2006/relationships/comments" Target="../comments7.xml"/><Relationship Id="rId10" Type="http://schemas.openxmlformats.org/officeDocument/2006/relationships/printerSettings" Target="../printerSettings/printerSettings249.bin"/><Relationship Id="rId4" Type="http://schemas.openxmlformats.org/officeDocument/2006/relationships/printerSettings" Target="../printerSettings/printerSettings243.bin"/><Relationship Id="rId9" Type="http://schemas.openxmlformats.org/officeDocument/2006/relationships/printerSettings" Target="../printerSettings/printerSettings248.bin"/><Relationship Id="rId14" Type="http://schemas.openxmlformats.org/officeDocument/2006/relationships/vmlDrawing" Target="../drawings/vmlDrawing9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3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1.bin"/><Relationship Id="rId13" Type="http://schemas.openxmlformats.org/officeDocument/2006/relationships/printerSettings" Target="../printerSettings/printerSettings266.bin"/><Relationship Id="rId3" Type="http://schemas.openxmlformats.org/officeDocument/2006/relationships/printerSettings" Target="../printerSettings/printerSettings256.bin"/><Relationship Id="rId7" Type="http://schemas.openxmlformats.org/officeDocument/2006/relationships/printerSettings" Target="../printerSettings/printerSettings260.bin"/><Relationship Id="rId12" Type="http://schemas.openxmlformats.org/officeDocument/2006/relationships/printerSettings" Target="../printerSettings/printerSettings265.bin"/><Relationship Id="rId2" Type="http://schemas.openxmlformats.org/officeDocument/2006/relationships/printerSettings" Target="../printerSettings/printerSettings255.bin"/><Relationship Id="rId1" Type="http://schemas.openxmlformats.org/officeDocument/2006/relationships/printerSettings" Target="../printerSettings/printerSettings254.bin"/><Relationship Id="rId6" Type="http://schemas.openxmlformats.org/officeDocument/2006/relationships/printerSettings" Target="../printerSettings/printerSettings259.bin"/><Relationship Id="rId11" Type="http://schemas.openxmlformats.org/officeDocument/2006/relationships/printerSettings" Target="../printerSettings/printerSettings264.bin"/><Relationship Id="rId5" Type="http://schemas.openxmlformats.org/officeDocument/2006/relationships/printerSettings" Target="../printerSettings/printerSettings258.bin"/><Relationship Id="rId10" Type="http://schemas.openxmlformats.org/officeDocument/2006/relationships/printerSettings" Target="../printerSettings/printerSettings263.bin"/><Relationship Id="rId4" Type="http://schemas.openxmlformats.org/officeDocument/2006/relationships/printerSettings" Target="../printerSettings/printerSettings257.bin"/><Relationship Id="rId9" Type="http://schemas.openxmlformats.org/officeDocument/2006/relationships/printerSettings" Target="../printerSettings/printerSettings262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4.bin"/><Relationship Id="rId13" Type="http://schemas.openxmlformats.org/officeDocument/2006/relationships/printerSettings" Target="../printerSettings/printerSettings279.bin"/><Relationship Id="rId3" Type="http://schemas.openxmlformats.org/officeDocument/2006/relationships/printerSettings" Target="../printerSettings/printerSettings269.bin"/><Relationship Id="rId7" Type="http://schemas.openxmlformats.org/officeDocument/2006/relationships/printerSettings" Target="../printerSettings/printerSettings273.bin"/><Relationship Id="rId12" Type="http://schemas.openxmlformats.org/officeDocument/2006/relationships/printerSettings" Target="../printerSettings/printerSettings278.bin"/><Relationship Id="rId2" Type="http://schemas.openxmlformats.org/officeDocument/2006/relationships/printerSettings" Target="../printerSettings/printerSettings268.bin"/><Relationship Id="rId1" Type="http://schemas.openxmlformats.org/officeDocument/2006/relationships/printerSettings" Target="../printerSettings/printerSettings267.bin"/><Relationship Id="rId6" Type="http://schemas.openxmlformats.org/officeDocument/2006/relationships/printerSettings" Target="../printerSettings/printerSettings272.bin"/><Relationship Id="rId11" Type="http://schemas.openxmlformats.org/officeDocument/2006/relationships/printerSettings" Target="../printerSettings/printerSettings277.bin"/><Relationship Id="rId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76.bin"/><Relationship Id="rId4" Type="http://schemas.openxmlformats.org/officeDocument/2006/relationships/printerSettings" Target="../printerSettings/printerSettings270.bin"/><Relationship Id="rId9" Type="http://schemas.openxmlformats.org/officeDocument/2006/relationships/printerSettings" Target="../printerSettings/printerSettings27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L206"/>
  <sheetViews>
    <sheetView tabSelected="1" view="pageBreakPreview" topLeftCell="A169" zoomScale="60" zoomScaleNormal="100" workbookViewId="0">
      <selection sqref="A1:J1"/>
    </sheetView>
  </sheetViews>
  <sheetFormatPr defaultColWidth="8.88671875" defaultRowHeight="15" x14ac:dyDescent="0.2"/>
  <cols>
    <col min="1" max="1" width="4.88671875" style="2" customWidth="1"/>
    <col min="2" max="2" width="34.33203125" style="2" customWidth="1"/>
    <col min="3" max="4" width="12.77734375" style="2" customWidth="1"/>
    <col min="5" max="5" width="11.77734375" style="2" customWidth="1"/>
    <col min="6" max="7" width="8.88671875" style="2"/>
    <col min="8" max="9" width="12.77734375" style="2" customWidth="1"/>
    <col min="10" max="10" width="10.5546875" style="2" customWidth="1"/>
    <col min="11" max="16384" width="8.88671875" style="2"/>
  </cols>
  <sheetData>
    <row r="1" spans="1:12" ht="27.75" customHeight="1" x14ac:dyDescent="0.4">
      <c r="A1" s="581" t="str">
        <f>IF(H7=1,"BASE PERIOD WITH RIDERS","BASE PERIOD WITHOUT RIDERS")</f>
        <v>BASE PERIOD WITH RIDERS</v>
      </c>
      <c r="B1" s="582"/>
      <c r="C1" s="582"/>
      <c r="D1" s="582"/>
      <c r="E1" s="582"/>
      <c r="F1" s="582"/>
      <c r="G1" s="582"/>
      <c r="H1" s="582"/>
      <c r="I1" s="582"/>
      <c r="J1" s="582"/>
      <c r="K1" s="22"/>
      <c r="L1" s="22"/>
    </row>
    <row r="2" spans="1:12" ht="15.75" x14ac:dyDescent="0.25">
      <c r="A2" s="373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x14ac:dyDescent="0.2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  <row r="4" spans="1:12" ht="16.5" thickBot="1" x14ac:dyDescent="0.3">
      <c r="A4" s="31" t="s">
        <v>201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</row>
    <row r="5" spans="1:12" ht="16.5" thickBot="1" x14ac:dyDescent="0.3">
      <c r="A5" s="22"/>
      <c r="B5" s="410" t="s">
        <v>664</v>
      </c>
      <c r="C5" s="256"/>
      <c r="D5" s="253"/>
      <c r="E5" s="253"/>
      <c r="F5" s="254"/>
      <c r="G5" s="22"/>
      <c r="H5" s="414"/>
      <c r="I5" s="23"/>
      <c r="J5" s="22"/>
      <c r="K5" s="22"/>
      <c r="L5" s="22"/>
    </row>
    <row r="6" spans="1:12" ht="16.5" thickBot="1" x14ac:dyDescent="0.3">
      <c r="A6" s="22"/>
      <c r="B6" s="252" t="str">
        <f>IF(H7=1,"6 Months Actual and 6 Months Projected with Riders","6 Months Actual and 6 Months Projected without Riders")</f>
        <v>6 Months Actual and 6 Months Projected with Riders</v>
      </c>
      <c r="C6" s="256"/>
      <c r="D6" s="253"/>
      <c r="E6" s="253"/>
      <c r="F6" s="254"/>
      <c r="G6" s="22"/>
      <c r="H6" s="415"/>
      <c r="I6" s="24"/>
      <c r="J6" s="22"/>
      <c r="K6" s="22"/>
      <c r="L6" s="22"/>
    </row>
    <row r="7" spans="1:12" ht="16.5" thickBot="1" x14ac:dyDescent="0.3">
      <c r="A7" s="31"/>
      <c r="B7" s="22"/>
      <c r="C7" s="22"/>
      <c r="D7" s="22"/>
      <c r="E7" s="22"/>
      <c r="F7" s="22"/>
      <c r="G7" s="22"/>
      <c r="H7" s="416">
        <v>1</v>
      </c>
      <c r="I7" s="24"/>
      <c r="J7" s="22"/>
      <c r="K7" s="22"/>
      <c r="L7" s="22"/>
    </row>
    <row r="8" spans="1:12" ht="16.5" thickBot="1" x14ac:dyDescent="0.3">
      <c r="A8" s="22"/>
      <c r="B8" s="32" t="s">
        <v>571</v>
      </c>
      <c r="C8" s="257"/>
      <c r="D8" s="33"/>
      <c r="E8" s="33"/>
      <c r="F8" s="34"/>
      <c r="G8" s="26"/>
      <c r="H8" s="26"/>
      <c r="I8" s="23"/>
      <c r="J8" s="22"/>
      <c r="K8" s="22"/>
      <c r="L8" s="22"/>
    </row>
    <row r="9" spans="1:12" ht="16.5" thickBot="1" x14ac:dyDescent="0.3">
      <c r="A9" s="22"/>
      <c r="B9" s="25" t="s">
        <v>0</v>
      </c>
      <c r="C9" s="25"/>
      <c r="D9" s="26"/>
      <c r="E9" s="26"/>
      <c r="F9" s="26"/>
      <c r="G9" s="26"/>
      <c r="H9" s="26"/>
      <c r="I9" s="23"/>
      <c r="J9" s="22"/>
      <c r="K9" s="22"/>
      <c r="L9" s="22"/>
    </row>
    <row r="10" spans="1:12" ht="16.5" thickBot="1" x14ac:dyDescent="0.3">
      <c r="A10" s="22"/>
      <c r="B10" s="411" t="s">
        <v>665</v>
      </c>
      <c r="C10" s="257"/>
      <c r="D10" s="33"/>
      <c r="E10" s="33"/>
      <c r="F10" s="33"/>
      <c r="G10" s="34"/>
      <c r="H10" s="26"/>
      <c r="I10" s="23"/>
      <c r="J10" s="22"/>
      <c r="K10" s="22"/>
      <c r="L10" s="22"/>
    </row>
    <row r="11" spans="1:12" ht="16.5" thickBot="1" x14ac:dyDescent="0.3">
      <c r="A11" s="22"/>
      <c r="B11" s="412" t="s">
        <v>818</v>
      </c>
      <c r="C11" s="38"/>
      <c r="D11" s="142"/>
      <c r="E11" s="142"/>
      <c r="F11" s="142"/>
      <c r="G11" s="36"/>
      <c r="H11" s="22"/>
      <c r="I11" s="24"/>
      <c r="J11" s="22"/>
      <c r="K11" s="22"/>
      <c r="L11" s="22"/>
    </row>
    <row r="12" spans="1:12" ht="16.5" thickBot="1" x14ac:dyDescent="0.3">
      <c r="A12" s="22"/>
      <c r="B12" s="30" t="s">
        <v>1</v>
      </c>
      <c r="C12" s="30"/>
      <c r="D12" s="140" t="s">
        <v>2</v>
      </c>
      <c r="E12" s="141"/>
      <c r="F12" s="22"/>
      <c r="G12" s="22"/>
      <c r="H12" s="22"/>
      <c r="I12" s="24"/>
      <c r="J12" s="22"/>
      <c r="K12" s="22"/>
      <c r="L12" s="22"/>
    </row>
    <row r="13" spans="1:12" ht="16.5" thickBot="1" x14ac:dyDescent="0.3">
      <c r="A13" s="22"/>
      <c r="B13" s="37" t="s">
        <v>662</v>
      </c>
      <c r="C13" s="39"/>
      <c r="D13" s="38"/>
      <c r="E13" s="38"/>
      <c r="F13" s="38"/>
      <c r="G13" s="35"/>
      <c r="H13" s="22"/>
      <c r="I13" s="23" t="s">
        <v>819</v>
      </c>
      <c r="J13" s="22"/>
      <c r="K13" s="22"/>
      <c r="L13" s="22"/>
    </row>
    <row r="14" spans="1:12" ht="16.5" thickBot="1" x14ac:dyDescent="0.3">
      <c r="A14" s="22"/>
      <c r="B14" s="37" t="s">
        <v>392</v>
      </c>
      <c r="C14" s="39"/>
      <c r="D14" s="39"/>
      <c r="E14" s="38"/>
      <c r="F14" s="38"/>
      <c r="G14" s="35"/>
      <c r="H14" s="22"/>
      <c r="I14" s="23" t="s">
        <v>820</v>
      </c>
      <c r="J14" s="424">
        <v>22</v>
      </c>
      <c r="K14" s="22"/>
      <c r="L14" s="22"/>
    </row>
    <row r="15" spans="1:12" ht="16.5" thickBot="1" x14ac:dyDescent="0.3">
      <c r="A15" s="22"/>
      <c r="B15" s="263" t="s">
        <v>663</v>
      </c>
      <c r="C15" s="39"/>
      <c r="D15" s="39"/>
      <c r="E15" s="38"/>
      <c r="F15" s="38"/>
      <c r="G15" s="35"/>
      <c r="H15" s="22"/>
      <c r="I15" s="23" t="s">
        <v>821</v>
      </c>
      <c r="J15" s="424">
        <v>23</v>
      </c>
      <c r="K15" s="22"/>
      <c r="L15" s="22"/>
    </row>
    <row r="16" spans="1:12" ht="42" customHeight="1" x14ac:dyDescent="0.2">
      <c r="A16" s="22"/>
      <c r="B16" s="22"/>
      <c r="C16" s="22"/>
      <c r="D16" s="22"/>
      <c r="E16" s="22"/>
      <c r="F16" s="22"/>
      <c r="G16" s="22"/>
      <c r="H16" s="22"/>
      <c r="I16" s="23"/>
      <c r="J16" s="22"/>
      <c r="K16" s="22"/>
      <c r="L16" s="22"/>
    </row>
    <row r="17" spans="1:12" ht="19.5" customHeight="1" x14ac:dyDescent="0.25">
      <c r="A17" s="22"/>
      <c r="B17" s="22"/>
      <c r="C17" s="255" t="s">
        <v>8</v>
      </c>
      <c r="D17" s="255" t="s">
        <v>6</v>
      </c>
      <c r="E17" s="259"/>
      <c r="F17" s="22"/>
      <c r="G17" s="22"/>
      <c r="H17" s="22"/>
      <c r="I17" s="23"/>
      <c r="J17" s="22"/>
      <c r="K17" s="22"/>
      <c r="L17" s="22"/>
    </row>
    <row r="18" spans="1:12" ht="19.5" customHeight="1" thickBot="1" x14ac:dyDescent="0.3">
      <c r="A18" s="22"/>
      <c r="B18" s="260" t="s">
        <v>573</v>
      </c>
      <c r="C18" s="22"/>
      <c r="D18" s="22"/>
      <c r="E18" s="255"/>
      <c r="F18" s="22"/>
      <c r="G18" s="22"/>
      <c r="H18" s="22"/>
      <c r="I18" s="23"/>
      <c r="J18" s="22"/>
      <c r="K18" s="22"/>
      <c r="L18" s="22"/>
    </row>
    <row r="19" spans="1:12" ht="16.5" thickBot="1" x14ac:dyDescent="0.3">
      <c r="A19" s="22"/>
      <c r="B19" s="258" t="s">
        <v>643</v>
      </c>
      <c r="C19" s="185">
        <v>6.8099999999999996E-4</v>
      </c>
      <c r="D19" s="185">
        <v>6.8099999999999996E-4</v>
      </c>
      <c r="E19" s="40" t="s">
        <v>391</v>
      </c>
      <c r="F19" s="371"/>
      <c r="G19" s="372"/>
      <c r="H19" s="372"/>
      <c r="I19" s="185"/>
      <c r="J19" s="386" t="s">
        <v>661</v>
      </c>
      <c r="K19" s="387"/>
      <c r="L19" s="387"/>
    </row>
    <row r="20" spans="1:12" ht="16.5" thickBot="1" x14ac:dyDescent="0.3">
      <c r="A20" s="22"/>
      <c r="B20" s="40" t="s">
        <v>503</v>
      </c>
      <c r="C20" s="185">
        <v>2.3837000000000001E-2</v>
      </c>
      <c r="D20" s="185">
        <v>2.3837000000000001E-2</v>
      </c>
      <c r="E20" s="40" t="s">
        <v>391</v>
      </c>
      <c r="F20" s="29"/>
      <c r="G20" s="22"/>
      <c r="H20" s="22"/>
      <c r="I20" s="22"/>
      <c r="J20" s="40"/>
      <c r="K20" s="22"/>
      <c r="L20" s="22"/>
    </row>
    <row r="21" spans="1:12" ht="15.75" x14ac:dyDescent="0.25">
      <c r="A21" s="22"/>
      <c r="B21" s="40"/>
      <c r="C21" s="40"/>
      <c r="D21" s="40"/>
      <c r="E21" s="40"/>
      <c r="F21" s="29"/>
      <c r="G21" s="22"/>
      <c r="H21" s="22"/>
      <c r="I21" s="22"/>
      <c r="J21" s="40"/>
      <c r="K21" s="22"/>
      <c r="L21" s="22"/>
    </row>
    <row r="22" spans="1:12" ht="18.75" thickBot="1" x14ac:dyDescent="0.3">
      <c r="A22" s="22"/>
      <c r="B22" s="579" t="s">
        <v>569</v>
      </c>
      <c r="C22" s="579"/>
      <c r="D22" s="579"/>
      <c r="E22" s="40"/>
      <c r="F22" s="29"/>
      <c r="G22" s="22"/>
      <c r="H22" s="22"/>
      <c r="I22" s="22"/>
      <c r="J22" s="40"/>
      <c r="K22" s="22"/>
      <c r="L22" s="22"/>
    </row>
    <row r="23" spans="1:12" ht="16.5" thickBot="1" x14ac:dyDescent="0.3">
      <c r="A23" s="22"/>
      <c r="B23" s="40" t="s">
        <v>55</v>
      </c>
      <c r="C23" s="185">
        <v>0</v>
      </c>
      <c r="D23" s="185">
        <v>0</v>
      </c>
      <c r="E23" s="40" t="s">
        <v>391</v>
      </c>
      <c r="F23" s="29" t="s">
        <v>642</v>
      </c>
      <c r="G23" s="22"/>
      <c r="H23" s="22"/>
      <c r="I23" s="22"/>
      <c r="J23" s="40"/>
      <c r="K23" s="22"/>
      <c r="L23" s="22"/>
    </row>
    <row r="24" spans="1:12" ht="16.5" thickBot="1" x14ac:dyDescent="0.3">
      <c r="A24" s="22"/>
      <c r="B24" s="40" t="s">
        <v>265</v>
      </c>
      <c r="C24" s="185">
        <v>0</v>
      </c>
      <c r="D24" s="185">
        <v>0</v>
      </c>
      <c r="E24" s="40" t="s">
        <v>391</v>
      </c>
      <c r="F24" s="29"/>
      <c r="G24" s="22"/>
      <c r="H24" s="22"/>
      <c r="I24" s="22"/>
      <c r="J24" s="40"/>
      <c r="K24" s="22"/>
      <c r="L24" s="22"/>
    </row>
    <row r="25" spans="1:12" ht="16.5" thickBot="1" x14ac:dyDescent="0.3">
      <c r="A25" s="22"/>
      <c r="B25" s="40" t="s">
        <v>266</v>
      </c>
      <c r="C25" s="185">
        <v>0</v>
      </c>
      <c r="D25" s="185">
        <v>0</v>
      </c>
      <c r="E25" s="40" t="s">
        <v>391</v>
      </c>
      <c r="F25" s="29"/>
      <c r="G25" s="22"/>
      <c r="H25" s="22"/>
      <c r="I25" s="22"/>
      <c r="J25" s="40"/>
      <c r="K25" s="22"/>
      <c r="L25" s="22"/>
    </row>
    <row r="26" spans="1:12" ht="16.5" thickBot="1" x14ac:dyDescent="0.3">
      <c r="A26" s="22"/>
      <c r="B26" s="40" t="s">
        <v>447</v>
      </c>
      <c r="C26" s="185">
        <v>0</v>
      </c>
      <c r="D26" s="185">
        <v>0</v>
      </c>
      <c r="E26" s="40" t="s">
        <v>391</v>
      </c>
      <c r="F26" s="29"/>
      <c r="G26" s="22"/>
      <c r="H26" s="22"/>
      <c r="I26" s="22"/>
      <c r="J26" s="40"/>
      <c r="K26" s="22"/>
      <c r="L26" s="22"/>
    </row>
    <row r="27" spans="1:12" ht="15.75" x14ac:dyDescent="0.25">
      <c r="A27" s="22"/>
      <c r="B27" s="40"/>
      <c r="C27" s="40"/>
      <c r="D27" s="29"/>
      <c r="E27" s="40"/>
      <c r="F27" s="29"/>
      <c r="G27" s="22"/>
      <c r="H27" s="22"/>
      <c r="I27" s="22"/>
      <c r="J27" s="40"/>
      <c r="K27" s="22"/>
      <c r="L27" s="22"/>
    </row>
    <row r="28" spans="1:12" ht="18.75" thickBot="1" x14ac:dyDescent="0.3">
      <c r="A28" s="22"/>
      <c r="B28" s="261" t="s">
        <v>656</v>
      </c>
      <c r="C28" s="40"/>
      <c r="D28" s="186"/>
      <c r="E28" s="40"/>
      <c r="F28" s="22"/>
      <c r="G28" s="29"/>
      <c r="H28" s="22"/>
      <c r="I28" s="23"/>
      <c r="J28" s="22"/>
      <c r="K28" s="22"/>
      <c r="L28" s="22"/>
    </row>
    <row r="29" spans="1:12" ht="16.5" thickBot="1" x14ac:dyDescent="0.3">
      <c r="A29" s="22"/>
      <c r="B29" s="40" t="s">
        <v>55</v>
      </c>
      <c r="C29" s="185">
        <v>3.0349999999999999E-3</v>
      </c>
      <c r="D29" s="185">
        <v>3.0349999999999999E-3</v>
      </c>
      <c r="E29" s="40" t="s">
        <v>391</v>
      </c>
      <c r="F29" s="262"/>
      <c r="G29" s="29"/>
      <c r="H29" s="22"/>
      <c r="I29" s="23"/>
      <c r="J29" s="395">
        <v>0.1</v>
      </c>
      <c r="K29" s="30" t="s">
        <v>655</v>
      </c>
      <c r="L29" s="22"/>
    </row>
    <row r="30" spans="1:12" ht="16.5" thickBot="1" x14ac:dyDescent="0.3">
      <c r="A30" s="22"/>
      <c r="B30" s="40" t="s">
        <v>265</v>
      </c>
      <c r="C30" s="185">
        <v>5.091E-3</v>
      </c>
      <c r="D30" s="185">
        <v>5.091E-3</v>
      </c>
      <c r="E30" s="40" t="s">
        <v>391</v>
      </c>
      <c r="F30" s="22"/>
      <c r="G30" s="29"/>
      <c r="H30" s="30"/>
      <c r="I30" s="23"/>
      <c r="J30" s="22"/>
      <c r="K30" s="22"/>
      <c r="L30" s="22"/>
    </row>
    <row r="31" spans="1:12" ht="16.5" thickBot="1" x14ac:dyDescent="0.3">
      <c r="A31" s="22"/>
      <c r="B31" s="40" t="s">
        <v>266</v>
      </c>
      <c r="C31" s="185">
        <v>4.6299999999999998E-4</v>
      </c>
      <c r="D31" s="185">
        <v>4.6299999999999998E-4</v>
      </c>
      <c r="E31" s="40" t="s">
        <v>391</v>
      </c>
      <c r="F31" s="22"/>
      <c r="G31" s="29"/>
      <c r="H31" s="22"/>
      <c r="I31" s="23"/>
      <c r="J31" s="22"/>
      <c r="K31" s="22"/>
      <c r="L31" s="22"/>
    </row>
    <row r="32" spans="1:12" x14ac:dyDescent="0.2">
      <c r="A32" s="22"/>
      <c r="B32" s="27"/>
      <c r="C32" s="27"/>
      <c r="D32" s="22"/>
      <c r="E32" s="28"/>
      <c r="F32" s="27"/>
      <c r="G32" s="29"/>
      <c r="H32" s="22"/>
      <c r="I32" s="23"/>
      <c r="J32" s="22"/>
      <c r="K32" s="22"/>
      <c r="L32" s="22"/>
    </row>
    <row r="33" spans="1:12" ht="18.75" thickBot="1" x14ac:dyDescent="0.3">
      <c r="A33" s="22"/>
      <c r="B33" s="580" t="s">
        <v>572</v>
      </c>
      <c r="C33" s="580"/>
      <c r="D33" s="22"/>
      <c r="E33" s="28"/>
      <c r="F33" s="27"/>
      <c r="G33" s="29"/>
      <c r="H33" s="22"/>
      <c r="I33" s="23"/>
      <c r="J33" s="22"/>
      <c r="K33" s="22"/>
      <c r="L33" s="22"/>
    </row>
    <row r="34" spans="1:12" ht="16.5" thickBot="1" x14ac:dyDescent="0.3">
      <c r="A34" s="22"/>
      <c r="B34" s="30" t="s">
        <v>448</v>
      </c>
      <c r="C34" s="185">
        <v>-1.63E-4</v>
      </c>
      <c r="D34" s="185">
        <v>-1.63E-4</v>
      </c>
      <c r="E34" s="40" t="s">
        <v>391</v>
      </c>
      <c r="F34" s="27"/>
      <c r="G34" s="29"/>
      <c r="H34" s="22"/>
      <c r="I34" s="23"/>
      <c r="J34" s="22"/>
      <c r="K34" s="22"/>
      <c r="L34" s="22"/>
    </row>
    <row r="35" spans="1:12" x14ac:dyDescent="0.2">
      <c r="A35" s="22"/>
      <c r="B35" s="27"/>
      <c r="C35" s="27"/>
      <c r="D35" s="22"/>
      <c r="E35" s="28"/>
      <c r="F35" s="27"/>
      <c r="G35" s="29"/>
      <c r="H35" s="22"/>
      <c r="I35" s="23"/>
      <c r="J35" s="22"/>
      <c r="K35" s="22"/>
      <c r="L35" s="22"/>
    </row>
    <row r="36" spans="1:12" x14ac:dyDescent="0.2">
      <c r="A36" s="22"/>
      <c r="B36" s="27"/>
      <c r="C36" s="27"/>
      <c r="D36" s="22"/>
      <c r="E36" s="28"/>
      <c r="F36" s="27"/>
      <c r="G36" s="29"/>
      <c r="H36" s="22"/>
      <c r="I36" s="23"/>
      <c r="J36" s="22"/>
      <c r="K36" s="22"/>
      <c r="L36" s="22"/>
    </row>
    <row r="37" spans="1:12" ht="15.75" thickBot="1" x14ac:dyDescent="0.25">
      <c r="A37" s="22"/>
      <c r="B37" s="27"/>
      <c r="C37" s="27"/>
      <c r="D37" s="22"/>
      <c r="E37" s="28"/>
      <c r="F37" s="27"/>
      <c r="G37" s="29"/>
      <c r="H37" s="22"/>
      <c r="I37" s="23"/>
      <c r="J37" s="22"/>
      <c r="K37" s="22"/>
      <c r="L37" s="22"/>
    </row>
    <row r="38" spans="1:12" ht="16.5" thickBot="1" x14ac:dyDescent="0.3">
      <c r="A38" s="22"/>
      <c r="B38" s="41" t="s">
        <v>3</v>
      </c>
      <c r="C38" s="41"/>
      <c r="D38" s="42" t="s">
        <v>666</v>
      </c>
      <c r="E38" s="36"/>
      <c r="F38" s="22"/>
      <c r="G38" s="22"/>
      <c r="H38" s="22"/>
      <c r="I38" s="22"/>
      <c r="J38" s="22"/>
      <c r="K38" s="22"/>
      <c r="L38" s="22"/>
    </row>
    <row r="39" spans="1:12" ht="15.75" x14ac:dyDescent="0.25">
      <c r="A39" s="22"/>
      <c r="B39" s="27"/>
      <c r="C39" s="27"/>
      <c r="D39" s="29"/>
      <c r="E39" s="29"/>
      <c r="F39" s="27"/>
      <c r="G39" s="29"/>
      <c r="H39" s="22"/>
      <c r="I39" s="22"/>
      <c r="J39" s="40"/>
      <c r="K39" s="22"/>
      <c r="L39" s="22"/>
    </row>
    <row r="40" spans="1:12" ht="15.75" x14ac:dyDescent="0.25">
      <c r="A40" s="22"/>
      <c r="B40" s="22"/>
      <c r="C40" s="22"/>
      <c r="D40" s="22"/>
      <c r="E40" s="22"/>
      <c r="F40" s="22"/>
      <c r="G40" s="22"/>
      <c r="H40" s="30"/>
      <c r="I40" s="22"/>
      <c r="J40" s="40"/>
      <c r="K40" s="22"/>
      <c r="L40" s="22"/>
    </row>
    <row r="41" spans="1:12" ht="15.75" x14ac:dyDescent="0.25">
      <c r="A41" s="22"/>
      <c r="B41" s="22"/>
      <c r="C41" s="255" t="s">
        <v>8</v>
      </c>
      <c r="D41" s="255" t="s">
        <v>6</v>
      </c>
      <c r="E41" s="22"/>
      <c r="F41" s="22"/>
      <c r="G41" s="22"/>
      <c r="H41" s="30"/>
      <c r="I41" s="22"/>
      <c r="J41" s="40"/>
      <c r="K41" s="22"/>
      <c r="L41" s="22"/>
    </row>
    <row r="42" spans="1:12" ht="18.75" thickBot="1" x14ac:dyDescent="0.3">
      <c r="A42" s="22"/>
      <c r="B42" s="579" t="s">
        <v>585</v>
      </c>
      <c r="C42" s="579"/>
      <c r="D42" s="579"/>
      <c r="E42" s="22"/>
      <c r="F42" s="22"/>
      <c r="G42" s="22"/>
      <c r="H42" s="30"/>
      <c r="I42" s="22"/>
      <c r="J42" s="40"/>
      <c r="K42" s="22"/>
      <c r="L42" s="22"/>
    </row>
    <row r="43" spans="1:12" ht="16.5" thickBot="1" x14ac:dyDescent="0.3">
      <c r="A43" s="22"/>
      <c r="B43" s="40" t="s">
        <v>64</v>
      </c>
      <c r="C43" s="185">
        <v>11</v>
      </c>
      <c r="D43" s="185">
        <v>14</v>
      </c>
      <c r="E43" s="40" t="s">
        <v>574</v>
      </c>
      <c r="F43" s="22"/>
      <c r="G43" s="22"/>
      <c r="H43" s="30"/>
      <c r="I43" s="22"/>
      <c r="J43" s="40"/>
      <c r="K43" s="22"/>
      <c r="L43" s="22"/>
    </row>
    <row r="44" spans="1:12" ht="16.5" thickBot="1" x14ac:dyDescent="0.3">
      <c r="A44" s="22"/>
      <c r="B44" s="40" t="s">
        <v>575</v>
      </c>
      <c r="C44" s="185">
        <v>7.1650000000000005E-2</v>
      </c>
      <c r="D44" s="185">
        <v>8.4272E-2</v>
      </c>
      <c r="E44" s="40" t="s">
        <v>391</v>
      </c>
      <c r="F44" s="27"/>
      <c r="G44" s="22"/>
      <c r="H44" s="30"/>
      <c r="I44" s="405"/>
      <c r="J44" s="40"/>
      <c r="K44" s="22"/>
      <c r="L44" s="22"/>
    </row>
    <row r="45" spans="1:12" ht="15.75" x14ac:dyDescent="0.25">
      <c r="A45" s="22"/>
      <c r="B45" s="22"/>
      <c r="C45" s="22"/>
      <c r="D45" s="22"/>
      <c r="E45" s="22"/>
      <c r="F45" s="22"/>
      <c r="G45" s="22"/>
      <c r="H45" s="30"/>
      <c r="I45" s="22"/>
      <c r="J45" s="40"/>
      <c r="K45" s="22"/>
      <c r="L45" s="22"/>
    </row>
    <row r="46" spans="1:12" ht="18" x14ac:dyDescent="0.25">
      <c r="A46" s="29"/>
      <c r="B46" s="579" t="s">
        <v>584</v>
      </c>
      <c r="C46" s="579"/>
      <c r="D46" s="579"/>
      <c r="E46" s="22"/>
      <c r="F46" s="22"/>
      <c r="G46" s="22"/>
      <c r="H46" s="30"/>
      <c r="I46" s="22"/>
      <c r="J46" s="40"/>
      <c r="K46" s="22"/>
      <c r="L46" s="22"/>
    </row>
    <row r="47" spans="1:12" ht="16.5" thickBot="1" x14ac:dyDescent="0.3">
      <c r="A47" s="22"/>
      <c r="B47" s="40" t="s">
        <v>64</v>
      </c>
      <c r="C47" s="22"/>
      <c r="D47" s="22"/>
      <c r="E47" s="22"/>
      <c r="F47" s="22"/>
      <c r="G47" s="22"/>
      <c r="H47" s="22"/>
      <c r="I47" s="22"/>
      <c r="J47" s="22"/>
      <c r="K47" s="22"/>
      <c r="L47" s="22"/>
    </row>
    <row r="48" spans="1:12" ht="16.5" thickBot="1" x14ac:dyDescent="0.3">
      <c r="A48" s="22"/>
      <c r="B48" s="40" t="s">
        <v>576</v>
      </c>
      <c r="C48" s="185">
        <v>17.14</v>
      </c>
      <c r="D48" s="185">
        <v>15</v>
      </c>
      <c r="E48" s="40" t="s">
        <v>574</v>
      </c>
      <c r="F48" s="22"/>
      <c r="G48" s="22"/>
      <c r="H48" s="22"/>
      <c r="I48" s="22"/>
      <c r="J48" s="22"/>
      <c r="K48" s="22"/>
      <c r="L48" s="22"/>
    </row>
    <row r="49" spans="1:12" ht="16.5" thickBot="1" x14ac:dyDescent="0.3">
      <c r="A49" s="22"/>
      <c r="B49" s="40" t="s">
        <v>577</v>
      </c>
      <c r="C49" s="185">
        <v>34.28</v>
      </c>
      <c r="D49" s="185">
        <v>30</v>
      </c>
      <c r="E49" s="40" t="s">
        <v>574</v>
      </c>
      <c r="F49" s="22"/>
      <c r="G49" s="22"/>
      <c r="H49" s="22"/>
      <c r="I49" s="22"/>
      <c r="J49" s="22"/>
      <c r="K49" s="22"/>
      <c r="L49" s="22"/>
    </row>
    <row r="50" spans="1:12" ht="16.5" thickBot="1" x14ac:dyDescent="0.3">
      <c r="A50" s="22"/>
      <c r="B50" s="40" t="s">
        <v>575</v>
      </c>
      <c r="C50" s="22"/>
      <c r="D50" s="22"/>
      <c r="E50" s="22"/>
      <c r="F50" s="22"/>
      <c r="G50" s="22"/>
      <c r="H50" s="22"/>
      <c r="I50" s="22"/>
      <c r="J50" s="22"/>
      <c r="K50" s="22"/>
      <c r="L50" s="22"/>
    </row>
    <row r="51" spans="1:12" ht="16.5" thickBot="1" x14ac:dyDescent="0.3">
      <c r="A51" s="22"/>
      <c r="B51" s="22" t="s">
        <v>578</v>
      </c>
      <c r="C51" s="185">
        <v>8.0199999999999994E-2</v>
      </c>
      <c r="D51" s="185">
        <v>9.1238E-2</v>
      </c>
      <c r="E51" s="40" t="s">
        <v>391</v>
      </c>
      <c r="F51" s="22"/>
      <c r="G51" s="22"/>
      <c r="H51" s="22"/>
      <c r="I51" s="22"/>
      <c r="J51" s="22"/>
      <c r="K51" s="22"/>
      <c r="L51" s="22"/>
    </row>
    <row r="52" spans="1:12" ht="16.5" thickBot="1" x14ac:dyDescent="0.3">
      <c r="A52" s="22"/>
      <c r="B52" s="22" t="s">
        <v>579</v>
      </c>
      <c r="C52" s="185">
        <v>4.9231999999999998E-2</v>
      </c>
      <c r="D52" s="185">
        <v>5.6008000000000002E-2</v>
      </c>
      <c r="E52" s="40" t="s">
        <v>391</v>
      </c>
      <c r="F52" s="22"/>
      <c r="G52" s="22"/>
      <c r="H52" s="22"/>
      <c r="I52" s="22"/>
      <c r="J52" s="22"/>
      <c r="K52" s="22"/>
      <c r="L52" s="22"/>
    </row>
    <row r="53" spans="1:12" ht="16.5" thickBot="1" x14ac:dyDescent="0.3">
      <c r="A53" s="22"/>
      <c r="B53" s="22" t="s">
        <v>580</v>
      </c>
      <c r="C53" s="185">
        <v>4.0316999999999999E-2</v>
      </c>
      <c r="D53" s="185">
        <v>4.5865999999999997E-2</v>
      </c>
      <c r="E53" s="40" t="s">
        <v>391</v>
      </c>
      <c r="F53" s="22"/>
      <c r="G53" s="22"/>
      <c r="H53" s="22"/>
      <c r="I53" s="22"/>
      <c r="J53" s="22"/>
      <c r="K53" s="22"/>
      <c r="L53" s="22"/>
    </row>
    <row r="54" spans="1:12" ht="16.5" thickBot="1" x14ac:dyDescent="0.3">
      <c r="A54" s="22"/>
      <c r="B54" s="40" t="s">
        <v>581</v>
      </c>
      <c r="C54" s="22"/>
      <c r="D54" s="22"/>
      <c r="E54" s="22"/>
      <c r="F54" s="22"/>
      <c r="G54" s="22"/>
      <c r="H54" s="22"/>
      <c r="I54" s="22"/>
      <c r="J54" s="22"/>
      <c r="K54" s="22"/>
      <c r="L54" s="22"/>
    </row>
    <row r="55" spans="1:12" ht="16.5" thickBot="1" x14ac:dyDescent="0.3">
      <c r="A55" s="22"/>
      <c r="B55" s="22" t="s">
        <v>583</v>
      </c>
      <c r="C55" s="185">
        <v>0</v>
      </c>
      <c r="D55" s="185">
        <v>0</v>
      </c>
      <c r="E55" s="40" t="s">
        <v>582</v>
      </c>
      <c r="F55" s="22"/>
      <c r="G55" s="22"/>
      <c r="H55" s="22"/>
      <c r="I55" s="22"/>
      <c r="J55" s="22"/>
      <c r="K55" s="22"/>
      <c r="L55" s="22"/>
    </row>
    <row r="56" spans="1:12" ht="16.5" thickBot="1" x14ac:dyDescent="0.3">
      <c r="A56" s="22"/>
      <c r="B56" s="22" t="s">
        <v>580</v>
      </c>
      <c r="C56" s="185">
        <v>8.25</v>
      </c>
      <c r="D56" s="185">
        <v>9.3800000000000008</v>
      </c>
      <c r="E56" s="40" t="s">
        <v>582</v>
      </c>
      <c r="F56" s="22"/>
      <c r="G56" s="22"/>
      <c r="H56" s="22"/>
      <c r="I56" s="22"/>
      <c r="J56" s="22"/>
      <c r="K56" s="22"/>
      <c r="L56" s="22"/>
    </row>
    <row r="57" spans="1:12" ht="16.5" thickBot="1" x14ac:dyDescent="0.3">
      <c r="A57" s="22"/>
      <c r="B57" s="40" t="s">
        <v>586</v>
      </c>
      <c r="C57" s="22"/>
      <c r="D57" s="22"/>
      <c r="E57" s="22"/>
      <c r="F57" s="22"/>
      <c r="G57" s="22"/>
      <c r="H57" s="22"/>
      <c r="I57" s="22"/>
      <c r="J57" s="22"/>
      <c r="K57" s="22"/>
      <c r="L57" s="22"/>
    </row>
    <row r="58" spans="1:12" ht="16.5" thickBot="1" x14ac:dyDescent="0.3">
      <c r="A58" s="22"/>
      <c r="B58" s="22" t="s">
        <v>587</v>
      </c>
      <c r="C58" s="185">
        <v>0.23691499999999999</v>
      </c>
      <c r="D58" s="185">
        <v>0.26952100000000001</v>
      </c>
      <c r="E58" s="40" t="s">
        <v>391</v>
      </c>
      <c r="F58" s="22"/>
      <c r="G58" s="22"/>
      <c r="H58" s="22"/>
      <c r="I58" s="22"/>
      <c r="J58" s="22"/>
      <c r="K58" s="22"/>
      <c r="L58" s="22"/>
    </row>
    <row r="59" spans="1:12" ht="16.5" thickBot="1" x14ac:dyDescent="0.3">
      <c r="A59" s="22"/>
      <c r="B59" s="22" t="s">
        <v>588</v>
      </c>
      <c r="C59" s="185">
        <v>0.14544499999999999</v>
      </c>
      <c r="D59" s="185">
        <v>0.165461</v>
      </c>
      <c r="E59" s="40" t="s">
        <v>391</v>
      </c>
      <c r="F59" s="22"/>
      <c r="G59" s="22"/>
      <c r="H59" s="22"/>
      <c r="I59" s="22"/>
      <c r="J59" s="22"/>
      <c r="K59" s="22"/>
      <c r="L59" s="22"/>
    </row>
    <row r="60" spans="1:12" x14ac:dyDescent="0.2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</row>
    <row r="61" spans="1:12" ht="18" x14ac:dyDescent="0.25">
      <c r="A61" s="22"/>
      <c r="B61" s="579" t="s">
        <v>589</v>
      </c>
      <c r="C61" s="579"/>
      <c r="D61" s="579"/>
      <c r="E61" s="22"/>
      <c r="F61" s="22"/>
      <c r="G61" s="22"/>
      <c r="H61" s="22"/>
      <c r="I61" s="22"/>
      <c r="J61" s="22"/>
      <c r="K61" s="22"/>
      <c r="L61" s="22"/>
    </row>
    <row r="62" spans="1:12" ht="16.5" thickBot="1" x14ac:dyDescent="0.3">
      <c r="A62" s="22"/>
      <c r="B62" s="40" t="s">
        <v>64</v>
      </c>
      <c r="C62" s="22"/>
      <c r="D62" s="22"/>
      <c r="E62" s="22"/>
      <c r="F62" s="22"/>
      <c r="G62" s="22"/>
      <c r="H62" s="22"/>
      <c r="I62" s="22"/>
      <c r="J62" s="22"/>
      <c r="K62" s="22"/>
      <c r="L62" s="22"/>
    </row>
    <row r="63" spans="1:12" ht="16.5" thickBot="1" x14ac:dyDescent="0.3">
      <c r="A63" s="22"/>
      <c r="B63" s="22" t="s">
        <v>650</v>
      </c>
      <c r="C63" s="185">
        <v>5</v>
      </c>
      <c r="D63" s="185">
        <v>5</v>
      </c>
      <c r="E63" s="40" t="s">
        <v>574</v>
      </c>
      <c r="F63" s="22"/>
      <c r="G63" s="22"/>
      <c r="H63" s="22"/>
      <c r="I63" s="22"/>
      <c r="J63" s="22"/>
      <c r="K63" s="22"/>
      <c r="L63" s="22"/>
    </row>
    <row r="64" spans="1:12" ht="16.5" thickBot="1" x14ac:dyDescent="0.3">
      <c r="A64" s="22"/>
      <c r="B64" s="22" t="s">
        <v>649</v>
      </c>
      <c r="C64" s="185">
        <v>5</v>
      </c>
      <c r="D64" s="185">
        <v>5</v>
      </c>
      <c r="E64" s="40" t="s">
        <v>574</v>
      </c>
      <c r="F64" s="22"/>
      <c r="G64" s="22"/>
      <c r="H64" s="22"/>
      <c r="I64" s="22"/>
      <c r="J64" s="22"/>
      <c r="K64" s="22"/>
      <c r="L64" s="22"/>
    </row>
    <row r="65" spans="1:12" x14ac:dyDescent="0.2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</row>
    <row r="66" spans="1:12" ht="18" x14ac:dyDescent="0.25">
      <c r="A66" s="29"/>
      <c r="B66" s="579" t="s">
        <v>590</v>
      </c>
      <c r="C66" s="579"/>
      <c r="D66" s="579"/>
      <c r="E66" s="22"/>
      <c r="F66" s="22"/>
      <c r="G66" s="22"/>
      <c r="H66" s="30"/>
      <c r="I66" s="22"/>
      <c r="J66" s="40"/>
      <c r="K66" s="22"/>
      <c r="L66" s="22"/>
    </row>
    <row r="67" spans="1:12" ht="16.5" thickBot="1" x14ac:dyDescent="0.3">
      <c r="A67" s="22"/>
      <c r="B67" s="40" t="s">
        <v>64</v>
      </c>
      <c r="C67" s="22"/>
      <c r="D67" s="22"/>
      <c r="E67" s="22"/>
      <c r="F67" s="22"/>
      <c r="G67" s="22"/>
      <c r="H67" s="22"/>
      <c r="I67" s="22"/>
      <c r="J67" s="22"/>
      <c r="K67" s="22"/>
      <c r="L67" s="22"/>
    </row>
    <row r="68" spans="1:12" ht="16.5" thickBot="1" x14ac:dyDescent="0.3">
      <c r="A68" s="22"/>
      <c r="B68" s="40" t="s">
        <v>576</v>
      </c>
      <c r="C68" s="185">
        <v>63.5</v>
      </c>
      <c r="D68" s="185">
        <v>65</v>
      </c>
      <c r="E68" s="40" t="s">
        <v>574</v>
      </c>
      <c r="F68" s="22"/>
      <c r="G68" s="22"/>
      <c r="H68" s="22"/>
      <c r="I68" s="22"/>
      <c r="J68" s="22"/>
      <c r="K68" s="22"/>
      <c r="L68" s="22"/>
    </row>
    <row r="69" spans="1:12" ht="16.5" thickBot="1" x14ac:dyDescent="0.3">
      <c r="A69" s="22"/>
      <c r="B69" s="40" t="s">
        <v>577</v>
      </c>
      <c r="C69" s="185">
        <v>127</v>
      </c>
      <c r="D69" s="185">
        <v>130</v>
      </c>
      <c r="E69" s="40" t="s">
        <v>574</v>
      </c>
      <c r="F69" s="22"/>
      <c r="G69" s="22"/>
      <c r="H69" s="22"/>
      <c r="I69" s="22"/>
      <c r="J69" s="22"/>
      <c r="K69" s="22"/>
      <c r="L69" s="22"/>
    </row>
    <row r="70" spans="1:12" ht="16.5" thickBot="1" x14ac:dyDescent="0.3">
      <c r="A70" s="22"/>
      <c r="B70" s="40" t="s">
        <v>591</v>
      </c>
      <c r="C70" s="185">
        <v>138</v>
      </c>
      <c r="D70" s="185">
        <v>138</v>
      </c>
      <c r="E70" s="40" t="s">
        <v>574</v>
      </c>
      <c r="F70" s="22"/>
      <c r="G70" s="22"/>
      <c r="H70" s="22"/>
      <c r="I70" s="22"/>
      <c r="J70" s="22"/>
      <c r="K70" s="22"/>
      <c r="L70" s="22"/>
    </row>
    <row r="71" spans="1:12" ht="16.5" thickBot="1" x14ac:dyDescent="0.3">
      <c r="A71" s="22"/>
      <c r="B71" s="40" t="s">
        <v>575</v>
      </c>
      <c r="C71" s="22"/>
      <c r="D71" s="22"/>
      <c r="E71" s="22"/>
      <c r="F71" s="22"/>
      <c r="G71" s="22"/>
      <c r="H71" s="22"/>
      <c r="I71" s="22"/>
      <c r="J71" s="22"/>
      <c r="K71" s="22"/>
      <c r="L71" s="22"/>
    </row>
    <row r="72" spans="1:12" ht="16.5" thickBot="1" x14ac:dyDescent="0.3">
      <c r="A72" s="22"/>
      <c r="B72" s="22" t="s">
        <v>592</v>
      </c>
      <c r="C72" s="185">
        <v>4.3450000000000003E-2</v>
      </c>
      <c r="D72" s="185">
        <v>4.8711999999999998E-2</v>
      </c>
      <c r="E72" s="40" t="s">
        <v>391</v>
      </c>
      <c r="F72" s="22"/>
      <c r="G72" s="22"/>
      <c r="H72" s="22"/>
      <c r="I72" s="22"/>
      <c r="J72" s="22"/>
      <c r="K72" s="22"/>
      <c r="L72" s="22"/>
    </row>
    <row r="73" spans="1:12" ht="16.5" thickBot="1" x14ac:dyDescent="0.3">
      <c r="A73" s="22"/>
      <c r="B73" s="22" t="s">
        <v>593</v>
      </c>
      <c r="C73" s="185">
        <v>4.1479000000000002E-2</v>
      </c>
      <c r="D73" s="185">
        <v>4.6498999999999999E-2</v>
      </c>
      <c r="E73" s="40" t="s">
        <v>391</v>
      </c>
      <c r="F73" s="22"/>
      <c r="G73" s="22"/>
      <c r="H73" s="22"/>
      <c r="I73" s="22"/>
      <c r="J73" s="22"/>
      <c r="K73" s="22"/>
      <c r="L73" s="22"/>
    </row>
    <row r="74" spans="1:12" ht="16.5" thickBot="1" x14ac:dyDescent="0.3">
      <c r="A74" s="22"/>
      <c r="B74" s="22" t="s">
        <v>594</v>
      </c>
      <c r="C74" s="185">
        <v>3.5582000000000003E-2</v>
      </c>
      <c r="D74" s="185">
        <v>3.9890000000000002E-2</v>
      </c>
      <c r="E74" s="40" t="s">
        <v>391</v>
      </c>
      <c r="F74" s="22"/>
      <c r="G74" s="22"/>
      <c r="H74" s="22"/>
      <c r="I74" s="22"/>
      <c r="J74" s="22"/>
      <c r="K74" s="22"/>
      <c r="L74" s="22"/>
    </row>
    <row r="75" spans="1:12" ht="16.5" thickBot="1" x14ac:dyDescent="0.3">
      <c r="A75" s="22"/>
      <c r="B75" s="40" t="s">
        <v>581</v>
      </c>
      <c r="C75" s="22"/>
      <c r="D75" s="22"/>
      <c r="E75" s="22"/>
      <c r="F75" s="22"/>
      <c r="G75" s="22"/>
      <c r="H75" s="22"/>
      <c r="I75" s="22"/>
      <c r="J75" s="22"/>
      <c r="K75" s="22"/>
      <c r="L75" s="22"/>
    </row>
    <row r="76" spans="1:12" ht="16.5" thickBot="1" x14ac:dyDescent="0.3">
      <c r="A76" s="22"/>
      <c r="B76" s="22" t="s">
        <v>592</v>
      </c>
      <c r="C76" s="185">
        <v>13.78</v>
      </c>
      <c r="D76" s="185">
        <v>15.45</v>
      </c>
      <c r="E76" s="40" t="s">
        <v>582</v>
      </c>
      <c r="F76" s="22"/>
      <c r="G76" s="22"/>
      <c r="H76" s="22"/>
      <c r="I76" s="22"/>
      <c r="J76" s="22"/>
      <c r="K76" s="22"/>
      <c r="L76" s="22"/>
    </row>
    <row r="77" spans="1:12" ht="16.5" thickBot="1" x14ac:dyDescent="0.3">
      <c r="A77" s="22"/>
      <c r="B77" s="22" t="s">
        <v>595</v>
      </c>
      <c r="C77" s="185">
        <v>1.24</v>
      </c>
      <c r="D77" s="185">
        <v>1.39</v>
      </c>
      <c r="E77" s="40" t="s">
        <v>582</v>
      </c>
      <c r="F77" s="22"/>
      <c r="G77" s="22"/>
      <c r="H77" s="22"/>
      <c r="I77" s="22"/>
      <c r="J77" s="22"/>
      <c r="K77" s="22"/>
      <c r="L77" s="22"/>
    </row>
    <row r="78" spans="1:12" ht="16.5" thickBot="1" x14ac:dyDescent="0.3">
      <c r="A78" s="22"/>
      <c r="B78" s="22" t="s">
        <v>593</v>
      </c>
      <c r="C78" s="185">
        <v>13.04</v>
      </c>
      <c r="D78" s="185">
        <v>14.62</v>
      </c>
      <c r="E78" s="40" t="s">
        <v>582</v>
      </c>
      <c r="F78" s="22"/>
      <c r="G78" s="22"/>
      <c r="H78" s="22"/>
      <c r="I78" s="22"/>
      <c r="J78" s="22"/>
      <c r="K78" s="22"/>
      <c r="L78" s="22"/>
    </row>
    <row r="79" spans="1:12" ht="16.5" thickBot="1" x14ac:dyDescent="0.3">
      <c r="A79" s="22"/>
      <c r="B79" s="22" t="s">
        <v>596</v>
      </c>
      <c r="C79" s="185">
        <v>1.24</v>
      </c>
      <c r="D79" s="185">
        <v>1.39</v>
      </c>
      <c r="E79" s="40" t="s">
        <v>582</v>
      </c>
      <c r="F79" s="22"/>
      <c r="G79" s="22"/>
      <c r="H79" s="22"/>
      <c r="I79" s="22"/>
      <c r="J79" s="22"/>
      <c r="K79" s="22"/>
      <c r="L79" s="22"/>
    </row>
    <row r="80" spans="1:12" ht="16.5" thickBot="1" x14ac:dyDescent="0.3">
      <c r="A80" s="22"/>
      <c r="B80" s="22" t="s">
        <v>597</v>
      </c>
      <c r="C80" s="185">
        <v>-0.7</v>
      </c>
      <c r="D80" s="185">
        <v>-0.78</v>
      </c>
      <c r="E80" s="40" t="s">
        <v>582</v>
      </c>
      <c r="F80" s="22"/>
      <c r="G80" s="22"/>
      <c r="H80" s="22"/>
      <c r="I80" s="22"/>
      <c r="J80" s="22"/>
      <c r="K80" s="22"/>
      <c r="L80" s="22"/>
    </row>
    <row r="81" spans="1:12" ht="16.5" thickBot="1" x14ac:dyDescent="0.3">
      <c r="A81" s="22"/>
      <c r="B81" s="22" t="s">
        <v>598</v>
      </c>
      <c r="C81" s="185">
        <v>-0.54</v>
      </c>
      <c r="D81" s="185">
        <v>-0.61</v>
      </c>
      <c r="E81" s="40" t="s">
        <v>582</v>
      </c>
      <c r="F81" s="22"/>
      <c r="G81" s="22"/>
      <c r="H81" s="22"/>
      <c r="I81" s="22"/>
      <c r="J81" s="22"/>
      <c r="K81" s="22"/>
      <c r="L81" s="22"/>
    </row>
    <row r="82" spans="1:12" x14ac:dyDescent="0.2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</row>
    <row r="83" spans="1:12" ht="18" x14ac:dyDescent="0.25">
      <c r="A83" s="29"/>
      <c r="B83" s="579" t="s">
        <v>601</v>
      </c>
      <c r="C83" s="579"/>
      <c r="D83" s="579"/>
      <c r="E83" s="22"/>
      <c r="F83" s="22"/>
      <c r="G83" s="22"/>
      <c r="H83" s="30"/>
      <c r="I83" s="22"/>
      <c r="J83" s="40"/>
      <c r="K83" s="22"/>
      <c r="L83" s="22"/>
    </row>
    <row r="84" spans="1:12" ht="16.5" thickBot="1" x14ac:dyDescent="0.3">
      <c r="A84" s="22"/>
      <c r="B84" s="40" t="s">
        <v>64</v>
      </c>
      <c r="C84" s="22"/>
      <c r="D84" s="22"/>
      <c r="E84" s="22"/>
      <c r="F84" s="22"/>
      <c r="G84" s="22"/>
      <c r="H84" s="22"/>
      <c r="I84" s="22"/>
      <c r="J84" s="22"/>
      <c r="K84" s="22"/>
      <c r="L84" s="22"/>
    </row>
    <row r="85" spans="1:12" ht="16.5" thickBot="1" x14ac:dyDescent="0.3">
      <c r="A85" s="22"/>
      <c r="B85" s="40" t="s">
        <v>576</v>
      </c>
      <c r="C85" s="185">
        <v>17.14</v>
      </c>
      <c r="D85" s="185">
        <v>15</v>
      </c>
      <c r="E85" s="40" t="s">
        <v>574</v>
      </c>
      <c r="F85" s="22"/>
      <c r="G85" s="22"/>
      <c r="H85" s="22"/>
      <c r="I85" s="22"/>
      <c r="J85" s="22"/>
      <c r="K85" s="22"/>
      <c r="L85" s="22"/>
    </row>
    <row r="86" spans="1:12" ht="16.5" thickBot="1" x14ac:dyDescent="0.3">
      <c r="A86" s="22"/>
      <c r="B86" s="40" t="s">
        <v>577</v>
      </c>
      <c r="C86" s="185">
        <v>34.28</v>
      </c>
      <c r="D86" s="185">
        <v>30</v>
      </c>
      <c r="E86" s="40" t="s">
        <v>574</v>
      </c>
      <c r="F86" s="22"/>
      <c r="G86" s="22"/>
      <c r="H86" s="22"/>
      <c r="I86" s="22"/>
      <c r="J86" s="22"/>
      <c r="K86" s="22"/>
      <c r="L86" s="22"/>
    </row>
    <row r="87" spans="1:12" ht="16.5" thickBot="1" x14ac:dyDescent="0.3">
      <c r="A87" s="22"/>
      <c r="B87" s="40" t="s">
        <v>591</v>
      </c>
      <c r="C87" s="185">
        <v>117</v>
      </c>
      <c r="D87" s="185">
        <v>117</v>
      </c>
      <c r="E87" s="40" t="s">
        <v>574</v>
      </c>
      <c r="F87" s="22"/>
      <c r="G87" s="22"/>
      <c r="H87" s="22"/>
      <c r="I87" s="22"/>
      <c r="J87" s="22"/>
      <c r="K87" s="22"/>
      <c r="L87" s="22"/>
    </row>
    <row r="88" spans="1:12" ht="16.5" thickBot="1" x14ac:dyDescent="0.3">
      <c r="A88" s="22"/>
      <c r="B88" s="40" t="s">
        <v>575</v>
      </c>
      <c r="C88" s="22"/>
      <c r="D88" s="22"/>
      <c r="E88" s="22"/>
      <c r="F88" s="22"/>
      <c r="G88" s="22"/>
      <c r="H88" s="22"/>
      <c r="I88" s="22"/>
      <c r="J88" s="22"/>
      <c r="K88" s="22"/>
      <c r="L88" s="22"/>
    </row>
    <row r="89" spans="1:12" ht="16.5" thickBot="1" x14ac:dyDescent="0.3">
      <c r="A89" s="22"/>
      <c r="B89" s="22" t="s">
        <v>599</v>
      </c>
      <c r="C89" s="185">
        <v>6.2202E-2</v>
      </c>
      <c r="D89" s="185">
        <v>7.0482000000000003E-2</v>
      </c>
      <c r="E89" s="40" t="s">
        <v>391</v>
      </c>
      <c r="F89" s="22"/>
      <c r="G89" s="22"/>
      <c r="H89" s="22"/>
      <c r="I89" s="22"/>
      <c r="J89" s="22"/>
      <c r="K89" s="22"/>
      <c r="L89" s="22"/>
    </row>
    <row r="90" spans="1:12" ht="16.5" thickBot="1" x14ac:dyDescent="0.3">
      <c r="A90" s="22"/>
      <c r="B90" s="40" t="s">
        <v>581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</row>
    <row r="91" spans="1:12" ht="16.5" thickBot="1" x14ac:dyDescent="0.3">
      <c r="A91" s="22"/>
      <c r="B91" s="22" t="s">
        <v>600</v>
      </c>
      <c r="C91" s="185">
        <v>0</v>
      </c>
      <c r="D91" s="185">
        <v>0</v>
      </c>
      <c r="E91" s="40" t="s">
        <v>582</v>
      </c>
      <c r="F91" s="22"/>
      <c r="G91" s="22"/>
      <c r="H91" s="22"/>
      <c r="I91" s="22"/>
      <c r="J91" s="22"/>
      <c r="K91" s="22"/>
      <c r="L91" s="22"/>
    </row>
    <row r="92" spans="1:12" x14ac:dyDescent="0.2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</row>
    <row r="93" spans="1:12" ht="18" x14ac:dyDescent="0.25">
      <c r="A93" s="29"/>
      <c r="B93" s="579" t="s">
        <v>602</v>
      </c>
      <c r="C93" s="579"/>
      <c r="D93" s="579"/>
      <c r="E93" s="22"/>
      <c r="F93" s="22"/>
      <c r="G93" s="22"/>
      <c r="H93" s="30"/>
      <c r="I93" s="22"/>
      <c r="J93" s="40"/>
      <c r="K93" s="22"/>
      <c r="L93" s="22"/>
    </row>
    <row r="94" spans="1:12" ht="16.5" thickBot="1" x14ac:dyDescent="0.3">
      <c r="A94" s="22"/>
      <c r="B94" s="40" t="s">
        <v>64</v>
      </c>
      <c r="C94" s="22"/>
      <c r="D94" s="22"/>
      <c r="E94" s="22"/>
      <c r="F94" s="22"/>
      <c r="G94" s="22"/>
      <c r="H94" s="22"/>
      <c r="I94" s="22"/>
      <c r="J94" s="22"/>
      <c r="K94" s="22"/>
      <c r="L94" s="22"/>
    </row>
    <row r="95" spans="1:12" ht="16.5" thickBot="1" x14ac:dyDescent="0.3">
      <c r="A95" s="22"/>
      <c r="B95" s="40" t="s">
        <v>576</v>
      </c>
      <c r="C95" s="185">
        <v>17.14</v>
      </c>
      <c r="D95" s="185">
        <v>15</v>
      </c>
      <c r="E95" s="40" t="s">
        <v>574</v>
      </c>
      <c r="F95" s="22"/>
      <c r="G95" s="22"/>
      <c r="H95" s="22"/>
      <c r="I95" s="22"/>
      <c r="J95" s="22"/>
      <c r="K95" s="22"/>
      <c r="L95" s="22"/>
    </row>
    <row r="96" spans="1:12" ht="16.5" thickBot="1" x14ac:dyDescent="0.3">
      <c r="A96" s="22"/>
      <c r="B96" s="40" t="s">
        <v>575</v>
      </c>
      <c r="C96" s="22"/>
      <c r="D96" s="22"/>
      <c r="E96" s="22"/>
      <c r="F96" s="22"/>
      <c r="G96" s="22"/>
      <c r="H96" s="22"/>
      <c r="I96" s="22"/>
      <c r="J96" s="22"/>
      <c r="K96" s="22"/>
      <c r="L96" s="22"/>
    </row>
    <row r="97" spans="1:12" ht="16.5" thickBot="1" x14ac:dyDescent="0.3">
      <c r="A97" s="22"/>
      <c r="B97" s="22" t="s">
        <v>599</v>
      </c>
      <c r="C97" s="185">
        <v>9.6129999999999993E-2</v>
      </c>
      <c r="D97" s="185">
        <v>0.111052</v>
      </c>
      <c r="E97" s="40" t="s">
        <v>391</v>
      </c>
      <c r="F97" s="22"/>
      <c r="G97" s="22"/>
      <c r="H97" s="22"/>
      <c r="I97" s="22"/>
      <c r="J97" s="22"/>
      <c r="K97" s="22"/>
      <c r="L97" s="22"/>
    </row>
    <row r="98" spans="1:12" ht="16.5" thickBot="1" x14ac:dyDescent="0.3">
      <c r="A98" s="22"/>
      <c r="B98" s="40" t="s">
        <v>581</v>
      </c>
      <c r="C98" s="22"/>
      <c r="D98" s="22"/>
      <c r="E98" s="22"/>
      <c r="F98" s="22"/>
      <c r="G98" s="22"/>
      <c r="H98" s="22"/>
      <c r="I98" s="22"/>
      <c r="J98" s="22"/>
      <c r="K98" s="22"/>
      <c r="L98" s="22"/>
    </row>
    <row r="99" spans="1:12" ht="16.5" thickBot="1" x14ac:dyDescent="0.3">
      <c r="A99" s="22"/>
      <c r="B99" s="22" t="s">
        <v>600</v>
      </c>
      <c r="C99" s="185">
        <v>0</v>
      </c>
      <c r="D99" s="185">
        <v>0</v>
      </c>
      <c r="E99" s="40" t="s">
        <v>582</v>
      </c>
      <c r="F99" s="22"/>
      <c r="G99" s="22"/>
      <c r="H99" s="22"/>
      <c r="I99" s="22"/>
      <c r="J99" s="22"/>
      <c r="K99" s="22"/>
      <c r="L99" s="22"/>
    </row>
    <row r="100" spans="1:12" x14ac:dyDescent="0.2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</row>
    <row r="101" spans="1:12" ht="18" x14ac:dyDescent="0.25">
      <c r="A101" s="29"/>
      <c r="B101" s="579" t="s">
        <v>603</v>
      </c>
      <c r="C101" s="579"/>
      <c r="D101" s="579"/>
      <c r="E101" s="22"/>
      <c r="F101" s="22"/>
      <c r="G101" s="22"/>
      <c r="H101" s="30"/>
      <c r="I101" s="22"/>
      <c r="J101" s="40"/>
      <c r="K101" s="22"/>
      <c r="L101" s="22"/>
    </row>
    <row r="102" spans="1:12" ht="16.5" thickBot="1" x14ac:dyDescent="0.3">
      <c r="A102" s="22"/>
      <c r="B102" s="40" t="s">
        <v>607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</row>
    <row r="103" spans="1:12" ht="16.5" thickBot="1" x14ac:dyDescent="0.3">
      <c r="A103" s="22"/>
      <c r="B103" s="40" t="s">
        <v>604</v>
      </c>
      <c r="C103" s="185">
        <v>2.98</v>
      </c>
      <c r="D103" s="185">
        <v>3.36</v>
      </c>
      <c r="E103" s="40" t="s">
        <v>574</v>
      </c>
      <c r="F103" s="22"/>
      <c r="G103" s="22"/>
      <c r="H103" s="22"/>
      <c r="I103" s="22"/>
      <c r="J103" s="22"/>
      <c r="K103" s="22"/>
      <c r="L103" s="22"/>
    </row>
    <row r="104" spans="1:12" ht="16.5" thickBot="1" x14ac:dyDescent="0.3">
      <c r="A104" s="22"/>
      <c r="B104" s="40" t="s">
        <v>575</v>
      </c>
      <c r="C104" s="22"/>
      <c r="D104" s="22"/>
      <c r="E104" s="22"/>
      <c r="F104" s="22"/>
      <c r="G104" s="22"/>
      <c r="H104" s="22"/>
      <c r="I104" s="22"/>
      <c r="J104" s="22"/>
      <c r="K104" s="22"/>
      <c r="L104" s="22"/>
    </row>
    <row r="105" spans="1:12" ht="16.5" thickBot="1" x14ac:dyDescent="0.3">
      <c r="A105" s="22"/>
      <c r="B105" s="22" t="s">
        <v>606</v>
      </c>
      <c r="C105" s="185">
        <v>8.2708000000000004E-2</v>
      </c>
      <c r="D105" s="185">
        <v>9.3089000000000005E-2</v>
      </c>
      <c r="E105" s="40" t="s">
        <v>391</v>
      </c>
      <c r="F105" s="22"/>
      <c r="G105" s="22"/>
      <c r="H105" s="22"/>
      <c r="I105" s="22"/>
      <c r="J105" s="22"/>
      <c r="K105" s="22"/>
      <c r="L105" s="22"/>
    </row>
    <row r="106" spans="1:12" ht="16.5" thickBot="1" x14ac:dyDescent="0.3">
      <c r="A106" s="22"/>
      <c r="B106" s="22" t="s">
        <v>605</v>
      </c>
      <c r="C106" s="185">
        <v>9.5240000000000005E-2</v>
      </c>
      <c r="D106" s="185">
        <v>0.107269</v>
      </c>
      <c r="E106" s="40" t="s">
        <v>391</v>
      </c>
      <c r="F106" s="22"/>
      <c r="G106" s="22"/>
      <c r="H106" s="22"/>
      <c r="I106" s="22"/>
      <c r="J106" s="22"/>
      <c r="K106" s="22"/>
      <c r="L106" s="22"/>
    </row>
    <row r="107" spans="1:12" ht="16.5" thickBot="1" x14ac:dyDescent="0.3">
      <c r="A107" s="22"/>
      <c r="B107" s="40" t="s">
        <v>581</v>
      </c>
      <c r="C107" s="22"/>
      <c r="D107" s="22"/>
      <c r="E107" s="22"/>
      <c r="F107" s="22"/>
      <c r="G107" s="22"/>
      <c r="H107" s="22"/>
      <c r="I107" s="22"/>
      <c r="J107" s="22"/>
      <c r="K107" s="22"/>
      <c r="L107" s="22"/>
    </row>
    <row r="108" spans="1:12" ht="16.5" thickBot="1" x14ac:dyDescent="0.3">
      <c r="A108" s="22"/>
      <c r="B108" s="22" t="s">
        <v>600</v>
      </c>
      <c r="C108" s="185">
        <v>0</v>
      </c>
      <c r="D108" s="185">
        <v>0</v>
      </c>
      <c r="E108" s="40" t="s">
        <v>582</v>
      </c>
      <c r="F108" s="22"/>
      <c r="G108" s="22"/>
      <c r="H108" s="22"/>
      <c r="I108" s="22"/>
      <c r="J108" s="22"/>
      <c r="K108" s="22"/>
      <c r="L108" s="22"/>
    </row>
    <row r="109" spans="1:12" x14ac:dyDescent="0.2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</row>
    <row r="110" spans="1:12" ht="18" x14ac:dyDescent="0.25">
      <c r="A110" s="29"/>
      <c r="B110" s="579" t="s">
        <v>608</v>
      </c>
      <c r="C110" s="579"/>
      <c r="D110" s="579"/>
      <c r="E110" s="22"/>
      <c r="F110" s="22"/>
      <c r="G110" s="22"/>
      <c r="H110" s="30"/>
      <c r="I110" s="22"/>
      <c r="J110" s="40"/>
      <c r="K110" s="22"/>
      <c r="L110" s="22"/>
    </row>
    <row r="111" spans="1:12" ht="16.5" thickBot="1" x14ac:dyDescent="0.3">
      <c r="A111" s="22"/>
      <c r="B111" s="40" t="s">
        <v>64</v>
      </c>
      <c r="C111" s="22"/>
      <c r="D111" s="22"/>
      <c r="E111" s="22"/>
      <c r="F111" s="22"/>
      <c r="G111" s="22"/>
      <c r="H111" s="22"/>
      <c r="I111" s="22"/>
      <c r="J111" s="22"/>
      <c r="K111" s="22"/>
      <c r="L111" s="22"/>
    </row>
    <row r="112" spans="1:12" ht="16.5" thickBot="1" x14ac:dyDescent="0.3">
      <c r="A112" s="22"/>
      <c r="B112" s="40" t="s">
        <v>591</v>
      </c>
      <c r="C112" s="185">
        <v>117</v>
      </c>
      <c r="D112" s="185">
        <v>117</v>
      </c>
      <c r="E112" s="40" t="s">
        <v>574</v>
      </c>
      <c r="F112" s="22"/>
      <c r="G112" s="22"/>
      <c r="H112" s="22"/>
      <c r="I112" s="22"/>
      <c r="J112" s="22"/>
      <c r="K112" s="22"/>
      <c r="L112" s="22"/>
    </row>
    <row r="113" spans="1:12" ht="16.5" thickBot="1" x14ac:dyDescent="0.3">
      <c r="A113" s="22"/>
      <c r="B113" s="40" t="s">
        <v>575</v>
      </c>
      <c r="C113" s="22"/>
      <c r="D113" s="22"/>
      <c r="E113" s="22"/>
      <c r="F113" s="22"/>
      <c r="G113" s="22"/>
      <c r="H113" s="22"/>
      <c r="I113" s="22"/>
      <c r="J113" s="22"/>
      <c r="K113" s="22"/>
      <c r="L113" s="22"/>
    </row>
    <row r="114" spans="1:12" ht="16.5" thickBot="1" x14ac:dyDescent="0.3">
      <c r="A114" s="22"/>
      <c r="B114" s="22" t="s">
        <v>609</v>
      </c>
      <c r="C114" s="185">
        <v>5.1091999999999999E-2</v>
      </c>
      <c r="D114" s="185">
        <v>5.8202999999999998E-2</v>
      </c>
      <c r="E114" s="40" t="s">
        <v>391</v>
      </c>
      <c r="F114" s="22"/>
      <c r="G114" s="22"/>
      <c r="H114" s="22"/>
      <c r="I114" s="22"/>
      <c r="J114" s="22"/>
      <c r="K114" s="22"/>
      <c r="L114" s="22"/>
    </row>
    <row r="115" spans="1:12" ht="16.5" thickBot="1" x14ac:dyDescent="0.3">
      <c r="A115" s="22"/>
      <c r="B115" s="22" t="s">
        <v>580</v>
      </c>
      <c r="C115" s="185">
        <v>4.3219E-2</v>
      </c>
      <c r="D115" s="185">
        <v>4.9211999999999999E-2</v>
      </c>
      <c r="E115" s="40" t="s">
        <v>391</v>
      </c>
      <c r="F115" s="22"/>
      <c r="G115" s="22"/>
      <c r="H115" s="22"/>
      <c r="I115" s="22"/>
      <c r="J115" s="22"/>
      <c r="K115" s="22"/>
      <c r="L115" s="22"/>
    </row>
    <row r="116" spans="1:12" ht="16.5" thickBot="1" x14ac:dyDescent="0.3">
      <c r="A116" s="22"/>
      <c r="B116" s="22" t="s">
        <v>638</v>
      </c>
      <c r="C116" s="185">
        <v>0.241312</v>
      </c>
      <c r="D116" s="185">
        <v>0.27483600000000002</v>
      </c>
      <c r="E116" s="40" t="s">
        <v>391</v>
      </c>
      <c r="F116" s="22"/>
      <c r="G116" s="22"/>
      <c r="H116" s="22"/>
      <c r="I116" s="22"/>
      <c r="J116" s="22"/>
      <c r="K116" s="22"/>
      <c r="L116" s="22"/>
    </row>
    <row r="117" spans="1:12" ht="16.5" thickBot="1" x14ac:dyDescent="0.3">
      <c r="A117" s="22"/>
      <c r="B117" s="40" t="s">
        <v>581</v>
      </c>
      <c r="C117" s="22"/>
      <c r="D117" s="22"/>
      <c r="E117" s="22"/>
      <c r="F117" s="22"/>
      <c r="G117" s="22"/>
      <c r="H117" s="22"/>
      <c r="I117" s="22"/>
      <c r="J117" s="22"/>
      <c r="K117" s="22"/>
      <c r="L117" s="22"/>
    </row>
    <row r="118" spans="1:12" ht="16.5" thickBot="1" x14ac:dyDescent="0.3">
      <c r="A118" s="22"/>
      <c r="B118" s="22" t="s">
        <v>600</v>
      </c>
      <c r="C118" s="185">
        <v>7.92</v>
      </c>
      <c r="D118" s="185">
        <v>9.02</v>
      </c>
      <c r="E118" s="40" t="s">
        <v>582</v>
      </c>
      <c r="F118" s="22"/>
      <c r="G118" s="22"/>
      <c r="H118" s="22"/>
      <c r="I118" s="22"/>
      <c r="J118" s="22"/>
      <c r="K118" s="22"/>
      <c r="L118" s="22"/>
    </row>
    <row r="119" spans="1:12" x14ac:dyDescent="0.2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</row>
    <row r="120" spans="1:12" ht="18" x14ac:dyDescent="0.25">
      <c r="A120" s="29"/>
      <c r="B120" s="579" t="s">
        <v>610</v>
      </c>
      <c r="C120" s="579"/>
      <c r="D120" s="579"/>
      <c r="E120" s="22"/>
      <c r="F120" s="22"/>
      <c r="G120" s="22"/>
      <c r="H120" s="30"/>
      <c r="I120" s="22"/>
      <c r="J120" s="40"/>
      <c r="K120" s="22"/>
      <c r="L120" s="22"/>
    </row>
    <row r="121" spans="1:12" ht="16.5" thickBot="1" x14ac:dyDescent="0.3">
      <c r="A121" s="22"/>
      <c r="B121" s="40" t="s">
        <v>64</v>
      </c>
      <c r="C121" s="22"/>
      <c r="D121" s="22"/>
      <c r="E121" s="22"/>
      <c r="F121" s="22"/>
      <c r="G121" s="22"/>
      <c r="H121" s="22"/>
      <c r="I121" s="22"/>
      <c r="J121" s="22"/>
      <c r="K121" s="22"/>
      <c r="L121" s="22"/>
    </row>
    <row r="122" spans="1:12" ht="16.5" thickBot="1" x14ac:dyDescent="0.3">
      <c r="A122" s="22"/>
      <c r="B122" s="40" t="s">
        <v>611</v>
      </c>
      <c r="C122" s="185">
        <v>500</v>
      </c>
      <c r="D122" s="185">
        <v>500</v>
      </c>
      <c r="E122" s="40" t="s">
        <v>574</v>
      </c>
      <c r="F122" s="22"/>
      <c r="G122" s="22"/>
      <c r="H122" s="22"/>
      <c r="I122" s="22"/>
      <c r="J122" s="22"/>
      <c r="K122" s="22"/>
      <c r="L122" s="22"/>
    </row>
    <row r="123" spans="1:12" ht="16.5" thickBot="1" x14ac:dyDescent="0.3">
      <c r="A123" s="22"/>
      <c r="B123" s="40" t="s">
        <v>575</v>
      </c>
      <c r="C123" s="22"/>
      <c r="D123" s="22"/>
      <c r="E123" s="22"/>
      <c r="F123" s="22"/>
      <c r="G123" s="22"/>
      <c r="H123" s="22"/>
      <c r="I123" s="22"/>
      <c r="J123" s="22"/>
      <c r="K123" s="22"/>
      <c r="L123" s="22"/>
    </row>
    <row r="124" spans="1:12" ht="16.5" thickBot="1" x14ac:dyDescent="0.3">
      <c r="A124" s="22"/>
      <c r="B124" s="22" t="s">
        <v>645</v>
      </c>
      <c r="C124" s="185">
        <v>4.9050999999999997E-2</v>
      </c>
      <c r="D124" s="185">
        <v>5.3206999999999997E-2</v>
      </c>
      <c r="E124" s="40" t="s">
        <v>391</v>
      </c>
      <c r="F124" s="22"/>
      <c r="G124" s="22"/>
      <c r="H124" s="22"/>
      <c r="I124" s="22"/>
      <c r="J124" s="22"/>
      <c r="K124" s="22"/>
      <c r="L124" s="22"/>
    </row>
    <row r="125" spans="1:12" ht="16.5" thickBot="1" x14ac:dyDescent="0.3">
      <c r="A125" s="22"/>
      <c r="B125" s="22" t="s">
        <v>646</v>
      </c>
      <c r="C125" s="185">
        <v>4.6826E-2</v>
      </c>
      <c r="D125" s="185">
        <v>5.0793999999999999E-2</v>
      </c>
      <c r="E125" s="40"/>
      <c r="F125" s="22"/>
      <c r="G125" s="22"/>
      <c r="H125" s="22"/>
      <c r="I125" s="22"/>
      <c r="J125" s="22"/>
      <c r="K125" s="22"/>
      <c r="L125" s="22"/>
    </row>
    <row r="126" spans="1:12" ht="16.5" thickBot="1" x14ac:dyDescent="0.3">
      <c r="A126" s="22"/>
      <c r="B126" s="22" t="s">
        <v>594</v>
      </c>
      <c r="C126" s="185">
        <v>4.0168000000000002E-2</v>
      </c>
      <c r="D126" s="185">
        <v>4.3570999999999999E-2</v>
      </c>
      <c r="E126" s="40"/>
      <c r="F126" s="22"/>
      <c r="G126" s="22"/>
      <c r="H126" s="22"/>
      <c r="I126" s="22"/>
      <c r="J126" s="22"/>
      <c r="K126" s="22"/>
      <c r="L126" s="22"/>
    </row>
    <row r="127" spans="1:12" ht="16.5" thickBot="1" x14ac:dyDescent="0.3">
      <c r="A127" s="22"/>
      <c r="B127" s="40" t="s">
        <v>581</v>
      </c>
      <c r="C127" s="22"/>
      <c r="D127" s="22"/>
      <c r="E127" s="22"/>
      <c r="F127" s="22"/>
      <c r="G127" s="22"/>
      <c r="H127" s="22"/>
      <c r="I127" s="22"/>
      <c r="J127" s="22"/>
      <c r="K127" s="22"/>
      <c r="L127" s="22"/>
    </row>
    <row r="128" spans="1:12" ht="16.5" thickBot="1" x14ac:dyDescent="0.3">
      <c r="A128" s="22"/>
      <c r="B128" s="22" t="s">
        <v>592</v>
      </c>
      <c r="C128" s="185">
        <v>8.07</v>
      </c>
      <c r="D128" s="185">
        <v>8.75</v>
      </c>
      <c r="E128" s="40" t="s">
        <v>582</v>
      </c>
      <c r="F128" s="22"/>
      <c r="G128" s="22"/>
      <c r="H128" s="22"/>
      <c r="I128" s="22"/>
      <c r="J128" s="22"/>
      <c r="K128" s="22"/>
      <c r="L128" s="22"/>
    </row>
    <row r="129" spans="1:12" ht="16.5" thickBot="1" x14ac:dyDescent="0.3">
      <c r="A129" s="22"/>
      <c r="B129" s="22" t="s">
        <v>595</v>
      </c>
      <c r="C129" s="185">
        <v>1.22</v>
      </c>
      <c r="D129" s="185">
        <v>1.32</v>
      </c>
      <c r="E129" s="40" t="s">
        <v>582</v>
      </c>
      <c r="F129" s="22"/>
      <c r="G129" s="22"/>
      <c r="H129" s="22"/>
      <c r="I129" s="22"/>
      <c r="J129" s="22"/>
      <c r="K129" s="22"/>
      <c r="L129" s="22"/>
    </row>
    <row r="130" spans="1:12" ht="16.5" thickBot="1" x14ac:dyDescent="0.3">
      <c r="A130" s="22"/>
      <c r="B130" s="22" t="s">
        <v>593</v>
      </c>
      <c r="C130" s="185">
        <v>6.62</v>
      </c>
      <c r="D130" s="185">
        <v>7.18</v>
      </c>
      <c r="E130" s="40" t="s">
        <v>582</v>
      </c>
      <c r="F130" s="22"/>
      <c r="G130" s="22"/>
      <c r="H130" s="22"/>
      <c r="I130" s="22"/>
      <c r="J130" s="22"/>
      <c r="K130" s="22"/>
      <c r="L130" s="22"/>
    </row>
    <row r="131" spans="1:12" ht="16.5" thickBot="1" x14ac:dyDescent="0.3">
      <c r="A131" s="22"/>
      <c r="B131" s="22" t="s">
        <v>596</v>
      </c>
      <c r="C131" s="185">
        <v>1.22</v>
      </c>
      <c r="D131" s="185">
        <v>1.32</v>
      </c>
      <c r="E131" s="40" t="s">
        <v>582</v>
      </c>
      <c r="F131" s="22"/>
      <c r="G131" s="22"/>
      <c r="H131" s="22"/>
      <c r="I131" s="22"/>
      <c r="J131" s="22"/>
      <c r="K131" s="22"/>
      <c r="L131" s="22"/>
    </row>
    <row r="132" spans="1:12" x14ac:dyDescent="0.2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</row>
    <row r="133" spans="1:12" ht="18" x14ac:dyDescent="0.25">
      <c r="A133" s="29"/>
      <c r="B133" s="579" t="s">
        <v>653</v>
      </c>
      <c r="C133" s="579"/>
      <c r="D133" s="579"/>
      <c r="E133" s="22"/>
      <c r="F133" s="22"/>
      <c r="G133" s="22"/>
      <c r="H133" s="30"/>
      <c r="I133" s="22"/>
      <c r="J133" s="40"/>
      <c r="K133" s="22"/>
      <c r="L133" s="22"/>
    </row>
    <row r="134" spans="1:12" ht="16.5" thickBot="1" x14ac:dyDescent="0.3">
      <c r="A134" s="22"/>
      <c r="B134" s="40" t="s">
        <v>64</v>
      </c>
      <c r="C134" s="22"/>
      <c r="D134" s="22"/>
      <c r="E134" s="22"/>
      <c r="F134" s="22"/>
      <c r="G134" s="22"/>
      <c r="H134" s="22"/>
      <c r="I134" s="22"/>
      <c r="J134" s="22"/>
      <c r="K134" s="22"/>
      <c r="L134" s="22"/>
    </row>
    <row r="135" spans="1:12" ht="16.5" thickBot="1" x14ac:dyDescent="0.3">
      <c r="A135" s="22"/>
      <c r="B135" s="22" t="s">
        <v>612</v>
      </c>
      <c r="C135" s="185">
        <v>0</v>
      </c>
      <c r="D135" s="185">
        <v>0</v>
      </c>
      <c r="E135" s="40" t="s">
        <v>574</v>
      </c>
      <c r="F135" s="22"/>
      <c r="G135" s="22"/>
      <c r="H135" s="22"/>
      <c r="I135" s="22"/>
      <c r="J135" s="22"/>
      <c r="K135" s="22"/>
      <c r="L135" s="22"/>
    </row>
    <row r="136" spans="1:12" ht="16.5" thickBot="1" x14ac:dyDescent="0.3">
      <c r="A136" s="22"/>
      <c r="B136" s="22" t="s">
        <v>591</v>
      </c>
      <c r="C136" s="185">
        <v>0</v>
      </c>
      <c r="D136" s="185">
        <v>0</v>
      </c>
      <c r="E136" s="40" t="s">
        <v>574</v>
      </c>
      <c r="F136" s="22"/>
      <c r="G136" s="22"/>
      <c r="H136" s="22"/>
      <c r="I136" s="22"/>
      <c r="J136" s="22"/>
      <c r="K136" s="22"/>
      <c r="L136" s="22"/>
    </row>
    <row r="137" spans="1:12" ht="16.5" thickBot="1" x14ac:dyDescent="0.3">
      <c r="A137" s="22"/>
      <c r="B137" s="22" t="s">
        <v>613</v>
      </c>
      <c r="C137" s="185">
        <v>0</v>
      </c>
      <c r="D137" s="185">
        <v>0</v>
      </c>
      <c r="E137" s="40" t="s">
        <v>574</v>
      </c>
      <c r="F137" s="22"/>
      <c r="G137" s="22"/>
      <c r="H137" s="22"/>
      <c r="I137" s="22"/>
      <c r="J137" s="22"/>
      <c r="K137" s="22"/>
      <c r="L137" s="22"/>
    </row>
    <row r="138" spans="1:12" ht="16.5" thickBot="1" x14ac:dyDescent="0.3">
      <c r="A138" s="22"/>
      <c r="B138" s="40" t="s">
        <v>614</v>
      </c>
      <c r="C138" s="22"/>
      <c r="D138" s="22"/>
      <c r="E138" s="22"/>
      <c r="F138" s="22"/>
      <c r="G138" s="22"/>
      <c r="H138" s="22"/>
      <c r="I138" s="22"/>
      <c r="J138" s="22"/>
      <c r="K138" s="22"/>
      <c r="L138" s="22"/>
    </row>
    <row r="139" spans="1:12" ht="16.5" thickBot="1" x14ac:dyDescent="0.3">
      <c r="A139" s="22"/>
      <c r="B139" s="22" t="s">
        <v>612</v>
      </c>
      <c r="C139" s="185">
        <v>0</v>
      </c>
      <c r="D139" s="185">
        <v>0</v>
      </c>
      <c r="E139" s="40" t="s">
        <v>391</v>
      </c>
      <c r="F139" s="22"/>
      <c r="G139" s="22"/>
      <c r="H139" s="22"/>
      <c r="I139" s="22"/>
      <c r="J139" s="22"/>
      <c r="K139" s="22"/>
      <c r="L139" s="22"/>
    </row>
    <row r="140" spans="1:12" ht="16.5" thickBot="1" x14ac:dyDescent="0.3">
      <c r="A140" s="22"/>
      <c r="B140" s="22" t="s">
        <v>591</v>
      </c>
      <c r="C140" s="185">
        <v>0</v>
      </c>
      <c r="D140" s="185">
        <v>0</v>
      </c>
      <c r="E140" s="40" t="s">
        <v>391</v>
      </c>
      <c r="F140" s="22"/>
      <c r="G140" s="22"/>
      <c r="H140" s="22"/>
      <c r="I140" s="22"/>
      <c r="J140" s="22"/>
      <c r="K140" s="22"/>
      <c r="L140" s="22"/>
    </row>
    <row r="141" spans="1:12" ht="16.5" thickBot="1" x14ac:dyDescent="0.3">
      <c r="A141" s="22"/>
      <c r="B141" s="22" t="s">
        <v>613</v>
      </c>
      <c r="C141" s="185">
        <v>0</v>
      </c>
      <c r="D141" s="185">
        <v>0</v>
      </c>
      <c r="E141" s="40" t="s">
        <v>391</v>
      </c>
      <c r="F141" s="22"/>
      <c r="G141" s="22"/>
      <c r="H141" s="22"/>
      <c r="I141" s="22"/>
      <c r="J141" s="22"/>
      <c r="K141" s="22"/>
      <c r="L141" s="22"/>
    </row>
    <row r="142" spans="1:12" ht="16.5" thickBot="1" x14ac:dyDescent="0.3">
      <c r="A142" s="22"/>
      <c r="B142" s="40" t="s">
        <v>615</v>
      </c>
      <c r="C142" s="22"/>
      <c r="D142" s="22"/>
      <c r="E142" s="22"/>
      <c r="F142" s="22"/>
      <c r="G142" s="22"/>
      <c r="H142" s="22"/>
      <c r="I142" s="22"/>
      <c r="J142" s="22"/>
      <c r="K142" s="22"/>
      <c r="L142" s="22"/>
    </row>
    <row r="143" spans="1:12" ht="16.5" thickBot="1" x14ac:dyDescent="0.3">
      <c r="A143" s="22"/>
      <c r="B143" s="22" t="s">
        <v>612</v>
      </c>
      <c r="C143" s="185">
        <v>0</v>
      </c>
      <c r="D143" s="185">
        <v>0</v>
      </c>
      <c r="E143" s="40" t="s">
        <v>391</v>
      </c>
      <c r="F143" s="22"/>
      <c r="G143" s="22"/>
      <c r="H143" s="22"/>
      <c r="I143" s="22"/>
      <c r="J143" s="22"/>
      <c r="K143" s="22"/>
      <c r="L143" s="22"/>
    </row>
    <row r="144" spans="1:12" ht="16.5" thickBot="1" x14ac:dyDescent="0.3">
      <c r="A144" s="22"/>
      <c r="B144" s="22" t="s">
        <v>591</v>
      </c>
      <c r="C144" s="185">
        <v>0</v>
      </c>
      <c r="D144" s="185">
        <v>0</v>
      </c>
      <c r="E144" s="40" t="s">
        <v>391</v>
      </c>
      <c r="F144" s="22"/>
      <c r="G144" s="22"/>
      <c r="H144" s="22"/>
      <c r="I144" s="22"/>
      <c r="J144" s="22"/>
      <c r="K144" s="22"/>
      <c r="L144" s="22"/>
    </row>
    <row r="145" spans="1:12" ht="16.5" thickBot="1" x14ac:dyDescent="0.3">
      <c r="A145" s="22"/>
      <c r="B145" s="22" t="s">
        <v>613</v>
      </c>
      <c r="C145" s="185">
        <v>0</v>
      </c>
      <c r="D145" s="185">
        <v>0</v>
      </c>
      <c r="E145" s="40" t="s">
        <v>391</v>
      </c>
      <c r="F145" s="22"/>
      <c r="G145" s="22"/>
      <c r="H145" s="22"/>
      <c r="I145" s="22"/>
      <c r="J145" s="22"/>
      <c r="K145" s="22"/>
      <c r="L145" s="22"/>
    </row>
    <row r="146" spans="1:12" ht="16.5" thickBot="1" x14ac:dyDescent="0.3">
      <c r="A146" s="22"/>
      <c r="B146" s="40" t="s">
        <v>616</v>
      </c>
      <c r="C146" s="22"/>
      <c r="D146" s="22"/>
      <c r="E146" s="22"/>
      <c r="F146" s="22"/>
      <c r="G146" s="22"/>
      <c r="H146" s="22"/>
      <c r="I146" s="22"/>
      <c r="J146" s="22"/>
      <c r="K146" s="22"/>
      <c r="L146" s="22"/>
    </row>
    <row r="147" spans="1:12" ht="16.5" thickBot="1" x14ac:dyDescent="0.3">
      <c r="A147" s="22"/>
      <c r="B147" s="22" t="s">
        <v>617</v>
      </c>
      <c r="C147" s="185">
        <v>0</v>
      </c>
      <c r="D147" s="185">
        <v>0</v>
      </c>
      <c r="E147" s="40" t="s">
        <v>391</v>
      </c>
      <c r="F147" s="22"/>
      <c r="G147" s="22"/>
      <c r="H147" s="22"/>
      <c r="I147" s="22"/>
      <c r="J147" s="22"/>
      <c r="K147" s="22"/>
      <c r="L147" s="22"/>
    </row>
    <row r="148" spans="1:12" ht="16.5" thickBot="1" x14ac:dyDescent="0.3">
      <c r="A148" s="22"/>
      <c r="B148" s="22" t="s">
        <v>618</v>
      </c>
      <c r="C148" s="185">
        <v>0</v>
      </c>
      <c r="D148" s="185">
        <v>0</v>
      </c>
      <c r="E148" s="40" t="s">
        <v>391</v>
      </c>
      <c r="F148" s="22"/>
      <c r="G148" s="22"/>
      <c r="H148" s="22"/>
      <c r="I148" s="22"/>
      <c r="J148" s="22"/>
      <c r="K148" s="22"/>
      <c r="L148" s="22"/>
    </row>
    <row r="149" spans="1:12" ht="16.5" thickBot="1" x14ac:dyDescent="0.3">
      <c r="A149" s="22"/>
      <c r="B149" s="22" t="s">
        <v>619</v>
      </c>
      <c r="C149" s="185">
        <v>0</v>
      </c>
      <c r="D149" s="185">
        <v>0</v>
      </c>
      <c r="E149" s="40" t="s">
        <v>391</v>
      </c>
      <c r="F149" s="22"/>
      <c r="G149" s="22"/>
      <c r="H149" s="22"/>
      <c r="I149" s="22"/>
      <c r="J149" s="22"/>
      <c r="K149" s="22"/>
      <c r="L149" s="22"/>
    </row>
    <row r="150" spans="1:12" x14ac:dyDescent="0.2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</row>
    <row r="151" spans="1:12" ht="18" x14ac:dyDescent="0.25">
      <c r="A151" s="29"/>
      <c r="B151" s="579" t="s">
        <v>620</v>
      </c>
      <c r="C151" s="579"/>
      <c r="D151" s="579"/>
      <c r="E151" s="22"/>
      <c r="F151" s="22"/>
      <c r="G151" s="22"/>
      <c r="H151" s="30"/>
      <c r="I151" s="22"/>
      <c r="J151" s="40"/>
      <c r="K151" s="22"/>
      <c r="L151" s="22"/>
    </row>
    <row r="152" spans="1:12" ht="16.5" thickBot="1" x14ac:dyDescent="0.3">
      <c r="A152" s="22"/>
      <c r="B152" s="40" t="s">
        <v>621</v>
      </c>
      <c r="C152" s="22"/>
      <c r="D152" s="22"/>
      <c r="E152" s="22"/>
      <c r="F152" s="22"/>
      <c r="G152" s="22"/>
      <c r="H152" s="22"/>
      <c r="I152" s="22"/>
      <c r="J152" s="22"/>
      <c r="K152" s="22"/>
      <c r="L152" s="22"/>
    </row>
    <row r="153" spans="1:12" ht="16.5" thickBot="1" x14ac:dyDescent="0.3">
      <c r="A153" s="22"/>
      <c r="B153" s="22" t="s">
        <v>622</v>
      </c>
      <c r="C153" s="185">
        <v>183</v>
      </c>
      <c r="D153" s="185">
        <v>183</v>
      </c>
      <c r="E153" s="40" t="s">
        <v>574</v>
      </c>
      <c r="F153" s="22"/>
      <c r="G153" s="22"/>
      <c r="H153" s="22"/>
      <c r="I153" s="22"/>
      <c r="J153" s="22"/>
      <c r="K153" s="22"/>
      <c r="L153" s="22"/>
    </row>
    <row r="154" spans="1:12" ht="16.5" thickBot="1" x14ac:dyDescent="0.3">
      <c r="A154" s="22"/>
      <c r="B154" s="40" t="s">
        <v>614</v>
      </c>
      <c r="C154" s="22"/>
      <c r="D154" s="22"/>
      <c r="E154" s="22"/>
      <c r="F154" s="22"/>
      <c r="G154" s="22"/>
      <c r="H154" s="22"/>
      <c r="I154" s="22"/>
      <c r="J154" s="22"/>
      <c r="K154" s="22"/>
      <c r="L154" s="22"/>
    </row>
    <row r="155" spans="1:12" ht="16.5" thickBot="1" x14ac:dyDescent="0.3">
      <c r="A155" s="22"/>
      <c r="B155" s="22" t="s">
        <v>612</v>
      </c>
      <c r="C155" s="185">
        <v>9.1039999999999992E-3</v>
      </c>
      <c r="D155" s="185">
        <v>1.8391000000000001E-2</v>
      </c>
      <c r="E155" s="40" t="s">
        <v>391</v>
      </c>
      <c r="F155" s="22"/>
      <c r="G155" s="22"/>
      <c r="H155" s="22"/>
      <c r="I155" s="22"/>
      <c r="J155" s="22"/>
      <c r="K155" s="22"/>
      <c r="L155" s="22"/>
    </row>
    <row r="156" spans="1:12" ht="16.5" thickBot="1" x14ac:dyDescent="0.3">
      <c r="A156" s="22"/>
      <c r="B156" s="22" t="s">
        <v>591</v>
      </c>
      <c r="C156" s="185">
        <v>7.8499999999999993E-3</v>
      </c>
      <c r="D156" s="185">
        <v>1.5184E-2</v>
      </c>
      <c r="E156" s="40" t="s">
        <v>391</v>
      </c>
      <c r="F156" s="22"/>
      <c r="G156" s="22"/>
      <c r="H156" s="22"/>
      <c r="I156" s="22"/>
      <c r="J156" s="22"/>
      <c r="K156" s="22"/>
      <c r="L156" s="22"/>
    </row>
    <row r="157" spans="1:12" ht="16.5" thickBot="1" x14ac:dyDescent="0.3">
      <c r="A157" s="22"/>
      <c r="B157" s="22" t="s">
        <v>613</v>
      </c>
      <c r="C157" s="185">
        <v>3.5760000000000002E-3</v>
      </c>
      <c r="D157" s="185">
        <v>6.6020000000000002E-3</v>
      </c>
      <c r="E157" s="40" t="s">
        <v>391</v>
      </c>
      <c r="F157" s="22"/>
      <c r="G157" s="22"/>
      <c r="H157" s="22"/>
      <c r="I157" s="22"/>
      <c r="J157" s="22"/>
      <c r="K157" s="22"/>
      <c r="L157" s="22"/>
    </row>
    <row r="158" spans="1:12" ht="16.5" thickBot="1" x14ac:dyDescent="0.3">
      <c r="A158" s="22"/>
      <c r="B158" s="40" t="s">
        <v>616</v>
      </c>
      <c r="C158" s="22"/>
      <c r="D158" s="22"/>
      <c r="E158" s="22"/>
      <c r="F158" s="22"/>
      <c r="G158" s="22"/>
      <c r="H158" s="22"/>
      <c r="I158" s="22"/>
      <c r="J158" s="22"/>
      <c r="K158" s="22"/>
      <c r="L158" s="22"/>
    </row>
    <row r="159" spans="1:12" ht="16.5" thickBot="1" x14ac:dyDescent="0.3">
      <c r="A159" s="22"/>
      <c r="B159" s="22" t="s">
        <v>659</v>
      </c>
      <c r="C159" s="185">
        <v>3.7492999999999999E-2</v>
      </c>
      <c r="D159" s="185">
        <v>3.7492999999999999E-2</v>
      </c>
      <c r="E159" s="40" t="s">
        <v>391</v>
      </c>
      <c r="F159" s="22"/>
      <c r="G159" s="22"/>
      <c r="H159" s="22"/>
      <c r="I159" s="22"/>
      <c r="J159" s="22"/>
      <c r="K159" s="22"/>
      <c r="L159" s="22"/>
    </row>
    <row r="160" spans="1:12" ht="16.5" thickBot="1" x14ac:dyDescent="0.3">
      <c r="A160" s="22"/>
      <c r="B160" s="22" t="s">
        <v>660</v>
      </c>
      <c r="C160" s="185">
        <v>2.9462000000000002E-2</v>
      </c>
      <c r="D160" s="185">
        <v>2.9462000000000002E-2</v>
      </c>
      <c r="E160" s="40" t="s">
        <v>391</v>
      </c>
      <c r="F160" s="22"/>
      <c r="G160" s="22"/>
      <c r="H160" s="22"/>
      <c r="I160" s="22"/>
      <c r="J160" s="22"/>
      <c r="K160" s="22"/>
      <c r="L160" s="22"/>
    </row>
    <row r="161" spans="1:12" ht="16.5" thickBot="1" x14ac:dyDescent="0.3">
      <c r="A161" s="22"/>
      <c r="B161" s="22" t="s">
        <v>619</v>
      </c>
      <c r="C161" s="185">
        <v>3.2085999999999996E-2</v>
      </c>
      <c r="D161" s="185">
        <v>3.2085999999999996E-2</v>
      </c>
      <c r="E161" s="40" t="s">
        <v>391</v>
      </c>
      <c r="F161" s="22"/>
      <c r="G161" s="22"/>
      <c r="H161" s="22"/>
      <c r="I161" s="22"/>
      <c r="J161" s="22"/>
      <c r="K161" s="22"/>
      <c r="L161" s="22"/>
    </row>
    <row r="162" spans="1:12" x14ac:dyDescent="0.2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</row>
    <row r="163" spans="1:12" ht="18.75" thickBot="1" x14ac:dyDescent="0.3">
      <c r="A163" s="22"/>
      <c r="B163" s="580" t="s">
        <v>648</v>
      </c>
      <c r="C163" s="580"/>
      <c r="D163" s="22"/>
      <c r="E163" s="28"/>
      <c r="F163" s="27"/>
      <c r="G163" s="29"/>
      <c r="H163" s="22"/>
      <c r="I163" s="23"/>
      <c r="J163" s="22"/>
      <c r="K163" s="22"/>
      <c r="L163" s="22"/>
    </row>
    <row r="164" spans="1:12" ht="16.5" thickBot="1" x14ac:dyDescent="0.3">
      <c r="A164" s="22"/>
      <c r="B164" s="30" t="s">
        <v>667</v>
      </c>
      <c r="C164" s="417">
        <v>0.1176</v>
      </c>
      <c r="D164" s="417">
        <v>0.1176</v>
      </c>
      <c r="E164" s="40" t="s">
        <v>647</v>
      </c>
      <c r="F164" s="27"/>
      <c r="G164" s="29"/>
      <c r="H164" s="22"/>
      <c r="I164" s="23"/>
      <c r="J164" s="22"/>
      <c r="K164" s="22"/>
      <c r="L164" s="22"/>
    </row>
    <row r="165" spans="1:12" ht="16.5" thickBot="1" x14ac:dyDescent="0.3">
      <c r="A165" s="22"/>
      <c r="B165" s="30" t="s">
        <v>668</v>
      </c>
      <c r="C165" s="417">
        <v>0.18160000000000001</v>
      </c>
      <c r="D165" s="417">
        <v>0.18160000000000001</v>
      </c>
      <c r="E165" s="40"/>
      <c r="F165" s="27"/>
      <c r="G165" s="29"/>
      <c r="H165" s="22"/>
      <c r="I165" s="23"/>
      <c r="J165" s="22"/>
      <c r="K165" s="22"/>
      <c r="L165" s="22"/>
    </row>
    <row r="166" spans="1:12" x14ac:dyDescent="0.2">
      <c r="A166" s="22"/>
      <c r="B166" s="27"/>
      <c r="C166" s="27"/>
      <c r="D166" s="22"/>
      <c r="E166" s="28"/>
      <c r="F166" s="27"/>
      <c r="G166" s="29"/>
      <c r="H166" s="22"/>
      <c r="I166" s="23"/>
      <c r="J166" s="22"/>
      <c r="K166" s="22"/>
      <c r="L166" s="22"/>
    </row>
    <row r="167" spans="1:12" ht="18" x14ac:dyDescent="0.25">
      <c r="A167" s="22"/>
      <c r="B167" s="580"/>
      <c r="C167" s="580"/>
      <c r="D167" s="22"/>
      <c r="E167" s="28"/>
      <c r="F167" s="27"/>
      <c r="G167" s="29"/>
      <c r="H167" s="22"/>
      <c r="I167" s="23"/>
      <c r="J167" s="22"/>
      <c r="K167" s="22"/>
      <c r="L167" s="22"/>
    </row>
    <row r="168" spans="1:12" ht="15.75" x14ac:dyDescent="0.25">
      <c r="A168" s="22"/>
      <c r="B168" s="40"/>
      <c r="C168" s="22"/>
      <c r="D168" s="22"/>
      <c r="E168" s="40"/>
      <c r="F168" s="262"/>
      <c r="G168" s="29"/>
      <c r="H168" s="22"/>
      <c r="I168" s="23"/>
      <c r="J168" s="23"/>
      <c r="K168" s="30"/>
      <c r="L168" s="22"/>
    </row>
    <row r="169" spans="1:12" ht="15.75" x14ac:dyDescent="0.25">
      <c r="A169" s="22"/>
      <c r="B169" s="40"/>
      <c r="C169" s="22"/>
      <c r="D169" s="22"/>
      <c r="E169" s="40"/>
      <c r="F169" s="22"/>
      <c r="G169" s="29"/>
      <c r="H169" s="30"/>
      <c r="I169" s="23"/>
      <c r="J169" s="22"/>
      <c r="K169" s="22"/>
      <c r="L169" s="22"/>
    </row>
    <row r="170" spans="1:12" ht="15.75" x14ac:dyDescent="0.25">
      <c r="A170" s="22"/>
      <c r="B170" s="40"/>
      <c r="C170" s="22"/>
      <c r="D170" s="22"/>
      <c r="E170" s="40"/>
      <c r="F170" s="22"/>
      <c r="G170" s="29"/>
      <c r="H170" s="30"/>
      <c r="I170" s="23"/>
      <c r="J170" s="22"/>
      <c r="K170" s="22"/>
      <c r="L170" s="22"/>
    </row>
    <row r="171" spans="1:12" ht="15.75" x14ac:dyDescent="0.25">
      <c r="A171" s="22"/>
      <c r="B171" s="40"/>
      <c r="C171" s="22"/>
      <c r="D171" s="22"/>
      <c r="E171" s="40"/>
      <c r="F171" s="22"/>
      <c r="G171" s="29"/>
      <c r="H171" s="30"/>
      <c r="I171" s="23"/>
      <c r="J171" s="22"/>
      <c r="K171" s="22"/>
      <c r="L171" s="22"/>
    </row>
    <row r="172" spans="1:12" ht="15.75" x14ac:dyDescent="0.25">
      <c r="A172" s="22"/>
      <c r="B172" s="40"/>
      <c r="C172" s="22"/>
      <c r="D172" s="22"/>
      <c r="E172" s="40"/>
      <c r="F172" s="22"/>
      <c r="G172" s="29"/>
      <c r="H172" s="30"/>
      <c r="I172" s="23"/>
      <c r="J172" s="22"/>
      <c r="K172" s="22"/>
      <c r="L172" s="22"/>
    </row>
    <row r="173" spans="1:12" ht="15.75" x14ac:dyDescent="0.25">
      <c r="A173" s="22"/>
      <c r="B173" s="40"/>
      <c r="C173" s="22"/>
      <c r="D173" s="22"/>
      <c r="E173" s="40"/>
      <c r="F173" s="22"/>
      <c r="G173" s="29"/>
      <c r="H173" s="30"/>
      <c r="I173" s="23"/>
      <c r="J173" s="22"/>
      <c r="K173" s="22"/>
      <c r="L173" s="22"/>
    </row>
    <row r="174" spans="1:12" ht="15.75" x14ac:dyDescent="0.25">
      <c r="A174" s="22"/>
      <c r="B174" s="40"/>
      <c r="C174" s="22"/>
      <c r="D174" s="22"/>
      <c r="E174" s="40"/>
      <c r="F174" s="22"/>
      <c r="G174" s="29"/>
      <c r="H174" s="30"/>
      <c r="I174" s="23"/>
      <c r="J174" s="22"/>
      <c r="K174" s="22"/>
      <c r="L174" s="22"/>
    </row>
    <row r="175" spans="1:12" ht="15.75" x14ac:dyDescent="0.25">
      <c r="A175" s="22"/>
      <c r="B175" s="40"/>
      <c r="C175" s="22"/>
      <c r="D175" s="22"/>
      <c r="E175" s="40"/>
      <c r="F175" s="22"/>
      <c r="G175" s="29"/>
      <c r="H175" s="30"/>
      <c r="I175" s="23"/>
      <c r="J175" s="22"/>
      <c r="K175" s="22"/>
      <c r="L175" s="22"/>
    </row>
    <row r="176" spans="1:12" ht="15.75" x14ac:dyDescent="0.25">
      <c r="A176" s="22"/>
      <c r="B176" s="40"/>
      <c r="C176" s="22"/>
      <c r="D176" s="22"/>
      <c r="E176" s="40"/>
      <c r="F176" s="22"/>
      <c r="G176" s="29"/>
      <c r="H176" s="30"/>
      <c r="I176" s="23"/>
      <c r="J176" s="22"/>
      <c r="K176" s="22"/>
      <c r="L176" s="22"/>
    </row>
    <row r="177" spans="1:12" ht="15.75" x14ac:dyDescent="0.25">
      <c r="A177" s="22"/>
      <c r="B177" s="40"/>
      <c r="C177" s="22"/>
      <c r="D177" s="22"/>
      <c r="E177" s="40"/>
      <c r="F177" s="22"/>
      <c r="G177" s="29"/>
      <c r="H177" s="30"/>
      <c r="I177" s="23"/>
      <c r="J177" s="22"/>
      <c r="K177" s="22"/>
      <c r="L177" s="22"/>
    </row>
    <row r="178" spans="1:12" ht="15.75" x14ac:dyDescent="0.25">
      <c r="A178" s="22"/>
      <c r="B178" s="40"/>
      <c r="C178" s="22"/>
      <c r="D178" s="22"/>
      <c r="E178" s="40"/>
      <c r="F178" s="22"/>
      <c r="G178" s="29"/>
      <c r="H178" s="30"/>
      <c r="I178" s="23"/>
      <c r="J178" s="22"/>
      <c r="K178" s="22"/>
      <c r="L178" s="22"/>
    </row>
    <row r="179" spans="1:12" ht="15.75" x14ac:dyDescent="0.25">
      <c r="A179" s="22"/>
      <c r="B179" s="393"/>
      <c r="C179" s="29"/>
      <c r="D179" s="29"/>
      <c r="E179" s="40"/>
      <c r="F179" s="22"/>
      <c r="G179" s="29"/>
      <c r="H179" s="22"/>
      <c r="I179" s="23"/>
      <c r="J179" s="22"/>
      <c r="K179" s="22"/>
      <c r="L179" s="22"/>
    </row>
    <row r="180" spans="1:12" x14ac:dyDescent="0.2">
      <c r="A180" s="22"/>
      <c r="B180" s="27"/>
      <c r="C180" s="27"/>
      <c r="D180" s="22"/>
      <c r="E180" s="28"/>
      <c r="F180" s="27"/>
      <c r="G180" s="29"/>
      <c r="H180" s="22"/>
      <c r="I180" s="23"/>
      <c r="J180" s="22"/>
      <c r="K180" s="22"/>
      <c r="L180" s="22"/>
    </row>
    <row r="181" spans="1:12" ht="18" x14ac:dyDescent="0.25">
      <c r="A181" s="22"/>
      <c r="B181" s="580"/>
      <c r="C181" s="580"/>
      <c r="D181" s="22"/>
      <c r="E181" s="28"/>
      <c r="F181" s="27"/>
      <c r="G181" s="29"/>
      <c r="H181" s="22"/>
      <c r="I181" s="23"/>
      <c r="J181" s="22"/>
      <c r="K181" s="22"/>
      <c r="L181" s="22"/>
    </row>
    <row r="182" spans="1:12" ht="15.75" x14ac:dyDescent="0.25">
      <c r="A182" s="22"/>
      <c r="B182" s="40"/>
      <c r="C182" s="22"/>
      <c r="D182" s="22"/>
      <c r="E182" s="409"/>
      <c r="F182" s="29"/>
      <c r="G182" s="29"/>
      <c r="H182" s="22"/>
      <c r="I182" s="23"/>
      <c r="J182" s="23"/>
      <c r="K182" s="30"/>
      <c r="L182" s="22"/>
    </row>
    <row r="183" spans="1:12" ht="15.75" x14ac:dyDescent="0.25">
      <c r="A183" s="22"/>
      <c r="B183" s="40"/>
      <c r="C183" s="22"/>
      <c r="D183" s="22"/>
      <c r="E183" s="409"/>
      <c r="F183" s="29"/>
      <c r="G183" s="29"/>
      <c r="H183" s="30"/>
      <c r="I183" s="23"/>
      <c r="J183" s="22"/>
      <c r="K183" s="22"/>
      <c r="L183" s="22"/>
    </row>
    <row r="184" spans="1:12" ht="15.75" x14ac:dyDescent="0.25">
      <c r="A184" s="22"/>
      <c r="B184" s="40"/>
      <c r="C184" s="22"/>
      <c r="D184" s="22"/>
      <c r="E184" s="409"/>
      <c r="F184" s="29"/>
      <c r="G184" s="29"/>
      <c r="H184" s="22"/>
      <c r="I184" s="23"/>
      <c r="J184" s="22"/>
      <c r="K184" s="22"/>
      <c r="L184" s="22"/>
    </row>
    <row r="185" spans="1:12" ht="15.75" x14ac:dyDescent="0.25">
      <c r="A185" s="22"/>
      <c r="B185" s="40"/>
      <c r="C185" s="22"/>
      <c r="D185" s="22"/>
      <c r="E185" s="409"/>
      <c r="F185" s="29"/>
      <c r="G185" s="29"/>
      <c r="H185" s="22"/>
      <c r="I185" s="23"/>
      <c r="J185" s="22"/>
      <c r="K185" s="22"/>
      <c r="L185" s="22"/>
    </row>
    <row r="186" spans="1:12" ht="15.75" x14ac:dyDescent="0.25">
      <c r="A186" s="22"/>
      <c r="B186" s="40"/>
      <c r="C186" s="22"/>
      <c r="D186" s="22"/>
      <c r="E186" s="409"/>
      <c r="F186" s="29"/>
      <c r="G186" s="29"/>
      <c r="H186" s="22"/>
      <c r="I186" s="23"/>
      <c r="J186" s="22"/>
      <c r="K186" s="22"/>
      <c r="L186" s="22"/>
    </row>
    <row r="187" spans="1:12" ht="15.75" x14ac:dyDescent="0.25">
      <c r="A187" s="22"/>
      <c r="B187" s="40"/>
      <c r="C187" s="22"/>
      <c r="D187" s="22"/>
      <c r="E187" s="409"/>
      <c r="F187" s="29"/>
      <c r="G187" s="29"/>
      <c r="H187" s="22"/>
      <c r="I187" s="23"/>
      <c r="J187" s="22"/>
      <c r="K187" s="22"/>
      <c r="L187" s="22"/>
    </row>
    <row r="188" spans="1:12" ht="15.75" x14ac:dyDescent="0.25">
      <c r="A188" s="22"/>
      <c r="B188" s="40"/>
      <c r="C188" s="22"/>
      <c r="D188" s="22"/>
      <c r="E188" s="409"/>
      <c r="F188" s="29"/>
      <c r="G188" s="29"/>
      <c r="H188" s="22"/>
      <c r="I188" s="23"/>
      <c r="J188" s="22"/>
      <c r="K188" s="22"/>
      <c r="L188" s="22"/>
    </row>
    <row r="189" spans="1:12" ht="15.75" x14ac:dyDescent="0.25">
      <c r="A189" s="22"/>
      <c r="B189" s="40"/>
      <c r="C189" s="22"/>
      <c r="D189" s="22"/>
      <c r="E189" s="409"/>
      <c r="F189" s="29"/>
      <c r="G189" s="29"/>
      <c r="H189" s="22"/>
      <c r="I189" s="23"/>
      <c r="J189" s="22"/>
      <c r="K189" s="22"/>
      <c r="L189" s="22"/>
    </row>
    <row r="190" spans="1:12" ht="15.75" x14ac:dyDescent="0.25">
      <c r="A190" s="22"/>
      <c r="B190" s="40"/>
      <c r="C190" s="22"/>
      <c r="D190" s="22"/>
      <c r="E190" s="409"/>
      <c r="F190" s="29"/>
      <c r="G190" s="29"/>
      <c r="H190" s="22"/>
      <c r="I190" s="23"/>
      <c r="J190" s="22"/>
      <c r="K190" s="22"/>
      <c r="L190" s="22"/>
    </row>
    <row r="191" spans="1:12" ht="15.75" x14ac:dyDescent="0.25">
      <c r="A191" s="22"/>
      <c r="B191" s="40"/>
      <c r="C191" s="22"/>
      <c r="D191" s="22"/>
      <c r="E191" s="409"/>
      <c r="F191" s="29"/>
      <c r="G191" s="29"/>
      <c r="H191" s="22"/>
      <c r="I191" s="23"/>
      <c r="J191" s="22"/>
      <c r="K191" s="22"/>
      <c r="L191" s="22"/>
    </row>
    <row r="192" spans="1:12" x14ac:dyDescent="0.2">
      <c r="A192" s="22"/>
      <c r="B192" s="27"/>
      <c r="C192" s="27"/>
      <c r="D192" s="22"/>
      <c r="E192" s="28"/>
      <c r="F192" s="27"/>
      <c r="G192" s="29"/>
      <c r="H192" s="22"/>
      <c r="I192" s="23"/>
      <c r="J192" s="22"/>
      <c r="K192" s="22"/>
      <c r="L192" s="22"/>
    </row>
    <row r="193" spans="1:12" ht="16.5" thickBot="1" x14ac:dyDescent="0.3">
      <c r="A193" s="22"/>
      <c r="B193" s="40" t="s">
        <v>639</v>
      </c>
      <c r="C193" s="27"/>
      <c r="D193" s="22"/>
      <c r="E193" s="28"/>
      <c r="F193" s="27"/>
      <c r="G193" s="29"/>
      <c r="H193" s="22"/>
      <c r="I193" s="23"/>
      <c r="J193" s="22"/>
      <c r="K193" s="22"/>
      <c r="L193" s="22"/>
    </row>
    <row r="194" spans="1:12" ht="16.5" thickBot="1" x14ac:dyDescent="0.3">
      <c r="A194" s="22"/>
      <c r="B194" s="37" t="s">
        <v>507</v>
      </c>
      <c r="C194" s="39"/>
      <c r="D194" s="38"/>
      <c r="E194" s="38"/>
      <c r="F194" s="38"/>
      <c r="G194" s="35"/>
      <c r="H194" s="22"/>
      <c r="I194" s="23"/>
      <c r="J194" s="22"/>
      <c r="K194" s="22"/>
      <c r="L194" s="22"/>
    </row>
    <row r="195" spans="1:12" ht="16.5" thickBot="1" x14ac:dyDescent="0.3">
      <c r="A195" s="22"/>
      <c r="B195" s="37" t="s">
        <v>508</v>
      </c>
      <c r="C195" s="39"/>
      <c r="D195" s="39"/>
      <c r="E195" s="38"/>
      <c r="F195" s="38"/>
      <c r="G195" s="35"/>
      <c r="H195" s="22"/>
      <c r="I195" s="23"/>
      <c r="J195" s="22"/>
      <c r="K195" s="22"/>
      <c r="L195" s="22"/>
    </row>
    <row r="196" spans="1:12" ht="16.5" thickBot="1" x14ac:dyDescent="0.3">
      <c r="A196" s="22"/>
      <c r="B196" s="263" t="s">
        <v>640</v>
      </c>
      <c r="C196" s="39"/>
      <c r="D196" s="39"/>
      <c r="E196" s="38"/>
      <c r="F196" s="38"/>
      <c r="G196" s="35"/>
      <c r="H196" s="22"/>
      <c r="I196" s="23"/>
      <c r="J196" s="22"/>
      <c r="K196" s="22"/>
      <c r="L196" s="22"/>
    </row>
    <row r="197" spans="1:12" ht="16.5" thickBot="1" x14ac:dyDescent="0.3">
      <c r="A197" s="22"/>
      <c r="B197" s="263" t="s">
        <v>509</v>
      </c>
      <c r="C197" s="39"/>
      <c r="D197" s="39"/>
      <c r="E197" s="38"/>
      <c r="F197" s="38"/>
      <c r="G197" s="35"/>
      <c r="H197" s="22"/>
      <c r="I197" s="23"/>
      <c r="J197" s="22"/>
      <c r="K197" s="22"/>
      <c r="L197" s="22"/>
    </row>
    <row r="198" spans="1:12" ht="16.5" thickBot="1" x14ac:dyDescent="0.3">
      <c r="A198" s="22"/>
      <c r="B198" s="263" t="s">
        <v>506</v>
      </c>
      <c r="C198" s="39"/>
      <c r="D198" s="39"/>
      <c r="E198" s="38"/>
      <c r="F198" s="38"/>
      <c r="G198" s="35"/>
      <c r="H198" s="22"/>
      <c r="I198" s="23"/>
      <c r="J198" s="22"/>
      <c r="K198" s="22"/>
      <c r="L198" s="22"/>
    </row>
    <row r="199" spans="1:12" ht="16.5" thickBot="1" x14ac:dyDescent="0.3">
      <c r="A199" s="22"/>
      <c r="B199" s="263"/>
      <c r="C199" s="39"/>
      <c r="D199" s="39"/>
      <c r="E199" s="38"/>
      <c r="F199" s="38"/>
      <c r="G199" s="35"/>
      <c r="H199" s="22"/>
      <c r="I199" s="23"/>
      <c r="J199" s="22"/>
      <c r="K199" s="22"/>
      <c r="L199" s="22"/>
    </row>
    <row r="200" spans="1:12" ht="16.5" thickBot="1" x14ac:dyDescent="0.3">
      <c r="A200" s="22"/>
      <c r="B200" s="263"/>
      <c r="C200" s="39"/>
      <c r="D200" s="39"/>
      <c r="E200" s="38"/>
      <c r="F200" s="38"/>
      <c r="G200" s="35"/>
      <c r="H200" s="22"/>
      <c r="I200" s="23"/>
      <c r="J200" s="22"/>
      <c r="K200" s="22"/>
      <c r="L200" s="22"/>
    </row>
    <row r="201" spans="1:12" x14ac:dyDescent="0.2">
      <c r="A201" s="22"/>
      <c r="B201" s="27"/>
      <c r="C201" s="27"/>
      <c r="D201" s="22"/>
      <c r="E201" s="28"/>
      <c r="F201" s="27"/>
      <c r="G201" s="29"/>
      <c r="H201" s="22"/>
      <c r="I201" s="23"/>
      <c r="J201" s="22"/>
      <c r="K201" s="22"/>
      <c r="L201" s="22"/>
    </row>
    <row r="202" spans="1:12" ht="18.75" thickBot="1" x14ac:dyDescent="0.3">
      <c r="A202" s="22"/>
      <c r="B202" s="580" t="s">
        <v>657</v>
      </c>
      <c r="C202" s="580"/>
      <c r="D202" s="22"/>
      <c r="E202" s="28"/>
      <c r="F202" s="27"/>
      <c r="G202" s="29"/>
      <c r="H202" s="22"/>
      <c r="I202" s="23"/>
      <c r="J202" s="22"/>
      <c r="K202" s="22"/>
      <c r="L202" s="22"/>
    </row>
    <row r="203" spans="1:12" ht="16.5" thickBot="1" x14ac:dyDescent="0.3">
      <c r="A203" s="22"/>
      <c r="B203" s="40" t="s">
        <v>658</v>
      </c>
      <c r="C203" s="185">
        <v>4.7851999999999999E-2</v>
      </c>
      <c r="D203" s="185">
        <v>5.3200000000000004E-2</v>
      </c>
      <c r="E203" s="40" t="s">
        <v>391</v>
      </c>
      <c r="F203" s="262"/>
      <c r="G203" s="29"/>
      <c r="H203" s="22"/>
      <c r="I203" s="23"/>
      <c r="J203" s="23"/>
      <c r="K203" s="30"/>
      <c r="L203" s="22"/>
    </row>
    <row r="206" spans="1:12" x14ac:dyDescent="0.2">
      <c r="B206" s="397"/>
    </row>
  </sheetData>
  <customSheetViews>
    <customSheetView guid="{195DF303-1BBD-4236-94B5-47432850B006}" showRuler="0">
      <pageMargins left="0.75" right="0.75" top="1" bottom="1" header="0.5" footer="0.5"/>
      <pageSetup orientation="portrait" r:id="rId1"/>
      <headerFooter alignWithMargins="0">
        <oddHeader>&amp;A</oddHeader>
        <oddFooter>Page &amp;P</oddFooter>
      </headerFooter>
    </customSheetView>
    <customSheetView guid="{0C49E549-011E-46F4-A82E-2CC8951A9C1E}" showRuler="0">
      <selection activeCell="C17" sqref="C17"/>
      <pageMargins left="0.75" right="0.75" top="1" bottom="1" header="0.5" footer="0.5"/>
      <pageSetup orientation="portrait" r:id="rId2"/>
      <headerFooter alignWithMargins="0">
        <oddHeader>&amp;A</oddHeader>
        <oddFooter>Page &amp;P</oddFooter>
      </headerFooter>
    </customSheetView>
    <customSheetView guid="{4BC93440-BA85-4935-A8C9-66DC6AE5DE5E}" showRuler="0">
      <selection activeCell="C15" sqref="C15"/>
      <pageMargins left="0.75" right="0.75" top="1" bottom="1" header="0.5" footer="0.5"/>
      <pageSetup orientation="portrait" r:id="rId3"/>
      <headerFooter alignWithMargins="0">
        <oddHeader>&amp;A</oddHeader>
        <oddFooter>Page &amp;P</oddFooter>
      </headerFooter>
    </customSheetView>
    <customSheetView guid="{2431C9E5-7CC2-4B8D-99C3-962247B1DBF5}" showRuler="0">
      <selection activeCell="B4" sqref="B4"/>
      <pageMargins left="0.75" right="0.75" top="1" bottom="1" header="0.5" footer="0.5"/>
      <pageSetup orientation="portrait" r:id="rId4"/>
      <headerFooter alignWithMargins="0">
        <oddHeader>&amp;A</oddHeader>
        <oddFooter>Page &amp;P</oddFooter>
      </headerFooter>
    </customSheetView>
    <customSheetView guid="{2EA35095-1ADC-4CC7-8C3C-B487D65FA247}" showRuler="0">
      <selection activeCell="B4" sqref="B4"/>
      <pageMargins left="0.75" right="0.75" top="1" bottom="1" header="0.5" footer="0.5"/>
      <pageSetup orientation="portrait" r:id="rId5"/>
      <headerFooter alignWithMargins="0">
        <oddHeader>&amp;A</oddHeader>
        <oddFooter>Page &amp;P</oddFooter>
      </headerFooter>
    </customSheetView>
    <customSheetView guid="{8FC77C99-DBF7-40B8-99B8-01B75826CDCB}" showRuler="0">
      <selection activeCell="C13" sqref="C13"/>
      <pageMargins left="0.75" right="0.75" top="1" bottom="1" header="0.5" footer="0.5"/>
      <pageSetup orientation="portrait" r:id="rId6"/>
      <headerFooter alignWithMargins="0">
        <oddHeader>&amp;A</oddHeader>
        <oddFooter>Page &amp;P</oddFooter>
      </headerFooter>
    </customSheetView>
    <customSheetView guid="{8FB94551-8874-4095-B8FB-5316E0D2FD2C}" showRuler="0">
      <pageMargins left="0.75" right="0.75" top="1" bottom="1" header="0.5" footer="0.5"/>
      <pageSetup orientation="portrait" r:id="rId7"/>
      <headerFooter alignWithMargins="0">
        <oddHeader>&amp;A</oddHeader>
        <oddFooter>Page &amp;P</oddFooter>
      </headerFooter>
    </customSheetView>
    <customSheetView guid="{6B3D5C27-2FDE-4561-9575-1E98BFB869D0}" showRuler="0">
      <selection activeCell="C15" sqref="C15"/>
      <pageMargins left="0.75" right="0.75" top="1" bottom="1" header="0.5" footer="0.5"/>
      <pageSetup orientation="portrait" r:id="rId8"/>
      <headerFooter alignWithMargins="0">
        <oddHeader>&amp;A</oddHeader>
        <oddFooter>Page &amp;P</oddFooter>
      </headerFooter>
    </customSheetView>
    <customSheetView guid="{0BC1F393-8A13-47D5-BC6C-0C99615B5AB9}" showRuler="0">
      <selection activeCell="C14" sqref="C14"/>
      <pageMargins left="0.75" right="0.75" top="1" bottom="1" header="0.5" footer="0.5"/>
      <pageSetup orientation="portrait" r:id="rId9"/>
      <headerFooter alignWithMargins="0">
        <oddHeader>&amp;A</oddHeader>
        <oddFooter>Page &amp;P</oddFooter>
      </headerFooter>
    </customSheetView>
    <customSheetView guid="{18BDED73-BFA0-442E-87EC-CED86EE4CF94}" showRuler="0">
      <selection activeCell="B4" sqref="B4"/>
      <pageMargins left="0.75" right="0.75" top="1" bottom="1" header="0.5" footer="0.5"/>
      <pageSetup orientation="portrait" r:id="rId10"/>
      <headerFooter alignWithMargins="0">
        <oddHeader>&amp;A</oddHeader>
        <oddFooter>Page &amp;P</oddFooter>
      </headerFooter>
    </customSheetView>
    <customSheetView guid="{35F19056-2E6F-4935-B863-78836FE990BF}" showPageBreaks="1" showRuler="0">
      <selection activeCell="C15" sqref="C15"/>
      <pageMargins left="0.75" right="0.75" top="1" bottom="1" header="0.5" footer="0.5"/>
      <pageSetup orientation="portrait" r:id="rId11"/>
      <headerFooter alignWithMargins="0">
        <oddHeader>&amp;A</oddHeader>
        <oddFooter>Page &amp;P</oddFooter>
      </headerFooter>
    </customSheetView>
    <customSheetView guid="{F562D92E-120C-4AE9-9663-89E64D41DC53}" topLeftCell="A5">
      <selection activeCell="C15" sqref="C15"/>
      <pageMargins left="0.75" right="0.75" top="1" bottom="1" header="0.5" footer="0.5"/>
      <pageSetup orientation="portrait" r:id="rId12"/>
      <headerFooter alignWithMargins="0">
        <oddHeader>&amp;A</oddHeader>
        <oddFooter>Page &amp;P</oddFooter>
      </headerFooter>
    </customSheetView>
  </customSheetViews>
  <mergeCells count="18">
    <mergeCell ref="B202:C202"/>
    <mergeCell ref="B151:D151"/>
    <mergeCell ref="B33:C33"/>
    <mergeCell ref="B120:D120"/>
    <mergeCell ref="B181:C181"/>
    <mergeCell ref="B22:D22"/>
    <mergeCell ref="B163:C163"/>
    <mergeCell ref="B167:C167"/>
    <mergeCell ref="B133:D133"/>
    <mergeCell ref="A1:J1"/>
    <mergeCell ref="B42:D42"/>
    <mergeCell ref="B46:D46"/>
    <mergeCell ref="B110:D110"/>
    <mergeCell ref="B61:D61"/>
    <mergeCell ref="B66:D66"/>
    <mergeCell ref="B83:D83"/>
    <mergeCell ref="B93:D93"/>
    <mergeCell ref="B101:D101"/>
  </mergeCells>
  <phoneticPr fontId="9" type="noConversion"/>
  <pageMargins left="0.75" right="0.75" top="1" bottom="1" header="0.5" footer="0.5"/>
  <pageSetup scale="43" orientation="portrait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" manualBreakCount="1">
    <brk id="99" max="11" man="1"/>
  </rowBreaks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330" r:id="rId16" name="Option Button 2">
              <controlPr defaultSize="0" autoFill="0" autoLine="0" autoPict="0" altText="With Riders">
                <anchor moveWithCells="1">
                  <from>
                    <xdr:col>7</xdr:col>
                    <xdr:colOff>66675</xdr:colOff>
                    <xdr:row>4</xdr:row>
                    <xdr:rowOff>9525</xdr:rowOff>
                  </from>
                  <to>
                    <xdr:col>8</xdr:col>
                    <xdr:colOff>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1" r:id="rId17" name="Option Button 3">
              <controlPr defaultSize="0" autoFill="0" autoLine="0" autoPict="0">
                <anchor moveWithCells="1">
                  <from>
                    <xdr:col>7</xdr:col>
                    <xdr:colOff>66675</xdr:colOff>
                    <xdr:row>5</xdr:row>
                    <xdr:rowOff>0</xdr:rowOff>
                  </from>
                  <to>
                    <xdr:col>8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37" transitionEvaluation="1" transitionEntry="1" codeName="Sheet22"/>
  <dimension ref="A1:BW1093"/>
  <sheetViews>
    <sheetView tabSelected="1" view="pageBreakPreview" topLeftCell="A37" zoomScale="60" zoomScaleNormal="75" workbookViewId="0">
      <selection sqref="A1:J1"/>
    </sheetView>
  </sheetViews>
  <sheetFormatPr defaultColWidth="9.77734375" defaultRowHeight="15.75" x14ac:dyDescent="0.25"/>
  <cols>
    <col min="1" max="1" width="5" style="380" customWidth="1"/>
    <col min="2" max="2" width="0.6640625" style="380" customWidth="1"/>
    <col min="3" max="3" width="9.109375" style="380" customWidth="1"/>
    <col min="4" max="4" width="37.6640625" style="380" customWidth="1"/>
    <col min="5" max="5" width="0.7773437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2.21875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2.77734375" style="380" customWidth="1"/>
    <col min="15" max="15" width="0.5546875" style="380" customWidth="1"/>
    <col min="16" max="16" width="12.77734375" style="380" customWidth="1"/>
    <col min="17" max="17" width="0.5546875" style="380" customWidth="1"/>
    <col min="18" max="18" width="17.21875" style="380" customWidth="1"/>
    <col min="19" max="19" width="6.6640625" style="380" customWidth="1"/>
    <col min="20" max="20" width="5.109375" style="380" customWidth="1"/>
    <col min="21" max="21" width="0.5546875" style="380" customWidth="1"/>
    <col min="22" max="22" width="8.5546875" style="380" customWidth="1"/>
    <col min="23" max="23" width="38.5546875" style="380" customWidth="1"/>
    <col min="24" max="24" width="0.77734375" style="380" customWidth="1"/>
    <col min="25" max="25" width="9.6640625" style="380" customWidth="1"/>
    <col min="26" max="26" width="0.6640625" style="380" customWidth="1"/>
    <col min="27" max="27" width="13.33203125" style="380" customWidth="1"/>
    <col min="28" max="28" width="0.44140625" style="380" customWidth="1"/>
    <col min="29" max="29" width="11.77734375" style="380" customWidth="1"/>
    <col min="30" max="30" width="0.33203125" style="380" customWidth="1"/>
    <col min="31" max="31" width="12.88671875" style="380" customWidth="1"/>
    <col min="32" max="32" width="0.77734375" style="380" customWidth="1"/>
    <col min="33" max="33" width="13.6640625" style="153" customWidth="1"/>
    <col min="34" max="34" width="0.6640625" style="380" customWidth="1"/>
    <col min="35" max="35" width="14.33203125" style="380" customWidth="1"/>
    <col min="36" max="36" width="0.77734375" style="380" customWidth="1"/>
    <col min="37" max="37" width="14.5546875" style="153" customWidth="1"/>
    <col min="38" max="38" width="0.6640625" style="380" customWidth="1"/>
    <col min="39" max="39" width="12.109375" style="380" customWidth="1"/>
    <col min="40" max="40" width="0.5546875" style="380" customWidth="1"/>
    <col min="41" max="41" width="13.21875" style="380" customWidth="1"/>
    <col min="42" max="42" width="0.6640625" style="380" customWidth="1"/>
    <col min="43" max="43" width="11.21875" style="153" customWidth="1"/>
    <col min="44" max="44" width="14.77734375" style="380" customWidth="1"/>
    <col min="45" max="45" width="4.77734375" style="380" customWidth="1"/>
    <col min="46" max="46" width="5.77734375" style="380" customWidth="1"/>
    <col min="47" max="47" width="10.77734375" style="380" customWidth="1"/>
    <col min="48" max="48" width="11.77734375" style="380" customWidth="1"/>
    <col min="49" max="49" width="12.77734375" style="380" customWidth="1"/>
    <col min="50" max="52" width="15.77734375" style="380" customWidth="1"/>
    <col min="53" max="53" width="12.77734375" style="380" customWidth="1"/>
    <col min="54" max="56" width="15.77734375" style="380" customWidth="1"/>
    <col min="57" max="57" width="12.77734375" style="380" customWidth="1"/>
    <col min="58" max="59" width="9.77734375" style="380"/>
    <col min="60" max="62" width="12.77734375" style="380" customWidth="1"/>
    <col min="63" max="63" width="14.77734375" style="380" customWidth="1"/>
    <col min="64" max="65" width="9.77734375" style="380"/>
    <col min="66" max="68" width="12.77734375" style="380" customWidth="1"/>
    <col min="69" max="69" width="14.77734375" style="380" customWidth="1"/>
    <col min="70" max="76" width="9.77734375" style="380"/>
    <col min="77" max="77" width="1.77734375" style="380" customWidth="1"/>
    <col min="78" max="79" width="9.77734375" style="380"/>
    <col min="80" max="80" width="10.77734375" style="380" customWidth="1"/>
    <col min="81" max="82" width="9.77734375" style="380"/>
    <col min="83" max="83" width="7.77734375" style="380" customWidth="1"/>
    <col min="84" max="16384" width="9.77734375" style="380"/>
  </cols>
  <sheetData>
    <row r="1" spans="1:40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4"/>
      <c r="K1" s="44"/>
      <c r="L1" s="43"/>
      <c r="M1" s="43"/>
      <c r="N1" s="43"/>
      <c r="O1" s="43"/>
      <c r="P1" s="43"/>
      <c r="Q1" s="43"/>
      <c r="R1" s="43"/>
      <c r="Z1" s="53"/>
    </row>
    <row r="2" spans="1:40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4"/>
      <c r="K2" s="44"/>
      <c r="L2" s="43"/>
      <c r="M2" s="43"/>
      <c r="N2" s="43"/>
      <c r="O2" s="43"/>
      <c r="P2" s="43"/>
      <c r="Q2" s="43"/>
      <c r="R2" s="43"/>
      <c r="Z2" s="53"/>
    </row>
    <row r="3" spans="1:40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Y3" s="54"/>
    </row>
    <row r="4" spans="1:4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4"/>
      <c r="K4" s="44"/>
      <c r="L4" s="43"/>
      <c r="M4" s="43"/>
      <c r="N4" s="43"/>
      <c r="O4" s="43"/>
      <c r="P4" s="43"/>
      <c r="Q4" s="43"/>
      <c r="R4" s="43"/>
      <c r="Z4" s="53"/>
    </row>
    <row r="5" spans="1:4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4"/>
      <c r="M5" s="44"/>
      <c r="N5" s="43"/>
      <c r="O5" s="43"/>
      <c r="P5" s="43"/>
      <c r="Q5" s="43"/>
      <c r="R5" s="43"/>
      <c r="AA5" s="54"/>
      <c r="AB5" s="54"/>
    </row>
    <row r="6" spans="1:40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K6" s="161"/>
      <c r="AL6" s="54"/>
    </row>
    <row r="7" spans="1:40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5 OF "&amp;TEXT(Page_Num_2.3,"00")</f>
        <v>PAGE 5 OF 23</v>
      </c>
      <c r="AK7" s="161"/>
      <c r="AL7" s="54"/>
    </row>
    <row r="8" spans="1:40" x14ac:dyDescent="0.25">
      <c r="A8" s="46" t="s">
        <v>177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K8" s="161"/>
      <c r="AL8" s="54"/>
    </row>
    <row r="9" spans="1:40" x14ac:dyDescent="0.25">
      <c r="A9" s="222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45" t="str">
        <f>WIT</f>
        <v>J. L. Kern</v>
      </c>
      <c r="AK9" s="161"/>
      <c r="AL9" s="54"/>
    </row>
    <row r="10" spans="1:40" x14ac:dyDescent="0.25">
      <c r="A10" s="222" t="str">
        <f>INPUT!B5</f>
        <v>6 Months Actual Ending May 31, 2019</v>
      </c>
      <c r="B10" s="378"/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78"/>
      <c r="P10" s="378"/>
      <c r="Q10" s="378"/>
      <c r="R10" s="45"/>
      <c r="AK10" s="161"/>
      <c r="AL10" s="54"/>
    </row>
    <row r="11" spans="1:40" x14ac:dyDescent="0.25">
      <c r="A11" s="44" t="s">
        <v>136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AA11" s="54"/>
      <c r="AB11" s="54"/>
      <c r="AK11" s="156"/>
      <c r="AL11" s="53"/>
    </row>
    <row r="12" spans="1:40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154"/>
      <c r="AH12" s="55"/>
      <c r="AI12" s="55"/>
      <c r="AJ12" s="55"/>
      <c r="AK12" s="154"/>
      <c r="AL12" s="55"/>
      <c r="AM12" s="55"/>
      <c r="AN12" s="55"/>
    </row>
    <row r="13" spans="1:40" ht="18" customHeight="1" x14ac:dyDescent="0.25">
      <c r="A13" s="378"/>
      <c r="B13" s="378"/>
      <c r="C13" s="378"/>
      <c r="D13" s="378"/>
      <c r="E13" s="378"/>
      <c r="F13" s="378"/>
      <c r="G13" s="378"/>
      <c r="H13" s="378"/>
      <c r="I13" s="378"/>
      <c r="J13" s="378"/>
      <c r="K13" s="378"/>
      <c r="L13" s="426" t="s">
        <v>6</v>
      </c>
      <c r="M13" s="426"/>
      <c r="N13" s="426" t="s">
        <v>7</v>
      </c>
      <c r="O13" s="426"/>
      <c r="P13" s="378"/>
      <c r="Q13" s="378"/>
      <c r="R13" s="426" t="s">
        <v>6</v>
      </c>
      <c r="AA13" s="56"/>
      <c r="AB13" s="56"/>
      <c r="AC13" s="56"/>
      <c r="AD13" s="56"/>
      <c r="AE13" s="56"/>
      <c r="AF13" s="56"/>
      <c r="AG13" s="155"/>
      <c r="AH13" s="56"/>
      <c r="AK13" s="155"/>
      <c r="AL13" s="56"/>
      <c r="AM13" s="56"/>
      <c r="AN13" s="56"/>
    </row>
    <row r="14" spans="1:40" x14ac:dyDescent="0.25">
      <c r="A14" s="378"/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426" t="s">
        <v>12</v>
      </c>
      <c r="M14" s="426"/>
      <c r="N14" s="426" t="s">
        <v>13</v>
      </c>
      <c r="O14" s="426"/>
      <c r="P14" s="378"/>
      <c r="Q14" s="378"/>
      <c r="R14" s="426" t="s">
        <v>11</v>
      </c>
      <c r="Z14" s="56"/>
      <c r="AA14" s="56"/>
      <c r="AB14" s="56"/>
      <c r="AC14" s="56"/>
      <c r="AD14" s="56"/>
      <c r="AE14" s="56"/>
      <c r="AF14" s="56"/>
      <c r="AG14" s="155"/>
      <c r="AH14" s="56"/>
      <c r="AK14" s="155"/>
      <c r="AL14" s="56"/>
      <c r="AM14" s="56"/>
      <c r="AN14" s="56"/>
    </row>
    <row r="15" spans="1:40" x14ac:dyDescent="0.25">
      <c r="A15" s="426" t="s">
        <v>17</v>
      </c>
      <c r="B15" s="378"/>
      <c r="C15" s="426" t="s">
        <v>18</v>
      </c>
      <c r="D15" s="426" t="s">
        <v>19</v>
      </c>
      <c r="E15" s="426"/>
      <c r="F15" s="426" t="s">
        <v>20</v>
      </c>
      <c r="G15" s="378"/>
      <c r="H15" s="378"/>
      <c r="I15" s="378"/>
      <c r="J15" s="426" t="s">
        <v>6</v>
      </c>
      <c r="K15" s="426"/>
      <c r="L15" s="426" t="s">
        <v>21</v>
      </c>
      <c r="M15" s="426"/>
      <c r="N15" s="426" t="s">
        <v>21</v>
      </c>
      <c r="O15" s="426"/>
      <c r="P15" s="426" t="s">
        <v>21</v>
      </c>
      <c r="Q15" s="426"/>
      <c r="R15" s="426" t="s">
        <v>9</v>
      </c>
      <c r="T15" s="56"/>
      <c r="U15" s="56"/>
      <c r="V15" s="56"/>
      <c r="Z15" s="56"/>
      <c r="AA15" s="56"/>
      <c r="AB15" s="56"/>
      <c r="AC15" s="56"/>
      <c r="AD15" s="56"/>
      <c r="AE15" s="56"/>
      <c r="AF15" s="56"/>
      <c r="AG15" s="155"/>
      <c r="AH15" s="56"/>
      <c r="AI15" s="56"/>
      <c r="AJ15" s="56"/>
      <c r="AK15" s="155"/>
      <c r="AL15" s="56"/>
      <c r="AM15" s="56"/>
      <c r="AN15" s="56"/>
    </row>
    <row r="16" spans="1:40" x14ac:dyDescent="0.25">
      <c r="A16" s="426" t="s">
        <v>24</v>
      </c>
      <c r="B16" s="378"/>
      <c r="C16" s="426" t="s">
        <v>25</v>
      </c>
      <c r="D16" s="426" t="s">
        <v>26</v>
      </c>
      <c r="E16" s="426"/>
      <c r="F16" s="426" t="s">
        <v>27</v>
      </c>
      <c r="G16" s="378"/>
      <c r="H16" s="426" t="s">
        <v>28</v>
      </c>
      <c r="I16" s="426"/>
      <c r="J16" s="426" t="s">
        <v>29</v>
      </c>
      <c r="K16" s="426"/>
      <c r="L16" s="426" t="s">
        <v>9</v>
      </c>
      <c r="M16" s="426"/>
      <c r="N16" s="426" t="s">
        <v>9</v>
      </c>
      <c r="O16" s="426"/>
      <c r="P16" s="426" t="s">
        <v>379</v>
      </c>
      <c r="Q16" s="426"/>
      <c r="R16" s="265" t="s">
        <v>30</v>
      </c>
      <c r="T16" s="56"/>
      <c r="U16" s="56"/>
      <c r="V16" s="56"/>
      <c r="Y16" s="56"/>
      <c r="Z16" s="56"/>
      <c r="AA16" s="56"/>
      <c r="AB16" s="56"/>
      <c r="AC16" s="56"/>
      <c r="AD16" s="56"/>
      <c r="AE16" s="56"/>
      <c r="AF16" s="56"/>
      <c r="AG16" s="155"/>
      <c r="AH16" s="56"/>
      <c r="AI16" s="56"/>
      <c r="AJ16" s="56"/>
      <c r="AK16" s="155"/>
      <c r="AL16" s="56"/>
      <c r="AM16" s="56"/>
      <c r="AN16" s="56"/>
    </row>
    <row r="17" spans="1:40" x14ac:dyDescent="0.25">
      <c r="A17" s="378"/>
      <c r="B17" s="378"/>
      <c r="C17" s="265" t="s">
        <v>35</v>
      </c>
      <c r="D17" s="265" t="s">
        <v>36</v>
      </c>
      <c r="E17" s="265"/>
      <c r="F17" s="265" t="s">
        <v>37</v>
      </c>
      <c r="G17" s="218"/>
      <c r="H17" s="265" t="s">
        <v>38</v>
      </c>
      <c r="I17" s="265"/>
      <c r="J17" s="265" t="s">
        <v>39</v>
      </c>
      <c r="K17" s="265"/>
      <c r="L17" s="265" t="s">
        <v>40</v>
      </c>
      <c r="M17" s="265"/>
      <c r="N17" s="265" t="s">
        <v>41</v>
      </c>
      <c r="O17" s="265"/>
      <c r="P17" s="265" t="s">
        <v>42</v>
      </c>
      <c r="Q17" s="265"/>
      <c r="R17" s="265" t="s">
        <v>43</v>
      </c>
      <c r="T17" s="56"/>
      <c r="U17" s="56"/>
      <c r="V17" s="56"/>
      <c r="Y17" s="56"/>
      <c r="Z17" s="56"/>
      <c r="AA17" s="56"/>
      <c r="AB17" s="56"/>
      <c r="AC17" s="56"/>
      <c r="AD17" s="56"/>
      <c r="AE17" s="56"/>
      <c r="AF17" s="56"/>
      <c r="AG17" s="155"/>
      <c r="AH17" s="56"/>
      <c r="AI17" s="56"/>
      <c r="AJ17" s="56"/>
      <c r="AK17" s="155"/>
      <c r="AL17" s="56"/>
      <c r="AM17" s="56"/>
      <c r="AN17" s="56"/>
    </row>
    <row r="18" spans="1:40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154"/>
      <c r="AH18" s="55"/>
      <c r="AI18" s="55"/>
      <c r="AJ18" s="55"/>
      <c r="AK18" s="154"/>
      <c r="AL18" s="55"/>
      <c r="AM18" s="55"/>
      <c r="AN18" s="55"/>
    </row>
    <row r="19" spans="1:40" ht="17.100000000000001" customHeight="1" x14ac:dyDescent="0.25">
      <c r="A19" s="378"/>
      <c r="B19" s="378"/>
      <c r="C19" s="378"/>
      <c r="D19" s="378"/>
      <c r="E19" s="378"/>
      <c r="F19" s="378"/>
      <c r="G19" s="378"/>
      <c r="H19" s="442" t="s">
        <v>203</v>
      </c>
      <c r="I19" s="441"/>
      <c r="J19" s="442" t="s">
        <v>390</v>
      </c>
      <c r="K19" s="441"/>
      <c r="L19" s="441" t="s">
        <v>52</v>
      </c>
      <c r="M19" s="441"/>
      <c r="N19" s="441" t="s">
        <v>53</v>
      </c>
      <c r="O19" s="441"/>
      <c r="P19" s="441" t="s">
        <v>52</v>
      </c>
      <c r="Q19" s="441"/>
      <c r="R19" s="441" t="s">
        <v>52</v>
      </c>
      <c r="Y19" s="56"/>
      <c r="Z19" s="56"/>
      <c r="AA19" s="56"/>
      <c r="AB19" s="56"/>
      <c r="AC19" s="56"/>
      <c r="AD19" s="56"/>
      <c r="AE19" s="56"/>
      <c r="AF19" s="56"/>
      <c r="AG19" s="155"/>
      <c r="AH19" s="56"/>
      <c r="AI19" s="56"/>
      <c r="AJ19" s="56"/>
      <c r="AK19" s="155"/>
      <c r="AL19" s="56"/>
      <c r="AM19" s="56"/>
      <c r="AN19" s="56"/>
    </row>
    <row r="20" spans="1:40" x14ac:dyDescent="0.25">
      <c r="A20" s="45">
        <v>1</v>
      </c>
      <c r="B20" s="378"/>
      <c r="C20" s="222" t="s">
        <v>438</v>
      </c>
      <c r="D20" s="222" t="s">
        <v>439</v>
      </c>
      <c r="E20" s="46"/>
      <c r="F20" s="2"/>
      <c r="G20" s="2"/>
      <c r="H20" s="459"/>
      <c r="I20" s="459"/>
      <c r="J20" s="460" t="s">
        <v>384</v>
      </c>
      <c r="K20" s="459"/>
      <c r="L20" s="459"/>
      <c r="M20" s="459"/>
      <c r="N20" s="459"/>
      <c r="O20" s="459"/>
      <c r="P20" s="468"/>
      <c r="Q20" s="468"/>
      <c r="R20" s="468"/>
      <c r="T20" s="54"/>
      <c r="U20" s="54"/>
    </row>
    <row r="21" spans="1:40" x14ac:dyDescent="0.25">
      <c r="A21" s="45">
        <v>2</v>
      </c>
      <c r="B21" s="378"/>
      <c r="C21" s="222" t="s">
        <v>56</v>
      </c>
      <c r="D21" s="218"/>
      <c r="E21" s="378"/>
      <c r="F21" s="2"/>
      <c r="G21" s="2"/>
      <c r="H21" s="2"/>
      <c r="I21" s="2"/>
      <c r="J21" s="2"/>
      <c r="K21" s="2"/>
      <c r="L21" s="2"/>
      <c r="M21" s="2"/>
      <c r="N21" s="2"/>
      <c r="O21" s="2"/>
      <c r="P21" s="84"/>
      <c r="Q21" s="84"/>
      <c r="R21" s="84"/>
      <c r="T21" s="54"/>
    </row>
    <row r="22" spans="1:40" x14ac:dyDescent="0.25">
      <c r="A22" s="45">
        <v>3</v>
      </c>
      <c r="B22" s="378"/>
      <c r="C22" s="222" t="s">
        <v>140</v>
      </c>
      <c r="D22" s="218"/>
      <c r="E22" s="378"/>
      <c r="F22" s="2"/>
      <c r="G22" s="2"/>
      <c r="H22" s="2"/>
      <c r="I22" s="2"/>
      <c r="J22" s="2"/>
      <c r="K22" s="2"/>
      <c r="L22" s="2"/>
      <c r="M22" s="2"/>
      <c r="N22" s="2"/>
      <c r="O22" s="2"/>
      <c r="P22" s="84"/>
      <c r="Q22" s="84"/>
      <c r="R22" s="84"/>
      <c r="S22" s="379"/>
      <c r="T22" s="54"/>
      <c r="V22" s="379"/>
      <c r="Y22" s="379"/>
      <c r="Z22" s="461"/>
      <c r="AA22" s="379"/>
      <c r="AB22" s="379"/>
      <c r="AC22" s="50"/>
      <c r="AD22" s="50"/>
      <c r="AE22" s="379"/>
      <c r="AF22" s="379"/>
      <c r="AG22" s="156"/>
      <c r="AH22" s="50"/>
      <c r="AI22" s="379"/>
      <c r="AJ22" s="379"/>
      <c r="AK22" s="156"/>
      <c r="AL22" s="379"/>
      <c r="AM22" s="50"/>
      <c r="AN22" s="50"/>
    </row>
    <row r="23" spans="1:40" x14ac:dyDescent="0.25">
      <c r="A23" s="45">
        <v>4</v>
      </c>
      <c r="B23" s="378"/>
      <c r="C23" s="46" t="s">
        <v>141</v>
      </c>
      <c r="D23" s="378"/>
      <c r="E23" s="378"/>
      <c r="F23" s="392">
        <v>0</v>
      </c>
      <c r="G23" s="2"/>
      <c r="H23" s="86"/>
      <c r="I23" s="2"/>
      <c r="J23" s="450">
        <f>INPUT!D68</f>
        <v>65</v>
      </c>
      <c r="K23" s="2"/>
      <c r="L23" s="5">
        <f>ROUND(+F23*J23,0)</f>
        <v>0</v>
      </c>
      <c r="M23" s="2"/>
      <c r="N23" s="149">
        <f>ROUND((+L23/$L$61)*100,1)</f>
        <v>0</v>
      </c>
      <c r="O23" s="2"/>
      <c r="P23" s="5"/>
      <c r="Q23" s="97"/>
      <c r="R23" s="5">
        <f>L23+P23</f>
        <v>0</v>
      </c>
      <c r="S23" s="379"/>
      <c r="V23" s="381"/>
      <c r="Y23" s="379"/>
      <c r="Z23" s="449"/>
      <c r="AA23" s="379"/>
      <c r="AB23" s="379"/>
      <c r="AC23" s="50"/>
      <c r="AD23" s="50"/>
      <c r="AE23" s="379"/>
      <c r="AF23" s="379"/>
      <c r="AI23" s="379"/>
      <c r="AJ23" s="379"/>
      <c r="AK23" s="156"/>
      <c r="AL23" s="379"/>
    </row>
    <row r="24" spans="1:40" x14ac:dyDescent="0.25">
      <c r="A24" s="45">
        <v>5</v>
      </c>
      <c r="B24" s="378"/>
      <c r="C24" s="46" t="s">
        <v>142</v>
      </c>
      <c r="D24" s="378"/>
      <c r="E24" s="378"/>
      <c r="F24" s="392">
        <v>635</v>
      </c>
      <c r="G24" s="2"/>
      <c r="H24" s="86"/>
      <c r="I24" s="2"/>
      <c r="J24" s="450">
        <f>INPUT!D69</f>
        <v>130</v>
      </c>
      <c r="K24" s="2"/>
      <c r="L24" s="5">
        <f>ROUND(+F24*J24,0)</f>
        <v>82550</v>
      </c>
      <c r="M24" s="2"/>
      <c r="N24" s="149">
        <f>ROUND((+L24/$L$61)*100,1)</f>
        <v>0.1</v>
      </c>
      <c r="O24" s="2"/>
      <c r="P24" s="5"/>
      <c r="Q24" s="97"/>
      <c r="R24" s="5">
        <f>L24+P24</f>
        <v>82550</v>
      </c>
      <c r="S24" s="379"/>
      <c r="V24" s="379"/>
      <c r="Y24" s="379"/>
      <c r="Z24" s="449"/>
      <c r="AA24" s="379"/>
      <c r="AB24" s="379"/>
      <c r="AC24" s="50"/>
      <c r="AD24" s="50"/>
      <c r="AE24" s="379"/>
      <c r="AF24" s="379"/>
      <c r="AI24" s="379"/>
      <c r="AJ24" s="379"/>
      <c r="AK24" s="156"/>
      <c r="AL24" s="379"/>
    </row>
    <row r="25" spans="1:40" ht="20.100000000000001" customHeight="1" x14ac:dyDescent="0.25">
      <c r="A25" s="45">
        <v>6</v>
      </c>
      <c r="B25" s="378"/>
      <c r="C25" s="222" t="s">
        <v>143</v>
      </c>
      <c r="D25" s="378"/>
      <c r="E25" s="378"/>
      <c r="F25" s="90">
        <f>SUM(F23:F24)</f>
        <v>635</v>
      </c>
      <c r="G25" s="2"/>
      <c r="H25" s="5"/>
      <c r="I25" s="2"/>
      <c r="J25" s="446"/>
      <c r="K25" s="2"/>
      <c r="L25" s="90">
        <f>SUM(L23:L24)</f>
        <v>82550</v>
      </c>
      <c r="M25" s="2"/>
      <c r="N25" s="150">
        <f>ROUND((+L25/$L$61)*100,1)</f>
        <v>0.1</v>
      </c>
      <c r="O25" s="2"/>
      <c r="P25" s="90"/>
      <c r="Q25" s="83"/>
      <c r="R25" s="90">
        <f>SUM(R23:R24)</f>
        <v>82550</v>
      </c>
      <c r="S25" s="379"/>
      <c r="V25" s="381"/>
      <c r="Y25" s="381"/>
      <c r="Z25" s="464"/>
      <c r="AA25" s="381"/>
      <c r="AB25" s="381"/>
      <c r="AC25" s="381"/>
      <c r="AD25" s="381"/>
      <c r="AE25" s="381"/>
      <c r="AF25" s="381"/>
      <c r="AI25" s="381"/>
      <c r="AJ25" s="381"/>
      <c r="AK25" s="162"/>
      <c r="AL25" s="381"/>
      <c r="AM25" s="50"/>
      <c r="AN25" s="50"/>
    </row>
    <row r="26" spans="1:40" x14ac:dyDescent="0.25">
      <c r="A26" s="45"/>
      <c r="B26" s="378"/>
      <c r="C26" s="46"/>
      <c r="D26" s="378"/>
      <c r="E26" s="378"/>
      <c r="F26" s="83"/>
      <c r="G26" s="2"/>
      <c r="H26" s="5"/>
      <c r="I26" s="2"/>
      <c r="J26" s="446"/>
      <c r="K26" s="2"/>
      <c r="L26" s="83"/>
      <c r="M26" s="2"/>
      <c r="N26" s="91"/>
      <c r="O26" s="2"/>
      <c r="P26" s="83"/>
      <c r="Q26" s="83"/>
      <c r="R26" s="83"/>
      <c r="S26" s="379"/>
      <c r="V26" s="381"/>
      <c r="Y26" s="381"/>
      <c r="Z26" s="464"/>
      <c r="AA26" s="381"/>
      <c r="AB26" s="381"/>
      <c r="AC26" s="381"/>
      <c r="AD26" s="381"/>
      <c r="AE26" s="381"/>
      <c r="AF26" s="381"/>
      <c r="AI26" s="381"/>
      <c r="AJ26" s="381"/>
      <c r="AK26" s="162"/>
      <c r="AL26" s="381"/>
      <c r="AM26" s="50"/>
      <c r="AN26" s="50"/>
    </row>
    <row r="27" spans="1:40" x14ac:dyDescent="0.25">
      <c r="A27" s="45">
        <v>7</v>
      </c>
      <c r="B27" s="378"/>
      <c r="C27" s="222" t="s">
        <v>65</v>
      </c>
      <c r="D27" s="378"/>
      <c r="E27" s="378"/>
      <c r="F27" s="86"/>
      <c r="G27" s="2"/>
      <c r="H27" s="86"/>
      <c r="I27" s="2"/>
      <c r="J27" s="481"/>
      <c r="K27" s="2"/>
      <c r="L27" s="5"/>
      <c r="M27" s="2"/>
      <c r="N27" s="6"/>
      <c r="O27" s="2"/>
      <c r="P27" s="5"/>
      <c r="Q27" s="83"/>
      <c r="R27" s="5"/>
      <c r="S27" s="379"/>
      <c r="V27" s="449"/>
      <c r="Y27" s="449"/>
      <c r="Z27" s="464"/>
      <c r="AA27" s="379"/>
      <c r="AB27" s="379"/>
      <c r="AC27" s="50"/>
      <c r="AD27" s="50"/>
      <c r="AE27" s="379"/>
      <c r="AF27" s="379"/>
      <c r="AI27" s="379"/>
      <c r="AJ27" s="379"/>
      <c r="AK27" s="156"/>
      <c r="AL27" s="379"/>
      <c r="AM27" s="50"/>
      <c r="AN27" s="50"/>
    </row>
    <row r="28" spans="1:40" x14ac:dyDescent="0.25">
      <c r="A28" s="45">
        <v>8</v>
      </c>
      <c r="B28" s="378"/>
      <c r="C28" s="46" t="s">
        <v>66</v>
      </c>
      <c r="D28" s="378"/>
      <c r="E28" s="378"/>
      <c r="F28" s="86"/>
      <c r="G28" s="2"/>
      <c r="H28" s="392">
        <v>523317</v>
      </c>
      <c r="I28" s="2"/>
      <c r="J28" s="96">
        <f>PRO_DT_SUM_PEAK</f>
        <v>15.45</v>
      </c>
      <c r="K28" s="2"/>
      <c r="L28" s="5">
        <f>ROUND(+H28*J28,0)</f>
        <v>8085248</v>
      </c>
      <c r="M28" s="2"/>
      <c r="N28" s="149">
        <f>ROUND((+L28/$L$61)*100,1)</f>
        <v>13.6</v>
      </c>
      <c r="O28" s="2"/>
      <c r="P28" s="5"/>
      <c r="Q28" s="83"/>
      <c r="R28" s="5">
        <f>L28+P28</f>
        <v>8085248</v>
      </c>
      <c r="S28" s="379"/>
      <c r="V28" s="381"/>
      <c r="Y28" s="449"/>
      <c r="Z28" s="464"/>
      <c r="AA28" s="379"/>
      <c r="AB28" s="379"/>
      <c r="AC28" s="50"/>
      <c r="AD28" s="50"/>
      <c r="AE28" s="379"/>
      <c r="AF28" s="379"/>
      <c r="AG28" s="156"/>
      <c r="AH28" s="50"/>
      <c r="AI28" s="379"/>
      <c r="AJ28" s="379"/>
      <c r="AK28" s="156"/>
      <c r="AL28" s="379"/>
      <c r="AM28" s="50"/>
      <c r="AN28" s="50"/>
    </row>
    <row r="29" spans="1:40" x14ac:dyDescent="0.25">
      <c r="A29" s="45">
        <v>9</v>
      </c>
      <c r="B29" s="378"/>
      <c r="C29" s="46" t="s">
        <v>67</v>
      </c>
      <c r="D29" s="378"/>
      <c r="E29" s="378"/>
      <c r="F29" s="86"/>
      <c r="G29" s="2"/>
      <c r="H29" s="392">
        <v>13818</v>
      </c>
      <c r="I29" s="2"/>
      <c r="J29" s="96">
        <f>PRO_DT_SUM_PK_OFF</f>
        <v>1.39</v>
      </c>
      <c r="K29" s="2"/>
      <c r="L29" s="5">
        <f>ROUND(+H29*J29,0)</f>
        <v>19207</v>
      </c>
      <c r="M29" s="2"/>
      <c r="N29" s="149">
        <f>ROUND((+L29/$L$61)*100,1)</f>
        <v>0</v>
      </c>
      <c r="O29" s="2"/>
      <c r="P29" s="5"/>
      <c r="Q29" s="83"/>
      <c r="R29" s="5">
        <f>L29+P29</f>
        <v>19207</v>
      </c>
      <c r="S29" s="379"/>
      <c r="T29" s="54"/>
      <c r="V29" s="449"/>
      <c r="Y29" s="379"/>
      <c r="Z29" s="463"/>
      <c r="AA29" s="379"/>
      <c r="AB29" s="379"/>
      <c r="AC29" s="50"/>
      <c r="AD29" s="50"/>
      <c r="AE29" s="379"/>
      <c r="AF29" s="379"/>
      <c r="AG29" s="156"/>
      <c r="AH29" s="50"/>
      <c r="AI29" s="379"/>
      <c r="AJ29" s="379"/>
      <c r="AK29" s="156"/>
      <c r="AL29" s="379"/>
      <c r="AM29" s="50"/>
      <c r="AN29" s="50"/>
    </row>
    <row r="30" spans="1:40" ht="20.100000000000001" customHeight="1" x14ac:dyDescent="0.25">
      <c r="A30" s="45">
        <v>10</v>
      </c>
      <c r="B30" s="378"/>
      <c r="C30" s="222" t="s">
        <v>68</v>
      </c>
      <c r="D30" s="378"/>
      <c r="E30" s="378"/>
      <c r="F30" s="5"/>
      <c r="G30" s="2"/>
      <c r="H30" s="90">
        <f>SUM(H28:H29)</f>
        <v>537135</v>
      </c>
      <c r="I30" s="2"/>
      <c r="J30" s="446"/>
      <c r="K30" s="2"/>
      <c r="L30" s="90">
        <f>SUM(L28:L29)</f>
        <v>8104455</v>
      </c>
      <c r="M30" s="2"/>
      <c r="N30" s="150">
        <f>ROUND((+L30/$L$61)*100,1)</f>
        <v>13.6</v>
      </c>
      <c r="O30" s="2"/>
      <c r="P30" s="90"/>
      <c r="Q30" s="94"/>
      <c r="R30" s="90">
        <f>SUM(R28:R29)</f>
        <v>8104455</v>
      </c>
      <c r="S30" s="379"/>
      <c r="V30" s="381"/>
      <c r="Y30" s="381"/>
      <c r="Z30" s="464"/>
      <c r="AA30" s="381"/>
      <c r="AB30" s="381"/>
      <c r="AC30" s="381"/>
      <c r="AD30" s="381"/>
      <c r="AE30" s="381"/>
      <c r="AF30" s="381"/>
      <c r="AI30" s="381"/>
      <c r="AJ30" s="381"/>
      <c r="AK30" s="162"/>
      <c r="AL30" s="381"/>
      <c r="AM30" s="50"/>
      <c r="AN30" s="50"/>
    </row>
    <row r="31" spans="1:40" x14ac:dyDescent="0.25">
      <c r="A31" s="45"/>
      <c r="B31" s="378"/>
      <c r="C31" s="46"/>
      <c r="D31" s="378"/>
      <c r="E31" s="378"/>
      <c r="F31" s="5"/>
      <c r="G31" s="2"/>
      <c r="H31" s="83"/>
      <c r="I31" s="2"/>
      <c r="J31" s="446"/>
      <c r="K31" s="2"/>
      <c r="L31" s="83"/>
      <c r="M31" s="2"/>
      <c r="N31" s="91"/>
      <c r="O31" s="2"/>
      <c r="P31" s="83"/>
      <c r="Q31" s="94"/>
      <c r="R31" s="83"/>
      <c r="S31" s="379"/>
      <c r="V31" s="381"/>
      <c r="Y31" s="381"/>
      <c r="Z31" s="464"/>
      <c r="AA31" s="381"/>
      <c r="AB31" s="381"/>
      <c r="AC31" s="381"/>
      <c r="AD31" s="381"/>
      <c r="AE31" s="381"/>
      <c r="AF31" s="381"/>
      <c r="AI31" s="381"/>
      <c r="AJ31" s="381"/>
      <c r="AK31" s="162"/>
      <c r="AL31" s="381"/>
      <c r="AM31" s="50"/>
      <c r="AN31" s="50"/>
    </row>
    <row r="32" spans="1:40" x14ac:dyDescent="0.25">
      <c r="A32" s="45">
        <v>11</v>
      </c>
      <c r="B32" s="378"/>
      <c r="C32" s="222" t="s">
        <v>432</v>
      </c>
      <c r="D32" s="378"/>
      <c r="E32" s="378"/>
      <c r="F32" s="5"/>
      <c r="G32" s="2"/>
      <c r="H32" s="5"/>
      <c r="I32" s="2"/>
      <c r="J32" s="9"/>
      <c r="K32" s="2"/>
      <c r="L32" s="5"/>
      <c r="M32" s="2"/>
      <c r="N32" s="6"/>
      <c r="O32" s="2"/>
      <c r="P32" s="5"/>
      <c r="Q32" s="83"/>
      <c r="R32" s="5"/>
      <c r="Y32" s="54"/>
    </row>
    <row r="33" spans="1:43" x14ac:dyDescent="0.25">
      <c r="A33" s="45">
        <v>12</v>
      </c>
      <c r="B33" s="378"/>
      <c r="C33" s="46" t="s">
        <v>445</v>
      </c>
      <c r="D33" s="378"/>
      <c r="E33" s="378"/>
      <c r="F33" s="5"/>
      <c r="G33" s="2"/>
      <c r="H33" s="48">
        <v>72174788</v>
      </c>
      <c r="I33" s="2"/>
      <c r="J33" s="488">
        <f>PRO_DT_SUM_E_ON</f>
        <v>4.8711999999999998E-2</v>
      </c>
      <c r="K33" s="2"/>
      <c r="L33" s="5">
        <f>ROUND((+H33*J33),0)</f>
        <v>3515778</v>
      </c>
      <c r="M33" s="2"/>
      <c r="N33" s="149">
        <f>ROUND((+L33/$L$61)*100,1)</f>
        <v>5.9</v>
      </c>
      <c r="O33" s="2"/>
      <c r="P33" s="5"/>
      <c r="Q33" s="83"/>
      <c r="R33" s="5">
        <f>L33+P33</f>
        <v>3515778</v>
      </c>
      <c r="Y33" s="54"/>
    </row>
    <row r="34" spans="1:43" x14ac:dyDescent="0.25">
      <c r="A34" s="45">
        <v>13</v>
      </c>
      <c r="B34" s="378"/>
      <c r="C34" s="46" t="s">
        <v>446</v>
      </c>
      <c r="D34" s="378"/>
      <c r="E34" s="378"/>
      <c r="F34" s="81"/>
      <c r="G34" s="2"/>
      <c r="H34" s="452">
        <v>171445010</v>
      </c>
      <c r="I34" s="2"/>
      <c r="J34" s="488">
        <f>PRO_DT_SUM_E_OFF</f>
        <v>3.9890000000000002E-2</v>
      </c>
      <c r="K34" s="2"/>
      <c r="L34" s="81">
        <f>ROUND((+H34*J34),0)</f>
        <v>6838941</v>
      </c>
      <c r="M34" s="2"/>
      <c r="N34" s="149">
        <f>ROUND((+L34/$L$61)*100,1)</f>
        <v>11.5</v>
      </c>
      <c r="O34" s="2"/>
      <c r="P34" s="81"/>
      <c r="Q34" s="83"/>
      <c r="R34" s="81">
        <f>L34+P34</f>
        <v>6838941</v>
      </c>
      <c r="Z34" s="53"/>
    </row>
    <row r="35" spans="1:43" ht="19.5" customHeight="1" x14ac:dyDescent="0.25">
      <c r="A35" s="45">
        <v>14</v>
      </c>
      <c r="B35" s="378"/>
      <c r="C35" s="222" t="s">
        <v>58</v>
      </c>
      <c r="D35" s="378"/>
      <c r="E35" s="378"/>
      <c r="F35" s="90">
        <f>F25</f>
        <v>635</v>
      </c>
      <c r="G35" s="2"/>
      <c r="H35" s="90">
        <f>H33+H34</f>
        <v>243619798</v>
      </c>
      <c r="I35" s="2"/>
      <c r="J35" s="446"/>
      <c r="K35" s="2"/>
      <c r="L35" s="90">
        <f>L25+L30+L33+L34</f>
        <v>18541724</v>
      </c>
      <c r="M35" s="2"/>
      <c r="N35" s="150">
        <f>ROUND((+L35/$L$61)*100,1)</f>
        <v>31.2</v>
      </c>
      <c r="O35" s="2"/>
      <c r="P35" s="90"/>
      <c r="Q35" s="84"/>
      <c r="R35" s="90">
        <f>R25+R30+R33+R34</f>
        <v>18541724</v>
      </c>
      <c r="AK35" s="161"/>
      <c r="AL35" s="54"/>
    </row>
    <row r="36" spans="1:43" x14ac:dyDescent="0.25">
      <c r="A36" s="45"/>
      <c r="B36" s="378"/>
      <c r="C36" s="46"/>
      <c r="D36" s="378"/>
      <c r="E36" s="378"/>
      <c r="F36" s="83"/>
      <c r="G36" s="2"/>
      <c r="H36" s="83"/>
      <c r="I36" s="2"/>
      <c r="J36" s="446"/>
      <c r="K36" s="2"/>
      <c r="L36" s="83"/>
      <c r="M36" s="2"/>
      <c r="N36" s="91"/>
      <c r="O36" s="2"/>
      <c r="P36" s="83"/>
      <c r="Q36" s="84"/>
      <c r="R36" s="83"/>
      <c r="AK36" s="161"/>
      <c r="AL36" s="54"/>
    </row>
    <row r="37" spans="1:43" x14ac:dyDescent="0.25">
      <c r="A37" s="45">
        <v>15</v>
      </c>
      <c r="B37" s="378"/>
      <c r="C37" s="222" t="s">
        <v>59</v>
      </c>
      <c r="D37" s="378"/>
      <c r="E37" s="378"/>
      <c r="F37" s="86"/>
      <c r="G37" s="2"/>
      <c r="H37" s="483">
        <f>185857814-185857934</f>
        <v>-120</v>
      </c>
      <c r="I37" s="2"/>
      <c r="J37" s="446"/>
      <c r="K37" s="2"/>
      <c r="L37" s="5"/>
      <c r="M37" s="2"/>
      <c r="N37" s="6"/>
      <c r="O37" s="2"/>
      <c r="P37" s="5"/>
      <c r="Q37" s="84"/>
      <c r="R37" s="5"/>
      <c r="T37" s="378"/>
      <c r="U37" s="378"/>
      <c r="V37" s="378"/>
      <c r="W37" s="378"/>
      <c r="X37" s="378"/>
      <c r="Y37" s="378"/>
      <c r="Z37" s="378"/>
      <c r="AA37" s="378"/>
      <c r="AB37" s="378"/>
      <c r="AC37" s="378"/>
      <c r="AD37" s="378"/>
      <c r="AE37" s="378"/>
      <c r="AF37" s="378"/>
      <c r="AG37" s="143"/>
      <c r="AH37" s="378"/>
      <c r="AI37" s="378"/>
      <c r="AJ37" s="378"/>
      <c r="AK37" s="143"/>
      <c r="AL37" s="378"/>
      <c r="AM37" s="378"/>
      <c r="AN37" s="378"/>
      <c r="AO37" s="378"/>
      <c r="AP37" s="378"/>
      <c r="AQ37" s="143"/>
    </row>
    <row r="38" spans="1:43" x14ac:dyDescent="0.25">
      <c r="A38" s="45">
        <v>16</v>
      </c>
      <c r="B38" s="378"/>
      <c r="C38" s="222" t="s">
        <v>140</v>
      </c>
      <c r="D38" s="378"/>
      <c r="E38" s="378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99"/>
      <c r="R38" s="2"/>
      <c r="T38" s="378"/>
      <c r="U38" s="378"/>
      <c r="V38" s="378"/>
      <c r="W38" s="378"/>
      <c r="X38" s="378"/>
      <c r="Y38" s="378"/>
      <c r="Z38" s="378"/>
      <c r="AA38" s="378"/>
      <c r="AB38" s="378"/>
      <c r="AC38" s="378"/>
      <c r="AD38" s="378"/>
      <c r="AE38" s="378"/>
      <c r="AF38" s="378"/>
      <c r="AG38" s="143"/>
      <c r="AH38" s="378"/>
      <c r="AI38" s="378"/>
      <c r="AJ38" s="378"/>
      <c r="AK38" s="143"/>
      <c r="AL38" s="378"/>
      <c r="AM38" s="378"/>
      <c r="AN38" s="378"/>
      <c r="AO38" s="378"/>
      <c r="AP38" s="378"/>
      <c r="AQ38" s="143"/>
    </row>
    <row r="39" spans="1:43" x14ac:dyDescent="0.25">
      <c r="A39" s="45">
        <v>17</v>
      </c>
      <c r="B39" s="378"/>
      <c r="C39" s="46" t="s">
        <v>141</v>
      </c>
      <c r="D39" s="378"/>
      <c r="E39" s="378"/>
      <c r="F39" s="392">
        <f>F23</f>
        <v>0</v>
      </c>
      <c r="G39" s="2"/>
      <c r="H39" s="86"/>
      <c r="I39" s="2"/>
      <c r="J39" s="96">
        <f>J23</f>
        <v>65</v>
      </c>
      <c r="K39" s="2"/>
      <c r="L39" s="5">
        <f>ROUND(+F39*J39,0)</f>
        <v>0</v>
      </c>
      <c r="M39" s="2"/>
      <c r="N39" s="149">
        <f>ROUND((+L39/$L$61)*100,1)</f>
        <v>0</v>
      </c>
      <c r="O39" s="2"/>
      <c r="P39" s="5"/>
      <c r="Q39" s="84"/>
      <c r="R39" s="5">
        <f>L39+P39</f>
        <v>0</v>
      </c>
      <c r="T39" s="378"/>
      <c r="U39" s="378"/>
      <c r="V39" s="378"/>
      <c r="W39" s="378"/>
      <c r="X39" s="378"/>
      <c r="Y39" s="378"/>
      <c r="Z39" s="378"/>
      <c r="AA39" s="378"/>
      <c r="AB39" s="378"/>
      <c r="AC39" s="378"/>
      <c r="AD39" s="378"/>
      <c r="AE39" s="378"/>
      <c r="AF39" s="378"/>
      <c r="AG39" s="143"/>
      <c r="AH39" s="378"/>
      <c r="AI39" s="378"/>
      <c r="AJ39" s="378"/>
      <c r="AK39" s="143"/>
      <c r="AL39" s="378"/>
      <c r="AM39" s="378"/>
      <c r="AN39" s="378"/>
      <c r="AO39" s="378"/>
      <c r="AP39" s="378"/>
      <c r="AQ39" s="143"/>
    </row>
    <row r="40" spans="1:43" x14ac:dyDescent="0.25">
      <c r="A40" s="45">
        <v>18</v>
      </c>
      <c r="B40" s="378"/>
      <c r="C40" s="46" t="s">
        <v>142</v>
      </c>
      <c r="D40" s="378"/>
      <c r="E40" s="378"/>
      <c r="F40" s="392">
        <v>1235</v>
      </c>
      <c r="G40" s="2"/>
      <c r="H40" s="86"/>
      <c r="I40" s="2"/>
      <c r="J40" s="96">
        <f>J24</f>
        <v>130</v>
      </c>
      <c r="K40" s="2"/>
      <c r="L40" s="5">
        <f>ROUND(+F40*J40,0)</f>
        <v>160550</v>
      </c>
      <c r="M40" s="2"/>
      <c r="N40" s="149">
        <f>ROUND((+L40/$L$61)*100,1)</f>
        <v>0.3</v>
      </c>
      <c r="O40" s="2"/>
      <c r="P40" s="5"/>
      <c r="Q40" s="84"/>
      <c r="R40" s="5">
        <f>L40+P40</f>
        <v>160550</v>
      </c>
      <c r="T40" s="378"/>
      <c r="U40" s="378"/>
      <c r="V40" s="378"/>
      <c r="W40" s="378"/>
      <c r="X40" s="378"/>
      <c r="Y40" s="378"/>
      <c r="Z40" s="378"/>
      <c r="AA40" s="378"/>
      <c r="AB40" s="378"/>
      <c r="AC40" s="378"/>
      <c r="AD40" s="378"/>
      <c r="AE40" s="378"/>
      <c r="AF40" s="378"/>
      <c r="AG40" s="143"/>
      <c r="AH40" s="378"/>
      <c r="AI40" s="378"/>
      <c r="AJ40" s="378"/>
      <c r="AK40" s="143"/>
      <c r="AL40" s="378"/>
      <c r="AM40" s="378"/>
      <c r="AN40" s="378"/>
      <c r="AO40" s="378"/>
      <c r="AP40" s="378"/>
      <c r="AQ40" s="143"/>
    </row>
    <row r="41" spans="1:43" ht="20.100000000000001" customHeight="1" x14ac:dyDescent="0.25">
      <c r="A41" s="45">
        <v>19</v>
      </c>
      <c r="B41" s="378"/>
      <c r="C41" s="222" t="s">
        <v>143</v>
      </c>
      <c r="D41" s="378"/>
      <c r="E41" s="378"/>
      <c r="F41" s="90">
        <f>SUM(F39:F40)</f>
        <v>1235</v>
      </c>
      <c r="G41" s="2"/>
      <c r="H41" s="5"/>
      <c r="I41" s="2"/>
      <c r="J41" s="446"/>
      <c r="K41" s="2"/>
      <c r="L41" s="90">
        <f>SUM(L39:L40)</f>
        <v>160550</v>
      </c>
      <c r="M41" s="2"/>
      <c r="N41" s="150">
        <f>ROUND((+L41/$L$61)*100,1)</f>
        <v>0.3</v>
      </c>
      <c r="O41" s="2"/>
      <c r="P41" s="90"/>
      <c r="Q41" s="100"/>
      <c r="R41" s="90">
        <f>SUM(R39:R40)</f>
        <v>160550</v>
      </c>
      <c r="T41" s="378"/>
      <c r="U41" s="378"/>
      <c r="V41" s="378"/>
      <c r="W41" s="378"/>
      <c r="X41" s="378"/>
      <c r="Y41" s="378"/>
      <c r="Z41" s="378"/>
      <c r="AA41" s="378"/>
      <c r="AB41" s="378"/>
      <c r="AC41" s="378"/>
      <c r="AD41" s="378"/>
      <c r="AE41" s="378"/>
      <c r="AF41" s="378"/>
      <c r="AG41" s="143"/>
      <c r="AH41" s="378"/>
      <c r="AI41" s="378"/>
      <c r="AJ41" s="378"/>
      <c r="AK41" s="143"/>
      <c r="AL41" s="378"/>
      <c r="AM41" s="378"/>
      <c r="AN41" s="378"/>
      <c r="AO41" s="378"/>
      <c r="AP41" s="378"/>
      <c r="AQ41" s="143"/>
    </row>
    <row r="42" spans="1:43" x14ac:dyDescent="0.25">
      <c r="A42" s="45"/>
      <c r="B42" s="378"/>
      <c r="C42" s="46"/>
      <c r="D42" s="378"/>
      <c r="E42" s="378"/>
      <c r="F42" s="83"/>
      <c r="G42" s="2"/>
      <c r="H42" s="5"/>
      <c r="I42" s="2"/>
      <c r="J42" s="446"/>
      <c r="K42" s="2"/>
      <c r="L42" s="83"/>
      <c r="M42" s="2"/>
      <c r="N42" s="91"/>
      <c r="O42" s="2"/>
      <c r="P42" s="83"/>
      <c r="Q42" s="100"/>
      <c r="R42" s="83"/>
      <c r="T42" s="378"/>
      <c r="U42" s="378"/>
      <c r="V42" s="378"/>
      <c r="W42" s="378"/>
      <c r="X42" s="378"/>
      <c r="Y42" s="378"/>
      <c r="Z42" s="378"/>
      <c r="AA42" s="378"/>
      <c r="AB42" s="378"/>
      <c r="AC42" s="378"/>
      <c r="AD42" s="378"/>
      <c r="AE42" s="378"/>
      <c r="AF42" s="378"/>
      <c r="AG42" s="143"/>
      <c r="AH42" s="378"/>
      <c r="AI42" s="378"/>
      <c r="AJ42" s="378"/>
      <c r="AK42" s="143"/>
      <c r="AL42" s="378"/>
      <c r="AM42" s="378"/>
      <c r="AN42" s="378"/>
      <c r="AO42" s="378"/>
      <c r="AP42" s="378"/>
      <c r="AQ42" s="143"/>
    </row>
    <row r="43" spans="1:43" x14ac:dyDescent="0.25">
      <c r="A43" s="45">
        <v>20</v>
      </c>
      <c r="B43" s="378"/>
      <c r="C43" s="222" t="s">
        <v>65</v>
      </c>
      <c r="D43" s="378"/>
      <c r="E43" s="378"/>
      <c r="F43" s="86"/>
      <c r="G43" s="2"/>
      <c r="H43" s="86"/>
      <c r="I43" s="2"/>
      <c r="J43" s="481"/>
      <c r="K43" s="2"/>
      <c r="L43" s="5"/>
      <c r="M43" s="2"/>
      <c r="N43" s="6"/>
      <c r="O43" s="2"/>
      <c r="P43" s="5"/>
      <c r="Q43" s="99"/>
      <c r="R43" s="5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143"/>
      <c r="AH43" s="378"/>
      <c r="AI43" s="378"/>
      <c r="AJ43" s="378"/>
      <c r="AK43" s="143"/>
      <c r="AL43" s="378"/>
      <c r="AM43" s="378"/>
      <c r="AN43" s="378"/>
      <c r="AO43" s="378"/>
      <c r="AP43" s="378"/>
      <c r="AQ43" s="143"/>
    </row>
    <row r="44" spans="1:43" x14ac:dyDescent="0.25">
      <c r="A44" s="45">
        <v>21</v>
      </c>
      <c r="B44" s="378"/>
      <c r="C44" s="46" t="s">
        <v>66</v>
      </c>
      <c r="D44" s="378"/>
      <c r="E44" s="378"/>
      <c r="F44" s="86"/>
      <c r="G44" s="2"/>
      <c r="H44" s="392">
        <v>948356.82000000007</v>
      </c>
      <c r="I44" s="2"/>
      <c r="J44" s="450">
        <f>PRO_DT_WIN_PEAK</f>
        <v>14.62</v>
      </c>
      <c r="K44" s="2"/>
      <c r="L44" s="5">
        <f>ROUND(+H44*J44,0)</f>
        <v>13864977</v>
      </c>
      <c r="M44" s="2"/>
      <c r="N44" s="149">
        <f>ROUND((+L44/$L$61)*100,1)</f>
        <v>23.3</v>
      </c>
      <c r="O44" s="2"/>
      <c r="P44" s="5"/>
      <c r="Q44" s="100"/>
      <c r="R44" s="5">
        <f>L44+P44</f>
        <v>13864977</v>
      </c>
      <c r="T44" s="378"/>
      <c r="U44" s="378"/>
      <c r="V44" s="378"/>
      <c r="W44" s="378"/>
      <c r="X44" s="378"/>
      <c r="Y44" s="378"/>
      <c r="Z44" s="378"/>
      <c r="AA44" s="378"/>
      <c r="AB44" s="378"/>
      <c r="AC44" s="378"/>
      <c r="AD44" s="378"/>
      <c r="AE44" s="378"/>
      <c r="AF44" s="378"/>
      <c r="AG44" s="143"/>
      <c r="AH44" s="378"/>
      <c r="AI44" s="378"/>
      <c r="AJ44" s="378"/>
      <c r="AK44" s="143"/>
      <c r="AL44" s="378"/>
      <c r="AM44" s="378"/>
      <c r="AN44" s="378"/>
      <c r="AO44" s="378"/>
      <c r="AP44" s="378"/>
      <c r="AQ44" s="143"/>
    </row>
    <row r="45" spans="1:43" x14ac:dyDescent="0.25">
      <c r="A45" s="45">
        <v>22</v>
      </c>
      <c r="B45" s="378"/>
      <c r="C45" s="46" t="s">
        <v>67</v>
      </c>
      <c r="D45" s="378"/>
      <c r="E45" s="378"/>
      <c r="F45" s="86"/>
      <c r="G45" s="2"/>
      <c r="H45" s="392">
        <v>19342.599999999999</v>
      </c>
      <c r="I45" s="2"/>
      <c r="J45" s="450">
        <f>PRO_DT_WIN_PK_OFF</f>
        <v>1.39</v>
      </c>
      <c r="K45" s="2"/>
      <c r="L45" s="5">
        <f>ROUND(+H45*J45,0)</f>
        <v>26886</v>
      </c>
      <c r="M45" s="2"/>
      <c r="N45" s="149">
        <f>ROUND((+L45/$L$61)*100,1)</f>
        <v>0</v>
      </c>
      <c r="O45" s="2"/>
      <c r="P45" s="5"/>
      <c r="Q45" s="84"/>
      <c r="R45" s="5">
        <f>L45+P45</f>
        <v>26886</v>
      </c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143"/>
      <c r="AH45" s="378"/>
      <c r="AI45" s="378"/>
      <c r="AJ45" s="378"/>
      <c r="AK45" s="143"/>
      <c r="AL45" s="378"/>
      <c r="AM45" s="378"/>
      <c r="AN45" s="378"/>
      <c r="AO45" s="378"/>
      <c r="AP45" s="378"/>
      <c r="AQ45" s="143"/>
    </row>
    <row r="46" spans="1:43" ht="20.100000000000001" customHeight="1" x14ac:dyDescent="0.25">
      <c r="A46" s="45">
        <v>23</v>
      </c>
      <c r="B46" s="378"/>
      <c r="C46" s="222" t="s">
        <v>68</v>
      </c>
      <c r="D46" s="378"/>
      <c r="E46" s="378"/>
      <c r="F46" s="5"/>
      <c r="G46" s="2"/>
      <c r="H46" s="90">
        <f>SUM(H44:H45)</f>
        <v>967699.42</v>
      </c>
      <c r="I46" s="2"/>
      <c r="J46" s="446"/>
      <c r="K46" s="2"/>
      <c r="L46" s="90">
        <f>SUM(L44:L45)</f>
        <v>13891863</v>
      </c>
      <c r="M46" s="2"/>
      <c r="N46" s="150">
        <f>ROUND((+L46/$L$61)*100,1)-0.1</f>
        <v>23.2</v>
      </c>
      <c r="O46" s="2"/>
      <c r="P46" s="90"/>
      <c r="Q46" s="84"/>
      <c r="R46" s="90">
        <f>SUM(R44:R45)</f>
        <v>13891863</v>
      </c>
      <c r="T46" s="378"/>
      <c r="U46" s="378"/>
      <c r="V46" s="378"/>
      <c r="W46" s="378"/>
      <c r="X46" s="378"/>
      <c r="Y46" s="378"/>
      <c r="Z46" s="378"/>
      <c r="AA46" s="378"/>
      <c r="AB46" s="378"/>
      <c r="AC46" s="378"/>
      <c r="AD46" s="378"/>
      <c r="AE46" s="378"/>
      <c r="AF46" s="378"/>
      <c r="AG46" s="143"/>
      <c r="AH46" s="378"/>
      <c r="AI46" s="378"/>
      <c r="AJ46" s="378"/>
      <c r="AK46" s="143"/>
      <c r="AL46" s="378"/>
      <c r="AM46" s="378"/>
      <c r="AN46" s="378"/>
      <c r="AO46" s="378"/>
      <c r="AP46" s="378"/>
      <c r="AQ46" s="143"/>
    </row>
    <row r="47" spans="1:43" x14ac:dyDescent="0.25">
      <c r="A47" s="45"/>
      <c r="B47" s="378"/>
      <c r="C47" s="46"/>
      <c r="D47" s="378"/>
      <c r="E47" s="378"/>
      <c r="F47" s="5"/>
      <c r="G47" s="2"/>
      <c r="H47" s="83"/>
      <c r="I47" s="2"/>
      <c r="J47" s="446"/>
      <c r="K47" s="2"/>
      <c r="L47" s="83"/>
      <c r="M47" s="2"/>
      <c r="N47" s="91"/>
      <c r="O47" s="2"/>
      <c r="P47" s="83"/>
      <c r="Q47" s="84"/>
      <c r="R47" s="83"/>
      <c r="T47" s="378"/>
      <c r="U47" s="378"/>
      <c r="V47" s="378"/>
      <c r="W47" s="378"/>
      <c r="X47" s="378"/>
      <c r="Y47" s="378"/>
      <c r="Z47" s="378"/>
      <c r="AA47" s="378"/>
      <c r="AB47" s="378"/>
      <c r="AC47" s="378"/>
      <c r="AD47" s="378"/>
      <c r="AE47" s="378"/>
      <c r="AF47" s="378"/>
      <c r="AG47" s="143"/>
      <c r="AH47" s="378"/>
      <c r="AI47" s="378"/>
      <c r="AJ47" s="378"/>
      <c r="AK47" s="143"/>
      <c r="AL47" s="378"/>
      <c r="AM47" s="378"/>
      <c r="AN47" s="378"/>
      <c r="AO47" s="378"/>
      <c r="AP47" s="378"/>
      <c r="AQ47" s="143"/>
    </row>
    <row r="48" spans="1:43" x14ac:dyDescent="0.25">
      <c r="A48" s="45">
        <v>24</v>
      </c>
      <c r="B48" s="378"/>
      <c r="C48" s="222" t="s">
        <v>432</v>
      </c>
      <c r="D48" s="378"/>
      <c r="E48" s="378"/>
      <c r="F48" s="5"/>
      <c r="G48" s="2"/>
      <c r="H48" s="5"/>
      <c r="I48" s="2"/>
      <c r="J48" s="9"/>
      <c r="K48" s="2"/>
      <c r="L48" s="5"/>
      <c r="M48" s="2"/>
      <c r="N48" s="6"/>
      <c r="O48" s="2"/>
      <c r="P48" s="5"/>
      <c r="Q48" s="83"/>
      <c r="R48" s="5"/>
      <c r="T48" s="378"/>
      <c r="U48" s="378"/>
      <c r="V48" s="378"/>
      <c r="W48" s="378"/>
      <c r="X48" s="378"/>
      <c r="Y48" s="378"/>
      <c r="Z48" s="378"/>
      <c r="AA48" s="378"/>
      <c r="AB48" s="378"/>
      <c r="AC48" s="378"/>
      <c r="AD48" s="378"/>
      <c r="AE48" s="378"/>
      <c r="AF48" s="378"/>
      <c r="AG48" s="143"/>
      <c r="AH48" s="378"/>
      <c r="AI48" s="378"/>
      <c r="AJ48" s="378"/>
      <c r="AK48" s="143"/>
      <c r="AL48" s="378"/>
      <c r="AM48" s="378"/>
      <c r="AN48" s="378"/>
      <c r="AO48" s="378"/>
      <c r="AP48" s="378"/>
      <c r="AQ48" s="143"/>
    </row>
    <row r="49" spans="1:43" x14ac:dyDescent="0.25">
      <c r="A49" s="45">
        <v>25</v>
      </c>
      <c r="B49" s="378"/>
      <c r="C49" s="46" t="s">
        <v>445</v>
      </c>
      <c r="D49" s="378"/>
      <c r="E49" s="378"/>
      <c r="F49" s="5"/>
      <c r="G49" s="2"/>
      <c r="H49" s="48">
        <v>126151149</v>
      </c>
      <c r="I49" s="2"/>
      <c r="J49" s="268">
        <f>PRO_DT_WIN_E_ON</f>
        <v>4.6498999999999999E-2</v>
      </c>
      <c r="K49" s="2"/>
      <c r="L49" s="5">
        <f>ROUND((+H49*J49),0)</f>
        <v>5865902</v>
      </c>
      <c r="M49" s="2"/>
      <c r="N49" s="149">
        <f>ROUND((+L49/$L$61)*100,1)</f>
        <v>9.9</v>
      </c>
      <c r="O49" s="2"/>
      <c r="P49" s="5"/>
      <c r="Q49" s="83"/>
      <c r="R49" s="5">
        <f>L49+P49</f>
        <v>5865902</v>
      </c>
      <c r="T49" s="378"/>
      <c r="U49" s="378"/>
      <c r="V49" s="378"/>
      <c r="W49" s="378"/>
      <c r="X49" s="378"/>
      <c r="Y49" s="378"/>
      <c r="Z49" s="378"/>
      <c r="AA49" s="378"/>
      <c r="AB49" s="378"/>
      <c r="AC49" s="378"/>
      <c r="AD49" s="378"/>
      <c r="AE49" s="378"/>
      <c r="AF49" s="378"/>
      <c r="AG49" s="143"/>
      <c r="AH49" s="378"/>
      <c r="AI49" s="378"/>
      <c r="AJ49" s="378"/>
      <c r="AK49" s="143"/>
      <c r="AL49" s="378"/>
      <c r="AM49" s="378"/>
      <c r="AN49" s="378"/>
      <c r="AO49" s="378"/>
      <c r="AP49" s="378"/>
      <c r="AQ49" s="143"/>
    </row>
    <row r="50" spans="1:43" x14ac:dyDescent="0.25">
      <c r="A50" s="45">
        <v>26</v>
      </c>
      <c r="B50" s="378"/>
      <c r="C50" s="46" t="s">
        <v>446</v>
      </c>
      <c r="D50" s="378"/>
      <c r="E50" s="378"/>
      <c r="F50" s="87"/>
      <c r="G50" s="2"/>
      <c r="H50" s="452">
        <v>311104114</v>
      </c>
      <c r="I50" s="2"/>
      <c r="J50" s="268">
        <f>PRO_DT_WIN_E_OFF</f>
        <v>3.9890000000000002E-2</v>
      </c>
      <c r="K50" s="2"/>
      <c r="L50" s="81">
        <f>ROUND((+H50*J50),0)</f>
        <v>12409943</v>
      </c>
      <c r="M50" s="2"/>
      <c r="N50" s="149">
        <f>ROUND((+L50/$L$61)*100,1)</f>
        <v>20.8</v>
      </c>
      <c r="O50" s="2"/>
      <c r="P50" s="81"/>
      <c r="Q50" s="83"/>
      <c r="R50" s="81">
        <f>L50+P50</f>
        <v>12409943</v>
      </c>
      <c r="T50" s="378"/>
      <c r="U50" s="378"/>
      <c r="V50" s="378"/>
      <c r="W50" s="378"/>
      <c r="X50" s="378"/>
      <c r="Y50" s="378"/>
      <c r="Z50" s="378"/>
      <c r="AA50" s="378"/>
      <c r="AB50" s="378"/>
      <c r="AC50" s="378"/>
      <c r="AD50" s="378"/>
      <c r="AE50" s="378"/>
      <c r="AF50" s="378"/>
      <c r="AG50" s="143"/>
      <c r="AH50" s="378"/>
      <c r="AI50" s="378"/>
      <c r="AJ50" s="378"/>
      <c r="AK50" s="143"/>
      <c r="AL50" s="378"/>
      <c r="AM50" s="378"/>
      <c r="AN50" s="378"/>
      <c r="AO50" s="378"/>
      <c r="AP50" s="378"/>
      <c r="AQ50" s="143"/>
    </row>
    <row r="51" spans="1:43" ht="21.75" customHeight="1" x14ac:dyDescent="0.25">
      <c r="A51" s="45">
        <v>27</v>
      </c>
      <c r="B51" s="378"/>
      <c r="C51" s="222" t="s">
        <v>60</v>
      </c>
      <c r="D51" s="378"/>
      <c r="E51" s="378"/>
      <c r="F51" s="90">
        <f>F41</f>
        <v>1235</v>
      </c>
      <c r="G51" s="2"/>
      <c r="H51" s="90">
        <f>H49+H50</f>
        <v>437255263</v>
      </c>
      <c r="I51" s="2"/>
      <c r="J51" s="268"/>
      <c r="K51" s="2"/>
      <c r="L51" s="90">
        <f>L41+L46+L49+L50</f>
        <v>32328258</v>
      </c>
      <c r="M51" s="2"/>
      <c r="N51" s="150">
        <f>ROUND((+L51/$L$61)*100,1)</f>
        <v>54.3</v>
      </c>
      <c r="O51" s="2"/>
      <c r="P51" s="90"/>
      <c r="Q51" s="215"/>
      <c r="R51" s="90">
        <f>R41+R46+R49+R50</f>
        <v>32328258</v>
      </c>
      <c r="T51" s="378"/>
      <c r="U51" s="378"/>
      <c r="V51" s="378"/>
      <c r="W51" s="378"/>
      <c r="X51" s="378"/>
      <c r="Y51" s="378"/>
      <c r="Z51" s="378"/>
      <c r="AA51" s="378"/>
      <c r="AB51" s="378"/>
      <c r="AC51" s="378"/>
      <c r="AD51" s="378"/>
      <c r="AE51" s="378"/>
      <c r="AF51" s="378"/>
      <c r="AG51" s="143"/>
      <c r="AH51" s="378"/>
      <c r="AI51" s="378"/>
      <c r="AJ51" s="378"/>
      <c r="AK51" s="143"/>
      <c r="AL51" s="378"/>
      <c r="AM51" s="378"/>
      <c r="AN51" s="378"/>
      <c r="AO51" s="378"/>
      <c r="AP51" s="378"/>
      <c r="AQ51" s="143"/>
    </row>
    <row r="52" spans="1:43" ht="21.75" customHeight="1" x14ac:dyDescent="0.25">
      <c r="A52" s="45">
        <v>28</v>
      </c>
      <c r="B52" s="378"/>
      <c r="C52" s="444" t="s">
        <v>517</v>
      </c>
      <c r="D52" s="378"/>
      <c r="E52" s="378"/>
      <c r="F52" s="90">
        <f>F35+F51</f>
        <v>1870</v>
      </c>
      <c r="G52" s="2"/>
      <c r="H52" s="90">
        <f>H51+H35</f>
        <v>680875061</v>
      </c>
      <c r="I52" s="2"/>
      <c r="J52" s="268"/>
      <c r="K52" s="2"/>
      <c r="L52" s="90">
        <f>L35+L51</f>
        <v>50869982</v>
      </c>
      <c r="M52" s="2"/>
      <c r="N52" s="150">
        <f>ROUND((+L52/$L$61)*100,1)</f>
        <v>85.5</v>
      </c>
      <c r="O52" s="2"/>
      <c r="P52" s="90"/>
      <c r="Q52" s="215"/>
      <c r="R52" s="90">
        <f>R35+R51</f>
        <v>50869982</v>
      </c>
      <c r="T52" s="378"/>
      <c r="U52" s="378"/>
      <c r="V52" s="378"/>
      <c r="W52" s="378"/>
      <c r="X52" s="378"/>
      <c r="Y52" s="378"/>
      <c r="Z52" s="378"/>
      <c r="AA52" s="378"/>
      <c r="AB52" s="378"/>
      <c r="AC52" s="378"/>
      <c r="AD52" s="378"/>
      <c r="AE52" s="378"/>
      <c r="AF52" s="378"/>
      <c r="AG52" s="143"/>
      <c r="AH52" s="378"/>
      <c r="AI52" s="378"/>
      <c r="AJ52" s="378"/>
      <c r="AK52" s="143"/>
      <c r="AL52" s="378"/>
      <c r="AM52" s="378"/>
      <c r="AN52" s="378"/>
      <c r="AO52" s="378"/>
      <c r="AP52" s="378"/>
      <c r="AQ52" s="143"/>
    </row>
    <row r="53" spans="1:43" ht="15.75" customHeight="1" x14ac:dyDescent="0.25">
      <c r="A53" s="45"/>
      <c r="B53" s="378"/>
      <c r="C53" s="46"/>
      <c r="D53" s="378"/>
      <c r="E53" s="378"/>
      <c r="F53" s="83"/>
      <c r="G53" s="2"/>
      <c r="H53" s="83"/>
      <c r="I53" s="2"/>
      <c r="J53" s="268"/>
      <c r="K53" s="2"/>
      <c r="L53" s="83"/>
      <c r="M53" s="2"/>
      <c r="N53" s="91"/>
      <c r="O53" s="2"/>
      <c r="P53" s="83"/>
      <c r="Q53" s="215"/>
      <c r="R53" s="83"/>
      <c r="T53" s="378"/>
      <c r="U53" s="378"/>
      <c r="V53" s="378"/>
      <c r="W53" s="378"/>
      <c r="X53" s="378"/>
      <c r="Y53" s="378"/>
      <c r="Z53" s="378"/>
      <c r="AA53" s="378"/>
      <c r="AB53" s="378"/>
      <c r="AC53" s="378"/>
      <c r="AD53" s="378"/>
      <c r="AE53" s="378"/>
      <c r="AF53" s="378"/>
      <c r="AG53" s="143"/>
      <c r="AH53" s="378"/>
      <c r="AI53" s="378"/>
      <c r="AJ53" s="378"/>
      <c r="AK53" s="143"/>
      <c r="AL53" s="378"/>
      <c r="AM53" s="378"/>
      <c r="AN53" s="378"/>
      <c r="AO53" s="378"/>
      <c r="AP53" s="378"/>
      <c r="AQ53" s="143"/>
    </row>
    <row r="54" spans="1:43" ht="15.75" customHeight="1" x14ac:dyDescent="0.25">
      <c r="A54" s="45">
        <v>29</v>
      </c>
      <c r="B54" s="378"/>
      <c r="C54" s="222" t="s">
        <v>504</v>
      </c>
      <c r="D54" s="378"/>
      <c r="E54" s="378"/>
      <c r="F54" s="83"/>
      <c r="G54" s="2"/>
      <c r="H54" s="83"/>
      <c r="I54" s="2"/>
      <c r="J54" s="268"/>
      <c r="K54" s="2"/>
      <c r="L54" s="83"/>
      <c r="M54" s="2"/>
      <c r="N54" s="91"/>
      <c r="O54" s="2"/>
      <c r="P54" s="83"/>
      <c r="Q54" s="215"/>
      <c r="R54" s="83"/>
      <c r="T54" s="378"/>
      <c r="U54" s="378"/>
      <c r="V54" s="378"/>
      <c r="W54" s="378"/>
      <c r="X54" s="378"/>
      <c r="Y54" s="378"/>
      <c r="Z54" s="378"/>
      <c r="AA54" s="378"/>
      <c r="AB54" s="378"/>
      <c r="AC54" s="378"/>
      <c r="AD54" s="378"/>
      <c r="AE54" s="378"/>
      <c r="AF54" s="378"/>
      <c r="AG54" s="143"/>
      <c r="AH54" s="378"/>
      <c r="AI54" s="378"/>
      <c r="AJ54" s="378"/>
      <c r="AK54" s="143"/>
      <c r="AL54" s="378"/>
      <c r="AM54" s="378"/>
      <c r="AN54" s="378"/>
      <c r="AO54" s="378"/>
      <c r="AP54" s="378"/>
      <c r="AQ54" s="143"/>
    </row>
    <row r="55" spans="1:43" ht="15.75" customHeight="1" x14ac:dyDescent="0.25">
      <c r="A55" s="45">
        <v>30</v>
      </c>
      <c r="B55" s="378"/>
      <c r="C55" s="216" t="str">
        <f>DSMR_Name</f>
        <v>DEMAND SIDE MANAGEMENT RIDER (DSMR)</v>
      </c>
      <c r="D55" s="378"/>
      <c r="E55" s="378"/>
      <c r="F55" s="83"/>
      <c r="G55" s="2"/>
      <c r="H55" s="83"/>
      <c r="I55" s="2"/>
      <c r="J55" s="465">
        <f>PRO_DSM_DIST</f>
        <v>5.091E-3</v>
      </c>
      <c r="K55" s="2"/>
      <c r="L55" s="83">
        <f>ROUND($H$52*J55,0)</f>
        <v>3466335</v>
      </c>
      <c r="M55" s="2"/>
      <c r="N55" s="149">
        <f>ROUND((+L55/$L$61)*100,1)</f>
        <v>5.8</v>
      </c>
      <c r="O55" s="2"/>
      <c r="P55" s="83"/>
      <c r="Q55" s="215"/>
      <c r="R55" s="5">
        <f t="shared" ref="R55:R58" si="0">L55+P55</f>
        <v>3466335</v>
      </c>
      <c r="T55" s="378"/>
      <c r="U55" s="378"/>
      <c r="V55" s="378"/>
      <c r="W55" s="378"/>
      <c r="X55" s="378"/>
      <c r="Y55" s="378"/>
      <c r="Z55" s="378"/>
      <c r="AA55" s="378"/>
      <c r="AB55" s="378"/>
      <c r="AC55" s="378"/>
      <c r="AD55" s="378"/>
      <c r="AE55" s="378"/>
      <c r="AF55" s="378"/>
      <c r="AG55" s="143"/>
      <c r="AH55" s="378"/>
      <c r="AI55" s="378"/>
      <c r="AJ55" s="378"/>
      <c r="AK55" s="143"/>
      <c r="AL55" s="378"/>
      <c r="AM55" s="378"/>
      <c r="AN55" s="378"/>
      <c r="AO55" s="378"/>
      <c r="AP55" s="378"/>
      <c r="AQ55" s="143"/>
    </row>
    <row r="56" spans="1:43" ht="15.75" customHeight="1" x14ac:dyDescent="0.25">
      <c r="A56" s="45">
        <v>31</v>
      </c>
      <c r="B56" s="378"/>
      <c r="C56" s="216" t="str">
        <f>ESM_Name</f>
        <v>ENVIRONMENTAL SURCHARGE MECHANISM RIDER (ESM)</v>
      </c>
      <c r="D56" s="378"/>
      <c r="E56" s="378"/>
      <c r="F56" s="83"/>
      <c r="G56" s="2"/>
      <c r="H56" s="83"/>
      <c r="I56" s="2"/>
      <c r="J56" s="453"/>
      <c r="K56" s="2"/>
      <c r="L56" s="83">
        <f>AE124</f>
        <v>5296392</v>
      </c>
      <c r="M56" s="2"/>
      <c r="N56" s="149">
        <f>ROUND((+L56/$L$61)*100,1)</f>
        <v>8.9</v>
      </c>
      <c r="O56" s="2"/>
      <c r="P56" s="83"/>
      <c r="Q56" s="215"/>
      <c r="R56" s="5">
        <f t="shared" si="0"/>
        <v>5296392</v>
      </c>
      <c r="T56" s="378"/>
      <c r="U56" s="378"/>
      <c r="V56" s="378"/>
      <c r="W56" s="378"/>
      <c r="X56" s="378"/>
      <c r="Y56" s="378"/>
      <c r="Z56" s="378"/>
      <c r="AA56" s="378"/>
      <c r="AB56" s="378"/>
      <c r="AC56" s="378"/>
      <c r="AD56" s="378"/>
      <c r="AE56" s="378"/>
      <c r="AF56" s="378"/>
      <c r="AG56" s="143"/>
      <c r="AH56" s="378"/>
      <c r="AI56" s="378"/>
      <c r="AJ56" s="378"/>
      <c r="AK56" s="143"/>
      <c r="AL56" s="378"/>
      <c r="AM56" s="378"/>
      <c r="AN56" s="378"/>
      <c r="AO56" s="378"/>
      <c r="AP56" s="378"/>
      <c r="AQ56" s="143"/>
    </row>
    <row r="57" spans="1:43" ht="15.75" customHeight="1" x14ac:dyDescent="0.25">
      <c r="A57" s="45">
        <v>32</v>
      </c>
      <c r="B57" s="378"/>
      <c r="C57" s="216" t="str">
        <f>FAC_Name</f>
        <v>FUEL ADJUSTMENT CLAUSE (FAC)</v>
      </c>
      <c r="D57" s="378"/>
      <c r="E57" s="378"/>
      <c r="F57" s="83"/>
      <c r="G57" s="2"/>
      <c r="H57" s="83"/>
      <c r="I57" s="2"/>
      <c r="J57" s="465">
        <f>PRO_FAC</f>
        <v>6.8099999999999996E-4</v>
      </c>
      <c r="K57" s="2"/>
      <c r="L57" s="83"/>
      <c r="M57" s="2"/>
      <c r="N57" s="149"/>
      <c r="O57" s="2"/>
      <c r="P57" s="83">
        <f>ROUND(H52*PRO_FAC,0)</f>
        <v>463676</v>
      </c>
      <c r="Q57" s="215"/>
      <c r="R57" s="5">
        <f t="shared" si="0"/>
        <v>463676</v>
      </c>
      <c r="T57" s="378"/>
      <c r="U57" s="378"/>
      <c r="V57" s="378"/>
      <c r="W57" s="378"/>
      <c r="X57" s="378"/>
      <c r="Y57" s="378"/>
      <c r="Z57" s="378"/>
      <c r="AA57" s="378"/>
      <c r="AB57" s="378"/>
      <c r="AC57" s="378"/>
      <c r="AD57" s="378"/>
      <c r="AE57" s="378"/>
      <c r="AF57" s="378"/>
      <c r="AG57" s="143"/>
      <c r="AH57" s="378"/>
      <c r="AI57" s="378"/>
      <c r="AJ57" s="378"/>
      <c r="AK57" s="143"/>
      <c r="AL57" s="378"/>
      <c r="AM57" s="378"/>
      <c r="AN57" s="378"/>
      <c r="AO57" s="378"/>
      <c r="AP57" s="378"/>
      <c r="AQ57" s="143"/>
    </row>
    <row r="58" spans="1:43" ht="15.75" customHeight="1" x14ac:dyDescent="0.25">
      <c r="A58" s="45">
        <v>33</v>
      </c>
      <c r="B58" s="378"/>
      <c r="C58" s="216" t="str">
        <f>PSM_Name</f>
        <v>PROFIT SHARING MECHANISM (PSM)</v>
      </c>
      <c r="D58" s="378"/>
      <c r="E58" s="378"/>
      <c r="F58" s="83"/>
      <c r="G58" s="2"/>
      <c r="H58" s="83"/>
      <c r="I58" s="2"/>
      <c r="J58" s="465">
        <f>PRO_PSM</f>
        <v>-1.63E-4</v>
      </c>
      <c r="K58" s="2"/>
      <c r="L58" s="81">
        <f>ROUND(H52*PRO_PSM,0)</f>
        <v>-110983</v>
      </c>
      <c r="M58" s="2"/>
      <c r="N58" s="148">
        <f>ROUND((+L58/$L$61)*100,1)</f>
        <v>-0.2</v>
      </c>
      <c r="O58" s="2"/>
      <c r="P58" s="81"/>
      <c r="Q58" s="215"/>
      <c r="R58" s="81">
        <f t="shared" si="0"/>
        <v>-110983</v>
      </c>
      <c r="T58" s="378"/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378"/>
      <c r="AF58" s="378"/>
      <c r="AG58" s="143"/>
      <c r="AH58" s="378"/>
      <c r="AI58" s="378"/>
      <c r="AJ58" s="378"/>
      <c r="AK58" s="143"/>
      <c r="AL58" s="378"/>
      <c r="AM58" s="378"/>
      <c r="AN58" s="378"/>
      <c r="AO58" s="378"/>
      <c r="AP58" s="378"/>
      <c r="AQ58" s="143"/>
    </row>
    <row r="59" spans="1:43" ht="20.100000000000001" customHeight="1" x14ac:dyDescent="0.25">
      <c r="A59" s="45">
        <v>34</v>
      </c>
      <c r="B59" s="378"/>
      <c r="C59" s="222" t="s">
        <v>510</v>
      </c>
      <c r="D59" s="378"/>
      <c r="E59" s="378"/>
      <c r="F59" s="81"/>
      <c r="G59" s="2"/>
      <c r="H59" s="81"/>
      <c r="I59" s="2"/>
      <c r="J59" s="446"/>
      <c r="K59" s="2"/>
      <c r="L59" s="81">
        <f>SUM(L55:L58)</f>
        <v>8651744</v>
      </c>
      <c r="M59" s="2"/>
      <c r="N59" s="150">
        <f>ROUND((+L59/$L$61)*100,1)</f>
        <v>14.5</v>
      </c>
      <c r="O59" s="2"/>
      <c r="P59" s="81">
        <f>SUM(P55:P58)</f>
        <v>463676</v>
      </c>
      <c r="Q59" s="215"/>
      <c r="R59" s="81">
        <f>SUM(R55:R58)</f>
        <v>9115420</v>
      </c>
      <c r="T59" s="378"/>
      <c r="U59" s="378"/>
      <c r="V59" s="378"/>
      <c r="W59" s="378"/>
      <c r="X59" s="378"/>
      <c r="Y59" s="378"/>
      <c r="Z59" s="378"/>
      <c r="AA59" s="378"/>
      <c r="AB59" s="378"/>
      <c r="AC59" s="378"/>
      <c r="AD59" s="378"/>
      <c r="AE59" s="378"/>
      <c r="AF59" s="378"/>
      <c r="AG59" s="143"/>
      <c r="AH59" s="378"/>
      <c r="AI59" s="378"/>
      <c r="AJ59" s="378"/>
      <c r="AK59" s="143"/>
      <c r="AL59" s="378"/>
      <c r="AM59" s="378"/>
      <c r="AN59" s="378"/>
      <c r="AO59" s="378"/>
      <c r="AP59" s="378"/>
      <c r="AQ59" s="143"/>
    </row>
    <row r="60" spans="1:43" ht="15.75" customHeight="1" x14ac:dyDescent="0.25">
      <c r="A60" s="45"/>
      <c r="B60" s="378"/>
      <c r="C60" s="46"/>
      <c r="D60" s="378"/>
      <c r="E60" s="378"/>
      <c r="F60" s="83"/>
      <c r="G60" s="2"/>
      <c r="H60" s="83"/>
      <c r="I60" s="2"/>
      <c r="J60" s="446"/>
      <c r="K60" s="2"/>
      <c r="L60" s="83"/>
      <c r="M60" s="84"/>
      <c r="N60" s="91"/>
      <c r="O60" s="84"/>
      <c r="P60" s="83"/>
      <c r="Q60" s="101"/>
      <c r="R60" s="83"/>
    </row>
    <row r="61" spans="1:43" ht="20.100000000000001" customHeight="1" thickBot="1" x14ac:dyDescent="0.3">
      <c r="A61" s="45">
        <v>35</v>
      </c>
      <c r="B61" s="378"/>
      <c r="C61" s="444" t="s">
        <v>516</v>
      </c>
      <c r="D61" s="378"/>
      <c r="E61" s="378"/>
      <c r="F61" s="82">
        <f>F35+F51</f>
        <v>1870</v>
      </c>
      <c r="G61" s="2"/>
      <c r="H61" s="82">
        <f>H35+H51</f>
        <v>680875061</v>
      </c>
      <c r="I61" s="2"/>
      <c r="J61" s="2"/>
      <c r="K61" s="2"/>
      <c r="L61" s="82">
        <f>L59+L52</f>
        <v>59521726</v>
      </c>
      <c r="M61" s="2"/>
      <c r="N61" s="92">
        <v>100</v>
      </c>
      <c r="O61" s="2"/>
      <c r="P61" s="82">
        <f>P59+P52</f>
        <v>463676</v>
      </c>
      <c r="Q61" s="94"/>
      <c r="R61" s="82">
        <f>R59+R52</f>
        <v>59985402</v>
      </c>
      <c r="T61" s="378"/>
      <c r="U61" s="378"/>
      <c r="V61" s="378"/>
      <c r="W61" s="378"/>
      <c r="X61" s="378"/>
      <c r="Y61" s="378"/>
      <c r="Z61" s="378"/>
      <c r="AA61" s="378"/>
      <c r="AB61" s="378"/>
      <c r="AC61" s="378"/>
      <c r="AD61" s="378"/>
      <c r="AE61" s="378"/>
      <c r="AF61" s="378"/>
      <c r="AG61" s="143"/>
      <c r="AH61" s="378"/>
      <c r="AI61" s="378"/>
      <c r="AJ61" s="378"/>
      <c r="AK61" s="143"/>
      <c r="AL61" s="378"/>
      <c r="AM61" s="378"/>
      <c r="AN61" s="378"/>
      <c r="AO61" s="378"/>
      <c r="AP61" s="378"/>
      <c r="AQ61" s="143"/>
    </row>
    <row r="62" spans="1:43" ht="16.5" thickTop="1" x14ac:dyDescent="0.25">
      <c r="A62" s="378"/>
      <c r="B62" s="378"/>
      <c r="C62" s="378"/>
      <c r="D62" s="378"/>
      <c r="E62" s="378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101"/>
      <c r="R62" s="2"/>
      <c r="T62" s="378"/>
      <c r="U62" s="378"/>
      <c r="V62" s="378"/>
      <c r="W62" s="378"/>
      <c r="X62" s="378"/>
      <c r="Y62" s="378"/>
      <c r="Z62" s="378"/>
      <c r="AA62" s="378"/>
      <c r="AB62" s="378"/>
      <c r="AC62" s="378"/>
      <c r="AD62" s="378"/>
      <c r="AE62" s="378"/>
      <c r="AF62" s="378"/>
      <c r="AG62" s="143"/>
      <c r="AH62" s="378"/>
      <c r="AI62" s="378"/>
      <c r="AJ62" s="378"/>
      <c r="AK62" s="143"/>
      <c r="AL62" s="378"/>
      <c r="AM62" s="378"/>
      <c r="AN62" s="378"/>
      <c r="AO62" s="378"/>
      <c r="AP62" s="378"/>
      <c r="AQ62" s="143"/>
    </row>
    <row r="63" spans="1:43" x14ac:dyDescent="0.25">
      <c r="A63" s="378"/>
      <c r="B63" s="378"/>
      <c r="C63" s="243" t="s">
        <v>61</v>
      </c>
      <c r="D63" s="378"/>
      <c r="E63" s="378"/>
      <c r="F63" s="378"/>
      <c r="G63" s="378"/>
      <c r="H63" s="378"/>
      <c r="I63" s="378"/>
      <c r="J63" s="378"/>
      <c r="K63" s="378"/>
      <c r="L63" s="48"/>
      <c r="M63" s="378"/>
      <c r="N63" s="48"/>
      <c r="O63" s="378"/>
      <c r="P63" s="48"/>
      <c r="Q63" s="379"/>
      <c r="R63" s="48"/>
      <c r="T63" s="378"/>
      <c r="U63" s="378"/>
      <c r="V63" s="378"/>
      <c r="W63" s="378"/>
      <c r="X63" s="378"/>
      <c r="Y63" s="378"/>
      <c r="Z63" s="378"/>
      <c r="AA63" s="378"/>
      <c r="AB63" s="378"/>
      <c r="AC63" s="378"/>
      <c r="AD63" s="378"/>
      <c r="AE63" s="378"/>
      <c r="AF63" s="378"/>
      <c r="AG63" s="143"/>
      <c r="AH63" s="378"/>
      <c r="AI63" s="378"/>
      <c r="AJ63" s="378"/>
      <c r="AK63" s="143"/>
      <c r="AL63" s="378"/>
      <c r="AM63" s="378"/>
      <c r="AN63" s="378"/>
      <c r="AO63" s="378"/>
      <c r="AP63" s="378"/>
      <c r="AQ63" s="143"/>
    </row>
    <row r="64" spans="1:43" x14ac:dyDescent="0.25">
      <c r="A64" s="378"/>
      <c r="B64" s="378"/>
      <c r="C64" s="243" t="str">
        <f>"(2) REFLECTS FUEL COMPONENT OF "&amp;TEXT(PRO_FAC,"$0.000000;($0.000000)")&amp;"  PER KWH."</f>
        <v>(2) REFLECTS FUEL COMPONENT OF $0.000681  PER KWH.</v>
      </c>
      <c r="D64" s="378"/>
      <c r="E64" s="378"/>
      <c r="F64" s="378"/>
      <c r="G64" s="378"/>
      <c r="H64" s="378"/>
      <c r="I64" s="378"/>
      <c r="J64" s="378"/>
      <c r="K64" s="378"/>
      <c r="L64" s="48"/>
      <c r="M64" s="378"/>
      <c r="N64" s="48"/>
      <c r="O64" s="378"/>
      <c r="P64" s="48"/>
      <c r="Q64" s="379"/>
      <c r="R64" s="48"/>
      <c r="T64" s="378"/>
      <c r="U64" s="378"/>
      <c r="V64" s="378"/>
      <c r="W64" s="378"/>
      <c r="X64" s="378"/>
      <c r="Y64" s="378"/>
      <c r="Z64" s="378"/>
      <c r="AA64" s="378"/>
      <c r="AB64" s="378"/>
      <c r="AC64" s="378"/>
      <c r="AD64" s="378"/>
      <c r="AE64" s="378"/>
      <c r="AF64" s="378"/>
      <c r="AG64" s="143"/>
      <c r="AH64" s="378"/>
      <c r="AI64" s="378"/>
      <c r="AJ64" s="378"/>
      <c r="AK64" s="143"/>
      <c r="AL64" s="378"/>
      <c r="AM64" s="378"/>
      <c r="AN64" s="378"/>
      <c r="AO64" s="378"/>
      <c r="AP64" s="378"/>
      <c r="AQ64" s="143"/>
    </row>
    <row r="65" spans="1:43" x14ac:dyDescent="0.25">
      <c r="C65" s="243" t="str">
        <f>"(3) REFLECTS FUEL COST RECOVERY INCLUDED IN BASE RATES OF "&amp;TEXT(PRO_BASE_FUEL,"$0.000000;($0.000000)")&amp;"  PER KWH."</f>
        <v>(3) REFLECTS FUEL COST RECOVERY INCLUDED IN BASE RATES OF $0.023837  PER KWH.</v>
      </c>
      <c r="F65" s="381"/>
      <c r="H65" s="381"/>
      <c r="I65" s="378"/>
      <c r="J65" s="381"/>
      <c r="K65" s="378"/>
      <c r="L65" s="464"/>
      <c r="M65" s="378"/>
      <c r="N65" s="464"/>
      <c r="O65" s="378"/>
      <c r="P65" s="381"/>
      <c r="Q65" s="381"/>
      <c r="R65" s="381"/>
      <c r="T65" s="378"/>
      <c r="U65" s="378"/>
      <c r="V65" s="378"/>
      <c r="W65" s="378"/>
      <c r="X65" s="378"/>
      <c r="Y65" s="378"/>
      <c r="Z65" s="378"/>
      <c r="AA65" s="378"/>
      <c r="AB65" s="378"/>
      <c r="AC65" s="378"/>
      <c r="AD65" s="378"/>
      <c r="AE65" s="378"/>
      <c r="AF65" s="378"/>
      <c r="AG65" s="143"/>
      <c r="AH65" s="378"/>
      <c r="AI65" s="378"/>
      <c r="AJ65" s="378"/>
      <c r="AK65" s="143"/>
      <c r="AL65" s="378"/>
      <c r="AM65" s="378"/>
      <c r="AN65" s="378"/>
      <c r="AO65" s="378"/>
      <c r="AP65" s="378"/>
      <c r="AQ65" s="143"/>
    </row>
    <row r="66" spans="1:43" x14ac:dyDescent="0.25">
      <c r="A66" s="53"/>
      <c r="C66" s="54"/>
      <c r="F66" s="379"/>
      <c r="H66" s="379"/>
      <c r="I66" s="378"/>
      <c r="J66" s="379"/>
      <c r="K66" s="378"/>
      <c r="L66" s="59"/>
      <c r="M66" s="378"/>
      <c r="N66" s="59"/>
      <c r="O66" s="378"/>
      <c r="P66" s="379"/>
      <c r="Q66" s="379"/>
      <c r="R66" s="379"/>
      <c r="T66" s="378"/>
      <c r="U66" s="378"/>
      <c r="V66" s="378"/>
      <c r="W66" s="378"/>
      <c r="X66" s="378"/>
      <c r="Y66" s="378"/>
      <c r="Z66" s="378"/>
      <c r="AA66" s="378"/>
      <c r="AB66" s="378"/>
      <c r="AC66" s="378"/>
      <c r="AD66" s="378"/>
      <c r="AE66" s="378"/>
      <c r="AF66" s="378"/>
      <c r="AG66" s="143"/>
      <c r="AH66" s="378"/>
      <c r="AI66" s="378"/>
      <c r="AJ66" s="378"/>
      <c r="AK66" s="143"/>
      <c r="AL66" s="378"/>
      <c r="AM66" s="378"/>
      <c r="AN66" s="378"/>
      <c r="AO66" s="378"/>
      <c r="AP66" s="378"/>
      <c r="AQ66" s="143"/>
    </row>
    <row r="67" spans="1:43" x14ac:dyDescent="0.25">
      <c r="A67" s="53"/>
      <c r="C67" s="54"/>
      <c r="F67" s="379"/>
      <c r="H67" s="379"/>
      <c r="I67" s="378"/>
      <c r="J67" s="379"/>
      <c r="K67" s="378"/>
      <c r="L67" s="59"/>
      <c r="M67" s="378"/>
      <c r="N67" s="59"/>
      <c r="O67" s="378"/>
      <c r="P67" s="379"/>
      <c r="Q67" s="379"/>
      <c r="R67" s="379"/>
      <c r="T67" s="378"/>
      <c r="U67" s="378"/>
      <c r="V67" s="378"/>
      <c r="W67" s="378"/>
      <c r="X67" s="378"/>
      <c r="Y67" s="378"/>
      <c r="Z67" s="378"/>
      <c r="AA67" s="378"/>
      <c r="AB67" s="378"/>
      <c r="AC67" s="378"/>
      <c r="AD67" s="378"/>
      <c r="AE67" s="378"/>
      <c r="AF67" s="378"/>
      <c r="AG67" s="143"/>
      <c r="AH67" s="378"/>
      <c r="AI67" s="378"/>
      <c r="AJ67" s="378"/>
      <c r="AK67" s="143"/>
      <c r="AL67" s="378"/>
      <c r="AM67" s="378"/>
      <c r="AN67" s="378"/>
      <c r="AO67" s="378"/>
      <c r="AP67" s="378"/>
      <c r="AQ67" s="143"/>
    </row>
    <row r="68" spans="1:43" x14ac:dyDescent="0.25">
      <c r="F68" s="379"/>
      <c r="H68" s="379"/>
      <c r="I68" s="378"/>
      <c r="J68" s="379"/>
      <c r="K68" s="378"/>
      <c r="L68" s="59"/>
      <c r="M68" s="378"/>
      <c r="N68" s="83"/>
      <c r="O68" s="378"/>
      <c r="P68" s="379"/>
      <c r="Q68" s="379"/>
      <c r="R68" s="379"/>
      <c r="T68" s="378"/>
      <c r="U68" s="378"/>
      <c r="V68" s="378"/>
      <c r="W68" s="378"/>
      <c r="X68" s="378"/>
      <c r="Y68" s="378"/>
      <c r="Z68" s="378"/>
      <c r="AA68" s="378"/>
      <c r="AB68" s="378"/>
      <c r="AC68" s="378"/>
      <c r="AD68" s="378"/>
      <c r="AE68" s="378"/>
      <c r="AF68" s="378"/>
      <c r="AG68" s="143"/>
      <c r="AH68" s="378"/>
      <c r="AI68" s="378"/>
      <c r="AJ68" s="378"/>
      <c r="AK68" s="143"/>
      <c r="AL68" s="378"/>
      <c r="AM68" s="378"/>
      <c r="AN68" s="378"/>
      <c r="AO68" s="378"/>
      <c r="AP68" s="378"/>
      <c r="AQ68" s="143"/>
    </row>
    <row r="69" spans="1:43" x14ac:dyDescent="0.25">
      <c r="A69" s="54"/>
      <c r="F69" s="379"/>
      <c r="H69" s="379"/>
      <c r="I69" s="378"/>
      <c r="J69" s="53"/>
      <c r="K69" s="378"/>
      <c r="L69" s="59"/>
      <c r="M69" s="378"/>
      <c r="N69" s="83"/>
      <c r="O69" s="378"/>
      <c r="P69" s="379"/>
      <c r="Q69" s="379"/>
      <c r="R69" s="379"/>
      <c r="T69" s="43" t="str">
        <f>NAME</f>
        <v>DUKE ENERGY KENTUCKY, INC.</v>
      </c>
      <c r="U69" s="43"/>
      <c r="V69" s="43"/>
      <c r="W69" s="43"/>
      <c r="X69" s="43"/>
      <c r="Y69" s="43"/>
      <c r="Z69" s="43"/>
      <c r="AA69" s="43"/>
      <c r="AB69" s="43"/>
      <c r="AC69" s="44"/>
      <c r="AD69" s="44"/>
      <c r="AE69" s="43"/>
      <c r="AF69" s="57"/>
      <c r="AG69" s="144"/>
      <c r="AH69" s="57"/>
      <c r="AI69" s="43"/>
      <c r="AJ69" s="43"/>
      <c r="AK69" s="144"/>
      <c r="AL69" s="43"/>
      <c r="AM69" s="43"/>
      <c r="AN69" s="57"/>
      <c r="AO69" s="43"/>
      <c r="AP69" s="43"/>
      <c r="AQ69" s="144"/>
    </row>
    <row r="70" spans="1:43" x14ac:dyDescent="0.25">
      <c r="A70" s="54"/>
      <c r="F70" s="379"/>
      <c r="H70" s="379"/>
      <c r="I70" s="378"/>
      <c r="J70" s="379"/>
      <c r="K70" s="378"/>
      <c r="L70" s="59"/>
      <c r="M70" s="378"/>
      <c r="N70" s="83"/>
      <c r="O70" s="378"/>
      <c r="P70" s="379"/>
      <c r="Q70" s="379"/>
      <c r="R70" s="379"/>
      <c r="T70" s="43" t="str">
        <f>CASE_NO</f>
        <v>CASE NO.   2019-000271</v>
      </c>
      <c r="U70" s="43"/>
      <c r="V70" s="43"/>
      <c r="W70" s="43"/>
      <c r="X70" s="43"/>
      <c r="Y70" s="43"/>
      <c r="Z70" s="43"/>
      <c r="AA70" s="43"/>
      <c r="AB70" s="43"/>
      <c r="AC70" s="44"/>
      <c r="AD70" s="44"/>
      <c r="AE70" s="43"/>
      <c r="AF70" s="57"/>
      <c r="AG70" s="144"/>
      <c r="AH70" s="57"/>
      <c r="AI70" s="43"/>
      <c r="AJ70" s="43"/>
      <c r="AK70" s="144"/>
      <c r="AL70" s="43"/>
      <c r="AM70" s="43"/>
      <c r="AN70" s="57"/>
      <c r="AO70" s="43"/>
      <c r="AP70" s="43"/>
      <c r="AQ70" s="144"/>
    </row>
    <row r="71" spans="1:43" x14ac:dyDescent="0.25">
      <c r="F71" s="377"/>
      <c r="I71" s="378"/>
      <c r="K71" s="378"/>
      <c r="M71" s="378"/>
      <c r="O71" s="378"/>
      <c r="T71" s="44" t="str">
        <f>TITLE</f>
        <v>ANNUALIZED BASE YEAR REVENUES AT PROPOSED VS. MOST CURRENT RATES</v>
      </c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57"/>
      <c r="AG71" s="144"/>
      <c r="AH71" s="57"/>
      <c r="AI71" s="43"/>
      <c r="AJ71" s="43"/>
      <c r="AK71" s="144"/>
      <c r="AL71" s="43"/>
      <c r="AM71" s="43"/>
      <c r="AN71" s="57"/>
      <c r="AO71" s="43"/>
      <c r="AP71" s="43"/>
      <c r="AQ71" s="144"/>
    </row>
    <row r="72" spans="1:43" x14ac:dyDescent="0.25">
      <c r="I72" s="378"/>
      <c r="K72" s="378"/>
      <c r="M72" s="378"/>
      <c r="O72" s="378"/>
      <c r="T72" s="43" t="str">
        <f>DATE</f>
        <v>FOR THE TWELVE MONTHS ENDED November 30, 2019</v>
      </c>
      <c r="U72" s="43"/>
      <c r="V72" s="43"/>
      <c r="W72" s="43"/>
      <c r="X72" s="43"/>
      <c r="Y72" s="43"/>
      <c r="Z72" s="43"/>
      <c r="AA72" s="43"/>
      <c r="AB72" s="43"/>
      <c r="AC72" s="44"/>
      <c r="AD72" s="44"/>
      <c r="AE72" s="43"/>
      <c r="AF72" s="57"/>
      <c r="AG72" s="144"/>
      <c r="AH72" s="57"/>
      <c r="AI72" s="43"/>
      <c r="AJ72" s="43"/>
      <c r="AK72" s="144"/>
      <c r="AL72" s="43"/>
      <c r="AM72" s="43"/>
      <c r="AN72" s="57"/>
      <c r="AO72" s="43"/>
      <c r="AP72" s="43"/>
      <c r="AQ72" s="144"/>
    </row>
    <row r="73" spans="1:43" x14ac:dyDescent="0.25">
      <c r="I73" s="378"/>
      <c r="K73" s="378"/>
      <c r="M73" s="378"/>
      <c r="N73" s="382"/>
      <c r="O73" s="378"/>
      <c r="P73" s="379"/>
      <c r="Q73" s="379"/>
      <c r="R73" s="379"/>
      <c r="T73" s="43" t="str">
        <f>SERVICE</f>
        <v>(ELECTRIC SERVICE)</v>
      </c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4"/>
      <c r="AF73" s="58"/>
      <c r="AG73" s="144"/>
      <c r="AH73" s="57"/>
      <c r="AI73" s="43"/>
      <c r="AJ73" s="43"/>
      <c r="AK73" s="144"/>
      <c r="AL73" s="43"/>
      <c r="AM73" s="43"/>
      <c r="AN73" s="57"/>
      <c r="AO73" s="43"/>
      <c r="AP73" s="43"/>
      <c r="AQ73" s="144"/>
    </row>
    <row r="74" spans="1:43" x14ac:dyDescent="0.25">
      <c r="I74" s="378"/>
      <c r="K74" s="378"/>
      <c r="M74" s="378"/>
      <c r="N74" s="382"/>
      <c r="O74" s="378"/>
      <c r="T74" s="45" t="str">
        <f>DATA_PERIOD</f>
        <v>DATA: __X__ BASE PERIOD   ____FORECASTED PERIOD</v>
      </c>
      <c r="U74" s="378"/>
      <c r="V74" s="378"/>
      <c r="W74" s="378"/>
      <c r="X74" s="378"/>
      <c r="Y74" s="378"/>
      <c r="Z74" s="378"/>
      <c r="AA74" s="378"/>
      <c r="AB74" s="378"/>
      <c r="AC74" s="378"/>
      <c r="AD74" s="378"/>
      <c r="AE74" s="378"/>
      <c r="AG74" s="143"/>
      <c r="AI74" s="378"/>
      <c r="AJ74" s="378"/>
      <c r="AK74" s="143"/>
      <c r="AL74" s="378"/>
      <c r="AM74" s="378"/>
      <c r="AO74" s="46" t="s">
        <v>164</v>
      </c>
      <c r="AP74" s="46"/>
      <c r="AQ74" s="143"/>
    </row>
    <row r="75" spans="1:43" x14ac:dyDescent="0.25">
      <c r="I75" s="378"/>
      <c r="K75" s="378"/>
      <c r="L75" s="53"/>
      <c r="M75" s="378"/>
      <c r="N75" s="379"/>
      <c r="O75" s="378"/>
      <c r="T75" s="45" t="str">
        <f>TYPE</f>
        <v>TYPE OF FILING: _X_ ORIGINAL   ___UPDATED  ___ REVISED</v>
      </c>
      <c r="U75" s="378"/>
      <c r="V75" s="378"/>
      <c r="W75" s="378"/>
      <c r="X75" s="378"/>
      <c r="Y75" s="378"/>
      <c r="Z75" s="378"/>
      <c r="AA75" s="378"/>
      <c r="AB75" s="378"/>
      <c r="AC75" s="378"/>
      <c r="AD75" s="378"/>
      <c r="AE75" s="378"/>
      <c r="AG75" s="143"/>
      <c r="AI75" s="378"/>
      <c r="AJ75" s="378"/>
      <c r="AK75" s="143"/>
      <c r="AL75" s="378"/>
      <c r="AM75" s="378"/>
      <c r="AO75" s="52" t="str">
        <f>"PAGE 5 OF "&amp;TEXT(Page_Num_2.2,"00")</f>
        <v>PAGE 5 OF 22</v>
      </c>
      <c r="AP75" s="46"/>
      <c r="AQ75" s="143"/>
    </row>
    <row r="76" spans="1:43" x14ac:dyDescent="0.25">
      <c r="H76" s="54"/>
      <c r="I76" s="378"/>
      <c r="J76" s="54"/>
      <c r="K76" s="378"/>
      <c r="M76" s="378"/>
      <c r="O76" s="378"/>
      <c r="T76" s="46" t="s">
        <v>177</v>
      </c>
      <c r="U76" s="378"/>
      <c r="V76" s="378"/>
      <c r="W76" s="378"/>
      <c r="X76" s="378"/>
      <c r="Y76" s="378"/>
      <c r="Z76" s="378"/>
      <c r="AA76" s="378"/>
      <c r="AB76" s="378"/>
      <c r="AC76" s="378"/>
      <c r="AD76" s="378"/>
      <c r="AE76" s="378"/>
      <c r="AG76" s="143"/>
      <c r="AI76" s="378"/>
      <c r="AJ76" s="378"/>
      <c r="AK76" s="143"/>
      <c r="AL76" s="378"/>
      <c r="AM76" s="378"/>
      <c r="AO76" s="46" t="s">
        <v>3</v>
      </c>
      <c r="AP76" s="46"/>
      <c r="AQ76" s="143"/>
    </row>
    <row r="77" spans="1:43" x14ac:dyDescent="0.25">
      <c r="I77" s="378"/>
      <c r="K77" s="378"/>
      <c r="L77" s="53"/>
      <c r="M77" s="378"/>
      <c r="N77" s="53"/>
      <c r="O77" s="378"/>
      <c r="T77" s="222" t="str">
        <f>TIME</f>
        <v>6 Months Actual and 6 Months Projected with Riders</v>
      </c>
      <c r="U77" s="378"/>
      <c r="V77" s="378"/>
      <c r="W77" s="378"/>
      <c r="X77" s="378"/>
      <c r="Y77" s="378"/>
      <c r="Z77" s="378"/>
      <c r="AA77" s="378"/>
      <c r="AB77" s="378"/>
      <c r="AC77" s="378"/>
      <c r="AD77" s="378"/>
      <c r="AE77" s="378"/>
      <c r="AG77" s="143"/>
      <c r="AI77" s="378"/>
      <c r="AJ77" s="378"/>
      <c r="AK77" s="143"/>
      <c r="AL77" s="378"/>
      <c r="AM77" s="378"/>
      <c r="AO77" s="45" t="str">
        <f>WIT</f>
        <v>J. L. Kern</v>
      </c>
      <c r="AP77" s="45"/>
      <c r="AQ77" s="143"/>
    </row>
    <row r="78" spans="1:43" x14ac:dyDescent="0.25">
      <c r="I78" s="378"/>
      <c r="K78" s="378"/>
      <c r="L78" s="53"/>
      <c r="M78" s="378"/>
      <c r="N78" s="53"/>
      <c r="O78" s="378"/>
      <c r="T78" s="222" t="str">
        <f>INPUT!B5</f>
        <v>6 Months Actual Ending May 31, 2019</v>
      </c>
      <c r="U78" s="378"/>
      <c r="V78" s="378"/>
      <c r="W78" s="378"/>
      <c r="X78" s="378"/>
      <c r="Y78" s="378"/>
      <c r="Z78" s="378"/>
      <c r="AA78" s="378"/>
      <c r="AB78" s="378"/>
      <c r="AC78" s="378"/>
      <c r="AD78" s="378"/>
      <c r="AE78" s="378"/>
      <c r="AG78" s="143"/>
      <c r="AI78" s="378"/>
      <c r="AJ78" s="378"/>
      <c r="AK78" s="143"/>
      <c r="AL78" s="378"/>
      <c r="AM78" s="378"/>
      <c r="AO78" s="45"/>
      <c r="AP78" s="45"/>
      <c r="AQ78" s="143"/>
    </row>
    <row r="79" spans="1:43" x14ac:dyDescent="0.25">
      <c r="I79" s="378"/>
      <c r="K79" s="378"/>
      <c r="M79" s="378"/>
      <c r="O79" s="378"/>
      <c r="P79" s="54"/>
      <c r="T79" s="44" t="s">
        <v>137</v>
      </c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57"/>
      <c r="AG79" s="144"/>
      <c r="AH79" s="57"/>
      <c r="AI79" s="43"/>
      <c r="AJ79" s="43"/>
      <c r="AK79" s="144"/>
      <c r="AL79" s="43"/>
      <c r="AM79" s="43"/>
      <c r="AN79" s="57"/>
      <c r="AO79" s="43"/>
      <c r="AP79" s="43"/>
      <c r="AQ79" s="144"/>
    </row>
    <row r="80" spans="1:43" x14ac:dyDescent="0.25">
      <c r="A80" s="53"/>
      <c r="I80" s="378"/>
      <c r="K80" s="378"/>
      <c r="M80" s="378"/>
      <c r="R80" s="54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145"/>
      <c r="AH80" s="47"/>
      <c r="AI80" s="47"/>
      <c r="AJ80" s="47"/>
      <c r="AK80" s="145"/>
      <c r="AL80" s="47"/>
      <c r="AM80" s="47"/>
      <c r="AN80" s="47"/>
      <c r="AO80" s="47"/>
      <c r="AP80" s="47"/>
      <c r="AQ80" s="145"/>
    </row>
    <row r="81" spans="1:43" ht="18" customHeight="1" x14ac:dyDescent="0.25">
      <c r="A81" s="53"/>
      <c r="I81" s="378"/>
      <c r="K81" s="378"/>
      <c r="M81" s="378"/>
      <c r="R81" s="54"/>
      <c r="T81" s="378"/>
      <c r="U81" s="378"/>
      <c r="V81" s="378"/>
      <c r="W81" s="378"/>
      <c r="X81" s="378"/>
      <c r="Y81" s="378"/>
      <c r="Z81" s="378"/>
      <c r="AA81" s="378"/>
      <c r="AB81" s="378"/>
      <c r="AC81" s="378"/>
      <c r="AD81" s="378"/>
      <c r="AE81" s="426" t="s">
        <v>8</v>
      </c>
      <c r="AF81" s="56"/>
      <c r="AG81" s="146" t="s">
        <v>7</v>
      </c>
      <c r="AH81" s="56"/>
      <c r="AI81" s="426" t="s">
        <v>9</v>
      </c>
      <c r="AJ81" s="426"/>
      <c r="AK81" s="146" t="s">
        <v>10</v>
      </c>
      <c r="AL81" s="426"/>
      <c r="AM81" s="378"/>
      <c r="AO81" s="426" t="s">
        <v>8</v>
      </c>
      <c r="AP81" s="426"/>
      <c r="AQ81" s="146" t="s">
        <v>11</v>
      </c>
    </row>
    <row r="82" spans="1:43" x14ac:dyDescent="0.25">
      <c r="A82" s="54"/>
      <c r="I82" s="378"/>
      <c r="K82" s="378"/>
      <c r="M82" s="378"/>
      <c r="R82" s="54"/>
      <c r="T82" s="378"/>
      <c r="U82" s="378"/>
      <c r="V82" s="378"/>
      <c r="W82" s="378"/>
      <c r="X82" s="378"/>
      <c r="Y82" s="378"/>
      <c r="Z82" s="378"/>
      <c r="AA82" s="378"/>
      <c r="AB82" s="378"/>
      <c r="AC82" s="426" t="s">
        <v>14</v>
      </c>
      <c r="AD82" s="426"/>
      <c r="AE82" s="426" t="s">
        <v>12</v>
      </c>
      <c r="AF82" s="56"/>
      <c r="AG82" s="146" t="s">
        <v>13</v>
      </c>
      <c r="AH82" s="56"/>
      <c r="AI82" s="426" t="s">
        <v>15</v>
      </c>
      <c r="AJ82" s="426"/>
      <c r="AK82" s="146" t="s">
        <v>16</v>
      </c>
      <c r="AL82" s="426"/>
      <c r="AM82" s="378"/>
      <c r="AO82" s="426" t="s">
        <v>11</v>
      </c>
      <c r="AP82" s="426"/>
      <c r="AQ82" s="146" t="s">
        <v>9</v>
      </c>
    </row>
    <row r="83" spans="1:43" x14ac:dyDescent="0.25">
      <c r="I83" s="378"/>
      <c r="K83" s="378"/>
      <c r="M83" s="378"/>
      <c r="O83" s="54"/>
      <c r="R83" s="53"/>
      <c r="T83" s="426" t="s">
        <v>17</v>
      </c>
      <c r="U83" s="378"/>
      <c r="V83" s="426" t="s">
        <v>18</v>
      </c>
      <c r="W83" s="426" t="s">
        <v>19</v>
      </c>
      <c r="X83" s="426"/>
      <c r="Y83" s="426" t="s">
        <v>20</v>
      </c>
      <c r="Z83" s="378"/>
      <c r="AA83" s="378"/>
      <c r="AB83" s="378"/>
      <c r="AC83" s="426" t="s">
        <v>8</v>
      </c>
      <c r="AD83" s="426"/>
      <c r="AE83" s="426" t="s">
        <v>21</v>
      </c>
      <c r="AF83" s="56"/>
      <c r="AG83" s="146" t="s">
        <v>21</v>
      </c>
      <c r="AH83" s="56"/>
      <c r="AI83" s="426" t="s">
        <v>22</v>
      </c>
      <c r="AJ83" s="426"/>
      <c r="AK83" s="146" t="s">
        <v>22</v>
      </c>
      <c r="AL83" s="426"/>
      <c r="AM83" s="426" t="s">
        <v>21</v>
      </c>
      <c r="AN83" s="56"/>
      <c r="AO83" s="426" t="s">
        <v>9</v>
      </c>
      <c r="AP83" s="426"/>
      <c r="AQ83" s="146" t="s">
        <v>23</v>
      </c>
    </row>
    <row r="84" spans="1:43" x14ac:dyDescent="0.25">
      <c r="A84" s="55"/>
      <c r="B84" s="55"/>
      <c r="C84" s="55"/>
      <c r="D84" s="55"/>
      <c r="E84" s="55"/>
      <c r="F84" s="55"/>
      <c r="G84" s="55"/>
      <c r="H84" s="55"/>
      <c r="I84" s="378"/>
      <c r="J84" s="55"/>
      <c r="K84" s="378"/>
      <c r="L84" s="55"/>
      <c r="M84" s="378"/>
      <c r="N84" s="55"/>
      <c r="O84" s="55"/>
      <c r="P84" s="55"/>
      <c r="Q84" s="55"/>
      <c r="R84" s="55"/>
      <c r="T84" s="426" t="s">
        <v>24</v>
      </c>
      <c r="U84" s="378"/>
      <c r="V84" s="426" t="s">
        <v>25</v>
      </c>
      <c r="W84" s="426" t="s">
        <v>26</v>
      </c>
      <c r="X84" s="426"/>
      <c r="Y84" s="426" t="s">
        <v>27</v>
      </c>
      <c r="Z84" s="378"/>
      <c r="AA84" s="426" t="s">
        <v>28</v>
      </c>
      <c r="AB84" s="426"/>
      <c r="AC84" s="426" t="s">
        <v>29</v>
      </c>
      <c r="AD84" s="426"/>
      <c r="AE84" s="426" t="s">
        <v>9</v>
      </c>
      <c r="AF84" s="56"/>
      <c r="AG84" s="146" t="s">
        <v>9</v>
      </c>
      <c r="AH84" s="56"/>
      <c r="AI84" s="265" t="s">
        <v>31</v>
      </c>
      <c r="AJ84" s="265"/>
      <c r="AK84" s="440" t="s">
        <v>32</v>
      </c>
      <c r="AL84" s="426"/>
      <c r="AM84" s="426" t="s">
        <v>379</v>
      </c>
      <c r="AN84" s="56"/>
      <c r="AO84" s="265" t="s">
        <v>33</v>
      </c>
      <c r="AP84" s="265"/>
      <c r="AQ84" s="440" t="s">
        <v>34</v>
      </c>
    </row>
    <row r="85" spans="1:43" x14ac:dyDescent="0.25">
      <c r="I85" s="378"/>
      <c r="K85" s="378"/>
      <c r="M85" s="378"/>
      <c r="O85" s="56"/>
      <c r="P85" s="56"/>
      <c r="R85" s="56"/>
      <c r="T85" s="378"/>
      <c r="U85" s="378"/>
      <c r="V85" s="265" t="s">
        <v>35</v>
      </c>
      <c r="W85" s="265" t="s">
        <v>36</v>
      </c>
      <c r="X85" s="265"/>
      <c r="Y85" s="265" t="s">
        <v>37</v>
      </c>
      <c r="Z85" s="218"/>
      <c r="AA85" s="265" t="s">
        <v>38</v>
      </c>
      <c r="AB85" s="265"/>
      <c r="AC85" s="265" t="s">
        <v>44</v>
      </c>
      <c r="AD85" s="265"/>
      <c r="AE85" s="265" t="s">
        <v>45</v>
      </c>
      <c r="AF85" s="466"/>
      <c r="AG85" s="440" t="s">
        <v>46</v>
      </c>
      <c r="AH85" s="466"/>
      <c r="AI85" s="265" t="s">
        <v>47</v>
      </c>
      <c r="AJ85" s="265"/>
      <c r="AK85" s="440" t="s">
        <v>48</v>
      </c>
      <c r="AL85" s="265"/>
      <c r="AM85" s="265" t="s">
        <v>42</v>
      </c>
      <c r="AN85" s="466"/>
      <c r="AO85" s="265" t="s">
        <v>49</v>
      </c>
      <c r="AP85" s="265"/>
      <c r="AQ85" s="440" t="s">
        <v>50</v>
      </c>
    </row>
    <row r="86" spans="1:43" x14ac:dyDescent="0.25">
      <c r="I86" s="378"/>
      <c r="K86" s="378"/>
      <c r="M86" s="378"/>
      <c r="O86" s="56"/>
      <c r="P86" s="56"/>
      <c r="R86" s="56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145"/>
      <c r="AH86" s="47"/>
      <c r="AI86" s="47"/>
      <c r="AJ86" s="47"/>
      <c r="AK86" s="145"/>
      <c r="AL86" s="47"/>
      <c r="AM86" s="47"/>
      <c r="AN86" s="47"/>
      <c r="AO86" s="47"/>
      <c r="AP86" s="47"/>
      <c r="AQ86" s="145"/>
    </row>
    <row r="87" spans="1:43" ht="17.100000000000001" customHeight="1" x14ac:dyDescent="0.25">
      <c r="A87" s="56"/>
      <c r="C87" s="56"/>
      <c r="D87" s="56"/>
      <c r="E87" s="56"/>
      <c r="F87" s="56"/>
      <c r="I87" s="378"/>
      <c r="K87" s="378"/>
      <c r="L87" s="56"/>
      <c r="M87" s="378"/>
      <c r="N87" s="56"/>
      <c r="O87" s="56"/>
      <c r="P87" s="56"/>
      <c r="Q87" s="56"/>
      <c r="R87" s="56"/>
      <c r="T87" s="378"/>
      <c r="U87" s="378"/>
      <c r="V87" s="378"/>
      <c r="W87" s="378"/>
      <c r="X87" s="378"/>
      <c r="Y87" s="378"/>
      <c r="Z87" s="378"/>
      <c r="AA87" s="442" t="s">
        <v>203</v>
      </c>
      <c r="AB87" s="441"/>
      <c r="AC87" s="442" t="s">
        <v>390</v>
      </c>
      <c r="AD87" s="441"/>
      <c r="AE87" s="441" t="s">
        <v>52</v>
      </c>
      <c r="AF87" s="467"/>
      <c r="AG87" s="443" t="s">
        <v>53</v>
      </c>
      <c r="AH87" s="467"/>
      <c r="AI87" s="441" t="s">
        <v>52</v>
      </c>
      <c r="AJ87" s="441"/>
      <c r="AK87" s="443" t="s">
        <v>53</v>
      </c>
      <c r="AL87" s="441"/>
      <c r="AM87" s="441" t="s">
        <v>52</v>
      </c>
      <c r="AN87" s="467"/>
      <c r="AO87" s="441" t="s">
        <v>52</v>
      </c>
      <c r="AP87" s="441"/>
      <c r="AQ87" s="443" t="s">
        <v>53</v>
      </c>
    </row>
    <row r="88" spans="1:43" x14ac:dyDescent="0.25">
      <c r="A88" s="56"/>
      <c r="C88" s="56"/>
      <c r="D88" s="56"/>
      <c r="E88" s="56"/>
      <c r="F88" s="56"/>
      <c r="H88" s="56"/>
      <c r="I88" s="378"/>
      <c r="J88" s="56"/>
      <c r="K88" s="378"/>
      <c r="L88" s="56"/>
      <c r="M88" s="378"/>
      <c r="N88" s="56"/>
      <c r="O88" s="56"/>
      <c r="P88" s="56"/>
      <c r="Q88" s="56"/>
      <c r="R88" s="56"/>
      <c r="T88" s="45">
        <v>1</v>
      </c>
      <c r="U88" s="378"/>
      <c r="V88" s="222" t="s">
        <v>438</v>
      </c>
      <c r="W88" s="222" t="s">
        <v>439</v>
      </c>
      <c r="X88" s="46"/>
      <c r="Y88" s="2"/>
      <c r="Z88" s="2"/>
      <c r="AA88" s="459"/>
      <c r="AB88" s="459"/>
      <c r="AC88" s="460" t="s">
        <v>384</v>
      </c>
      <c r="AD88" s="459"/>
      <c r="AE88" s="459"/>
      <c r="AF88" s="459"/>
      <c r="AG88" s="469"/>
      <c r="AH88" s="459"/>
      <c r="AI88" s="459"/>
      <c r="AJ88" s="459"/>
      <c r="AK88" s="469"/>
      <c r="AL88" s="459"/>
      <c r="AM88" s="459"/>
      <c r="AN88" s="459"/>
      <c r="AO88" s="468"/>
      <c r="AP88" s="468"/>
      <c r="AQ88" s="484"/>
    </row>
    <row r="89" spans="1:43" x14ac:dyDescent="0.25">
      <c r="C89" s="56"/>
      <c r="D89" s="56"/>
      <c r="E89" s="56"/>
      <c r="F89" s="56"/>
      <c r="H89" s="56"/>
      <c r="I89" s="378"/>
      <c r="J89" s="56"/>
      <c r="K89" s="378"/>
      <c r="L89" s="56"/>
      <c r="M89" s="378"/>
      <c r="N89" s="56"/>
      <c r="O89" s="56"/>
      <c r="P89" s="56"/>
      <c r="Q89" s="56"/>
      <c r="R89" s="56"/>
      <c r="T89" s="45">
        <v>2</v>
      </c>
      <c r="U89" s="378"/>
      <c r="V89" s="222" t="s">
        <v>56</v>
      </c>
      <c r="W89" s="378"/>
      <c r="X89" s="378"/>
      <c r="Y89" s="2"/>
      <c r="Z89" s="2"/>
      <c r="AA89" s="2"/>
      <c r="AB89" s="2"/>
      <c r="AC89" s="2"/>
      <c r="AD89" s="2"/>
      <c r="AE89" s="2"/>
      <c r="AF89" s="2"/>
      <c r="AG89" s="147"/>
      <c r="AH89" s="2"/>
      <c r="AI89" s="2"/>
      <c r="AJ89" s="2"/>
      <c r="AK89" s="147"/>
      <c r="AL89" s="2"/>
      <c r="AM89" s="2"/>
      <c r="AN89" s="2"/>
      <c r="AO89" s="84"/>
      <c r="AP89" s="84"/>
      <c r="AQ89" s="167"/>
    </row>
    <row r="90" spans="1:43" x14ac:dyDescent="0.25">
      <c r="H90" s="56"/>
      <c r="I90" s="378"/>
      <c r="J90" s="56"/>
      <c r="K90" s="378"/>
      <c r="L90" s="56"/>
      <c r="M90" s="378"/>
      <c r="N90" s="56"/>
      <c r="O90" s="56"/>
      <c r="P90" s="56"/>
      <c r="Q90" s="56"/>
      <c r="R90" s="56"/>
      <c r="T90" s="45">
        <v>3</v>
      </c>
      <c r="U90" s="378"/>
      <c r="V90" s="222" t="s">
        <v>140</v>
      </c>
      <c r="W90" s="378"/>
      <c r="X90" s="378"/>
      <c r="Y90" s="2"/>
      <c r="Z90" s="2"/>
      <c r="AA90" s="2"/>
      <c r="AB90" s="2"/>
      <c r="AC90" s="2"/>
      <c r="AD90" s="2"/>
      <c r="AE90" s="2"/>
      <c r="AF90" s="2"/>
      <c r="AG90" s="147"/>
      <c r="AH90" s="2"/>
      <c r="AI90" s="2"/>
      <c r="AJ90" s="2"/>
      <c r="AK90" s="147"/>
      <c r="AL90" s="2"/>
      <c r="AM90" s="2"/>
      <c r="AN90" s="2"/>
      <c r="AO90" s="84"/>
      <c r="AP90" s="84"/>
      <c r="AQ90" s="167"/>
    </row>
    <row r="91" spans="1:43" x14ac:dyDescent="0.25">
      <c r="A91" s="53"/>
      <c r="C91" s="54"/>
      <c r="D91" s="54"/>
      <c r="E91" s="54"/>
      <c r="I91" s="378"/>
      <c r="K91" s="378"/>
      <c r="M91" s="378"/>
      <c r="T91" s="45">
        <v>4</v>
      </c>
      <c r="U91" s="378"/>
      <c r="V91" s="46" t="s">
        <v>141</v>
      </c>
      <c r="W91" s="378"/>
      <c r="X91" s="378"/>
      <c r="Y91" s="5">
        <f>F23</f>
        <v>0</v>
      </c>
      <c r="Z91" s="2"/>
      <c r="AA91" s="86"/>
      <c r="AB91" s="86"/>
      <c r="AC91" s="450">
        <f>INPUT!C68</f>
        <v>63.5</v>
      </c>
      <c r="AD91" s="96"/>
      <c r="AE91" s="5">
        <f>ROUND(+Y91*AC91,0)</f>
        <v>0</v>
      </c>
      <c r="AF91" s="2"/>
      <c r="AG91" s="383">
        <f>ROUND((+AE91/$AE$129)*100,1)</f>
        <v>0</v>
      </c>
      <c r="AH91" s="2"/>
      <c r="AI91" s="5">
        <f>L23-AE91</f>
        <v>0</v>
      </c>
      <c r="AJ91" s="5"/>
      <c r="AK91" s="149">
        <f>IF(AE91=0,0,ROUND((AI91/AE91)*100,1))</f>
        <v>0</v>
      </c>
      <c r="AL91" s="8"/>
      <c r="AM91" s="5"/>
      <c r="AN91" s="2"/>
      <c r="AO91" s="5">
        <f>AE91+AM91</f>
        <v>0</v>
      </c>
      <c r="AP91" s="2"/>
      <c r="AQ91" s="178">
        <v>0</v>
      </c>
    </row>
    <row r="92" spans="1:43" x14ac:dyDescent="0.25">
      <c r="A92" s="53"/>
      <c r="C92" s="54"/>
      <c r="I92" s="378"/>
      <c r="K92" s="378"/>
      <c r="M92" s="378"/>
      <c r="T92" s="45">
        <v>5</v>
      </c>
      <c r="U92" s="378"/>
      <c r="V92" s="46" t="s">
        <v>142</v>
      </c>
      <c r="W92" s="378"/>
      <c r="X92" s="378"/>
      <c r="Y92" s="5">
        <f>F24</f>
        <v>635</v>
      </c>
      <c r="Z92" s="2"/>
      <c r="AA92" s="86"/>
      <c r="AB92" s="86"/>
      <c r="AC92" s="450">
        <f>INPUT!C69</f>
        <v>127</v>
      </c>
      <c r="AD92" s="96"/>
      <c r="AE92" s="5">
        <f>ROUND(+Y92*AC92,0)</f>
        <v>80645</v>
      </c>
      <c r="AF92" s="2"/>
      <c r="AG92" s="383">
        <f>ROUND((+AE92/$AE$129)*100,1)</f>
        <v>0.1</v>
      </c>
      <c r="AH92" s="2"/>
      <c r="AI92" s="5">
        <f>L24-AE92</f>
        <v>1905</v>
      </c>
      <c r="AJ92" s="5"/>
      <c r="AK92" s="149">
        <f>IF(AE92=0,0,ROUND((AI92/AE92)*100,1))</f>
        <v>2.4</v>
      </c>
      <c r="AL92" s="8"/>
      <c r="AM92" s="5"/>
      <c r="AN92" s="2"/>
      <c r="AO92" s="5">
        <f>AE92+AM92</f>
        <v>80645</v>
      </c>
      <c r="AP92" s="2"/>
      <c r="AQ92" s="149">
        <f>ROUND((+AI92/AO92)*100,1)</f>
        <v>2.4</v>
      </c>
    </row>
    <row r="93" spans="1:43" ht="20.100000000000001" customHeight="1" x14ac:dyDescent="0.25">
      <c r="A93" s="53"/>
      <c r="C93" s="54"/>
      <c r="F93" s="449"/>
      <c r="H93" s="449"/>
      <c r="I93" s="378"/>
      <c r="J93" s="449"/>
      <c r="K93" s="378"/>
      <c r="L93" s="461"/>
      <c r="M93" s="378"/>
      <c r="N93" s="461"/>
      <c r="O93" s="379"/>
      <c r="P93" s="50"/>
      <c r="Q93" s="53"/>
      <c r="R93" s="379"/>
      <c r="T93" s="45">
        <v>6</v>
      </c>
      <c r="U93" s="378"/>
      <c r="V93" s="222" t="s">
        <v>143</v>
      </c>
      <c r="W93" s="378"/>
      <c r="X93" s="378"/>
      <c r="Y93" s="90">
        <f>F25</f>
        <v>635</v>
      </c>
      <c r="Z93" s="2"/>
      <c r="AA93" s="5"/>
      <c r="AB93" s="5"/>
      <c r="AC93" s="9"/>
      <c r="AD93" s="9"/>
      <c r="AE93" s="90">
        <f>SUM(AE91:AE92)</f>
        <v>80645</v>
      </c>
      <c r="AF93" s="2"/>
      <c r="AG93" s="150">
        <f>ROUND((+AE93/$AE$129)*100,1)</f>
        <v>0.1</v>
      </c>
      <c r="AH93" s="2"/>
      <c r="AI93" s="90">
        <f>SUM(AI91:AI92)</f>
        <v>1905</v>
      </c>
      <c r="AJ93" s="83"/>
      <c r="AK93" s="150">
        <f>IF(AE93=0,0,ROUND((AI93/AE93)*100,1))</f>
        <v>2.4</v>
      </c>
      <c r="AL93" s="8"/>
      <c r="AM93" s="90"/>
      <c r="AN93" s="2"/>
      <c r="AO93" s="90">
        <f>SUM(AO91:AO92)</f>
        <v>80645</v>
      </c>
      <c r="AP93" s="2"/>
      <c r="AQ93" s="149">
        <f>ROUND((+AI93/AO93)*100,1)</f>
        <v>2.4</v>
      </c>
    </row>
    <row r="94" spans="1:43" x14ac:dyDescent="0.25">
      <c r="A94" s="53"/>
      <c r="C94" s="54"/>
      <c r="F94" s="449"/>
      <c r="H94" s="449"/>
      <c r="I94" s="378"/>
      <c r="J94" s="449"/>
      <c r="K94" s="378"/>
      <c r="L94" s="461"/>
      <c r="M94" s="378"/>
      <c r="N94" s="461"/>
      <c r="O94" s="379"/>
      <c r="P94" s="50"/>
      <c r="Q94" s="53"/>
      <c r="R94" s="379"/>
      <c r="T94" s="45"/>
      <c r="U94" s="378"/>
      <c r="V94" s="46"/>
      <c r="W94" s="378"/>
      <c r="X94" s="378"/>
      <c r="Y94" s="83"/>
      <c r="Z94" s="2"/>
      <c r="AA94" s="5"/>
      <c r="AB94" s="5"/>
      <c r="AC94" s="9"/>
      <c r="AD94" s="9"/>
      <c r="AE94" s="83"/>
      <c r="AF94" s="2"/>
      <c r="AG94" s="383"/>
      <c r="AH94" s="2"/>
      <c r="AI94" s="83"/>
      <c r="AJ94" s="83"/>
      <c r="AK94" s="383"/>
      <c r="AL94" s="8"/>
      <c r="AM94" s="83"/>
      <c r="AN94" s="2"/>
      <c r="AO94" s="83"/>
      <c r="AP94" s="2"/>
      <c r="AQ94" s="149"/>
    </row>
    <row r="95" spans="1:43" x14ac:dyDescent="0.25">
      <c r="A95" s="53"/>
      <c r="C95" s="54"/>
      <c r="F95" s="449"/>
      <c r="H95" s="449"/>
      <c r="I95" s="378"/>
      <c r="J95" s="449"/>
      <c r="K95" s="378"/>
      <c r="L95" s="461"/>
      <c r="M95" s="378"/>
      <c r="N95" s="461"/>
      <c r="O95" s="379"/>
      <c r="P95" s="50"/>
      <c r="Q95" s="53"/>
      <c r="R95" s="379"/>
      <c r="T95" s="45">
        <v>7</v>
      </c>
      <c r="U95" s="378"/>
      <c r="V95" s="222" t="s">
        <v>65</v>
      </c>
      <c r="W95" s="378"/>
      <c r="X95" s="378"/>
      <c r="Y95" s="86"/>
      <c r="Z95" s="2"/>
      <c r="AA95" s="86"/>
      <c r="AB95" s="86"/>
      <c r="AC95" s="481"/>
      <c r="AD95" s="481"/>
      <c r="AE95" s="5"/>
      <c r="AF95" s="2"/>
      <c r="AG95" s="149"/>
      <c r="AH95" s="2"/>
      <c r="AI95" s="5"/>
      <c r="AJ95" s="5"/>
      <c r="AK95" s="149"/>
      <c r="AL95" s="6"/>
      <c r="AM95" s="5"/>
      <c r="AN95" s="2"/>
      <c r="AO95" s="5"/>
      <c r="AP95" s="2"/>
      <c r="AQ95" s="149"/>
    </row>
    <row r="96" spans="1:43" x14ac:dyDescent="0.25">
      <c r="F96" s="381"/>
      <c r="H96" s="379"/>
      <c r="I96" s="378"/>
      <c r="J96" s="379"/>
      <c r="K96" s="378"/>
      <c r="L96" s="464"/>
      <c r="M96" s="378"/>
      <c r="N96" s="464"/>
      <c r="O96" s="381"/>
      <c r="P96" s="381"/>
      <c r="Q96" s="381"/>
      <c r="R96" s="381"/>
      <c r="T96" s="45">
        <v>8</v>
      </c>
      <c r="U96" s="378"/>
      <c r="V96" s="46" t="s">
        <v>66</v>
      </c>
      <c r="W96" s="378"/>
      <c r="X96" s="378"/>
      <c r="Y96" s="86"/>
      <c r="Z96" s="2"/>
      <c r="AA96" s="5">
        <f>H28</f>
        <v>523317</v>
      </c>
      <c r="AB96" s="5"/>
      <c r="AC96" s="96">
        <f>CUR_DT_SUM_PEAK_ON</f>
        <v>13.78</v>
      </c>
      <c r="AD96" s="96"/>
      <c r="AE96" s="5">
        <f>ROUND(+AA96*AC96,0)</f>
        <v>7211308</v>
      </c>
      <c r="AF96" s="2"/>
      <c r="AG96" s="383">
        <f>ROUND((+AE96/$AE$129)*100,1)</f>
        <v>13.3</v>
      </c>
      <c r="AH96" s="2"/>
      <c r="AI96" s="5">
        <f>L28-AE96</f>
        <v>873940</v>
      </c>
      <c r="AJ96" s="5"/>
      <c r="AK96" s="149">
        <f>IF(AE96=0,0,ROUND((AI96/AE96)*100,1))</f>
        <v>12.1</v>
      </c>
      <c r="AL96" s="8"/>
      <c r="AM96" s="5"/>
      <c r="AN96" s="2"/>
      <c r="AO96" s="5">
        <f>AE96+AM96</f>
        <v>7211308</v>
      </c>
      <c r="AP96" s="2"/>
      <c r="AQ96" s="149">
        <v>0</v>
      </c>
    </row>
    <row r="97" spans="1:43" x14ac:dyDescent="0.25">
      <c r="A97" s="53"/>
      <c r="C97" s="54"/>
      <c r="F97" s="379"/>
      <c r="H97" s="379"/>
      <c r="I97" s="378"/>
      <c r="J97" s="379"/>
      <c r="K97" s="378"/>
      <c r="L97" s="464"/>
      <c r="M97" s="378"/>
      <c r="N97" s="464"/>
      <c r="O97" s="379"/>
      <c r="P97" s="50"/>
      <c r="Q97" s="379"/>
      <c r="R97" s="379"/>
      <c r="T97" s="45">
        <v>9</v>
      </c>
      <c r="U97" s="378"/>
      <c r="V97" s="46" t="s">
        <v>67</v>
      </c>
      <c r="W97" s="378"/>
      <c r="X97" s="378"/>
      <c r="Y97" s="86"/>
      <c r="Z97" s="2"/>
      <c r="AA97" s="81">
        <f>H29</f>
        <v>13818</v>
      </c>
      <c r="AB97" s="5"/>
      <c r="AC97" s="96">
        <f>CUR_DT_SUM_PK_OFF</f>
        <v>1.24</v>
      </c>
      <c r="AD97" s="96"/>
      <c r="AE97" s="5">
        <f>ROUND(+AA97*AC97,0)</f>
        <v>17134</v>
      </c>
      <c r="AF97" s="2"/>
      <c r="AG97" s="383">
        <f>ROUND((+AE97/$AE$129)*100,1)</f>
        <v>0</v>
      </c>
      <c r="AH97" s="2"/>
      <c r="AI97" s="5">
        <f>L29-AE97</f>
        <v>2073</v>
      </c>
      <c r="AJ97" s="5"/>
      <c r="AK97" s="148">
        <f>IF(AE97=0,0,ROUND((AI97/AE97)*100,1))</f>
        <v>12.1</v>
      </c>
      <c r="AL97" s="8"/>
      <c r="AM97" s="5"/>
      <c r="AN97" s="2"/>
      <c r="AO97" s="5">
        <f>AE97+AM97</f>
        <v>17134</v>
      </c>
      <c r="AP97" s="2"/>
      <c r="AQ97" s="149">
        <f>ROUND((+AI97/AO97)*100,1)</f>
        <v>12.1</v>
      </c>
    </row>
    <row r="98" spans="1:43" ht="20.100000000000001" customHeight="1" x14ac:dyDescent="0.25">
      <c r="A98" s="53"/>
      <c r="C98" s="54"/>
      <c r="F98" s="449"/>
      <c r="H98" s="449"/>
      <c r="I98" s="378"/>
      <c r="J98" s="449"/>
      <c r="K98" s="378"/>
      <c r="L98" s="477"/>
      <c r="M98" s="378"/>
      <c r="N98" s="477"/>
      <c r="O98" s="379"/>
      <c r="P98" s="50"/>
      <c r="Q98" s="379"/>
      <c r="R98" s="379"/>
      <c r="S98" s="379"/>
      <c r="T98" s="45">
        <v>10</v>
      </c>
      <c r="U98" s="378"/>
      <c r="V98" s="222" t="s">
        <v>68</v>
      </c>
      <c r="W98" s="378"/>
      <c r="X98" s="378"/>
      <c r="Y98" s="5"/>
      <c r="Z98" s="2"/>
      <c r="AA98" s="90">
        <f>H30</f>
        <v>537135</v>
      </c>
      <c r="AB98" s="5"/>
      <c r="AC98" s="446"/>
      <c r="AD98" s="446"/>
      <c r="AE98" s="90">
        <f>SUM(AE96:AE97)</f>
        <v>7228442</v>
      </c>
      <c r="AF98" s="2"/>
      <c r="AG98" s="150">
        <f>ROUND((+AE98/$AE$129)*100,1)</f>
        <v>13.4</v>
      </c>
      <c r="AH98" s="2"/>
      <c r="AI98" s="90">
        <f>SUM(AI96:AI97)</f>
        <v>876013</v>
      </c>
      <c r="AJ98" s="83"/>
      <c r="AK98" s="150">
        <f>IF(AE98=0,0,ROUND((AI98/AE98)*100,1))</f>
        <v>12.1</v>
      </c>
      <c r="AL98" s="8"/>
      <c r="AM98" s="90"/>
      <c r="AN98" s="2"/>
      <c r="AO98" s="90">
        <f>SUM(AO96:AO97)</f>
        <v>7228442</v>
      </c>
      <c r="AP98" s="2"/>
      <c r="AQ98" s="149">
        <f>ROUND((+AI98/AO98)*100,1)</f>
        <v>12.1</v>
      </c>
    </row>
    <row r="99" spans="1:43" x14ac:dyDescent="0.25">
      <c r="A99" s="53"/>
      <c r="C99" s="54"/>
      <c r="F99" s="449"/>
      <c r="H99" s="449"/>
      <c r="I99" s="378"/>
      <c r="J99" s="449"/>
      <c r="K99" s="378"/>
      <c r="L99" s="477"/>
      <c r="M99" s="378"/>
      <c r="N99" s="477"/>
      <c r="O99" s="379"/>
      <c r="P99" s="50"/>
      <c r="Q99" s="379"/>
      <c r="R99" s="379"/>
      <c r="S99" s="379"/>
      <c r="T99" s="45"/>
      <c r="U99" s="378"/>
      <c r="V99" s="46"/>
      <c r="W99" s="378"/>
      <c r="X99" s="378"/>
      <c r="Y99" s="5"/>
      <c r="Z99" s="2"/>
      <c r="AA99" s="83"/>
      <c r="AB99" s="5"/>
      <c r="AC99" s="446"/>
      <c r="AD99" s="446"/>
      <c r="AE99" s="83"/>
      <c r="AF99" s="2"/>
      <c r="AG99" s="383"/>
      <c r="AH99" s="2"/>
      <c r="AI99" s="83"/>
      <c r="AJ99" s="83"/>
      <c r="AK99" s="383"/>
      <c r="AL99" s="8"/>
      <c r="AM99" s="83"/>
      <c r="AN99" s="2"/>
      <c r="AO99" s="83"/>
      <c r="AP99" s="2"/>
      <c r="AQ99" s="149"/>
    </row>
    <row r="100" spans="1:43" x14ac:dyDescent="0.25">
      <c r="A100" s="53"/>
      <c r="C100" s="54"/>
      <c r="H100" s="449"/>
      <c r="I100" s="378"/>
      <c r="J100" s="449"/>
      <c r="K100" s="378"/>
      <c r="L100" s="221"/>
      <c r="M100" s="378"/>
      <c r="N100" s="221"/>
      <c r="O100" s="379"/>
      <c r="P100" s="50"/>
      <c r="Q100" s="379"/>
      <c r="R100" s="379"/>
      <c r="T100" s="45">
        <v>11</v>
      </c>
      <c r="U100" s="378"/>
      <c r="V100" s="222" t="s">
        <v>432</v>
      </c>
      <c r="W100" s="378"/>
      <c r="X100" s="378"/>
      <c r="Y100" s="5"/>
      <c r="Z100" s="2"/>
      <c r="AA100" s="5"/>
      <c r="AB100" s="5"/>
      <c r="AC100" s="9"/>
      <c r="AD100" s="9"/>
      <c r="AE100" s="5"/>
      <c r="AF100" s="2"/>
      <c r="AG100" s="149"/>
      <c r="AH100" s="2"/>
      <c r="AI100" s="5"/>
      <c r="AJ100" s="5"/>
      <c r="AK100" s="149"/>
      <c r="AL100" s="8"/>
      <c r="AM100" s="5"/>
      <c r="AN100" s="2"/>
      <c r="AO100" s="5"/>
      <c r="AP100" s="2"/>
      <c r="AQ100" s="149"/>
    </row>
    <row r="101" spans="1:43" x14ac:dyDescent="0.25">
      <c r="A101" s="53"/>
      <c r="C101" s="54"/>
      <c r="H101" s="449"/>
      <c r="I101" s="378"/>
      <c r="J101" s="449"/>
      <c r="K101" s="378"/>
      <c r="L101" s="221"/>
      <c r="M101" s="378"/>
      <c r="N101" s="221"/>
      <c r="O101" s="379"/>
      <c r="P101" s="50"/>
      <c r="Q101" s="379"/>
      <c r="R101" s="379"/>
      <c r="T101" s="45">
        <v>12</v>
      </c>
      <c r="U101" s="378"/>
      <c r="V101" s="46" t="s">
        <v>445</v>
      </c>
      <c r="W101" s="378"/>
      <c r="X101" s="378"/>
      <c r="Y101" s="5"/>
      <c r="Z101" s="2"/>
      <c r="AA101" s="83">
        <f>H33</f>
        <v>72174788</v>
      </c>
      <c r="AB101" s="83"/>
      <c r="AC101" s="266">
        <f>CUR_DT_SUM_E_ON</f>
        <v>4.3450000000000003E-2</v>
      </c>
      <c r="AD101" s="489"/>
      <c r="AE101" s="83">
        <f>ROUND((+AA101*AC101),0)</f>
        <v>3135995</v>
      </c>
      <c r="AF101" s="84"/>
      <c r="AG101" s="383">
        <f>ROUND((+AE101/$AE$129)*100,1)</f>
        <v>5.8</v>
      </c>
      <c r="AH101" s="84"/>
      <c r="AI101" s="83">
        <f>L33-AE101</f>
        <v>379783</v>
      </c>
      <c r="AJ101" s="83"/>
      <c r="AK101" s="383">
        <f>IF(AE101=0,0,ROUND((AI101/AE101)*100,1))</f>
        <v>12.1</v>
      </c>
      <c r="AL101" s="103"/>
      <c r="AM101" s="83"/>
      <c r="AN101" s="84"/>
      <c r="AO101" s="83">
        <f>AE101+AM101</f>
        <v>3135995</v>
      </c>
      <c r="AP101" s="2"/>
      <c r="AQ101" s="149">
        <f>ROUND((+AI101/AO101)*100,1)</f>
        <v>12.1</v>
      </c>
    </row>
    <row r="102" spans="1:43" x14ac:dyDescent="0.25">
      <c r="F102" s="379"/>
      <c r="H102" s="379"/>
      <c r="I102" s="378"/>
      <c r="J102" s="379"/>
      <c r="K102" s="378"/>
      <c r="L102" s="464"/>
      <c r="M102" s="378"/>
      <c r="N102" s="464"/>
      <c r="O102" s="381"/>
      <c r="P102" s="381"/>
      <c r="Q102" s="381"/>
      <c r="R102" s="381"/>
      <c r="T102" s="45">
        <v>13</v>
      </c>
      <c r="U102" s="378"/>
      <c r="V102" s="46" t="s">
        <v>446</v>
      </c>
      <c r="W102" s="378"/>
      <c r="X102" s="378"/>
      <c r="Y102" s="87"/>
      <c r="Z102" s="2"/>
      <c r="AA102" s="81">
        <f>H34</f>
        <v>171445010</v>
      </c>
      <c r="AB102" s="5"/>
      <c r="AC102" s="488">
        <f>CUR_DT_SUM_E_OFF</f>
        <v>3.5582000000000003E-2</v>
      </c>
      <c r="AD102" s="454"/>
      <c r="AE102" s="81">
        <f>ROUND((+AA102*AC102),0)</f>
        <v>6100356</v>
      </c>
      <c r="AF102" s="2"/>
      <c r="AG102" s="383">
        <f>ROUND((+AE102/$AE$129)*100,1)</f>
        <v>11.3</v>
      </c>
      <c r="AH102" s="2"/>
      <c r="AI102" s="81">
        <f>L34-AE102</f>
        <v>738585</v>
      </c>
      <c r="AJ102" s="5"/>
      <c r="AK102" s="148">
        <f>IF(AE102=0,0,ROUND((AI102/AE102)*100,1))</f>
        <v>12.1</v>
      </c>
      <c r="AL102" s="8"/>
      <c r="AM102" s="81"/>
      <c r="AN102" s="2"/>
      <c r="AO102" s="81">
        <f>AE102+AM102</f>
        <v>6100356</v>
      </c>
      <c r="AP102" s="2"/>
      <c r="AQ102" s="149">
        <f>ROUND((+AI102/AO102)*100,1)</f>
        <v>12.1</v>
      </c>
    </row>
    <row r="103" spans="1:43" ht="22.5" customHeight="1" x14ac:dyDescent="0.25">
      <c r="F103" s="379"/>
      <c r="H103" s="379"/>
      <c r="I103" s="378"/>
      <c r="J103" s="379"/>
      <c r="K103" s="378"/>
      <c r="L103" s="464"/>
      <c r="M103" s="378"/>
      <c r="N103" s="464"/>
      <c r="O103" s="381"/>
      <c r="P103" s="381"/>
      <c r="Q103" s="381"/>
      <c r="R103" s="381"/>
      <c r="T103" s="45">
        <v>14</v>
      </c>
      <c r="U103" s="378"/>
      <c r="V103" s="222" t="s">
        <v>58</v>
      </c>
      <c r="W103" s="378"/>
      <c r="X103" s="378"/>
      <c r="Y103" s="90">
        <f>F35</f>
        <v>635</v>
      </c>
      <c r="Z103" s="2"/>
      <c r="AA103" s="90">
        <f>H35</f>
        <v>243619798</v>
      </c>
      <c r="AB103" s="83"/>
      <c r="AC103" s="446"/>
      <c r="AD103" s="446"/>
      <c r="AE103" s="90">
        <f>AE93+AE98+AE101+AE102</f>
        <v>16545438</v>
      </c>
      <c r="AF103" s="2"/>
      <c r="AG103" s="150">
        <f>ROUND((+AE103/$AE$129)*100,1)</f>
        <v>30.6</v>
      </c>
      <c r="AH103" s="2"/>
      <c r="AI103" s="90">
        <f>AI93+AI98+AI101+AI102</f>
        <v>1996286</v>
      </c>
      <c r="AJ103" s="83"/>
      <c r="AK103" s="150">
        <f>IF(AE103=0,0,ROUND((AI103/AE103)*100,1))</f>
        <v>12.1</v>
      </c>
      <c r="AL103" s="8"/>
      <c r="AM103" s="482"/>
      <c r="AN103" s="2"/>
      <c r="AO103" s="90">
        <f>AO93+AO98+AO101+AO102</f>
        <v>16545438</v>
      </c>
      <c r="AP103" s="2"/>
      <c r="AQ103" s="149">
        <f>ROUND((+AI103/AO103)*100,1)</f>
        <v>12.1</v>
      </c>
    </row>
    <row r="104" spans="1:43" x14ac:dyDescent="0.25">
      <c r="F104" s="379"/>
      <c r="H104" s="379"/>
      <c r="I104" s="378"/>
      <c r="J104" s="379"/>
      <c r="K104" s="378"/>
      <c r="L104" s="464"/>
      <c r="M104" s="378"/>
      <c r="N104" s="464"/>
      <c r="O104" s="381"/>
      <c r="P104" s="381"/>
      <c r="Q104" s="381"/>
      <c r="R104" s="381"/>
      <c r="T104" s="45"/>
      <c r="U104" s="378"/>
      <c r="V104" s="46"/>
      <c r="W104" s="378"/>
      <c r="X104" s="378"/>
      <c r="Y104" s="83"/>
      <c r="Z104" s="2"/>
      <c r="AA104" s="83"/>
      <c r="AB104" s="83"/>
      <c r="AC104" s="446"/>
      <c r="AD104" s="446"/>
      <c r="AE104" s="83"/>
      <c r="AF104" s="2"/>
      <c r="AG104" s="383"/>
      <c r="AH104" s="2"/>
      <c r="AI104" s="83"/>
      <c r="AJ104" s="83"/>
      <c r="AK104" s="383"/>
      <c r="AL104" s="8"/>
      <c r="AM104" s="83"/>
      <c r="AN104" s="2"/>
      <c r="AO104" s="83"/>
      <c r="AP104" s="2"/>
      <c r="AQ104" s="149"/>
    </row>
    <row r="105" spans="1:43" x14ac:dyDescent="0.25">
      <c r="A105" s="53"/>
      <c r="C105" s="54"/>
      <c r="F105" s="379"/>
      <c r="H105" s="449"/>
      <c r="I105" s="378"/>
      <c r="J105" s="449"/>
      <c r="K105" s="378"/>
      <c r="L105" s="472"/>
      <c r="M105" s="378"/>
      <c r="N105" s="472"/>
      <c r="O105" s="379"/>
      <c r="P105" s="50"/>
      <c r="Q105" s="379"/>
      <c r="R105" s="379"/>
      <c r="T105" s="45">
        <v>15</v>
      </c>
      <c r="U105" s="378"/>
      <c r="V105" s="222" t="s">
        <v>59</v>
      </c>
      <c r="W105" s="378"/>
      <c r="X105" s="378"/>
      <c r="Y105" s="86"/>
      <c r="Z105" s="2"/>
      <c r="AA105" s="86"/>
      <c r="AB105" s="86"/>
      <c r="AC105" s="446"/>
      <c r="AD105" s="446"/>
      <c r="AE105" s="5"/>
      <c r="AF105" s="2"/>
      <c r="AG105" s="149"/>
      <c r="AH105" s="2"/>
      <c r="AI105" s="5"/>
      <c r="AJ105" s="5"/>
      <c r="AK105" s="147"/>
      <c r="AL105" s="2"/>
      <c r="AM105" s="5"/>
      <c r="AN105" s="2"/>
      <c r="AO105" s="5"/>
      <c r="AP105" s="2"/>
      <c r="AQ105" s="149"/>
    </row>
    <row r="106" spans="1:43" x14ac:dyDescent="0.25">
      <c r="A106" s="53"/>
      <c r="C106" s="54"/>
      <c r="F106" s="379"/>
      <c r="H106" s="379"/>
      <c r="I106" s="378"/>
      <c r="J106" s="379"/>
      <c r="K106" s="378"/>
      <c r="L106" s="464"/>
      <c r="M106" s="378"/>
      <c r="N106" s="464"/>
      <c r="O106" s="379"/>
      <c r="P106" s="50"/>
      <c r="Q106" s="379"/>
      <c r="R106" s="379"/>
      <c r="S106" s="379"/>
      <c r="T106" s="45">
        <v>16</v>
      </c>
      <c r="U106" s="378"/>
      <c r="V106" s="222" t="s">
        <v>140</v>
      </c>
      <c r="W106" s="378"/>
      <c r="X106" s="378"/>
      <c r="Y106" s="2"/>
      <c r="Z106" s="2"/>
      <c r="AA106" s="2"/>
      <c r="AB106" s="2"/>
      <c r="AC106" s="2"/>
      <c r="AD106" s="2"/>
      <c r="AE106" s="2"/>
      <c r="AF106" s="2"/>
      <c r="AG106" s="147"/>
      <c r="AH106" s="2"/>
      <c r="AI106" s="2"/>
      <c r="AJ106" s="2"/>
      <c r="AK106" s="147"/>
      <c r="AL106" s="2"/>
      <c r="AM106" s="2"/>
      <c r="AN106" s="2"/>
      <c r="AO106" s="2"/>
      <c r="AP106" s="2"/>
      <c r="AQ106" s="147"/>
    </row>
    <row r="107" spans="1:43" x14ac:dyDescent="0.25">
      <c r="F107" s="381"/>
      <c r="H107" s="381"/>
      <c r="I107" s="378"/>
      <c r="J107" s="381"/>
      <c r="K107" s="378"/>
      <c r="L107" s="464"/>
      <c r="M107" s="378"/>
      <c r="N107" s="464"/>
      <c r="O107" s="381"/>
      <c r="P107" s="381"/>
      <c r="Q107" s="381"/>
      <c r="R107" s="381"/>
      <c r="S107" s="379"/>
      <c r="T107" s="45">
        <v>17</v>
      </c>
      <c r="U107" s="378"/>
      <c r="V107" s="46" t="s">
        <v>141</v>
      </c>
      <c r="W107" s="378"/>
      <c r="X107" s="378"/>
      <c r="Y107" s="5">
        <f>F39</f>
        <v>0</v>
      </c>
      <c r="Z107" s="2"/>
      <c r="AA107" s="86"/>
      <c r="AB107" s="86"/>
      <c r="AC107" s="96">
        <f>AC91</f>
        <v>63.5</v>
      </c>
      <c r="AD107" s="96"/>
      <c r="AE107" s="5">
        <f>ROUND(+Y107*AC107,0)</f>
        <v>0</v>
      </c>
      <c r="AF107" s="2"/>
      <c r="AG107" s="383">
        <f>ROUND((+AE107/$AE$129)*100,1)</f>
        <v>0</v>
      </c>
      <c r="AH107" s="2"/>
      <c r="AI107" s="5">
        <f>L39-AE107</f>
        <v>0</v>
      </c>
      <c r="AJ107" s="5"/>
      <c r="AK107" s="149">
        <f>IF(AE107=0,0,ROUND((AI107/AE107)*100,1))</f>
        <v>0</v>
      </c>
      <c r="AL107" s="8"/>
      <c r="AM107" s="5"/>
      <c r="AN107" s="2"/>
      <c r="AO107" s="5">
        <f>AE107+AM107</f>
        <v>0</v>
      </c>
      <c r="AP107" s="2"/>
      <c r="AQ107" s="178">
        <v>0</v>
      </c>
    </row>
    <row r="108" spans="1:43" x14ac:dyDescent="0.25">
      <c r="A108" s="53"/>
      <c r="C108" s="54"/>
      <c r="F108" s="449"/>
      <c r="H108" s="478"/>
      <c r="I108" s="378"/>
      <c r="J108" s="478"/>
      <c r="K108" s="378"/>
      <c r="L108" s="464"/>
      <c r="M108" s="378"/>
      <c r="N108" s="464"/>
      <c r="O108" s="379"/>
      <c r="P108" s="50"/>
      <c r="Q108" s="379"/>
      <c r="R108" s="379"/>
      <c r="S108" s="379"/>
      <c r="T108" s="45">
        <v>18</v>
      </c>
      <c r="U108" s="378"/>
      <c r="V108" s="46" t="s">
        <v>142</v>
      </c>
      <c r="W108" s="378"/>
      <c r="X108" s="378"/>
      <c r="Y108" s="5">
        <f>F40</f>
        <v>1235</v>
      </c>
      <c r="Z108" s="2"/>
      <c r="AA108" s="86"/>
      <c r="AB108" s="86"/>
      <c r="AC108" s="96">
        <f>AC92</f>
        <v>127</v>
      </c>
      <c r="AD108" s="96"/>
      <c r="AE108" s="5">
        <f>ROUND(+Y108*AC108,0)</f>
        <v>156845</v>
      </c>
      <c r="AF108" s="2"/>
      <c r="AG108" s="383">
        <f>ROUND((+AE108/$AE$129)*100,1)</f>
        <v>0.3</v>
      </c>
      <c r="AH108" s="2"/>
      <c r="AI108" s="5">
        <f>L40-AE108</f>
        <v>3705</v>
      </c>
      <c r="AJ108" s="5"/>
      <c r="AK108" s="149">
        <f>IF(AE108=0,0,ROUND((AI108/AE108)*100,1))</f>
        <v>2.4</v>
      </c>
      <c r="AL108" s="8"/>
      <c r="AM108" s="5"/>
      <c r="AN108" s="2"/>
      <c r="AO108" s="5">
        <f>AE108+AM108</f>
        <v>156845</v>
      </c>
      <c r="AP108" s="2"/>
      <c r="AQ108" s="149">
        <f>ROUND((+AI108/AO108)*100,1)</f>
        <v>2.4</v>
      </c>
    </row>
    <row r="109" spans="1:43" ht="20.100000000000001" customHeight="1" x14ac:dyDescent="0.25">
      <c r="A109" s="53"/>
      <c r="C109" s="54"/>
      <c r="F109" s="449"/>
      <c r="H109" s="449"/>
      <c r="I109" s="378"/>
      <c r="J109" s="449"/>
      <c r="K109" s="378"/>
      <c r="L109" s="461"/>
      <c r="M109" s="378"/>
      <c r="N109" s="461"/>
      <c r="O109" s="379"/>
      <c r="P109" s="50"/>
      <c r="Q109" s="53"/>
      <c r="R109" s="379"/>
      <c r="T109" s="45">
        <v>19</v>
      </c>
      <c r="U109" s="378"/>
      <c r="V109" s="222" t="s">
        <v>143</v>
      </c>
      <c r="W109" s="378"/>
      <c r="X109" s="378"/>
      <c r="Y109" s="90">
        <f>F41</f>
        <v>1235</v>
      </c>
      <c r="Z109" s="2"/>
      <c r="AA109" s="5"/>
      <c r="AB109" s="5"/>
      <c r="AC109" s="446"/>
      <c r="AD109" s="446"/>
      <c r="AE109" s="90">
        <f>SUM(AE107:AE108)</f>
        <v>156845</v>
      </c>
      <c r="AF109" s="2"/>
      <c r="AG109" s="150">
        <f>ROUND((+AE109/$AE$129)*100,1)</f>
        <v>0.3</v>
      </c>
      <c r="AH109" s="2"/>
      <c r="AI109" s="90">
        <f>SUM(AI107:AI108)</f>
        <v>3705</v>
      </c>
      <c r="AJ109" s="83"/>
      <c r="AK109" s="150">
        <f>IF(AE109=0,0,ROUND((AI109/AE109)*100,1))</f>
        <v>2.4</v>
      </c>
      <c r="AL109" s="8"/>
      <c r="AM109" s="90"/>
      <c r="AN109" s="2"/>
      <c r="AO109" s="90">
        <f>SUM(AO107:AO108)</f>
        <v>156845</v>
      </c>
      <c r="AP109" s="2"/>
      <c r="AQ109" s="149">
        <f>ROUND((+AI109/AO109)*100,1)</f>
        <v>2.4</v>
      </c>
    </row>
    <row r="110" spans="1:43" x14ac:dyDescent="0.25">
      <c r="A110" s="53"/>
      <c r="C110" s="54"/>
      <c r="F110" s="449"/>
      <c r="H110" s="449"/>
      <c r="I110" s="378"/>
      <c r="J110" s="449"/>
      <c r="K110" s="378"/>
      <c r="L110" s="461"/>
      <c r="M110" s="378"/>
      <c r="N110" s="461"/>
      <c r="O110" s="379"/>
      <c r="P110" s="50"/>
      <c r="Q110" s="53"/>
      <c r="R110" s="379"/>
      <c r="T110" s="45"/>
      <c r="U110" s="378"/>
      <c r="V110" s="46"/>
      <c r="W110" s="378"/>
      <c r="X110" s="378"/>
      <c r="Y110" s="83"/>
      <c r="Z110" s="2"/>
      <c r="AA110" s="5"/>
      <c r="AB110" s="5"/>
      <c r="AC110" s="446"/>
      <c r="AD110" s="446"/>
      <c r="AE110" s="83"/>
      <c r="AF110" s="2"/>
      <c r="AG110" s="383"/>
      <c r="AH110" s="2"/>
      <c r="AI110" s="83"/>
      <c r="AJ110" s="83"/>
      <c r="AK110" s="383"/>
      <c r="AL110" s="8"/>
      <c r="AM110" s="83"/>
      <c r="AN110" s="2"/>
      <c r="AO110" s="83"/>
      <c r="AP110" s="2"/>
      <c r="AQ110" s="149"/>
    </row>
    <row r="111" spans="1:43" x14ac:dyDescent="0.25">
      <c r="A111" s="53"/>
      <c r="C111" s="54"/>
      <c r="F111" s="449"/>
      <c r="H111" s="449"/>
      <c r="I111" s="378"/>
      <c r="J111" s="449"/>
      <c r="K111" s="378"/>
      <c r="L111" s="461"/>
      <c r="M111" s="378"/>
      <c r="N111" s="461"/>
      <c r="O111" s="379"/>
      <c r="P111" s="50"/>
      <c r="Q111" s="53"/>
      <c r="R111" s="379"/>
      <c r="T111" s="45">
        <v>20</v>
      </c>
      <c r="U111" s="378"/>
      <c r="V111" s="222" t="s">
        <v>65</v>
      </c>
      <c r="W111" s="378"/>
      <c r="X111" s="378"/>
      <c r="Y111" s="86"/>
      <c r="Z111" s="2"/>
      <c r="AA111" s="86"/>
      <c r="AB111" s="86"/>
      <c r="AC111" s="481"/>
      <c r="AD111" s="481"/>
      <c r="AE111" s="5"/>
      <c r="AF111" s="2"/>
      <c r="AG111" s="149"/>
      <c r="AH111" s="2"/>
      <c r="AI111" s="5"/>
      <c r="AJ111" s="5"/>
      <c r="AK111" s="149"/>
      <c r="AL111" s="6"/>
      <c r="AM111" s="5"/>
      <c r="AN111" s="2"/>
      <c r="AO111" s="5"/>
      <c r="AP111" s="2"/>
      <c r="AQ111" s="149"/>
    </row>
    <row r="112" spans="1:43" x14ac:dyDescent="0.25">
      <c r="F112" s="381"/>
      <c r="H112" s="379"/>
      <c r="I112" s="378"/>
      <c r="J112" s="379"/>
      <c r="K112" s="378"/>
      <c r="L112" s="464"/>
      <c r="M112" s="378"/>
      <c r="N112" s="464"/>
      <c r="O112" s="381"/>
      <c r="P112" s="381"/>
      <c r="Q112" s="381"/>
      <c r="R112" s="381"/>
      <c r="T112" s="45">
        <v>21</v>
      </c>
      <c r="U112" s="378"/>
      <c r="V112" s="46" t="s">
        <v>66</v>
      </c>
      <c r="W112" s="378"/>
      <c r="X112" s="378"/>
      <c r="Y112" s="86"/>
      <c r="Z112" s="2"/>
      <c r="AA112" s="5">
        <f>H44</f>
        <v>948356.82000000007</v>
      </c>
      <c r="AB112" s="5"/>
      <c r="AC112" s="96">
        <f>CUR_DT_WIN_PEAK_ON</f>
        <v>13.04</v>
      </c>
      <c r="AD112" s="96"/>
      <c r="AE112" s="5">
        <f>ROUND(+AA112*AC112,0)</f>
        <v>12366573</v>
      </c>
      <c r="AF112" s="2"/>
      <c r="AG112" s="383">
        <f>ROUND((+AE112/$AE$129)*100,1)</f>
        <v>22.9</v>
      </c>
      <c r="AH112" s="2"/>
      <c r="AI112" s="5">
        <f>L44-AE112</f>
        <v>1498404</v>
      </c>
      <c r="AJ112" s="5"/>
      <c r="AK112" s="149">
        <f>IF(AE112=0,0,ROUND((AI112/AE112)*100,1))</f>
        <v>12.1</v>
      </c>
      <c r="AL112" s="8"/>
      <c r="AM112" s="5"/>
      <c r="AN112" s="2"/>
      <c r="AO112" s="5">
        <f>AE112+AM112</f>
        <v>12366573</v>
      </c>
      <c r="AP112" s="2"/>
      <c r="AQ112" s="149">
        <v>0</v>
      </c>
    </row>
    <row r="113" spans="1:43" x14ac:dyDescent="0.25">
      <c r="A113" s="53"/>
      <c r="C113" s="54"/>
      <c r="F113" s="379"/>
      <c r="H113" s="379"/>
      <c r="I113" s="378"/>
      <c r="J113" s="379"/>
      <c r="K113" s="378"/>
      <c r="L113" s="464"/>
      <c r="M113" s="378"/>
      <c r="N113" s="464"/>
      <c r="O113" s="379"/>
      <c r="P113" s="50"/>
      <c r="Q113" s="379"/>
      <c r="R113" s="379"/>
      <c r="T113" s="45">
        <v>22</v>
      </c>
      <c r="U113" s="378"/>
      <c r="V113" s="46" t="s">
        <v>67</v>
      </c>
      <c r="W113" s="378"/>
      <c r="X113" s="378"/>
      <c r="Y113" s="86"/>
      <c r="Z113" s="2"/>
      <c r="AA113" s="5">
        <f>H45</f>
        <v>19342.599999999999</v>
      </c>
      <c r="AB113" s="5"/>
      <c r="AC113" s="96">
        <f>CUR_DT_WIN_PK_OFF</f>
        <v>1.24</v>
      </c>
      <c r="AD113" s="96"/>
      <c r="AE113" s="5">
        <f>ROUND(+AA113*AC113,0)</f>
        <v>23985</v>
      </c>
      <c r="AF113" s="2"/>
      <c r="AG113" s="383">
        <f>ROUND((+AE113/$AE$129)*100,1)</f>
        <v>0</v>
      </c>
      <c r="AH113" s="2"/>
      <c r="AI113" s="5">
        <f>L45-AE113</f>
        <v>2901</v>
      </c>
      <c r="AJ113" s="5"/>
      <c r="AK113" s="148">
        <f>IF(AE113=0,0,ROUND((AI113/AE113)*100,1))</f>
        <v>12.1</v>
      </c>
      <c r="AL113" s="8"/>
      <c r="AM113" s="5"/>
      <c r="AN113" s="2"/>
      <c r="AO113" s="5">
        <f>AE113+AM113</f>
        <v>23985</v>
      </c>
      <c r="AP113" s="2"/>
      <c r="AQ113" s="149">
        <f>ROUND((+AI113/AO113)*100,1)</f>
        <v>12.1</v>
      </c>
    </row>
    <row r="114" spans="1:43" ht="20.100000000000001" customHeight="1" x14ac:dyDescent="0.25">
      <c r="A114" s="53"/>
      <c r="C114" s="54"/>
      <c r="F114" s="449"/>
      <c r="H114" s="449"/>
      <c r="I114" s="378"/>
      <c r="J114" s="449"/>
      <c r="K114" s="378"/>
      <c r="L114" s="477"/>
      <c r="M114" s="378"/>
      <c r="N114" s="477"/>
      <c r="O114" s="379"/>
      <c r="P114" s="50"/>
      <c r="Q114" s="379"/>
      <c r="R114" s="379"/>
      <c r="S114" s="379"/>
      <c r="T114" s="45">
        <v>23</v>
      </c>
      <c r="U114" s="378"/>
      <c r="V114" s="222" t="s">
        <v>68</v>
      </c>
      <c r="W114" s="378"/>
      <c r="X114" s="378"/>
      <c r="Y114" s="5"/>
      <c r="Z114" s="2"/>
      <c r="AA114" s="90">
        <f>H46</f>
        <v>967699.42</v>
      </c>
      <c r="AB114" s="83"/>
      <c r="AC114" s="446"/>
      <c r="AD114" s="446"/>
      <c r="AE114" s="90">
        <f>SUM(AE112:AE113)</f>
        <v>12390558</v>
      </c>
      <c r="AF114" s="2"/>
      <c r="AG114" s="150">
        <f>ROUND((+AE114/$AE$129)*100,1)</f>
        <v>22.9</v>
      </c>
      <c r="AH114" s="2"/>
      <c r="AI114" s="90">
        <f>SUM(AI112:AI113)</f>
        <v>1501305</v>
      </c>
      <c r="AJ114" s="83"/>
      <c r="AK114" s="150">
        <f>IF(AE114=0,0,ROUND((AI114/AE114)*100,1))</f>
        <v>12.1</v>
      </c>
      <c r="AL114" s="8"/>
      <c r="AM114" s="90"/>
      <c r="AN114" s="2"/>
      <c r="AO114" s="90">
        <f>SUM(AO112:AO113)</f>
        <v>12390558</v>
      </c>
      <c r="AP114" s="2"/>
      <c r="AQ114" s="149">
        <f>ROUND((+AI114/AO114)*100,1)</f>
        <v>12.1</v>
      </c>
    </row>
    <row r="115" spans="1:43" x14ac:dyDescent="0.25">
      <c r="A115" s="53"/>
      <c r="C115" s="54"/>
      <c r="F115" s="449"/>
      <c r="H115" s="449"/>
      <c r="I115" s="378"/>
      <c r="J115" s="449"/>
      <c r="K115" s="378"/>
      <c r="L115" s="477"/>
      <c r="M115" s="378"/>
      <c r="N115" s="477"/>
      <c r="O115" s="379"/>
      <c r="P115" s="50"/>
      <c r="Q115" s="379"/>
      <c r="R115" s="379"/>
      <c r="S115" s="379"/>
      <c r="T115" s="45"/>
      <c r="U115" s="378"/>
      <c r="V115" s="46"/>
      <c r="W115" s="378"/>
      <c r="X115" s="378"/>
      <c r="Y115" s="5"/>
      <c r="Z115" s="2"/>
      <c r="AA115" s="83"/>
      <c r="AB115" s="83"/>
      <c r="AC115" s="446"/>
      <c r="AD115" s="446"/>
      <c r="AE115" s="83"/>
      <c r="AF115" s="2"/>
      <c r="AG115" s="383"/>
      <c r="AH115" s="2"/>
      <c r="AI115" s="83"/>
      <c r="AJ115" s="83"/>
      <c r="AK115" s="383"/>
      <c r="AL115" s="8"/>
      <c r="AM115" s="83"/>
      <c r="AN115" s="2"/>
      <c r="AO115" s="83"/>
      <c r="AP115" s="2"/>
      <c r="AQ115" s="149"/>
    </row>
    <row r="116" spans="1:43" x14ac:dyDescent="0.25">
      <c r="A116" s="53"/>
      <c r="C116" s="54"/>
      <c r="H116" s="449"/>
      <c r="I116" s="378"/>
      <c r="J116" s="449"/>
      <c r="K116" s="378"/>
      <c r="L116" s="221"/>
      <c r="M116" s="378"/>
      <c r="N116" s="221"/>
      <c r="O116" s="379"/>
      <c r="P116" s="50"/>
      <c r="Q116" s="379"/>
      <c r="R116" s="379"/>
      <c r="T116" s="45">
        <v>24</v>
      </c>
      <c r="U116" s="378"/>
      <c r="V116" s="222" t="s">
        <v>432</v>
      </c>
      <c r="W116" s="378"/>
      <c r="X116" s="378"/>
      <c r="Y116" s="5"/>
      <c r="Z116" s="2"/>
      <c r="AA116" s="5"/>
      <c r="AB116" s="5"/>
      <c r="AC116" s="9"/>
      <c r="AD116" s="9"/>
      <c r="AE116" s="5"/>
      <c r="AF116" s="2"/>
      <c r="AG116" s="149"/>
      <c r="AH116" s="2"/>
      <c r="AI116" s="5"/>
      <c r="AJ116" s="5"/>
      <c r="AK116" s="149"/>
      <c r="AL116" s="8"/>
      <c r="AM116" s="5"/>
      <c r="AN116" s="2"/>
      <c r="AO116" s="5"/>
      <c r="AP116" s="2"/>
      <c r="AQ116" s="149"/>
    </row>
    <row r="117" spans="1:43" x14ac:dyDescent="0.25">
      <c r="A117" s="53"/>
      <c r="C117" s="54"/>
      <c r="H117" s="449"/>
      <c r="I117" s="378"/>
      <c r="J117" s="449"/>
      <c r="K117" s="378"/>
      <c r="L117" s="221"/>
      <c r="M117" s="378"/>
      <c r="N117" s="221"/>
      <c r="O117" s="379"/>
      <c r="P117" s="50"/>
      <c r="Q117" s="379"/>
      <c r="R117" s="379"/>
      <c r="T117" s="45">
        <v>25</v>
      </c>
      <c r="U117" s="378"/>
      <c r="V117" s="46" t="s">
        <v>445</v>
      </c>
      <c r="W117" s="378"/>
      <c r="X117" s="378"/>
      <c r="Y117" s="94"/>
      <c r="Z117" s="84"/>
      <c r="AA117" s="83">
        <f>H49</f>
        <v>126151149</v>
      </c>
      <c r="AB117" s="83"/>
      <c r="AC117" s="269">
        <f>CUR_DT_WIN_E_ON</f>
        <v>4.1479000000000002E-2</v>
      </c>
      <c r="AD117" s="489"/>
      <c r="AE117" s="83">
        <f>ROUND((+AA117*AC117),0)</f>
        <v>5232624</v>
      </c>
      <c r="AF117" s="84"/>
      <c r="AG117" s="383">
        <f>ROUND((+AE117/$AE$129)*100,1)</f>
        <v>9.6999999999999993</v>
      </c>
      <c r="AH117" s="84"/>
      <c r="AI117" s="83">
        <f>L49-AE117</f>
        <v>633278</v>
      </c>
      <c r="AJ117" s="83"/>
      <c r="AK117" s="383">
        <f>IF(AE117=0,0,ROUND((AI117/AE117)*100,1))</f>
        <v>12.1</v>
      </c>
      <c r="AL117" s="103"/>
      <c r="AM117" s="83"/>
      <c r="AN117" s="84"/>
      <c r="AO117" s="83">
        <f>AE117+AM117</f>
        <v>5232624</v>
      </c>
      <c r="AP117" s="2"/>
      <c r="AQ117" s="149">
        <f>ROUND((+AI117/AO117)*100,1)</f>
        <v>12.1</v>
      </c>
    </row>
    <row r="118" spans="1:43" x14ac:dyDescent="0.25">
      <c r="F118" s="379"/>
      <c r="H118" s="379"/>
      <c r="I118" s="378"/>
      <c r="J118" s="379"/>
      <c r="K118" s="378"/>
      <c r="L118" s="464"/>
      <c r="M118" s="378"/>
      <c r="N118" s="464"/>
      <c r="O118" s="381"/>
      <c r="P118" s="381"/>
      <c r="Q118" s="381"/>
      <c r="R118" s="381"/>
      <c r="T118" s="45">
        <v>26</v>
      </c>
      <c r="U118" s="378"/>
      <c r="V118" s="46" t="s">
        <v>446</v>
      </c>
      <c r="W118" s="378"/>
      <c r="X118" s="378"/>
      <c r="Y118" s="87"/>
      <c r="Z118" s="2"/>
      <c r="AA118" s="81">
        <f>H50</f>
        <v>311104114</v>
      </c>
      <c r="AB118" s="5"/>
      <c r="AC118" s="268">
        <f>'Rate DT-Pri'!AC122</f>
        <v>3.5582000000000003E-2</v>
      </c>
      <c r="AD118" s="454"/>
      <c r="AE118" s="81">
        <f>ROUND((+AA118*AC118),0)</f>
        <v>11069707</v>
      </c>
      <c r="AF118" s="2"/>
      <c r="AG118" s="383">
        <f>ROUND((+AE118/$AE$129)*100,1)</f>
        <v>20.5</v>
      </c>
      <c r="AH118" s="2"/>
      <c r="AI118" s="81">
        <f>L50-AE118</f>
        <v>1340236</v>
      </c>
      <c r="AJ118" s="5"/>
      <c r="AK118" s="148">
        <f>IF(AE118=0,0,ROUND((AI118/AE118)*100,1))</f>
        <v>12.1</v>
      </c>
      <c r="AL118" s="8"/>
      <c r="AM118" s="81"/>
      <c r="AN118" s="2"/>
      <c r="AO118" s="81">
        <f>AE118+AM118</f>
        <v>11069707</v>
      </c>
      <c r="AP118" s="2"/>
      <c r="AQ118" s="149">
        <f>ROUND((+AI118/AO118)*100,1)</f>
        <v>12.1</v>
      </c>
    </row>
    <row r="119" spans="1:43" ht="22.5" customHeight="1" x14ac:dyDescent="0.25">
      <c r="F119" s="379"/>
      <c r="H119" s="379"/>
      <c r="I119" s="378"/>
      <c r="J119" s="379"/>
      <c r="K119" s="378"/>
      <c r="L119" s="464"/>
      <c r="M119" s="378"/>
      <c r="N119" s="464"/>
      <c r="O119" s="381"/>
      <c r="P119" s="381"/>
      <c r="Q119" s="381"/>
      <c r="R119" s="381"/>
      <c r="T119" s="45">
        <v>27</v>
      </c>
      <c r="U119" s="378"/>
      <c r="V119" s="222" t="s">
        <v>60</v>
      </c>
      <c r="W119" s="378"/>
      <c r="X119" s="378"/>
      <c r="Y119" s="90">
        <f>F51</f>
        <v>1235</v>
      </c>
      <c r="Z119" s="2"/>
      <c r="AA119" s="90">
        <f>H51</f>
        <v>437255263</v>
      </c>
      <c r="AB119" s="83"/>
      <c r="AC119" s="268"/>
      <c r="AD119" s="446"/>
      <c r="AE119" s="90">
        <f>AE109+AE114+AE117+AE118</f>
        <v>28849734</v>
      </c>
      <c r="AF119" s="2"/>
      <c r="AG119" s="150">
        <f>ROUND((+AE119/$AE$129)*100,1)</f>
        <v>53.4</v>
      </c>
      <c r="AH119" s="2"/>
      <c r="AI119" s="90">
        <f>AI109+AI114+AI117+AI118</f>
        <v>3478524</v>
      </c>
      <c r="AJ119" s="83"/>
      <c r="AK119" s="150">
        <f>IF(AE119=0,0,ROUND((AI119/AE119)*100,1))</f>
        <v>12.1</v>
      </c>
      <c r="AL119" s="8"/>
      <c r="AM119" s="482"/>
      <c r="AN119" s="2"/>
      <c r="AO119" s="90">
        <f>AO109+AO114+AO117+AO118</f>
        <v>28849734</v>
      </c>
      <c r="AP119" s="2"/>
      <c r="AQ119" s="149">
        <f>ROUND((+AI119/AO119)*100,1)</f>
        <v>12.1</v>
      </c>
    </row>
    <row r="120" spans="1:43" ht="20.100000000000001" customHeight="1" x14ac:dyDescent="0.25">
      <c r="F120" s="379"/>
      <c r="H120" s="379"/>
      <c r="I120" s="378"/>
      <c r="J120" s="379"/>
      <c r="K120" s="378"/>
      <c r="L120" s="464"/>
      <c r="M120" s="378"/>
      <c r="N120" s="464"/>
      <c r="O120" s="381"/>
      <c r="P120" s="381"/>
      <c r="Q120" s="381"/>
      <c r="R120" s="381"/>
      <c r="T120" s="45">
        <v>28</v>
      </c>
      <c r="U120" s="378"/>
      <c r="V120" s="444" t="s">
        <v>517</v>
      </c>
      <c r="W120" s="378"/>
      <c r="X120" s="378"/>
      <c r="Y120" s="90">
        <f>Y103+Y119</f>
        <v>1870</v>
      </c>
      <c r="Z120" s="2"/>
      <c r="AA120" s="90">
        <f>AA119+AA103</f>
        <v>680875061</v>
      </c>
      <c r="AB120" s="83"/>
      <c r="AC120" s="268"/>
      <c r="AD120" s="446"/>
      <c r="AE120" s="90">
        <f>AE119+AE103</f>
        <v>45395172</v>
      </c>
      <c r="AF120" s="2"/>
      <c r="AG120" s="150">
        <f>ROUND((+AE120/$AE$129)*100,1)</f>
        <v>84</v>
      </c>
      <c r="AH120" s="2"/>
      <c r="AI120" s="90">
        <f>AI119+AI103</f>
        <v>5474810</v>
      </c>
      <c r="AJ120" s="83"/>
      <c r="AK120" s="150">
        <f>IF(AE120=0,0,ROUND((AI120/AE120)*100,1))</f>
        <v>12.1</v>
      </c>
      <c r="AL120" s="8"/>
      <c r="AM120" s="482"/>
      <c r="AN120" s="2"/>
      <c r="AO120" s="90">
        <f>AO119+AO103</f>
        <v>45395172</v>
      </c>
      <c r="AP120" s="2"/>
      <c r="AQ120" s="149">
        <v>0</v>
      </c>
    </row>
    <row r="121" spans="1:43" ht="15.75" customHeight="1" x14ac:dyDescent="0.25">
      <c r="F121" s="379"/>
      <c r="H121" s="379"/>
      <c r="I121" s="378"/>
      <c r="J121" s="379"/>
      <c r="K121" s="378"/>
      <c r="L121" s="464"/>
      <c r="M121" s="378"/>
      <c r="N121" s="464"/>
      <c r="O121" s="381"/>
      <c r="P121" s="381"/>
      <c r="Q121" s="381"/>
      <c r="R121" s="381"/>
      <c r="T121" s="45"/>
      <c r="U121" s="378"/>
      <c r="V121" s="46"/>
      <c r="W121" s="378"/>
      <c r="X121" s="378"/>
      <c r="Y121" s="83"/>
      <c r="Z121" s="2"/>
      <c r="AA121" s="83"/>
      <c r="AB121" s="83"/>
      <c r="AC121" s="268"/>
      <c r="AD121" s="446"/>
      <c r="AE121" s="83"/>
      <c r="AF121" s="2"/>
      <c r="AG121" s="383"/>
      <c r="AH121" s="2"/>
      <c r="AI121" s="83"/>
      <c r="AJ121" s="83"/>
      <c r="AK121" s="383"/>
      <c r="AL121" s="8"/>
      <c r="AM121" s="379"/>
      <c r="AN121" s="2"/>
      <c r="AO121" s="83"/>
      <c r="AP121" s="2"/>
      <c r="AQ121" s="149"/>
    </row>
    <row r="122" spans="1:43" ht="15.75" customHeight="1" x14ac:dyDescent="0.25">
      <c r="F122" s="379"/>
      <c r="H122" s="379"/>
      <c r="I122" s="378"/>
      <c r="J122" s="379"/>
      <c r="K122" s="378"/>
      <c r="L122" s="464"/>
      <c r="M122" s="378"/>
      <c r="N122" s="464"/>
      <c r="O122" s="381"/>
      <c r="P122" s="381"/>
      <c r="Q122" s="381"/>
      <c r="R122" s="381"/>
      <c r="T122" s="45">
        <v>29</v>
      </c>
      <c r="U122" s="378"/>
      <c r="V122" s="222" t="s">
        <v>504</v>
      </c>
      <c r="W122" s="378"/>
      <c r="X122" s="378"/>
      <c r="Y122" s="83"/>
      <c r="Z122" s="2"/>
      <c r="AA122" s="83"/>
      <c r="AB122" s="83"/>
      <c r="AC122" s="268"/>
      <c r="AD122" s="446"/>
      <c r="AE122" s="83"/>
      <c r="AF122" s="2"/>
      <c r="AG122" s="383"/>
      <c r="AH122" s="2"/>
      <c r="AI122" s="83"/>
      <c r="AJ122" s="83"/>
      <c r="AK122" s="383"/>
      <c r="AL122" s="8"/>
      <c r="AM122" s="379"/>
      <c r="AN122" s="2"/>
      <c r="AO122" s="83"/>
      <c r="AP122" s="2"/>
      <c r="AQ122" s="149"/>
    </row>
    <row r="123" spans="1:43" ht="15.75" customHeight="1" x14ac:dyDescent="0.25">
      <c r="F123" s="379"/>
      <c r="H123" s="379"/>
      <c r="I123" s="378"/>
      <c r="J123" s="379"/>
      <c r="K123" s="378"/>
      <c r="L123" s="464"/>
      <c r="M123" s="378"/>
      <c r="N123" s="464"/>
      <c r="O123" s="381"/>
      <c r="P123" s="381"/>
      <c r="Q123" s="381"/>
      <c r="R123" s="381"/>
      <c r="T123" s="45">
        <f>A55</f>
        <v>30</v>
      </c>
      <c r="U123" s="378"/>
      <c r="V123" s="216" t="str">
        <f>C55</f>
        <v>DEMAND SIDE MANAGEMENT RIDER (DSMR)</v>
      </c>
      <c r="W123" s="378"/>
      <c r="X123" s="378"/>
      <c r="Y123" s="83"/>
      <c r="Z123" s="2"/>
      <c r="AA123" s="83"/>
      <c r="AB123" s="83"/>
      <c r="AC123" s="465">
        <f>DSM_DIST</f>
        <v>5.091E-3</v>
      </c>
      <c r="AD123" s="446"/>
      <c r="AE123" s="83">
        <f>ROUND($AA$120*AC123,0)</f>
        <v>3466335</v>
      </c>
      <c r="AF123" s="2"/>
      <c r="AG123" s="383">
        <f>ROUND((+AE123/$AE$129)*100,1)</f>
        <v>6.4</v>
      </c>
      <c r="AH123" s="2"/>
      <c r="AI123" s="83">
        <f>L55-AE123</f>
        <v>0</v>
      </c>
      <c r="AJ123" s="83"/>
      <c r="AK123" s="383">
        <f t="shared" ref="AK123:AK127" si="1">IF(AE123=0,0,ROUND((AI123/AE123)*100,1))</f>
        <v>0</v>
      </c>
      <c r="AL123" s="8"/>
      <c r="AM123" s="379"/>
      <c r="AN123" s="2"/>
      <c r="AO123" s="83">
        <f t="shared" ref="AO123:AO126" si="2">AE123+AM123</f>
        <v>3466335</v>
      </c>
      <c r="AP123" s="2"/>
      <c r="AQ123" s="149">
        <f>IF(AO123=0,0,ROUND((+AI123/AO123)*100,1))</f>
        <v>0</v>
      </c>
    </row>
    <row r="124" spans="1:43" ht="15.75" customHeight="1" x14ac:dyDescent="0.25">
      <c r="F124" s="379"/>
      <c r="H124" s="379"/>
      <c r="I124" s="378"/>
      <c r="J124" s="379"/>
      <c r="K124" s="378"/>
      <c r="L124" s="464"/>
      <c r="M124" s="378"/>
      <c r="N124" s="464"/>
      <c r="O124" s="381"/>
      <c r="P124" s="381"/>
      <c r="Q124" s="381"/>
      <c r="R124" s="381"/>
      <c r="T124" s="45">
        <f>A56</f>
        <v>31</v>
      </c>
      <c r="U124" s="378"/>
      <c r="V124" s="216" t="str">
        <f>C56</f>
        <v>ENVIRONMENTAL SURCHARGE MECHANISM RIDER (ESM)</v>
      </c>
      <c r="W124" s="378"/>
      <c r="X124" s="378"/>
      <c r="Y124" s="83"/>
      <c r="Z124" s="2"/>
      <c r="AA124" s="83"/>
      <c r="AB124" s="83"/>
      <c r="AC124" s="473">
        <f>CUR_ESM_NONRES</f>
        <v>0.18160000000000001</v>
      </c>
      <c r="AD124" s="9"/>
      <c r="AE124" s="83">
        <f>ROUND((AO120-CUR_BASE_FUEL*AA120)*AC124,0)</f>
        <v>5296392</v>
      </c>
      <c r="AF124" s="2"/>
      <c r="AG124" s="383">
        <f>ROUND((+AE124/$AE$129)*100,1)</f>
        <v>9.8000000000000007</v>
      </c>
      <c r="AH124" s="2"/>
      <c r="AI124" s="83">
        <f>L56-AE124</f>
        <v>0</v>
      </c>
      <c r="AJ124" s="83"/>
      <c r="AK124" s="383">
        <f t="shared" si="1"/>
        <v>0</v>
      </c>
      <c r="AL124" s="8"/>
      <c r="AM124" s="379"/>
      <c r="AN124" s="2"/>
      <c r="AO124" s="83">
        <f t="shared" ref="AO124" si="3">AE124+AM124</f>
        <v>5296392</v>
      </c>
      <c r="AP124" s="2"/>
      <c r="AQ124" s="149">
        <f>IF(AO124=0,0,ROUND((+AI124/AO124)*100,1))</f>
        <v>0</v>
      </c>
    </row>
    <row r="125" spans="1:43" ht="15.75" customHeight="1" x14ac:dyDescent="0.25">
      <c r="F125" s="379"/>
      <c r="H125" s="379"/>
      <c r="I125" s="378"/>
      <c r="J125" s="379"/>
      <c r="K125" s="378"/>
      <c r="L125" s="464"/>
      <c r="M125" s="378"/>
      <c r="N125" s="464"/>
      <c r="O125" s="381"/>
      <c r="P125" s="381"/>
      <c r="Q125" s="381"/>
      <c r="R125" s="381"/>
      <c r="T125" s="45">
        <f>A57</f>
        <v>32</v>
      </c>
      <c r="U125" s="378"/>
      <c r="V125" s="216" t="str">
        <f>C57</f>
        <v>FUEL ADJUSTMENT CLAUSE (FAC)</v>
      </c>
      <c r="W125" s="378"/>
      <c r="X125" s="378"/>
      <c r="Y125" s="83"/>
      <c r="Z125" s="2"/>
      <c r="AA125" s="83"/>
      <c r="AB125" s="83"/>
      <c r="AC125" s="465">
        <f>CUR_FAC</f>
        <v>6.8099999999999996E-4</v>
      </c>
      <c r="AD125" s="446"/>
      <c r="AE125" s="83"/>
      <c r="AF125" s="2"/>
      <c r="AG125" s="383"/>
      <c r="AH125" s="2"/>
      <c r="AI125" s="83"/>
      <c r="AJ125" s="83"/>
      <c r="AK125" s="383"/>
      <c r="AL125" s="8"/>
      <c r="AM125" s="83">
        <f>ROUND(AA120*CUR_FAC,0)</f>
        <v>463676</v>
      </c>
      <c r="AN125" s="2"/>
      <c r="AO125" s="83">
        <f t="shared" si="2"/>
        <v>463676</v>
      </c>
      <c r="AP125" s="2"/>
      <c r="AQ125" s="149">
        <f>IF(AO125=0,0,ROUND(((R57-AO125)/AO125)*100,1))</f>
        <v>0</v>
      </c>
    </row>
    <row r="126" spans="1:43" ht="15.75" customHeight="1" x14ac:dyDescent="0.25">
      <c r="F126" s="379"/>
      <c r="H126" s="379"/>
      <c r="I126" s="378"/>
      <c r="J126" s="379"/>
      <c r="K126" s="378"/>
      <c r="L126" s="464"/>
      <c r="M126" s="378"/>
      <c r="N126" s="464"/>
      <c r="O126" s="381"/>
      <c r="P126" s="381"/>
      <c r="Q126" s="381"/>
      <c r="R126" s="381"/>
      <c r="T126" s="45">
        <f>A58</f>
        <v>33</v>
      </c>
      <c r="U126" s="378"/>
      <c r="V126" s="216" t="str">
        <f>C58</f>
        <v>PROFIT SHARING MECHANISM (PSM)</v>
      </c>
      <c r="W126" s="378"/>
      <c r="X126" s="378"/>
      <c r="Y126" s="83"/>
      <c r="Z126" s="2"/>
      <c r="AA126" s="83"/>
      <c r="AB126" s="83"/>
      <c r="AC126" s="465">
        <f>RS_PSM</f>
        <v>-1.63E-4</v>
      </c>
      <c r="AD126" s="446"/>
      <c r="AE126" s="81">
        <f>ROUND(AA120*RS_PSM,0)</f>
        <v>-110983</v>
      </c>
      <c r="AF126" s="2"/>
      <c r="AG126" s="148">
        <f>ROUND((+AE126/$AE$129)*100,1)</f>
        <v>-0.2</v>
      </c>
      <c r="AH126" s="2"/>
      <c r="AI126" s="81">
        <f>L58-AE126</f>
        <v>0</v>
      </c>
      <c r="AJ126" s="83"/>
      <c r="AK126" s="148">
        <f t="shared" si="1"/>
        <v>0</v>
      </c>
      <c r="AL126" s="8"/>
      <c r="AM126" s="486"/>
      <c r="AN126" s="2"/>
      <c r="AO126" s="81">
        <f t="shared" si="2"/>
        <v>-110983</v>
      </c>
      <c r="AP126" s="2"/>
      <c r="AQ126" s="149">
        <f>IF(AO126=0,0,ROUND((+AI126/AO126)*100,1))</f>
        <v>0</v>
      </c>
    </row>
    <row r="127" spans="1:43" ht="20.100000000000001" customHeight="1" x14ac:dyDescent="0.25">
      <c r="F127" s="379"/>
      <c r="H127" s="379"/>
      <c r="I127" s="378"/>
      <c r="J127" s="379"/>
      <c r="K127" s="378"/>
      <c r="L127" s="464"/>
      <c r="M127" s="378"/>
      <c r="N127" s="464"/>
      <c r="O127" s="381"/>
      <c r="P127" s="381"/>
      <c r="Q127" s="381"/>
      <c r="R127" s="381"/>
      <c r="T127" s="45">
        <f>A59</f>
        <v>34</v>
      </c>
      <c r="U127" s="378"/>
      <c r="V127" s="222" t="s">
        <v>510</v>
      </c>
      <c r="W127" s="378"/>
      <c r="X127" s="378"/>
      <c r="Y127" s="81"/>
      <c r="Z127" s="2"/>
      <c r="AA127" s="81"/>
      <c r="AB127" s="83"/>
      <c r="AC127" s="446"/>
      <c r="AD127" s="446"/>
      <c r="AE127" s="90">
        <f>SUM(AE123:AE126)</f>
        <v>8651744</v>
      </c>
      <c r="AF127" s="2"/>
      <c r="AG127" s="150">
        <f>ROUND((+AE127/$AE$129)*100,1)</f>
        <v>16</v>
      </c>
      <c r="AH127" s="2"/>
      <c r="AI127" s="90">
        <f>SUM(AI123:AI126)</f>
        <v>0</v>
      </c>
      <c r="AJ127" s="83"/>
      <c r="AK127" s="150">
        <f t="shared" si="1"/>
        <v>0</v>
      </c>
      <c r="AL127" s="8"/>
      <c r="AM127" s="90">
        <f>SUM(AM123:AM126)</f>
        <v>463676</v>
      </c>
      <c r="AN127" s="2"/>
      <c r="AO127" s="90">
        <f>SUM(AO123:AO126)</f>
        <v>9115420</v>
      </c>
      <c r="AP127" s="2"/>
      <c r="AQ127" s="149">
        <f t="shared" ref="AQ127" si="4">ROUND((+AI127/AO127)*100,1)</f>
        <v>0</v>
      </c>
    </row>
    <row r="128" spans="1:43" x14ac:dyDescent="0.25">
      <c r="F128" s="379"/>
      <c r="H128" s="379"/>
      <c r="I128" s="378"/>
      <c r="J128" s="379"/>
      <c r="K128" s="378"/>
      <c r="L128" s="464"/>
      <c r="M128" s="378"/>
      <c r="N128" s="464"/>
      <c r="O128" s="381"/>
      <c r="P128" s="381"/>
      <c r="Q128" s="381"/>
      <c r="R128" s="381"/>
      <c r="T128" s="45"/>
      <c r="U128" s="378"/>
      <c r="V128" s="46"/>
      <c r="W128" s="378"/>
      <c r="X128" s="378"/>
      <c r="Y128" s="83"/>
      <c r="Z128" s="84"/>
      <c r="AA128" s="83"/>
      <c r="AB128" s="83"/>
      <c r="AC128" s="487"/>
      <c r="AD128" s="487"/>
      <c r="AE128" s="83"/>
      <c r="AF128" s="84"/>
      <c r="AG128" s="383"/>
      <c r="AH128" s="84"/>
      <c r="AI128" s="83"/>
      <c r="AJ128" s="83"/>
      <c r="AK128" s="383"/>
      <c r="AL128" s="103"/>
      <c r="AM128" s="83"/>
      <c r="AN128" s="84"/>
      <c r="AO128" s="83"/>
      <c r="AP128" s="84"/>
      <c r="AQ128" s="149"/>
    </row>
    <row r="129" spans="1:43" ht="22.5" customHeight="1" thickBot="1" x14ac:dyDescent="0.3">
      <c r="F129" s="381"/>
      <c r="H129" s="381"/>
      <c r="I129" s="378"/>
      <c r="J129" s="381"/>
      <c r="K129" s="378"/>
      <c r="L129" s="464"/>
      <c r="M129" s="378"/>
      <c r="N129" s="464"/>
      <c r="O129" s="381"/>
      <c r="P129" s="381"/>
      <c r="Q129" s="381"/>
      <c r="R129" s="381"/>
      <c r="T129" s="45">
        <f>A61</f>
        <v>35</v>
      </c>
      <c r="U129" s="378"/>
      <c r="V129" s="444" t="s">
        <v>516</v>
      </c>
      <c r="W129" s="378"/>
      <c r="X129" s="378"/>
      <c r="Y129" s="82">
        <f>Y120</f>
        <v>1870</v>
      </c>
      <c r="Z129" s="2"/>
      <c r="AA129" s="82">
        <f>AA120</f>
        <v>680875061</v>
      </c>
      <c r="AB129" s="83"/>
      <c r="AC129" s="2"/>
      <c r="AD129" s="2"/>
      <c r="AE129" s="82">
        <f>AE127+AE120</f>
        <v>54046916</v>
      </c>
      <c r="AF129" s="2"/>
      <c r="AG129" s="151">
        <v>100</v>
      </c>
      <c r="AH129" s="2"/>
      <c r="AI129" s="82">
        <f>AI127+AI120</f>
        <v>5474810</v>
      </c>
      <c r="AJ129" s="83"/>
      <c r="AK129" s="151">
        <f>IF(AE129=0,0,ROUND((AI129/AE129)*100,1))</f>
        <v>10.1</v>
      </c>
      <c r="AL129" s="8"/>
      <c r="AM129" s="82">
        <f>AM127+AM120</f>
        <v>463676</v>
      </c>
      <c r="AN129" s="2"/>
      <c r="AO129" s="82">
        <f>AO127+AO120</f>
        <v>54510592</v>
      </c>
      <c r="AP129" s="2"/>
      <c r="AQ129" s="149">
        <f>ROUND((+AI129/AO129)*100,1)</f>
        <v>10</v>
      </c>
    </row>
    <row r="130" spans="1:43" ht="16.5" thickTop="1" x14ac:dyDescent="0.25">
      <c r="F130" s="381"/>
      <c r="H130" s="381"/>
      <c r="I130" s="378"/>
      <c r="J130" s="381"/>
      <c r="K130" s="464"/>
      <c r="L130" s="464"/>
      <c r="M130" s="378"/>
      <c r="N130" s="381"/>
      <c r="O130" s="381"/>
      <c r="P130" s="381"/>
      <c r="Q130" s="381"/>
      <c r="R130" s="381"/>
      <c r="S130" s="379"/>
      <c r="T130" s="378"/>
      <c r="U130" s="378"/>
      <c r="V130" s="378"/>
      <c r="W130" s="378"/>
      <c r="X130" s="378"/>
      <c r="Y130" s="2"/>
      <c r="Z130" s="2"/>
      <c r="AA130" s="2"/>
      <c r="AB130" s="2"/>
      <c r="AC130" s="2"/>
      <c r="AD130" s="2"/>
      <c r="AE130" s="2"/>
      <c r="AF130" s="2"/>
      <c r="AG130" s="147"/>
      <c r="AH130" s="2"/>
      <c r="AI130" s="2"/>
      <c r="AJ130" s="2"/>
      <c r="AK130" s="147"/>
      <c r="AL130" s="2"/>
      <c r="AM130" s="2"/>
      <c r="AN130" s="2"/>
      <c r="AO130" s="2"/>
      <c r="AP130" s="2"/>
      <c r="AQ130" s="147"/>
    </row>
    <row r="131" spans="1:43" x14ac:dyDescent="0.25">
      <c r="A131" s="53"/>
      <c r="C131" s="54"/>
      <c r="I131" s="378"/>
      <c r="M131" s="378"/>
      <c r="T131" s="378"/>
      <c r="U131" s="378"/>
      <c r="V131" s="243" t="s">
        <v>61</v>
      </c>
      <c r="W131" s="378"/>
      <c r="X131" s="378"/>
      <c r="Y131" s="378"/>
      <c r="Z131" s="378"/>
      <c r="AA131" s="378"/>
      <c r="AB131" s="378"/>
      <c r="AC131" s="378"/>
      <c r="AD131" s="378"/>
      <c r="AE131" s="48"/>
      <c r="AF131" s="48"/>
      <c r="AG131" s="143"/>
      <c r="AH131" s="378"/>
      <c r="AI131" s="378"/>
      <c r="AJ131" s="378"/>
      <c r="AK131" s="143"/>
      <c r="AL131" s="378"/>
      <c r="AM131" s="48"/>
      <c r="AN131" s="378"/>
      <c r="AO131" s="48"/>
      <c r="AP131" s="378"/>
      <c r="AQ131" s="143"/>
    </row>
    <row r="132" spans="1:43" x14ac:dyDescent="0.25">
      <c r="A132" s="53"/>
      <c r="C132" s="54"/>
      <c r="I132" s="378"/>
      <c r="M132" s="378"/>
      <c r="T132" s="378"/>
      <c r="U132" s="378"/>
      <c r="V132" s="243" t="str">
        <f>"(2) REFLECTS FUEL COMPONENT OF "&amp;TEXT(CUR_FAC,"$0.000000;($0.000000)")&amp;"  PER KWH."</f>
        <v>(2) REFLECTS FUEL COMPONENT OF $0.000681  PER KWH.</v>
      </c>
      <c r="W132" s="378"/>
      <c r="X132" s="378"/>
      <c r="Y132" s="378"/>
      <c r="Z132" s="378"/>
      <c r="AA132" s="378"/>
      <c r="AB132" s="378"/>
      <c r="AC132" s="378"/>
      <c r="AD132" s="378"/>
      <c r="AE132" s="48"/>
      <c r="AF132" s="48"/>
      <c r="AG132" s="143"/>
      <c r="AH132" s="378"/>
      <c r="AI132" s="378"/>
      <c r="AJ132" s="378"/>
      <c r="AK132" s="143"/>
      <c r="AL132" s="378"/>
      <c r="AM132" s="48"/>
      <c r="AN132" s="378"/>
      <c r="AO132" s="48"/>
      <c r="AP132" s="378"/>
      <c r="AQ132" s="143"/>
    </row>
    <row r="133" spans="1:43" x14ac:dyDescent="0.25">
      <c r="A133" s="53"/>
      <c r="C133" s="54"/>
      <c r="F133" s="379"/>
      <c r="H133" s="379"/>
      <c r="I133" s="378"/>
      <c r="J133" s="379"/>
      <c r="M133" s="378"/>
      <c r="N133" s="379"/>
      <c r="O133" s="379"/>
      <c r="P133" s="50"/>
      <c r="Q133" s="449"/>
      <c r="R133" s="379"/>
      <c r="T133" s="54"/>
      <c r="V133" s="243" t="str">
        <f>"(3) REFLECTS FUEL COST RECOVERY INCLUDED IN BASE RATES OF "&amp;TEXT(CUR_BASE_FUEL,"$0.000000;($0.000000)")&amp;"  PER KWH."</f>
        <v>(3) REFLECTS FUEL COST RECOVERY INCLUDED IN BASE RATES OF $0.023837  PER KWH.</v>
      </c>
      <c r="Y133" s="379"/>
      <c r="Z133" s="221"/>
      <c r="AA133" s="379"/>
      <c r="AB133" s="379"/>
      <c r="AC133" s="50"/>
      <c r="AD133" s="50"/>
      <c r="AE133" s="379"/>
      <c r="AF133" s="379"/>
      <c r="AG133" s="156"/>
      <c r="AH133" s="378"/>
      <c r="AI133" s="60"/>
      <c r="AJ133" s="60"/>
      <c r="AK133" s="156"/>
      <c r="AL133" s="379"/>
      <c r="AM133" s="378"/>
      <c r="AN133" s="378"/>
      <c r="AO133" s="50"/>
      <c r="AP133" s="378"/>
      <c r="AQ133" s="156"/>
    </row>
    <row r="134" spans="1:43" x14ac:dyDescent="0.25">
      <c r="F134" s="381"/>
      <c r="H134" s="381"/>
      <c r="I134" s="378"/>
      <c r="J134" s="381"/>
      <c r="K134" s="464"/>
      <c r="L134" s="464"/>
      <c r="M134" s="378"/>
      <c r="N134" s="381"/>
      <c r="O134" s="381"/>
      <c r="P134" s="381"/>
      <c r="Q134" s="381"/>
      <c r="R134" s="381"/>
      <c r="V134" s="379"/>
      <c r="Y134" s="379"/>
      <c r="Z134" s="464"/>
      <c r="AA134" s="381"/>
      <c r="AB134" s="381"/>
      <c r="AC134" s="381"/>
      <c r="AD134" s="381"/>
      <c r="AE134" s="381"/>
      <c r="AF134" s="381"/>
      <c r="AH134" s="378"/>
      <c r="AK134" s="162"/>
      <c r="AL134" s="381"/>
      <c r="AM134" s="378"/>
      <c r="AN134" s="378"/>
      <c r="AO134" s="50"/>
      <c r="AP134" s="378"/>
      <c r="AQ134" s="162"/>
    </row>
    <row r="135" spans="1:43" x14ac:dyDescent="0.25">
      <c r="I135" s="378"/>
      <c r="M135" s="378"/>
      <c r="T135" s="54"/>
      <c r="V135" s="379"/>
      <c r="Y135" s="379"/>
      <c r="Z135" s="59"/>
      <c r="AA135" s="379"/>
      <c r="AB135" s="379"/>
      <c r="AC135" s="50"/>
      <c r="AD135" s="50"/>
      <c r="AE135" s="379"/>
      <c r="AF135" s="379"/>
      <c r="AG135" s="156"/>
      <c r="AH135" s="378"/>
      <c r="AI135" s="60"/>
      <c r="AJ135" s="60"/>
      <c r="AK135" s="156"/>
      <c r="AL135" s="379"/>
      <c r="AM135" s="378"/>
      <c r="AN135" s="378"/>
      <c r="AO135" s="50"/>
      <c r="AP135" s="378"/>
      <c r="AQ135" s="156"/>
    </row>
    <row r="136" spans="1:43" x14ac:dyDescent="0.25">
      <c r="C136" s="54"/>
      <c r="I136" s="378"/>
      <c r="M136" s="378"/>
      <c r="N136" s="379"/>
      <c r="O136" s="379"/>
      <c r="P136" s="379"/>
      <c r="Q136" s="379"/>
      <c r="R136" s="379"/>
      <c r="S136" s="379"/>
      <c r="V136" s="379"/>
      <c r="Y136" s="379"/>
      <c r="Z136" s="464"/>
      <c r="AA136" s="381"/>
      <c r="AB136" s="381"/>
      <c r="AC136" s="381"/>
      <c r="AD136" s="381"/>
      <c r="AE136" s="381"/>
      <c r="AF136" s="381"/>
      <c r="AH136" s="378"/>
      <c r="AK136" s="162"/>
      <c r="AL136" s="381"/>
      <c r="AM136" s="378"/>
      <c r="AN136" s="378"/>
      <c r="AO136" s="50"/>
      <c r="AP136" s="378"/>
      <c r="AQ136" s="162"/>
    </row>
    <row r="137" spans="1:43" x14ac:dyDescent="0.25">
      <c r="A137" s="54"/>
      <c r="I137" s="378"/>
      <c r="M137" s="378"/>
      <c r="T137" s="54"/>
      <c r="V137" s="379"/>
      <c r="Y137" s="379"/>
      <c r="Z137" s="59"/>
      <c r="AA137" s="379"/>
      <c r="AB137" s="379"/>
      <c r="AC137" s="50"/>
      <c r="AD137" s="50"/>
      <c r="AE137" s="379"/>
      <c r="AF137" s="379"/>
      <c r="AG137" s="156"/>
      <c r="AH137" s="378"/>
      <c r="AI137" s="60"/>
      <c r="AJ137" s="60"/>
      <c r="AK137" s="156"/>
      <c r="AL137" s="379"/>
      <c r="AM137" s="378"/>
      <c r="AN137" s="378"/>
      <c r="AO137" s="50"/>
      <c r="AP137" s="378"/>
      <c r="AQ137" s="156"/>
    </row>
    <row r="138" spans="1:43" x14ac:dyDescent="0.25">
      <c r="I138" s="378"/>
      <c r="K138" s="53"/>
      <c r="L138" s="53"/>
      <c r="M138" s="378"/>
      <c r="T138" s="54"/>
      <c r="V138" s="449"/>
      <c r="Y138" s="379"/>
      <c r="Z138" s="472"/>
      <c r="AA138" s="379"/>
      <c r="AB138" s="379"/>
      <c r="AC138" s="50"/>
      <c r="AD138" s="50"/>
      <c r="AE138" s="379"/>
      <c r="AF138" s="379"/>
      <c r="AG138" s="156"/>
      <c r="AH138" s="378"/>
      <c r="AI138" s="60"/>
      <c r="AJ138" s="60"/>
      <c r="AK138" s="156"/>
      <c r="AL138" s="379"/>
      <c r="AM138" s="378"/>
      <c r="AN138" s="378"/>
      <c r="AO138" s="50"/>
      <c r="AP138" s="378"/>
      <c r="AQ138" s="156"/>
    </row>
    <row r="139" spans="1:43" x14ac:dyDescent="0.25">
      <c r="H139" s="54"/>
      <c r="I139" s="378"/>
      <c r="J139" s="54"/>
      <c r="M139" s="378"/>
      <c r="V139" s="381"/>
      <c r="Y139" s="381"/>
      <c r="Z139" s="464"/>
      <c r="AA139" s="381"/>
      <c r="AB139" s="381"/>
      <c r="AC139" s="381"/>
      <c r="AD139" s="381"/>
      <c r="AE139" s="381"/>
      <c r="AF139" s="381"/>
      <c r="AH139" s="378"/>
      <c r="AK139" s="162"/>
      <c r="AL139" s="381"/>
      <c r="AM139" s="378"/>
      <c r="AN139" s="378"/>
      <c r="AO139" s="50"/>
      <c r="AP139" s="378"/>
      <c r="AQ139" s="162"/>
    </row>
    <row r="140" spans="1:43" x14ac:dyDescent="0.25">
      <c r="I140" s="378"/>
      <c r="K140" s="53"/>
      <c r="L140" s="53"/>
      <c r="M140" s="378"/>
      <c r="T140" s="54"/>
      <c r="V140" s="379"/>
      <c r="Y140" s="379"/>
      <c r="Z140" s="464"/>
      <c r="AA140" s="379"/>
      <c r="AB140" s="379"/>
      <c r="AC140" s="50"/>
      <c r="AD140" s="50"/>
      <c r="AE140" s="379"/>
      <c r="AF140" s="379"/>
      <c r="AG140" s="156"/>
      <c r="AH140" s="378"/>
      <c r="AI140" s="50"/>
      <c r="AJ140" s="50"/>
      <c r="AK140" s="156"/>
      <c r="AL140" s="379"/>
      <c r="AM140" s="378"/>
      <c r="AN140" s="378"/>
      <c r="AO140" s="50"/>
      <c r="AP140" s="378"/>
      <c r="AQ140" s="156"/>
    </row>
    <row r="141" spans="1:43" x14ac:dyDescent="0.25">
      <c r="I141" s="378"/>
      <c r="M141" s="54"/>
      <c r="N141" s="54"/>
      <c r="V141" s="381"/>
      <c r="Y141" s="381"/>
      <c r="Z141" s="464"/>
      <c r="AA141" s="381"/>
      <c r="AB141" s="381"/>
      <c r="AC141" s="381"/>
      <c r="AD141" s="381"/>
      <c r="AE141" s="381"/>
      <c r="AF141" s="381"/>
      <c r="AH141" s="378"/>
      <c r="AK141" s="162"/>
      <c r="AL141" s="381"/>
      <c r="AM141" s="378"/>
      <c r="AN141" s="378"/>
      <c r="AO141" s="50"/>
      <c r="AP141" s="378"/>
      <c r="AQ141" s="162"/>
    </row>
    <row r="142" spans="1:43" x14ac:dyDescent="0.25">
      <c r="A142" s="53"/>
      <c r="I142" s="378"/>
      <c r="R142" s="54"/>
      <c r="T142" s="54"/>
      <c r="V142" s="449"/>
      <c r="Y142" s="449"/>
      <c r="Z142" s="464"/>
      <c r="AA142" s="379"/>
      <c r="AB142" s="379"/>
      <c r="AC142" s="50"/>
      <c r="AD142" s="50"/>
      <c r="AE142" s="379"/>
      <c r="AF142" s="379"/>
      <c r="AH142" s="378"/>
      <c r="AK142" s="156"/>
      <c r="AL142" s="379"/>
      <c r="AM142" s="378"/>
      <c r="AN142" s="378"/>
      <c r="AO142" s="50"/>
      <c r="AP142" s="378"/>
      <c r="AQ142" s="156"/>
    </row>
    <row r="143" spans="1:43" x14ac:dyDescent="0.25">
      <c r="A143" s="53"/>
      <c r="I143" s="378"/>
      <c r="R143" s="54"/>
      <c r="AH143" s="378"/>
      <c r="AM143" s="378"/>
      <c r="AN143" s="378"/>
      <c r="AP143" s="378"/>
    </row>
    <row r="144" spans="1:43" x14ac:dyDescent="0.25">
      <c r="A144" s="54"/>
      <c r="I144" s="378"/>
      <c r="R144" s="54"/>
      <c r="T144" s="54"/>
      <c r="AH144" s="378"/>
      <c r="AM144" s="378"/>
      <c r="AN144" s="378"/>
      <c r="AP144" s="378"/>
    </row>
    <row r="145" spans="1:43" x14ac:dyDescent="0.25">
      <c r="I145" s="378"/>
      <c r="M145" s="54"/>
      <c r="N145" s="54"/>
      <c r="R145" s="53"/>
      <c r="T145" s="54"/>
      <c r="V145" s="379"/>
      <c r="Y145" s="449"/>
      <c r="Z145" s="461"/>
      <c r="AA145" s="379"/>
      <c r="AB145" s="379"/>
      <c r="AC145" s="50"/>
      <c r="AD145" s="50"/>
      <c r="AE145" s="379"/>
      <c r="AF145" s="379"/>
      <c r="AG145" s="474"/>
      <c r="AH145" s="378"/>
      <c r="AI145" s="475"/>
      <c r="AJ145" s="475"/>
      <c r="AK145" s="156"/>
      <c r="AL145" s="53"/>
      <c r="AM145" s="378"/>
      <c r="AN145" s="378"/>
      <c r="AO145" s="476"/>
      <c r="AP145" s="378"/>
      <c r="AQ145" s="156"/>
    </row>
    <row r="146" spans="1:43" x14ac:dyDescent="0.25">
      <c r="A146" s="55"/>
      <c r="B146" s="55"/>
      <c r="C146" s="55"/>
      <c r="D146" s="55"/>
      <c r="E146" s="55"/>
      <c r="F146" s="55"/>
      <c r="G146" s="55"/>
      <c r="H146" s="55"/>
      <c r="I146" s="378"/>
      <c r="J146" s="55"/>
      <c r="K146" s="55"/>
      <c r="L146" s="55"/>
      <c r="M146" s="55"/>
      <c r="N146" s="55"/>
      <c r="O146" s="55"/>
      <c r="P146" s="55"/>
      <c r="Q146" s="55"/>
      <c r="R146" s="55"/>
      <c r="T146" s="54"/>
      <c r="V146" s="379"/>
      <c r="Y146" s="449"/>
      <c r="Z146" s="461"/>
      <c r="AA146" s="379"/>
      <c r="AB146" s="379"/>
      <c r="AC146" s="50"/>
      <c r="AD146" s="50"/>
      <c r="AE146" s="379"/>
      <c r="AF146" s="379"/>
      <c r="AG146" s="156"/>
      <c r="AH146" s="378"/>
      <c r="AI146" s="60"/>
      <c r="AJ146" s="60"/>
      <c r="AK146" s="156"/>
      <c r="AL146" s="53"/>
      <c r="AM146" s="378"/>
      <c r="AN146" s="378"/>
      <c r="AO146" s="50"/>
      <c r="AP146" s="378"/>
      <c r="AQ146" s="156"/>
    </row>
    <row r="147" spans="1:43" x14ac:dyDescent="0.25">
      <c r="I147" s="378"/>
      <c r="M147" s="56"/>
      <c r="N147" s="56"/>
      <c r="O147" s="56"/>
      <c r="P147" s="56"/>
      <c r="R147" s="56"/>
      <c r="T147" s="54"/>
      <c r="V147" s="379"/>
      <c r="Y147" s="449"/>
      <c r="Z147" s="461"/>
      <c r="AA147" s="379"/>
      <c r="AB147" s="379"/>
      <c r="AC147" s="50"/>
      <c r="AD147" s="50"/>
      <c r="AE147" s="379"/>
      <c r="AF147" s="379"/>
      <c r="AG147" s="156"/>
      <c r="AH147" s="378"/>
      <c r="AI147" s="60"/>
      <c r="AJ147" s="60"/>
      <c r="AK147" s="156"/>
      <c r="AL147" s="53"/>
      <c r="AM147" s="378"/>
      <c r="AN147" s="378"/>
      <c r="AO147" s="50"/>
      <c r="AP147" s="378"/>
      <c r="AQ147" s="156"/>
    </row>
    <row r="148" spans="1:43" x14ac:dyDescent="0.25">
      <c r="I148" s="378"/>
      <c r="M148" s="56"/>
      <c r="N148" s="56"/>
      <c r="O148" s="56"/>
      <c r="P148" s="56"/>
      <c r="R148" s="56"/>
      <c r="V148" s="381"/>
      <c r="Y148" s="379"/>
      <c r="Z148" s="464"/>
      <c r="AA148" s="381"/>
      <c r="AB148" s="381"/>
      <c r="AC148" s="381"/>
      <c r="AD148" s="381"/>
      <c r="AE148" s="381"/>
      <c r="AF148" s="381"/>
      <c r="AH148" s="378"/>
      <c r="AK148" s="162"/>
      <c r="AL148" s="381"/>
      <c r="AM148" s="378"/>
      <c r="AN148" s="378"/>
      <c r="AO148" s="50"/>
      <c r="AP148" s="378"/>
      <c r="AQ148" s="162"/>
    </row>
    <row r="149" spans="1:43" x14ac:dyDescent="0.25">
      <c r="A149" s="56"/>
      <c r="C149" s="56"/>
      <c r="D149" s="56"/>
      <c r="E149" s="56"/>
      <c r="F149" s="56"/>
      <c r="I149" s="378"/>
      <c r="K149" s="56"/>
      <c r="L149" s="56"/>
      <c r="M149" s="56"/>
      <c r="N149" s="56"/>
      <c r="O149" s="56"/>
      <c r="P149" s="56"/>
      <c r="Q149" s="56"/>
      <c r="R149" s="56"/>
      <c r="T149" s="54"/>
      <c r="V149" s="379"/>
      <c r="Y149" s="379"/>
      <c r="Z149" s="464"/>
      <c r="AA149" s="379"/>
      <c r="AB149" s="379"/>
      <c r="AC149" s="50"/>
      <c r="AD149" s="50"/>
      <c r="AE149" s="379"/>
      <c r="AF149" s="379"/>
      <c r="AG149" s="156"/>
      <c r="AH149" s="378"/>
      <c r="AI149" s="60"/>
      <c r="AJ149" s="60"/>
      <c r="AK149" s="156"/>
      <c r="AL149" s="379"/>
      <c r="AM149" s="378"/>
      <c r="AN149" s="378"/>
      <c r="AO149" s="50"/>
      <c r="AP149" s="378"/>
      <c r="AQ149" s="156"/>
    </row>
    <row r="150" spans="1:43" x14ac:dyDescent="0.25">
      <c r="A150" s="56"/>
      <c r="C150" s="56"/>
      <c r="D150" s="56"/>
      <c r="E150" s="56"/>
      <c r="F150" s="56"/>
      <c r="H150" s="56"/>
      <c r="I150" s="378"/>
      <c r="J150" s="56"/>
      <c r="K150" s="56"/>
      <c r="L150" s="56"/>
      <c r="M150" s="56"/>
      <c r="N150" s="56"/>
      <c r="O150" s="56"/>
      <c r="P150" s="56"/>
      <c r="Q150" s="56"/>
      <c r="R150" s="56"/>
      <c r="V150" s="381"/>
      <c r="Y150" s="379"/>
      <c r="Z150" s="464"/>
      <c r="AA150" s="381"/>
      <c r="AB150" s="381"/>
      <c r="AC150" s="381"/>
      <c r="AD150" s="381"/>
      <c r="AE150" s="381"/>
      <c r="AF150" s="381"/>
      <c r="AH150" s="378"/>
      <c r="AK150" s="162"/>
      <c r="AL150" s="381"/>
      <c r="AM150" s="378"/>
      <c r="AN150" s="378"/>
      <c r="AO150" s="50"/>
      <c r="AP150" s="378"/>
      <c r="AQ150" s="162"/>
    </row>
    <row r="151" spans="1:43" x14ac:dyDescent="0.25">
      <c r="C151" s="56"/>
      <c r="D151" s="56"/>
      <c r="E151" s="56"/>
      <c r="F151" s="56"/>
      <c r="H151" s="56"/>
      <c r="I151" s="378"/>
      <c r="J151" s="56"/>
      <c r="K151" s="56"/>
      <c r="L151" s="56"/>
      <c r="M151" s="56"/>
      <c r="N151" s="56"/>
      <c r="O151" s="56"/>
      <c r="P151" s="56"/>
      <c r="Q151" s="56"/>
      <c r="R151" s="56"/>
      <c r="T151" s="54"/>
      <c r="V151" s="449"/>
      <c r="Y151" s="449"/>
      <c r="Z151" s="477"/>
      <c r="AA151" s="379"/>
      <c r="AB151" s="379"/>
      <c r="AC151" s="50"/>
      <c r="AD151" s="50"/>
      <c r="AE151" s="379"/>
      <c r="AF151" s="379"/>
      <c r="AG151" s="156"/>
      <c r="AH151" s="378"/>
      <c r="AI151" s="50"/>
      <c r="AJ151" s="50"/>
      <c r="AK151" s="156"/>
      <c r="AL151" s="379"/>
      <c r="AM151" s="378"/>
      <c r="AN151" s="378"/>
      <c r="AO151" s="50"/>
      <c r="AP151" s="378"/>
      <c r="AQ151" s="156"/>
    </row>
    <row r="152" spans="1:43" x14ac:dyDescent="0.25">
      <c r="A152" s="55"/>
      <c r="B152" s="55"/>
      <c r="C152" s="55"/>
      <c r="D152" s="55"/>
      <c r="E152" s="55"/>
      <c r="F152" s="55"/>
      <c r="G152" s="55"/>
      <c r="H152" s="55"/>
      <c r="I152" s="378"/>
      <c r="J152" s="55"/>
      <c r="K152" s="55"/>
      <c r="L152" s="55"/>
      <c r="M152" s="55"/>
      <c r="N152" s="55"/>
      <c r="O152" s="55"/>
      <c r="P152" s="55"/>
      <c r="Q152" s="55"/>
      <c r="R152" s="55"/>
      <c r="T152" s="54"/>
      <c r="V152" s="449"/>
      <c r="Y152" s="379"/>
      <c r="Z152" s="461"/>
      <c r="AA152" s="379"/>
      <c r="AB152" s="379"/>
      <c r="AC152" s="50"/>
      <c r="AD152" s="50"/>
      <c r="AE152" s="379"/>
      <c r="AF152" s="379"/>
      <c r="AG152" s="156"/>
      <c r="AH152" s="378"/>
      <c r="AI152" s="60"/>
      <c r="AJ152" s="60"/>
      <c r="AK152" s="156"/>
      <c r="AL152" s="379"/>
      <c r="AM152" s="378"/>
      <c r="AN152" s="378"/>
      <c r="AO152" s="50"/>
      <c r="AP152" s="378"/>
      <c r="AQ152" s="156"/>
    </row>
    <row r="153" spans="1:43" x14ac:dyDescent="0.25">
      <c r="H153" s="56"/>
      <c r="I153" s="378"/>
      <c r="J153" s="56"/>
      <c r="K153" s="56"/>
      <c r="L153" s="56"/>
      <c r="M153" s="56"/>
      <c r="N153" s="56"/>
      <c r="O153" s="56"/>
      <c r="P153" s="56"/>
      <c r="Q153" s="56"/>
      <c r="R153" s="56"/>
      <c r="T153" s="54"/>
      <c r="V153" s="449"/>
      <c r="Y153" s="379"/>
      <c r="Z153" s="461"/>
      <c r="AA153" s="379"/>
      <c r="AB153" s="379"/>
      <c r="AC153" s="50"/>
      <c r="AD153" s="50"/>
      <c r="AE153" s="379"/>
      <c r="AF153" s="379"/>
      <c r="AG153" s="156"/>
      <c r="AH153" s="378"/>
      <c r="AI153" s="60"/>
      <c r="AJ153" s="60"/>
      <c r="AK153" s="156"/>
      <c r="AL153" s="379"/>
      <c r="AM153" s="378"/>
      <c r="AN153" s="378"/>
      <c r="AO153" s="50"/>
      <c r="AP153" s="378"/>
      <c r="AQ153" s="156"/>
    </row>
    <row r="154" spans="1:43" x14ac:dyDescent="0.25">
      <c r="A154" s="53"/>
      <c r="C154" s="54"/>
      <c r="D154" s="54"/>
      <c r="E154" s="54"/>
      <c r="I154" s="378"/>
      <c r="V154" s="379"/>
      <c r="Y154" s="381"/>
      <c r="Z154" s="464"/>
      <c r="AA154" s="381"/>
      <c r="AB154" s="381"/>
      <c r="AC154" s="381"/>
      <c r="AD154" s="381"/>
      <c r="AE154" s="381"/>
      <c r="AF154" s="381"/>
      <c r="AH154" s="378"/>
      <c r="AK154" s="162"/>
      <c r="AL154" s="381"/>
      <c r="AM154" s="378"/>
      <c r="AN154" s="378"/>
      <c r="AO154" s="50"/>
      <c r="AP154" s="378"/>
      <c r="AQ154" s="162"/>
    </row>
    <row r="155" spans="1:43" x14ac:dyDescent="0.25">
      <c r="A155" s="53"/>
      <c r="D155" s="54"/>
      <c r="E155" s="54"/>
      <c r="I155" s="378"/>
      <c r="T155" s="54"/>
      <c r="V155" s="379"/>
      <c r="Y155" s="379"/>
      <c r="Z155" s="464"/>
      <c r="AA155" s="379"/>
      <c r="AB155" s="379"/>
      <c r="AC155" s="50"/>
      <c r="AD155" s="50"/>
      <c r="AE155" s="379"/>
      <c r="AF155" s="379"/>
      <c r="AG155" s="156"/>
      <c r="AH155" s="378"/>
      <c r="AI155" s="60"/>
      <c r="AJ155" s="60"/>
      <c r="AK155" s="156"/>
      <c r="AL155" s="379"/>
      <c r="AM155" s="378"/>
      <c r="AN155" s="378"/>
      <c r="AO155" s="50"/>
      <c r="AP155" s="378"/>
      <c r="AQ155" s="156"/>
    </row>
    <row r="156" spans="1:43" x14ac:dyDescent="0.25">
      <c r="I156" s="378"/>
      <c r="V156" s="379"/>
      <c r="Y156" s="381"/>
      <c r="Z156" s="464"/>
      <c r="AA156" s="381"/>
      <c r="AB156" s="381"/>
      <c r="AC156" s="381"/>
      <c r="AD156" s="381"/>
      <c r="AE156" s="381"/>
      <c r="AF156" s="381"/>
      <c r="AH156" s="378"/>
      <c r="AK156" s="162"/>
      <c r="AL156" s="381"/>
      <c r="AM156" s="378"/>
      <c r="AN156" s="378"/>
      <c r="AO156" s="50"/>
      <c r="AP156" s="378"/>
      <c r="AQ156" s="162"/>
    </row>
    <row r="157" spans="1:43" x14ac:dyDescent="0.25">
      <c r="A157" s="53"/>
      <c r="C157" s="54"/>
      <c r="F157" s="449"/>
      <c r="H157" s="449"/>
      <c r="I157" s="378"/>
      <c r="J157" s="449"/>
      <c r="K157" s="461"/>
      <c r="L157" s="461"/>
      <c r="M157" s="379"/>
      <c r="N157" s="379"/>
      <c r="O157" s="50"/>
      <c r="P157" s="50"/>
      <c r="R157" s="379"/>
      <c r="T157" s="54"/>
      <c r="V157" s="379"/>
      <c r="Y157" s="379"/>
      <c r="Z157" s="464"/>
      <c r="AA157" s="379"/>
      <c r="AB157" s="379"/>
      <c r="AC157" s="379"/>
      <c r="AD157" s="379"/>
      <c r="AE157" s="379"/>
      <c r="AF157" s="379"/>
      <c r="AG157" s="156"/>
      <c r="AH157" s="378"/>
      <c r="AI157" s="60"/>
      <c r="AJ157" s="60"/>
      <c r="AK157" s="156"/>
      <c r="AL157" s="379"/>
      <c r="AM157" s="378"/>
      <c r="AN157" s="378"/>
      <c r="AO157" s="50"/>
      <c r="AP157" s="378"/>
      <c r="AQ157" s="156"/>
    </row>
    <row r="158" spans="1:43" x14ac:dyDescent="0.25">
      <c r="A158" s="53"/>
      <c r="C158" s="54"/>
      <c r="F158" s="449"/>
      <c r="H158" s="449"/>
      <c r="I158" s="378"/>
      <c r="J158" s="449"/>
      <c r="K158" s="461"/>
      <c r="L158" s="461"/>
      <c r="M158" s="379"/>
      <c r="N158" s="379"/>
      <c r="O158" s="50"/>
      <c r="P158" s="50"/>
      <c r="Q158" s="53"/>
      <c r="R158" s="379"/>
      <c r="T158" s="54"/>
      <c r="V158" s="379"/>
      <c r="Y158" s="379"/>
      <c r="Z158" s="221"/>
      <c r="AA158" s="379"/>
      <c r="AB158" s="379"/>
      <c r="AC158" s="50"/>
      <c r="AD158" s="50"/>
      <c r="AE158" s="379"/>
      <c r="AF158" s="379"/>
      <c r="AG158" s="156"/>
      <c r="AH158" s="378"/>
      <c r="AI158" s="60"/>
      <c r="AJ158" s="60"/>
      <c r="AK158" s="156"/>
      <c r="AL158" s="379"/>
      <c r="AM158" s="378"/>
      <c r="AN158" s="378"/>
      <c r="AO158" s="50"/>
      <c r="AP158" s="378"/>
      <c r="AQ158" s="156"/>
    </row>
    <row r="159" spans="1:43" x14ac:dyDescent="0.25">
      <c r="F159" s="381"/>
      <c r="H159" s="379"/>
      <c r="I159" s="378"/>
      <c r="J159" s="379"/>
      <c r="K159" s="464"/>
      <c r="L159" s="464"/>
      <c r="M159" s="381"/>
      <c r="N159" s="381"/>
      <c r="O159" s="381"/>
      <c r="P159" s="381"/>
      <c r="Q159" s="381"/>
      <c r="R159" s="381"/>
      <c r="T159" s="54"/>
      <c r="Y159" s="379"/>
      <c r="Z159" s="221"/>
      <c r="AA159" s="379"/>
      <c r="AB159" s="379"/>
      <c r="AC159" s="50"/>
      <c r="AD159" s="50"/>
      <c r="AE159" s="379"/>
      <c r="AF159" s="379"/>
      <c r="AG159" s="156"/>
      <c r="AH159" s="378"/>
      <c r="AI159" s="60"/>
      <c r="AJ159" s="60"/>
      <c r="AK159" s="156"/>
      <c r="AL159" s="379"/>
      <c r="AM159" s="378"/>
      <c r="AN159" s="378"/>
      <c r="AO159" s="50"/>
      <c r="AP159" s="378"/>
      <c r="AQ159" s="156"/>
    </row>
    <row r="160" spans="1:43" x14ac:dyDescent="0.25">
      <c r="A160" s="53"/>
      <c r="C160" s="54"/>
      <c r="F160" s="379"/>
      <c r="H160" s="379"/>
      <c r="I160" s="378"/>
      <c r="J160" s="379"/>
      <c r="K160" s="464"/>
      <c r="L160" s="464"/>
      <c r="M160" s="379"/>
      <c r="N160" s="379"/>
      <c r="O160" s="50"/>
      <c r="P160" s="50"/>
      <c r="Q160" s="379"/>
      <c r="R160" s="379"/>
      <c r="V160" s="379"/>
      <c r="Y160" s="379"/>
      <c r="Z160" s="464"/>
      <c r="AA160" s="381"/>
      <c r="AB160" s="381"/>
      <c r="AC160" s="381"/>
      <c r="AD160" s="381"/>
      <c r="AE160" s="381"/>
      <c r="AF160" s="381"/>
      <c r="AH160" s="378"/>
      <c r="AK160" s="162"/>
      <c r="AL160" s="381"/>
      <c r="AM160" s="378"/>
      <c r="AN160" s="378"/>
      <c r="AO160" s="50"/>
      <c r="AP160" s="378"/>
      <c r="AQ160" s="162"/>
    </row>
    <row r="161" spans="1:43" x14ac:dyDescent="0.25">
      <c r="F161" s="381"/>
      <c r="H161" s="379"/>
      <c r="I161" s="378"/>
      <c r="J161" s="379"/>
      <c r="K161" s="464"/>
      <c r="L161" s="464"/>
      <c r="M161" s="381"/>
      <c r="N161" s="381"/>
      <c r="O161" s="381"/>
      <c r="P161" s="381"/>
      <c r="Q161" s="381"/>
      <c r="R161" s="381"/>
      <c r="T161" s="54"/>
      <c r="V161" s="379"/>
      <c r="Y161" s="379"/>
      <c r="Z161" s="59"/>
      <c r="AA161" s="379"/>
      <c r="AB161" s="379"/>
      <c r="AC161" s="50"/>
      <c r="AD161" s="50"/>
      <c r="AE161" s="379"/>
      <c r="AF161" s="379"/>
      <c r="AG161" s="156"/>
      <c r="AH161" s="378"/>
      <c r="AI161" s="60"/>
      <c r="AJ161" s="60"/>
      <c r="AK161" s="156"/>
      <c r="AL161" s="379"/>
      <c r="AM161" s="378"/>
      <c r="AN161" s="378"/>
      <c r="AO161" s="50"/>
      <c r="AP161" s="378"/>
      <c r="AQ161" s="156"/>
    </row>
    <row r="162" spans="1:43" x14ac:dyDescent="0.25">
      <c r="F162" s="379"/>
      <c r="H162" s="379"/>
      <c r="I162" s="378"/>
      <c r="J162" s="379"/>
      <c r="K162" s="464"/>
      <c r="L162" s="464"/>
      <c r="M162" s="379"/>
      <c r="N162" s="379"/>
      <c r="O162" s="50"/>
      <c r="P162" s="50"/>
      <c r="Q162" s="379"/>
      <c r="R162" s="379"/>
      <c r="V162" s="379"/>
      <c r="Y162" s="379"/>
      <c r="Z162" s="464"/>
      <c r="AA162" s="381"/>
      <c r="AB162" s="381"/>
      <c r="AC162" s="381"/>
      <c r="AD162" s="381"/>
      <c r="AE162" s="381"/>
      <c r="AF162" s="381"/>
      <c r="AH162" s="378"/>
      <c r="AK162" s="162"/>
      <c r="AL162" s="381"/>
      <c r="AM162" s="378"/>
      <c r="AN162" s="378"/>
      <c r="AO162" s="50"/>
      <c r="AP162" s="378"/>
      <c r="AQ162" s="162"/>
    </row>
    <row r="163" spans="1:43" x14ac:dyDescent="0.25">
      <c r="A163" s="53"/>
      <c r="C163" s="54"/>
      <c r="F163" s="449"/>
      <c r="H163" s="449"/>
      <c r="I163" s="378"/>
      <c r="J163" s="449"/>
      <c r="K163" s="461"/>
      <c r="L163" s="461"/>
      <c r="M163" s="379"/>
      <c r="N163" s="379"/>
      <c r="O163" s="50"/>
      <c r="P163" s="50"/>
      <c r="Q163" s="379"/>
      <c r="R163" s="379"/>
      <c r="T163" s="54"/>
      <c r="V163" s="379"/>
      <c r="Y163" s="379"/>
      <c r="Z163" s="59"/>
      <c r="AA163" s="379"/>
      <c r="AB163" s="379"/>
      <c r="AC163" s="50"/>
      <c r="AD163" s="50"/>
      <c r="AE163" s="379"/>
      <c r="AF163" s="379"/>
      <c r="AG163" s="156"/>
      <c r="AH163" s="378"/>
      <c r="AI163" s="60"/>
      <c r="AJ163" s="60"/>
      <c r="AK163" s="156"/>
      <c r="AL163" s="379"/>
      <c r="AM163" s="378"/>
      <c r="AN163" s="378"/>
      <c r="AO163" s="50"/>
      <c r="AP163" s="378"/>
      <c r="AQ163" s="156"/>
    </row>
    <row r="164" spans="1:43" x14ac:dyDescent="0.25">
      <c r="A164" s="53"/>
      <c r="C164" s="54"/>
      <c r="F164" s="449"/>
      <c r="H164" s="449"/>
      <c r="I164" s="378"/>
      <c r="J164" s="449"/>
      <c r="K164" s="461"/>
      <c r="L164" s="461"/>
      <c r="M164" s="379"/>
      <c r="N164" s="379"/>
      <c r="O164" s="50"/>
      <c r="P164" s="50"/>
      <c r="Q164" s="379"/>
      <c r="R164" s="379"/>
      <c r="T164" s="54"/>
      <c r="V164" s="449"/>
      <c r="Y164" s="379"/>
      <c r="Z164" s="472"/>
      <c r="AA164" s="379"/>
      <c r="AB164" s="379"/>
      <c r="AC164" s="50"/>
      <c r="AD164" s="50"/>
      <c r="AE164" s="379"/>
      <c r="AF164" s="379"/>
      <c r="AG164" s="156"/>
      <c r="AH164" s="378"/>
      <c r="AI164" s="60"/>
      <c r="AJ164" s="60"/>
      <c r="AK164" s="156"/>
      <c r="AL164" s="379"/>
      <c r="AM164" s="378"/>
      <c r="AN164" s="378"/>
      <c r="AO164" s="50"/>
      <c r="AP164" s="378"/>
      <c r="AQ164" s="156"/>
    </row>
    <row r="165" spans="1:43" x14ac:dyDescent="0.25">
      <c r="F165" s="379"/>
      <c r="H165" s="381"/>
      <c r="I165" s="378"/>
      <c r="J165" s="381"/>
      <c r="K165" s="464"/>
      <c r="L165" s="464"/>
      <c r="M165" s="381"/>
      <c r="N165" s="381"/>
      <c r="O165" s="381"/>
      <c r="P165" s="381"/>
      <c r="Q165" s="381"/>
      <c r="R165" s="381"/>
      <c r="V165" s="381"/>
      <c r="Y165" s="381"/>
      <c r="Z165" s="464"/>
      <c r="AA165" s="381"/>
      <c r="AB165" s="381"/>
      <c r="AC165" s="381"/>
      <c r="AD165" s="381"/>
      <c r="AE165" s="381"/>
      <c r="AF165" s="381"/>
      <c r="AH165" s="378"/>
      <c r="AK165" s="162"/>
      <c r="AL165" s="381"/>
      <c r="AM165" s="378"/>
      <c r="AN165" s="378"/>
      <c r="AO165" s="50"/>
      <c r="AP165" s="378"/>
      <c r="AQ165" s="162"/>
    </row>
    <row r="166" spans="1:43" x14ac:dyDescent="0.25">
      <c r="A166" s="53"/>
      <c r="C166" s="54"/>
      <c r="F166" s="379"/>
      <c r="H166" s="379"/>
      <c r="I166" s="378"/>
      <c r="J166" s="379"/>
      <c r="K166" s="464"/>
      <c r="L166" s="464"/>
      <c r="M166" s="379"/>
      <c r="N166" s="379"/>
      <c r="O166" s="50"/>
      <c r="P166" s="50"/>
      <c r="Q166" s="379"/>
      <c r="R166" s="379"/>
      <c r="T166" s="54"/>
      <c r="V166" s="379"/>
      <c r="Y166" s="379"/>
      <c r="Z166" s="464"/>
      <c r="AA166" s="379"/>
      <c r="AB166" s="379"/>
      <c r="AC166" s="50"/>
      <c r="AD166" s="50"/>
      <c r="AE166" s="379"/>
      <c r="AF166" s="379"/>
      <c r="AG166" s="156"/>
      <c r="AH166" s="378"/>
      <c r="AI166" s="50"/>
      <c r="AJ166" s="50"/>
      <c r="AK166" s="156"/>
      <c r="AL166" s="379"/>
      <c r="AM166" s="378"/>
      <c r="AN166" s="378"/>
      <c r="AO166" s="50"/>
      <c r="AP166" s="378"/>
      <c r="AQ166" s="156"/>
    </row>
    <row r="167" spans="1:43" x14ac:dyDescent="0.25">
      <c r="F167" s="379"/>
      <c r="H167" s="381"/>
      <c r="I167" s="378"/>
      <c r="J167" s="381"/>
      <c r="K167" s="464"/>
      <c r="L167" s="464"/>
      <c r="M167" s="381"/>
      <c r="N167" s="381"/>
      <c r="O167" s="381"/>
      <c r="P167" s="381"/>
      <c r="Q167" s="381"/>
      <c r="R167" s="381"/>
      <c r="V167" s="381"/>
      <c r="Y167" s="381"/>
      <c r="Z167" s="464"/>
      <c r="AA167" s="381"/>
      <c r="AB167" s="381"/>
      <c r="AC167" s="381"/>
      <c r="AD167" s="381"/>
      <c r="AE167" s="381"/>
      <c r="AF167" s="381"/>
      <c r="AH167" s="378"/>
      <c r="AK167" s="162"/>
      <c r="AL167" s="381"/>
      <c r="AM167" s="378"/>
      <c r="AN167" s="378"/>
      <c r="AO167" s="50"/>
      <c r="AP167" s="378"/>
      <c r="AQ167" s="162"/>
    </row>
    <row r="168" spans="1:43" x14ac:dyDescent="0.25">
      <c r="F168" s="379"/>
      <c r="H168" s="379"/>
      <c r="I168" s="378"/>
      <c r="J168" s="379"/>
      <c r="K168" s="464"/>
      <c r="L168" s="464"/>
      <c r="M168" s="379"/>
      <c r="N168" s="379"/>
      <c r="O168" s="379"/>
      <c r="P168" s="379"/>
      <c r="Q168" s="379"/>
      <c r="R168" s="379"/>
      <c r="T168" s="54"/>
      <c r="AH168" s="378"/>
      <c r="AM168" s="378"/>
      <c r="AN168" s="378"/>
      <c r="AP168" s="378"/>
    </row>
    <row r="169" spans="1:43" x14ac:dyDescent="0.25">
      <c r="A169" s="53"/>
      <c r="C169" s="54"/>
      <c r="F169" s="449"/>
      <c r="H169" s="449"/>
      <c r="I169" s="378"/>
      <c r="J169" s="449"/>
      <c r="K169" s="472"/>
      <c r="L169" s="472"/>
      <c r="M169" s="379"/>
      <c r="N169" s="379"/>
      <c r="O169" s="50"/>
      <c r="P169" s="50"/>
      <c r="Q169" s="449"/>
      <c r="R169" s="379"/>
      <c r="T169" s="54"/>
      <c r="V169" s="379"/>
      <c r="Y169" s="379"/>
      <c r="AA169" s="379"/>
      <c r="AB169" s="379"/>
      <c r="AC169" s="50"/>
      <c r="AD169" s="50"/>
      <c r="AE169" s="379"/>
      <c r="AF169" s="379"/>
      <c r="AG169" s="156"/>
      <c r="AH169" s="378"/>
      <c r="AI169" s="50"/>
      <c r="AJ169" s="50"/>
      <c r="AK169" s="474"/>
      <c r="AL169" s="449"/>
      <c r="AM169" s="378"/>
      <c r="AN169" s="378"/>
      <c r="AO169" s="50"/>
      <c r="AP169" s="378"/>
      <c r="AQ169" s="156"/>
    </row>
    <row r="170" spans="1:43" x14ac:dyDescent="0.25">
      <c r="A170" s="53"/>
      <c r="C170" s="54"/>
      <c r="F170" s="449"/>
      <c r="H170" s="449"/>
      <c r="I170" s="378"/>
      <c r="J170" s="449"/>
      <c r="K170" s="472"/>
      <c r="L170" s="472"/>
      <c r="M170" s="379"/>
      <c r="N170" s="379"/>
      <c r="O170" s="50"/>
      <c r="P170" s="50"/>
      <c r="Q170" s="449"/>
      <c r="R170" s="379"/>
      <c r="V170" s="381"/>
      <c r="Y170" s="381"/>
      <c r="Z170" s="464"/>
      <c r="AA170" s="381"/>
      <c r="AB170" s="381"/>
      <c r="AC170" s="381"/>
      <c r="AD170" s="381"/>
      <c r="AE170" s="381"/>
      <c r="AF170" s="381"/>
      <c r="AH170" s="378"/>
      <c r="AK170" s="162"/>
      <c r="AL170" s="381"/>
      <c r="AM170" s="378"/>
      <c r="AN170" s="378"/>
      <c r="AP170" s="378"/>
      <c r="AQ170" s="162"/>
    </row>
    <row r="171" spans="1:43" x14ac:dyDescent="0.25">
      <c r="A171" s="53"/>
      <c r="C171" s="54"/>
      <c r="F171" s="449"/>
      <c r="H171" s="449"/>
      <c r="I171" s="378"/>
      <c r="J171" s="449"/>
      <c r="K171" s="472"/>
      <c r="L171" s="472"/>
      <c r="M171" s="379"/>
      <c r="N171" s="379"/>
      <c r="O171" s="50"/>
      <c r="P171" s="50"/>
      <c r="Q171" s="449"/>
      <c r="R171" s="379"/>
      <c r="AM171" s="378"/>
      <c r="AN171" s="378"/>
      <c r="AP171" s="378"/>
    </row>
    <row r="172" spans="1:43" x14ac:dyDescent="0.25">
      <c r="F172" s="381"/>
      <c r="H172" s="381"/>
      <c r="I172" s="378"/>
      <c r="J172" s="381"/>
      <c r="K172" s="464"/>
      <c r="L172" s="464"/>
      <c r="M172" s="381"/>
      <c r="N172" s="381"/>
      <c r="O172" s="381"/>
      <c r="P172" s="381"/>
      <c r="Q172" s="381"/>
      <c r="R172" s="381"/>
      <c r="T172" s="54"/>
      <c r="AA172" s="379"/>
      <c r="AB172" s="379"/>
      <c r="AC172" s="379"/>
      <c r="AD172" s="379"/>
      <c r="AI172" s="379"/>
      <c r="AJ172" s="379"/>
      <c r="AK172" s="156"/>
      <c r="AL172" s="379"/>
      <c r="AM172" s="378"/>
      <c r="AN172" s="378"/>
      <c r="AP172" s="378"/>
    </row>
    <row r="173" spans="1:43" x14ac:dyDescent="0.25">
      <c r="A173" s="53"/>
      <c r="C173" s="54"/>
      <c r="F173" s="379"/>
      <c r="H173" s="379"/>
      <c r="I173" s="378"/>
      <c r="J173" s="379"/>
      <c r="K173" s="59"/>
      <c r="L173" s="59"/>
      <c r="M173" s="379"/>
      <c r="N173" s="379"/>
      <c r="O173" s="50"/>
      <c r="P173" s="50"/>
      <c r="Q173" s="379"/>
      <c r="R173" s="379"/>
      <c r="AM173" s="378"/>
      <c r="AN173" s="378"/>
      <c r="AP173" s="378"/>
    </row>
    <row r="174" spans="1:43" x14ac:dyDescent="0.25">
      <c r="F174" s="381"/>
      <c r="H174" s="381"/>
      <c r="I174" s="378"/>
      <c r="J174" s="381"/>
      <c r="K174" s="464"/>
      <c r="L174" s="464"/>
      <c r="M174" s="381"/>
      <c r="N174" s="381"/>
      <c r="O174" s="381"/>
      <c r="P174" s="381"/>
      <c r="Q174" s="381"/>
      <c r="R174" s="381"/>
      <c r="Z174" s="53"/>
      <c r="AM174" s="378"/>
      <c r="AN174" s="378"/>
      <c r="AP174" s="378"/>
    </row>
    <row r="175" spans="1:43" x14ac:dyDescent="0.25">
      <c r="A175" s="53"/>
      <c r="C175" s="54"/>
      <c r="F175" s="379"/>
      <c r="H175" s="379"/>
      <c r="I175" s="378"/>
      <c r="J175" s="379"/>
      <c r="K175" s="59"/>
      <c r="L175" s="59"/>
      <c r="M175" s="379"/>
      <c r="N175" s="379"/>
      <c r="O175" s="50"/>
      <c r="P175" s="50"/>
      <c r="Q175" s="379"/>
      <c r="R175" s="379"/>
      <c r="Y175" s="54"/>
      <c r="AM175" s="378"/>
      <c r="AN175" s="378"/>
      <c r="AP175" s="378"/>
    </row>
    <row r="176" spans="1:43" x14ac:dyDescent="0.25">
      <c r="A176" s="53"/>
      <c r="C176" s="54"/>
      <c r="F176" s="379"/>
      <c r="H176" s="379"/>
      <c r="I176" s="379"/>
      <c r="J176" s="59"/>
      <c r="K176" s="59"/>
      <c r="L176" s="379"/>
      <c r="M176" s="379"/>
      <c r="N176" s="50"/>
      <c r="O176" s="50"/>
      <c r="P176" s="379"/>
      <c r="Q176" s="379"/>
      <c r="R176" s="379"/>
      <c r="Z176" s="53"/>
      <c r="AM176" s="378"/>
      <c r="AN176" s="378"/>
      <c r="AP176" s="378"/>
    </row>
    <row r="177" spans="1:42" x14ac:dyDescent="0.25">
      <c r="F177" s="381"/>
      <c r="H177" s="381"/>
      <c r="I177" s="381"/>
      <c r="J177" s="464"/>
      <c r="K177" s="464"/>
      <c r="L177" s="381"/>
      <c r="M177" s="381"/>
      <c r="N177" s="381"/>
      <c r="O177" s="381"/>
      <c r="P177" s="381"/>
      <c r="Q177" s="381"/>
      <c r="R177" s="381"/>
      <c r="AA177" s="54"/>
      <c r="AB177" s="54"/>
      <c r="AM177" s="378"/>
      <c r="AN177" s="378"/>
      <c r="AP177" s="378"/>
    </row>
    <row r="178" spans="1:42" x14ac:dyDescent="0.25">
      <c r="F178" s="379"/>
      <c r="H178" s="379"/>
      <c r="I178" s="379"/>
      <c r="J178" s="59"/>
      <c r="K178" s="59"/>
      <c r="L178" s="379"/>
      <c r="M178" s="379"/>
      <c r="N178" s="379"/>
      <c r="O178" s="379"/>
      <c r="P178" s="379"/>
      <c r="Q178" s="379"/>
      <c r="R178" s="379"/>
      <c r="AK178" s="161"/>
      <c r="AL178" s="54"/>
      <c r="AM178" s="378"/>
      <c r="AN178" s="378"/>
      <c r="AP178" s="378"/>
    </row>
    <row r="179" spans="1:42" x14ac:dyDescent="0.25">
      <c r="C179" s="54"/>
      <c r="F179" s="379"/>
      <c r="H179" s="379"/>
      <c r="I179" s="379"/>
      <c r="J179" s="59"/>
      <c r="K179" s="59"/>
      <c r="L179" s="379"/>
      <c r="M179" s="379"/>
      <c r="N179" s="379"/>
      <c r="O179" s="379"/>
      <c r="P179" s="379"/>
      <c r="Q179" s="379"/>
      <c r="R179" s="379"/>
      <c r="AK179" s="161"/>
      <c r="AL179" s="54"/>
      <c r="AM179" s="378"/>
      <c r="AN179" s="378"/>
      <c r="AP179" s="378"/>
    </row>
    <row r="180" spans="1:42" x14ac:dyDescent="0.25">
      <c r="A180" s="54"/>
      <c r="AK180" s="161"/>
      <c r="AL180" s="54"/>
      <c r="AM180" s="378"/>
      <c r="AN180" s="378"/>
      <c r="AP180" s="378"/>
    </row>
    <row r="181" spans="1:42" x14ac:dyDescent="0.25">
      <c r="J181" s="53"/>
      <c r="K181" s="53"/>
      <c r="Z181" s="53"/>
      <c r="AM181" s="378"/>
      <c r="AN181" s="378"/>
      <c r="AP181" s="378"/>
    </row>
    <row r="182" spans="1:42" x14ac:dyDescent="0.25">
      <c r="H182" s="54"/>
      <c r="I182" s="54"/>
      <c r="Y182" s="54"/>
      <c r="AM182" s="378"/>
      <c r="AN182" s="378"/>
      <c r="AP182" s="378"/>
    </row>
    <row r="183" spans="1:42" x14ac:dyDescent="0.25">
      <c r="J183" s="53"/>
      <c r="K183" s="53"/>
      <c r="Z183" s="53"/>
      <c r="AM183" s="378"/>
      <c r="AN183" s="378"/>
      <c r="AP183" s="378"/>
    </row>
    <row r="184" spans="1:42" x14ac:dyDescent="0.25">
      <c r="L184" s="54"/>
      <c r="M184" s="54"/>
      <c r="AA184" s="54"/>
      <c r="AB184" s="54"/>
      <c r="AM184" s="378"/>
      <c r="AP184" s="378"/>
    </row>
    <row r="185" spans="1:42" x14ac:dyDescent="0.25">
      <c r="A185" s="53"/>
      <c r="R185" s="54"/>
      <c r="AK185" s="161"/>
      <c r="AL185" s="54"/>
      <c r="AP185" s="378"/>
    </row>
    <row r="186" spans="1:42" x14ac:dyDescent="0.25">
      <c r="A186" s="53"/>
      <c r="R186" s="54"/>
      <c r="AK186" s="161"/>
      <c r="AL186" s="54"/>
      <c r="AP186" s="378"/>
    </row>
    <row r="187" spans="1:42" x14ac:dyDescent="0.25">
      <c r="A187" s="54"/>
      <c r="R187" s="54"/>
      <c r="AK187" s="161"/>
      <c r="AL187" s="54"/>
      <c r="AP187" s="378"/>
    </row>
    <row r="188" spans="1:42" x14ac:dyDescent="0.25">
      <c r="L188" s="54"/>
      <c r="M188" s="54"/>
      <c r="R188" s="53"/>
      <c r="AA188" s="54"/>
      <c r="AB188" s="54"/>
      <c r="AK188" s="156"/>
      <c r="AL188" s="53"/>
      <c r="AP188" s="378"/>
    </row>
    <row r="189" spans="1:42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154"/>
      <c r="AH189" s="55"/>
      <c r="AI189" s="55"/>
      <c r="AJ189" s="55"/>
      <c r="AK189" s="154"/>
      <c r="AL189" s="55"/>
      <c r="AM189" s="55"/>
      <c r="AN189" s="55"/>
      <c r="AP189" s="378"/>
    </row>
    <row r="190" spans="1:42" x14ac:dyDescent="0.25">
      <c r="L190" s="56"/>
      <c r="M190" s="56"/>
      <c r="N190" s="56"/>
      <c r="O190" s="56"/>
      <c r="R190" s="56"/>
      <c r="AA190" s="56"/>
      <c r="AB190" s="56"/>
      <c r="AC190" s="56"/>
      <c r="AD190" s="56"/>
      <c r="AE190" s="56"/>
      <c r="AF190" s="56"/>
      <c r="AG190" s="155"/>
      <c r="AH190" s="56"/>
      <c r="AK190" s="155"/>
      <c r="AL190" s="56"/>
      <c r="AM190" s="56"/>
      <c r="AN190" s="56"/>
      <c r="AP190" s="378"/>
    </row>
    <row r="191" spans="1:42" x14ac:dyDescent="0.25">
      <c r="L191" s="56"/>
      <c r="M191" s="56"/>
      <c r="N191" s="56"/>
      <c r="O191" s="56"/>
      <c r="R191" s="56"/>
      <c r="Z191" s="56"/>
      <c r="AA191" s="56"/>
      <c r="AB191" s="56"/>
      <c r="AC191" s="56"/>
      <c r="AD191" s="56"/>
      <c r="AE191" s="56"/>
      <c r="AF191" s="56"/>
      <c r="AG191" s="155"/>
      <c r="AH191" s="56"/>
      <c r="AK191" s="155"/>
      <c r="AL191" s="56"/>
      <c r="AM191" s="56"/>
      <c r="AN191" s="56"/>
      <c r="AP191" s="378"/>
    </row>
    <row r="192" spans="1:42" x14ac:dyDescent="0.25">
      <c r="A192" s="56"/>
      <c r="C192" s="56"/>
      <c r="D192" s="56"/>
      <c r="E192" s="56"/>
      <c r="F192" s="56"/>
      <c r="J192" s="56"/>
      <c r="K192" s="56"/>
      <c r="L192" s="56"/>
      <c r="M192" s="56"/>
      <c r="N192" s="56"/>
      <c r="O192" s="56"/>
      <c r="P192" s="56"/>
      <c r="Q192" s="56"/>
      <c r="R192" s="56"/>
      <c r="T192" s="56"/>
      <c r="U192" s="56"/>
      <c r="V192" s="56"/>
      <c r="Z192" s="56"/>
      <c r="AA192" s="56"/>
      <c r="AB192" s="56"/>
      <c r="AC192" s="56"/>
      <c r="AD192" s="56"/>
      <c r="AE192" s="56"/>
      <c r="AF192" s="56"/>
      <c r="AG192" s="155"/>
      <c r="AH192" s="56"/>
      <c r="AI192" s="56"/>
      <c r="AJ192" s="56"/>
      <c r="AK192" s="155"/>
      <c r="AL192" s="56"/>
      <c r="AM192" s="56"/>
      <c r="AN192" s="56"/>
      <c r="AP192" s="378"/>
    </row>
    <row r="193" spans="1:42" x14ac:dyDescent="0.25">
      <c r="A193" s="56"/>
      <c r="C193" s="56"/>
      <c r="D193" s="56"/>
      <c r="E193" s="56"/>
      <c r="F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T193" s="56"/>
      <c r="U193" s="56"/>
      <c r="V193" s="56"/>
      <c r="Y193" s="56"/>
      <c r="Z193" s="56"/>
      <c r="AA193" s="56"/>
      <c r="AB193" s="56"/>
      <c r="AC193" s="56"/>
      <c r="AD193" s="56"/>
      <c r="AE193" s="56"/>
      <c r="AF193" s="56"/>
      <c r="AG193" s="155"/>
      <c r="AH193" s="56"/>
      <c r="AI193" s="56"/>
      <c r="AJ193" s="56"/>
      <c r="AK193" s="155"/>
      <c r="AL193" s="56"/>
      <c r="AM193" s="56"/>
      <c r="AN193" s="56"/>
      <c r="AP193" s="378"/>
    </row>
    <row r="194" spans="1:42" x14ac:dyDescent="0.25">
      <c r="C194" s="56"/>
      <c r="D194" s="56"/>
      <c r="E194" s="56"/>
      <c r="F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T194" s="56"/>
      <c r="U194" s="56"/>
      <c r="V194" s="56"/>
      <c r="Y194" s="56"/>
      <c r="Z194" s="56"/>
      <c r="AA194" s="56"/>
      <c r="AB194" s="56"/>
      <c r="AC194" s="56"/>
      <c r="AD194" s="56"/>
      <c r="AE194" s="56"/>
      <c r="AF194" s="56"/>
      <c r="AG194" s="155"/>
      <c r="AH194" s="56"/>
      <c r="AI194" s="56"/>
      <c r="AJ194" s="56"/>
      <c r="AK194" s="155"/>
      <c r="AL194" s="56"/>
      <c r="AM194" s="56"/>
      <c r="AN194" s="56"/>
      <c r="AP194" s="378"/>
    </row>
    <row r="195" spans="1:42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154"/>
      <c r="AH195" s="55"/>
      <c r="AI195" s="55"/>
      <c r="AJ195" s="55"/>
      <c r="AK195" s="154"/>
      <c r="AL195" s="55"/>
      <c r="AM195" s="55"/>
      <c r="AN195" s="55"/>
      <c r="AP195" s="378"/>
    </row>
    <row r="196" spans="1:42" x14ac:dyDescent="0.25"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Y196" s="56"/>
      <c r="Z196" s="56"/>
      <c r="AA196" s="56"/>
      <c r="AB196" s="56"/>
      <c r="AC196" s="56"/>
      <c r="AD196" s="56"/>
      <c r="AE196" s="56"/>
      <c r="AF196" s="56"/>
      <c r="AG196" s="155"/>
      <c r="AH196" s="56"/>
      <c r="AI196" s="56"/>
      <c r="AJ196" s="56"/>
      <c r="AK196" s="155"/>
      <c r="AL196" s="56"/>
      <c r="AM196" s="56"/>
      <c r="AN196" s="56"/>
      <c r="AP196" s="378"/>
    </row>
    <row r="197" spans="1:42" x14ac:dyDescent="0.25">
      <c r="A197" s="53"/>
      <c r="C197" s="54"/>
      <c r="D197" s="54"/>
      <c r="E197" s="54"/>
      <c r="T197" s="54"/>
      <c r="U197" s="54"/>
      <c r="AP197" s="378"/>
    </row>
    <row r="198" spans="1:42" x14ac:dyDescent="0.25">
      <c r="AP198" s="378"/>
    </row>
    <row r="199" spans="1:42" x14ac:dyDescent="0.25">
      <c r="A199" s="53"/>
      <c r="C199" s="54"/>
      <c r="F199" s="449"/>
      <c r="H199" s="470"/>
      <c r="I199" s="470"/>
      <c r="J199" s="461"/>
      <c r="K199" s="461"/>
      <c r="L199" s="379"/>
      <c r="M199" s="379"/>
      <c r="N199" s="53"/>
      <c r="O199" s="53"/>
      <c r="P199" s="53"/>
      <c r="Q199" s="53"/>
      <c r="R199" s="379"/>
      <c r="T199" s="54"/>
      <c r="V199" s="379"/>
      <c r="Y199" s="53"/>
      <c r="Z199" s="461"/>
      <c r="AA199" s="379"/>
      <c r="AB199" s="379"/>
      <c r="AC199" s="53"/>
      <c r="AD199" s="53"/>
      <c r="AE199" s="379"/>
      <c r="AF199" s="379"/>
      <c r="AG199" s="474"/>
      <c r="AH199" s="475"/>
      <c r="AI199" s="379"/>
      <c r="AJ199" s="379"/>
      <c r="AK199" s="156"/>
      <c r="AL199" s="379"/>
      <c r="AM199" s="476"/>
      <c r="AN199" s="476"/>
      <c r="AP199" s="378"/>
    </row>
    <row r="200" spans="1:42" x14ac:dyDescent="0.25">
      <c r="F200" s="449"/>
      <c r="H200" s="470"/>
      <c r="I200" s="470"/>
      <c r="J200" s="470"/>
      <c r="K200" s="470"/>
      <c r="R200" s="379"/>
      <c r="V200" s="379"/>
      <c r="Z200" s="470"/>
      <c r="AP200" s="378"/>
    </row>
    <row r="201" spans="1:42" x14ac:dyDescent="0.25">
      <c r="A201" s="53"/>
      <c r="C201" s="54"/>
      <c r="F201" s="449"/>
      <c r="H201" s="449"/>
      <c r="I201" s="449"/>
      <c r="J201" s="472"/>
      <c r="K201" s="472"/>
      <c r="L201" s="379"/>
      <c r="M201" s="379"/>
      <c r="N201" s="50"/>
      <c r="O201" s="50"/>
      <c r="P201" s="449"/>
      <c r="Q201" s="449"/>
      <c r="R201" s="379"/>
      <c r="T201" s="54"/>
      <c r="V201" s="379"/>
      <c r="Y201" s="379"/>
      <c r="Z201" s="463"/>
      <c r="AA201" s="379"/>
      <c r="AB201" s="379"/>
      <c r="AC201" s="50"/>
      <c r="AD201" s="50"/>
      <c r="AE201" s="379"/>
      <c r="AF201" s="379"/>
      <c r="AG201" s="156"/>
      <c r="AH201" s="60"/>
      <c r="AI201" s="449"/>
      <c r="AJ201" s="449"/>
      <c r="AK201" s="156"/>
      <c r="AL201" s="379"/>
      <c r="AM201" s="50"/>
      <c r="AN201" s="50"/>
      <c r="AP201" s="378"/>
    </row>
    <row r="202" spans="1:42" x14ac:dyDescent="0.25">
      <c r="F202" s="381"/>
      <c r="H202" s="381"/>
      <c r="I202" s="381"/>
      <c r="J202" s="464"/>
      <c r="K202" s="464"/>
      <c r="L202" s="381"/>
      <c r="M202" s="381"/>
      <c r="N202" s="381"/>
      <c r="O202" s="381"/>
      <c r="P202" s="381"/>
      <c r="Q202" s="381"/>
      <c r="R202" s="381"/>
      <c r="V202" s="381"/>
      <c r="Y202" s="381"/>
      <c r="Z202" s="464"/>
      <c r="AA202" s="381"/>
      <c r="AB202" s="381"/>
      <c r="AC202" s="381"/>
      <c r="AD202" s="381"/>
      <c r="AE202" s="381"/>
      <c r="AF202" s="381"/>
      <c r="AI202" s="381"/>
      <c r="AJ202" s="381"/>
      <c r="AK202" s="162"/>
      <c r="AL202" s="381"/>
      <c r="AP202" s="378"/>
    </row>
    <row r="203" spans="1:42" x14ac:dyDescent="0.25">
      <c r="A203" s="53"/>
      <c r="D203" s="54"/>
      <c r="E203" s="54"/>
      <c r="F203" s="379"/>
      <c r="H203" s="379"/>
      <c r="I203" s="379"/>
      <c r="J203" s="59"/>
      <c r="K203" s="59"/>
      <c r="L203" s="379"/>
      <c r="M203" s="379"/>
      <c r="N203" s="50"/>
      <c r="O203" s="50"/>
      <c r="P203" s="379"/>
      <c r="Q203" s="379"/>
      <c r="R203" s="379"/>
      <c r="U203" s="54"/>
      <c r="V203" s="379"/>
      <c r="Y203" s="379"/>
      <c r="Z203" s="59"/>
      <c r="AA203" s="379"/>
      <c r="AB203" s="379"/>
      <c r="AC203" s="50"/>
      <c r="AD203" s="50"/>
      <c r="AE203" s="379"/>
      <c r="AF203" s="379"/>
      <c r="AG203" s="156"/>
      <c r="AH203" s="60"/>
      <c r="AI203" s="379"/>
      <c r="AJ203" s="379"/>
      <c r="AK203" s="156"/>
      <c r="AL203" s="379"/>
      <c r="AM203" s="50"/>
      <c r="AN203" s="50"/>
      <c r="AP203" s="378"/>
    </row>
    <row r="204" spans="1:42" x14ac:dyDescent="0.25">
      <c r="F204" s="381"/>
      <c r="H204" s="381"/>
      <c r="I204" s="381"/>
      <c r="J204" s="464"/>
      <c r="K204" s="464"/>
      <c r="L204" s="381"/>
      <c r="M204" s="381"/>
      <c r="N204" s="381"/>
      <c r="O204" s="381"/>
      <c r="P204" s="381"/>
      <c r="Q204" s="381"/>
      <c r="R204" s="381"/>
      <c r="V204" s="381"/>
      <c r="Y204" s="381"/>
      <c r="Z204" s="464"/>
      <c r="AA204" s="381"/>
      <c r="AB204" s="381"/>
      <c r="AC204" s="381"/>
      <c r="AD204" s="381"/>
      <c r="AE204" s="381"/>
      <c r="AF204" s="381"/>
      <c r="AI204" s="381"/>
      <c r="AJ204" s="381"/>
      <c r="AK204" s="162"/>
      <c r="AL204" s="381"/>
      <c r="AP204" s="378"/>
    </row>
    <row r="205" spans="1:42" x14ac:dyDescent="0.25">
      <c r="R205" s="379"/>
      <c r="AP205" s="378"/>
    </row>
    <row r="206" spans="1:42" x14ac:dyDescent="0.25">
      <c r="R206" s="379"/>
      <c r="AP206" s="378"/>
    </row>
    <row r="207" spans="1:42" x14ac:dyDescent="0.25">
      <c r="R207" s="379"/>
      <c r="AP207" s="378"/>
    </row>
    <row r="208" spans="1:42" x14ac:dyDescent="0.25">
      <c r="A208" s="53"/>
      <c r="C208" s="54"/>
      <c r="D208" s="54"/>
      <c r="E208" s="54"/>
      <c r="H208" s="379"/>
      <c r="I208" s="379"/>
      <c r="J208" s="59"/>
      <c r="K208" s="59"/>
      <c r="L208" s="379"/>
      <c r="M208" s="379"/>
      <c r="N208" s="50"/>
      <c r="O208" s="50"/>
      <c r="P208" s="379"/>
      <c r="Q208" s="379"/>
      <c r="R208" s="379"/>
      <c r="T208" s="54"/>
      <c r="U208" s="54"/>
      <c r="Y208" s="379"/>
      <c r="Z208" s="59"/>
      <c r="AA208" s="379"/>
      <c r="AB208" s="379"/>
      <c r="AC208" s="50"/>
      <c r="AD208" s="50"/>
      <c r="AP208" s="378"/>
    </row>
    <row r="209" spans="1:42" x14ac:dyDescent="0.25">
      <c r="H209" s="379"/>
      <c r="I209" s="379"/>
      <c r="J209" s="59"/>
      <c r="K209" s="59"/>
      <c r="L209" s="379"/>
      <c r="M209" s="379"/>
      <c r="N209" s="50"/>
      <c r="O209" s="50"/>
      <c r="P209" s="379"/>
      <c r="Q209" s="379"/>
      <c r="R209" s="379"/>
      <c r="Y209" s="379"/>
      <c r="Z209" s="59"/>
      <c r="AA209" s="379"/>
      <c r="AB209" s="379"/>
      <c r="AC209" s="50"/>
      <c r="AD209" s="50"/>
      <c r="AP209" s="378"/>
    </row>
    <row r="210" spans="1:42" x14ac:dyDescent="0.25">
      <c r="A210" s="53"/>
      <c r="C210" s="54"/>
      <c r="F210" s="449"/>
      <c r="H210" s="449"/>
      <c r="I210" s="449"/>
      <c r="J210" s="61"/>
      <c r="K210" s="61"/>
      <c r="L210" s="449"/>
      <c r="M210" s="449"/>
      <c r="N210" s="50"/>
      <c r="O210" s="50"/>
      <c r="P210" s="379"/>
      <c r="Q210" s="379"/>
      <c r="R210" s="379"/>
      <c r="T210" s="54"/>
      <c r="V210" s="379"/>
      <c r="Y210" s="379"/>
      <c r="Z210" s="61"/>
      <c r="AA210" s="379"/>
      <c r="AB210" s="379"/>
      <c r="AC210" s="50"/>
      <c r="AD210" s="50"/>
      <c r="AE210" s="379"/>
      <c r="AF210" s="379"/>
      <c r="AG210" s="156"/>
      <c r="AH210" s="60"/>
      <c r="AI210" s="379"/>
      <c r="AJ210" s="379"/>
      <c r="AK210" s="156"/>
      <c r="AL210" s="379"/>
      <c r="AM210" s="50"/>
      <c r="AN210" s="50"/>
      <c r="AP210" s="378"/>
    </row>
    <row r="211" spans="1:42" x14ac:dyDescent="0.25">
      <c r="F211" s="449"/>
      <c r="H211" s="470"/>
      <c r="I211" s="470"/>
      <c r="J211" s="470"/>
      <c r="K211" s="470"/>
      <c r="R211" s="379"/>
      <c r="V211" s="379"/>
      <c r="Z211" s="470"/>
      <c r="AP211" s="378"/>
    </row>
    <row r="212" spans="1:42" x14ac:dyDescent="0.25">
      <c r="A212" s="53"/>
      <c r="C212" s="54"/>
      <c r="F212" s="449"/>
      <c r="H212" s="449"/>
      <c r="I212" s="449"/>
      <c r="J212" s="461"/>
      <c r="K212" s="461"/>
      <c r="L212" s="379"/>
      <c r="M212" s="379"/>
      <c r="N212" s="50"/>
      <c r="O212" s="50"/>
      <c r="P212" s="379"/>
      <c r="Q212" s="379"/>
      <c r="R212" s="379"/>
      <c r="T212" s="54"/>
      <c r="V212" s="379"/>
      <c r="Y212" s="379"/>
      <c r="Z212" s="461"/>
      <c r="AA212" s="379"/>
      <c r="AB212" s="379"/>
      <c r="AC212" s="50"/>
      <c r="AD212" s="50"/>
      <c r="AE212" s="379"/>
      <c r="AF212" s="379"/>
      <c r="AG212" s="156"/>
      <c r="AH212" s="60"/>
      <c r="AI212" s="379"/>
      <c r="AJ212" s="379"/>
      <c r="AK212" s="156"/>
      <c r="AL212" s="379"/>
      <c r="AM212" s="50"/>
      <c r="AN212" s="50"/>
      <c r="AP212" s="378"/>
    </row>
    <row r="213" spans="1:42" x14ac:dyDescent="0.25">
      <c r="F213" s="449"/>
      <c r="H213" s="470"/>
      <c r="I213" s="470"/>
      <c r="J213" s="470"/>
      <c r="K213" s="470"/>
      <c r="R213" s="379"/>
      <c r="V213" s="379"/>
      <c r="Z213" s="470"/>
      <c r="AP213" s="378"/>
    </row>
    <row r="214" spans="1:42" x14ac:dyDescent="0.25">
      <c r="A214" s="53"/>
      <c r="C214" s="54"/>
      <c r="F214" s="449"/>
      <c r="H214" s="449"/>
      <c r="I214" s="449"/>
      <c r="J214" s="472"/>
      <c r="K214" s="472"/>
      <c r="L214" s="379"/>
      <c r="M214" s="379"/>
      <c r="N214" s="50"/>
      <c r="O214" s="50"/>
      <c r="P214" s="379"/>
      <c r="Q214" s="379"/>
      <c r="R214" s="379"/>
      <c r="T214" s="54"/>
      <c r="V214" s="379"/>
      <c r="Y214" s="379"/>
      <c r="Z214" s="463"/>
      <c r="AA214" s="379"/>
      <c r="AB214" s="379"/>
      <c r="AC214" s="50"/>
      <c r="AD214" s="50"/>
      <c r="AE214" s="379"/>
      <c r="AF214" s="379"/>
      <c r="AG214" s="156"/>
      <c r="AH214" s="60"/>
      <c r="AI214" s="379"/>
      <c r="AJ214" s="379"/>
      <c r="AK214" s="156"/>
      <c r="AL214" s="379"/>
      <c r="AM214" s="50"/>
      <c r="AN214" s="50"/>
      <c r="AP214" s="378"/>
    </row>
    <row r="215" spans="1:42" x14ac:dyDescent="0.25">
      <c r="F215" s="381"/>
      <c r="H215" s="381"/>
      <c r="I215" s="381"/>
      <c r="J215" s="464"/>
      <c r="K215" s="464"/>
      <c r="L215" s="381"/>
      <c r="M215" s="381"/>
      <c r="N215" s="381"/>
      <c r="O215" s="381"/>
      <c r="P215" s="381"/>
      <c r="Q215" s="381"/>
      <c r="R215" s="381"/>
      <c r="S215" s="379"/>
      <c r="V215" s="381"/>
      <c r="Y215" s="381"/>
      <c r="Z215" s="464"/>
      <c r="AA215" s="381"/>
      <c r="AB215" s="381"/>
      <c r="AC215" s="381"/>
      <c r="AD215" s="381"/>
      <c r="AE215" s="381"/>
      <c r="AF215" s="381"/>
      <c r="AI215" s="381"/>
      <c r="AJ215" s="381"/>
      <c r="AK215" s="162"/>
      <c r="AL215" s="381"/>
      <c r="AP215" s="378"/>
    </row>
    <row r="216" spans="1:42" x14ac:dyDescent="0.25">
      <c r="A216" s="53"/>
      <c r="D216" s="54"/>
      <c r="E216" s="54"/>
      <c r="F216" s="379"/>
      <c r="H216" s="379"/>
      <c r="I216" s="379"/>
      <c r="J216" s="59"/>
      <c r="K216" s="59"/>
      <c r="L216" s="379"/>
      <c r="M216" s="379"/>
      <c r="N216" s="50"/>
      <c r="O216" s="50"/>
      <c r="P216" s="449"/>
      <c r="Q216" s="449"/>
      <c r="R216" s="379"/>
      <c r="S216" s="379"/>
      <c r="U216" s="54"/>
      <c r="V216" s="379"/>
      <c r="Y216" s="379"/>
      <c r="Z216" s="59"/>
      <c r="AA216" s="379"/>
      <c r="AB216" s="379"/>
      <c r="AC216" s="50"/>
      <c r="AD216" s="50"/>
      <c r="AE216" s="379"/>
      <c r="AF216" s="379"/>
      <c r="AG216" s="156"/>
      <c r="AH216" s="60"/>
      <c r="AI216" s="449"/>
      <c r="AJ216" s="449"/>
      <c r="AK216" s="156"/>
      <c r="AL216" s="379"/>
      <c r="AM216" s="50"/>
      <c r="AN216" s="50"/>
      <c r="AP216" s="378"/>
    </row>
    <row r="217" spans="1:42" x14ac:dyDescent="0.25">
      <c r="F217" s="381"/>
      <c r="H217" s="381"/>
      <c r="I217" s="381"/>
      <c r="J217" s="464"/>
      <c r="K217" s="464"/>
      <c r="L217" s="381"/>
      <c r="M217" s="381"/>
      <c r="N217" s="381"/>
      <c r="O217" s="381"/>
      <c r="P217" s="381"/>
      <c r="Q217" s="381"/>
      <c r="R217" s="381"/>
      <c r="S217" s="379"/>
      <c r="V217" s="381"/>
      <c r="Y217" s="381"/>
      <c r="Z217" s="464"/>
      <c r="AA217" s="381"/>
      <c r="AB217" s="381"/>
      <c r="AC217" s="381"/>
      <c r="AD217" s="381"/>
      <c r="AE217" s="381"/>
      <c r="AF217" s="381"/>
      <c r="AI217" s="381"/>
      <c r="AJ217" s="381"/>
      <c r="AK217" s="162"/>
      <c r="AL217" s="381"/>
      <c r="AP217" s="378"/>
    </row>
    <row r="218" spans="1:42" x14ac:dyDescent="0.25">
      <c r="R218" s="379"/>
      <c r="AP218" s="378"/>
    </row>
    <row r="219" spans="1:42" x14ac:dyDescent="0.25">
      <c r="F219" s="379"/>
      <c r="H219" s="379"/>
      <c r="I219" s="379"/>
      <c r="J219" s="59"/>
      <c r="K219" s="59"/>
      <c r="L219" s="379"/>
      <c r="M219" s="379"/>
      <c r="N219" s="379"/>
      <c r="O219" s="379"/>
      <c r="P219" s="379"/>
      <c r="Q219" s="379"/>
      <c r="R219" s="379"/>
      <c r="V219" s="379"/>
      <c r="Y219" s="379"/>
      <c r="Z219" s="59"/>
      <c r="AA219" s="379"/>
      <c r="AB219" s="379"/>
      <c r="AC219" s="379"/>
      <c r="AD219" s="379"/>
      <c r="AP219" s="378"/>
    </row>
    <row r="220" spans="1:42" x14ac:dyDescent="0.25">
      <c r="C220" s="54"/>
      <c r="F220" s="379"/>
      <c r="H220" s="379"/>
      <c r="I220" s="379"/>
      <c r="J220" s="59"/>
      <c r="K220" s="59"/>
      <c r="L220" s="379"/>
      <c r="M220" s="379"/>
      <c r="N220" s="379"/>
      <c r="O220" s="379"/>
      <c r="P220" s="379"/>
      <c r="Q220" s="379"/>
      <c r="R220" s="379"/>
      <c r="T220" s="54"/>
      <c r="V220" s="379"/>
      <c r="Y220" s="379"/>
      <c r="Z220" s="59"/>
      <c r="AA220" s="379"/>
      <c r="AB220" s="379"/>
      <c r="AC220" s="379"/>
      <c r="AD220" s="379"/>
      <c r="AP220" s="378"/>
    </row>
    <row r="221" spans="1:42" x14ac:dyDescent="0.25">
      <c r="C221" s="54"/>
      <c r="T221" s="54"/>
      <c r="AP221" s="378"/>
    </row>
    <row r="222" spans="1:42" x14ac:dyDescent="0.25">
      <c r="A222" s="54"/>
      <c r="AP222" s="378"/>
    </row>
    <row r="223" spans="1:42" x14ac:dyDescent="0.25">
      <c r="AP223" s="378"/>
    </row>
    <row r="224" spans="1:42" x14ac:dyDescent="0.25">
      <c r="J224" s="53"/>
      <c r="K224" s="53"/>
      <c r="Z224" s="53"/>
      <c r="AP224" s="378"/>
    </row>
    <row r="225" spans="1:40" x14ac:dyDescent="0.25">
      <c r="H225" s="54"/>
      <c r="I225" s="54"/>
      <c r="Y225" s="54"/>
    </row>
    <row r="226" spans="1:40" x14ac:dyDescent="0.25">
      <c r="J226" s="53"/>
      <c r="K226" s="53"/>
      <c r="Z226" s="53"/>
    </row>
    <row r="227" spans="1:40" x14ac:dyDescent="0.25">
      <c r="L227" s="54"/>
      <c r="M227" s="54"/>
      <c r="AA227" s="54"/>
      <c r="AB227" s="54"/>
    </row>
    <row r="228" spans="1:40" x14ac:dyDescent="0.25">
      <c r="A228" s="53"/>
      <c r="R228" s="54"/>
      <c r="AK228" s="161"/>
      <c r="AL228" s="54"/>
    </row>
    <row r="229" spans="1:40" x14ac:dyDescent="0.25">
      <c r="A229" s="53"/>
      <c r="R229" s="54"/>
      <c r="AK229" s="161"/>
      <c r="AL229" s="54"/>
    </row>
    <row r="230" spans="1:40" x14ac:dyDescent="0.25">
      <c r="A230" s="54"/>
      <c r="R230" s="54"/>
      <c r="AK230" s="161"/>
      <c r="AL230" s="54"/>
    </row>
    <row r="231" spans="1:40" x14ac:dyDescent="0.25">
      <c r="L231" s="54"/>
      <c r="M231" s="54"/>
      <c r="R231" s="53"/>
      <c r="AA231" s="54"/>
      <c r="AB231" s="54"/>
      <c r="AK231" s="156"/>
      <c r="AL231" s="53"/>
    </row>
    <row r="232" spans="1:40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154"/>
      <c r="AH232" s="55"/>
      <c r="AI232" s="55"/>
      <c r="AJ232" s="55"/>
      <c r="AK232" s="154"/>
      <c r="AL232" s="55"/>
      <c r="AM232" s="55"/>
      <c r="AN232" s="55"/>
    </row>
    <row r="233" spans="1:40" x14ac:dyDescent="0.25">
      <c r="L233" s="56"/>
      <c r="M233" s="56"/>
      <c r="N233" s="56"/>
      <c r="O233" s="56"/>
      <c r="R233" s="56"/>
      <c r="AA233" s="56"/>
      <c r="AB233" s="56"/>
      <c r="AC233" s="56"/>
      <c r="AD233" s="56"/>
      <c r="AE233" s="56"/>
      <c r="AF233" s="56"/>
      <c r="AG233" s="155"/>
      <c r="AH233" s="56"/>
      <c r="AK233" s="155"/>
      <c r="AL233" s="56"/>
      <c r="AM233" s="56"/>
      <c r="AN233" s="56"/>
    </row>
    <row r="234" spans="1:40" x14ac:dyDescent="0.25">
      <c r="L234" s="56"/>
      <c r="M234" s="56"/>
      <c r="N234" s="56"/>
      <c r="O234" s="56"/>
      <c r="R234" s="56"/>
      <c r="Z234" s="56"/>
      <c r="AA234" s="56"/>
      <c r="AB234" s="56"/>
      <c r="AC234" s="56"/>
      <c r="AD234" s="56"/>
      <c r="AE234" s="56"/>
      <c r="AF234" s="56"/>
      <c r="AG234" s="155"/>
      <c r="AH234" s="56"/>
      <c r="AK234" s="155"/>
      <c r="AL234" s="56"/>
      <c r="AM234" s="56"/>
      <c r="AN234" s="56"/>
    </row>
    <row r="235" spans="1:40" x14ac:dyDescent="0.25">
      <c r="A235" s="56"/>
      <c r="C235" s="56"/>
      <c r="D235" s="56"/>
      <c r="E235" s="56"/>
      <c r="F235" s="56"/>
      <c r="J235" s="56"/>
      <c r="K235" s="56"/>
      <c r="L235" s="56"/>
      <c r="M235" s="56"/>
      <c r="N235" s="56"/>
      <c r="O235" s="56"/>
      <c r="P235" s="56"/>
      <c r="Q235" s="56"/>
      <c r="R235" s="56"/>
      <c r="T235" s="56"/>
      <c r="U235" s="56"/>
      <c r="V235" s="56"/>
      <c r="Z235" s="56"/>
      <c r="AA235" s="56"/>
      <c r="AB235" s="56"/>
      <c r="AC235" s="56"/>
      <c r="AD235" s="56"/>
      <c r="AE235" s="56"/>
      <c r="AF235" s="56"/>
      <c r="AG235" s="155"/>
      <c r="AH235" s="56"/>
      <c r="AI235" s="56"/>
      <c r="AJ235" s="56"/>
      <c r="AK235" s="155"/>
      <c r="AL235" s="56"/>
      <c r="AM235" s="56"/>
      <c r="AN235" s="56"/>
    </row>
    <row r="236" spans="1:40" x14ac:dyDescent="0.25">
      <c r="A236" s="56"/>
      <c r="C236" s="56"/>
      <c r="D236" s="56"/>
      <c r="E236" s="56"/>
      <c r="F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T236" s="56"/>
      <c r="U236" s="56"/>
      <c r="V236" s="56"/>
      <c r="Y236" s="56"/>
      <c r="Z236" s="56"/>
      <c r="AA236" s="56"/>
      <c r="AB236" s="56"/>
      <c r="AC236" s="56"/>
      <c r="AD236" s="56"/>
      <c r="AE236" s="56"/>
      <c r="AF236" s="56"/>
      <c r="AG236" s="155"/>
      <c r="AH236" s="56"/>
      <c r="AI236" s="56"/>
      <c r="AJ236" s="56"/>
      <c r="AK236" s="155"/>
      <c r="AL236" s="56"/>
      <c r="AM236" s="56"/>
      <c r="AN236" s="56"/>
    </row>
    <row r="237" spans="1:40" x14ac:dyDescent="0.25">
      <c r="C237" s="56"/>
      <c r="D237" s="56"/>
      <c r="E237" s="56"/>
      <c r="F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T237" s="56"/>
      <c r="U237" s="56"/>
      <c r="V237" s="56"/>
      <c r="Y237" s="56"/>
      <c r="Z237" s="56"/>
      <c r="AA237" s="56"/>
      <c r="AB237" s="56"/>
      <c r="AC237" s="56"/>
      <c r="AD237" s="56"/>
      <c r="AE237" s="56"/>
      <c r="AF237" s="56"/>
      <c r="AG237" s="155"/>
      <c r="AH237" s="56"/>
      <c r="AI237" s="56"/>
      <c r="AJ237" s="56"/>
      <c r="AK237" s="155"/>
      <c r="AL237" s="56"/>
      <c r="AM237" s="56"/>
      <c r="AN237" s="56"/>
    </row>
    <row r="238" spans="1:40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154"/>
      <c r="AH238" s="55"/>
      <c r="AI238" s="55"/>
      <c r="AJ238" s="55"/>
      <c r="AK238" s="154"/>
      <c r="AL238" s="55"/>
      <c r="AM238" s="55"/>
      <c r="AN238" s="55"/>
    </row>
    <row r="239" spans="1:40" x14ac:dyDescent="0.25"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Y239" s="56"/>
      <c r="Z239" s="56"/>
      <c r="AA239" s="56"/>
      <c r="AB239" s="56"/>
      <c r="AC239" s="56"/>
      <c r="AD239" s="56"/>
      <c r="AE239" s="56"/>
      <c r="AF239" s="56"/>
      <c r="AG239" s="155"/>
      <c r="AH239" s="56"/>
      <c r="AI239" s="56"/>
      <c r="AJ239" s="56"/>
      <c r="AK239" s="155"/>
      <c r="AL239" s="56"/>
      <c r="AM239" s="56"/>
      <c r="AN239" s="56"/>
    </row>
    <row r="240" spans="1:40" x14ac:dyDescent="0.25">
      <c r="A240" s="53"/>
      <c r="C240" s="54"/>
      <c r="D240" s="54"/>
      <c r="E240" s="54"/>
      <c r="T240" s="54"/>
      <c r="U240" s="54"/>
    </row>
    <row r="241" spans="1:40" x14ac:dyDescent="0.25">
      <c r="A241" s="53"/>
      <c r="D241" s="54"/>
      <c r="E241" s="54"/>
      <c r="U241" s="54"/>
    </row>
    <row r="243" spans="1:40" x14ac:dyDescent="0.25">
      <c r="A243" s="53"/>
      <c r="C243" s="54"/>
      <c r="F243" s="379"/>
      <c r="J243" s="62"/>
      <c r="K243" s="62"/>
      <c r="L243" s="379"/>
      <c r="M243" s="379"/>
      <c r="R243" s="379"/>
      <c r="T243" s="54"/>
      <c r="V243" s="379"/>
      <c r="Z243" s="62"/>
      <c r="AA243" s="379"/>
      <c r="AB243" s="379"/>
      <c r="AK243" s="156"/>
      <c r="AL243" s="379"/>
    </row>
    <row r="244" spans="1:40" x14ac:dyDescent="0.25">
      <c r="F244" s="379"/>
      <c r="R244" s="379"/>
      <c r="V244" s="379"/>
      <c r="AK244" s="156"/>
      <c r="AL244" s="379"/>
    </row>
    <row r="245" spans="1:40" x14ac:dyDescent="0.25">
      <c r="A245" s="53"/>
      <c r="C245" s="54"/>
      <c r="F245" s="449"/>
      <c r="H245" s="449"/>
      <c r="I245" s="449"/>
      <c r="J245" s="461"/>
      <c r="K245" s="461"/>
      <c r="L245" s="379"/>
      <c r="M245" s="379"/>
      <c r="N245" s="50"/>
      <c r="O245" s="50"/>
      <c r="P245" s="379"/>
      <c r="Q245" s="379"/>
      <c r="R245" s="379"/>
      <c r="T245" s="54"/>
      <c r="V245" s="379"/>
      <c r="Y245" s="379"/>
      <c r="Z245" s="461"/>
      <c r="AA245" s="379"/>
      <c r="AB245" s="379"/>
      <c r="AC245" s="50"/>
      <c r="AD245" s="50"/>
      <c r="AE245" s="379"/>
      <c r="AF245" s="379"/>
      <c r="AG245" s="156"/>
      <c r="AH245" s="60"/>
      <c r="AI245" s="379"/>
      <c r="AJ245" s="379"/>
      <c r="AK245" s="156"/>
      <c r="AL245" s="379"/>
      <c r="AM245" s="50"/>
      <c r="AN245" s="50"/>
    </row>
    <row r="246" spans="1:40" x14ac:dyDescent="0.25">
      <c r="A246" s="53"/>
      <c r="C246" s="54"/>
      <c r="F246" s="449"/>
      <c r="H246" s="470"/>
      <c r="I246" s="470"/>
      <c r="J246" s="461"/>
      <c r="K246" s="461"/>
      <c r="L246" s="379"/>
      <c r="M246" s="379"/>
      <c r="N246" s="50"/>
      <c r="O246" s="50"/>
      <c r="P246" s="379"/>
      <c r="Q246" s="379"/>
      <c r="R246" s="379"/>
      <c r="T246" s="54"/>
      <c r="V246" s="379"/>
      <c r="Y246" s="379"/>
      <c r="Z246" s="461"/>
      <c r="AA246" s="379"/>
      <c r="AB246" s="379"/>
      <c r="AC246" s="50"/>
      <c r="AD246" s="50"/>
      <c r="AE246" s="379"/>
      <c r="AF246" s="379"/>
      <c r="AG246" s="156"/>
      <c r="AH246" s="60"/>
      <c r="AI246" s="379"/>
      <c r="AJ246" s="379"/>
      <c r="AK246" s="156"/>
      <c r="AL246" s="379"/>
      <c r="AM246" s="50"/>
      <c r="AN246" s="50"/>
    </row>
    <row r="247" spans="1:40" x14ac:dyDescent="0.25">
      <c r="F247" s="381"/>
      <c r="H247" s="379"/>
      <c r="I247" s="379"/>
      <c r="J247" s="464"/>
      <c r="K247" s="464"/>
      <c r="L247" s="381"/>
      <c r="M247" s="381"/>
      <c r="N247" s="381"/>
      <c r="O247" s="381"/>
      <c r="P247" s="381"/>
      <c r="Q247" s="381"/>
      <c r="R247" s="381"/>
      <c r="V247" s="381"/>
      <c r="Y247" s="379"/>
      <c r="Z247" s="464"/>
      <c r="AA247" s="381"/>
      <c r="AB247" s="381"/>
      <c r="AC247" s="381"/>
      <c r="AD247" s="381"/>
      <c r="AE247" s="381"/>
      <c r="AF247" s="381"/>
      <c r="AI247" s="381"/>
      <c r="AJ247" s="381"/>
      <c r="AK247" s="162"/>
      <c r="AL247" s="381"/>
    </row>
    <row r="248" spans="1:40" x14ac:dyDescent="0.25">
      <c r="A248" s="53"/>
      <c r="C248" s="54"/>
      <c r="F248" s="379"/>
      <c r="H248" s="379"/>
      <c r="I248" s="379"/>
      <c r="J248" s="59"/>
      <c r="K248" s="59"/>
      <c r="L248" s="379"/>
      <c r="M248" s="379"/>
      <c r="N248" s="50"/>
      <c r="O248" s="50"/>
      <c r="P248" s="379"/>
      <c r="Q248" s="379"/>
      <c r="R248" s="379"/>
      <c r="T248" s="54"/>
      <c r="V248" s="379"/>
      <c r="Y248" s="379"/>
      <c r="Z248" s="59"/>
      <c r="AA248" s="379"/>
      <c r="AB248" s="379"/>
      <c r="AC248" s="50"/>
      <c r="AD248" s="50"/>
      <c r="AE248" s="379"/>
      <c r="AF248" s="379"/>
      <c r="AG248" s="156"/>
      <c r="AH248" s="60"/>
      <c r="AI248" s="379"/>
      <c r="AJ248" s="379"/>
      <c r="AK248" s="156"/>
      <c r="AL248" s="379"/>
      <c r="AM248" s="50"/>
      <c r="AN248" s="50"/>
    </row>
    <row r="249" spans="1:40" x14ac:dyDescent="0.25">
      <c r="F249" s="381"/>
      <c r="H249" s="379"/>
      <c r="I249" s="379"/>
      <c r="J249" s="464"/>
      <c r="K249" s="464"/>
      <c r="L249" s="381"/>
      <c r="M249" s="381"/>
      <c r="N249" s="381"/>
      <c r="O249" s="381"/>
      <c r="P249" s="381"/>
      <c r="Q249" s="381"/>
      <c r="R249" s="381"/>
      <c r="V249" s="381"/>
      <c r="Y249" s="379"/>
      <c r="Z249" s="464"/>
      <c r="AA249" s="381"/>
      <c r="AB249" s="381"/>
      <c r="AC249" s="381"/>
      <c r="AD249" s="381"/>
      <c r="AE249" s="381"/>
      <c r="AF249" s="381"/>
      <c r="AI249" s="381"/>
      <c r="AJ249" s="381"/>
      <c r="AK249" s="162"/>
      <c r="AL249" s="381"/>
    </row>
    <row r="250" spans="1:40" x14ac:dyDescent="0.25">
      <c r="F250" s="379"/>
      <c r="R250" s="379"/>
      <c r="V250" s="379"/>
      <c r="AK250" s="156"/>
      <c r="AL250" s="379"/>
    </row>
    <row r="251" spans="1:40" x14ac:dyDescent="0.25">
      <c r="A251" s="53"/>
      <c r="C251" s="54"/>
      <c r="F251" s="379"/>
      <c r="R251" s="379"/>
      <c r="T251" s="54"/>
      <c r="V251" s="379"/>
      <c r="AK251" s="156"/>
      <c r="AL251" s="379"/>
    </row>
    <row r="252" spans="1:40" x14ac:dyDescent="0.25">
      <c r="F252" s="379"/>
      <c r="R252" s="379"/>
      <c r="V252" s="379"/>
      <c r="AK252" s="156"/>
      <c r="AL252" s="379"/>
    </row>
    <row r="253" spans="1:40" x14ac:dyDescent="0.25">
      <c r="A253" s="53"/>
      <c r="C253" s="54"/>
      <c r="F253" s="379"/>
      <c r="H253" s="449"/>
      <c r="I253" s="449"/>
      <c r="J253" s="472"/>
      <c r="K253" s="472"/>
      <c r="L253" s="379"/>
      <c r="M253" s="379"/>
      <c r="N253" s="50"/>
      <c r="O253" s="50"/>
      <c r="P253" s="449"/>
      <c r="Q253" s="449"/>
      <c r="R253" s="379"/>
      <c r="T253" s="54"/>
      <c r="V253" s="379"/>
      <c r="Y253" s="379"/>
      <c r="Z253" s="463"/>
      <c r="AA253" s="379"/>
      <c r="AB253" s="379"/>
      <c r="AC253" s="50"/>
      <c r="AD253" s="50"/>
      <c r="AE253" s="379"/>
      <c r="AF253" s="379"/>
      <c r="AG253" s="156"/>
      <c r="AH253" s="60"/>
      <c r="AI253" s="449"/>
      <c r="AJ253" s="449"/>
      <c r="AK253" s="156"/>
      <c r="AL253" s="379"/>
      <c r="AM253" s="50"/>
      <c r="AN253" s="50"/>
    </row>
    <row r="254" spans="1:40" x14ac:dyDescent="0.25">
      <c r="F254" s="381"/>
      <c r="H254" s="381"/>
      <c r="I254" s="381"/>
      <c r="J254" s="464"/>
      <c r="K254" s="464"/>
      <c r="L254" s="381"/>
      <c r="M254" s="381"/>
      <c r="N254" s="381"/>
      <c r="O254" s="381"/>
      <c r="P254" s="381"/>
      <c r="Q254" s="381"/>
      <c r="R254" s="381"/>
      <c r="V254" s="381"/>
      <c r="Y254" s="381"/>
      <c r="Z254" s="464"/>
      <c r="AA254" s="381"/>
      <c r="AB254" s="381"/>
      <c r="AC254" s="381"/>
      <c r="AD254" s="381"/>
      <c r="AE254" s="381"/>
      <c r="AF254" s="381"/>
      <c r="AI254" s="381"/>
      <c r="AJ254" s="381"/>
      <c r="AK254" s="162"/>
      <c r="AL254" s="381"/>
    </row>
    <row r="256" spans="1:40" x14ac:dyDescent="0.25">
      <c r="A256" s="53"/>
      <c r="C256" s="54"/>
      <c r="F256" s="379"/>
      <c r="H256" s="379"/>
      <c r="I256" s="379"/>
      <c r="J256" s="62"/>
      <c r="K256" s="62"/>
      <c r="L256" s="379"/>
      <c r="M256" s="379"/>
      <c r="N256" s="50"/>
      <c r="O256" s="50"/>
      <c r="P256" s="379"/>
      <c r="Q256" s="379"/>
      <c r="R256" s="379"/>
      <c r="T256" s="54"/>
      <c r="V256" s="379"/>
      <c r="Y256" s="379"/>
      <c r="Z256" s="62"/>
      <c r="AA256" s="379"/>
      <c r="AB256" s="379"/>
      <c r="AC256" s="50"/>
      <c r="AD256" s="50"/>
      <c r="AE256" s="379"/>
      <c r="AF256" s="379"/>
      <c r="AG256" s="156"/>
      <c r="AH256" s="60"/>
      <c r="AI256" s="379"/>
      <c r="AJ256" s="379"/>
      <c r="AK256" s="156"/>
      <c r="AL256" s="379"/>
      <c r="AM256" s="50"/>
      <c r="AN256" s="50"/>
    </row>
    <row r="257" spans="1:40" x14ac:dyDescent="0.25">
      <c r="F257" s="381"/>
      <c r="H257" s="381"/>
      <c r="I257" s="381"/>
      <c r="J257" s="464"/>
      <c r="K257" s="464"/>
      <c r="L257" s="381"/>
      <c r="M257" s="381"/>
      <c r="N257" s="381"/>
      <c r="O257" s="381"/>
      <c r="P257" s="381"/>
      <c r="Q257" s="381"/>
      <c r="R257" s="381"/>
      <c r="V257" s="381"/>
      <c r="Y257" s="381"/>
      <c r="Z257" s="464"/>
      <c r="AA257" s="381"/>
      <c r="AB257" s="381"/>
      <c r="AC257" s="381"/>
      <c r="AD257" s="381"/>
      <c r="AE257" s="381"/>
      <c r="AF257" s="381"/>
      <c r="AI257" s="381"/>
      <c r="AJ257" s="381"/>
      <c r="AK257" s="162"/>
      <c r="AL257" s="381"/>
    </row>
    <row r="258" spans="1:40" x14ac:dyDescent="0.25">
      <c r="R258" s="379"/>
      <c r="AG258" s="156"/>
      <c r="AH258" s="379"/>
    </row>
    <row r="259" spans="1:40" x14ac:dyDescent="0.25">
      <c r="F259" s="379"/>
      <c r="H259" s="379"/>
      <c r="I259" s="379"/>
      <c r="J259" s="59"/>
      <c r="K259" s="59"/>
      <c r="L259" s="379"/>
      <c r="M259" s="379"/>
      <c r="N259" s="379"/>
      <c r="O259" s="379"/>
      <c r="P259" s="379"/>
      <c r="Q259" s="379"/>
      <c r="R259" s="379"/>
      <c r="V259" s="379"/>
      <c r="Y259" s="379"/>
      <c r="Z259" s="59"/>
      <c r="AA259" s="379"/>
      <c r="AB259" s="379"/>
      <c r="AC259" s="379"/>
      <c r="AD259" s="379"/>
      <c r="AE259" s="379"/>
      <c r="AF259" s="379"/>
      <c r="AG259" s="156"/>
      <c r="AH259" s="379"/>
    </row>
    <row r="260" spans="1:40" x14ac:dyDescent="0.25">
      <c r="C260" s="54"/>
      <c r="F260" s="379"/>
      <c r="H260" s="379"/>
      <c r="I260" s="379"/>
      <c r="J260" s="59"/>
      <c r="K260" s="59"/>
      <c r="L260" s="379"/>
      <c r="M260" s="379"/>
      <c r="N260" s="379"/>
      <c r="O260" s="379"/>
      <c r="P260" s="379"/>
      <c r="Q260" s="379"/>
      <c r="R260" s="379"/>
      <c r="T260" s="54"/>
      <c r="V260" s="379"/>
      <c r="Y260" s="379"/>
      <c r="Z260" s="59"/>
      <c r="AA260" s="379"/>
      <c r="AB260" s="379"/>
      <c r="AC260" s="379"/>
      <c r="AD260" s="379"/>
      <c r="AE260" s="379"/>
      <c r="AF260" s="379"/>
      <c r="AG260" s="156"/>
      <c r="AH260" s="379"/>
    </row>
    <row r="261" spans="1:40" x14ac:dyDescent="0.25">
      <c r="A261" s="54"/>
    </row>
    <row r="263" spans="1:40" x14ac:dyDescent="0.25">
      <c r="J263" s="53"/>
      <c r="K263" s="53"/>
      <c r="Z263" s="53"/>
    </row>
    <row r="264" spans="1:40" x14ac:dyDescent="0.25">
      <c r="H264" s="54"/>
      <c r="I264" s="54"/>
      <c r="Y264" s="54"/>
    </row>
    <row r="265" spans="1:40" x14ac:dyDescent="0.25">
      <c r="J265" s="53"/>
      <c r="K265" s="53"/>
      <c r="Z265" s="53"/>
    </row>
    <row r="266" spans="1:40" x14ac:dyDescent="0.25">
      <c r="L266" s="54"/>
      <c r="M266" s="54"/>
      <c r="AA266" s="54"/>
      <c r="AB266" s="54"/>
    </row>
    <row r="267" spans="1:40" x14ac:dyDescent="0.25">
      <c r="A267" s="53"/>
      <c r="R267" s="54"/>
      <c r="AK267" s="161"/>
      <c r="AL267" s="54"/>
    </row>
    <row r="268" spans="1:40" x14ac:dyDescent="0.25">
      <c r="A268" s="53"/>
      <c r="R268" s="54"/>
      <c r="AK268" s="161"/>
      <c r="AL268" s="54"/>
    </row>
    <row r="269" spans="1:40" x14ac:dyDescent="0.25">
      <c r="A269" s="54"/>
      <c r="R269" s="54"/>
      <c r="AK269" s="161"/>
      <c r="AL269" s="54"/>
    </row>
    <row r="270" spans="1:40" x14ac:dyDescent="0.25">
      <c r="L270" s="54"/>
      <c r="M270" s="54"/>
      <c r="R270" s="53"/>
      <c r="AA270" s="54"/>
      <c r="AB270" s="54"/>
      <c r="AK270" s="156"/>
      <c r="AL270" s="53"/>
    </row>
    <row r="271" spans="1:40" x14ac:dyDescent="0.25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154"/>
      <c r="AH271" s="55"/>
      <c r="AI271" s="55"/>
      <c r="AJ271" s="55"/>
      <c r="AK271" s="154"/>
      <c r="AL271" s="55"/>
      <c r="AM271" s="55"/>
      <c r="AN271" s="55"/>
    </row>
    <row r="272" spans="1:40" x14ac:dyDescent="0.25">
      <c r="L272" s="56"/>
      <c r="M272" s="56"/>
      <c r="N272" s="56"/>
      <c r="O272" s="56"/>
      <c r="R272" s="56"/>
      <c r="AA272" s="56"/>
      <c r="AB272" s="56"/>
      <c r="AC272" s="56"/>
      <c r="AD272" s="56"/>
      <c r="AE272" s="56"/>
      <c r="AF272" s="56"/>
      <c r="AG272" s="155"/>
      <c r="AH272" s="56"/>
      <c r="AK272" s="155"/>
      <c r="AL272" s="56"/>
      <c r="AM272" s="56"/>
      <c r="AN272" s="56"/>
    </row>
    <row r="273" spans="1:40" x14ac:dyDescent="0.25">
      <c r="L273" s="56"/>
      <c r="M273" s="56"/>
      <c r="N273" s="56"/>
      <c r="O273" s="56"/>
      <c r="R273" s="56"/>
      <c r="Z273" s="56"/>
      <c r="AA273" s="56"/>
      <c r="AB273" s="56"/>
      <c r="AC273" s="56"/>
      <c r="AD273" s="56"/>
      <c r="AE273" s="56"/>
      <c r="AF273" s="56"/>
      <c r="AG273" s="155"/>
      <c r="AH273" s="56"/>
      <c r="AK273" s="155"/>
      <c r="AL273" s="56"/>
      <c r="AM273" s="56"/>
      <c r="AN273" s="56"/>
    </row>
    <row r="274" spans="1:40" x14ac:dyDescent="0.25">
      <c r="A274" s="56"/>
      <c r="C274" s="56"/>
      <c r="D274" s="56"/>
      <c r="E274" s="56"/>
      <c r="F274" s="56"/>
      <c r="J274" s="56"/>
      <c r="K274" s="56"/>
      <c r="L274" s="56"/>
      <c r="M274" s="56"/>
      <c r="N274" s="56"/>
      <c r="O274" s="56"/>
      <c r="P274" s="56"/>
      <c r="Q274" s="56"/>
      <c r="R274" s="56"/>
      <c r="T274" s="56"/>
      <c r="U274" s="56"/>
      <c r="V274" s="56"/>
      <c r="Z274" s="56"/>
      <c r="AA274" s="56"/>
      <c r="AB274" s="56"/>
      <c r="AC274" s="56"/>
      <c r="AD274" s="56"/>
      <c r="AE274" s="56"/>
      <c r="AF274" s="56"/>
      <c r="AG274" s="155"/>
      <c r="AH274" s="56"/>
      <c r="AI274" s="56"/>
      <c r="AJ274" s="56"/>
      <c r="AK274" s="155"/>
      <c r="AL274" s="56"/>
      <c r="AM274" s="56"/>
      <c r="AN274" s="56"/>
    </row>
    <row r="275" spans="1:40" x14ac:dyDescent="0.25">
      <c r="A275" s="56"/>
      <c r="C275" s="56"/>
      <c r="D275" s="56"/>
      <c r="E275" s="56"/>
      <c r="F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T275" s="56"/>
      <c r="U275" s="56"/>
      <c r="V275" s="56"/>
      <c r="Y275" s="56"/>
      <c r="Z275" s="56"/>
      <c r="AA275" s="56"/>
      <c r="AB275" s="56"/>
      <c r="AC275" s="56"/>
      <c r="AD275" s="56"/>
      <c r="AE275" s="56"/>
      <c r="AF275" s="56"/>
      <c r="AG275" s="155"/>
      <c r="AH275" s="56"/>
      <c r="AI275" s="56"/>
      <c r="AJ275" s="56"/>
      <c r="AK275" s="155"/>
      <c r="AL275" s="56"/>
      <c r="AM275" s="56"/>
      <c r="AN275" s="56"/>
    </row>
    <row r="276" spans="1:40" x14ac:dyDescent="0.25">
      <c r="C276" s="56"/>
      <c r="D276" s="56"/>
      <c r="E276" s="56"/>
      <c r="F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T276" s="56"/>
      <c r="U276" s="56"/>
      <c r="V276" s="56"/>
      <c r="Y276" s="56"/>
      <c r="Z276" s="56"/>
      <c r="AA276" s="56"/>
      <c r="AB276" s="56"/>
      <c r="AC276" s="56"/>
      <c r="AD276" s="56"/>
      <c r="AE276" s="56"/>
      <c r="AF276" s="56"/>
      <c r="AG276" s="155"/>
      <c r="AH276" s="56"/>
      <c r="AI276" s="56"/>
      <c r="AJ276" s="56"/>
      <c r="AK276" s="155"/>
      <c r="AL276" s="56"/>
      <c r="AM276" s="56"/>
      <c r="AN276" s="56"/>
    </row>
    <row r="277" spans="1:40" x14ac:dyDescent="0.25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154"/>
      <c r="AH277" s="55"/>
      <c r="AI277" s="55"/>
      <c r="AJ277" s="55"/>
      <c r="AK277" s="154"/>
      <c r="AL277" s="55"/>
      <c r="AM277" s="55"/>
      <c r="AN277" s="55"/>
    </row>
    <row r="278" spans="1:40" x14ac:dyDescent="0.25"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Y278" s="56"/>
      <c r="Z278" s="56"/>
      <c r="AA278" s="56"/>
      <c r="AB278" s="56"/>
      <c r="AC278" s="56"/>
      <c r="AD278" s="56"/>
      <c r="AE278" s="56"/>
      <c r="AF278" s="56"/>
      <c r="AG278" s="155"/>
      <c r="AH278" s="56"/>
      <c r="AI278" s="56"/>
      <c r="AJ278" s="56"/>
      <c r="AK278" s="155"/>
      <c r="AL278" s="56"/>
      <c r="AM278" s="56"/>
      <c r="AN278" s="56"/>
    </row>
    <row r="279" spans="1:40" x14ac:dyDescent="0.25">
      <c r="A279" s="53"/>
      <c r="C279" s="54"/>
      <c r="D279" s="54"/>
      <c r="E279" s="54"/>
      <c r="T279" s="54"/>
      <c r="U279" s="54"/>
    </row>
    <row r="280" spans="1:40" x14ac:dyDescent="0.25">
      <c r="A280" s="53"/>
      <c r="C280" s="54"/>
      <c r="T280" s="54"/>
    </row>
    <row r="282" spans="1:40" x14ac:dyDescent="0.25">
      <c r="A282" s="53"/>
      <c r="C282" s="54"/>
      <c r="F282" s="449"/>
      <c r="H282" s="449"/>
      <c r="I282" s="449"/>
      <c r="J282" s="461"/>
      <c r="K282" s="461"/>
      <c r="L282" s="379"/>
      <c r="M282" s="379"/>
      <c r="N282" s="50"/>
      <c r="O282" s="50"/>
      <c r="P282" s="53"/>
      <c r="Q282" s="53"/>
      <c r="R282" s="379"/>
      <c r="T282" s="54"/>
      <c r="V282" s="379"/>
      <c r="Y282" s="449"/>
      <c r="Z282" s="461"/>
      <c r="AA282" s="379"/>
      <c r="AB282" s="379"/>
      <c r="AC282" s="50"/>
      <c r="AD282" s="50"/>
      <c r="AE282" s="379"/>
      <c r="AF282" s="379"/>
      <c r="AG282" s="156"/>
      <c r="AH282" s="60"/>
      <c r="AI282" s="53"/>
      <c r="AJ282" s="53"/>
      <c r="AK282" s="156"/>
      <c r="AL282" s="379"/>
      <c r="AM282" s="50"/>
      <c r="AN282" s="50"/>
    </row>
    <row r="283" spans="1:40" x14ac:dyDescent="0.25">
      <c r="F283" s="381"/>
      <c r="H283" s="379"/>
      <c r="I283" s="379"/>
      <c r="J283" s="464"/>
      <c r="K283" s="464"/>
      <c r="L283" s="381"/>
      <c r="M283" s="381"/>
      <c r="N283" s="381"/>
      <c r="O283" s="381"/>
      <c r="P283" s="381"/>
      <c r="Q283" s="381"/>
      <c r="R283" s="381"/>
      <c r="V283" s="381"/>
      <c r="Y283" s="379"/>
      <c r="Z283" s="464"/>
      <c r="AA283" s="381"/>
      <c r="AB283" s="381"/>
      <c r="AC283" s="381"/>
      <c r="AD283" s="381"/>
      <c r="AE283" s="381"/>
      <c r="AF283" s="381"/>
      <c r="AI283" s="381"/>
      <c r="AJ283" s="381"/>
      <c r="AK283" s="162"/>
      <c r="AL283" s="381"/>
      <c r="AM283" s="50"/>
      <c r="AN283" s="50"/>
    </row>
    <row r="284" spans="1:40" x14ac:dyDescent="0.25">
      <c r="A284" s="53"/>
      <c r="C284" s="54"/>
      <c r="F284" s="449"/>
      <c r="H284" s="449"/>
      <c r="I284" s="449"/>
      <c r="J284" s="477"/>
      <c r="K284" s="477"/>
      <c r="L284" s="379"/>
      <c r="M284" s="379"/>
      <c r="N284" s="50"/>
      <c r="O284" s="50"/>
      <c r="P284" s="379"/>
      <c r="Q284" s="379"/>
      <c r="R284" s="379"/>
      <c r="S284" s="379"/>
      <c r="T284" s="54"/>
      <c r="V284" s="449"/>
      <c r="Y284" s="449"/>
      <c r="Z284" s="477"/>
      <c r="AA284" s="379"/>
      <c r="AB284" s="379"/>
      <c r="AC284" s="50"/>
      <c r="AD284" s="50"/>
      <c r="AE284" s="379"/>
      <c r="AF284" s="379"/>
      <c r="AG284" s="156"/>
      <c r="AH284" s="50"/>
      <c r="AI284" s="379"/>
      <c r="AJ284" s="379"/>
      <c r="AK284" s="156"/>
      <c r="AL284" s="379"/>
      <c r="AM284" s="50"/>
      <c r="AN284" s="50"/>
    </row>
    <row r="285" spans="1:40" x14ac:dyDescent="0.25">
      <c r="A285" s="53"/>
      <c r="C285" s="54"/>
      <c r="F285" s="449"/>
      <c r="H285" s="449"/>
      <c r="I285" s="449"/>
      <c r="J285" s="461"/>
      <c r="K285" s="461"/>
      <c r="L285" s="379"/>
      <c r="M285" s="379"/>
      <c r="N285" s="50"/>
      <c r="O285" s="50"/>
      <c r="P285" s="379"/>
      <c r="Q285" s="379"/>
      <c r="R285" s="379"/>
      <c r="T285" s="54"/>
      <c r="V285" s="449"/>
      <c r="Y285" s="379"/>
      <c r="Z285" s="461"/>
      <c r="AA285" s="379"/>
      <c r="AB285" s="379"/>
      <c r="AC285" s="50"/>
      <c r="AD285" s="50"/>
      <c r="AE285" s="379"/>
      <c r="AF285" s="379"/>
      <c r="AG285" s="156"/>
      <c r="AH285" s="60"/>
      <c r="AI285" s="379"/>
      <c r="AJ285" s="379"/>
      <c r="AK285" s="156"/>
      <c r="AL285" s="379"/>
      <c r="AM285" s="50"/>
      <c r="AN285" s="50"/>
    </row>
    <row r="286" spans="1:40" x14ac:dyDescent="0.25">
      <c r="A286" s="53"/>
      <c r="C286" s="54"/>
      <c r="F286" s="449"/>
      <c r="H286" s="449"/>
      <c r="I286" s="449"/>
      <c r="J286" s="461"/>
      <c r="K286" s="461"/>
      <c r="L286" s="379"/>
      <c r="M286" s="379"/>
      <c r="N286" s="50"/>
      <c r="O286" s="50"/>
      <c r="P286" s="379"/>
      <c r="Q286" s="379"/>
      <c r="R286" s="379"/>
      <c r="T286" s="54"/>
      <c r="V286" s="449"/>
      <c r="Y286" s="379"/>
      <c r="Z286" s="461"/>
      <c r="AA286" s="379"/>
      <c r="AB286" s="379"/>
      <c r="AC286" s="50"/>
      <c r="AD286" s="50"/>
      <c r="AE286" s="379"/>
      <c r="AF286" s="379"/>
      <c r="AG286" s="156"/>
      <c r="AH286" s="60"/>
      <c r="AI286" s="379"/>
      <c r="AJ286" s="379"/>
      <c r="AK286" s="156"/>
      <c r="AL286" s="379"/>
      <c r="AM286" s="50"/>
      <c r="AN286" s="50"/>
    </row>
    <row r="287" spans="1:40" x14ac:dyDescent="0.25">
      <c r="F287" s="381"/>
      <c r="H287" s="381"/>
      <c r="I287" s="381"/>
      <c r="J287" s="464"/>
      <c r="K287" s="464"/>
      <c r="L287" s="381"/>
      <c r="M287" s="381"/>
      <c r="N287" s="381"/>
      <c r="O287" s="381"/>
      <c r="P287" s="381"/>
      <c r="Q287" s="381"/>
      <c r="R287" s="381"/>
      <c r="V287" s="381"/>
      <c r="Y287" s="381"/>
      <c r="Z287" s="464"/>
      <c r="AA287" s="381"/>
      <c r="AB287" s="381"/>
      <c r="AC287" s="381"/>
      <c r="AD287" s="381"/>
      <c r="AE287" s="381"/>
      <c r="AF287" s="381"/>
      <c r="AI287" s="381"/>
      <c r="AJ287" s="381"/>
      <c r="AK287" s="162"/>
      <c r="AL287" s="381"/>
      <c r="AM287" s="50"/>
      <c r="AN287" s="50"/>
    </row>
    <row r="288" spans="1:40" x14ac:dyDescent="0.25">
      <c r="A288" s="53"/>
      <c r="C288" s="54"/>
      <c r="F288" s="379"/>
      <c r="H288" s="379"/>
      <c r="I288" s="379"/>
      <c r="J288" s="59"/>
      <c r="K288" s="59"/>
      <c r="L288" s="379"/>
      <c r="M288" s="379"/>
      <c r="N288" s="50"/>
      <c r="O288" s="50"/>
      <c r="P288" s="379"/>
      <c r="Q288" s="379"/>
      <c r="R288" s="379"/>
      <c r="T288" s="54"/>
      <c r="V288" s="379"/>
      <c r="Y288" s="379"/>
      <c r="Z288" s="59"/>
      <c r="AA288" s="379"/>
      <c r="AB288" s="379"/>
      <c r="AC288" s="50"/>
      <c r="AD288" s="50"/>
      <c r="AE288" s="379"/>
      <c r="AF288" s="379"/>
      <c r="AG288" s="156"/>
      <c r="AH288" s="60"/>
      <c r="AI288" s="379"/>
      <c r="AJ288" s="379"/>
      <c r="AK288" s="156"/>
      <c r="AL288" s="379"/>
      <c r="AM288" s="50"/>
      <c r="AN288" s="50"/>
    </row>
    <row r="289" spans="1:40" x14ac:dyDescent="0.25">
      <c r="F289" s="381"/>
      <c r="H289" s="381"/>
      <c r="I289" s="381"/>
      <c r="J289" s="464"/>
      <c r="K289" s="464"/>
      <c r="L289" s="381"/>
      <c r="M289" s="381"/>
      <c r="N289" s="381"/>
      <c r="O289" s="381"/>
      <c r="P289" s="381"/>
      <c r="Q289" s="381"/>
      <c r="R289" s="381"/>
      <c r="V289" s="381"/>
      <c r="Y289" s="381"/>
      <c r="Z289" s="464"/>
      <c r="AA289" s="381"/>
      <c r="AB289" s="381"/>
      <c r="AC289" s="381"/>
      <c r="AD289" s="381"/>
      <c r="AE289" s="381"/>
      <c r="AF289" s="381"/>
      <c r="AI289" s="381"/>
      <c r="AJ289" s="381"/>
      <c r="AK289" s="162"/>
      <c r="AL289" s="381"/>
      <c r="AM289" s="50"/>
      <c r="AN289" s="50"/>
    </row>
    <row r="290" spans="1:40" x14ac:dyDescent="0.25">
      <c r="A290" s="53"/>
      <c r="C290" s="54"/>
      <c r="F290" s="379"/>
      <c r="H290" s="379"/>
      <c r="I290" s="379"/>
      <c r="J290" s="59"/>
      <c r="K290" s="59"/>
      <c r="L290" s="379"/>
      <c r="M290" s="379"/>
      <c r="N290" s="50"/>
      <c r="O290" s="50"/>
      <c r="P290" s="379"/>
      <c r="Q290" s="379"/>
      <c r="R290" s="379"/>
      <c r="T290" s="54"/>
      <c r="V290" s="379"/>
      <c r="Y290" s="379"/>
      <c r="Z290" s="59"/>
      <c r="AA290" s="379"/>
      <c r="AB290" s="379"/>
      <c r="AC290" s="50"/>
      <c r="AD290" s="50"/>
      <c r="AE290" s="379"/>
      <c r="AF290" s="379"/>
      <c r="AG290" s="156"/>
      <c r="AH290" s="60"/>
      <c r="AI290" s="379"/>
      <c r="AJ290" s="379"/>
      <c r="AK290" s="156"/>
      <c r="AL290" s="379"/>
      <c r="AM290" s="50"/>
      <c r="AN290" s="50"/>
    </row>
    <row r="291" spans="1:40" x14ac:dyDescent="0.25">
      <c r="A291" s="53"/>
      <c r="C291" s="54"/>
      <c r="F291" s="379"/>
      <c r="H291" s="449"/>
      <c r="I291" s="449"/>
      <c r="J291" s="472"/>
      <c r="K291" s="472"/>
      <c r="L291" s="379"/>
      <c r="M291" s="379"/>
      <c r="N291" s="50"/>
      <c r="O291" s="50"/>
      <c r="P291" s="379"/>
      <c r="Q291" s="379"/>
      <c r="R291" s="379"/>
      <c r="T291" s="54"/>
      <c r="V291" s="379"/>
      <c r="Y291" s="379"/>
      <c r="Z291" s="463"/>
      <c r="AA291" s="379"/>
      <c r="AB291" s="379"/>
      <c r="AC291" s="50"/>
      <c r="AD291" s="50"/>
      <c r="AE291" s="379"/>
      <c r="AF291" s="379"/>
      <c r="AG291" s="156"/>
      <c r="AH291" s="60"/>
      <c r="AI291" s="379"/>
      <c r="AJ291" s="379"/>
      <c r="AK291" s="156"/>
      <c r="AL291" s="379"/>
      <c r="AM291" s="50"/>
      <c r="AN291" s="50"/>
    </row>
    <row r="292" spans="1:40" x14ac:dyDescent="0.25">
      <c r="F292" s="381"/>
      <c r="H292" s="381"/>
      <c r="I292" s="381"/>
      <c r="J292" s="464"/>
      <c r="K292" s="464"/>
      <c r="L292" s="381"/>
      <c r="M292" s="381"/>
      <c r="N292" s="381"/>
      <c r="O292" s="381"/>
      <c r="P292" s="381"/>
      <c r="Q292" s="381"/>
      <c r="R292" s="381"/>
      <c r="V292" s="381"/>
      <c r="Y292" s="381"/>
      <c r="Z292" s="464"/>
      <c r="AA292" s="381"/>
      <c r="AB292" s="381"/>
      <c r="AC292" s="381"/>
      <c r="AD292" s="381"/>
      <c r="AE292" s="381"/>
      <c r="AF292" s="381"/>
      <c r="AI292" s="381"/>
      <c r="AJ292" s="381"/>
      <c r="AK292" s="162"/>
      <c r="AL292" s="381"/>
      <c r="AM292" s="50"/>
      <c r="AN292" s="50"/>
    </row>
    <row r="294" spans="1:40" x14ac:dyDescent="0.25">
      <c r="A294" s="53"/>
      <c r="C294" s="54"/>
      <c r="F294" s="379"/>
      <c r="H294" s="379"/>
      <c r="I294" s="379"/>
      <c r="J294" s="464"/>
      <c r="K294" s="464"/>
      <c r="L294" s="379"/>
      <c r="M294" s="379"/>
      <c r="N294" s="50"/>
      <c r="O294" s="50"/>
      <c r="P294" s="379"/>
      <c r="Q294" s="379"/>
      <c r="R294" s="379"/>
      <c r="S294" s="379"/>
      <c r="T294" s="54"/>
      <c r="V294" s="379"/>
      <c r="Y294" s="379"/>
      <c r="Z294" s="464"/>
      <c r="AA294" s="379"/>
      <c r="AB294" s="379"/>
      <c r="AC294" s="50"/>
      <c r="AD294" s="50"/>
      <c r="AE294" s="379"/>
      <c r="AF294" s="379"/>
      <c r="AG294" s="156"/>
      <c r="AH294" s="50"/>
      <c r="AI294" s="379"/>
      <c r="AJ294" s="379"/>
      <c r="AK294" s="156"/>
      <c r="AL294" s="379"/>
      <c r="AM294" s="50"/>
      <c r="AN294" s="50"/>
    </row>
    <row r="295" spans="1:40" x14ac:dyDescent="0.25">
      <c r="F295" s="381"/>
      <c r="H295" s="381"/>
      <c r="I295" s="381"/>
      <c r="J295" s="464"/>
      <c r="K295" s="464"/>
      <c r="L295" s="381"/>
      <c r="M295" s="381"/>
      <c r="N295" s="381"/>
      <c r="O295" s="381"/>
      <c r="P295" s="381"/>
      <c r="Q295" s="381"/>
      <c r="R295" s="381"/>
      <c r="S295" s="379"/>
      <c r="V295" s="381"/>
      <c r="Y295" s="381"/>
      <c r="Z295" s="464"/>
      <c r="AA295" s="381"/>
      <c r="AB295" s="381"/>
      <c r="AC295" s="381"/>
      <c r="AD295" s="381"/>
      <c r="AE295" s="381"/>
      <c r="AF295" s="381"/>
      <c r="AI295" s="381"/>
      <c r="AJ295" s="381"/>
      <c r="AK295" s="162"/>
      <c r="AL295" s="381"/>
      <c r="AM295" s="50"/>
      <c r="AN295" s="50"/>
    </row>
    <row r="296" spans="1:40" x14ac:dyDescent="0.25">
      <c r="A296" s="53"/>
      <c r="C296" s="54"/>
      <c r="F296" s="449"/>
      <c r="H296" s="449"/>
      <c r="I296" s="449"/>
      <c r="J296" s="464"/>
      <c r="K296" s="464"/>
      <c r="L296" s="379"/>
      <c r="M296" s="379"/>
      <c r="N296" s="50"/>
      <c r="O296" s="50"/>
      <c r="P296" s="379"/>
      <c r="Q296" s="379"/>
      <c r="R296" s="379"/>
      <c r="S296" s="379"/>
      <c r="T296" s="54"/>
      <c r="V296" s="449"/>
      <c r="Y296" s="449"/>
      <c r="Z296" s="464"/>
      <c r="AA296" s="379"/>
      <c r="AB296" s="379"/>
      <c r="AC296" s="50"/>
      <c r="AD296" s="50"/>
      <c r="AE296" s="379"/>
      <c r="AF296" s="379"/>
      <c r="AI296" s="379"/>
      <c r="AJ296" s="379"/>
      <c r="AK296" s="156"/>
      <c r="AL296" s="379"/>
      <c r="AM296" s="50"/>
      <c r="AN296" s="50"/>
    </row>
    <row r="298" spans="1:40" x14ac:dyDescent="0.25">
      <c r="A298" s="53"/>
      <c r="C298" s="54"/>
      <c r="F298" s="449"/>
      <c r="H298" s="449"/>
      <c r="I298" s="449"/>
      <c r="J298" s="461"/>
      <c r="K298" s="461"/>
      <c r="L298" s="379"/>
      <c r="M298" s="379"/>
      <c r="N298" s="50"/>
      <c r="O298" s="50"/>
      <c r="P298" s="53"/>
      <c r="Q298" s="53"/>
      <c r="R298" s="379"/>
      <c r="T298" s="54"/>
      <c r="V298" s="379"/>
      <c r="Y298" s="449"/>
      <c r="Z298" s="461"/>
      <c r="AA298" s="379"/>
      <c r="AB298" s="379"/>
      <c r="AC298" s="50"/>
      <c r="AD298" s="50"/>
      <c r="AE298" s="379"/>
      <c r="AF298" s="379"/>
      <c r="AG298" s="156"/>
      <c r="AH298" s="60"/>
      <c r="AI298" s="53"/>
      <c r="AJ298" s="53"/>
      <c r="AK298" s="156"/>
      <c r="AL298" s="379"/>
      <c r="AM298" s="50"/>
      <c r="AN298" s="50"/>
    </row>
    <row r="299" spans="1:40" x14ac:dyDescent="0.25">
      <c r="F299" s="381"/>
      <c r="H299" s="379"/>
      <c r="I299" s="379"/>
      <c r="J299" s="464"/>
      <c r="K299" s="464"/>
      <c r="L299" s="381"/>
      <c r="M299" s="381"/>
      <c r="N299" s="381"/>
      <c r="O299" s="381"/>
      <c r="P299" s="381"/>
      <c r="Q299" s="381"/>
      <c r="R299" s="381"/>
      <c r="V299" s="381"/>
      <c r="Y299" s="379"/>
      <c r="Z299" s="464"/>
      <c r="AA299" s="381"/>
      <c r="AB299" s="381"/>
      <c r="AC299" s="381"/>
      <c r="AD299" s="381"/>
      <c r="AE299" s="381"/>
      <c r="AF299" s="381"/>
      <c r="AI299" s="381"/>
      <c r="AJ299" s="381"/>
      <c r="AK299" s="162"/>
      <c r="AL299" s="381"/>
      <c r="AM299" s="50"/>
      <c r="AN299" s="50"/>
    </row>
    <row r="300" spans="1:40" x14ac:dyDescent="0.25">
      <c r="A300" s="53"/>
      <c r="C300" s="54"/>
      <c r="F300" s="449"/>
      <c r="H300" s="449"/>
      <c r="I300" s="449"/>
      <c r="J300" s="477"/>
      <c r="K300" s="477"/>
      <c r="L300" s="379"/>
      <c r="M300" s="379"/>
      <c r="N300" s="50"/>
      <c r="O300" s="50"/>
      <c r="P300" s="379"/>
      <c r="Q300" s="379"/>
      <c r="R300" s="379"/>
      <c r="S300" s="379"/>
      <c r="T300" s="54"/>
      <c r="V300" s="449"/>
      <c r="Y300" s="449"/>
      <c r="Z300" s="477"/>
      <c r="AA300" s="379"/>
      <c r="AB300" s="379"/>
      <c r="AC300" s="50"/>
      <c r="AD300" s="50"/>
      <c r="AE300" s="379"/>
      <c r="AF300" s="379"/>
      <c r="AG300" s="156"/>
      <c r="AH300" s="50"/>
      <c r="AI300" s="379"/>
      <c r="AJ300" s="379"/>
      <c r="AK300" s="156"/>
      <c r="AL300" s="379"/>
      <c r="AM300" s="50"/>
      <c r="AN300" s="50"/>
    </row>
    <row r="301" spans="1:40" x14ac:dyDescent="0.25">
      <c r="A301" s="53"/>
      <c r="C301" s="54"/>
      <c r="F301" s="449"/>
      <c r="H301" s="449"/>
      <c r="I301" s="449"/>
      <c r="J301" s="461"/>
      <c r="K301" s="461"/>
      <c r="L301" s="379"/>
      <c r="M301" s="379"/>
      <c r="N301" s="50"/>
      <c r="O301" s="50"/>
      <c r="P301" s="379"/>
      <c r="Q301" s="379"/>
      <c r="R301" s="379"/>
      <c r="T301" s="54"/>
      <c r="V301" s="449"/>
      <c r="Y301" s="379"/>
      <c r="Z301" s="461"/>
      <c r="AA301" s="379"/>
      <c r="AB301" s="379"/>
      <c r="AC301" s="50"/>
      <c r="AD301" s="50"/>
      <c r="AE301" s="379"/>
      <c r="AF301" s="379"/>
      <c r="AG301" s="156"/>
      <c r="AH301" s="60"/>
      <c r="AI301" s="379"/>
      <c r="AJ301" s="379"/>
      <c r="AK301" s="156"/>
      <c r="AL301" s="379"/>
      <c r="AM301" s="50"/>
      <c r="AN301" s="50"/>
    </row>
    <row r="302" spans="1:40" x14ac:dyDescent="0.25">
      <c r="A302" s="53"/>
      <c r="C302" s="54"/>
      <c r="F302" s="449"/>
      <c r="H302" s="449"/>
      <c r="I302" s="449"/>
      <c r="J302" s="461"/>
      <c r="K302" s="461"/>
      <c r="L302" s="379"/>
      <c r="M302" s="379"/>
      <c r="N302" s="50"/>
      <c r="O302" s="50"/>
      <c r="P302" s="379"/>
      <c r="Q302" s="379"/>
      <c r="R302" s="379"/>
      <c r="T302" s="54"/>
      <c r="V302" s="449"/>
      <c r="Y302" s="379"/>
      <c r="Z302" s="461"/>
      <c r="AA302" s="379"/>
      <c r="AB302" s="379"/>
      <c r="AC302" s="50"/>
      <c r="AD302" s="50"/>
      <c r="AE302" s="379"/>
      <c r="AF302" s="379"/>
      <c r="AG302" s="156"/>
      <c r="AH302" s="60"/>
      <c r="AI302" s="379"/>
      <c r="AJ302" s="379"/>
      <c r="AK302" s="156"/>
      <c r="AL302" s="379"/>
      <c r="AM302" s="50"/>
      <c r="AN302" s="50"/>
    </row>
    <row r="303" spans="1:40" x14ac:dyDescent="0.25">
      <c r="F303" s="381"/>
      <c r="H303" s="381"/>
      <c r="I303" s="381"/>
      <c r="J303" s="464"/>
      <c r="K303" s="464"/>
      <c r="L303" s="381"/>
      <c r="M303" s="381"/>
      <c r="N303" s="381"/>
      <c r="O303" s="381"/>
      <c r="P303" s="381"/>
      <c r="Q303" s="381"/>
      <c r="R303" s="381"/>
      <c r="V303" s="381"/>
      <c r="Y303" s="381"/>
      <c r="Z303" s="464"/>
      <c r="AA303" s="381"/>
      <c r="AB303" s="381"/>
      <c r="AC303" s="381"/>
      <c r="AD303" s="381"/>
      <c r="AE303" s="381"/>
      <c r="AF303" s="381"/>
      <c r="AI303" s="381"/>
      <c r="AJ303" s="381"/>
      <c r="AK303" s="162"/>
      <c r="AL303" s="381"/>
      <c r="AM303" s="50"/>
      <c r="AN303" s="50"/>
    </row>
    <row r="304" spans="1:40" x14ac:dyDescent="0.25">
      <c r="A304" s="53"/>
      <c r="C304" s="54"/>
      <c r="F304" s="379"/>
      <c r="H304" s="379"/>
      <c r="I304" s="379"/>
      <c r="J304" s="59"/>
      <c r="K304" s="59"/>
      <c r="L304" s="379"/>
      <c r="M304" s="379"/>
      <c r="N304" s="50"/>
      <c r="O304" s="50"/>
      <c r="P304" s="379"/>
      <c r="Q304" s="379"/>
      <c r="R304" s="379"/>
      <c r="T304" s="54"/>
      <c r="V304" s="379"/>
      <c r="Y304" s="379"/>
      <c r="Z304" s="59"/>
      <c r="AA304" s="379"/>
      <c r="AB304" s="379"/>
      <c r="AC304" s="50"/>
      <c r="AD304" s="50"/>
      <c r="AE304" s="379"/>
      <c r="AF304" s="379"/>
      <c r="AG304" s="156"/>
      <c r="AH304" s="60"/>
      <c r="AI304" s="379"/>
      <c r="AJ304" s="379"/>
      <c r="AK304" s="156"/>
      <c r="AL304" s="379"/>
      <c r="AM304" s="50"/>
      <c r="AN304" s="50"/>
    </row>
    <row r="305" spans="1:40" x14ac:dyDescent="0.25">
      <c r="F305" s="381"/>
      <c r="H305" s="381"/>
      <c r="I305" s="381"/>
      <c r="J305" s="464"/>
      <c r="K305" s="464"/>
      <c r="L305" s="381"/>
      <c r="M305" s="381"/>
      <c r="N305" s="381"/>
      <c r="O305" s="381"/>
      <c r="P305" s="381"/>
      <c r="Q305" s="381"/>
      <c r="R305" s="381"/>
      <c r="V305" s="381"/>
      <c r="Y305" s="381"/>
      <c r="Z305" s="464"/>
      <c r="AA305" s="381"/>
      <c r="AB305" s="381"/>
      <c r="AC305" s="381"/>
      <c r="AD305" s="381"/>
      <c r="AE305" s="381"/>
      <c r="AF305" s="381"/>
      <c r="AI305" s="381"/>
      <c r="AJ305" s="381"/>
      <c r="AK305" s="162"/>
      <c r="AL305" s="381"/>
      <c r="AM305" s="50"/>
      <c r="AN305" s="50"/>
    </row>
    <row r="306" spans="1:40" x14ac:dyDescent="0.25">
      <c r="A306" s="53"/>
      <c r="C306" s="54"/>
      <c r="F306" s="379"/>
      <c r="H306" s="379"/>
      <c r="I306" s="379"/>
      <c r="J306" s="59"/>
      <c r="K306" s="59"/>
      <c r="L306" s="379"/>
      <c r="M306" s="379"/>
      <c r="N306" s="50"/>
      <c r="O306" s="50"/>
      <c r="P306" s="379"/>
      <c r="Q306" s="379"/>
      <c r="R306" s="379"/>
      <c r="T306" s="54"/>
      <c r="V306" s="379"/>
      <c r="Y306" s="379"/>
      <c r="Z306" s="59"/>
      <c r="AA306" s="379"/>
      <c r="AB306" s="379"/>
      <c r="AC306" s="50"/>
      <c r="AD306" s="50"/>
      <c r="AE306" s="379"/>
      <c r="AF306" s="379"/>
      <c r="AG306" s="156"/>
      <c r="AH306" s="60"/>
      <c r="AI306" s="379"/>
      <c r="AJ306" s="379"/>
      <c r="AK306" s="156"/>
      <c r="AL306" s="379"/>
      <c r="AM306" s="50"/>
      <c r="AN306" s="50"/>
    </row>
    <row r="307" spans="1:40" x14ac:dyDescent="0.25">
      <c r="A307" s="53"/>
      <c r="C307" s="54"/>
      <c r="F307" s="379"/>
      <c r="H307" s="449"/>
      <c r="I307" s="449"/>
      <c r="J307" s="472"/>
      <c r="K307" s="472"/>
      <c r="L307" s="379"/>
      <c r="M307" s="379"/>
      <c r="N307" s="50"/>
      <c r="O307" s="50"/>
      <c r="P307" s="379"/>
      <c r="Q307" s="379"/>
      <c r="R307" s="379"/>
      <c r="T307" s="54"/>
      <c r="V307" s="379"/>
      <c r="Y307" s="379"/>
      <c r="Z307" s="463"/>
      <c r="AA307" s="379"/>
      <c r="AB307" s="379"/>
      <c r="AC307" s="50"/>
      <c r="AD307" s="50"/>
      <c r="AE307" s="379"/>
      <c r="AF307" s="379"/>
      <c r="AG307" s="156"/>
      <c r="AH307" s="60"/>
      <c r="AI307" s="379"/>
      <c r="AJ307" s="379"/>
      <c r="AK307" s="156"/>
      <c r="AL307" s="379"/>
      <c r="AM307" s="50"/>
      <c r="AN307" s="50"/>
    </row>
    <row r="308" spans="1:40" x14ac:dyDescent="0.25">
      <c r="F308" s="381"/>
      <c r="H308" s="381"/>
      <c r="I308" s="381"/>
      <c r="J308" s="464"/>
      <c r="K308" s="464"/>
      <c r="L308" s="381"/>
      <c r="M308" s="381"/>
      <c r="N308" s="381"/>
      <c r="O308" s="381"/>
      <c r="P308" s="381"/>
      <c r="Q308" s="381"/>
      <c r="R308" s="381"/>
      <c r="V308" s="381"/>
      <c r="Y308" s="381"/>
      <c r="Z308" s="464"/>
      <c r="AA308" s="381"/>
      <c r="AB308" s="381"/>
      <c r="AC308" s="381"/>
      <c r="AD308" s="381"/>
      <c r="AE308" s="381"/>
      <c r="AF308" s="381"/>
      <c r="AI308" s="381"/>
      <c r="AJ308" s="381"/>
      <c r="AK308" s="162"/>
      <c r="AL308" s="381"/>
      <c r="AM308" s="50"/>
      <c r="AN308" s="50"/>
    </row>
    <row r="310" spans="1:40" x14ac:dyDescent="0.25">
      <c r="A310" s="53"/>
      <c r="C310" s="54"/>
      <c r="F310" s="379"/>
      <c r="H310" s="379"/>
      <c r="I310" s="379"/>
      <c r="J310" s="464"/>
      <c r="K310" s="464"/>
      <c r="L310" s="379"/>
      <c r="M310" s="379"/>
      <c r="N310" s="50"/>
      <c r="O310" s="50"/>
      <c r="P310" s="379"/>
      <c r="Q310" s="379"/>
      <c r="R310" s="379"/>
      <c r="S310" s="379"/>
      <c r="T310" s="54"/>
      <c r="V310" s="379"/>
      <c r="Y310" s="379"/>
      <c r="Z310" s="464"/>
      <c r="AA310" s="379"/>
      <c r="AB310" s="379"/>
      <c r="AC310" s="50"/>
      <c r="AD310" s="50"/>
      <c r="AE310" s="379"/>
      <c r="AF310" s="379"/>
      <c r="AG310" s="156"/>
      <c r="AH310" s="50"/>
      <c r="AI310" s="379"/>
      <c r="AJ310" s="379"/>
      <c r="AK310" s="156"/>
      <c r="AL310" s="379"/>
      <c r="AM310" s="50"/>
      <c r="AN310" s="50"/>
    </row>
    <row r="311" spans="1:40" x14ac:dyDescent="0.25">
      <c r="F311" s="381"/>
      <c r="H311" s="381"/>
      <c r="I311" s="381"/>
      <c r="J311" s="464"/>
      <c r="K311" s="464"/>
      <c r="L311" s="381"/>
      <c r="M311" s="381"/>
      <c r="N311" s="381"/>
      <c r="O311" s="381"/>
      <c r="P311" s="381"/>
      <c r="Q311" s="381"/>
      <c r="R311" s="381"/>
      <c r="S311" s="379"/>
      <c r="V311" s="381"/>
      <c r="Y311" s="381"/>
      <c r="Z311" s="464"/>
      <c r="AA311" s="381"/>
      <c r="AB311" s="381"/>
      <c r="AC311" s="381"/>
      <c r="AD311" s="381"/>
      <c r="AE311" s="381"/>
      <c r="AF311" s="381"/>
      <c r="AI311" s="381"/>
      <c r="AJ311" s="381"/>
      <c r="AK311" s="162"/>
      <c r="AL311" s="381"/>
      <c r="AM311" s="50"/>
      <c r="AN311" s="50"/>
    </row>
    <row r="312" spans="1:40" x14ac:dyDescent="0.25">
      <c r="A312" s="53"/>
      <c r="C312" s="54"/>
      <c r="T312" s="54"/>
    </row>
    <row r="313" spans="1:40" x14ac:dyDescent="0.25">
      <c r="A313" s="53"/>
      <c r="C313" s="54"/>
      <c r="F313" s="379"/>
      <c r="H313" s="379"/>
      <c r="I313" s="379"/>
      <c r="L313" s="379"/>
      <c r="M313" s="379"/>
      <c r="N313" s="50"/>
      <c r="O313" s="50"/>
      <c r="P313" s="449"/>
      <c r="Q313" s="449"/>
      <c r="R313" s="379"/>
      <c r="T313" s="54"/>
      <c r="V313" s="379"/>
      <c r="Y313" s="379"/>
      <c r="AA313" s="379"/>
      <c r="AB313" s="379"/>
      <c r="AC313" s="50"/>
      <c r="AD313" s="50"/>
      <c r="AE313" s="379"/>
      <c r="AF313" s="379"/>
      <c r="AG313" s="156"/>
      <c r="AH313" s="50"/>
      <c r="AI313" s="449"/>
      <c r="AJ313" s="449"/>
      <c r="AK313" s="156"/>
      <c r="AL313" s="379"/>
      <c r="AM313" s="50"/>
      <c r="AN313" s="50"/>
    </row>
    <row r="314" spans="1:40" x14ac:dyDescent="0.25">
      <c r="F314" s="381"/>
      <c r="H314" s="381"/>
      <c r="I314" s="381"/>
      <c r="J314" s="464"/>
      <c r="K314" s="464"/>
      <c r="L314" s="381"/>
      <c r="M314" s="381"/>
      <c r="N314" s="381"/>
      <c r="O314" s="381"/>
      <c r="P314" s="381"/>
      <c r="Q314" s="381"/>
      <c r="R314" s="381"/>
      <c r="V314" s="381"/>
      <c r="Y314" s="381"/>
      <c r="Z314" s="464"/>
      <c r="AA314" s="381"/>
      <c r="AB314" s="381"/>
      <c r="AC314" s="381"/>
      <c r="AD314" s="381"/>
      <c r="AE314" s="381"/>
      <c r="AF314" s="381"/>
      <c r="AI314" s="381"/>
      <c r="AJ314" s="381"/>
      <c r="AK314" s="162"/>
      <c r="AL314" s="381"/>
    </row>
    <row r="316" spans="1:40" x14ac:dyDescent="0.25">
      <c r="C316" s="54"/>
      <c r="L316" s="379"/>
      <c r="M316" s="379"/>
      <c r="N316" s="379"/>
      <c r="O316" s="379"/>
      <c r="P316" s="379"/>
      <c r="Q316" s="379"/>
      <c r="R316" s="379"/>
      <c r="S316" s="379"/>
      <c r="T316" s="54"/>
      <c r="AA316" s="379"/>
      <c r="AB316" s="379"/>
      <c r="AC316" s="379"/>
      <c r="AD316" s="379"/>
      <c r="AI316" s="379"/>
      <c r="AJ316" s="379"/>
      <c r="AK316" s="156"/>
      <c r="AL316" s="379"/>
    </row>
    <row r="317" spans="1:40" x14ac:dyDescent="0.25">
      <c r="A317" s="54"/>
    </row>
    <row r="318" spans="1:40" x14ac:dyDescent="0.25">
      <c r="J318" s="53"/>
      <c r="K318" s="53"/>
      <c r="Z318" s="53"/>
    </row>
    <row r="319" spans="1:40" x14ac:dyDescent="0.25">
      <c r="H319" s="54"/>
      <c r="I319" s="54"/>
      <c r="Y319" s="54"/>
    </row>
    <row r="320" spans="1:40" x14ac:dyDescent="0.25">
      <c r="J320" s="53"/>
      <c r="K320" s="53"/>
      <c r="Z320" s="53"/>
    </row>
    <row r="321" spans="1:40" x14ac:dyDescent="0.25">
      <c r="L321" s="54"/>
      <c r="M321" s="54"/>
      <c r="AA321" s="54"/>
      <c r="AB321" s="54"/>
    </row>
    <row r="322" spans="1:40" x14ac:dyDescent="0.25">
      <c r="A322" s="53"/>
      <c r="R322" s="54"/>
      <c r="AK322" s="161"/>
      <c r="AL322" s="54"/>
    </row>
    <row r="323" spans="1:40" x14ac:dyDescent="0.25">
      <c r="A323" s="53"/>
      <c r="R323" s="54"/>
      <c r="AK323" s="161"/>
      <c r="AL323" s="54"/>
    </row>
    <row r="324" spans="1:40" x14ac:dyDescent="0.25">
      <c r="A324" s="54"/>
      <c r="R324" s="54"/>
      <c r="AK324" s="161"/>
      <c r="AL324" s="54"/>
    </row>
    <row r="325" spans="1:40" x14ac:dyDescent="0.25">
      <c r="L325" s="54"/>
      <c r="M325" s="54"/>
      <c r="R325" s="53"/>
      <c r="AA325" s="54"/>
      <c r="AB325" s="54"/>
      <c r="AK325" s="156"/>
      <c r="AL325" s="53"/>
    </row>
    <row r="326" spans="1:40" x14ac:dyDescent="0.25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154"/>
      <c r="AH326" s="55"/>
      <c r="AI326" s="55"/>
      <c r="AJ326" s="55"/>
      <c r="AK326" s="154"/>
      <c r="AL326" s="55"/>
      <c r="AM326" s="55"/>
      <c r="AN326" s="55"/>
    </row>
    <row r="327" spans="1:40" x14ac:dyDescent="0.25">
      <c r="L327" s="56"/>
      <c r="M327" s="56"/>
      <c r="N327" s="56"/>
      <c r="O327" s="56"/>
      <c r="R327" s="56"/>
      <c r="AA327" s="56"/>
      <c r="AB327" s="56"/>
      <c r="AC327" s="56"/>
      <c r="AD327" s="56"/>
      <c r="AE327" s="56"/>
      <c r="AF327" s="56"/>
      <c r="AG327" s="155"/>
      <c r="AH327" s="56"/>
      <c r="AK327" s="155"/>
      <c r="AL327" s="56"/>
      <c r="AM327" s="56"/>
      <c r="AN327" s="56"/>
    </row>
    <row r="328" spans="1:40" x14ac:dyDescent="0.25">
      <c r="L328" s="56"/>
      <c r="M328" s="56"/>
      <c r="N328" s="56"/>
      <c r="O328" s="56"/>
      <c r="R328" s="56"/>
      <c r="Z328" s="56"/>
      <c r="AA328" s="56"/>
      <c r="AB328" s="56"/>
      <c r="AC328" s="56"/>
      <c r="AD328" s="56"/>
      <c r="AE328" s="56"/>
      <c r="AF328" s="56"/>
      <c r="AG328" s="155"/>
      <c r="AH328" s="56"/>
      <c r="AK328" s="155"/>
      <c r="AL328" s="56"/>
      <c r="AM328" s="56"/>
      <c r="AN328" s="56"/>
    </row>
    <row r="329" spans="1:40" x14ac:dyDescent="0.25">
      <c r="A329" s="56"/>
      <c r="C329" s="56"/>
      <c r="D329" s="56"/>
      <c r="E329" s="56"/>
      <c r="F329" s="56"/>
      <c r="J329" s="56"/>
      <c r="K329" s="56"/>
      <c r="L329" s="56"/>
      <c r="M329" s="56"/>
      <c r="N329" s="56"/>
      <c r="O329" s="56"/>
      <c r="P329" s="56"/>
      <c r="Q329" s="56"/>
      <c r="R329" s="56"/>
      <c r="T329" s="56"/>
      <c r="U329" s="56"/>
      <c r="V329" s="56"/>
      <c r="Z329" s="56"/>
      <c r="AA329" s="56"/>
      <c r="AB329" s="56"/>
      <c r="AC329" s="56"/>
      <c r="AD329" s="56"/>
      <c r="AE329" s="56"/>
      <c r="AF329" s="56"/>
      <c r="AG329" s="155"/>
      <c r="AH329" s="56"/>
      <c r="AI329" s="56"/>
      <c r="AJ329" s="56"/>
      <c r="AK329" s="155"/>
      <c r="AL329" s="56"/>
      <c r="AM329" s="56"/>
      <c r="AN329" s="56"/>
    </row>
    <row r="330" spans="1:40" x14ac:dyDescent="0.25">
      <c r="A330" s="56"/>
      <c r="C330" s="56"/>
      <c r="D330" s="56"/>
      <c r="E330" s="56"/>
      <c r="F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T330" s="56"/>
      <c r="U330" s="56"/>
      <c r="V330" s="56"/>
      <c r="Y330" s="56"/>
      <c r="Z330" s="56"/>
      <c r="AA330" s="56"/>
      <c r="AB330" s="56"/>
      <c r="AC330" s="56"/>
      <c r="AD330" s="56"/>
      <c r="AE330" s="56"/>
      <c r="AF330" s="56"/>
      <c r="AG330" s="155"/>
      <c r="AH330" s="56"/>
      <c r="AI330" s="56"/>
      <c r="AJ330" s="56"/>
      <c r="AK330" s="155"/>
      <c r="AL330" s="56"/>
      <c r="AM330" s="56"/>
      <c r="AN330" s="56"/>
    </row>
    <row r="331" spans="1:40" x14ac:dyDescent="0.25">
      <c r="C331" s="56"/>
      <c r="D331" s="56"/>
      <c r="E331" s="56"/>
      <c r="F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T331" s="56"/>
      <c r="U331" s="56"/>
      <c r="V331" s="56"/>
      <c r="Y331" s="56"/>
      <c r="Z331" s="56"/>
      <c r="AA331" s="56"/>
      <c r="AB331" s="56"/>
      <c r="AC331" s="56"/>
      <c r="AD331" s="56"/>
      <c r="AE331" s="56"/>
      <c r="AF331" s="56"/>
      <c r="AG331" s="155"/>
      <c r="AH331" s="56"/>
      <c r="AI331" s="56"/>
      <c r="AJ331" s="56"/>
      <c r="AK331" s="155"/>
      <c r="AL331" s="56"/>
      <c r="AM331" s="56"/>
      <c r="AN331" s="56"/>
    </row>
    <row r="332" spans="1:40" x14ac:dyDescent="0.25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154"/>
      <c r="AH332" s="55"/>
      <c r="AI332" s="55"/>
      <c r="AJ332" s="55"/>
      <c r="AK332" s="154"/>
      <c r="AL332" s="55"/>
      <c r="AM332" s="55"/>
      <c r="AN332" s="55"/>
    </row>
    <row r="333" spans="1:40" x14ac:dyDescent="0.25"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Y333" s="56"/>
      <c r="Z333" s="56"/>
      <c r="AA333" s="56"/>
      <c r="AB333" s="56"/>
      <c r="AC333" s="56"/>
      <c r="AD333" s="56"/>
      <c r="AE333" s="56"/>
      <c r="AF333" s="56"/>
      <c r="AG333" s="155"/>
      <c r="AH333" s="56"/>
      <c r="AI333" s="56"/>
      <c r="AJ333" s="56"/>
      <c r="AK333" s="155"/>
      <c r="AL333" s="56"/>
      <c r="AM333" s="56"/>
      <c r="AN333" s="56"/>
    </row>
    <row r="334" spans="1:40" x14ac:dyDescent="0.25">
      <c r="A334" s="53"/>
      <c r="C334" s="54"/>
      <c r="D334" s="54"/>
      <c r="E334" s="54"/>
      <c r="T334" s="54"/>
      <c r="U334" s="54"/>
    </row>
    <row r="335" spans="1:40" x14ac:dyDescent="0.25">
      <c r="D335" s="54"/>
      <c r="E335" s="54"/>
      <c r="U335" s="54"/>
    </row>
    <row r="337" spans="1:40" x14ac:dyDescent="0.25">
      <c r="A337" s="53"/>
      <c r="C337" s="54"/>
      <c r="T337" s="54"/>
    </row>
    <row r="338" spans="1:40" x14ac:dyDescent="0.25">
      <c r="A338" s="53"/>
      <c r="C338" s="54"/>
      <c r="F338" s="449"/>
      <c r="H338" s="449"/>
      <c r="I338" s="449"/>
      <c r="J338" s="221"/>
      <c r="K338" s="221"/>
      <c r="L338" s="379"/>
      <c r="M338" s="379"/>
      <c r="N338" s="50"/>
      <c r="O338" s="50"/>
      <c r="P338" s="379"/>
      <c r="Q338" s="379"/>
      <c r="R338" s="379"/>
      <c r="T338" s="54"/>
      <c r="V338" s="449"/>
      <c r="W338" s="379"/>
      <c r="X338" s="379"/>
      <c r="Y338" s="449"/>
      <c r="Z338" s="221"/>
      <c r="AA338" s="379"/>
      <c r="AB338" s="379"/>
      <c r="AC338" s="50"/>
      <c r="AD338" s="50"/>
      <c r="AE338" s="379"/>
      <c r="AF338" s="379"/>
      <c r="AG338" s="156"/>
      <c r="AH338" s="60"/>
      <c r="AI338" s="379"/>
      <c r="AJ338" s="379"/>
      <c r="AK338" s="156"/>
      <c r="AL338" s="379"/>
      <c r="AM338" s="50"/>
      <c r="AN338" s="50"/>
    </row>
    <row r="339" spans="1:40" x14ac:dyDescent="0.25">
      <c r="A339" s="53"/>
      <c r="C339" s="54"/>
      <c r="F339" s="379"/>
      <c r="H339" s="379"/>
      <c r="I339" s="379"/>
      <c r="J339" s="464"/>
      <c r="K339" s="464"/>
      <c r="L339" s="379"/>
      <c r="M339" s="379"/>
      <c r="N339" s="50"/>
      <c r="O339" s="50"/>
      <c r="P339" s="379"/>
      <c r="Q339" s="379"/>
      <c r="R339" s="379"/>
      <c r="T339" s="54"/>
      <c r="V339" s="449"/>
      <c r="W339" s="379"/>
      <c r="X339" s="379"/>
      <c r="Y339" s="449"/>
      <c r="Z339" s="464"/>
      <c r="AA339" s="379"/>
      <c r="AB339" s="379"/>
      <c r="AC339" s="50"/>
      <c r="AD339" s="50"/>
      <c r="AE339" s="379"/>
      <c r="AF339" s="379"/>
      <c r="AG339" s="156"/>
      <c r="AH339" s="60"/>
      <c r="AI339" s="379"/>
      <c r="AJ339" s="379"/>
      <c r="AK339" s="156"/>
      <c r="AL339" s="379"/>
      <c r="AM339" s="50"/>
      <c r="AN339" s="50"/>
    </row>
    <row r="340" spans="1:40" x14ac:dyDescent="0.25">
      <c r="A340" s="53"/>
      <c r="C340" s="54"/>
      <c r="F340" s="449"/>
      <c r="H340" s="449"/>
      <c r="I340" s="449"/>
      <c r="J340" s="221"/>
      <c r="K340" s="221"/>
      <c r="L340" s="379"/>
      <c r="M340" s="379"/>
      <c r="N340" s="50"/>
      <c r="O340" s="50"/>
      <c r="P340" s="379"/>
      <c r="Q340" s="379"/>
      <c r="R340" s="379"/>
      <c r="T340" s="54"/>
      <c r="V340" s="449"/>
      <c r="W340" s="379"/>
      <c r="X340" s="379"/>
      <c r="Y340" s="449"/>
      <c r="Z340" s="221"/>
      <c r="AA340" s="379"/>
      <c r="AB340" s="379"/>
      <c r="AC340" s="50"/>
      <c r="AD340" s="50"/>
      <c r="AE340" s="379"/>
      <c r="AF340" s="379"/>
      <c r="AG340" s="156"/>
      <c r="AH340" s="60"/>
      <c r="AI340" s="379"/>
      <c r="AJ340" s="379"/>
      <c r="AK340" s="156"/>
      <c r="AL340" s="379"/>
      <c r="AM340" s="50"/>
      <c r="AN340" s="50"/>
    </row>
    <row r="341" spans="1:40" x14ac:dyDescent="0.25">
      <c r="A341" s="53"/>
      <c r="C341" s="54"/>
      <c r="F341" s="449"/>
      <c r="H341" s="449"/>
      <c r="I341" s="449"/>
      <c r="J341" s="221"/>
      <c r="K341" s="221"/>
      <c r="L341" s="379"/>
      <c r="M341" s="379"/>
      <c r="N341" s="50"/>
      <c r="O341" s="50"/>
      <c r="P341" s="379"/>
      <c r="Q341" s="379"/>
      <c r="R341" s="379"/>
      <c r="T341" s="54"/>
      <c r="V341" s="449"/>
      <c r="W341" s="379"/>
      <c r="X341" s="379"/>
      <c r="Y341" s="449"/>
      <c r="Z341" s="221"/>
      <c r="AA341" s="379"/>
      <c r="AB341" s="379"/>
      <c r="AC341" s="50"/>
      <c r="AD341" s="50"/>
      <c r="AE341" s="379"/>
      <c r="AF341" s="379"/>
      <c r="AG341" s="156"/>
      <c r="AH341" s="60"/>
      <c r="AI341" s="379"/>
      <c r="AJ341" s="379"/>
      <c r="AK341" s="156"/>
      <c r="AL341" s="379"/>
      <c r="AM341" s="50"/>
      <c r="AN341" s="50"/>
    </row>
    <row r="342" spans="1:40" x14ac:dyDescent="0.25">
      <c r="A342" s="53"/>
      <c r="C342" s="54"/>
      <c r="F342" s="449"/>
      <c r="H342" s="449"/>
      <c r="I342" s="449"/>
      <c r="J342" s="221"/>
      <c r="K342" s="221"/>
      <c r="L342" s="379"/>
      <c r="M342" s="379"/>
      <c r="N342" s="50"/>
      <c r="O342" s="50"/>
      <c r="P342" s="379"/>
      <c r="Q342" s="379"/>
      <c r="R342" s="379"/>
      <c r="T342" s="54"/>
      <c r="V342" s="449"/>
      <c r="W342" s="379"/>
      <c r="X342" s="379"/>
      <c r="Y342" s="449"/>
      <c r="Z342" s="221"/>
      <c r="AA342" s="379"/>
      <c r="AB342" s="379"/>
      <c r="AC342" s="50"/>
      <c r="AD342" s="50"/>
      <c r="AE342" s="379"/>
      <c r="AF342" s="379"/>
      <c r="AG342" s="156"/>
      <c r="AH342" s="60"/>
      <c r="AI342" s="379"/>
      <c r="AJ342" s="379"/>
      <c r="AK342" s="156"/>
      <c r="AL342" s="379"/>
      <c r="AM342" s="50"/>
      <c r="AN342" s="50"/>
    </row>
    <row r="343" spans="1:40" x14ac:dyDescent="0.25">
      <c r="A343" s="53"/>
      <c r="C343" s="54"/>
      <c r="F343" s="379"/>
      <c r="H343" s="379"/>
      <c r="I343" s="379"/>
      <c r="J343" s="221"/>
      <c r="K343" s="221"/>
      <c r="L343" s="379"/>
      <c r="M343" s="379"/>
      <c r="N343" s="50"/>
      <c r="O343" s="50"/>
      <c r="P343" s="379"/>
      <c r="Q343" s="379"/>
      <c r="R343" s="379"/>
      <c r="T343" s="54"/>
      <c r="V343" s="449"/>
      <c r="W343" s="379"/>
      <c r="X343" s="379"/>
      <c r="Y343" s="449"/>
      <c r="Z343" s="221"/>
      <c r="AA343" s="379"/>
      <c r="AB343" s="379"/>
      <c r="AC343" s="50"/>
      <c r="AD343" s="50"/>
      <c r="AE343" s="379"/>
      <c r="AF343" s="379"/>
      <c r="AG343" s="156"/>
      <c r="AH343" s="60"/>
      <c r="AI343" s="379"/>
      <c r="AJ343" s="379"/>
      <c r="AK343" s="156"/>
      <c r="AL343" s="379"/>
      <c r="AM343" s="50"/>
      <c r="AN343" s="50"/>
    </row>
    <row r="344" spans="1:40" x14ac:dyDescent="0.25">
      <c r="A344" s="53"/>
      <c r="C344" s="54"/>
      <c r="F344" s="379"/>
      <c r="H344" s="379"/>
      <c r="I344" s="379"/>
      <c r="J344" s="221"/>
      <c r="K344" s="221"/>
      <c r="L344" s="379"/>
      <c r="M344" s="379"/>
      <c r="N344" s="50"/>
      <c r="O344" s="50"/>
      <c r="P344" s="379"/>
      <c r="Q344" s="379"/>
      <c r="R344" s="379"/>
      <c r="T344" s="54"/>
      <c r="V344" s="449"/>
      <c r="W344" s="379"/>
      <c r="X344" s="379"/>
      <c r="Y344" s="449"/>
      <c r="Z344" s="221"/>
      <c r="AA344" s="379"/>
      <c r="AB344" s="379"/>
      <c r="AC344" s="50"/>
      <c r="AD344" s="50"/>
      <c r="AE344" s="379"/>
      <c r="AF344" s="379"/>
      <c r="AG344" s="156"/>
      <c r="AH344" s="60"/>
      <c r="AI344" s="379"/>
      <c r="AJ344" s="379"/>
      <c r="AK344" s="156"/>
      <c r="AL344" s="379"/>
      <c r="AM344" s="50"/>
      <c r="AN344" s="50"/>
    </row>
    <row r="345" spans="1:40" x14ac:dyDescent="0.25">
      <c r="F345" s="63"/>
      <c r="H345" s="479"/>
      <c r="I345" s="479"/>
      <c r="J345" s="221"/>
      <c r="K345" s="221"/>
      <c r="L345" s="63"/>
      <c r="M345" s="63"/>
      <c r="N345" s="381"/>
      <c r="O345" s="381"/>
      <c r="P345" s="63"/>
      <c r="Q345" s="63"/>
      <c r="R345" s="63"/>
      <c r="V345" s="63"/>
      <c r="W345" s="379"/>
      <c r="X345" s="379"/>
      <c r="Y345" s="63"/>
      <c r="Z345" s="221"/>
      <c r="AA345" s="63"/>
      <c r="AB345" s="63"/>
      <c r="AC345" s="64"/>
      <c r="AD345" s="64"/>
      <c r="AE345" s="63"/>
      <c r="AF345" s="63"/>
      <c r="AG345" s="156"/>
      <c r="AH345" s="60"/>
      <c r="AI345" s="63"/>
      <c r="AJ345" s="63"/>
      <c r="AK345" s="154"/>
      <c r="AL345" s="63"/>
      <c r="AM345" s="50"/>
      <c r="AN345" s="50"/>
    </row>
    <row r="346" spans="1:40" x14ac:dyDescent="0.25">
      <c r="A346" s="53"/>
      <c r="C346" s="54"/>
      <c r="F346" s="379"/>
      <c r="H346" s="379"/>
      <c r="I346" s="379"/>
      <c r="J346" s="221"/>
      <c r="K346" s="221"/>
      <c r="L346" s="379"/>
      <c r="M346" s="379"/>
      <c r="N346" s="60"/>
      <c r="O346" s="60"/>
      <c r="P346" s="379"/>
      <c r="Q346" s="379"/>
      <c r="R346" s="379"/>
      <c r="T346" s="56"/>
      <c r="V346" s="379"/>
      <c r="W346" s="379"/>
      <c r="X346" s="379"/>
      <c r="Y346" s="379"/>
      <c r="Z346" s="221"/>
      <c r="AA346" s="379"/>
      <c r="AB346" s="379"/>
      <c r="AC346" s="60"/>
      <c r="AD346" s="60"/>
      <c r="AE346" s="379"/>
      <c r="AF346" s="379"/>
      <c r="AG346" s="156"/>
      <c r="AH346" s="60"/>
      <c r="AI346" s="379"/>
      <c r="AJ346" s="379"/>
      <c r="AK346" s="156"/>
      <c r="AL346" s="379"/>
      <c r="AM346" s="50"/>
      <c r="AN346" s="50"/>
    </row>
    <row r="347" spans="1:40" x14ac:dyDescent="0.25">
      <c r="F347" s="55"/>
      <c r="H347" s="55"/>
      <c r="I347" s="55"/>
      <c r="L347" s="55"/>
      <c r="M347" s="55"/>
      <c r="N347" s="64"/>
      <c r="O347" s="64"/>
      <c r="P347" s="63"/>
      <c r="Q347" s="63"/>
      <c r="R347" s="63"/>
      <c r="V347" s="63"/>
      <c r="Y347" s="63"/>
      <c r="Z347" s="464"/>
      <c r="AA347" s="63"/>
      <c r="AB347" s="63"/>
      <c r="AC347" s="63"/>
      <c r="AD347" s="63"/>
      <c r="AE347" s="63"/>
      <c r="AF347" s="63"/>
      <c r="AI347" s="63"/>
      <c r="AJ347" s="63"/>
      <c r="AK347" s="154"/>
      <c r="AL347" s="63"/>
      <c r="AM347" s="64"/>
      <c r="AN347" s="64"/>
    </row>
    <row r="348" spans="1:40" x14ac:dyDescent="0.25">
      <c r="AI348" s="53"/>
      <c r="AJ348" s="53"/>
    </row>
    <row r="352" spans="1:40" x14ac:dyDescent="0.25">
      <c r="N352" s="379"/>
      <c r="O352" s="379"/>
      <c r="P352" s="379"/>
      <c r="Q352" s="379"/>
      <c r="R352" s="379"/>
      <c r="V352" s="379"/>
      <c r="Y352" s="379"/>
      <c r="Z352" s="59"/>
      <c r="AA352" s="379"/>
      <c r="AB352" s="379"/>
      <c r="AC352" s="50"/>
      <c r="AD352" s="50"/>
      <c r="AE352" s="379"/>
      <c r="AF352" s="379"/>
      <c r="AG352" s="156"/>
      <c r="AH352" s="60"/>
      <c r="AI352" s="379"/>
      <c r="AJ352" s="379"/>
      <c r="AK352" s="156"/>
      <c r="AL352" s="379"/>
      <c r="AM352" s="50"/>
      <c r="AN352" s="50"/>
    </row>
    <row r="353" spans="1:40" x14ac:dyDescent="0.25">
      <c r="A353" s="53"/>
      <c r="C353" s="54"/>
      <c r="D353" s="54"/>
      <c r="E353" s="54"/>
      <c r="J353" s="65"/>
      <c r="K353" s="65"/>
      <c r="T353" s="54"/>
      <c r="U353" s="54"/>
      <c r="Z353" s="65"/>
      <c r="AE353" s="379"/>
      <c r="AF353" s="379"/>
      <c r="AI353" s="379"/>
      <c r="AJ353" s="379"/>
      <c r="AK353" s="156"/>
      <c r="AL353" s="379"/>
      <c r="AM353" s="50"/>
      <c r="AN353" s="50"/>
    </row>
    <row r="354" spans="1:40" x14ac:dyDescent="0.25">
      <c r="D354" s="54"/>
      <c r="E354" s="54"/>
      <c r="F354" s="379"/>
      <c r="H354" s="379"/>
      <c r="I354" s="379"/>
      <c r="J354" s="221"/>
      <c r="K354" s="221"/>
      <c r="L354" s="379"/>
      <c r="M354" s="379"/>
      <c r="N354" s="50"/>
      <c r="O354" s="50"/>
      <c r="P354" s="379"/>
      <c r="Q354" s="379"/>
      <c r="R354" s="379"/>
      <c r="U354" s="54"/>
      <c r="V354" s="379"/>
      <c r="Y354" s="379"/>
      <c r="Z354" s="221"/>
      <c r="AA354" s="379"/>
      <c r="AB354" s="379"/>
      <c r="AC354" s="50"/>
      <c r="AD354" s="50"/>
      <c r="AE354" s="379"/>
      <c r="AF354" s="379"/>
      <c r="AG354" s="156"/>
      <c r="AH354" s="60"/>
      <c r="AI354" s="379"/>
      <c r="AJ354" s="379"/>
      <c r="AK354" s="156"/>
      <c r="AL354" s="379"/>
      <c r="AM354" s="50"/>
      <c r="AN354" s="50"/>
    </row>
    <row r="355" spans="1:40" x14ac:dyDescent="0.25">
      <c r="F355" s="379"/>
      <c r="H355" s="379"/>
      <c r="I355" s="379"/>
      <c r="J355" s="464"/>
      <c r="K355" s="464"/>
      <c r="L355" s="379"/>
      <c r="M355" s="379"/>
      <c r="N355" s="379"/>
      <c r="O355" s="379"/>
      <c r="P355" s="379"/>
      <c r="Q355" s="379"/>
      <c r="R355" s="379"/>
      <c r="V355" s="379"/>
      <c r="Y355" s="379"/>
      <c r="Z355" s="464"/>
      <c r="AA355" s="379"/>
      <c r="AB355" s="379"/>
      <c r="AC355" s="379"/>
      <c r="AD355" s="379"/>
      <c r="AE355" s="379"/>
      <c r="AF355" s="379"/>
      <c r="AG355" s="156"/>
      <c r="AH355" s="60"/>
      <c r="AI355" s="449"/>
      <c r="AJ355" s="449"/>
      <c r="AK355" s="156"/>
      <c r="AL355" s="379"/>
      <c r="AM355" s="50"/>
      <c r="AN355" s="50"/>
    </row>
    <row r="356" spans="1:40" x14ac:dyDescent="0.25">
      <c r="A356" s="53"/>
      <c r="C356" s="54"/>
      <c r="F356" s="449"/>
      <c r="H356" s="449"/>
      <c r="I356" s="449"/>
      <c r="J356" s="463"/>
      <c r="K356" s="463"/>
      <c r="L356" s="379"/>
      <c r="M356" s="379"/>
      <c r="N356" s="50"/>
      <c r="O356" s="50"/>
      <c r="P356" s="379"/>
      <c r="Q356" s="379"/>
      <c r="R356" s="379"/>
      <c r="T356" s="54"/>
      <c r="V356" s="449"/>
      <c r="Y356" s="449"/>
      <c r="Z356" s="463"/>
      <c r="AA356" s="379"/>
      <c r="AB356" s="379"/>
      <c r="AC356" s="50"/>
      <c r="AD356" s="50"/>
      <c r="AE356" s="379"/>
      <c r="AF356" s="379"/>
      <c r="AG356" s="156"/>
      <c r="AH356" s="60"/>
      <c r="AI356" s="379"/>
      <c r="AJ356" s="379"/>
      <c r="AK356" s="156"/>
      <c r="AL356" s="379"/>
      <c r="AM356" s="50"/>
      <c r="AN356" s="50"/>
    </row>
    <row r="357" spans="1:40" x14ac:dyDescent="0.25">
      <c r="F357" s="55"/>
      <c r="H357" s="55"/>
      <c r="I357" s="55"/>
      <c r="L357" s="55"/>
      <c r="M357" s="55"/>
      <c r="N357" s="55"/>
      <c r="O357" s="55"/>
      <c r="P357" s="55"/>
      <c r="Q357" s="55"/>
      <c r="R357" s="55"/>
      <c r="V357" s="55"/>
      <c r="Y357" s="55"/>
      <c r="AA357" s="55"/>
      <c r="AB357" s="55"/>
      <c r="AC357" s="55"/>
      <c r="AD357" s="55"/>
      <c r="AE357" s="55"/>
      <c r="AF357" s="55"/>
      <c r="AG357" s="154"/>
      <c r="AH357" s="55"/>
      <c r="AI357" s="55"/>
      <c r="AJ357" s="55"/>
      <c r="AK357" s="154"/>
      <c r="AL357" s="55"/>
      <c r="AM357" s="55"/>
      <c r="AN357" s="55"/>
    </row>
    <row r="358" spans="1:40" x14ac:dyDescent="0.25">
      <c r="A358" s="53"/>
      <c r="C358" s="56"/>
      <c r="F358" s="449"/>
      <c r="H358" s="449"/>
      <c r="I358" s="449"/>
      <c r="J358" s="461"/>
      <c r="K358" s="461"/>
      <c r="L358" s="449"/>
      <c r="M358" s="449"/>
      <c r="N358" s="50"/>
      <c r="O358" s="50"/>
      <c r="P358" s="449"/>
      <c r="Q358" s="449"/>
      <c r="R358" s="449"/>
      <c r="T358" s="56"/>
      <c r="V358" s="379"/>
      <c r="Y358" s="379"/>
      <c r="Z358" s="59"/>
      <c r="AA358" s="379"/>
      <c r="AB358" s="379"/>
      <c r="AC358" s="50"/>
      <c r="AD358" s="50"/>
      <c r="AE358" s="53"/>
      <c r="AF358" s="53"/>
      <c r="AG358" s="156"/>
      <c r="AH358" s="60"/>
      <c r="AI358" s="379"/>
      <c r="AJ358" s="379"/>
      <c r="AK358" s="156"/>
      <c r="AL358" s="379"/>
      <c r="AM358" s="50"/>
      <c r="AN358" s="50"/>
    </row>
    <row r="359" spans="1:40" x14ac:dyDescent="0.25">
      <c r="F359" s="63"/>
      <c r="H359" s="63"/>
      <c r="I359" s="63"/>
      <c r="J359" s="464"/>
      <c r="K359" s="464"/>
      <c r="L359" s="63"/>
      <c r="M359" s="63"/>
      <c r="N359" s="63"/>
      <c r="O359" s="63"/>
      <c r="P359" s="63"/>
      <c r="Q359" s="63"/>
      <c r="R359" s="63"/>
      <c r="V359" s="55"/>
      <c r="Y359" s="55"/>
      <c r="AA359" s="55"/>
      <c r="AB359" s="55"/>
      <c r="AC359" s="55"/>
      <c r="AD359" s="55"/>
      <c r="AE359" s="55"/>
      <c r="AF359" s="55"/>
      <c r="AG359" s="154"/>
      <c r="AH359" s="55"/>
      <c r="AI359" s="55"/>
      <c r="AJ359" s="55"/>
      <c r="AK359" s="154"/>
      <c r="AL359" s="55"/>
      <c r="AM359" s="55"/>
      <c r="AN359" s="55"/>
    </row>
    <row r="360" spans="1:40" x14ac:dyDescent="0.25">
      <c r="F360" s="449"/>
      <c r="H360" s="449"/>
      <c r="I360" s="449"/>
      <c r="J360" s="477"/>
      <c r="K360" s="477"/>
      <c r="L360" s="379"/>
      <c r="M360" s="379"/>
      <c r="N360" s="50"/>
      <c r="O360" s="50"/>
      <c r="P360" s="379"/>
      <c r="Q360" s="379"/>
      <c r="R360" s="379"/>
    </row>
    <row r="361" spans="1:40" x14ac:dyDescent="0.25">
      <c r="A361" s="54"/>
      <c r="F361" s="449"/>
      <c r="H361" s="449"/>
      <c r="I361" s="449"/>
      <c r="J361" s="461"/>
      <c r="K361" s="461"/>
      <c r="L361" s="379"/>
      <c r="M361" s="379"/>
      <c r="N361" s="50"/>
      <c r="O361" s="50"/>
      <c r="P361" s="379"/>
      <c r="Q361" s="379"/>
      <c r="R361" s="379"/>
    </row>
    <row r="362" spans="1:40" x14ac:dyDescent="0.25">
      <c r="F362" s="449"/>
      <c r="H362" s="449"/>
      <c r="I362" s="449"/>
      <c r="J362" s="461"/>
      <c r="K362" s="461"/>
      <c r="L362" s="379"/>
      <c r="M362" s="379"/>
      <c r="N362" s="50"/>
      <c r="O362" s="50"/>
      <c r="P362" s="379"/>
      <c r="Q362" s="379"/>
      <c r="R362" s="379"/>
    </row>
    <row r="363" spans="1:40" x14ac:dyDescent="0.25">
      <c r="A363" s="54"/>
    </row>
    <row r="365" spans="1:40" x14ac:dyDescent="0.25">
      <c r="J365" s="53"/>
      <c r="K365" s="53"/>
      <c r="Z365" s="53"/>
    </row>
    <row r="366" spans="1:40" x14ac:dyDescent="0.25">
      <c r="H366" s="54"/>
      <c r="I366" s="54"/>
      <c r="Y366" s="54"/>
    </row>
    <row r="367" spans="1:40" x14ac:dyDescent="0.25">
      <c r="J367" s="53"/>
      <c r="K367" s="53"/>
      <c r="Z367" s="53"/>
    </row>
    <row r="368" spans="1:40" x14ac:dyDescent="0.25">
      <c r="L368" s="54"/>
      <c r="M368" s="54"/>
      <c r="AA368" s="54"/>
      <c r="AB368" s="54"/>
    </row>
    <row r="369" spans="1:40" x14ac:dyDescent="0.25">
      <c r="A369" s="53"/>
      <c r="R369" s="54"/>
      <c r="AK369" s="161"/>
      <c r="AL369" s="54"/>
    </row>
    <row r="370" spans="1:40" x14ac:dyDescent="0.25">
      <c r="A370" s="53"/>
      <c r="R370" s="54"/>
      <c r="AK370" s="161"/>
      <c r="AL370" s="54"/>
    </row>
    <row r="371" spans="1:40" x14ac:dyDescent="0.25">
      <c r="A371" s="54"/>
      <c r="R371" s="54"/>
      <c r="AK371" s="161"/>
      <c r="AL371" s="54"/>
    </row>
    <row r="372" spans="1:40" x14ac:dyDescent="0.25">
      <c r="L372" s="54"/>
      <c r="M372" s="54"/>
      <c r="R372" s="53"/>
      <c r="AA372" s="54"/>
      <c r="AB372" s="54"/>
      <c r="AK372" s="156"/>
      <c r="AL372" s="53"/>
    </row>
    <row r="373" spans="1:40" x14ac:dyDescent="0.25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154"/>
      <c r="AH373" s="55"/>
      <c r="AI373" s="55"/>
      <c r="AJ373" s="55"/>
      <c r="AK373" s="154"/>
      <c r="AL373" s="55"/>
      <c r="AM373" s="55"/>
      <c r="AN373" s="55"/>
    </row>
    <row r="374" spans="1:40" x14ac:dyDescent="0.25">
      <c r="L374" s="56"/>
      <c r="M374" s="56"/>
      <c r="N374" s="56"/>
      <c r="O374" s="56"/>
      <c r="R374" s="56"/>
      <c r="AA374" s="56"/>
      <c r="AB374" s="56"/>
      <c r="AC374" s="56"/>
      <c r="AD374" s="56"/>
      <c r="AE374" s="56"/>
      <c r="AF374" s="56"/>
      <c r="AG374" s="155"/>
      <c r="AH374" s="56"/>
      <c r="AK374" s="155"/>
      <c r="AL374" s="56"/>
      <c r="AM374" s="56"/>
      <c r="AN374" s="56"/>
    </row>
    <row r="375" spans="1:40" x14ac:dyDescent="0.25">
      <c r="L375" s="56"/>
      <c r="M375" s="56"/>
      <c r="N375" s="56"/>
      <c r="O375" s="56"/>
      <c r="R375" s="56"/>
      <c r="Z375" s="56"/>
      <c r="AA375" s="56"/>
      <c r="AB375" s="56"/>
      <c r="AC375" s="56"/>
      <c r="AD375" s="56"/>
      <c r="AE375" s="56"/>
      <c r="AF375" s="56"/>
      <c r="AG375" s="155"/>
      <c r="AH375" s="56"/>
      <c r="AK375" s="155"/>
      <c r="AL375" s="56"/>
      <c r="AM375" s="56"/>
      <c r="AN375" s="56"/>
    </row>
    <row r="376" spans="1:40" x14ac:dyDescent="0.25">
      <c r="A376" s="56"/>
      <c r="C376" s="56"/>
      <c r="D376" s="56"/>
      <c r="E376" s="56"/>
      <c r="F376" s="56"/>
      <c r="J376" s="56"/>
      <c r="K376" s="56"/>
      <c r="L376" s="56"/>
      <c r="M376" s="56"/>
      <c r="N376" s="56"/>
      <c r="O376" s="56"/>
      <c r="P376" s="56"/>
      <c r="Q376" s="56"/>
      <c r="R376" s="56"/>
      <c r="T376" s="56"/>
      <c r="U376" s="56"/>
      <c r="V376" s="56"/>
      <c r="Z376" s="56"/>
      <c r="AA376" s="56"/>
      <c r="AB376" s="56"/>
      <c r="AC376" s="56"/>
      <c r="AD376" s="56"/>
      <c r="AE376" s="56"/>
      <c r="AF376" s="56"/>
      <c r="AG376" s="155"/>
      <c r="AH376" s="56"/>
      <c r="AI376" s="56"/>
      <c r="AJ376" s="56"/>
      <c r="AK376" s="155"/>
      <c r="AL376" s="56"/>
      <c r="AM376" s="56"/>
      <c r="AN376" s="56"/>
    </row>
    <row r="377" spans="1:40" x14ac:dyDescent="0.25">
      <c r="A377" s="56"/>
      <c r="C377" s="56"/>
      <c r="D377" s="56"/>
      <c r="E377" s="56"/>
      <c r="F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T377" s="56"/>
      <c r="U377" s="56"/>
      <c r="V377" s="56"/>
      <c r="Y377" s="56"/>
      <c r="Z377" s="56"/>
      <c r="AA377" s="56"/>
      <c r="AB377" s="56"/>
      <c r="AC377" s="56"/>
      <c r="AD377" s="56"/>
      <c r="AE377" s="56"/>
      <c r="AF377" s="56"/>
      <c r="AG377" s="155"/>
      <c r="AH377" s="56"/>
      <c r="AI377" s="56"/>
      <c r="AJ377" s="56"/>
      <c r="AK377" s="155"/>
      <c r="AL377" s="56"/>
      <c r="AM377" s="56"/>
      <c r="AN377" s="56"/>
    </row>
    <row r="378" spans="1:40" x14ac:dyDescent="0.25">
      <c r="C378" s="56"/>
      <c r="D378" s="56"/>
      <c r="E378" s="56"/>
      <c r="F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T378" s="56"/>
      <c r="U378" s="56"/>
      <c r="V378" s="56"/>
      <c r="Y378" s="56"/>
      <c r="Z378" s="56"/>
      <c r="AA378" s="56"/>
      <c r="AB378" s="56"/>
      <c r="AC378" s="56"/>
      <c r="AD378" s="56"/>
      <c r="AE378" s="56"/>
      <c r="AF378" s="56"/>
      <c r="AG378" s="155"/>
      <c r="AH378" s="56"/>
      <c r="AI378" s="56"/>
      <c r="AJ378" s="56"/>
      <c r="AK378" s="155"/>
      <c r="AL378" s="56"/>
      <c r="AM378" s="56"/>
      <c r="AN378" s="56"/>
    </row>
    <row r="379" spans="1:40" x14ac:dyDescent="0.25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154"/>
      <c r="AH379" s="55"/>
      <c r="AI379" s="55"/>
      <c r="AJ379" s="55"/>
      <c r="AK379" s="154"/>
      <c r="AL379" s="55"/>
      <c r="AM379" s="55"/>
      <c r="AN379" s="55"/>
    </row>
    <row r="380" spans="1:40" x14ac:dyDescent="0.25"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Y380" s="56"/>
      <c r="Z380" s="56"/>
      <c r="AA380" s="56"/>
      <c r="AB380" s="56"/>
      <c r="AC380" s="56"/>
      <c r="AD380" s="56"/>
      <c r="AE380" s="56"/>
      <c r="AF380" s="56"/>
      <c r="AG380" s="155"/>
      <c r="AH380" s="56"/>
      <c r="AI380" s="56"/>
      <c r="AJ380" s="56"/>
      <c r="AK380" s="155"/>
      <c r="AL380" s="56"/>
      <c r="AM380" s="56"/>
      <c r="AN380" s="56"/>
    </row>
    <row r="381" spans="1:40" x14ac:dyDescent="0.25">
      <c r="A381" s="53"/>
      <c r="C381" s="54"/>
      <c r="D381" s="54"/>
      <c r="E381" s="54"/>
      <c r="T381" s="54"/>
      <c r="U381" s="54"/>
    </row>
    <row r="383" spans="1:40" x14ac:dyDescent="0.25">
      <c r="A383" s="53"/>
      <c r="C383" s="54"/>
      <c r="T383" s="54"/>
    </row>
    <row r="384" spans="1:40" x14ac:dyDescent="0.25">
      <c r="A384" s="53"/>
      <c r="C384" s="54"/>
      <c r="F384" s="449"/>
      <c r="H384" s="449"/>
      <c r="I384" s="449"/>
      <c r="J384" s="464"/>
      <c r="K384" s="464"/>
      <c r="L384" s="379"/>
      <c r="M384" s="379"/>
      <c r="N384" s="50"/>
      <c r="O384" s="50"/>
      <c r="P384" s="379"/>
      <c r="Q384" s="379"/>
      <c r="R384" s="379"/>
      <c r="T384" s="54"/>
      <c r="V384" s="449"/>
      <c r="Y384" s="449"/>
      <c r="Z384" s="464"/>
      <c r="AA384" s="379"/>
      <c r="AB384" s="379"/>
      <c r="AC384" s="50"/>
      <c r="AD384" s="50"/>
      <c r="AE384" s="379"/>
      <c r="AF384" s="379"/>
      <c r="AG384" s="156"/>
      <c r="AH384" s="60"/>
      <c r="AI384" s="379"/>
      <c r="AJ384" s="379"/>
      <c r="AK384" s="156"/>
      <c r="AL384" s="379"/>
      <c r="AM384" s="50"/>
      <c r="AN384" s="50"/>
    </row>
    <row r="385" spans="1:40" x14ac:dyDescent="0.25">
      <c r="A385" s="53"/>
      <c r="C385" s="54"/>
      <c r="T385" s="54"/>
    </row>
    <row r="386" spans="1:40" x14ac:dyDescent="0.25">
      <c r="A386" s="53"/>
      <c r="C386" s="54"/>
      <c r="F386" s="449"/>
      <c r="H386" s="449"/>
      <c r="I386" s="449"/>
      <c r="J386" s="221"/>
      <c r="K386" s="221"/>
      <c r="L386" s="379"/>
      <c r="M386" s="379"/>
      <c r="N386" s="50"/>
      <c r="O386" s="50"/>
      <c r="P386" s="379"/>
      <c r="Q386" s="379"/>
      <c r="R386" s="379"/>
      <c r="T386" s="54"/>
      <c r="V386" s="379"/>
      <c r="Y386" s="379"/>
      <c r="Z386" s="221"/>
      <c r="AA386" s="379"/>
      <c r="AB386" s="379"/>
      <c r="AC386" s="50"/>
      <c r="AD386" s="50"/>
      <c r="AE386" s="379"/>
      <c r="AF386" s="379"/>
      <c r="AG386" s="156"/>
      <c r="AH386" s="60"/>
      <c r="AI386" s="379"/>
      <c r="AJ386" s="379"/>
      <c r="AK386" s="156"/>
      <c r="AL386" s="379"/>
      <c r="AM386" s="50"/>
      <c r="AN386" s="50"/>
    </row>
    <row r="387" spans="1:40" x14ac:dyDescent="0.25">
      <c r="A387" s="53"/>
      <c r="C387" s="54"/>
      <c r="F387" s="449"/>
      <c r="H387" s="449"/>
      <c r="I387" s="449"/>
      <c r="J387" s="221"/>
      <c r="K387" s="221"/>
      <c r="L387" s="379"/>
      <c r="M387" s="379"/>
      <c r="N387" s="50"/>
      <c r="O387" s="50"/>
      <c r="P387" s="379"/>
      <c r="Q387" s="379"/>
      <c r="R387" s="379"/>
      <c r="T387" s="54"/>
      <c r="V387" s="379"/>
      <c r="Y387" s="379"/>
      <c r="Z387" s="221"/>
      <c r="AA387" s="379"/>
      <c r="AB387" s="379"/>
      <c r="AC387" s="50"/>
      <c r="AD387" s="50"/>
      <c r="AE387" s="379"/>
      <c r="AF387" s="379"/>
      <c r="AG387" s="156"/>
      <c r="AH387" s="60"/>
      <c r="AI387" s="379"/>
      <c r="AJ387" s="379"/>
      <c r="AK387" s="156"/>
      <c r="AL387" s="379"/>
      <c r="AM387" s="50"/>
      <c r="AN387" s="50"/>
    </row>
    <row r="388" spans="1:40" x14ac:dyDescent="0.25">
      <c r="A388" s="53"/>
      <c r="C388" s="54"/>
      <c r="F388" s="449"/>
      <c r="H388" s="449"/>
      <c r="I388" s="449"/>
      <c r="J388" s="221"/>
      <c r="K388" s="221"/>
      <c r="L388" s="379"/>
      <c r="M388" s="379"/>
      <c r="N388" s="50"/>
      <c r="O388" s="50"/>
      <c r="P388" s="379"/>
      <c r="Q388" s="379"/>
      <c r="R388" s="379"/>
      <c r="T388" s="54"/>
      <c r="V388" s="379"/>
      <c r="Y388" s="379"/>
      <c r="Z388" s="221"/>
      <c r="AA388" s="379"/>
      <c r="AB388" s="379"/>
      <c r="AC388" s="50"/>
      <c r="AD388" s="50"/>
      <c r="AE388" s="379"/>
      <c r="AF388" s="379"/>
      <c r="AG388" s="156"/>
      <c r="AH388" s="60"/>
      <c r="AI388" s="379"/>
      <c r="AJ388" s="379"/>
      <c r="AK388" s="156"/>
      <c r="AL388" s="379"/>
      <c r="AM388" s="50"/>
      <c r="AN388" s="50"/>
    </row>
    <row r="389" spans="1:40" x14ac:dyDescent="0.25">
      <c r="A389" s="53"/>
      <c r="C389" s="54"/>
      <c r="F389" s="449"/>
      <c r="H389" s="449"/>
      <c r="I389" s="449"/>
      <c r="J389" s="221"/>
      <c r="K389" s="221"/>
      <c r="L389" s="379"/>
      <c r="M389" s="379"/>
      <c r="N389" s="50"/>
      <c r="O389" s="50"/>
      <c r="P389" s="379"/>
      <c r="Q389" s="379"/>
      <c r="R389" s="379"/>
      <c r="T389" s="54"/>
      <c r="V389" s="379"/>
      <c r="Y389" s="379"/>
      <c r="Z389" s="221"/>
      <c r="AA389" s="379"/>
      <c r="AB389" s="379"/>
      <c r="AC389" s="50"/>
      <c r="AD389" s="50"/>
      <c r="AE389" s="379"/>
      <c r="AF389" s="379"/>
      <c r="AG389" s="156"/>
      <c r="AH389" s="60"/>
      <c r="AI389" s="379"/>
      <c r="AJ389" s="379"/>
      <c r="AK389" s="156"/>
      <c r="AL389" s="379"/>
      <c r="AM389" s="50"/>
      <c r="AN389" s="50"/>
    </row>
    <row r="390" spans="1:40" x14ac:dyDescent="0.25">
      <c r="A390" s="53"/>
      <c r="C390" s="54"/>
      <c r="J390" s="65"/>
      <c r="K390" s="65"/>
      <c r="T390" s="54"/>
      <c r="Z390" s="65"/>
    </row>
    <row r="391" spans="1:40" x14ac:dyDescent="0.25">
      <c r="A391" s="53"/>
      <c r="C391" s="54"/>
      <c r="F391" s="449"/>
      <c r="H391" s="449"/>
      <c r="I391" s="449"/>
      <c r="J391" s="221"/>
      <c r="K391" s="221"/>
      <c r="L391" s="379"/>
      <c r="M391" s="379"/>
      <c r="N391" s="50"/>
      <c r="O391" s="50"/>
      <c r="P391" s="379"/>
      <c r="Q391" s="379"/>
      <c r="R391" s="379"/>
      <c r="T391" s="54"/>
      <c r="V391" s="379"/>
      <c r="Y391" s="379"/>
      <c r="Z391" s="221"/>
      <c r="AA391" s="379"/>
      <c r="AB391" s="379"/>
      <c r="AC391" s="50"/>
      <c r="AD391" s="50"/>
      <c r="AE391" s="379"/>
      <c r="AF391" s="379"/>
      <c r="AG391" s="156"/>
      <c r="AH391" s="60"/>
      <c r="AI391" s="379"/>
      <c r="AJ391" s="379"/>
      <c r="AK391" s="156"/>
      <c r="AL391" s="379"/>
      <c r="AM391" s="50"/>
      <c r="AN391" s="50"/>
    </row>
    <row r="392" spans="1:40" x14ac:dyDescent="0.25">
      <c r="A392" s="53"/>
      <c r="C392" s="54"/>
      <c r="F392" s="449"/>
      <c r="H392" s="449"/>
      <c r="I392" s="449"/>
      <c r="J392" s="221"/>
      <c r="K392" s="221"/>
      <c r="L392" s="379"/>
      <c r="M392" s="379"/>
      <c r="N392" s="50"/>
      <c r="O392" s="50"/>
      <c r="P392" s="379"/>
      <c r="Q392" s="379"/>
      <c r="R392" s="379"/>
      <c r="T392" s="54"/>
      <c r="V392" s="379"/>
      <c r="Y392" s="379"/>
      <c r="Z392" s="221"/>
      <c r="AA392" s="379"/>
      <c r="AB392" s="379"/>
      <c r="AC392" s="50"/>
      <c r="AD392" s="50"/>
      <c r="AE392" s="379"/>
      <c r="AF392" s="379"/>
      <c r="AG392" s="156"/>
      <c r="AH392" s="60"/>
      <c r="AI392" s="379"/>
      <c r="AJ392" s="379"/>
      <c r="AK392" s="156"/>
      <c r="AL392" s="379"/>
      <c r="AM392" s="50"/>
      <c r="AN392" s="50"/>
    </row>
    <row r="393" spans="1:40" x14ac:dyDescent="0.25">
      <c r="A393" s="53"/>
      <c r="C393" s="54"/>
      <c r="F393" s="449"/>
      <c r="H393" s="449"/>
      <c r="I393" s="449"/>
      <c r="J393" s="221"/>
      <c r="K393" s="221"/>
      <c r="L393" s="379"/>
      <c r="M393" s="379"/>
      <c r="N393" s="50"/>
      <c r="O393" s="50"/>
      <c r="P393" s="379"/>
      <c r="Q393" s="379"/>
      <c r="R393" s="379"/>
      <c r="T393" s="54"/>
      <c r="V393" s="379"/>
      <c r="Y393" s="379"/>
      <c r="Z393" s="221"/>
      <c r="AA393" s="379"/>
      <c r="AB393" s="379"/>
      <c r="AC393" s="50"/>
      <c r="AD393" s="50"/>
      <c r="AE393" s="379"/>
      <c r="AF393" s="379"/>
      <c r="AG393" s="156"/>
      <c r="AH393" s="60"/>
      <c r="AI393" s="379"/>
      <c r="AJ393" s="379"/>
      <c r="AK393" s="156"/>
      <c r="AL393" s="379"/>
      <c r="AM393" s="50"/>
      <c r="AN393" s="50"/>
    </row>
    <row r="394" spans="1:40" x14ac:dyDescent="0.25">
      <c r="A394" s="53"/>
      <c r="C394" s="54"/>
      <c r="J394" s="65"/>
      <c r="K394" s="65"/>
      <c r="T394" s="54"/>
      <c r="Z394" s="65"/>
    </row>
    <row r="395" spans="1:40" x14ac:dyDescent="0.25">
      <c r="A395" s="53"/>
      <c r="C395" s="54"/>
      <c r="F395" s="449"/>
      <c r="H395" s="449"/>
      <c r="I395" s="449"/>
      <c r="J395" s="221"/>
      <c r="K395" s="221"/>
      <c r="L395" s="379"/>
      <c r="M395" s="379"/>
      <c r="N395" s="50"/>
      <c r="O395" s="50"/>
      <c r="P395" s="379"/>
      <c r="Q395" s="379"/>
      <c r="R395" s="379"/>
      <c r="T395" s="54"/>
      <c r="V395" s="379"/>
      <c r="Y395" s="379"/>
      <c r="Z395" s="221"/>
      <c r="AA395" s="379"/>
      <c r="AB395" s="379"/>
      <c r="AC395" s="50"/>
      <c r="AD395" s="50"/>
      <c r="AE395" s="379"/>
      <c r="AF395" s="379"/>
      <c r="AG395" s="156"/>
      <c r="AH395" s="60"/>
      <c r="AI395" s="379"/>
      <c r="AJ395" s="379"/>
      <c r="AK395" s="156"/>
      <c r="AL395" s="379"/>
      <c r="AM395" s="50"/>
      <c r="AN395" s="50"/>
    </row>
    <row r="396" spans="1:40" x14ac:dyDescent="0.25">
      <c r="A396" s="53"/>
      <c r="C396" s="54"/>
      <c r="F396" s="449"/>
      <c r="H396" s="449"/>
      <c r="I396" s="449"/>
      <c r="J396" s="221"/>
      <c r="K396" s="221"/>
      <c r="L396" s="379"/>
      <c r="M396" s="379"/>
      <c r="N396" s="50"/>
      <c r="O396" s="50"/>
      <c r="P396" s="379"/>
      <c r="Q396" s="379"/>
      <c r="R396" s="379"/>
      <c r="T396" s="54"/>
      <c r="V396" s="379"/>
      <c r="Y396" s="379"/>
      <c r="Z396" s="221"/>
      <c r="AA396" s="379"/>
      <c r="AB396" s="379"/>
      <c r="AC396" s="50"/>
      <c r="AD396" s="50"/>
      <c r="AE396" s="379"/>
      <c r="AF396" s="379"/>
      <c r="AG396" s="156"/>
      <c r="AH396" s="60"/>
      <c r="AI396" s="379"/>
      <c r="AJ396" s="379"/>
      <c r="AK396" s="156"/>
      <c r="AL396" s="379"/>
      <c r="AM396" s="50"/>
      <c r="AN396" s="50"/>
    </row>
    <row r="397" spans="1:40" x14ac:dyDescent="0.25">
      <c r="A397" s="53"/>
      <c r="C397" s="54"/>
      <c r="J397" s="65"/>
      <c r="K397" s="65"/>
      <c r="T397" s="54"/>
      <c r="Z397" s="65"/>
    </row>
    <row r="398" spans="1:40" x14ac:dyDescent="0.25">
      <c r="A398" s="53"/>
      <c r="C398" s="54"/>
      <c r="F398" s="449"/>
      <c r="H398" s="449"/>
      <c r="I398" s="449"/>
      <c r="J398" s="221"/>
      <c r="K398" s="221"/>
      <c r="L398" s="379"/>
      <c r="M398" s="379"/>
      <c r="N398" s="50"/>
      <c r="O398" s="50"/>
      <c r="P398" s="379"/>
      <c r="Q398" s="379"/>
      <c r="R398" s="379"/>
      <c r="T398" s="54"/>
      <c r="V398" s="379"/>
      <c r="Y398" s="379"/>
      <c r="Z398" s="221"/>
      <c r="AA398" s="379"/>
      <c r="AB398" s="379"/>
      <c r="AC398" s="50"/>
      <c r="AD398" s="50"/>
      <c r="AE398" s="379"/>
      <c r="AF398" s="379"/>
      <c r="AG398" s="156"/>
      <c r="AH398" s="60"/>
      <c r="AI398" s="379"/>
      <c r="AJ398" s="379"/>
      <c r="AK398" s="156"/>
      <c r="AL398" s="379"/>
      <c r="AM398" s="50"/>
      <c r="AN398" s="50"/>
    </row>
    <row r="399" spans="1:40" x14ac:dyDescent="0.25">
      <c r="A399" s="53"/>
      <c r="C399" s="54"/>
      <c r="F399" s="449"/>
      <c r="H399" s="449"/>
      <c r="I399" s="449"/>
      <c r="J399" s="221"/>
      <c r="K399" s="221"/>
      <c r="L399" s="379"/>
      <c r="M399" s="379"/>
      <c r="N399" s="50"/>
      <c r="O399" s="50"/>
      <c r="P399" s="379"/>
      <c r="Q399" s="379"/>
      <c r="R399" s="379"/>
      <c r="T399" s="54"/>
      <c r="V399" s="379"/>
      <c r="Y399" s="379"/>
      <c r="Z399" s="221"/>
      <c r="AA399" s="379"/>
      <c r="AB399" s="379"/>
      <c r="AC399" s="50"/>
      <c r="AD399" s="50"/>
      <c r="AE399" s="379"/>
      <c r="AF399" s="379"/>
      <c r="AG399" s="156"/>
      <c r="AH399" s="60"/>
      <c r="AI399" s="379"/>
      <c r="AJ399" s="379"/>
      <c r="AK399" s="156"/>
      <c r="AL399" s="379"/>
      <c r="AM399" s="50"/>
      <c r="AN399" s="50"/>
    </row>
    <row r="400" spans="1:40" x14ac:dyDescent="0.25">
      <c r="A400" s="53"/>
      <c r="C400" s="54"/>
      <c r="F400" s="449"/>
      <c r="H400" s="449"/>
      <c r="I400" s="449"/>
      <c r="J400" s="221"/>
      <c r="K400" s="221"/>
      <c r="L400" s="379"/>
      <c r="M400" s="379"/>
      <c r="N400" s="50"/>
      <c r="O400" s="50"/>
      <c r="P400" s="379"/>
      <c r="Q400" s="379"/>
      <c r="R400" s="379"/>
      <c r="T400" s="54"/>
      <c r="V400" s="379"/>
      <c r="Y400" s="379"/>
      <c r="Z400" s="221"/>
      <c r="AA400" s="379"/>
      <c r="AB400" s="379"/>
      <c r="AC400" s="50"/>
      <c r="AD400" s="50"/>
      <c r="AE400" s="379"/>
      <c r="AF400" s="379"/>
      <c r="AG400" s="156"/>
      <c r="AH400" s="60"/>
      <c r="AI400" s="379"/>
      <c r="AJ400" s="379"/>
      <c r="AK400" s="156"/>
      <c r="AL400" s="379"/>
      <c r="AM400" s="50"/>
      <c r="AN400" s="50"/>
    </row>
    <row r="401" spans="1:40" x14ac:dyDescent="0.25">
      <c r="F401" s="381"/>
      <c r="H401" s="381"/>
      <c r="I401" s="381"/>
      <c r="J401" s="221"/>
      <c r="K401" s="221"/>
      <c r="L401" s="381"/>
      <c r="M401" s="381"/>
      <c r="N401" s="381"/>
      <c r="O401" s="381"/>
      <c r="P401" s="381"/>
      <c r="Q401" s="381"/>
      <c r="R401" s="381"/>
      <c r="V401" s="381"/>
      <c r="Y401" s="381"/>
      <c r="Z401" s="221"/>
      <c r="AA401" s="381"/>
      <c r="AB401" s="381"/>
      <c r="AC401" s="381"/>
      <c r="AD401" s="381"/>
      <c r="AE401" s="381"/>
      <c r="AF401" s="381"/>
      <c r="AI401" s="381"/>
      <c r="AJ401" s="381"/>
      <c r="AK401" s="162"/>
      <c r="AL401" s="381"/>
    </row>
    <row r="402" spans="1:40" x14ac:dyDescent="0.25">
      <c r="A402" s="53"/>
      <c r="C402" s="56"/>
      <c r="F402" s="379"/>
      <c r="H402" s="379"/>
      <c r="I402" s="379"/>
      <c r="J402" s="65"/>
      <c r="K402" s="65"/>
      <c r="L402" s="379"/>
      <c r="M402" s="379"/>
      <c r="N402" s="60"/>
      <c r="O402" s="60"/>
      <c r="P402" s="379"/>
      <c r="Q402" s="379"/>
      <c r="R402" s="379"/>
      <c r="T402" s="56"/>
      <c r="V402" s="379"/>
      <c r="Y402" s="379"/>
      <c r="Z402" s="65"/>
      <c r="AA402" s="379"/>
      <c r="AB402" s="379"/>
      <c r="AC402" s="379"/>
      <c r="AD402" s="379"/>
      <c r="AE402" s="379"/>
      <c r="AF402" s="379"/>
      <c r="AG402" s="156"/>
      <c r="AH402" s="60"/>
      <c r="AI402" s="379"/>
      <c r="AJ402" s="379"/>
      <c r="AK402" s="156"/>
      <c r="AL402" s="379"/>
      <c r="AM402" s="50"/>
      <c r="AN402" s="50"/>
    </row>
    <row r="403" spans="1:40" x14ac:dyDescent="0.25">
      <c r="F403" s="381"/>
      <c r="H403" s="381"/>
      <c r="I403" s="381"/>
      <c r="J403" s="221"/>
      <c r="K403" s="221"/>
      <c r="L403" s="381"/>
      <c r="M403" s="381"/>
      <c r="N403" s="381"/>
      <c r="O403" s="381"/>
      <c r="P403" s="381"/>
      <c r="Q403" s="381"/>
      <c r="R403" s="381"/>
      <c r="V403" s="381"/>
      <c r="Y403" s="381"/>
      <c r="Z403" s="221"/>
      <c r="AA403" s="381"/>
      <c r="AB403" s="381"/>
      <c r="AC403" s="381"/>
      <c r="AD403" s="381"/>
      <c r="AE403" s="381"/>
      <c r="AF403" s="381"/>
      <c r="AI403" s="381"/>
      <c r="AJ403" s="381"/>
      <c r="AK403" s="162"/>
      <c r="AL403" s="381"/>
    </row>
    <row r="404" spans="1:40" x14ac:dyDescent="0.25">
      <c r="A404" s="53"/>
      <c r="C404" s="54"/>
      <c r="J404" s="65"/>
      <c r="K404" s="65"/>
      <c r="T404" s="54"/>
      <c r="Z404" s="65"/>
    </row>
    <row r="405" spans="1:40" x14ac:dyDescent="0.25">
      <c r="A405" s="53"/>
      <c r="C405" s="54"/>
      <c r="J405" s="65"/>
      <c r="K405" s="65"/>
      <c r="T405" s="54"/>
      <c r="Z405" s="65"/>
    </row>
    <row r="406" spans="1:40" x14ac:dyDescent="0.25">
      <c r="A406" s="53"/>
      <c r="C406" s="54"/>
      <c r="F406" s="449"/>
      <c r="H406" s="449"/>
      <c r="I406" s="449"/>
      <c r="J406" s="221"/>
      <c r="K406" s="221"/>
      <c r="L406" s="379"/>
      <c r="M406" s="379"/>
      <c r="N406" s="50"/>
      <c r="O406" s="50"/>
      <c r="P406" s="379"/>
      <c r="Q406" s="379"/>
      <c r="R406" s="379"/>
      <c r="T406" s="54"/>
      <c r="V406" s="379"/>
      <c r="Y406" s="379"/>
      <c r="Z406" s="221"/>
      <c r="AA406" s="379"/>
      <c r="AB406" s="379"/>
      <c r="AC406" s="50"/>
      <c r="AD406" s="50"/>
      <c r="AE406" s="379"/>
      <c r="AF406" s="379"/>
      <c r="AG406" s="156"/>
      <c r="AH406" s="60"/>
      <c r="AI406" s="379"/>
      <c r="AJ406" s="379"/>
      <c r="AK406" s="156"/>
      <c r="AL406" s="379"/>
      <c r="AM406" s="50"/>
      <c r="AN406" s="50"/>
    </row>
    <row r="407" spans="1:40" x14ac:dyDescent="0.25">
      <c r="A407" s="53"/>
      <c r="C407" s="54"/>
      <c r="F407" s="449"/>
      <c r="H407" s="449"/>
      <c r="I407" s="449"/>
      <c r="J407" s="221"/>
      <c r="K407" s="221"/>
      <c r="L407" s="379"/>
      <c r="M407" s="379"/>
      <c r="N407" s="50"/>
      <c r="O407" s="50"/>
      <c r="P407" s="379"/>
      <c r="Q407" s="379"/>
      <c r="R407" s="379"/>
      <c r="T407" s="54"/>
      <c r="V407" s="379"/>
      <c r="Y407" s="379"/>
      <c r="Z407" s="221"/>
      <c r="AA407" s="379"/>
      <c r="AB407" s="379"/>
      <c r="AC407" s="50"/>
      <c r="AD407" s="50"/>
      <c r="AE407" s="379"/>
      <c r="AF407" s="379"/>
      <c r="AG407" s="156"/>
      <c r="AH407" s="60"/>
      <c r="AI407" s="379"/>
      <c r="AJ407" s="379"/>
      <c r="AK407" s="156"/>
      <c r="AL407" s="379"/>
      <c r="AM407" s="50"/>
      <c r="AN407" s="50"/>
    </row>
    <row r="408" spans="1:40" x14ac:dyDescent="0.25">
      <c r="A408" s="53"/>
      <c r="C408" s="54"/>
      <c r="F408" s="449"/>
      <c r="H408" s="449"/>
      <c r="I408" s="449"/>
      <c r="J408" s="221"/>
      <c r="K408" s="221"/>
      <c r="L408" s="379"/>
      <c r="M408" s="379"/>
      <c r="N408" s="50"/>
      <c r="O408" s="50"/>
      <c r="P408" s="379"/>
      <c r="Q408" s="379"/>
      <c r="R408" s="379"/>
      <c r="T408" s="54"/>
      <c r="V408" s="379"/>
      <c r="Y408" s="379"/>
      <c r="Z408" s="221"/>
      <c r="AA408" s="379"/>
      <c r="AB408" s="379"/>
      <c r="AC408" s="50"/>
      <c r="AD408" s="50"/>
      <c r="AE408" s="379"/>
      <c r="AF408" s="379"/>
      <c r="AG408" s="156"/>
      <c r="AH408" s="60"/>
      <c r="AI408" s="379"/>
      <c r="AJ408" s="379"/>
      <c r="AK408" s="156"/>
      <c r="AL408" s="379"/>
      <c r="AM408" s="50"/>
      <c r="AN408" s="50"/>
    </row>
    <row r="409" spans="1:40" x14ac:dyDescent="0.25">
      <c r="A409" s="53"/>
      <c r="C409" s="54"/>
      <c r="F409" s="449"/>
      <c r="H409" s="449"/>
      <c r="I409" s="449"/>
      <c r="J409" s="221"/>
      <c r="K409" s="221"/>
      <c r="L409" s="379"/>
      <c r="M409" s="379"/>
      <c r="N409" s="50"/>
      <c r="O409" s="50"/>
      <c r="P409" s="379"/>
      <c r="Q409" s="379"/>
      <c r="R409" s="379"/>
      <c r="T409" s="54"/>
      <c r="V409" s="379"/>
      <c r="Y409" s="379"/>
      <c r="Z409" s="221"/>
      <c r="AA409" s="379"/>
      <c r="AB409" s="379"/>
      <c r="AC409" s="50"/>
      <c r="AD409" s="50"/>
      <c r="AE409" s="379"/>
      <c r="AF409" s="379"/>
      <c r="AG409" s="156"/>
      <c r="AH409" s="60"/>
      <c r="AI409" s="379"/>
      <c r="AJ409" s="379"/>
      <c r="AK409" s="156"/>
      <c r="AL409" s="379"/>
      <c r="AM409" s="50"/>
      <c r="AN409" s="50"/>
    </row>
    <row r="410" spans="1:40" x14ac:dyDescent="0.25">
      <c r="A410" s="53"/>
      <c r="C410" s="54"/>
      <c r="F410" s="449"/>
      <c r="H410" s="449"/>
      <c r="I410" s="449"/>
      <c r="J410" s="221"/>
      <c r="K410" s="221"/>
      <c r="L410" s="379"/>
      <c r="M410" s="379"/>
      <c r="N410" s="50"/>
      <c r="O410" s="50"/>
      <c r="P410" s="379"/>
      <c r="Q410" s="379"/>
      <c r="R410" s="379"/>
      <c r="T410" s="54"/>
      <c r="V410" s="379"/>
      <c r="Y410" s="379"/>
      <c r="Z410" s="221"/>
      <c r="AA410" s="379"/>
      <c r="AB410" s="379"/>
      <c r="AC410" s="50"/>
      <c r="AD410" s="50"/>
      <c r="AE410" s="379"/>
      <c r="AF410" s="379"/>
      <c r="AG410" s="156"/>
      <c r="AH410" s="60"/>
      <c r="AI410" s="379"/>
      <c r="AJ410" s="379"/>
      <c r="AK410" s="156"/>
      <c r="AL410" s="379"/>
      <c r="AM410" s="50"/>
      <c r="AN410" s="50"/>
    </row>
    <row r="411" spans="1:40" x14ac:dyDescent="0.25">
      <c r="A411" s="53"/>
      <c r="C411" s="54"/>
      <c r="F411" s="449"/>
      <c r="H411" s="449"/>
      <c r="I411" s="449"/>
      <c r="J411" s="221"/>
      <c r="K411" s="221"/>
      <c r="L411" s="379"/>
      <c r="M411" s="379"/>
      <c r="N411" s="50"/>
      <c r="O411" s="50"/>
      <c r="P411" s="379"/>
      <c r="Q411" s="379"/>
      <c r="R411" s="379"/>
      <c r="T411" s="54"/>
      <c r="V411" s="379"/>
      <c r="Y411" s="379"/>
      <c r="Z411" s="221"/>
      <c r="AA411" s="379"/>
      <c r="AB411" s="379"/>
      <c r="AC411" s="50"/>
      <c r="AD411" s="50"/>
      <c r="AE411" s="379"/>
      <c r="AF411" s="379"/>
      <c r="AG411" s="156"/>
      <c r="AH411" s="60"/>
      <c r="AI411" s="379"/>
      <c r="AJ411" s="379"/>
      <c r="AK411" s="156"/>
      <c r="AL411" s="379"/>
      <c r="AM411" s="50"/>
      <c r="AN411" s="50"/>
    </row>
    <row r="412" spans="1:40" x14ac:dyDescent="0.25">
      <c r="A412" s="53"/>
      <c r="C412" s="54"/>
      <c r="F412" s="449"/>
      <c r="H412" s="449"/>
      <c r="I412" s="449"/>
      <c r="J412" s="221"/>
      <c r="K412" s="221"/>
      <c r="L412" s="379"/>
      <c r="M412" s="379"/>
      <c r="N412" s="50"/>
      <c r="O412" s="50"/>
      <c r="P412" s="379"/>
      <c r="Q412" s="379"/>
      <c r="R412" s="379"/>
      <c r="T412" s="54"/>
      <c r="V412" s="379"/>
      <c r="Y412" s="379"/>
      <c r="Z412" s="221"/>
      <c r="AA412" s="379"/>
      <c r="AB412" s="379"/>
      <c r="AC412" s="50"/>
      <c r="AD412" s="50"/>
      <c r="AE412" s="379"/>
      <c r="AF412" s="379"/>
      <c r="AG412" s="156"/>
      <c r="AH412" s="60"/>
      <c r="AI412" s="379"/>
      <c r="AJ412" s="379"/>
      <c r="AK412" s="156"/>
      <c r="AL412" s="379"/>
      <c r="AM412" s="50"/>
      <c r="AN412" s="50"/>
    </row>
    <row r="413" spans="1:40" x14ac:dyDescent="0.25">
      <c r="A413" s="53"/>
      <c r="C413" s="54"/>
      <c r="J413" s="65"/>
      <c r="K413" s="65"/>
      <c r="T413" s="54"/>
      <c r="Z413" s="65"/>
    </row>
    <row r="414" spans="1:40" x14ac:dyDescent="0.25">
      <c r="A414" s="53"/>
      <c r="C414" s="54"/>
      <c r="F414" s="449"/>
      <c r="H414" s="449"/>
      <c r="I414" s="449"/>
      <c r="J414" s="221"/>
      <c r="K414" s="221"/>
      <c r="L414" s="379"/>
      <c r="M414" s="379"/>
      <c r="N414" s="50"/>
      <c r="O414" s="50"/>
      <c r="P414" s="379"/>
      <c r="Q414" s="379"/>
      <c r="R414" s="379"/>
      <c r="T414" s="54"/>
      <c r="V414" s="379"/>
      <c r="Y414" s="379"/>
      <c r="Z414" s="221"/>
      <c r="AA414" s="379"/>
      <c r="AB414" s="379"/>
      <c r="AC414" s="50"/>
      <c r="AD414" s="50"/>
      <c r="AE414" s="379"/>
      <c r="AF414" s="379"/>
      <c r="AG414" s="156"/>
      <c r="AH414" s="60"/>
      <c r="AI414" s="379"/>
      <c r="AJ414" s="379"/>
      <c r="AK414" s="156"/>
      <c r="AL414" s="379"/>
      <c r="AM414" s="50"/>
      <c r="AN414" s="50"/>
    </row>
    <row r="415" spans="1:40" x14ac:dyDescent="0.25">
      <c r="A415" s="53"/>
      <c r="C415" s="54"/>
      <c r="F415" s="449"/>
      <c r="H415" s="449"/>
      <c r="I415" s="449"/>
      <c r="J415" s="221"/>
      <c r="K415" s="221"/>
      <c r="L415" s="379"/>
      <c r="M415" s="379"/>
      <c r="N415" s="50"/>
      <c r="O415" s="50"/>
      <c r="P415" s="379"/>
      <c r="Q415" s="379"/>
      <c r="R415" s="379"/>
      <c r="T415" s="54"/>
      <c r="V415" s="379"/>
      <c r="Y415" s="379"/>
      <c r="Z415" s="221"/>
      <c r="AA415" s="379"/>
      <c r="AB415" s="379"/>
      <c r="AC415" s="50"/>
      <c r="AD415" s="50"/>
      <c r="AE415" s="379"/>
      <c r="AF415" s="379"/>
      <c r="AG415" s="156"/>
      <c r="AH415" s="60"/>
      <c r="AI415" s="379"/>
      <c r="AJ415" s="379"/>
      <c r="AK415" s="156"/>
      <c r="AL415" s="379"/>
      <c r="AM415" s="50"/>
      <c r="AN415" s="50"/>
    </row>
    <row r="416" spans="1:40" x14ac:dyDescent="0.25">
      <c r="A416" s="53"/>
      <c r="C416" s="54"/>
      <c r="F416" s="449"/>
      <c r="H416" s="449"/>
      <c r="I416" s="449"/>
      <c r="J416" s="221"/>
      <c r="K416" s="221"/>
      <c r="L416" s="379"/>
      <c r="M416" s="379"/>
      <c r="N416" s="50"/>
      <c r="O416" s="50"/>
      <c r="P416" s="379"/>
      <c r="Q416" s="379"/>
      <c r="R416" s="379"/>
      <c r="T416" s="54"/>
      <c r="V416" s="379"/>
      <c r="Y416" s="379"/>
      <c r="Z416" s="221"/>
      <c r="AA416" s="379"/>
      <c r="AB416" s="379"/>
      <c r="AC416" s="50"/>
      <c r="AD416" s="50"/>
      <c r="AE416" s="379"/>
      <c r="AF416" s="379"/>
      <c r="AG416" s="156"/>
      <c r="AH416" s="60"/>
      <c r="AI416" s="379"/>
      <c r="AJ416" s="379"/>
      <c r="AK416" s="156"/>
      <c r="AL416" s="379"/>
      <c r="AM416" s="50"/>
      <c r="AN416" s="50"/>
    </row>
    <row r="417" spans="1:40" x14ac:dyDescent="0.25">
      <c r="A417" s="53"/>
      <c r="C417" s="54"/>
      <c r="F417" s="449"/>
      <c r="H417" s="449"/>
      <c r="I417" s="449"/>
      <c r="J417" s="221"/>
      <c r="K417" s="221"/>
      <c r="L417" s="379"/>
      <c r="M417" s="379"/>
      <c r="N417" s="50"/>
      <c r="O417" s="50"/>
      <c r="P417" s="379"/>
      <c r="Q417" s="379"/>
      <c r="R417" s="379"/>
      <c r="T417" s="54"/>
      <c r="V417" s="379"/>
      <c r="Y417" s="379"/>
      <c r="Z417" s="221"/>
      <c r="AA417" s="379"/>
      <c r="AB417" s="379"/>
      <c r="AC417" s="50"/>
      <c r="AD417" s="50"/>
      <c r="AE417" s="379"/>
      <c r="AF417" s="379"/>
      <c r="AG417" s="156"/>
      <c r="AH417" s="60"/>
      <c r="AI417" s="379"/>
      <c r="AJ417" s="379"/>
      <c r="AK417" s="156"/>
      <c r="AL417" s="379"/>
      <c r="AM417" s="50"/>
      <c r="AN417" s="50"/>
    </row>
    <row r="418" spans="1:40" x14ac:dyDescent="0.25">
      <c r="A418" s="53"/>
      <c r="C418" s="54"/>
      <c r="J418" s="65"/>
      <c r="K418" s="65"/>
      <c r="T418" s="54"/>
      <c r="Z418" s="65"/>
    </row>
    <row r="419" spans="1:40" x14ac:dyDescent="0.25">
      <c r="A419" s="53"/>
      <c r="C419" s="54"/>
      <c r="F419" s="449"/>
      <c r="H419" s="449"/>
      <c r="I419" s="449"/>
      <c r="J419" s="221"/>
      <c r="K419" s="221"/>
      <c r="L419" s="379"/>
      <c r="M419" s="379"/>
      <c r="N419" s="50"/>
      <c r="O419" s="50"/>
      <c r="P419" s="379"/>
      <c r="Q419" s="379"/>
      <c r="R419" s="379"/>
      <c r="T419" s="54"/>
      <c r="V419" s="379"/>
      <c r="Y419" s="379"/>
      <c r="Z419" s="221"/>
      <c r="AA419" s="379"/>
      <c r="AB419" s="379"/>
      <c r="AC419" s="50"/>
      <c r="AD419" s="50"/>
      <c r="AE419" s="379"/>
      <c r="AF419" s="379"/>
      <c r="AG419" s="156"/>
      <c r="AH419" s="60"/>
      <c r="AI419" s="379"/>
      <c r="AJ419" s="379"/>
      <c r="AK419" s="156"/>
      <c r="AL419" s="379"/>
      <c r="AM419" s="50"/>
      <c r="AN419" s="50"/>
    </row>
    <row r="420" spans="1:40" x14ac:dyDescent="0.25">
      <c r="A420" s="53"/>
      <c r="C420" s="54"/>
      <c r="F420" s="449"/>
      <c r="H420" s="449"/>
      <c r="I420" s="449"/>
      <c r="J420" s="221"/>
      <c r="K420" s="221"/>
      <c r="L420" s="379"/>
      <c r="M420" s="379"/>
      <c r="N420" s="50"/>
      <c r="O420" s="50"/>
      <c r="P420" s="379"/>
      <c r="Q420" s="379"/>
      <c r="R420" s="379"/>
      <c r="T420" s="54"/>
      <c r="V420" s="379"/>
      <c r="Y420" s="379"/>
      <c r="Z420" s="221"/>
      <c r="AA420" s="379"/>
      <c r="AB420" s="379"/>
      <c r="AC420" s="50"/>
      <c r="AD420" s="50"/>
      <c r="AE420" s="379"/>
      <c r="AF420" s="379"/>
      <c r="AG420" s="156"/>
      <c r="AH420" s="60"/>
      <c r="AI420" s="379"/>
      <c r="AJ420" s="379"/>
      <c r="AK420" s="156"/>
      <c r="AL420" s="379"/>
      <c r="AM420" s="50"/>
      <c r="AN420" s="50"/>
    </row>
    <row r="421" spans="1:40" x14ac:dyDescent="0.25">
      <c r="A421" s="53"/>
      <c r="C421" s="54"/>
      <c r="F421" s="449"/>
      <c r="H421" s="449"/>
      <c r="I421" s="449"/>
      <c r="J421" s="221"/>
      <c r="K421" s="221"/>
      <c r="L421" s="379"/>
      <c r="M421" s="379"/>
      <c r="N421" s="50"/>
      <c r="O421" s="50"/>
      <c r="P421" s="379"/>
      <c r="Q421" s="379"/>
      <c r="R421" s="379"/>
      <c r="T421" s="54"/>
      <c r="V421" s="379"/>
      <c r="Y421" s="379"/>
      <c r="Z421" s="221"/>
      <c r="AA421" s="379"/>
      <c r="AB421" s="379"/>
      <c r="AC421" s="50"/>
      <c r="AD421" s="50"/>
      <c r="AE421" s="379"/>
      <c r="AF421" s="379"/>
      <c r="AG421" s="156"/>
      <c r="AH421" s="60"/>
      <c r="AI421" s="379"/>
      <c r="AJ421" s="379"/>
      <c r="AK421" s="156"/>
      <c r="AL421" s="379"/>
      <c r="AM421" s="50"/>
      <c r="AN421" s="50"/>
    </row>
    <row r="422" spans="1:40" x14ac:dyDescent="0.25">
      <c r="A422" s="53"/>
      <c r="C422" s="54"/>
      <c r="F422" s="449"/>
      <c r="H422" s="449"/>
      <c r="I422" s="449"/>
      <c r="J422" s="221"/>
      <c r="K422" s="221"/>
      <c r="L422" s="379"/>
      <c r="M422" s="379"/>
      <c r="N422" s="50"/>
      <c r="O422" s="50"/>
      <c r="P422" s="379"/>
      <c r="Q422" s="379"/>
      <c r="R422" s="379"/>
      <c r="T422" s="54"/>
      <c r="V422" s="379"/>
      <c r="Y422" s="379"/>
      <c r="Z422" s="221"/>
      <c r="AA422" s="379"/>
      <c r="AB422" s="379"/>
      <c r="AC422" s="50"/>
      <c r="AD422" s="50"/>
      <c r="AE422" s="379"/>
      <c r="AF422" s="379"/>
      <c r="AG422" s="156"/>
      <c r="AH422" s="60"/>
      <c r="AI422" s="379"/>
      <c r="AJ422" s="379"/>
      <c r="AK422" s="156"/>
      <c r="AL422" s="379"/>
      <c r="AM422" s="50"/>
      <c r="AN422" s="50"/>
    </row>
    <row r="423" spans="1:40" x14ac:dyDescent="0.25">
      <c r="A423" s="53"/>
      <c r="C423" s="54"/>
      <c r="F423" s="449"/>
      <c r="H423" s="449"/>
      <c r="I423" s="449"/>
      <c r="J423" s="221"/>
      <c r="K423" s="221"/>
      <c r="L423" s="379"/>
      <c r="M423" s="379"/>
      <c r="N423" s="50"/>
      <c r="O423" s="50"/>
      <c r="P423" s="379"/>
      <c r="Q423" s="379"/>
      <c r="R423" s="379"/>
      <c r="T423" s="54"/>
      <c r="V423" s="379"/>
      <c r="Y423" s="379"/>
      <c r="Z423" s="221"/>
      <c r="AA423" s="379"/>
      <c r="AB423" s="379"/>
      <c r="AC423" s="50"/>
      <c r="AD423" s="50"/>
      <c r="AE423" s="379"/>
      <c r="AF423" s="379"/>
      <c r="AG423" s="156"/>
      <c r="AH423" s="60"/>
      <c r="AI423" s="379"/>
      <c r="AJ423" s="379"/>
      <c r="AK423" s="156"/>
      <c r="AL423" s="379"/>
      <c r="AM423" s="50"/>
      <c r="AN423" s="50"/>
    </row>
    <row r="424" spans="1:40" x14ac:dyDescent="0.25">
      <c r="F424" s="381"/>
      <c r="H424" s="381"/>
      <c r="I424" s="381"/>
      <c r="J424" s="464"/>
      <c r="K424" s="464"/>
      <c r="L424" s="381"/>
      <c r="M424" s="381"/>
      <c r="N424" s="381"/>
      <c r="O424" s="381"/>
      <c r="P424" s="381"/>
      <c r="Q424" s="381"/>
      <c r="R424" s="381"/>
      <c r="V424" s="381"/>
      <c r="Y424" s="381"/>
      <c r="Z424" s="221"/>
      <c r="AA424" s="381"/>
      <c r="AB424" s="381"/>
      <c r="AC424" s="381"/>
      <c r="AD424" s="381"/>
      <c r="AE424" s="381"/>
      <c r="AF424" s="381"/>
      <c r="AI424" s="381"/>
      <c r="AJ424" s="381"/>
      <c r="AK424" s="162"/>
      <c r="AL424" s="381"/>
    </row>
    <row r="425" spans="1:40" x14ac:dyDescent="0.25">
      <c r="A425" s="53"/>
      <c r="C425" s="54"/>
      <c r="F425" s="379"/>
      <c r="H425" s="379"/>
      <c r="I425" s="379"/>
      <c r="L425" s="379"/>
      <c r="M425" s="379"/>
      <c r="N425" s="60"/>
      <c r="O425" s="60"/>
      <c r="P425" s="379"/>
      <c r="Q425" s="379"/>
      <c r="R425" s="379"/>
      <c r="T425" s="54"/>
      <c r="V425" s="379"/>
      <c r="Y425" s="379"/>
      <c r="AA425" s="379"/>
      <c r="AB425" s="379"/>
      <c r="AC425" s="50"/>
      <c r="AD425" s="50"/>
      <c r="AE425" s="379"/>
      <c r="AF425" s="379"/>
      <c r="AG425" s="156"/>
      <c r="AH425" s="60"/>
      <c r="AI425" s="379"/>
      <c r="AJ425" s="379"/>
      <c r="AK425" s="156"/>
      <c r="AL425" s="379"/>
      <c r="AM425" s="50"/>
      <c r="AN425" s="50"/>
    </row>
    <row r="426" spans="1:40" x14ac:dyDescent="0.25">
      <c r="F426" s="381"/>
      <c r="H426" s="381"/>
      <c r="I426" s="381"/>
      <c r="J426" s="464"/>
      <c r="K426" s="464"/>
      <c r="L426" s="381"/>
      <c r="M426" s="381"/>
      <c r="N426" s="381"/>
      <c r="O426" s="381"/>
      <c r="P426" s="381"/>
      <c r="Q426" s="381"/>
      <c r="R426" s="381"/>
      <c r="V426" s="381"/>
      <c r="Y426" s="381"/>
      <c r="Z426" s="464"/>
      <c r="AA426" s="381"/>
      <c r="AB426" s="381"/>
      <c r="AC426" s="381"/>
      <c r="AD426" s="381"/>
      <c r="AE426" s="381"/>
      <c r="AF426" s="381"/>
      <c r="AI426" s="381"/>
      <c r="AJ426" s="381"/>
      <c r="AK426" s="162"/>
      <c r="AL426" s="381"/>
    </row>
    <row r="427" spans="1:40" x14ac:dyDescent="0.25">
      <c r="A427" s="53"/>
      <c r="C427" s="54"/>
      <c r="T427" s="54"/>
    </row>
    <row r="428" spans="1:40" x14ac:dyDescent="0.25">
      <c r="A428" s="53"/>
      <c r="C428" s="54"/>
      <c r="F428" s="449"/>
      <c r="H428" s="449"/>
      <c r="I428" s="449"/>
      <c r="J428" s="461"/>
      <c r="K428" s="461"/>
      <c r="L428" s="379"/>
      <c r="M428" s="379"/>
      <c r="N428" s="50"/>
      <c r="O428" s="50"/>
      <c r="P428" s="379"/>
      <c r="Q428" s="379"/>
      <c r="R428" s="379"/>
      <c r="T428" s="54"/>
      <c r="V428" s="379"/>
      <c r="Y428" s="379"/>
      <c r="Z428" s="461"/>
      <c r="AA428" s="379"/>
      <c r="AB428" s="379"/>
      <c r="AC428" s="50"/>
      <c r="AD428" s="50"/>
      <c r="AE428" s="379"/>
      <c r="AF428" s="379"/>
      <c r="AG428" s="156"/>
      <c r="AH428" s="60"/>
      <c r="AI428" s="379"/>
      <c r="AJ428" s="379"/>
      <c r="AK428" s="156"/>
      <c r="AL428" s="379"/>
      <c r="AM428" s="50"/>
      <c r="AN428" s="50"/>
    </row>
    <row r="429" spans="1:40" x14ac:dyDescent="0.25">
      <c r="A429" s="53"/>
      <c r="C429" s="54"/>
      <c r="F429" s="449"/>
      <c r="H429" s="449"/>
      <c r="I429" s="449"/>
      <c r="J429" s="461"/>
      <c r="K429" s="461"/>
      <c r="L429" s="379"/>
      <c r="M429" s="379"/>
      <c r="N429" s="50"/>
      <c r="O429" s="50"/>
      <c r="P429" s="379"/>
      <c r="Q429" s="379"/>
      <c r="R429" s="379"/>
      <c r="T429" s="54"/>
      <c r="V429" s="379"/>
      <c r="Y429" s="379"/>
      <c r="Z429" s="461"/>
      <c r="AA429" s="379"/>
      <c r="AB429" s="379"/>
      <c r="AC429" s="50"/>
      <c r="AD429" s="50"/>
      <c r="AE429" s="379"/>
      <c r="AF429" s="379"/>
      <c r="AG429" s="156"/>
      <c r="AH429" s="60"/>
      <c r="AI429" s="379"/>
      <c r="AJ429" s="379"/>
      <c r="AK429" s="156"/>
      <c r="AL429" s="379"/>
      <c r="AM429" s="50"/>
      <c r="AN429" s="50"/>
    </row>
    <row r="430" spans="1:40" x14ac:dyDescent="0.25">
      <c r="F430" s="381"/>
      <c r="H430" s="379"/>
      <c r="I430" s="379"/>
      <c r="J430" s="464"/>
      <c r="K430" s="464"/>
      <c r="L430" s="381"/>
      <c r="M430" s="381"/>
      <c r="N430" s="381"/>
      <c r="O430" s="381"/>
      <c r="P430" s="381"/>
      <c r="Q430" s="381"/>
      <c r="R430" s="381"/>
      <c r="V430" s="381"/>
      <c r="Y430" s="379"/>
      <c r="Z430" s="464"/>
      <c r="AA430" s="381"/>
      <c r="AB430" s="381"/>
      <c r="AC430" s="381"/>
      <c r="AD430" s="381"/>
      <c r="AE430" s="381"/>
      <c r="AF430" s="381"/>
      <c r="AI430" s="381"/>
      <c r="AJ430" s="381"/>
      <c r="AK430" s="162"/>
      <c r="AL430" s="381"/>
    </row>
    <row r="431" spans="1:40" x14ac:dyDescent="0.25">
      <c r="F431" s="379"/>
      <c r="H431" s="379"/>
      <c r="I431" s="379"/>
      <c r="J431" s="464"/>
      <c r="K431" s="464"/>
      <c r="L431" s="379"/>
      <c r="M431" s="379"/>
      <c r="N431" s="379"/>
      <c r="O431" s="379"/>
      <c r="P431" s="379"/>
      <c r="Q431" s="379"/>
      <c r="R431" s="379"/>
      <c r="V431" s="379"/>
      <c r="Y431" s="379"/>
      <c r="Z431" s="464"/>
      <c r="AA431" s="379"/>
      <c r="AB431" s="379"/>
      <c r="AC431" s="379"/>
      <c r="AD431" s="379"/>
      <c r="AE431" s="379"/>
      <c r="AF431" s="379"/>
      <c r="AI431" s="379"/>
      <c r="AJ431" s="379"/>
      <c r="AK431" s="156"/>
      <c r="AL431" s="379"/>
    </row>
    <row r="432" spans="1:40" x14ac:dyDescent="0.25">
      <c r="A432" s="53"/>
      <c r="C432" s="54"/>
      <c r="F432" s="379"/>
      <c r="H432" s="379"/>
      <c r="I432" s="379"/>
      <c r="L432" s="379"/>
      <c r="M432" s="379"/>
      <c r="N432" s="50"/>
      <c r="O432" s="50"/>
      <c r="P432" s="379"/>
      <c r="Q432" s="379"/>
      <c r="R432" s="379"/>
      <c r="T432" s="54"/>
      <c r="V432" s="379"/>
      <c r="Y432" s="379"/>
      <c r="AA432" s="379"/>
      <c r="AB432" s="379"/>
      <c r="AC432" s="50"/>
      <c r="AD432" s="50"/>
      <c r="AE432" s="379"/>
      <c r="AF432" s="379"/>
      <c r="AG432" s="156"/>
      <c r="AH432" s="60"/>
      <c r="AI432" s="449"/>
      <c r="AJ432" s="449"/>
      <c r="AK432" s="156"/>
      <c r="AL432" s="379"/>
      <c r="AM432" s="50"/>
      <c r="AN432" s="50"/>
    </row>
    <row r="433" spans="1:38" x14ac:dyDescent="0.25">
      <c r="F433" s="381"/>
      <c r="H433" s="381"/>
      <c r="I433" s="381"/>
      <c r="J433" s="464"/>
      <c r="K433" s="464"/>
      <c r="L433" s="381"/>
      <c r="M433" s="381"/>
      <c r="N433" s="381"/>
      <c r="O433" s="381"/>
      <c r="P433" s="381"/>
      <c r="Q433" s="381"/>
      <c r="R433" s="381"/>
      <c r="V433" s="381"/>
      <c r="Y433" s="381"/>
      <c r="Z433" s="464"/>
      <c r="AA433" s="381"/>
      <c r="AB433" s="381"/>
      <c r="AC433" s="381"/>
      <c r="AD433" s="381"/>
      <c r="AE433" s="381"/>
      <c r="AF433" s="381"/>
      <c r="AI433" s="381"/>
      <c r="AJ433" s="381"/>
      <c r="AK433" s="162"/>
      <c r="AL433" s="381"/>
    </row>
    <row r="435" spans="1:38" x14ac:dyDescent="0.25">
      <c r="A435" s="54"/>
      <c r="T435" s="54"/>
    </row>
    <row r="436" spans="1:38" x14ac:dyDescent="0.25">
      <c r="A436" s="54"/>
      <c r="T436" s="54"/>
    </row>
    <row r="437" spans="1:38" x14ac:dyDescent="0.25">
      <c r="A437" s="54"/>
      <c r="T437" s="54"/>
    </row>
    <row r="438" spans="1:38" x14ac:dyDescent="0.25">
      <c r="A438" s="54"/>
      <c r="T438" s="54"/>
    </row>
    <row r="439" spans="1:38" x14ac:dyDescent="0.25">
      <c r="A439" s="54"/>
      <c r="T439" s="54"/>
    </row>
    <row r="440" spans="1:38" x14ac:dyDescent="0.25">
      <c r="A440" s="54"/>
      <c r="T440" s="54"/>
    </row>
    <row r="441" spans="1:38" x14ac:dyDescent="0.25">
      <c r="A441" s="54"/>
      <c r="T441" s="54"/>
    </row>
    <row r="442" spans="1:38" x14ac:dyDescent="0.25">
      <c r="A442" s="54"/>
      <c r="T442" s="54"/>
    </row>
    <row r="443" spans="1:38" x14ac:dyDescent="0.25">
      <c r="A443" s="54"/>
      <c r="T443" s="54"/>
    </row>
    <row r="445" spans="1:38" x14ac:dyDescent="0.25">
      <c r="A445" s="54"/>
    </row>
    <row r="446" spans="1:38" x14ac:dyDescent="0.25">
      <c r="J446" s="53"/>
      <c r="K446" s="53"/>
      <c r="Z446" s="53"/>
    </row>
    <row r="447" spans="1:38" x14ac:dyDescent="0.25">
      <c r="H447" s="54"/>
      <c r="I447" s="54"/>
      <c r="Y447" s="54"/>
    </row>
    <row r="448" spans="1:38" x14ac:dyDescent="0.25">
      <c r="J448" s="53"/>
      <c r="K448" s="53"/>
      <c r="Z448" s="53"/>
    </row>
    <row r="449" spans="1:40" x14ac:dyDescent="0.25">
      <c r="L449" s="54"/>
      <c r="M449" s="54"/>
      <c r="AA449" s="54"/>
      <c r="AB449" s="54"/>
    </row>
    <row r="450" spans="1:40" x14ac:dyDescent="0.25">
      <c r="A450" s="53"/>
      <c r="R450" s="54"/>
      <c r="AK450" s="161"/>
      <c r="AL450" s="54"/>
    </row>
    <row r="451" spans="1:40" x14ac:dyDescent="0.25">
      <c r="A451" s="53"/>
      <c r="R451" s="54"/>
      <c r="AK451" s="161"/>
      <c r="AL451" s="54"/>
    </row>
    <row r="452" spans="1:40" x14ac:dyDescent="0.25">
      <c r="A452" s="54"/>
      <c r="R452" s="54"/>
      <c r="AK452" s="161"/>
      <c r="AL452" s="54"/>
    </row>
    <row r="453" spans="1:40" x14ac:dyDescent="0.25">
      <c r="L453" s="54"/>
      <c r="M453" s="54"/>
      <c r="R453" s="53"/>
      <c r="AA453" s="54"/>
      <c r="AB453" s="54"/>
      <c r="AK453" s="156"/>
      <c r="AL453" s="53"/>
    </row>
    <row r="454" spans="1:40" x14ac:dyDescent="0.25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154"/>
      <c r="AH454" s="55"/>
      <c r="AI454" s="55"/>
      <c r="AJ454" s="55"/>
      <c r="AK454" s="154"/>
      <c r="AL454" s="55"/>
      <c r="AM454" s="55"/>
      <c r="AN454" s="55"/>
    </row>
    <row r="455" spans="1:40" x14ac:dyDescent="0.25">
      <c r="L455" s="56"/>
      <c r="M455" s="56"/>
      <c r="N455" s="56"/>
      <c r="O455" s="56"/>
      <c r="R455" s="56"/>
      <c r="AA455" s="56"/>
      <c r="AB455" s="56"/>
      <c r="AC455" s="56"/>
      <c r="AD455" s="56"/>
      <c r="AE455" s="56"/>
      <c r="AF455" s="56"/>
      <c r="AG455" s="155"/>
      <c r="AH455" s="56"/>
      <c r="AK455" s="155"/>
      <c r="AL455" s="56"/>
      <c r="AM455" s="56"/>
      <c r="AN455" s="56"/>
    </row>
    <row r="456" spans="1:40" x14ac:dyDescent="0.25">
      <c r="L456" s="56"/>
      <c r="M456" s="56"/>
      <c r="N456" s="56"/>
      <c r="O456" s="56"/>
      <c r="R456" s="56"/>
      <c r="Z456" s="56"/>
      <c r="AA456" s="56"/>
      <c r="AB456" s="56"/>
      <c r="AC456" s="56"/>
      <c r="AD456" s="56"/>
      <c r="AE456" s="56"/>
      <c r="AF456" s="56"/>
      <c r="AG456" s="155"/>
      <c r="AH456" s="56"/>
      <c r="AK456" s="155"/>
      <c r="AL456" s="56"/>
      <c r="AM456" s="56"/>
      <c r="AN456" s="56"/>
    </row>
    <row r="457" spans="1:40" x14ac:dyDescent="0.25">
      <c r="A457" s="56"/>
      <c r="C457" s="56"/>
      <c r="D457" s="56"/>
      <c r="E457" s="56"/>
      <c r="F457" s="56"/>
      <c r="J457" s="56"/>
      <c r="K457" s="56"/>
      <c r="L457" s="56"/>
      <c r="M457" s="56"/>
      <c r="N457" s="56"/>
      <c r="O457" s="56"/>
      <c r="P457" s="56"/>
      <c r="Q457" s="56"/>
      <c r="R457" s="56"/>
      <c r="T457" s="56"/>
      <c r="U457" s="56"/>
      <c r="V457" s="56"/>
      <c r="Z457" s="56"/>
      <c r="AA457" s="56"/>
      <c r="AB457" s="56"/>
      <c r="AC457" s="56"/>
      <c r="AD457" s="56"/>
      <c r="AE457" s="56"/>
      <c r="AF457" s="56"/>
      <c r="AG457" s="155"/>
      <c r="AH457" s="56"/>
      <c r="AI457" s="56"/>
      <c r="AJ457" s="56"/>
      <c r="AK457" s="155"/>
      <c r="AL457" s="56"/>
      <c r="AM457" s="56"/>
      <c r="AN457" s="56"/>
    </row>
    <row r="458" spans="1:40" x14ac:dyDescent="0.25">
      <c r="A458" s="56"/>
      <c r="C458" s="56"/>
      <c r="D458" s="56"/>
      <c r="E458" s="56"/>
      <c r="F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T458" s="56"/>
      <c r="U458" s="56"/>
      <c r="V458" s="56"/>
      <c r="Y458" s="56"/>
      <c r="Z458" s="56"/>
      <c r="AA458" s="56"/>
      <c r="AB458" s="56"/>
      <c r="AC458" s="56"/>
      <c r="AD458" s="56"/>
      <c r="AE458" s="56"/>
      <c r="AF458" s="56"/>
      <c r="AG458" s="155"/>
      <c r="AH458" s="56"/>
      <c r="AI458" s="56"/>
      <c r="AJ458" s="56"/>
      <c r="AK458" s="155"/>
      <c r="AL458" s="56"/>
      <c r="AM458" s="56"/>
      <c r="AN458" s="56"/>
    </row>
    <row r="459" spans="1:40" x14ac:dyDescent="0.25">
      <c r="C459" s="56"/>
      <c r="D459" s="56"/>
      <c r="E459" s="56"/>
      <c r="F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T459" s="56"/>
      <c r="U459" s="56"/>
      <c r="V459" s="56"/>
      <c r="Y459" s="56"/>
      <c r="Z459" s="56"/>
      <c r="AA459" s="56"/>
      <c r="AB459" s="56"/>
      <c r="AC459" s="56"/>
      <c r="AD459" s="56"/>
      <c r="AE459" s="56"/>
      <c r="AF459" s="56"/>
      <c r="AG459" s="155"/>
      <c r="AH459" s="56"/>
      <c r="AI459" s="56"/>
      <c r="AJ459" s="56"/>
      <c r="AK459" s="155"/>
      <c r="AL459" s="56"/>
      <c r="AM459" s="56"/>
      <c r="AN459" s="56"/>
    </row>
    <row r="460" spans="1:40" x14ac:dyDescent="0.25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154"/>
      <c r="AH460" s="55"/>
      <c r="AI460" s="55"/>
      <c r="AJ460" s="55"/>
      <c r="AK460" s="154"/>
      <c r="AL460" s="55"/>
      <c r="AM460" s="55"/>
      <c r="AN460" s="55"/>
    </row>
    <row r="461" spans="1:40" x14ac:dyDescent="0.25"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Y461" s="56"/>
      <c r="Z461" s="56"/>
      <c r="AA461" s="56"/>
      <c r="AB461" s="56"/>
      <c r="AC461" s="56"/>
      <c r="AD461" s="56"/>
      <c r="AE461" s="56"/>
      <c r="AF461" s="56"/>
      <c r="AG461" s="155"/>
      <c r="AH461" s="56"/>
      <c r="AI461" s="56"/>
      <c r="AJ461" s="56"/>
      <c r="AK461" s="155"/>
      <c r="AL461" s="56"/>
      <c r="AM461" s="56"/>
      <c r="AN461" s="56"/>
    </row>
    <row r="462" spans="1:40" x14ac:dyDescent="0.25">
      <c r="A462" s="53"/>
      <c r="C462" s="54"/>
      <c r="D462" s="54"/>
      <c r="E462" s="54"/>
      <c r="T462" s="54"/>
      <c r="U462" s="54"/>
    </row>
    <row r="463" spans="1:40" x14ac:dyDescent="0.25">
      <c r="A463" s="53"/>
      <c r="D463" s="54"/>
      <c r="E463" s="54"/>
      <c r="U463" s="54"/>
    </row>
    <row r="465" spans="1:40" x14ac:dyDescent="0.25">
      <c r="A465" s="53"/>
      <c r="C465" s="54"/>
      <c r="F465" s="379"/>
      <c r="J465" s="62"/>
      <c r="K465" s="62"/>
      <c r="L465" s="379"/>
      <c r="M465" s="379"/>
      <c r="R465" s="379"/>
      <c r="T465" s="54"/>
      <c r="V465" s="379"/>
      <c r="Z465" s="62"/>
      <c r="AA465" s="379"/>
      <c r="AB465" s="379"/>
      <c r="AG465" s="156"/>
      <c r="AH465" s="379"/>
      <c r="AK465" s="156"/>
      <c r="AL465" s="379"/>
    </row>
    <row r="466" spans="1:40" x14ac:dyDescent="0.25">
      <c r="A466" s="53"/>
      <c r="C466" s="54"/>
      <c r="F466" s="379"/>
      <c r="R466" s="379"/>
      <c r="T466" s="54"/>
      <c r="V466" s="379"/>
      <c r="AG466" s="156"/>
      <c r="AH466" s="379"/>
      <c r="AK466" s="156"/>
      <c r="AL466" s="379"/>
    </row>
    <row r="467" spans="1:40" x14ac:dyDescent="0.25">
      <c r="AI467" s="379"/>
      <c r="AJ467" s="379"/>
      <c r="AK467" s="156"/>
      <c r="AL467" s="379"/>
      <c r="AM467" s="50"/>
      <c r="AN467" s="50"/>
    </row>
    <row r="468" spans="1:40" x14ac:dyDescent="0.25">
      <c r="A468" s="53"/>
      <c r="C468" s="54"/>
      <c r="F468" s="449"/>
      <c r="H468" s="449"/>
      <c r="I468" s="449"/>
      <c r="J468" s="477"/>
      <c r="K468" s="477"/>
      <c r="L468" s="379"/>
      <c r="M468" s="379"/>
      <c r="N468" s="50"/>
      <c r="O468" s="50"/>
      <c r="P468" s="379"/>
      <c r="Q468" s="379"/>
      <c r="R468" s="379"/>
      <c r="T468" s="54"/>
      <c r="V468" s="379"/>
      <c r="Y468" s="379"/>
      <c r="Z468" s="477"/>
      <c r="AA468" s="379"/>
      <c r="AB468" s="379"/>
      <c r="AC468" s="50"/>
      <c r="AD468" s="50"/>
      <c r="AE468" s="379"/>
      <c r="AF468" s="379"/>
      <c r="AG468" s="156"/>
      <c r="AH468" s="60"/>
      <c r="AI468" s="379"/>
      <c r="AJ468" s="379"/>
      <c r="AK468" s="156"/>
      <c r="AL468" s="379"/>
      <c r="AM468" s="50"/>
      <c r="AN468" s="50"/>
    </row>
    <row r="469" spans="1:40" x14ac:dyDescent="0.25">
      <c r="F469" s="379"/>
      <c r="H469" s="379"/>
      <c r="I469" s="379"/>
      <c r="J469" s="59"/>
      <c r="K469" s="59"/>
      <c r="L469" s="379"/>
      <c r="M469" s="379"/>
      <c r="P469" s="379"/>
      <c r="Q469" s="379"/>
      <c r="R469" s="379"/>
      <c r="V469" s="379"/>
      <c r="Y469" s="379"/>
      <c r="Z469" s="59"/>
      <c r="AA469" s="379"/>
      <c r="AB469" s="379"/>
      <c r="AI469" s="379"/>
      <c r="AJ469" s="379"/>
      <c r="AK469" s="156"/>
      <c r="AL469" s="379"/>
      <c r="AM469" s="50"/>
      <c r="AN469" s="50"/>
    </row>
    <row r="470" spans="1:40" x14ac:dyDescent="0.25">
      <c r="F470" s="379"/>
      <c r="R470" s="379"/>
      <c r="V470" s="379"/>
      <c r="AK470" s="156"/>
      <c r="AL470" s="379"/>
      <c r="AM470" s="50"/>
      <c r="AN470" s="50"/>
    </row>
    <row r="471" spans="1:40" x14ac:dyDescent="0.25">
      <c r="A471" s="53"/>
      <c r="C471" s="54"/>
      <c r="F471" s="379"/>
      <c r="J471" s="62"/>
      <c r="K471" s="62"/>
      <c r="L471" s="379"/>
      <c r="M471" s="379"/>
      <c r="N471" s="50"/>
      <c r="O471" s="50"/>
      <c r="R471" s="379"/>
      <c r="T471" s="54"/>
      <c r="V471" s="379"/>
      <c r="Z471" s="62"/>
      <c r="AA471" s="379"/>
      <c r="AB471" s="379"/>
      <c r="AC471" s="50"/>
      <c r="AD471" s="50"/>
      <c r="AK471" s="156"/>
      <c r="AL471" s="379"/>
      <c r="AM471" s="50"/>
      <c r="AN471" s="50"/>
    </row>
    <row r="472" spans="1:40" x14ac:dyDescent="0.25">
      <c r="A472" s="53"/>
      <c r="C472" s="54"/>
      <c r="F472" s="379"/>
      <c r="H472" s="379"/>
      <c r="I472" s="379"/>
      <c r="J472" s="62"/>
      <c r="K472" s="62"/>
      <c r="L472" s="379"/>
      <c r="M472" s="379"/>
      <c r="N472" s="50"/>
      <c r="O472" s="50"/>
      <c r="P472" s="379"/>
      <c r="Q472" s="379"/>
      <c r="R472" s="379"/>
      <c r="T472" s="54"/>
      <c r="V472" s="379"/>
      <c r="Y472" s="379"/>
      <c r="Z472" s="62"/>
      <c r="AA472" s="379"/>
      <c r="AB472" s="379"/>
      <c r="AC472" s="50"/>
      <c r="AD472" s="50"/>
      <c r="AI472" s="379"/>
      <c r="AJ472" s="379"/>
      <c r="AK472" s="156"/>
      <c r="AL472" s="379"/>
      <c r="AM472" s="50"/>
      <c r="AN472" s="50"/>
    </row>
    <row r="473" spans="1:40" x14ac:dyDescent="0.25">
      <c r="A473" s="53"/>
      <c r="C473" s="54"/>
      <c r="T473" s="54"/>
      <c r="AM473" s="50"/>
      <c r="AN473" s="50"/>
    </row>
    <row r="474" spans="1:40" x14ac:dyDescent="0.25">
      <c r="A474" s="53"/>
      <c r="C474" s="54"/>
      <c r="T474" s="54"/>
      <c r="AM474" s="50"/>
      <c r="AN474" s="50"/>
    </row>
    <row r="475" spans="1:40" x14ac:dyDescent="0.25">
      <c r="AM475" s="50"/>
      <c r="AN475" s="50"/>
    </row>
    <row r="476" spans="1:40" x14ac:dyDescent="0.25">
      <c r="A476" s="53"/>
      <c r="C476" s="54"/>
      <c r="F476" s="449"/>
      <c r="H476" s="449"/>
      <c r="I476" s="449"/>
      <c r="J476" s="477"/>
      <c r="K476" s="477"/>
      <c r="L476" s="379"/>
      <c r="M476" s="379"/>
      <c r="N476" s="50"/>
      <c r="O476" s="50"/>
      <c r="P476" s="379"/>
      <c r="Q476" s="379"/>
      <c r="R476" s="379"/>
      <c r="T476" s="54"/>
      <c r="V476" s="379"/>
      <c r="Y476" s="379"/>
      <c r="Z476" s="477"/>
      <c r="AA476" s="379"/>
      <c r="AB476" s="379"/>
      <c r="AC476" s="50"/>
      <c r="AD476" s="50"/>
      <c r="AE476" s="379"/>
      <c r="AF476" s="379"/>
      <c r="AG476" s="156"/>
      <c r="AH476" s="60"/>
      <c r="AI476" s="379"/>
      <c r="AJ476" s="379"/>
      <c r="AK476" s="156"/>
      <c r="AL476" s="379"/>
      <c r="AM476" s="50"/>
      <c r="AN476" s="50"/>
    </row>
    <row r="477" spans="1:40" x14ac:dyDescent="0.25">
      <c r="F477" s="381"/>
      <c r="H477" s="381"/>
      <c r="I477" s="381"/>
      <c r="J477" s="464"/>
      <c r="K477" s="464"/>
      <c r="L477" s="381"/>
      <c r="M477" s="381"/>
      <c r="N477" s="381"/>
      <c r="O477" s="381"/>
      <c r="P477" s="381"/>
      <c r="Q477" s="381"/>
      <c r="R477" s="381"/>
      <c r="V477" s="381"/>
      <c r="Y477" s="381"/>
      <c r="Z477" s="464"/>
      <c r="AA477" s="381"/>
      <c r="AB477" s="381"/>
      <c r="AC477" s="381"/>
      <c r="AD477" s="381"/>
      <c r="AE477" s="381"/>
      <c r="AF477" s="381"/>
      <c r="AI477" s="381"/>
      <c r="AJ477" s="381"/>
      <c r="AK477" s="162"/>
      <c r="AL477" s="381"/>
      <c r="AM477" s="50"/>
      <c r="AN477" s="50"/>
    </row>
    <row r="478" spans="1:40" x14ac:dyDescent="0.25">
      <c r="H478" s="379"/>
      <c r="I478" s="379"/>
      <c r="Y478" s="379"/>
      <c r="AM478" s="50"/>
      <c r="AN478" s="50"/>
    </row>
    <row r="479" spans="1:40" x14ac:dyDescent="0.25">
      <c r="A479" s="53"/>
      <c r="C479" s="54"/>
      <c r="F479" s="379"/>
      <c r="H479" s="379"/>
      <c r="I479" s="379"/>
      <c r="L479" s="379"/>
      <c r="M479" s="379"/>
      <c r="N479" s="50"/>
      <c r="O479" s="50"/>
      <c r="P479" s="449"/>
      <c r="Q479" s="449"/>
      <c r="R479" s="379"/>
      <c r="T479" s="54"/>
      <c r="V479" s="379"/>
      <c r="Y479" s="379"/>
      <c r="AA479" s="379"/>
      <c r="AB479" s="379"/>
      <c r="AC479" s="50"/>
      <c r="AD479" s="50"/>
      <c r="AE479" s="379"/>
      <c r="AF479" s="379"/>
      <c r="AG479" s="156"/>
      <c r="AH479" s="60"/>
      <c r="AI479" s="449"/>
      <c r="AJ479" s="449"/>
      <c r="AK479" s="156"/>
      <c r="AL479" s="379"/>
      <c r="AM479" s="50"/>
      <c r="AN479" s="50"/>
    </row>
    <row r="480" spans="1:40" x14ac:dyDescent="0.25">
      <c r="F480" s="381"/>
      <c r="H480" s="381"/>
      <c r="I480" s="381"/>
      <c r="J480" s="464"/>
      <c r="K480" s="464"/>
      <c r="L480" s="381"/>
      <c r="M480" s="381"/>
      <c r="N480" s="381"/>
      <c r="O480" s="381"/>
      <c r="P480" s="381"/>
      <c r="Q480" s="381"/>
      <c r="R480" s="381"/>
      <c r="V480" s="381"/>
      <c r="Y480" s="381"/>
      <c r="Z480" s="464"/>
      <c r="AA480" s="381"/>
      <c r="AB480" s="381"/>
      <c r="AC480" s="381"/>
      <c r="AD480" s="381"/>
      <c r="AE480" s="381"/>
      <c r="AF480" s="381"/>
      <c r="AI480" s="381"/>
      <c r="AJ480" s="381"/>
      <c r="AK480" s="162"/>
      <c r="AL480" s="381"/>
      <c r="AM480" s="50"/>
      <c r="AN480" s="50"/>
    </row>
    <row r="482" spans="1:40" x14ac:dyDescent="0.25">
      <c r="F482" s="379"/>
      <c r="H482" s="379"/>
      <c r="I482" s="379"/>
      <c r="J482" s="59"/>
      <c r="K482" s="59"/>
      <c r="L482" s="379"/>
      <c r="M482" s="379"/>
      <c r="N482" s="379"/>
      <c r="O482" s="379"/>
      <c r="P482" s="379"/>
      <c r="Q482" s="379"/>
      <c r="R482" s="379"/>
      <c r="V482" s="379"/>
      <c r="Y482" s="379"/>
      <c r="Z482" s="59"/>
      <c r="AA482" s="379"/>
      <c r="AB482" s="379"/>
      <c r="AC482" s="379"/>
      <c r="AD482" s="379"/>
      <c r="AE482" s="379"/>
      <c r="AF482" s="379"/>
      <c r="AG482" s="156"/>
      <c r="AH482" s="379"/>
      <c r="AI482" s="379"/>
      <c r="AJ482" s="379"/>
      <c r="AK482" s="156"/>
      <c r="AL482" s="379"/>
    </row>
    <row r="483" spans="1:40" x14ac:dyDescent="0.25">
      <c r="A483" s="54"/>
    </row>
    <row r="484" spans="1:40" x14ac:dyDescent="0.25">
      <c r="J484" s="53"/>
      <c r="K484" s="53"/>
      <c r="Z484" s="53"/>
    </row>
    <row r="485" spans="1:40" x14ac:dyDescent="0.25">
      <c r="H485" s="54"/>
      <c r="I485" s="54"/>
      <c r="Y485" s="54"/>
    </row>
    <row r="486" spans="1:40" x14ac:dyDescent="0.25">
      <c r="J486" s="53"/>
      <c r="K486" s="53"/>
      <c r="Z486" s="53"/>
    </row>
    <row r="487" spans="1:40" x14ac:dyDescent="0.25">
      <c r="L487" s="54"/>
      <c r="M487" s="54"/>
      <c r="AA487" s="54"/>
      <c r="AB487" s="54"/>
    </row>
    <row r="488" spans="1:40" x14ac:dyDescent="0.25">
      <c r="A488" s="53"/>
      <c r="R488" s="54"/>
      <c r="AK488" s="161"/>
      <c r="AL488" s="54"/>
    </row>
    <row r="489" spans="1:40" x14ac:dyDescent="0.25">
      <c r="A489" s="53"/>
      <c r="R489" s="54"/>
      <c r="AK489" s="161"/>
      <c r="AL489" s="54"/>
    </row>
    <row r="490" spans="1:40" x14ac:dyDescent="0.25">
      <c r="A490" s="54"/>
      <c r="R490" s="54"/>
      <c r="AK490" s="161"/>
      <c r="AL490" s="54"/>
    </row>
    <row r="491" spans="1:40" x14ac:dyDescent="0.25">
      <c r="L491" s="54"/>
      <c r="M491" s="54"/>
      <c r="R491" s="53"/>
      <c r="AA491" s="54"/>
      <c r="AB491" s="54"/>
      <c r="AK491" s="156"/>
      <c r="AL491" s="53"/>
    </row>
    <row r="492" spans="1:40" x14ac:dyDescent="0.25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154"/>
      <c r="AH492" s="55"/>
      <c r="AI492" s="55"/>
      <c r="AJ492" s="55"/>
      <c r="AK492" s="154"/>
      <c r="AL492" s="55"/>
      <c r="AM492" s="55"/>
      <c r="AN492" s="55"/>
    </row>
    <row r="493" spans="1:40" x14ac:dyDescent="0.25">
      <c r="L493" s="56"/>
      <c r="M493" s="56"/>
      <c r="N493" s="56"/>
      <c r="O493" s="56"/>
      <c r="R493" s="56"/>
      <c r="AA493" s="56"/>
      <c r="AB493" s="56"/>
      <c r="AC493" s="56"/>
      <c r="AD493" s="56"/>
      <c r="AE493" s="56"/>
      <c r="AF493" s="56"/>
      <c r="AG493" s="155"/>
      <c r="AH493" s="56"/>
      <c r="AK493" s="155"/>
      <c r="AL493" s="56"/>
      <c r="AM493" s="56"/>
      <c r="AN493" s="56"/>
    </row>
    <row r="494" spans="1:40" x14ac:dyDescent="0.25">
      <c r="L494" s="56"/>
      <c r="M494" s="56"/>
      <c r="N494" s="56"/>
      <c r="O494" s="56"/>
      <c r="R494" s="56"/>
      <c r="Z494" s="56"/>
      <c r="AA494" s="56"/>
      <c r="AB494" s="56"/>
      <c r="AC494" s="56"/>
      <c r="AD494" s="56"/>
      <c r="AE494" s="56"/>
      <c r="AF494" s="56"/>
      <c r="AG494" s="155"/>
      <c r="AH494" s="56"/>
      <c r="AK494" s="155"/>
      <c r="AL494" s="56"/>
      <c r="AM494" s="56"/>
      <c r="AN494" s="56"/>
    </row>
    <row r="495" spans="1:40" x14ac:dyDescent="0.25">
      <c r="A495" s="56"/>
      <c r="C495" s="56"/>
      <c r="D495" s="56"/>
      <c r="E495" s="56"/>
      <c r="F495" s="56"/>
      <c r="J495" s="56"/>
      <c r="K495" s="56"/>
      <c r="L495" s="56"/>
      <c r="M495" s="56"/>
      <c r="N495" s="56"/>
      <c r="O495" s="56"/>
      <c r="P495" s="56"/>
      <c r="Q495" s="56"/>
      <c r="R495" s="56"/>
      <c r="T495" s="56"/>
      <c r="U495" s="56"/>
      <c r="V495" s="56"/>
      <c r="Z495" s="56"/>
      <c r="AA495" s="56"/>
      <c r="AB495" s="56"/>
      <c r="AC495" s="56"/>
      <c r="AD495" s="56"/>
      <c r="AE495" s="56"/>
      <c r="AF495" s="56"/>
      <c r="AG495" s="155"/>
      <c r="AH495" s="56"/>
      <c r="AI495" s="56"/>
      <c r="AJ495" s="56"/>
      <c r="AK495" s="155"/>
      <c r="AL495" s="56"/>
      <c r="AM495" s="56"/>
      <c r="AN495" s="56"/>
    </row>
    <row r="496" spans="1:40" x14ac:dyDescent="0.25">
      <c r="A496" s="56"/>
      <c r="C496" s="56"/>
      <c r="D496" s="56"/>
      <c r="E496" s="56"/>
      <c r="F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T496" s="56"/>
      <c r="U496" s="56"/>
      <c r="V496" s="56"/>
      <c r="Y496" s="56"/>
      <c r="Z496" s="56"/>
      <c r="AA496" s="56"/>
      <c r="AB496" s="56"/>
      <c r="AC496" s="56"/>
      <c r="AD496" s="56"/>
      <c r="AE496" s="56"/>
      <c r="AF496" s="56"/>
      <c r="AG496" s="155"/>
      <c r="AH496" s="56"/>
      <c r="AI496" s="56"/>
      <c r="AJ496" s="56"/>
      <c r="AK496" s="155"/>
      <c r="AL496" s="56"/>
      <c r="AM496" s="56"/>
      <c r="AN496" s="56"/>
    </row>
    <row r="497" spans="1:40" x14ac:dyDescent="0.25">
      <c r="C497" s="56"/>
      <c r="D497" s="56"/>
      <c r="E497" s="56"/>
      <c r="F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T497" s="56"/>
      <c r="U497" s="56"/>
      <c r="V497" s="56"/>
      <c r="Y497" s="56"/>
      <c r="Z497" s="56"/>
      <c r="AA497" s="56"/>
      <c r="AB497" s="56"/>
      <c r="AC497" s="56"/>
      <c r="AD497" s="56"/>
      <c r="AE497" s="56"/>
      <c r="AF497" s="56"/>
      <c r="AG497" s="155"/>
      <c r="AH497" s="56"/>
      <c r="AI497" s="56"/>
      <c r="AJ497" s="56"/>
      <c r="AK497" s="155"/>
      <c r="AL497" s="56"/>
      <c r="AM497" s="56"/>
      <c r="AN497" s="56"/>
    </row>
    <row r="498" spans="1:40" x14ac:dyDescent="0.25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154"/>
      <c r="AH498" s="55"/>
      <c r="AI498" s="55"/>
      <c r="AJ498" s="55"/>
      <c r="AK498" s="154"/>
      <c r="AL498" s="55"/>
      <c r="AM498" s="55"/>
      <c r="AN498" s="55"/>
    </row>
    <row r="499" spans="1:40" x14ac:dyDescent="0.25"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Y499" s="56"/>
      <c r="Z499" s="56"/>
      <c r="AA499" s="56"/>
      <c r="AB499" s="56"/>
      <c r="AC499" s="56"/>
      <c r="AD499" s="56"/>
      <c r="AE499" s="56"/>
      <c r="AF499" s="56"/>
      <c r="AG499" s="155"/>
      <c r="AH499" s="56"/>
      <c r="AI499" s="56"/>
      <c r="AJ499" s="56"/>
      <c r="AK499" s="155"/>
      <c r="AL499" s="56"/>
      <c r="AM499" s="56"/>
      <c r="AN499" s="56"/>
    </row>
    <row r="500" spans="1:40" x14ac:dyDescent="0.25">
      <c r="A500" s="53"/>
      <c r="C500" s="54"/>
      <c r="D500" s="54"/>
      <c r="E500" s="54"/>
      <c r="T500" s="54"/>
      <c r="U500" s="54"/>
      <c r="V500" s="379"/>
      <c r="W500" s="379"/>
      <c r="X500" s="379"/>
      <c r="Y500" s="379"/>
      <c r="Z500" s="477"/>
    </row>
    <row r="502" spans="1:40" x14ac:dyDescent="0.25">
      <c r="A502" s="53"/>
      <c r="C502" s="54"/>
      <c r="T502" s="54"/>
      <c r="V502" s="379"/>
      <c r="W502" s="379"/>
      <c r="X502" s="379"/>
      <c r="Y502" s="379"/>
      <c r="Z502" s="477"/>
    </row>
    <row r="503" spans="1:40" x14ac:dyDescent="0.25">
      <c r="A503" s="53"/>
      <c r="C503" s="54"/>
      <c r="F503" s="449"/>
      <c r="H503" s="449"/>
      <c r="I503" s="449"/>
      <c r="J503" s="221"/>
      <c r="K503" s="221"/>
      <c r="L503" s="379"/>
      <c r="M503" s="379"/>
      <c r="N503" s="50"/>
      <c r="O503" s="50"/>
      <c r="P503" s="379"/>
      <c r="Q503" s="379"/>
      <c r="R503" s="379"/>
      <c r="T503" s="54"/>
      <c r="V503" s="379"/>
      <c r="W503" s="379"/>
      <c r="X503" s="379"/>
      <c r="Y503" s="379"/>
      <c r="Z503" s="221"/>
      <c r="AA503" s="379"/>
      <c r="AB503" s="379"/>
      <c r="AC503" s="50"/>
      <c r="AD503" s="50"/>
      <c r="AE503" s="379"/>
      <c r="AF503" s="379"/>
      <c r="AG503" s="156"/>
      <c r="AH503" s="60"/>
      <c r="AI503" s="379"/>
      <c r="AJ503" s="379"/>
      <c r="AK503" s="156"/>
      <c r="AL503" s="379"/>
      <c r="AM503" s="50"/>
      <c r="AN503" s="50"/>
    </row>
    <row r="504" spans="1:40" x14ac:dyDescent="0.25">
      <c r="A504" s="53"/>
      <c r="C504" s="54"/>
      <c r="F504" s="449"/>
      <c r="H504" s="449"/>
      <c r="I504" s="449"/>
      <c r="J504" s="221"/>
      <c r="K504" s="221"/>
      <c r="L504" s="379"/>
      <c r="M504" s="379"/>
      <c r="N504" s="50"/>
      <c r="O504" s="50"/>
      <c r="P504" s="379"/>
      <c r="Q504" s="379"/>
      <c r="R504" s="379"/>
      <c r="T504" s="54"/>
      <c r="V504" s="379"/>
      <c r="W504" s="379"/>
      <c r="X504" s="379"/>
      <c r="Y504" s="379"/>
      <c r="Z504" s="221"/>
      <c r="AA504" s="379"/>
      <c r="AB504" s="379"/>
      <c r="AC504" s="50"/>
      <c r="AD504" s="50"/>
      <c r="AE504" s="379"/>
      <c r="AF504" s="379"/>
      <c r="AG504" s="156"/>
      <c r="AH504" s="60"/>
      <c r="AI504" s="379"/>
      <c r="AJ504" s="379"/>
      <c r="AK504" s="156"/>
      <c r="AL504" s="379"/>
      <c r="AM504" s="50"/>
      <c r="AN504" s="50"/>
    </row>
    <row r="505" spans="1:40" x14ac:dyDescent="0.25">
      <c r="A505" s="53"/>
      <c r="C505" s="54"/>
      <c r="F505" s="449"/>
      <c r="H505" s="449"/>
      <c r="I505" s="449"/>
      <c r="J505" s="221"/>
      <c r="K505" s="221"/>
      <c r="L505" s="379"/>
      <c r="M505" s="379"/>
      <c r="N505" s="50"/>
      <c r="O505" s="50"/>
      <c r="P505" s="379"/>
      <c r="Q505" s="379"/>
      <c r="R505" s="379"/>
      <c r="T505" s="54"/>
      <c r="V505" s="379"/>
      <c r="W505" s="379"/>
      <c r="X505" s="379"/>
      <c r="Y505" s="379"/>
      <c r="Z505" s="221"/>
      <c r="AA505" s="379"/>
      <c r="AB505" s="379"/>
      <c r="AC505" s="50"/>
      <c r="AD505" s="50"/>
      <c r="AE505" s="379"/>
      <c r="AF505" s="379"/>
      <c r="AG505" s="156"/>
      <c r="AH505" s="60"/>
      <c r="AI505" s="379"/>
      <c r="AJ505" s="379"/>
      <c r="AK505" s="156"/>
      <c r="AL505" s="379"/>
      <c r="AM505" s="50"/>
      <c r="AN505" s="50"/>
    </row>
    <row r="506" spans="1:40" x14ac:dyDescent="0.25">
      <c r="A506" s="53"/>
      <c r="C506" s="54"/>
      <c r="F506" s="449"/>
      <c r="H506" s="449"/>
      <c r="I506" s="449"/>
      <c r="J506" s="221"/>
      <c r="K506" s="221"/>
      <c r="L506" s="379"/>
      <c r="M506" s="379"/>
      <c r="N506" s="50"/>
      <c r="O506" s="50"/>
      <c r="P506" s="379"/>
      <c r="Q506" s="379"/>
      <c r="R506" s="379"/>
      <c r="T506" s="54"/>
      <c r="V506" s="379"/>
      <c r="W506" s="379"/>
      <c r="X506" s="379"/>
      <c r="Y506" s="379"/>
      <c r="Z506" s="221"/>
      <c r="AA506" s="379"/>
      <c r="AB506" s="379"/>
      <c r="AC506" s="50"/>
      <c r="AD506" s="50"/>
      <c r="AE506" s="379"/>
      <c r="AF506" s="379"/>
      <c r="AG506" s="156"/>
      <c r="AH506" s="60"/>
      <c r="AI506" s="379"/>
      <c r="AJ506" s="379"/>
      <c r="AK506" s="156"/>
      <c r="AL506" s="379"/>
      <c r="AM506" s="50"/>
      <c r="AN506" s="50"/>
    </row>
    <row r="507" spans="1:40" x14ac:dyDescent="0.25">
      <c r="J507" s="65"/>
      <c r="K507" s="65"/>
      <c r="V507" s="379"/>
      <c r="W507" s="379"/>
      <c r="X507" s="379"/>
      <c r="Y507" s="379"/>
      <c r="Z507" s="221"/>
    </row>
    <row r="508" spans="1:40" x14ac:dyDescent="0.25">
      <c r="A508" s="53"/>
      <c r="C508" s="54"/>
      <c r="F508" s="449"/>
      <c r="H508" s="449"/>
      <c r="I508" s="449"/>
      <c r="J508" s="221"/>
      <c r="K508" s="221"/>
      <c r="L508" s="379"/>
      <c r="M508" s="379"/>
      <c r="N508" s="50"/>
      <c r="O508" s="50"/>
      <c r="P508" s="379"/>
      <c r="Q508" s="379"/>
      <c r="R508" s="379"/>
      <c r="T508" s="54"/>
      <c r="V508" s="379"/>
      <c r="W508" s="379"/>
      <c r="X508" s="379"/>
      <c r="Y508" s="379"/>
      <c r="Z508" s="221"/>
      <c r="AA508" s="379"/>
      <c r="AB508" s="379"/>
      <c r="AC508" s="50"/>
      <c r="AD508" s="50"/>
      <c r="AE508" s="379"/>
      <c r="AF508" s="379"/>
      <c r="AG508" s="156"/>
      <c r="AH508" s="60"/>
      <c r="AI508" s="379"/>
      <c r="AJ508" s="379"/>
      <c r="AK508" s="156"/>
      <c r="AL508" s="379"/>
      <c r="AM508" s="60"/>
      <c r="AN508" s="60"/>
    </row>
    <row r="509" spans="1:40" x14ac:dyDescent="0.25">
      <c r="A509" s="53"/>
      <c r="C509" s="54"/>
      <c r="J509" s="65"/>
      <c r="K509" s="65"/>
      <c r="T509" s="54"/>
      <c r="V509" s="379"/>
      <c r="W509" s="379"/>
      <c r="X509" s="379"/>
      <c r="Y509" s="379"/>
      <c r="Z509" s="221"/>
    </row>
    <row r="510" spans="1:40" x14ac:dyDescent="0.25">
      <c r="A510" s="53"/>
      <c r="C510" s="54"/>
      <c r="F510" s="449"/>
      <c r="H510" s="449"/>
      <c r="I510" s="449"/>
      <c r="J510" s="221"/>
      <c r="K510" s="221"/>
      <c r="L510" s="379"/>
      <c r="M510" s="379"/>
      <c r="N510" s="50"/>
      <c r="O510" s="50"/>
      <c r="P510" s="379"/>
      <c r="Q510" s="379"/>
      <c r="R510" s="379"/>
      <c r="T510" s="54"/>
      <c r="V510" s="379"/>
      <c r="W510" s="379"/>
      <c r="X510" s="379"/>
      <c r="Y510" s="379"/>
      <c r="Z510" s="221"/>
      <c r="AA510" s="379"/>
      <c r="AB510" s="379"/>
      <c r="AC510" s="50"/>
      <c r="AD510" s="50"/>
      <c r="AE510" s="379"/>
      <c r="AF510" s="379"/>
      <c r="AG510" s="156"/>
      <c r="AH510" s="60"/>
      <c r="AI510" s="379"/>
      <c r="AJ510" s="379"/>
      <c r="AK510" s="156"/>
      <c r="AL510" s="379"/>
      <c r="AM510" s="60"/>
      <c r="AN510" s="60"/>
    </row>
    <row r="511" spans="1:40" x14ac:dyDescent="0.25">
      <c r="J511" s="65"/>
      <c r="K511" s="65"/>
      <c r="Z511" s="65"/>
    </row>
    <row r="512" spans="1:40" x14ac:dyDescent="0.25">
      <c r="A512" s="53"/>
      <c r="C512" s="54"/>
      <c r="J512" s="65"/>
      <c r="K512" s="65"/>
      <c r="T512" s="54"/>
      <c r="V512" s="379"/>
      <c r="W512" s="379"/>
      <c r="X512" s="379"/>
      <c r="Y512" s="379"/>
      <c r="Z512" s="221"/>
    </row>
    <row r="513" spans="1:40" x14ac:dyDescent="0.25">
      <c r="A513" s="53"/>
      <c r="C513" s="54"/>
      <c r="F513" s="449"/>
      <c r="H513" s="449"/>
      <c r="I513" s="449"/>
      <c r="J513" s="221"/>
      <c r="K513" s="221"/>
      <c r="L513" s="379"/>
      <c r="M513" s="379"/>
      <c r="N513" s="50"/>
      <c r="O513" s="50"/>
      <c r="P513" s="379"/>
      <c r="Q513" s="379"/>
      <c r="R513" s="379"/>
      <c r="T513" s="54"/>
      <c r="V513" s="379"/>
      <c r="W513" s="379"/>
      <c r="X513" s="379"/>
      <c r="Y513" s="379"/>
      <c r="Z513" s="221"/>
      <c r="AA513" s="379"/>
      <c r="AB513" s="379"/>
      <c r="AC513" s="50"/>
      <c r="AD513" s="50"/>
      <c r="AE513" s="379"/>
      <c r="AF513" s="379"/>
      <c r="AG513" s="156"/>
      <c r="AH513" s="60"/>
      <c r="AI513" s="379"/>
      <c r="AJ513" s="379"/>
      <c r="AK513" s="156"/>
      <c r="AL513" s="379"/>
      <c r="AM513" s="60"/>
      <c r="AN513" s="60"/>
    </row>
    <row r="514" spans="1:40" x14ac:dyDescent="0.25">
      <c r="A514" s="53"/>
      <c r="C514" s="54"/>
      <c r="F514" s="449"/>
      <c r="H514" s="449"/>
      <c r="I514" s="449"/>
      <c r="J514" s="221"/>
      <c r="K514" s="221"/>
      <c r="L514" s="379"/>
      <c r="M514" s="379"/>
      <c r="N514" s="50"/>
      <c r="O514" s="50"/>
      <c r="P514" s="379"/>
      <c r="Q514" s="379"/>
      <c r="R514" s="379"/>
      <c r="T514" s="54"/>
      <c r="V514" s="379"/>
      <c r="W514" s="379"/>
      <c r="X514" s="379"/>
      <c r="Y514" s="379"/>
      <c r="Z514" s="221"/>
      <c r="AA514" s="379"/>
      <c r="AB514" s="379"/>
      <c r="AC514" s="50"/>
      <c r="AD514" s="50"/>
      <c r="AE514" s="379"/>
      <c r="AF514" s="379"/>
      <c r="AG514" s="156"/>
      <c r="AH514" s="60"/>
      <c r="AI514" s="379"/>
      <c r="AJ514" s="379"/>
      <c r="AK514" s="156"/>
      <c r="AL514" s="379"/>
      <c r="AM514" s="60"/>
      <c r="AN514" s="60"/>
    </row>
    <row r="515" spans="1:40" x14ac:dyDescent="0.25">
      <c r="F515" s="381"/>
      <c r="H515" s="381"/>
      <c r="I515" s="381"/>
      <c r="J515" s="221"/>
      <c r="K515" s="221"/>
      <c r="L515" s="381"/>
      <c r="M515" s="381"/>
      <c r="N515" s="381"/>
      <c r="O515" s="381"/>
      <c r="P515" s="381"/>
      <c r="Q515" s="381"/>
      <c r="R515" s="381"/>
      <c r="V515" s="381"/>
      <c r="Y515" s="381"/>
      <c r="Z515" s="464"/>
      <c r="AA515" s="381"/>
      <c r="AB515" s="381"/>
      <c r="AC515" s="381"/>
      <c r="AD515" s="381"/>
      <c r="AE515" s="381"/>
      <c r="AF515" s="381"/>
      <c r="AI515" s="381"/>
      <c r="AJ515" s="381"/>
      <c r="AK515" s="162"/>
      <c r="AL515" s="381"/>
    </row>
    <row r="516" spans="1:40" x14ac:dyDescent="0.25">
      <c r="A516" s="53"/>
      <c r="C516" s="54"/>
      <c r="F516" s="379"/>
      <c r="H516" s="379"/>
      <c r="I516" s="379"/>
      <c r="L516" s="379"/>
      <c r="M516" s="379"/>
      <c r="N516" s="50"/>
      <c r="O516" s="50"/>
      <c r="P516" s="449"/>
      <c r="Q516" s="449"/>
      <c r="R516" s="379"/>
      <c r="T516" s="54"/>
      <c r="V516" s="379"/>
      <c r="W516" s="379"/>
      <c r="X516" s="379"/>
      <c r="Y516" s="379"/>
      <c r="Z516" s="477"/>
      <c r="AA516" s="379"/>
      <c r="AB516" s="379"/>
      <c r="AC516" s="50"/>
      <c r="AD516" s="50"/>
      <c r="AE516" s="379"/>
      <c r="AF516" s="379"/>
      <c r="AG516" s="156"/>
      <c r="AH516" s="60"/>
      <c r="AI516" s="449"/>
      <c r="AJ516" s="449"/>
      <c r="AK516" s="156"/>
      <c r="AL516" s="379"/>
      <c r="AM516" s="60"/>
      <c r="AN516" s="60"/>
    </row>
    <row r="517" spans="1:40" x14ac:dyDescent="0.25">
      <c r="F517" s="381"/>
      <c r="H517" s="381"/>
      <c r="I517" s="381"/>
      <c r="J517" s="464"/>
      <c r="K517" s="464"/>
      <c r="L517" s="381"/>
      <c r="M517" s="381"/>
      <c r="N517" s="381"/>
      <c r="O517" s="381"/>
      <c r="P517" s="381"/>
      <c r="Q517" s="381"/>
      <c r="R517" s="381"/>
      <c r="V517" s="381"/>
      <c r="Y517" s="381"/>
      <c r="Z517" s="464"/>
      <c r="AA517" s="381"/>
      <c r="AB517" s="381"/>
      <c r="AC517" s="381"/>
      <c r="AD517" s="381"/>
      <c r="AE517" s="381"/>
      <c r="AF517" s="381"/>
      <c r="AI517" s="381"/>
      <c r="AJ517" s="381"/>
      <c r="AK517" s="162"/>
      <c r="AL517" s="381"/>
    </row>
    <row r="519" spans="1:40" x14ac:dyDescent="0.25">
      <c r="C519" s="53"/>
      <c r="T519" s="53"/>
    </row>
    <row r="520" spans="1:40" x14ac:dyDescent="0.25">
      <c r="A520" s="54"/>
    </row>
    <row r="521" spans="1:40" x14ac:dyDescent="0.25">
      <c r="J521" s="53"/>
      <c r="K521" s="53"/>
      <c r="Z521" s="53"/>
    </row>
    <row r="522" spans="1:40" x14ac:dyDescent="0.25">
      <c r="H522" s="54"/>
      <c r="I522" s="54"/>
      <c r="Y522" s="54"/>
    </row>
    <row r="523" spans="1:40" x14ac:dyDescent="0.25">
      <c r="J523" s="53"/>
      <c r="K523" s="53"/>
      <c r="Z523" s="53"/>
    </row>
    <row r="524" spans="1:40" x14ac:dyDescent="0.25">
      <c r="L524" s="54"/>
      <c r="M524" s="54"/>
      <c r="AA524" s="54"/>
      <c r="AB524" s="54"/>
    </row>
    <row r="525" spans="1:40" x14ac:dyDescent="0.25">
      <c r="A525" s="53"/>
      <c r="R525" s="54"/>
      <c r="AK525" s="161"/>
      <c r="AL525" s="54"/>
    </row>
    <row r="526" spans="1:40" x14ac:dyDescent="0.25">
      <c r="A526" s="53"/>
      <c r="R526" s="54"/>
      <c r="AK526" s="161"/>
      <c r="AL526" s="54"/>
    </row>
    <row r="527" spans="1:40" x14ac:dyDescent="0.25">
      <c r="A527" s="54"/>
      <c r="R527" s="54"/>
      <c r="AK527" s="161"/>
      <c r="AL527" s="54"/>
    </row>
    <row r="528" spans="1:40" x14ac:dyDescent="0.25">
      <c r="L528" s="54"/>
      <c r="M528" s="54"/>
      <c r="R528" s="53"/>
      <c r="AA528" s="54"/>
      <c r="AB528" s="54"/>
      <c r="AK528" s="156"/>
      <c r="AL528" s="53"/>
    </row>
    <row r="529" spans="1:40" x14ac:dyDescent="0.25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154"/>
      <c r="AH529" s="55"/>
      <c r="AI529" s="55"/>
      <c r="AJ529" s="55"/>
      <c r="AK529" s="154"/>
      <c r="AL529" s="55"/>
      <c r="AM529" s="55"/>
      <c r="AN529" s="55"/>
    </row>
    <row r="530" spans="1:40" x14ac:dyDescent="0.25">
      <c r="L530" s="56"/>
      <c r="M530" s="56"/>
      <c r="N530" s="56"/>
      <c r="O530" s="56"/>
      <c r="R530" s="56"/>
      <c r="AA530" s="56"/>
      <c r="AB530" s="56"/>
      <c r="AC530" s="56"/>
      <c r="AD530" s="56"/>
      <c r="AE530" s="56"/>
      <c r="AF530" s="56"/>
      <c r="AG530" s="155"/>
      <c r="AH530" s="56"/>
      <c r="AK530" s="155"/>
      <c r="AL530" s="56"/>
      <c r="AM530" s="56"/>
      <c r="AN530" s="56"/>
    </row>
    <row r="531" spans="1:40" x14ac:dyDescent="0.25">
      <c r="L531" s="56"/>
      <c r="M531" s="56"/>
      <c r="N531" s="56"/>
      <c r="O531" s="56"/>
      <c r="R531" s="56"/>
      <c r="Z531" s="56"/>
      <c r="AA531" s="56"/>
      <c r="AB531" s="56"/>
      <c r="AC531" s="56"/>
      <c r="AD531" s="56"/>
      <c r="AE531" s="56"/>
      <c r="AF531" s="56"/>
      <c r="AG531" s="155"/>
      <c r="AH531" s="56"/>
      <c r="AK531" s="155"/>
      <c r="AL531" s="56"/>
      <c r="AM531" s="56"/>
      <c r="AN531" s="56"/>
    </row>
    <row r="532" spans="1:40" x14ac:dyDescent="0.25">
      <c r="A532" s="56"/>
      <c r="C532" s="56"/>
      <c r="D532" s="56"/>
      <c r="E532" s="56"/>
      <c r="F532" s="56"/>
      <c r="J532" s="56"/>
      <c r="K532" s="56"/>
      <c r="L532" s="56"/>
      <c r="M532" s="56"/>
      <c r="N532" s="56"/>
      <c r="O532" s="56"/>
      <c r="P532" s="56"/>
      <c r="Q532" s="56"/>
      <c r="R532" s="56"/>
      <c r="T532" s="56"/>
      <c r="U532" s="56"/>
      <c r="V532" s="56"/>
      <c r="Z532" s="56"/>
      <c r="AA532" s="56"/>
      <c r="AB532" s="56"/>
      <c r="AC532" s="56"/>
      <c r="AD532" s="56"/>
      <c r="AE532" s="56"/>
      <c r="AF532" s="56"/>
      <c r="AG532" s="155"/>
      <c r="AH532" s="56"/>
      <c r="AI532" s="56"/>
      <c r="AJ532" s="56"/>
      <c r="AK532" s="155"/>
      <c r="AL532" s="56"/>
      <c r="AM532" s="56"/>
      <c r="AN532" s="56"/>
    </row>
    <row r="533" spans="1:40" x14ac:dyDescent="0.25">
      <c r="A533" s="56"/>
      <c r="C533" s="56"/>
      <c r="D533" s="56"/>
      <c r="E533" s="56"/>
      <c r="F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T533" s="56"/>
      <c r="U533" s="56"/>
      <c r="V533" s="56"/>
      <c r="Y533" s="56"/>
      <c r="Z533" s="56"/>
      <c r="AA533" s="56"/>
      <c r="AB533" s="56"/>
      <c r="AC533" s="56"/>
      <c r="AD533" s="56"/>
      <c r="AE533" s="56"/>
      <c r="AF533" s="56"/>
      <c r="AG533" s="155"/>
      <c r="AH533" s="56"/>
      <c r="AI533" s="56"/>
      <c r="AJ533" s="56"/>
      <c r="AK533" s="155"/>
      <c r="AL533" s="56"/>
      <c r="AM533" s="56"/>
      <c r="AN533" s="56"/>
    </row>
    <row r="534" spans="1:40" x14ac:dyDescent="0.25">
      <c r="C534" s="56"/>
      <c r="D534" s="56"/>
      <c r="E534" s="56"/>
      <c r="F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T534" s="56"/>
      <c r="U534" s="56"/>
      <c r="V534" s="56"/>
      <c r="Y534" s="56"/>
      <c r="Z534" s="56"/>
      <c r="AA534" s="56"/>
      <c r="AB534" s="56"/>
      <c r="AC534" s="56"/>
      <c r="AD534" s="56"/>
      <c r="AE534" s="56"/>
      <c r="AF534" s="56"/>
      <c r="AG534" s="155"/>
      <c r="AH534" s="56"/>
      <c r="AI534" s="56"/>
      <c r="AJ534" s="56"/>
      <c r="AK534" s="155"/>
      <c r="AL534" s="56"/>
      <c r="AM534" s="56"/>
      <c r="AN534" s="56"/>
    </row>
    <row r="535" spans="1:40" x14ac:dyDescent="0.25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154"/>
      <c r="AH535" s="55"/>
      <c r="AI535" s="55"/>
      <c r="AJ535" s="55"/>
      <c r="AK535" s="154"/>
      <c r="AL535" s="55"/>
      <c r="AM535" s="55"/>
      <c r="AN535" s="55"/>
    </row>
    <row r="536" spans="1:40" x14ac:dyDescent="0.25"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Y536" s="56"/>
      <c r="Z536" s="56"/>
      <c r="AA536" s="56"/>
      <c r="AB536" s="56"/>
      <c r="AC536" s="56"/>
      <c r="AD536" s="56"/>
      <c r="AE536" s="56"/>
      <c r="AF536" s="56"/>
      <c r="AG536" s="155"/>
      <c r="AH536" s="56"/>
      <c r="AI536" s="56"/>
      <c r="AJ536" s="56"/>
      <c r="AK536" s="155"/>
      <c r="AL536" s="56"/>
      <c r="AM536" s="56"/>
      <c r="AN536" s="56"/>
    </row>
    <row r="537" spans="1:40" x14ac:dyDescent="0.25">
      <c r="A537" s="53"/>
      <c r="C537" s="54"/>
      <c r="D537" s="54"/>
      <c r="E537" s="54"/>
      <c r="T537" s="54"/>
      <c r="U537" s="54"/>
    </row>
    <row r="539" spans="1:40" x14ac:dyDescent="0.25">
      <c r="A539" s="53"/>
      <c r="C539" s="54"/>
      <c r="T539" s="54"/>
    </row>
    <row r="540" spans="1:40" x14ac:dyDescent="0.25">
      <c r="A540" s="53"/>
      <c r="C540" s="54"/>
      <c r="T540" s="54"/>
    </row>
    <row r="541" spans="1:40" x14ac:dyDescent="0.25">
      <c r="A541" s="53"/>
      <c r="C541" s="54"/>
      <c r="F541" s="449"/>
      <c r="H541" s="449"/>
      <c r="I541" s="449"/>
      <c r="J541" s="221"/>
      <c r="K541" s="221"/>
      <c r="L541" s="379"/>
      <c r="M541" s="379"/>
      <c r="N541" s="50"/>
      <c r="O541" s="50"/>
      <c r="P541" s="379"/>
      <c r="Q541" s="379"/>
      <c r="R541" s="379"/>
      <c r="T541" s="54"/>
      <c r="V541" s="379"/>
      <c r="W541" s="379"/>
      <c r="X541" s="379"/>
      <c r="Y541" s="379"/>
      <c r="Z541" s="221"/>
      <c r="AA541" s="379"/>
      <c r="AB541" s="379"/>
      <c r="AC541" s="50"/>
      <c r="AD541" s="50"/>
      <c r="AE541" s="379"/>
      <c r="AF541" s="379"/>
      <c r="AG541" s="156"/>
      <c r="AH541" s="60"/>
      <c r="AI541" s="379"/>
      <c r="AJ541" s="379"/>
      <c r="AK541" s="156"/>
      <c r="AL541" s="379"/>
      <c r="AM541" s="60"/>
      <c r="AN541" s="60"/>
    </row>
    <row r="542" spans="1:40" x14ac:dyDescent="0.25">
      <c r="A542" s="53"/>
      <c r="C542" s="54"/>
      <c r="F542" s="379"/>
      <c r="H542" s="379"/>
      <c r="I542" s="379"/>
      <c r="J542" s="65"/>
      <c r="K542" s="65"/>
      <c r="L542" s="379"/>
      <c r="M542" s="379"/>
      <c r="N542" s="50"/>
      <c r="O542" s="50"/>
      <c r="P542" s="379"/>
      <c r="Q542" s="379"/>
      <c r="R542" s="379"/>
      <c r="T542" s="54"/>
      <c r="V542" s="379"/>
      <c r="W542" s="379"/>
      <c r="X542" s="379"/>
      <c r="Y542" s="379"/>
      <c r="Z542" s="65"/>
      <c r="AA542" s="379"/>
      <c r="AB542" s="379"/>
      <c r="AC542" s="50"/>
      <c r="AD542" s="50"/>
      <c r="AE542" s="379"/>
      <c r="AF542" s="379"/>
      <c r="AG542" s="156"/>
      <c r="AH542" s="60"/>
      <c r="AI542" s="379"/>
      <c r="AJ542" s="379"/>
      <c r="AK542" s="156"/>
      <c r="AL542" s="379"/>
      <c r="AM542" s="60"/>
      <c r="AN542" s="60"/>
    </row>
    <row r="543" spans="1:40" x14ac:dyDescent="0.25">
      <c r="A543" s="53"/>
      <c r="C543" s="54"/>
      <c r="F543" s="379"/>
      <c r="H543" s="379"/>
      <c r="I543" s="379"/>
      <c r="J543" s="65"/>
      <c r="K543" s="65"/>
      <c r="L543" s="379"/>
      <c r="M543" s="379"/>
      <c r="N543" s="50"/>
      <c r="O543" s="50"/>
      <c r="P543" s="379"/>
      <c r="Q543" s="379"/>
      <c r="R543" s="379"/>
      <c r="T543" s="54"/>
      <c r="V543" s="379"/>
      <c r="W543" s="379"/>
      <c r="X543" s="379"/>
      <c r="Y543" s="379"/>
      <c r="Z543" s="65"/>
      <c r="AA543" s="379"/>
      <c r="AB543" s="379"/>
      <c r="AC543" s="50"/>
      <c r="AD543" s="50"/>
      <c r="AE543" s="379"/>
      <c r="AF543" s="379"/>
      <c r="AG543" s="156"/>
      <c r="AH543" s="60"/>
      <c r="AI543" s="379"/>
      <c r="AJ543" s="379"/>
      <c r="AK543" s="156"/>
      <c r="AL543" s="379"/>
      <c r="AM543" s="60"/>
      <c r="AN543" s="60"/>
    </row>
    <row r="544" spans="1:40" x14ac:dyDescent="0.25">
      <c r="A544" s="53"/>
      <c r="C544" s="54"/>
      <c r="F544" s="379"/>
      <c r="H544" s="379"/>
      <c r="I544" s="379"/>
      <c r="J544" s="65"/>
      <c r="K544" s="65"/>
      <c r="T544" s="54"/>
      <c r="V544" s="379"/>
      <c r="Z544" s="65"/>
    </row>
    <row r="545" spans="1:40" x14ac:dyDescent="0.25">
      <c r="A545" s="53"/>
      <c r="C545" s="54"/>
      <c r="F545" s="449"/>
      <c r="H545" s="449"/>
      <c r="I545" s="449"/>
      <c r="J545" s="221"/>
      <c r="K545" s="221"/>
      <c r="L545" s="379"/>
      <c r="M545" s="379"/>
      <c r="N545" s="50"/>
      <c r="O545" s="50"/>
      <c r="P545" s="379"/>
      <c r="Q545" s="379"/>
      <c r="R545" s="379"/>
      <c r="T545" s="54"/>
      <c r="V545" s="379"/>
      <c r="W545" s="379"/>
      <c r="X545" s="379"/>
      <c r="Y545" s="379"/>
      <c r="Z545" s="221"/>
      <c r="AA545" s="379"/>
      <c r="AB545" s="379"/>
      <c r="AC545" s="50"/>
      <c r="AD545" s="50"/>
      <c r="AE545" s="379"/>
      <c r="AF545" s="379"/>
      <c r="AG545" s="156"/>
      <c r="AH545" s="60"/>
      <c r="AI545" s="379"/>
      <c r="AJ545" s="379"/>
      <c r="AK545" s="156"/>
      <c r="AL545" s="379"/>
      <c r="AM545" s="60"/>
      <c r="AN545" s="60"/>
    </row>
    <row r="546" spans="1:40" x14ac:dyDescent="0.25">
      <c r="A546" s="53"/>
      <c r="C546" s="54"/>
      <c r="F546" s="379"/>
      <c r="H546" s="379"/>
      <c r="I546" s="379"/>
      <c r="J546" s="65"/>
      <c r="K546" s="65"/>
      <c r="T546" s="54"/>
      <c r="V546" s="379"/>
      <c r="W546" s="379"/>
      <c r="X546" s="379"/>
      <c r="Y546" s="379"/>
      <c r="Z546" s="65"/>
      <c r="AC546" s="50"/>
      <c r="AD546" s="50"/>
      <c r="AE546" s="379"/>
      <c r="AF546" s="379"/>
      <c r="AG546" s="156"/>
      <c r="AH546" s="60"/>
      <c r="AI546" s="379"/>
      <c r="AJ546" s="379"/>
      <c r="AK546" s="156"/>
      <c r="AL546" s="379"/>
      <c r="AM546" s="60"/>
      <c r="AN546" s="60"/>
    </row>
    <row r="547" spans="1:40" x14ac:dyDescent="0.25">
      <c r="A547" s="53"/>
      <c r="C547" s="54"/>
      <c r="F547" s="449"/>
      <c r="H547" s="449"/>
      <c r="I547" s="449"/>
      <c r="J547" s="221"/>
      <c r="K547" s="221"/>
      <c r="L547" s="379"/>
      <c r="M547" s="379"/>
      <c r="N547" s="50"/>
      <c r="O547" s="50"/>
      <c r="P547" s="379"/>
      <c r="Q547" s="379"/>
      <c r="R547" s="379"/>
      <c r="T547" s="54"/>
      <c r="V547" s="379"/>
      <c r="W547" s="379"/>
      <c r="X547" s="379"/>
      <c r="Y547" s="379"/>
      <c r="Z547" s="221"/>
      <c r="AA547" s="379"/>
      <c r="AB547" s="379"/>
      <c r="AC547" s="50"/>
      <c r="AD547" s="50"/>
      <c r="AE547" s="379"/>
      <c r="AF547" s="379"/>
      <c r="AG547" s="156"/>
      <c r="AH547" s="60"/>
      <c r="AI547" s="379"/>
      <c r="AJ547" s="379"/>
      <c r="AK547" s="156"/>
      <c r="AL547" s="379"/>
      <c r="AM547" s="60"/>
      <c r="AN547" s="60"/>
    </row>
    <row r="548" spans="1:40" x14ac:dyDescent="0.25">
      <c r="A548" s="53"/>
      <c r="C548" s="54"/>
      <c r="F548" s="379"/>
      <c r="H548" s="379"/>
      <c r="I548" s="379"/>
      <c r="J548" s="65"/>
      <c r="K548" s="65"/>
      <c r="L548" s="379"/>
      <c r="M548" s="379"/>
      <c r="N548" s="50"/>
      <c r="O548" s="50"/>
      <c r="P548" s="379"/>
      <c r="Q548" s="379"/>
      <c r="R548" s="379"/>
      <c r="T548" s="54"/>
      <c r="V548" s="379"/>
      <c r="W548" s="379"/>
      <c r="X548" s="379"/>
      <c r="Y548" s="379"/>
      <c r="Z548" s="65"/>
      <c r="AA548" s="379"/>
      <c r="AB548" s="379"/>
      <c r="AC548" s="50"/>
      <c r="AD548" s="50"/>
      <c r="AE548" s="379"/>
      <c r="AF548" s="379"/>
      <c r="AG548" s="156"/>
      <c r="AH548" s="60"/>
      <c r="AI548" s="379"/>
      <c r="AJ548" s="379"/>
      <c r="AK548" s="156"/>
      <c r="AL548" s="379"/>
      <c r="AM548" s="60"/>
      <c r="AN548" s="60"/>
    </row>
    <row r="549" spans="1:40" x14ac:dyDescent="0.25">
      <c r="F549" s="379"/>
      <c r="H549" s="379"/>
      <c r="I549" s="379"/>
      <c r="J549" s="65"/>
      <c r="K549" s="65"/>
      <c r="Z549" s="65"/>
    </row>
    <row r="550" spans="1:40" x14ac:dyDescent="0.25">
      <c r="A550" s="53"/>
      <c r="C550" s="54"/>
      <c r="F550" s="379"/>
      <c r="H550" s="449"/>
      <c r="I550" s="449"/>
      <c r="J550" s="221"/>
      <c r="K550" s="221"/>
      <c r="L550" s="379"/>
      <c r="M550" s="379"/>
      <c r="N550" s="50"/>
      <c r="O550" s="50"/>
      <c r="P550" s="379"/>
      <c r="Q550" s="379"/>
      <c r="R550" s="379"/>
      <c r="T550" s="54"/>
      <c r="V550" s="379"/>
      <c r="W550" s="379"/>
      <c r="X550" s="379"/>
      <c r="Y550" s="379"/>
      <c r="Z550" s="221"/>
      <c r="AA550" s="379"/>
      <c r="AB550" s="379"/>
      <c r="AC550" s="50"/>
      <c r="AD550" s="50"/>
      <c r="AE550" s="379"/>
      <c r="AF550" s="379"/>
      <c r="AG550" s="156"/>
      <c r="AH550" s="60"/>
      <c r="AI550" s="379"/>
      <c r="AJ550" s="379"/>
      <c r="AK550" s="156"/>
      <c r="AL550" s="379"/>
      <c r="AM550" s="60"/>
      <c r="AN550" s="60"/>
    </row>
    <row r="551" spans="1:40" x14ac:dyDescent="0.25">
      <c r="F551" s="381"/>
      <c r="H551" s="381"/>
      <c r="I551" s="381"/>
      <c r="J551" s="221"/>
      <c r="K551" s="221"/>
      <c r="L551" s="381"/>
      <c r="M551" s="381"/>
      <c r="N551" s="381"/>
      <c r="O551" s="381"/>
      <c r="P551" s="381"/>
      <c r="Q551" s="381"/>
      <c r="R551" s="381"/>
      <c r="V551" s="381"/>
      <c r="Y551" s="381"/>
      <c r="Z551" s="221"/>
      <c r="AA551" s="381"/>
      <c r="AB551" s="381"/>
      <c r="AC551" s="381"/>
      <c r="AD551" s="381"/>
      <c r="AE551" s="381"/>
      <c r="AF551" s="381"/>
      <c r="AI551" s="381"/>
      <c r="AJ551" s="381"/>
      <c r="AK551" s="162"/>
      <c r="AL551" s="381"/>
    </row>
    <row r="552" spans="1:40" x14ac:dyDescent="0.25">
      <c r="A552" s="53"/>
      <c r="C552" s="54"/>
      <c r="F552" s="379"/>
      <c r="H552" s="379"/>
      <c r="I552" s="379"/>
      <c r="J552" s="65"/>
      <c r="K552" s="65"/>
      <c r="L552" s="379"/>
      <c r="M552" s="379"/>
      <c r="N552" s="53"/>
      <c r="O552" s="53"/>
      <c r="P552" s="379"/>
      <c r="Q552" s="379"/>
      <c r="R552" s="379"/>
      <c r="T552" s="54"/>
      <c r="V552" s="379"/>
      <c r="Y552" s="379"/>
      <c r="Z552" s="65"/>
      <c r="AA552" s="379"/>
      <c r="AB552" s="379"/>
      <c r="AC552" s="60"/>
      <c r="AD552" s="60"/>
      <c r="AE552" s="379"/>
      <c r="AF552" s="379"/>
      <c r="AG552" s="156"/>
      <c r="AH552" s="60"/>
      <c r="AI552" s="379"/>
      <c r="AJ552" s="379"/>
      <c r="AK552" s="156"/>
      <c r="AL552" s="379"/>
      <c r="AM552" s="60"/>
      <c r="AN552" s="60"/>
    </row>
    <row r="553" spans="1:40" x14ac:dyDescent="0.25">
      <c r="F553" s="381"/>
      <c r="H553" s="381"/>
      <c r="I553" s="381"/>
      <c r="J553" s="221"/>
      <c r="K553" s="221"/>
      <c r="L553" s="381"/>
      <c r="M553" s="381"/>
      <c r="N553" s="381"/>
      <c r="O553" s="381"/>
      <c r="P553" s="381"/>
      <c r="Q553" s="381"/>
      <c r="R553" s="381"/>
      <c r="V553" s="381"/>
      <c r="Y553" s="381"/>
      <c r="Z553" s="221"/>
      <c r="AA553" s="381"/>
      <c r="AB553" s="381"/>
      <c r="AC553" s="381"/>
      <c r="AD553" s="381"/>
      <c r="AE553" s="381"/>
      <c r="AF553" s="381"/>
      <c r="AI553" s="381"/>
      <c r="AJ553" s="381"/>
      <c r="AK553" s="162"/>
      <c r="AL553" s="381"/>
    </row>
    <row r="554" spans="1:40" x14ac:dyDescent="0.25">
      <c r="J554" s="65"/>
      <c r="K554" s="65"/>
      <c r="Z554" s="65"/>
    </row>
    <row r="555" spans="1:40" x14ac:dyDescent="0.25">
      <c r="A555" s="53"/>
      <c r="C555" s="54"/>
      <c r="J555" s="65"/>
      <c r="K555" s="65"/>
      <c r="T555" s="54"/>
      <c r="Z555" s="65"/>
    </row>
    <row r="556" spans="1:40" x14ac:dyDescent="0.25">
      <c r="A556" s="53"/>
      <c r="C556" s="54"/>
      <c r="J556" s="65"/>
      <c r="K556" s="65"/>
      <c r="T556" s="54"/>
      <c r="Z556" s="65"/>
    </row>
    <row r="557" spans="1:40" x14ac:dyDescent="0.25">
      <c r="A557" s="53"/>
      <c r="C557" s="54"/>
      <c r="F557" s="449"/>
      <c r="H557" s="449"/>
      <c r="I557" s="449"/>
      <c r="J557" s="221"/>
      <c r="K557" s="221"/>
      <c r="L557" s="379"/>
      <c r="M557" s="379"/>
      <c r="N557" s="50"/>
      <c r="O557" s="50"/>
      <c r="P557" s="379"/>
      <c r="Q557" s="379"/>
      <c r="R557" s="379"/>
      <c r="T557" s="54"/>
      <c r="V557" s="379"/>
      <c r="W557" s="379"/>
      <c r="X557" s="379"/>
      <c r="Y557" s="379"/>
      <c r="Z557" s="221"/>
      <c r="AA557" s="379"/>
      <c r="AB557" s="379"/>
      <c r="AC557" s="50"/>
      <c r="AD557" s="50"/>
      <c r="AE557" s="379"/>
      <c r="AF557" s="379"/>
      <c r="AG557" s="156"/>
      <c r="AH557" s="60"/>
      <c r="AI557" s="379"/>
      <c r="AJ557" s="379"/>
      <c r="AK557" s="156"/>
      <c r="AL557" s="379"/>
      <c r="AM557" s="60"/>
      <c r="AN557" s="60"/>
    </row>
    <row r="558" spans="1:40" x14ac:dyDescent="0.25">
      <c r="A558" s="53"/>
      <c r="C558" s="54"/>
      <c r="J558" s="65"/>
      <c r="K558" s="65"/>
      <c r="T558" s="54"/>
      <c r="Z558" s="65"/>
    </row>
    <row r="559" spans="1:40" x14ac:dyDescent="0.25">
      <c r="A559" s="53"/>
      <c r="C559" s="54"/>
      <c r="F559" s="449"/>
      <c r="H559" s="449"/>
      <c r="I559" s="449"/>
      <c r="J559" s="221"/>
      <c r="K559" s="221"/>
      <c r="L559" s="379"/>
      <c r="M559" s="379"/>
      <c r="N559" s="50"/>
      <c r="O559" s="50"/>
      <c r="P559" s="379"/>
      <c r="Q559" s="379"/>
      <c r="R559" s="379"/>
      <c r="T559" s="54"/>
      <c r="V559" s="379"/>
      <c r="W559" s="379"/>
      <c r="X559" s="379"/>
      <c r="Y559" s="379"/>
      <c r="Z559" s="221"/>
      <c r="AA559" s="379"/>
      <c r="AB559" s="379"/>
      <c r="AC559" s="50"/>
      <c r="AD559" s="50"/>
      <c r="AE559" s="379"/>
      <c r="AF559" s="379"/>
      <c r="AG559" s="156"/>
      <c r="AH559" s="60"/>
      <c r="AI559" s="379"/>
      <c r="AJ559" s="379"/>
      <c r="AK559" s="156"/>
      <c r="AL559" s="379"/>
      <c r="AM559" s="60"/>
      <c r="AN559" s="60"/>
    </row>
    <row r="560" spans="1:40" x14ac:dyDescent="0.25">
      <c r="F560" s="381"/>
      <c r="H560" s="381"/>
      <c r="I560" s="381"/>
      <c r="J560" s="221"/>
      <c r="K560" s="221"/>
      <c r="L560" s="381"/>
      <c r="M560" s="381"/>
      <c r="N560" s="381"/>
      <c r="O560" s="381"/>
      <c r="P560" s="381"/>
      <c r="Q560" s="381"/>
      <c r="R560" s="381"/>
      <c r="V560" s="381"/>
      <c r="Y560" s="381"/>
      <c r="Z560" s="221"/>
      <c r="AA560" s="381"/>
      <c r="AB560" s="381"/>
      <c r="AC560" s="381"/>
      <c r="AD560" s="381"/>
      <c r="AE560" s="381"/>
      <c r="AF560" s="381"/>
      <c r="AI560" s="381"/>
      <c r="AJ560" s="381"/>
      <c r="AK560" s="162"/>
      <c r="AL560" s="381"/>
    </row>
    <row r="561" spans="1:40" x14ac:dyDescent="0.25">
      <c r="A561" s="53"/>
      <c r="C561" s="54"/>
      <c r="F561" s="379"/>
      <c r="H561" s="379"/>
      <c r="I561" s="379"/>
      <c r="J561" s="65"/>
      <c r="K561" s="65"/>
      <c r="L561" s="379"/>
      <c r="M561" s="379"/>
      <c r="N561" s="60"/>
      <c r="O561" s="60"/>
      <c r="P561" s="379"/>
      <c r="Q561" s="379"/>
      <c r="R561" s="379"/>
      <c r="T561" s="54"/>
      <c r="V561" s="379"/>
      <c r="Y561" s="379"/>
      <c r="Z561" s="65"/>
      <c r="AA561" s="379"/>
      <c r="AB561" s="379"/>
      <c r="AC561" s="60"/>
      <c r="AD561" s="60"/>
      <c r="AE561" s="379"/>
      <c r="AF561" s="379"/>
      <c r="AG561" s="156"/>
      <c r="AH561" s="60"/>
      <c r="AI561" s="379"/>
      <c r="AJ561" s="379"/>
      <c r="AK561" s="156"/>
      <c r="AL561" s="379"/>
      <c r="AM561" s="60"/>
      <c r="AN561" s="60"/>
    </row>
    <row r="562" spans="1:40" x14ac:dyDescent="0.25">
      <c r="F562" s="381"/>
      <c r="H562" s="381"/>
      <c r="I562" s="381"/>
      <c r="J562" s="221"/>
      <c r="K562" s="221"/>
      <c r="L562" s="381"/>
      <c r="M562" s="381"/>
      <c r="N562" s="381"/>
      <c r="O562" s="381"/>
      <c r="P562" s="381"/>
      <c r="Q562" s="381"/>
      <c r="R562" s="381"/>
      <c r="V562" s="381"/>
      <c r="Y562" s="381"/>
      <c r="Z562" s="464"/>
      <c r="AA562" s="381"/>
      <c r="AB562" s="381"/>
      <c r="AC562" s="381"/>
      <c r="AD562" s="381"/>
      <c r="AE562" s="381"/>
      <c r="AF562" s="381"/>
      <c r="AI562" s="381"/>
      <c r="AJ562" s="381"/>
      <c r="AK562" s="162"/>
      <c r="AL562" s="381"/>
    </row>
    <row r="563" spans="1:40" x14ac:dyDescent="0.25">
      <c r="J563" s="65"/>
      <c r="K563" s="65"/>
    </row>
    <row r="564" spans="1:40" x14ac:dyDescent="0.25">
      <c r="A564" s="53"/>
      <c r="C564" s="54"/>
      <c r="F564" s="379"/>
      <c r="H564" s="379"/>
      <c r="I564" s="379"/>
      <c r="J564" s="65"/>
      <c r="K564" s="65"/>
      <c r="L564" s="379"/>
      <c r="M564" s="379"/>
      <c r="N564" s="50"/>
      <c r="O564" s="50"/>
      <c r="P564" s="449"/>
      <c r="Q564" s="449"/>
      <c r="R564" s="379"/>
      <c r="T564" s="54"/>
      <c r="V564" s="379"/>
      <c r="Y564" s="379"/>
      <c r="AA564" s="379"/>
      <c r="AB564" s="379"/>
      <c r="AC564" s="60"/>
      <c r="AD564" s="60"/>
      <c r="AE564" s="379"/>
      <c r="AF564" s="379"/>
      <c r="AG564" s="156"/>
      <c r="AH564" s="60"/>
      <c r="AI564" s="449"/>
      <c r="AJ564" s="449"/>
      <c r="AK564" s="156"/>
      <c r="AL564" s="379"/>
      <c r="AM564" s="60"/>
      <c r="AN564" s="60"/>
    </row>
    <row r="565" spans="1:40" x14ac:dyDescent="0.25">
      <c r="F565" s="381"/>
      <c r="H565" s="381"/>
      <c r="I565" s="381"/>
      <c r="J565" s="221"/>
      <c r="K565" s="221"/>
      <c r="L565" s="381"/>
      <c r="M565" s="381"/>
      <c r="N565" s="381"/>
      <c r="O565" s="381"/>
      <c r="P565" s="381"/>
      <c r="Q565" s="381"/>
      <c r="R565" s="381"/>
      <c r="V565" s="381"/>
      <c r="Y565" s="381"/>
      <c r="Z565" s="464"/>
      <c r="AA565" s="381"/>
      <c r="AB565" s="381"/>
      <c r="AC565" s="381"/>
      <c r="AD565" s="381"/>
      <c r="AE565" s="381"/>
      <c r="AF565" s="381"/>
      <c r="AI565" s="381"/>
      <c r="AJ565" s="381"/>
      <c r="AK565" s="162"/>
      <c r="AL565" s="381"/>
    </row>
    <row r="567" spans="1:40" x14ac:dyDescent="0.25">
      <c r="C567" s="53"/>
      <c r="T567" s="53"/>
    </row>
    <row r="568" spans="1:40" x14ac:dyDescent="0.25">
      <c r="A568" s="54"/>
    </row>
    <row r="569" spans="1:40" x14ac:dyDescent="0.25">
      <c r="J569" s="53"/>
      <c r="K569" s="53"/>
      <c r="Z569" s="53"/>
    </row>
    <row r="570" spans="1:40" x14ac:dyDescent="0.25">
      <c r="H570" s="54"/>
      <c r="I570" s="54"/>
      <c r="Y570" s="54"/>
    </row>
    <row r="571" spans="1:40" x14ac:dyDescent="0.25">
      <c r="J571" s="53"/>
      <c r="K571" s="53"/>
      <c r="Z571" s="53"/>
    </row>
    <row r="572" spans="1:40" x14ac:dyDescent="0.25">
      <c r="L572" s="54"/>
      <c r="M572" s="54"/>
      <c r="AA572" s="54"/>
      <c r="AB572" s="54"/>
    </row>
    <row r="573" spans="1:40" x14ac:dyDescent="0.25">
      <c r="A573" s="53"/>
      <c r="R573" s="54"/>
      <c r="AK573" s="161"/>
      <c r="AL573" s="54"/>
    </row>
    <row r="574" spans="1:40" x14ac:dyDescent="0.25">
      <c r="A574" s="53"/>
      <c r="R574" s="54"/>
      <c r="AK574" s="161"/>
      <c r="AL574" s="54"/>
    </row>
    <row r="575" spans="1:40" x14ac:dyDescent="0.25">
      <c r="A575" s="54"/>
      <c r="R575" s="54"/>
      <c r="AK575" s="161"/>
      <c r="AL575" s="54"/>
    </row>
    <row r="576" spans="1:40" x14ac:dyDescent="0.25">
      <c r="L576" s="54"/>
      <c r="M576" s="54"/>
      <c r="R576" s="53"/>
      <c r="AA576" s="54"/>
      <c r="AB576" s="54"/>
      <c r="AK576" s="156"/>
      <c r="AL576" s="53"/>
    </row>
    <row r="577" spans="1:40" x14ac:dyDescent="0.25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154"/>
      <c r="AH577" s="55"/>
      <c r="AI577" s="55"/>
      <c r="AJ577" s="55"/>
      <c r="AK577" s="154"/>
      <c r="AL577" s="55"/>
      <c r="AM577" s="55"/>
      <c r="AN577" s="55"/>
    </row>
    <row r="578" spans="1:40" x14ac:dyDescent="0.25">
      <c r="L578" s="56"/>
      <c r="M578" s="56"/>
      <c r="N578" s="56"/>
      <c r="O578" s="56"/>
      <c r="R578" s="56"/>
      <c r="AA578" s="56"/>
      <c r="AB578" s="56"/>
      <c r="AC578" s="56"/>
      <c r="AD578" s="56"/>
      <c r="AE578" s="56"/>
      <c r="AF578" s="56"/>
      <c r="AG578" s="155"/>
      <c r="AH578" s="56"/>
      <c r="AK578" s="155"/>
      <c r="AL578" s="56"/>
      <c r="AM578" s="56"/>
      <c r="AN578" s="56"/>
    </row>
    <row r="579" spans="1:40" x14ac:dyDescent="0.25">
      <c r="L579" s="56"/>
      <c r="M579" s="56"/>
      <c r="N579" s="56"/>
      <c r="O579" s="56"/>
      <c r="R579" s="56"/>
      <c r="Z579" s="56"/>
      <c r="AA579" s="56"/>
      <c r="AB579" s="56"/>
      <c r="AC579" s="56"/>
      <c r="AD579" s="56"/>
      <c r="AE579" s="56"/>
      <c r="AF579" s="56"/>
      <c r="AG579" s="155"/>
      <c r="AH579" s="56"/>
      <c r="AK579" s="155"/>
      <c r="AL579" s="56"/>
      <c r="AM579" s="56"/>
      <c r="AN579" s="56"/>
    </row>
    <row r="580" spans="1:40" x14ac:dyDescent="0.25">
      <c r="A580" s="56"/>
      <c r="C580" s="56"/>
      <c r="D580" s="56"/>
      <c r="E580" s="56"/>
      <c r="F580" s="56"/>
      <c r="J580" s="56"/>
      <c r="K580" s="56"/>
      <c r="L580" s="56"/>
      <c r="M580" s="56"/>
      <c r="N580" s="56"/>
      <c r="O580" s="56"/>
      <c r="P580" s="56"/>
      <c r="Q580" s="56"/>
      <c r="R580" s="56"/>
      <c r="T580" s="56"/>
      <c r="U580" s="56"/>
      <c r="V580" s="56"/>
      <c r="Z580" s="56"/>
      <c r="AA580" s="56"/>
      <c r="AB580" s="56"/>
      <c r="AC580" s="56"/>
      <c r="AD580" s="56"/>
      <c r="AE580" s="56"/>
      <c r="AF580" s="56"/>
      <c r="AG580" s="155"/>
      <c r="AH580" s="56"/>
      <c r="AI580" s="56"/>
      <c r="AJ580" s="56"/>
      <c r="AK580" s="155"/>
      <c r="AL580" s="56"/>
      <c r="AM580" s="56"/>
      <c r="AN580" s="56"/>
    </row>
    <row r="581" spans="1:40" x14ac:dyDescent="0.25">
      <c r="A581" s="56"/>
      <c r="C581" s="56"/>
      <c r="D581" s="56"/>
      <c r="E581" s="56"/>
      <c r="F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T581" s="56"/>
      <c r="U581" s="56"/>
      <c r="V581" s="56"/>
      <c r="Y581" s="56"/>
      <c r="Z581" s="56"/>
      <c r="AA581" s="56"/>
      <c r="AB581" s="56"/>
      <c r="AC581" s="56"/>
      <c r="AD581" s="56"/>
      <c r="AE581" s="56"/>
      <c r="AF581" s="56"/>
      <c r="AG581" s="155"/>
      <c r="AH581" s="56"/>
      <c r="AI581" s="56"/>
      <c r="AJ581" s="56"/>
      <c r="AK581" s="155"/>
      <c r="AL581" s="56"/>
      <c r="AM581" s="56"/>
      <c r="AN581" s="56"/>
    </row>
    <row r="582" spans="1:40" x14ac:dyDescent="0.25">
      <c r="C582" s="56"/>
      <c r="D582" s="56"/>
      <c r="E582" s="56"/>
      <c r="F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T582" s="56"/>
      <c r="U582" s="56"/>
      <c r="V582" s="56"/>
      <c r="Y582" s="56"/>
      <c r="Z582" s="56"/>
      <c r="AA582" s="56"/>
      <c r="AB582" s="56"/>
      <c r="AC582" s="56"/>
      <c r="AD582" s="56"/>
      <c r="AE582" s="56"/>
      <c r="AF582" s="56"/>
      <c r="AG582" s="155"/>
      <c r="AH582" s="56"/>
      <c r="AI582" s="56"/>
      <c r="AJ582" s="56"/>
      <c r="AK582" s="155"/>
      <c r="AL582" s="56"/>
      <c r="AM582" s="56"/>
      <c r="AN582" s="56"/>
    </row>
    <row r="583" spans="1:40" x14ac:dyDescent="0.25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154"/>
      <c r="AH583" s="55"/>
      <c r="AI583" s="55"/>
      <c r="AJ583" s="55"/>
      <c r="AK583" s="154"/>
      <c r="AL583" s="55"/>
      <c r="AM583" s="55"/>
      <c r="AN583" s="55"/>
    </row>
    <row r="584" spans="1:40" x14ac:dyDescent="0.25"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Y584" s="56"/>
      <c r="Z584" s="56"/>
      <c r="AA584" s="56"/>
      <c r="AB584" s="56"/>
      <c r="AC584" s="56"/>
      <c r="AD584" s="56"/>
      <c r="AE584" s="56"/>
      <c r="AF584" s="56"/>
      <c r="AG584" s="155"/>
      <c r="AH584" s="56"/>
      <c r="AI584" s="56"/>
      <c r="AJ584" s="56"/>
      <c r="AK584" s="155"/>
      <c r="AL584" s="56"/>
      <c r="AM584" s="56"/>
      <c r="AN584" s="56"/>
    </row>
    <row r="585" spans="1:40" x14ac:dyDescent="0.25">
      <c r="A585" s="53"/>
      <c r="C585" s="54"/>
      <c r="D585" s="54"/>
      <c r="E585" s="54"/>
      <c r="T585" s="54"/>
      <c r="U585" s="54"/>
    </row>
    <row r="587" spans="1:40" x14ac:dyDescent="0.25">
      <c r="A587" s="53"/>
      <c r="C587" s="54"/>
      <c r="D587" s="54"/>
      <c r="E587" s="54"/>
      <c r="T587" s="54"/>
      <c r="U587" s="54"/>
    </row>
    <row r="588" spans="1:40" x14ac:dyDescent="0.25">
      <c r="A588" s="53"/>
      <c r="C588" s="54"/>
      <c r="T588" s="54"/>
    </row>
    <row r="589" spans="1:40" x14ac:dyDescent="0.25">
      <c r="A589" s="53"/>
      <c r="C589" s="54"/>
      <c r="T589" s="54"/>
    </row>
    <row r="590" spans="1:40" x14ac:dyDescent="0.25">
      <c r="A590" s="53"/>
      <c r="C590" s="54"/>
      <c r="F590" s="449"/>
      <c r="H590" s="449"/>
      <c r="I590" s="449"/>
      <c r="J590" s="221"/>
      <c r="K590" s="221"/>
      <c r="L590" s="379"/>
      <c r="M590" s="379"/>
      <c r="N590" s="50"/>
      <c r="O590" s="50"/>
      <c r="P590" s="379"/>
      <c r="Q590" s="379"/>
      <c r="R590" s="379"/>
      <c r="T590" s="54"/>
      <c r="V590" s="379"/>
      <c r="W590" s="379"/>
      <c r="X590" s="379"/>
      <c r="Y590" s="379"/>
      <c r="Z590" s="221"/>
      <c r="AA590" s="379"/>
      <c r="AB590" s="379"/>
      <c r="AC590" s="50"/>
      <c r="AD590" s="50"/>
      <c r="AE590" s="379"/>
      <c r="AF590" s="379"/>
      <c r="AG590" s="156"/>
      <c r="AH590" s="60"/>
      <c r="AI590" s="379"/>
      <c r="AJ590" s="379"/>
      <c r="AK590" s="156"/>
      <c r="AL590" s="379"/>
      <c r="AM590" s="50"/>
      <c r="AN590" s="50"/>
    </row>
    <row r="591" spans="1:40" x14ac:dyDescent="0.25">
      <c r="A591" s="53"/>
      <c r="C591" s="54"/>
      <c r="J591" s="65"/>
      <c r="K591" s="65"/>
      <c r="T591" s="54"/>
      <c r="V591" s="379"/>
      <c r="W591" s="379"/>
      <c r="X591" s="379"/>
      <c r="Y591" s="379"/>
      <c r="Z591" s="221"/>
    </row>
    <row r="592" spans="1:40" x14ac:dyDescent="0.25">
      <c r="A592" s="53"/>
      <c r="C592" s="54"/>
      <c r="F592" s="449"/>
      <c r="H592" s="449"/>
      <c r="I592" s="449"/>
      <c r="J592" s="221"/>
      <c r="K592" s="221"/>
      <c r="L592" s="379"/>
      <c r="M592" s="379"/>
      <c r="N592" s="50"/>
      <c r="O592" s="50"/>
      <c r="P592" s="379"/>
      <c r="Q592" s="379"/>
      <c r="R592" s="379"/>
      <c r="T592" s="54"/>
      <c r="V592" s="379"/>
      <c r="W592" s="379"/>
      <c r="X592" s="379"/>
      <c r="Y592" s="379"/>
      <c r="Z592" s="221"/>
      <c r="AA592" s="379"/>
      <c r="AB592" s="379"/>
      <c r="AC592" s="50"/>
      <c r="AD592" s="50"/>
      <c r="AE592" s="379"/>
      <c r="AF592" s="379"/>
      <c r="AG592" s="156"/>
      <c r="AH592" s="60"/>
      <c r="AI592" s="379"/>
      <c r="AJ592" s="379"/>
      <c r="AK592" s="156"/>
      <c r="AL592" s="379"/>
      <c r="AM592" s="50"/>
      <c r="AN592" s="50"/>
    </row>
    <row r="593" spans="1:40" x14ac:dyDescent="0.25">
      <c r="A593" s="53"/>
      <c r="C593" s="54"/>
      <c r="J593" s="65"/>
      <c r="K593" s="65"/>
      <c r="T593" s="54"/>
      <c r="V593" s="379"/>
      <c r="W593" s="379"/>
      <c r="X593" s="379"/>
      <c r="Y593" s="379"/>
      <c r="Z593" s="221"/>
    </row>
    <row r="594" spans="1:40" x14ac:dyDescent="0.25">
      <c r="A594" s="53"/>
      <c r="C594" s="54"/>
      <c r="F594" s="449"/>
      <c r="H594" s="449"/>
      <c r="I594" s="449"/>
      <c r="J594" s="221"/>
      <c r="K594" s="221"/>
      <c r="L594" s="379"/>
      <c r="M594" s="379"/>
      <c r="N594" s="50"/>
      <c r="O594" s="50"/>
      <c r="P594" s="379"/>
      <c r="Q594" s="379"/>
      <c r="R594" s="379"/>
      <c r="T594" s="54"/>
      <c r="V594" s="379"/>
      <c r="W594" s="379"/>
      <c r="X594" s="379"/>
      <c r="Y594" s="379"/>
      <c r="Z594" s="221"/>
      <c r="AA594" s="379"/>
      <c r="AB594" s="379"/>
      <c r="AC594" s="50"/>
      <c r="AD594" s="50"/>
      <c r="AE594" s="379"/>
      <c r="AF594" s="379"/>
      <c r="AG594" s="156"/>
      <c r="AH594" s="60"/>
      <c r="AI594" s="379"/>
      <c r="AJ594" s="379"/>
      <c r="AK594" s="156"/>
      <c r="AL594" s="379"/>
      <c r="AM594" s="50"/>
      <c r="AN594" s="50"/>
    </row>
    <row r="595" spans="1:40" x14ac:dyDescent="0.25">
      <c r="A595" s="53"/>
      <c r="C595" s="54"/>
      <c r="J595" s="65"/>
      <c r="K595" s="65"/>
      <c r="T595" s="54"/>
      <c r="V595" s="379"/>
      <c r="W595" s="379"/>
      <c r="X595" s="379"/>
      <c r="Y595" s="379"/>
      <c r="Z595" s="221"/>
    </row>
    <row r="596" spans="1:40" x14ac:dyDescent="0.25">
      <c r="A596" s="53"/>
      <c r="C596" s="54"/>
      <c r="F596" s="449"/>
      <c r="H596" s="449"/>
      <c r="I596" s="449"/>
      <c r="J596" s="221"/>
      <c r="K596" s="221"/>
      <c r="L596" s="379"/>
      <c r="M596" s="379"/>
      <c r="N596" s="50"/>
      <c r="O596" s="50"/>
      <c r="P596" s="379"/>
      <c r="Q596" s="379"/>
      <c r="R596" s="379"/>
      <c r="T596" s="54"/>
      <c r="V596" s="379"/>
      <c r="W596" s="379"/>
      <c r="X596" s="379"/>
      <c r="Y596" s="379"/>
      <c r="Z596" s="221"/>
      <c r="AA596" s="379"/>
      <c r="AB596" s="379"/>
      <c r="AC596" s="50"/>
      <c r="AD596" s="50"/>
      <c r="AE596" s="379"/>
      <c r="AF596" s="379"/>
      <c r="AG596" s="156"/>
      <c r="AH596" s="60"/>
      <c r="AI596" s="379"/>
      <c r="AJ596" s="379"/>
      <c r="AK596" s="156"/>
      <c r="AL596" s="379"/>
      <c r="AM596" s="50"/>
      <c r="AN596" s="50"/>
    </row>
    <row r="597" spans="1:40" x14ac:dyDescent="0.25">
      <c r="A597" s="53"/>
      <c r="C597" s="54"/>
      <c r="J597" s="65"/>
      <c r="K597" s="65"/>
      <c r="T597" s="54"/>
      <c r="V597" s="379"/>
      <c r="W597" s="379"/>
      <c r="X597" s="379"/>
      <c r="Y597" s="379"/>
      <c r="Z597" s="221"/>
    </row>
    <row r="598" spans="1:40" x14ac:dyDescent="0.25">
      <c r="A598" s="53"/>
      <c r="C598" s="54"/>
      <c r="F598" s="449"/>
      <c r="H598" s="449"/>
      <c r="I598" s="449"/>
      <c r="J598" s="221"/>
      <c r="K598" s="221"/>
      <c r="L598" s="379"/>
      <c r="M598" s="379"/>
      <c r="N598" s="50"/>
      <c r="O598" s="50"/>
      <c r="P598" s="379"/>
      <c r="Q598" s="379"/>
      <c r="R598" s="379"/>
      <c r="T598" s="54"/>
      <c r="V598" s="379"/>
      <c r="W598" s="379"/>
      <c r="X598" s="379"/>
      <c r="Y598" s="379"/>
      <c r="Z598" s="221"/>
      <c r="AA598" s="379"/>
      <c r="AB598" s="379"/>
      <c r="AC598" s="50"/>
      <c r="AD598" s="50"/>
      <c r="AE598" s="379"/>
      <c r="AF598" s="379"/>
      <c r="AG598" s="156"/>
      <c r="AH598" s="60"/>
      <c r="AI598" s="379"/>
      <c r="AJ598" s="379"/>
      <c r="AK598" s="156"/>
      <c r="AL598" s="379"/>
      <c r="AM598" s="50"/>
      <c r="AN598" s="50"/>
    </row>
    <row r="599" spans="1:40" x14ac:dyDescent="0.25">
      <c r="A599" s="53"/>
      <c r="C599" s="54"/>
      <c r="J599" s="65"/>
      <c r="K599" s="65"/>
      <c r="T599" s="54"/>
      <c r="V599" s="379"/>
      <c r="W599" s="379"/>
      <c r="X599" s="379"/>
      <c r="Y599" s="379"/>
      <c r="Z599" s="221"/>
    </row>
    <row r="600" spans="1:40" x14ac:dyDescent="0.25">
      <c r="A600" s="53"/>
      <c r="C600" s="54"/>
      <c r="F600" s="449"/>
      <c r="H600" s="449"/>
      <c r="I600" s="449"/>
      <c r="J600" s="221"/>
      <c r="K600" s="221"/>
      <c r="L600" s="379"/>
      <c r="M600" s="379"/>
      <c r="N600" s="50"/>
      <c r="O600" s="50"/>
      <c r="P600" s="379"/>
      <c r="Q600" s="379"/>
      <c r="R600" s="379"/>
      <c r="T600" s="54"/>
      <c r="V600" s="379"/>
      <c r="W600" s="379"/>
      <c r="X600" s="379"/>
      <c r="Y600" s="379"/>
      <c r="Z600" s="221"/>
      <c r="AA600" s="379"/>
      <c r="AB600" s="379"/>
      <c r="AC600" s="50"/>
      <c r="AD600" s="50"/>
      <c r="AE600" s="379"/>
      <c r="AF600" s="379"/>
      <c r="AG600" s="156"/>
      <c r="AH600" s="60"/>
      <c r="AI600" s="379"/>
      <c r="AJ600" s="379"/>
      <c r="AK600" s="156"/>
      <c r="AL600" s="379"/>
      <c r="AM600" s="50"/>
      <c r="AN600" s="50"/>
    </row>
    <row r="601" spans="1:40" x14ac:dyDescent="0.25">
      <c r="F601" s="381"/>
      <c r="H601" s="381"/>
      <c r="I601" s="381"/>
      <c r="J601" s="221"/>
      <c r="K601" s="221"/>
      <c r="L601" s="381"/>
      <c r="M601" s="381"/>
      <c r="N601" s="381"/>
      <c r="O601" s="381"/>
      <c r="P601" s="381"/>
      <c r="Q601" s="381"/>
      <c r="R601" s="381"/>
      <c r="V601" s="381"/>
      <c r="Y601" s="381"/>
      <c r="Z601" s="221"/>
      <c r="AA601" s="381"/>
      <c r="AB601" s="381"/>
      <c r="AC601" s="381"/>
      <c r="AD601" s="381"/>
      <c r="AE601" s="381"/>
      <c r="AF601" s="381"/>
      <c r="AI601" s="381"/>
      <c r="AJ601" s="381"/>
      <c r="AK601" s="162"/>
      <c r="AL601" s="381"/>
      <c r="AM601" s="50"/>
      <c r="AN601" s="50"/>
    </row>
    <row r="602" spans="1:40" x14ac:dyDescent="0.25">
      <c r="A602" s="53"/>
      <c r="C602" s="54"/>
      <c r="F602" s="379"/>
      <c r="H602" s="379"/>
      <c r="I602" s="379"/>
      <c r="J602" s="65"/>
      <c r="K602" s="65"/>
      <c r="L602" s="379"/>
      <c r="M602" s="379"/>
      <c r="N602" s="50"/>
      <c r="O602" s="50"/>
      <c r="P602" s="449"/>
      <c r="Q602" s="449"/>
      <c r="R602" s="379"/>
      <c r="T602" s="54"/>
      <c r="V602" s="379"/>
      <c r="W602" s="379"/>
      <c r="X602" s="379"/>
      <c r="Y602" s="379"/>
      <c r="Z602" s="221"/>
      <c r="AA602" s="379"/>
      <c r="AB602" s="379"/>
      <c r="AC602" s="50"/>
      <c r="AD602" s="50"/>
      <c r="AE602" s="379"/>
      <c r="AF602" s="379"/>
      <c r="AG602" s="156"/>
      <c r="AH602" s="60"/>
      <c r="AI602" s="449"/>
      <c r="AJ602" s="449"/>
      <c r="AK602" s="156"/>
      <c r="AL602" s="379"/>
      <c r="AM602" s="50"/>
      <c r="AN602" s="50"/>
    </row>
    <row r="603" spans="1:40" x14ac:dyDescent="0.25">
      <c r="F603" s="381"/>
      <c r="H603" s="381"/>
      <c r="I603" s="381"/>
      <c r="J603" s="221"/>
      <c r="K603" s="221"/>
      <c r="L603" s="381"/>
      <c r="M603" s="381"/>
      <c r="N603" s="381"/>
      <c r="O603" s="381"/>
      <c r="P603" s="381"/>
      <c r="Q603" s="381"/>
      <c r="R603" s="381"/>
      <c r="V603" s="381"/>
      <c r="Y603" s="381"/>
      <c r="Z603" s="221"/>
      <c r="AA603" s="381"/>
      <c r="AB603" s="381"/>
      <c r="AC603" s="381"/>
      <c r="AD603" s="381"/>
      <c r="AE603" s="381"/>
      <c r="AF603" s="381"/>
      <c r="AI603" s="381"/>
      <c r="AJ603" s="381"/>
      <c r="AK603" s="162"/>
      <c r="AL603" s="381"/>
    </row>
    <row r="604" spans="1:40" x14ac:dyDescent="0.25">
      <c r="A604" s="53"/>
      <c r="C604" s="54"/>
      <c r="D604" s="54"/>
      <c r="E604" s="54"/>
      <c r="J604" s="65"/>
      <c r="K604" s="65"/>
      <c r="T604" s="54"/>
      <c r="U604" s="54"/>
      <c r="V604" s="379"/>
      <c r="W604" s="379"/>
      <c r="X604" s="379"/>
      <c r="Y604" s="379"/>
      <c r="Z604" s="221"/>
    </row>
    <row r="605" spans="1:40" x14ac:dyDescent="0.25">
      <c r="A605" s="53"/>
      <c r="C605" s="54"/>
      <c r="J605" s="65"/>
      <c r="K605" s="65"/>
      <c r="T605" s="54"/>
      <c r="V605" s="379"/>
      <c r="W605" s="379"/>
      <c r="X605" s="379"/>
      <c r="Y605" s="379"/>
      <c r="Z605" s="221"/>
    </row>
    <row r="606" spans="1:40" x14ac:dyDescent="0.25">
      <c r="A606" s="53"/>
      <c r="C606" s="54"/>
      <c r="J606" s="65"/>
      <c r="K606" s="65"/>
      <c r="T606" s="54"/>
      <c r="V606" s="379"/>
      <c r="W606" s="379"/>
      <c r="X606" s="379"/>
      <c r="Y606" s="379"/>
      <c r="Z606" s="221"/>
    </row>
    <row r="607" spans="1:40" x14ac:dyDescent="0.25">
      <c r="A607" s="53"/>
      <c r="C607" s="54"/>
      <c r="F607" s="449"/>
      <c r="H607" s="449"/>
      <c r="I607" s="449"/>
      <c r="J607" s="221"/>
      <c r="K607" s="221"/>
      <c r="L607" s="379"/>
      <c r="M607" s="379"/>
      <c r="N607" s="50"/>
      <c r="O607" s="50"/>
      <c r="P607" s="379"/>
      <c r="Q607" s="379"/>
      <c r="R607" s="379"/>
      <c r="T607" s="54"/>
      <c r="V607" s="379"/>
      <c r="W607" s="379"/>
      <c r="X607" s="379"/>
      <c r="Y607" s="379"/>
      <c r="Z607" s="221"/>
      <c r="AA607" s="379"/>
      <c r="AB607" s="379"/>
      <c r="AC607" s="50"/>
      <c r="AD607" s="50"/>
      <c r="AE607" s="379"/>
      <c r="AF607" s="379"/>
      <c r="AG607" s="156"/>
      <c r="AH607" s="60"/>
      <c r="AI607" s="379"/>
      <c r="AJ607" s="379"/>
      <c r="AK607" s="156"/>
      <c r="AL607" s="379"/>
      <c r="AM607" s="50"/>
      <c r="AN607" s="50"/>
    </row>
    <row r="608" spans="1:40" x14ac:dyDescent="0.25">
      <c r="A608" s="53"/>
      <c r="C608" s="54"/>
      <c r="J608" s="65"/>
      <c r="K608" s="65"/>
      <c r="T608" s="54"/>
      <c r="V608" s="379"/>
      <c r="W608" s="379"/>
      <c r="X608" s="379"/>
      <c r="Y608" s="379"/>
      <c r="Z608" s="221"/>
    </row>
    <row r="609" spans="1:40" x14ac:dyDescent="0.25">
      <c r="A609" s="53"/>
      <c r="C609" s="54"/>
      <c r="F609" s="449"/>
      <c r="H609" s="449"/>
      <c r="I609" s="449"/>
      <c r="J609" s="221"/>
      <c r="K609" s="221"/>
      <c r="L609" s="379"/>
      <c r="M609" s="379"/>
      <c r="N609" s="50"/>
      <c r="O609" s="50"/>
      <c r="P609" s="379"/>
      <c r="Q609" s="379"/>
      <c r="R609" s="379"/>
      <c r="T609" s="54"/>
      <c r="V609" s="379"/>
      <c r="W609" s="379"/>
      <c r="X609" s="379"/>
      <c r="Y609" s="379"/>
      <c r="Z609" s="221"/>
      <c r="AA609" s="379"/>
      <c r="AB609" s="379"/>
      <c r="AC609" s="50"/>
      <c r="AD609" s="50"/>
      <c r="AE609" s="379"/>
      <c r="AF609" s="379"/>
      <c r="AG609" s="156"/>
      <c r="AH609" s="60"/>
      <c r="AI609" s="379"/>
      <c r="AJ609" s="379"/>
      <c r="AK609" s="156"/>
      <c r="AL609" s="379"/>
      <c r="AM609" s="50"/>
      <c r="AN609" s="50"/>
    </row>
    <row r="610" spans="1:40" x14ac:dyDescent="0.25">
      <c r="F610" s="381"/>
      <c r="H610" s="381"/>
      <c r="I610" s="381"/>
      <c r="J610" s="221"/>
      <c r="K610" s="221"/>
      <c r="L610" s="381"/>
      <c r="M610" s="381"/>
      <c r="N610" s="381"/>
      <c r="O610" s="381"/>
      <c r="P610" s="381"/>
      <c r="Q610" s="381"/>
      <c r="R610" s="381"/>
      <c r="V610" s="381"/>
      <c r="Y610" s="381"/>
      <c r="Z610" s="464"/>
      <c r="AA610" s="381"/>
      <c r="AB610" s="381"/>
      <c r="AC610" s="381"/>
      <c r="AD610" s="381"/>
      <c r="AE610" s="381"/>
      <c r="AF610" s="381"/>
      <c r="AI610" s="381"/>
      <c r="AJ610" s="381"/>
      <c r="AK610" s="162"/>
      <c r="AL610" s="381"/>
    </row>
    <row r="611" spans="1:40" x14ac:dyDescent="0.25">
      <c r="A611" s="53"/>
      <c r="C611" s="54"/>
      <c r="F611" s="379"/>
      <c r="H611" s="379"/>
      <c r="I611" s="379"/>
      <c r="L611" s="379"/>
      <c r="M611" s="379"/>
      <c r="N611" s="50"/>
      <c r="O611" s="50"/>
      <c r="P611" s="449"/>
      <c r="Q611" s="449"/>
      <c r="R611" s="379"/>
      <c r="T611" s="54"/>
      <c r="V611" s="379"/>
      <c r="W611" s="379"/>
      <c r="X611" s="379"/>
      <c r="Y611" s="379"/>
      <c r="Z611" s="477"/>
      <c r="AA611" s="379"/>
      <c r="AB611" s="379"/>
      <c r="AC611" s="50"/>
      <c r="AD611" s="50"/>
      <c r="AE611" s="379"/>
      <c r="AF611" s="379"/>
      <c r="AG611" s="156"/>
      <c r="AH611" s="60"/>
      <c r="AI611" s="449"/>
      <c r="AJ611" s="449"/>
      <c r="AK611" s="156"/>
      <c r="AL611" s="379"/>
      <c r="AM611" s="50"/>
      <c r="AN611" s="50"/>
    </row>
    <row r="612" spans="1:40" x14ac:dyDescent="0.25">
      <c r="F612" s="381"/>
      <c r="H612" s="381"/>
      <c r="I612" s="381"/>
      <c r="J612" s="464"/>
      <c r="K612" s="464"/>
      <c r="L612" s="381"/>
      <c r="M612" s="381"/>
      <c r="N612" s="381"/>
      <c r="O612" s="381"/>
      <c r="P612" s="381"/>
      <c r="Q612" s="381"/>
      <c r="R612" s="381"/>
      <c r="V612" s="381"/>
      <c r="Y612" s="381"/>
      <c r="Z612" s="464"/>
      <c r="AA612" s="381"/>
      <c r="AB612" s="381"/>
      <c r="AC612" s="381"/>
      <c r="AD612" s="381"/>
      <c r="AE612" s="381"/>
      <c r="AF612" s="381"/>
      <c r="AI612" s="381"/>
      <c r="AJ612" s="381"/>
      <c r="AK612" s="162"/>
      <c r="AL612" s="381"/>
    </row>
    <row r="613" spans="1:40" x14ac:dyDescent="0.25">
      <c r="A613" s="53"/>
      <c r="C613" s="54"/>
      <c r="D613" s="54"/>
      <c r="E613" s="54"/>
      <c r="T613" s="54"/>
      <c r="U613" s="54"/>
      <c r="V613" s="379"/>
      <c r="W613" s="379"/>
      <c r="X613" s="379"/>
      <c r="Y613" s="379"/>
      <c r="Z613" s="477"/>
    </row>
    <row r="614" spans="1:40" x14ac:dyDescent="0.25">
      <c r="A614" s="53"/>
      <c r="C614" s="54"/>
      <c r="T614" s="54"/>
      <c r="V614" s="379"/>
      <c r="W614" s="379"/>
      <c r="X614" s="379"/>
      <c r="Y614" s="379"/>
      <c r="Z614" s="477"/>
    </row>
    <row r="615" spans="1:40" x14ac:dyDescent="0.25">
      <c r="A615" s="53"/>
      <c r="C615" s="54"/>
      <c r="F615" s="449"/>
      <c r="H615" s="449"/>
      <c r="I615" s="449"/>
      <c r="J615" s="477"/>
      <c r="K615" s="477"/>
      <c r="L615" s="379"/>
      <c r="M615" s="379"/>
      <c r="N615" s="50"/>
      <c r="O615" s="50"/>
      <c r="P615" s="379"/>
      <c r="Q615" s="379"/>
      <c r="R615" s="379"/>
      <c r="T615" s="54"/>
      <c r="V615" s="379"/>
      <c r="W615" s="379"/>
      <c r="X615" s="379"/>
      <c r="Y615" s="379"/>
      <c r="Z615" s="477"/>
      <c r="AA615" s="379"/>
      <c r="AB615" s="379"/>
      <c r="AC615" s="50"/>
      <c r="AD615" s="50"/>
      <c r="AE615" s="379"/>
      <c r="AF615" s="379"/>
      <c r="AG615" s="156"/>
      <c r="AH615" s="60"/>
      <c r="AI615" s="379"/>
      <c r="AJ615" s="379"/>
      <c r="AK615" s="156"/>
      <c r="AL615" s="379"/>
      <c r="AM615" s="50"/>
      <c r="AN615" s="50"/>
    </row>
    <row r="616" spans="1:40" x14ac:dyDescent="0.25">
      <c r="A616" s="53"/>
      <c r="C616" s="54"/>
      <c r="T616" s="54"/>
      <c r="V616" s="379"/>
      <c r="W616" s="379"/>
      <c r="X616" s="379"/>
      <c r="Y616" s="379"/>
      <c r="Z616" s="477"/>
    </row>
    <row r="617" spans="1:40" x14ac:dyDescent="0.25">
      <c r="A617" s="53"/>
      <c r="C617" s="54"/>
      <c r="F617" s="449"/>
      <c r="H617" s="449"/>
      <c r="I617" s="449"/>
      <c r="J617" s="477"/>
      <c r="K617" s="477"/>
      <c r="L617" s="379"/>
      <c r="M617" s="379"/>
      <c r="N617" s="50"/>
      <c r="O617" s="50"/>
      <c r="P617" s="379"/>
      <c r="Q617" s="379"/>
      <c r="R617" s="379"/>
      <c r="T617" s="54"/>
      <c r="V617" s="379"/>
      <c r="W617" s="379"/>
      <c r="X617" s="379"/>
      <c r="Y617" s="379"/>
      <c r="Z617" s="477"/>
      <c r="AA617" s="379"/>
      <c r="AB617" s="379"/>
      <c r="AC617" s="50"/>
      <c r="AD617" s="50"/>
      <c r="AE617" s="379"/>
      <c r="AF617" s="379"/>
      <c r="AG617" s="156"/>
      <c r="AH617" s="60"/>
      <c r="AI617" s="379"/>
      <c r="AJ617" s="379"/>
      <c r="AK617" s="156"/>
      <c r="AL617" s="379"/>
      <c r="AM617" s="50"/>
      <c r="AN617" s="50"/>
    </row>
    <row r="618" spans="1:40" x14ac:dyDescent="0.25">
      <c r="A618" s="53"/>
      <c r="C618" s="54"/>
      <c r="T618" s="54"/>
      <c r="V618" s="379"/>
      <c r="W618" s="379"/>
      <c r="X618" s="379"/>
      <c r="Y618" s="379"/>
      <c r="Z618" s="477"/>
    </row>
    <row r="619" spans="1:40" x14ac:dyDescent="0.25">
      <c r="A619" s="53"/>
      <c r="C619" s="54"/>
      <c r="F619" s="449"/>
      <c r="H619" s="449"/>
      <c r="I619" s="449"/>
      <c r="J619" s="477"/>
      <c r="K619" s="477"/>
      <c r="L619" s="379"/>
      <c r="M619" s="379"/>
      <c r="N619" s="50"/>
      <c r="O619" s="50"/>
      <c r="P619" s="379"/>
      <c r="Q619" s="379"/>
      <c r="R619" s="379"/>
      <c r="T619" s="54"/>
      <c r="V619" s="379"/>
      <c r="W619" s="379"/>
      <c r="X619" s="379"/>
      <c r="Y619" s="379"/>
      <c r="Z619" s="477"/>
      <c r="AA619" s="379"/>
      <c r="AB619" s="379"/>
      <c r="AC619" s="50"/>
      <c r="AD619" s="50"/>
      <c r="AE619" s="379"/>
      <c r="AF619" s="379"/>
      <c r="AG619" s="156"/>
      <c r="AH619" s="60"/>
      <c r="AI619" s="379"/>
      <c r="AJ619" s="379"/>
      <c r="AK619" s="156"/>
      <c r="AL619" s="379"/>
      <c r="AM619" s="50"/>
      <c r="AN619" s="50"/>
    </row>
    <row r="620" spans="1:40" x14ac:dyDescent="0.25">
      <c r="A620" s="53"/>
      <c r="C620" s="54"/>
      <c r="T620" s="54"/>
      <c r="V620" s="379"/>
      <c r="W620" s="379"/>
      <c r="X620" s="379"/>
      <c r="Y620" s="379"/>
      <c r="Z620" s="477"/>
    </row>
    <row r="621" spans="1:40" x14ac:dyDescent="0.25">
      <c r="A621" s="53"/>
      <c r="C621" s="54"/>
      <c r="F621" s="449"/>
      <c r="H621" s="449"/>
      <c r="I621" s="449"/>
      <c r="J621" s="477"/>
      <c r="K621" s="477"/>
      <c r="L621" s="379"/>
      <c r="M621" s="379"/>
      <c r="N621" s="50"/>
      <c r="O621" s="50"/>
      <c r="P621" s="379"/>
      <c r="Q621" s="379"/>
      <c r="R621" s="379"/>
      <c r="T621" s="54"/>
      <c r="V621" s="379"/>
      <c r="W621" s="379"/>
      <c r="X621" s="379"/>
      <c r="Y621" s="379"/>
      <c r="Z621" s="477"/>
      <c r="AA621" s="379"/>
      <c r="AB621" s="379"/>
      <c r="AC621" s="50"/>
      <c r="AD621" s="50"/>
      <c r="AE621" s="379"/>
      <c r="AF621" s="379"/>
      <c r="AG621" s="156"/>
      <c r="AH621" s="60"/>
      <c r="AI621" s="379"/>
      <c r="AJ621" s="379"/>
      <c r="AK621" s="156"/>
      <c r="AL621" s="379"/>
      <c r="AM621" s="50"/>
      <c r="AN621" s="50"/>
    </row>
    <row r="622" spans="1:40" x14ac:dyDescent="0.25">
      <c r="F622" s="381"/>
      <c r="H622" s="381"/>
      <c r="I622" s="381"/>
      <c r="J622" s="464"/>
      <c r="K622" s="464"/>
      <c r="L622" s="381"/>
      <c r="M622" s="381"/>
      <c r="N622" s="381"/>
      <c r="O622" s="381"/>
      <c r="P622" s="381"/>
      <c r="Q622" s="381"/>
      <c r="R622" s="381"/>
      <c r="V622" s="381"/>
      <c r="Y622" s="381"/>
      <c r="Z622" s="464"/>
      <c r="AA622" s="381"/>
      <c r="AB622" s="381"/>
      <c r="AC622" s="381"/>
      <c r="AD622" s="381"/>
      <c r="AE622" s="381"/>
      <c r="AF622" s="381"/>
      <c r="AI622" s="381"/>
      <c r="AJ622" s="381"/>
      <c r="AK622" s="162"/>
      <c r="AL622" s="381"/>
    </row>
    <row r="623" spans="1:40" x14ac:dyDescent="0.25">
      <c r="A623" s="53"/>
      <c r="C623" s="54"/>
      <c r="F623" s="379"/>
      <c r="H623" s="379"/>
      <c r="I623" s="379"/>
      <c r="L623" s="379"/>
      <c r="M623" s="379"/>
      <c r="N623" s="50"/>
      <c r="O623" s="50"/>
      <c r="P623" s="449"/>
      <c r="Q623" s="449"/>
      <c r="R623" s="379"/>
      <c r="T623" s="54"/>
      <c r="V623" s="379"/>
      <c r="W623" s="379"/>
      <c r="X623" s="379"/>
      <c r="Y623" s="379"/>
      <c r="Z623" s="477"/>
      <c r="AA623" s="379"/>
      <c r="AB623" s="379"/>
      <c r="AC623" s="50"/>
      <c r="AD623" s="50"/>
      <c r="AE623" s="379"/>
      <c r="AF623" s="379"/>
      <c r="AG623" s="156"/>
      <c r="AH623" s="60"/>
      <c r="AI623" s="449"/>
      <c r="AJ623" s="449"/>
      <c r="AK623" s="156"/>
      <c r="AL623" s="379"/>
      <c r="AM623" s="50"/>
      <c r="AN623" s="50"/>
    </row>
    <row r="624" spans="1:40" x14ac:dyDescent="0.25">
      <c r="F624" s="381"/>
      <c r="H624" s="381"/>
      <c r="I624" s="381"/>
      <c r="J624" s="464"/>
      <c r="K624" s="464"/>
      <c r="L624" s="381"/>
      <c r="M624" s="381"/>
      <c r="N624" s="381"/>
      <c r="O624" s="381"/>
      <c r="P624" s="381"/>
      <c r="Q624" s="381"/>
      <c r="R624" s="381"/>
      <c r="V624" s="381"/>
      <c r="Y624" s="381"/>
      <c r="Z624" s="464"/>
      <c r="AA624" s="381"/>
      <c r="AB624" s="381"/>
      <c r="AC624" s="381"/>
      <c r="AD624" s="381"/>
      <c r="AE624" s="381"/>
      <c r="AF624" s="381"/>
      <c r="AI624" s="381"/>
      <c r="AJ624" s="381"/>
      <c r="AK624" s="162"/>
      <c r="AL624" s="381"/>
    </row>
    <row r="625" spans="1:40" x14ac:dyDescent="0.25">
      <c r="A625" s="53"/>
      <c r="C625" s="54"/>
      <c r="F625" s="379"/>
      <c r="H625" s="379"/>
      <c r="I625" s="379"/>
      <c r="L625" s="379"/>
      <c r="M625" s="379"/>
      <c r="N625" s="50"/>
      <c r="O625" s="50"/>
      <c r="P625" s="379"/>
      <c r="Q625" s="379"/>
      <c r="R625" s="379"/>
      <c r="T625" s="54"/>
      <c r="V625" s="379"/>
      <c r="W625" s="379"/>
      <c r="X625" s="379"/>
      <c r="Y625" s="379"/>
      <c r="AA625" s="379"/>
      <c r="AB625" s="379"/>
      <c r="AC625" s="50"/>
      <c r="AD625" s="50"/>
      <c r="AE625" s="379"/>
      <c r="AF625" s="379"/>
      <c r="AG625" s="156"/>
      <c r="AH625" s="60"/>
      <c r="AI625" s="379"/>
      <c r="AJ625" s="379"/>
      <c r="AK625" s="156"/>
      <c r="AL625" s="379"/>
      <c r="AM625" s="60"/>
      <c r="AN625" s="60"/>
    </row>
    <row r="626" spans="1:40" x14ac:dyDescent="0.25">
      <c r="F626" s="381"/>
      <c r="H626" s="381"/>
      <c r="I626" s="381"/>
      <c r="J626" s="464"/>
      <c r="K626" s="464"/>
      <c r="L626" s="381"/>
      <c r="M626" s="381"/>
      <c r="N626" s="381"/>
      <c r="O626" s="381"/>
      <c r="P626" s="381"/>
      <c r="Q626" s="381"/>
      <c r="R626" s="381"/>
      <c r="V626" s="381"/>
      <c r="Y626" s="381"/>
      <c r="Z626" s="464"/>
      <c r="AA626" s="381"/>
      <c r="AB626" s="381"/>
      <c r="AC626" s="381"/>
      <c r="AD626" s="381"/>
      <c r="AE626" s="381"/>
      <c r="AF626" s="381"/>
      <c r="AI626" s="381"/>
      <c r="AJ626" s="381"/>
      <c r="AK626" s="162"/>
      <c r="AL626" s="381"/>
    </row>
    <row r="628" spans="1:40" x14ac:dyDescent="0.25">
      <c r="C628" s="53"/>
      <c r="T628" s="53"/>
    </row>
    <row r="629" spans="1:40" x14ac:dyDescent="0.25">
      <c r="A629" s="54"/>
    </row>
    <row r="630" spans="1:40" x14ac:dyDescent="0.25">
      <c r="J630" s="53"/>
      <c r="K630" s="53"/>
      <c r="Z630" s="53"/>
    </row>
    <row r="631" spans="1:40" x14ac:dyDescent="0.25">
      <c r="H631" s="54"/>
      <c r="I631" s="54"/>
      <c r="Y631" s="54"/>
    </row>
    <row r="632" spans="1:40" x14ac:dyDescent="0.25">
      <c r="J632" s="53"/>
      <c r="K632" s="53"/>
      <c r="Z632" s="53"/>
    </row>
    <row r="633" spans="1:40" x14ac:dyDescent="0.25">
      <c r="L633" s="54"/>
      <c r="M633" s="54"/>
      <c r="AA633" s="54"/>
      <c r="AB633" s="54"/>
    </row>
    <row r="634" spans="1:40" x14ac:dyDescent="0.25">
      <c r="A634" s="53"/>
      <c r="R634" s="54"/>
      <c r="AK634" s="161"/>
      <c r="AL634" s="54"/>
    </row>
    <row r="635" spans="1:40" x14ac:dyDescent="0.25">
      <c r="A635" s="53"/>
      <c r="R635" s="54"/>
      <c r="AK635" s="161"/>
      <c r="AL635" s="54"/>
    </row>
    <row r="636" spans="1:40" x14ac:dyDescent="0.25">
      <c r="A636" s="54"/>
      <c r="R636" s="54"/>
      <c r="AK636" s="161"/>
      <c r="AL636" s="54"/>
    </row>
    <row r="637" spans="1:40" x14ac:dyDescent="0.25">
      <c r="L637" s="54"/>
      <c r="M637" s="54"/>
      <c r="R637" s="53"/>
      <c r="AA637" s="54"/>
      <c r="AB637" s="54"/>
      <c r="AK637" s="156"/>
      <c r="AL637" s="53"/>
    </row>
    <row r="638" spans="1:40" x14ac:dyDescent="0.25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154"/>
      <c r="AH638" s="55"/>
      <c r="AI638" s="55"/>
      <c r="AJ638" s="55"/>
      <c r="AK638" s="154"/>
      <c r="AL638" s="55"/>
      <c r="AM638" s="55"/>
      <c r="AN638" s="55"/>
    </row>
    <row r="639" spans="1:40" x14ac:dyDescent="0.25">
      <c r="L639" s="56"/>
      <c r="M639" s="56"/>
      <c r="N639" s="56"/>
      <c r="O639" s="56"/>
      <c r="R639" s="56"/>
      <c r="AA639" s="56"/>
      <c r="AB639" s="56"/>
      <c r="AC639" s="56"/>
      <c r="AD639" s="56"/>
      <c r="AE639" s="56"/>
      <c r="AF639" s="56"/>
      <c r="AG639" s="155"/>
      <c r="AH639" s="56"/>
      <c r="AK639" s="155"/>
      <c r="AL639" s="56"/>
      <c r="AM639" s="56"/>
      <c r="AN639" s="56"/>
    </row>
    <row r="640" spans="1:40" x14ac:dyDescent="0.25">
      <c r="L640" s="56"/>
      <c r="M640" s="56"/>
      <c r="N640" s="56"/>
      <c r="O640" s="56"/>
      <c r="R640" s="56"/>
      <c r="Z640" s="56"/>
      <c r="AA640" s="56"/>
      <c r="AB640" s="56"/>
      <c r="AC640" s="56"/>
      <c r="AD640" s="56"/>
      <c r="AE640" s="56"/>
      <c r="AF640" s="56"/>
      <c r="AG640" s="155"/>
      <c r="AH640" s="56"/>
      <c r="AK640" s="155"/>
      <c r="AL640" s="56"/>
      <c r="AM640" s="56"/>
      <c r="AN640" s="56"/>
    </row>
    <row r="641" spans="1:40" x14ac:dyDescent="0.25">
      <c r="A641" s="56"/>
      <c r="C641" s="56"/>
      <c r="D641" s="56"/>
      <c r="E641" s="56"/>
      <c r="F641" s="56"/>
      <c r="J641" s="56"/>
      <c r="K641" s="56"/>
      <c r="L641" s="56"/>
      <c r="M641" s="56"/>
      <c r="N641" s="56"/>
      <c r="O641" s="56"/>
      <c r="P641" s="56"/>
      <c r="Q641" s="56"/>
      <c r="R641" s="56"/>
      <c r="T641" s="56"/>
      <c r="U641" s="56"/>
      <c r="V641" s="56"/>
      <c r="Z641" s="56"/>
      <c r="AA641" s="56"/>
      <c r="AB641" s="56"/>
      <c r="AC641" s="56"/>
      <c r="AD641" s="56"/>
      <c r="AE641" s="56"/>
      <c r="AF641" s="56"/>
      <c r="AG641" s="155"/>
      <c r="AH641" s="56"/>
      <c r="AI641" s="56"/>
      <c r="AJ641" s="56"/>
      <c r="AK641" s="155"/>
      <c r="AL641" s="56"/>
      <c r="AM641" s="56"/>
      <c r="AN641" s="56"/>
    </row>
    <row r="642" spans="1:40" x14ac:dyDescent="0.25">
      <c r="A642" s="56"/>
      <c r="C642" s="56"/>
      <c r="D642" s="56"/>
      <c r="E642" s="56"/>
      <c r="F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T642" s="56"/>
      <c r="U642" s="56"/>
      <c r="V642" s="56"/>
      <c r="Y642" s="56"/>
      <c r="Z642" s="56"/>
      <c r="AA642" s="56"/>
      <c r="AB642" s="56"/>
      <c r="AC642" s="56"/>
      <c r="AD642" s="56"/>
      <c r="AE642" s="56"/>
      <c r="AF642" s="56"/>
      <c r="AG642" s="155"/>
      <c r="AH642" s="56"/>
      <c r="AI642" s="56"/>
      <c r="AJ642" s="56"/>
      <c r="AK642" s="155"/>
      <c r="AL642" s="56"/>
      <c r="AM642" s="56"/>
      <c r="AN642" s="56"/>
    </row>
    <row r="643" spans="1:40" x14ac:dyDescent="0.25">
      <c r="C643" s="56"/>
      <c r="D643" s="56"/>
      <c r="E643" s="56"/>
      <c r="F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T643" s="56"/>
      <c r="U643" s="56"/>
      <c r="V643" s="56"/>
      <c r="Y643" s="56"/>
      <c r="Z643" s="56"/>
      <c r="AA643" s="56"/>
      <c r="AB643" s="56"/>
      <c r="AC643" s="56"/>
      <c r="AD643" s="56"/>
      <c r="AE643" s="56"/>
      <c r="AF643" s="56"/>
      <c r="AG643" s="155"/>
      <c r="AH643" s="56"/>
      <c r="AI643" s="56"/>
      <c r="AJ643" s="56"/>
      <c r="AK643" s="155"/>
      <c r="AL643" s="56"/>
      <c r="AM643" s="56"/>
      <c r="AN643" s="56"/>
    </row>
    <row r="644" spans="1:40" x14ac:dyDescent="0.25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154"/>
      <c r="AH644" s="55"/>
      <c r="AI644" s="55"/>
      <c r="AJ644" s="55"/>
      <c r="AK644" s="154"/>
      <c r="AL644" s="55"/>
      <c r="AM644" s="55"/>
      <c r="AN644" s="55"/>
    </row>
    <row r="645" spans="1:40" x14ac:dyDescent="0.25"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Y645" s="56"/>
      <c r="Z645" s="56"/>
      <c r="AA645" s="56"/>
      <c r="AB645" s="56"/>
      <c r="AC645" s="56"/>
      <c r="AD645" s="56"/>
      <c r="AE645" s="56"/>
      <c r="AF645" s="56"/>
      <c r="AG645" s="155"/>
      <c r="AH645" s="56"/>
      <c r="AI645" s="56"/>
      <c r="AJ645" s="56"/>
      <c r="AK645" s="155"/>
      <c r="AL645" s="56"/>
      <c r="AM645" s="56"/>
      <c r="AN645" s="56"/>
    </row>
    <row r="646" spans="1:40" x14ac:dyDescent="0.25">
      <c r="A646" s="53"/>
      <c r="C646" s="54"/>
      <c r="D646" s="54"/>
      <c r="E646" s="54"/>
      <c r="F646" s="379"/>
      <c r="H646" s="379"/>
      <c r="I646" s="379"/>
      <c r="J646" s="59"/>
      <c r="K646" s="59"/>
      <c r="L646" s="379"/>
      <c r="M646" s="379"/>
      <c r="N646" s="59"/>
      <c r="O646" s="59"/>
      <c r="P646" s="379"/>
      <c r="Q646" s="379"/>
      <c r="R646" s="379"/>
      <c r="T646" s="54"/>
      <c r="U646" s="54"/>
      <c r="V646" s="379"/>
      <c r="Y646" s="379"/>
      <c r="Z646" s="59"/>
      <c r="AA646" s="379"/>
      <c r="AB646" s="379"/>
      <c r="AC646" s="59"/>
      <c r="AD646" s="59"/>
      <c r="AE646" s="379"/>
      <c r="AF646" s="379"/>
      <c r="AG646" s="156"/>
      <c r="AH646" s="60"/>
      <c r="AI646" s="379"/>
      <c r="AJ646" s="379"/>
      <c r="AK646" s="156"/>
      <c r="AL646" s="379"/>
      <c r="AM646" s="50"/>
      <c r="AN646" s="50"/>
    </row>
    <row r="647" spans="1:40" x14ac:dyDescent="0.25">
      <c r="F647" s="381"/>
      <c r="H647" s="381"/>
      <c r="I647" s="381"/>
      <c r="J647" s="464"/>
      <c r="K647" s="464"/>
      <c r="L647" s="381"/>
      <c r="M647" s="381"/>
      <c r="N647" s="381"/>
      <c r="O647" s="381"/>
      <c r="P647" s="381"/>
      <c r="Q647" s="381"/>
      <c r="R647" s="381"/>
      <c r="V647" s="381"/>
      <c r="Y647" s="381"/>
      <c r="Z647" s="464"/>
      <c r="AA647" s="381"/>
      <c r="AB647" s="381"/>
      <c r="AC647" s="381"/>
      <c r="AD647" s="381"/>
      <c r="AE647" s="381"/>
      <c r="AF647" s="381"/>
      <c r="AI647" s="381"/>
      <c r="AJ647" s="381"/>
      <c r="AK647" s="162"/>
      <c r="AL647" s="381"/>
      <c r="AM647" s="50"/>
      <c r="AN647" s="50"/>
    </row>
    <row r="648" spans="1:40" x14ac:dyDescent="0.25">
      <c r="A648" s="53"/>
      <c r="C648" s="54"/>
      <c r="F648" s="379"/>
      <c r="H648" s="379"/>
      <c r="I648" s="379"/>
      <c r="J648" s="59"/>
      <c r="K648" s="59"/>
      <c r="L648" s="379"/>
      <c r="M648" s="379"/>
      <c r="N648" s="59"/>
      <c r="O648" s="59"/>
      <c r="P648" s="379"/>
      <c r="Q648" s="379"/>
      <c r="R648" s="379"/>
      <c r="T648" s="54"/>
      <c r="V648" s="379"/>
      <c r="Y648" s="379"/>
      <c r="Z648" s="59"/>
      <c r="AA648" s="379"/>
      <c r="AB648" s="379"/>
      <c r="AC648" s="59"/>
      <c r="AD648" s="59"/>
      <c r="AE648" s="379"/>
      <c r="AF648" s="379"/>
      <c r="AG648" s="156"/>
      <c r="AH648" s="60"/>
      <c r="AI648" s="379"/>
      <c r="AJ648" s="379"/>
      <c r="AK648" s="156"/>
      <c r="AL648" s="379"/>
      <c r="AM648" s="50"/>
      <c r="AN648" s="50"/>
    </row>
    <row r="649" spans="1:40" x14ac:dyDescent="0.25">
      <c r="F649" s="379"/>
      <c r="H649" s="379"/>
      <c r="I649" s="379"/>
      <c r="J649" s="59"/>
      <c r="K649" s="59"/>
      <c r="L649" s="379"/>
      <c r="M649" s="379"/>
      <c r="N649" s="59"/>
      <c r="O649" s="59"/>
      <c r="P649" s="379"/>
      <c r="Q649" s="379"/>
      <c r="R649" s="379"/>
      <c r="V649" s="379"/>
      <c r="Y649" s="379"/>
      <c r="Z649" s="59"/>
      <c r="AA649" s="379"/>
      <c r="AB649" s="379"/>
      <c r="AC649" s="59"/>
      <c r="AD649" s="59"/>
      <c r="AG649" s="156"/>
      <c r="AH649" s="60"/>
      <c r="AI649" s="379"/>
      <c r="AJ649" s="379"/>
      <c r="AK649" s="156"/>
      <c r="AL649" s="379"/>
      <c r="AM649" s="50"/>
      <c r="AN649" s="50"/>
    </row>
    <row r="650" spans="1:40" x14ac:dyDescent="0.25">
      <c r="A650" s="53"/>
      <c r="C650" s="54"/>
      <c r="D650" s="54"/>
      <c r="E650" s="54"/>
      <c r="F650" s="379"/>
      <c r="H650" s="379"/>
      <c r="I650" s="379"/>
      <c r="J650" s="59"/>
      <c r="K650" s="59"/>
      <c r="L650" s="379"/>
      <c r="M650" s="379"/>
      <c r="N650" s="59"/>
      <c r="O650" s="59"/>
      <c r="P650" s="379"/>
      <c r="Q650" s="379"/>
      <c r="R650" s="379"/>
      <c r="T650" s="54"/>
      <c r="U650" s="54"/>
      <c r="V650" s="379"/>
      <c r="Y650" s="379"/>
      <c r="Z650" s="59"/>
      <c r="AA650" s="379"/>
      <c r="AB650" s="379"/>
      <c r="AC650" s="59"/>
      <c r="AD650" s="59"/>
      <c r="AE650" s="379"/>
      <c r="AF650" s="379"/>
      <c r="AG650" s="156"/>
      <c r="AH650" s="60"/>
      <c r="AI650" s="379"/>
      <c r="AJ650" s="379"/>
      <c r="AK650" s="156"/>
      <c r="AL650" s="379"/>
      <c r="AM650" s="50"/>
      <c r="AN650" s="50"/>
    </row>
    <row r="651" spans="1:40" x14ac:dyDescent="0.25">
      <c r="A651" s="53"/>
      <c r="C651" s="54"/>
      <c r="D651" s="54"/>
      <c r="E651" s="54"/>
      <c r="F651" s="379"/>
      <c r="H651" s="379"/>
      <c r="I651" s="379"/>
      <c r="J651" s="59"/>
      <c r="K651" s="59"/>
      <c r="L651" s="379"/>
      <c r="M651" s="379"/>
      <c r="N651" s="59"/>
      <c r="O651" s="59"/>
      <c r="P651" s="379"/>
      <c r="Q651" s="379"/>
      <c r="R651" s="379"/>
      <c r="T651" s="54"/>
      <c r="U651" s="54"/>
      <c r="V651" s="379"/>
      <c r="Y651" s="379"/>
      <c r="Z651" s="59"/>
      <c r="AA651" s="379"/>
      <c r="AB651" s="379"/>
      <c r="AC651" s="59"/>
      <c r="AD651" s="59"/>
      <c r="AE651" s="379"/>
      <c r="AF651" s="379"/>
      <c r="AG651" s="156"/>
      <c r="AH651" s="60"/>
      <c r="AI651" s="379"/>
      <c r="AJ651" s="379"/>
      <c r="AK651" s="156"/>
      <c r="AL651" s="379"/>
      <c r="AM651" s="50"/>
      <c r="AN651" s="50"/>
    </row>
    <row r="652" spans="1:40" x14ac:dyDescent="0.25">
      <c r="A652" s="53"/>
      <c r="C652" s="54"/>
      <c r="D652" s="54"/>
      <c r="E652" s="54"/>
      <c r="F652" s="379"/>
      <c r="H652" s="379"/>
      <c r="I652" s="379"/>
      <c r="J652" s="59"/>
      <c r="K652" s="59"/>
      <c r="L652" s="379"/>
      <c r="M652" s="379"/>
      <c r="N652" s="59"/>
      <c r="O652" s="59"/>
      <c r="P652" s="379"/>
      <c r="Q652" s="379"/>
      <c r="R652" s="379"/>
      <c r="T652" s="54"/>
      <c r="U652" s="54"/>
      <c r="V652" s="379"/>
      <c r="Y652" s="379"/>
      <c r="Z652" s="59"/>
      <c r="AA652" s="379"/>
      <c r="AB652" s="379"/>
      <c r="AC652" s="59"/>
      <c r="AD652" s="59"/>
      <c r="AE652" s="379"/>
      <c r="AF652" s="379"/>
      <c r="AG652" s="156"/>
      <c r="AH652" s="60"/>
      <c r="AI652" s="379"/>
      <c r="AJ652" s="379"/>
      <c r="AK652" s="156"/>
      <c r="AL652" s="379"/>
      <c r="AM652" s="50"/>
      <c r="AN652" s="50"/>
    </row>
    <row r="653" spans="1:40" x14ac:dyDescent="0.25">
      <c r="A653" s="53"/>
      <c r="C653" s="54"/>
      <c r="D653" s="54"/>
      <c r="E653" s="54"/>
      <c r="F653" s="379"/>
      <c r="H653" s="379"/>
      <c r="I653" s="379"/>
      <c r="J653" s="59"/>
      <c r="K653" s="59"/>
      <c r="L653" s="379"/>
      <c r="M653" s="379"/>
      <c r="N653" s="59"/>
      <c r="O653" s="59"/>
      <c r="P653" s="379"/>
      <c r="Q653" s="379"/>
      <c r="R653" s="379"/>
      <c r="T653" s="54"/>
      <c r="U653" s="54"/>
      <c r="V653" s="379"/>
      <c r="Y653" s="379"/>
      <c r="Z653" s="59"/>
      <c r="AA653" s="379"/>
      <c r="AB653" s="379"/>
      <c r="AC653" s="59"/>
      <c r="AD653" s="59"/>
      <c r="AE653" s="379"/>
      <c r="AF653" s="379"/>
      <c r="AG653" s="156"/>
      <c r="AH653" s="60"/>
      <c r="AI653" s="379"/>
      <c r="AJ653" s="379"/>
      <c r="AK653" s="156"/>
      <c r="AL653" s="379"/>
      <c r="AM653" s="50"/>
      <c r="AN653" s="50"/>
    </row>
    <row r="654" spans="1:40" x14ac:dyDescent="0.25">
      <c r="A654" s="53"/>
      <c r="C654" s="54"/>
      <c r="D654" s="54"/>
      <c r="E654" s="54"/>
      <c r="F654" s="379"/>
      <c r="H654" s="379"/>
      <c r="I654" s="379"/>
      <c r="J654" s="59"/>
      <c r="K654" s="59"/>
      <c r="L654" s="379"/>
      <c r="M654" s="379"/>
      <c r="N654" s="59"/>
      <c r="O654" s="59"/>
      <c r="P654" s="379"/>
      <c r="Q654" s="379"/>
      <c r="R654" s="379"/>
      <c r="T654" s="54"/>
      <c r="U654" s="54"/>
      <c r="V654" s="379"/>
      <c r="Y654" s="379"/>
      <c r="Z654" s="59"/>
      <c r="AA654" s="379"/>
      <c r="AB654" s="379"/>
      <c r="AC654" s="59"/>
      <c r="AD654" s="59"/>
      <c r="AE654" s="379"/>
      <c r="AF654" s="379"/>
      <c r="AG654" s="156"/>
      <c r="AH654" s="60"/>
      <c r="AI654" s="379"/>
      <c r="AJ654" s="379"/>
      <c r="AK654" s="156"/>
      <c r="AL654" s="379"/>
      <c r="AM654" s="50"/>
      <c r="AN654" s="50"/>
    </row>
    <row r="655" spans="1:40" x14ac:dyDescent="0.25">
      <c r="A655" s="53"/>
      <c r="C655" s="54"/>
      <c r="D655" s="54"/>
      <c r="E655" s="54"/>
      <c r="F655" s="379"/>
      <c r="H655" s="379"/>
      <c r="I655" s="379"/>
      <c r="J655" s="59"/>
      <c r="K655" s="59"/>
      <c r="L655" s="379"/>
      <c r="M655" s="379"/>
      <c r="N655" s="59"/>
      <c r="O655" s="59"/>
      <c r="P655" s="379"/>
      <c r="Q655" s="379"/>
      <c r="R655" s="379"/>
      <c r="T655" s="54"/>
      <c r="U655" s="54"/>
      <c r="V655" s="379"/>
      <c r="Y655" s="379"/>
      <c r="Z655" s="59"/>
      <c r="AA655" s="379"/>
      <c r="AB655" s="379"/>
      <c r="AC655" s="59"/>
      <c r="AD655" s="59"/>
      <c r="AE655" s="379"/>
      <c r="AF655" s="379"/>
      <c r="AG655" s="156"/>
      <c r="AH655" s="60"/>
      <c r="AI655" s="379"/>
      <c r="AJ655" s="379"/>
      <c r="AK655" s="156"/>
      <c r="AL655" s="379"/>
      <c r="AM655" s="50"/>
      <c r="AN655" s="50"/>
    </row>
    <row r="656" spans="1:40" x14ac:dyDescent="0.25">
      <c r="F656" s="381"/>
      <c r="H656" s="381"/>
      <c r="I656" s="381"/>
      <c r="J656" s="464"/>
      <c r="K656" s="464"/>
      <c r="L656" s="381"/>
      <c r="M656" s="381"/>
      <c r="N656" s="381"/>
      <c r="O656" s="381"/>
      <c r="P656" s="381"/>
      <c r="Q656" s="381"/>
      <c r="R656" s="381"/>
      <c r="V656" s="381"/>
      <c r="Y656" s="381"/>
      <c r="Z656" s="464"/>
      <c r="AA656" s="381"/>
      <c r="AB656" s="381"/>
      <c r="AC656" s="381"/>
      <c r="AD656" s="381"/>
      <c r="AE656" s="381"/>
      <c r="AF656" s="381"/>
      <c r="AI656" s="381"/>
      <c r="AJ656" s="381"/>
      <c r="AK656" s="162"/>
      <c r="AL656" s="381"/>
      <c r="AM656" s="50"/>
      <c r="AN656" s="50"/>
    </row>
    <row r="657" spans="1:40" x14ac:dyDescent="0.25">
      <c r="A657" s="53"/>
      <c r="C657" s="54"/>
      <c r="F657" s="379"/>
      <c r="H657" s="379"/>
      <c r="I657" s="379"/>
      <c r="J657" s="59"/>
      <c r="K657" s="59"/>
      <c r="L657" s="379"/>
      <c r="M657" s="379"/>
      <c r="N657" s="59"/>
      <c r="O657" s="59"/>
      <c r="P657" s="379"/>
      <c r="Q657" s="379"/>
      <c r="R657" s="379"/>
      <c r="T657" s="54"/>
      <c r="V657" s="379"/>
      <c r="Y657" s="379"/>
      <c r="Z657" s="59"/>
      <c r="AA657" s="379"/>
      <c r="AB657" s="379"/>
      <c r="AC657" s="59"/>
      <c r="AD657" s="59"/>
      <c r="AE657" s="379"/>
      <c r="AF657" s="379"/>
      <c r="AG657" s="156"/>
      <c r="AH657" s="60"/>
      <c r="AI657" s="379"/>
      <c r="AJ657" s="379"/>
      <c r="AK657" s="156"/>
      <c r="AL657" s="379"/>
      <c r="AM657" s="50"/>
      <c r="AN657" s="50"/>
    </row>
    <row r="658" spans="1:40" x14ac:dyDescent="0.25">
      <c r="F658" s="379"/>
      <c r="H658" s="379"/>
      <c r="I658" s="379"/>
      <c r="J658" s="59"/>
      <c r="K658" s="59"/>
      <c r="L658" s="379"/>
      <c r="M658" s="379"/>
      <c r="N658" s="59"/>
      <c r="O658" s="59"/>
      <c r="P658" s="379"/>
      <c r="Q658" s="379"/>
      <c r="R658" s="379"/>
      <c r="V658" s="379"/>
      <c r="Y658" s="379"/>
      <c r="Z658" s="59"/>
      <c r="AA658" s="379"/>
      <c r="AB658" s="379"/>
      <c r="AC658" s="59"/>
      <c r="AD658" s="59"/>
      <c r="AG658" s="156"/>
      <c r="AH658" s="60"/>
      <c r="AI658" s="379"/>
      <c r="AJ658" s="379"/>
      <c r="AK658" s="156"/>
      <c r="AL658" s="379"/>
      <c r="AM658" s="50"/>
      <c r="AN658" s="50"/>
    </row>
    <row r="659" spans="1:40" x14ac:dyDescent="0.25">
      <c r="A659" s="53"/>
      <c r="C659" s="54"/>
      <c r="D659" s="54"/>
      <c r="E659" s="54"/>
      <c r="F659" s="379"/>
      <c r="H659" s="379"/>
      <c r="I659" s="379"/>
      <c r="J659" s="59"/>
      <c r="K659" s="59"/>
      <c r="L659" s="379"/>
      <c r="M659" s="379"/>
      <c r="N659" s="59"/>
      <c r="O659" s="59"/>
      <c r="P659" s="379"/>
      <c r="Q659" s="379"/>
      <c r="R659" s="379"/>
      <c r="T659" s="54"/>
      <c r="U659" s="54"/>
      <c r="V659" s="379"/>
      <c r="Y659" s="379"/>
      <c r="Z659" s="59"/>
      <c r="AA659" s="379"/>
      <c r="AB659" s="379"/>
      <c r="AC659" s="59"/>
      <c r="AD659" s="59"/>
      <c r="AE659" s="379"/>
      <c r="AF659" s="379"/>
      <c r="AG659" s="156"/>
      <c r="AH659" s="60"/>
      <c r="AI659" s="379"/>
      <c r="AJ659" s="379"/>
      <c r="AK659" s="156"/>
      <c r="AL659" s="379"/>
      <c r="AM659" s="50"/>
      <c r="AN659" s="50"/>
    </row>
    <row r="660" spans="1:40" x14ac:dyDescent="0.25">
      <c r="F660" s="381"/>
      <c r="H660" s="381"/>
      <c r="I660" s="381"/>
      <c r="J660" s="464"/>
      <c r="K660" s="464"/>
      <c r="L660" s="381"/>
      <c r="M660" s="381"/>
      <c r="N660" s="381"/>
      <c r="O660" s="381"/>
      <c r="P660" s="381"/>
      <c r="Q660" s="381"/>
      <c r="R660" s="381"/>
      <c r="V660" s="381"/>
      <c r="Y660" s="381"/>
      <c r="Z660" s="464"/>
      <c r="AA660" s="381"/>
      <c r="AB660" s="381"/>
      <c r="AC660" s="381"/>
      <c r="AD660" s="381"/>
      <c r="AE660" s="381"/>
      <c r="AF660" s="381"/>
      <c r="AI660" s="381"/>
      <c r="AJ660" s="381"/>
      <c r="AK660" s="162"/>
      <c r="AL660" s="381"/>
      <c r="AM660" s="50"/>
      <c r="AN660" s="50"/>
    </row>
    <row r="661" spans="1:40" x14ac:dyDescent="0.25">
      <c r="A661" s="53"/>
      <c r="C661" s="54"/>
      <c r="F661" s="379"/>
      <c r="H661" s="379"/>
      <c r="I661" s="379"/>
      <c r="J661" s="59"/>
      <c r="K661" s="59"/>
      <c r="L661" s="379"/>
      <c r="M661" s="379"/>
      <c r="N661" s="59"/>
      <c r="O661" s="59"/>
      <c r="P661" s="379"/>
      <c r="Q661" s="379"/>
      <c r="R661" s="379"/>
      <c r="T661" s="54"/>
      <c r="V661" s="379"/>
      <c r="Y661" s="379"/>
      <c r="Z661" s="59"/>
      <c r="AA661" s="379"/>
      <c r="AB661" s="379"/>
      <c r="AC661" s="59"/>
      <c r="AD661" s="59"/>
      <c r="AE661" s="379"/>
      <c r="AF661" s="379"/>
      <c r="AG661" s="156"/>
      <c r="AH661" s="60"/>
      <c r="AI661" s="379"/>
      <c r="AJ661" s="379"/>
      <c r="AK661" s="156"/>
      <c r="AL661" s="379"/>
      <c r="AM661" s="50"/>
      <c r="AN661" s="50"/>
    </row>
    <row r="662" spans="1:40" x14ac:dyDescent="0.25">
      <c r="F662" s="379"/>
      <c r="H662" s="379"/>
      <c r="I662" s="379"/>
      <c r="J662" s="59"/>
      <c r="K662" s="59"/>
      <c r="L662" s="379"/>
      <c r="M662" s="379"/>
      <c r="N662" s="59"/>
      <c r="O662" s="59"/>
      <c r="P662" s="379"/>
      <c r="Q662" s="379"/>
      <c r="R662" s="379"/>
      <c r="V662" s="379"/>
      <c r="Y662" s="379"/>
      <c r="Z662" s="59"/>
      <c r="AA662" s="379"/>
      <c r="AB662" s="379"/>
      <c r="AC662" s="59"/>
      <c r="AD662" s="59"/>
      <c r="AG662" s="156"/>
      <c r="AH662" s="60"/>
      <c r="AI662" s="379"/>
      <c r="AJ662" s="379"/>
      <c r="AK662" s="156"/>
      <c r="AL662" s="379"/>
      <c r="AM662" s="50"/>
      <c r="AN662" s="50"/>
    </row>
    <row r="663" spans="1:40" x14ac:dyDescent="0.25">
      <c r="A663" s="53"/>
      <c r="C663" s="54"/>
      <c r="D663" s="54"/>
      <c r="E663" s="54"/>
      <c r="F663" s="379"/>
      <c r="H663" s="379"/>
      <c r="I663" s="379"/>
      <c r="J663" s="59"/>
      <c r="K663" s="59"/>
      <c r="L663" s="379"/>
      <c r="M663" s="379"/>
      <c r="N663" s="59"/>
      <c r="O663" s="59"/>
      <c r="P663" s="379"/>
      <c r="Q663" s="379"/>
      <c r="R663" s="379"/>
      <c r="T663" s="54"/>
      <c r="U663" s="54"/>
      <c r="V663" s="379"/>
      <c r="Y663" s="379"/>
      <c r="Z663" s="59"/>
      <c r="AA663" s="379"/>
      <c r="AB663" s="379"/>
      <c r="AC663" s="59"/>
      <c r="AD663" s="59"/>
      <c r="AE663" s="379"/>
      <c r="AF663" s="379"/>
      <c r="AG663" s="156"/>
      <c r="AH663" s="60"/>
      <c r="AI663" s="379"/>
      <c r="AJ663" s="379"/>
      <c r="AK663" s="156"/>
      <c r="AL663" s="379"/>
      <c r="AM663" s="50"/>
      <c r="AN663" s="50"/>
    </row>
    <row r="664" spans="1:40" x14ac:dyDescent="0.25">
      <c r="A664" s="53"/>
      <c r="C664" s="54"/>
      <c r="D664" s="54"/>
      <c r="E664" s="54"/>
      <c r="F664" s="379"/>
      <c r="G664" s="379"/>
      <c r="H664" s="379"/>
      <c r="I664" s="379"/>
      <c r="J664" s="59"/>
      <c r="K664" s="59"/>
      <c r="L664" s="379"/>
      <c r="M664" s="379"/>
      <c r="N664" s="59"/>
      <c r="O664" s="59"/>
      <c r="P664" s="379"/>
      <c r="Q664" s="379"/>
      <c r="R664" s="379"/>
      <c r="T664" s="54"/>
      <c r="U664" s="54"/>
      <c r="V664" s="379"/>
      <c r="W664" s="379"/>
      <c r="X664" s="379"/>
      <c r="Y664" s="379"/>
      <c r="Z664" s="59"/>
      <c r="AA664" s="379"/>
      <c r="AB664" s="379"/>
      <c r="AC664" s="59"/>
      <c r="AD664" s="59"/>
      <c r="AE664" s="379"/>
      <c r="AF664" s="379"/>
      <c r="AG664" s="156"/>
      <c r="AH664" s="60"/>
      <c r="AI664" s="379"/>
      <c r="AJ664" s="379"/>
      <c r="AK664" s="156"/>
      <c r="AL664" s="379"/>
      <c r="AM664" s="50"/>
      <c r="AN664" s="50"/>
    </row>
    <row r="665" spans="1:40" x14ac:dyDescent="0.25">
      <c r="A665" s="53"/>
      <c r="C665" s="54"/>
      <c r="D665" s="54"/>
      <c r="E665" s="54"/>
      <c r="F665" s="379"/>
      <c r="G665" s="379"/>
      <c r="H665" s="379"/>
      <c r="I665" s="379"/>
      <c r="J665" s="59"/>
      <c r="K665" s="59"/>
      <c r="L665" s="379"/>
      <c r="M665" s="379"/>
      <c r="N665" s="59"/>
      <c r="O665" s="59"/>
      <c r="P665" s="379"/>
      <c r="Q665" s="379"/>
      <c r="R665" s="379"/>
      <c r="T665" s="54"/>
      <c r="U665" s="54"/>
      <c r="V665" s="379"/>
      <c r="W665" s="379"/>
      <c r="X665" s="379"/>
      <c r="Y665" s="379"/>
      <c r="Z665" s="59"/>
      <c r="AA665" s="379"/>
      <c r="AB665" s="379"/>
      <c r="AC665" s="59"/>
      <c r="AD665" s="59"/>
      <c r="AE665" s="379"/>
      <c r="AF665" s="379"/>
      <c r="AG665" s="156"/>
      <c r="AH665" s="60"/>
      <c r="AI665" s="379"/>
      <c r="AJ665" s="379"/>
      <c r="AK665" s="156"/>
      <c r="AL665" s="379"/>
      <c r="AM665" s="50"/>
      <c r="AN665" s="50"/>
    </row>
    <row r="666" spans="1:40" x14ac:dyDescent="0.25">
      <c r="A666" s="53"/>
      <c r="C666" s="54"/>
      <c r="D666" s="54"/>
      <c r="E666" s="54"/>
      <c r="F666" s="379"/>
      <c r="H666" s="379"/>
      <c r="I666" s="379"/>
      <c r="J666" s="59"/>
      <c r="K666" s="59"/>
      <c r="L666" s="379"/>
      <c r="M666" s="379"/>
      <c r="N666" s="59"/>
      <c r="O666" s="59"/>
      <c r="P666" s="379"/>
      <c r="Q666" s="379"/>
      <c r="R666" s="379"/>
      <c r="T666" s="54"/>
      <c r="U666" s="54"/>
      <c r="V666" s="379"/>
      <c r="Y666" s="379"/>
      <c r="Z666" s="59"/>
      <c r="AA666" s="379"/>
      <c r="AB666" s="379"/>
      <c r="AC666" s="59"/>
      <c r="AD666" s="59"/>
      <c r="AE666" s="379"/>
      <c r="AF666" s="379"/>
      <c r="AG666" s="156"/>
      <c r="AH666" s="60"/>
      <c r="AI666" s="379"/>
      <c r="AJ666" s="379"/>
      <c r="AK666" s="156"/>
      <c r="AL666" s="379"/>
      <c r="AM666" s="50"/>
      <c r="AN666" s="50"/>
    </row>
    <row r="667" spans="1:40" x14ac:dyDescent="0.25">
      <c r="A667" s="53"/>
      <c r="C667" s="54"/>
      <c r="D667" s="54"/>
      <c r="E667" s="54"/>
      <c r="F667" s="379"/>
      <c r="H667" s="379"/>
      <c r="I667" s="379"/>
      <c r="J667" s="59"/>
      <c r="K667" s="59"/>
      <c r="L667" s="379"/>
      <c r="M667" s="379"/>
      <c r="N667" s="59"/>
      <c r="O667" s="59"/>
      <c r="P667" s="379"/>
      <c r="Q667" s="379"/>
      <c r="R667" s="379"/>
      <c r="T667" s="54"/>
      <c r="U667" s="54"/>
      <c r="V667" s="379"/>
      <c r="Y667" s="379"/>
      <c r="Z667" s="59"/>
      <c r="AA667" s="379"/>
      <c r="AB667" s="379"/>
      <c r="AC667" s="59"/>
      <c r="AD667" s="59"/>
      <c r="AE667" s="379"/>
      <c r="AF667" s="379"/>
      <c r="AG667" s="156"/>
      <c r="AH667" s="60"/>
      <c r="AI667" s="379"/>
      <c r="AJ667" s="379"/>
      <c r="AK667" s="156"/>
      <c r="AL667" s="379"/>
      <c r="AM667" s="50"/>
      <c r="AN667" s="50"/>
    </row>
    <row r="668" spans="1:40" x14ac:dyDescent="0.25">
      <c r="A668" s="53"/>
      <c r="C668" s="54"/>
      <c r="D668" s="54"/>
      <c r="E668" s="54"/>
      <c r="F668" s="379"/>
      <c r="H668" s="379"/>
      <c r="I668" s="379"/>
      <c r="J668" s="59"/>
      <c r="K668" s="59"/>
      <c r="L668" s="379"/>
      <c r="M668" s="379"/>
      <c r="N668" s="59"/>
      <c r="O668" s="59"/>
      <c r="P668" s="379"/>
      <c r="Q668" s="379"/>
      <c r="R668" s="379"/>
      <c r="T668" s="54"/>
      <c r="U668" s="54"/>
      <c r="V668" s="379"/>
      <c r="Y668" s="379"/>
      <c r="Z668" s="59"/>
      <c r="AA668" s="379"/>
      <c r="AB668" s="379"/>
      <c r="AC668" s="59"/>
      <c r="AD668" s="59"/>
      <c r="AE668" s="379"/>
      <c r="AF668" s="379"/>
      <c r="AG668" s="156"/>
      <c r="AH668" s="60"/>
      <c r="AI668" s="379"/>
      <c r="AJ668" s="379"/>
      <c r="AK668" s="156"/>
      <c r="AL668" s="379"/>
      <c r="AM668" s="50"/>
      <c r="AN668" s="50"/>
    </row>
    <row r="669" spans="1:40" x14ac:dyDescent="0.25">
      <c r="A669" s="53"/>
      <c r="C669" s="54"/>
      <c r="D669" s="54"/>
      <c r="E669" s="54"/>
      <c r="F669" s="379"/>
      <c r="H669" s="379"/>
      <c r="I669" s="379"/>
      <c r="J669" s="59"/>
      <c r="K669" s="59"/>
      <c r="L669" s="379"/>
      <c r="M669" s="379"/>
      <c r="N669" s="59"/>
      <c r="O669" s="59"/>
      <c r="P669" s="379"/>
      <c r="Q669" s="379"/>
      <c r="R669" s="379"/>
      <c r="T669" s="54"/>
      <c r="U669" s="54"/>
      <c r="V669" s="379"/>
      <c r="Y669" s="379"/>
      <c r="Z669" s="59"/>
      <c r="AA669" s="379"/>
      <c r="AB669" s="379"/>
      <c r="AC669" s="59"/>
      <c r="AD669" s="59"/>
      <c r="AE669" s="379"/>
      <c r="AF669" s="379"/>
      <c r="AG669" s="156"/>
      <c r="AH669" s="60"/>
      <c r="AI669" s="379"/>
      <c r="AJ669" s="379"/>
      <c r="AK669" s="156"/>
      <c r="AL669" s="379"/>
      <c r="AM669" s="50"/>
      <c r="AN669" s="50"/>
    </row>
    <row r="670" spans="1:40" x14ac:dyDescent="0.25">
      <c r="F670" s="381"/>
      <c r="H670" s="381"/>
      <c r="I670" s="381"/>
      <c r="J670" s="464"/>
      <c r="K670" s="464"/>
      <c r="L670" s="381"/>
      <c r="M670" s="381"/>
      <c r="N670" s="381"/>
      <c r="O670" s="381"/>
      <c r="P670" s="381"/>
      <c r="Q670" s="381"/>
      <c r="R670" s="381"/>
      <c r="V670" s="381"/>
      <c r="Y670" s="381"/>
      <c r="Z670" s="464"/>
      <c r="AA670" s="381"/>
      <c r="AB670" s="381"/>
      <c r="AC670" s="381"/>
      <c r="AD670" s="381"/>
      <c r="AE670" s="381"/>
      <c r="AF670" s="381"/>
      <c r="AI670" s="381"/>
      <c r="AJ670" s="381"/>
      <c r="AK670" s="162"/>
      <c r="AL670" s="381"/>
      <c r="AM670" s="50"/>
      <c r="AN670" s="50"/>
    </row>
    <row r="671" spans="1:40" x14ac:dyDescent="0.25">
      <c r="A671" s="53"/>
      <c r="C671" s="54"/>
      <c r="F671" s="379"/>
      <c r="H671" s="379"/>
      <c r="I671" s="379"/>
      <c r="J671" s="59"/>
      <c r="K671" s="59"/>
      <c r="L671" s="379"/>
      <c r="M671" s="379"/>
      <c r="N671" s="59"/>
      <c r="O671" s="59"/>
      <c r="P671" s="379"/>
      <c r="Q671" s="379"/>
      <c r="R671" s="379"/>
      <c r="T671" s="54"/>
      <c r="V671" s="379"/>
      <c r="Y671" s="379"/>
      <c r="Z671" s="59"/>
      <c r="AA671" s="379"/>
      <c r="AB671" s="379"/>
      <c r="AC671" s="59"/>
      <c r="AD671" s="59"/>
      <c r="AE671" s="379"/>
      <c r="AF671" s="379"/>
      <c r="AG671" s="156"/>
      <c r="AH671" s="60"/>
      <c r="AI671" s="379"/>
      <c r="AJ671" s="379"/>
      <c r="AK671" s="156"/>
      <c r="AL671" s="379"/>
      <c r="AM671" s="50"/>
      <c r="AN671" s="50"/>
    </row>
    <row r="672" spans="1:40" x14ac:dyDescent="0.25">
      <c r="V672" s="379"/>
      <c r="Y672" s="379"/>
      <c r="Z672" s="464"/>
      <c r="AA672" s="379"/>
      <c r="AB672" s="379"/>
      <c r="AC672" s="379"/>
      <c r="AD672" s="379"/>
      <c r="AE672" s="379"/>
      <c r="AF672" s="379"/>
      <c r="AI672" s="379"/>
      <c r="AJ672" s="379"/>
      <c r="AK672" s="156"/>
      <c r="AL672" s="379"/>
      <c r="AM672" s="50"/>
      <c r="AN672" s="50"/>
    </row>
    <row r="673" spans="1:40" x14ac:dyDescent="0.25">
      <c r="A673" s="53"/>
      <c r="C673" s="54"/>
      <c r="D673" s="54"/>
      <c r="E673" s="54"/>
      <c r="L673" s="379"/>
      <c r="M673" s="379"/>
      <c r="N673" s="59"/>
      <c r="O673" s="59"/>
      <c r="P673" s="53"/>
      <c r="Q673" s="53"/>
      <c r="R673" s="379"/>
      <c r="T673" s="54"/>
      <c r="U673" s="54"/>
      <c r="AA673" s="379"/>
      <c r="AB673" s="379"/>
      <c r="AC673" s="59"/>
      <c r="AD673" s="59"/>
      <c r="AE673" s="379"/>
      <c r="AF673" s="379"/>
      <c r="AG673" s="156"/>
      <c r="AH673" s="60"/>
      <c r="AI673" s="53"/>
      <c r="AJ673" s="53"/>
      <c r="AK673" s="156"/>
      <c r="AL673" s="379"/>
      <c r="AM673" s="50"/>
      <c r="AN673" s="50"/>
    </row>
    <row r="674" spans="1:40" x14ac:dyDescent="0.25">
      <c r="A674" s="53"/>
      <c r="D674" s="54"/>
      <c r="E674" s="54"/>
      <c r="F674" s="449"/>
      <c r="H674" s="449"/>
      <c r="I674" s="449"/>
      <c r="J674" s="59"/>
      <c r="K674" s="59"/>
      <c r="L674" s="379"/>
      <c r="M674" s="379"/>
      <c r="N674" s="59"/>
      <c r="O674" s="59"/>
      <c r="P674" s="449"/>
      <c r="Q674" s="449"/>
      <c r="R674" s="379"/>
      <c r="U674" s="54"/>
      <c r="V674" s="379"/>
      <c r="Y674" s="379"/>
      <c r="Z674" s="59"/>
      <c r="AA674" s="379"/>
      <c r="AB674" s="379"/>
      <c r="AC674" s="59"/>
      <c r="AD674" s="59"/>
      <c r="AE674" s="379"/>
      <c r="AF674" s="379"/>
      <c r="AG674" s="156"/>
      <c r="AH674" s="60"/>
      <c r="AI674" s="379"/>
      <c r="AJ674" s="379"/>
      <c r="AK674" s="156"/>
      <c r="AL674" s="379"/>
      <c r="AM674" s="50"/>
      <c r="AN674" s="50"/>
    </row>
    <row r="675" spans="1:40" x14ac:dyDescent="0.25">
      <c r="F675" s="381"/>
      <c r="H675" s="381"/>
      <c r="I675" s="381"/>
      <c r="J675" s="464"/>
      <c r="K675" s="464"/>
      <c r="L675" s="381"/>
      <c r="M675" s="381"/>
      <c r="N675" s="381"/>
      <c r="O675" s="381"/>
      <c r="P675" s="381"/>
      <c r="Q675" s="381"/>
      <c r="R675" s="381"/>
      <c r="V675" s="381"/>
      <c r="Y675" s="381"/>
      <c r="Z675" s="464"/>
      <c r="AA675" s="381"/>
      <c r="AB675" s="381"/>
      <c r="AC675" s="381"/>
      <c r="AD675" s="381"/>
      <c r="AE675" s="381"/>
      <c r="AF675" s="381"/>
      <c r="AI675" s="381"/>
      <c r="AJ675" s="381"/>
      <c r="AK675" s="162"/>
      <c r="AL675" s="381"/>
      <c r="AM675" s="50"/>
      <c r="AN675" s="50"/>
    </row>
    <row r="676" spans="1:40" x14ac:dyDescent="0.25">
      <c r="A676" s="53"/>
      <c r="C676" s="54"/>
      <c r="F676" s="379"/>
      <c r="H676" s="379"/>
      <c r="I676" s="379"/>
      <c r="J676" s="59"/>
      <c r="K676" s="59"/>
      <c r="L676" s="379"/>
      <c r="M676" s="379"/>
      <c r="N676" s="59"/>
      <c r="O676" s="59"/>
      <c r="P676" s="379"/>
      <c r="Q676" s="379"/>
      <c r="R676" s="379"/>
      <c r="T676" s="54"/>
      <c r="V676" s="379"/>
      <c r="Y676" s="379"/>
      <c r="Z676" s="59"/>
      <c r="AA676" s="379"/>
      <c r="AB676" s="379"/>
      <c r="AC676" s="59"/>
      <c r="AD676" s="59"/>
      <c r="AE676" s="379"/>
      <c r="AF676" s="379"/>
      <c r="AG676" s="156"/>
      <c r="AH676" s="60"/>
      <c r="AI676" s="379"/>
      <c r="AJ676" s="379"/>
      <c r="AK676" s="156"/>
      <c r="AL676" s="379"/>
      <c r="AM676" s="50"/>
      <c r="AN676" s="50"/>
    </row>
    <row r="677" spans="1:40" x14ac:dyDescent="0.25">
      <c r="F677" s="379"/>
      <c r="H677" s="379"/>
      <c r="I677" s="379"/>
      <c r="J677" s="59"/>
      <c r="K677" s="59"/>
      <c r="L677" s="379"/>
      <c r="M677" s="379"/>
      <c r="N677" s="59"/>
      <c r="O677" s="59"/>
      <c r="P677" s="379"/>
      <c r="Q677" s="379"/>
      <c r="R677" s="379"/>
      <c r="V677" s="379"/>
      <c r="Y677" s="379"/>
      <c r="Z677" s="59"/>
      <c r="AA677" s="379"/>
      <c r="AB677" s="379"/>
      <c r="AC677" s="59"/>
      <c r="AD677" s="59"/>
      <c r="AG677" s="156"/>
      <c r="AH677" s="60"/>
      <c r="AI677" s="379"/>
      <c r="AJ677" s="379"/>
      <c r="AK677" s="156"/>
      <c r="AL677" s="379"/>
      <c r="AM677" s="50"/>
      <c r="AN677" s="50"/>
    </row>
    <row r="678" spans="1:40" x14ac:dyDescent="0.25">
      <c r="A678" s="53"/>
      <c r="D678" s="54"/>
      <c r="E678" s="54"/>
      <c r="F678" s="379"/>
      <c r="H678" s="379"/>
      <c r="I678" s="379"/>
      <c r="J678" s="59"/>
      <c r="K678" s="59"/>
      <c r="L678" s="449"/>
      <c r="M678" s="449"/>
      <c r="N678" s="59"/>
      <c r="O678" s="59"/>
      <c r="P678" s="379"/>
      <c r="Q678" s="379"/>
      <c r="R678" s="379"/>
      <c r="U678" s="54"/>
      <c r="V678" s="379"/>
      <c r="Y678" s="379"/>
      <c r="Z678" s="59"/>
      <c r="AA678" s="449"/>
      <c r="AB678" s="449"/>
      <c r="AC678" s="59"/>
      <c r="AD678" s="59"/>
      <c r="AE678" s="379"/>
      <c r="AF678" s="379"/>
      <c r="AG678" s="156"/>
      <c r="AH678" s="60"/>
      <c r="AI678" s="379"/>
      <c r="AJ678" s="379"/>
      <c r="AK678" s="156"/>
      <c r="AL678" s="379"/>
      <c r="AM678" s="50"/>
      <c r="AN678" s="50"/>
    </row>
    <row r="679" spans="1:40" x14ac:dyDescent="0.25">
      <c r="A679" s="53"/>
      <c r="D679" s="54"/>
      <c r="E679" s="54"/>
      <c r="F679" s="379"/>
      <c r="H679" s="379"/>
      <c r="I679" s="379"/>
      <c r="J679" s="59"/>
      <c r="K679" s="59"/>
      <c r="L679" s="449"/>
      <c r="M679" s="449"/>
      <c r="N679" s="59"/>
      <c r="O679" s="59"/>
      <c r="P679" s="379"/>
      <c r="Q679" s="379"/>
      <c r="R679" s="379"/>
      <c r="U679" s="54"/>
      <c r="V679" s="379"/>
      <c r="Y679" s="379"/>
      <c r="Z679" s="59"/>
      <c r="AA679" s="449"/>
      <c r="AB679" s="449"/>
      <c r="AC679" s="59"/>
      <c r="AD679" s="59"/>
      <c r="AE679" s="379"/>
      <c r="AF679" s="379"/>
      <c r="AG679" s="156"/>
      <c r="AH679" s="60"/>
      <c r="AI679" s="379"/>
      <c r="AJ679" s="379"/>
      <c r="AK679" s="156"/>
      <c r="AL679" s="379"/>
      <c r="AM679" s="50"/>
      <c r="AN679" s="50"/>
    </row>
    <row r="680" spans="1:40" x14ac:dyDescent="0.25">
      <c r="A680" s="53"/>
      <c r="D680" s="54"/>
      <c r="E680" s="54"/>
      <c r="F680" s="379"/>
      <c r="H680" s="379"/>
      <c r="I680" s="379"/>
      <c r="J680" s="59"/>
      <c r="K680" s="59"/>
      <c r="L680" s="449"/>
      <c r="M680" s="449"/>
      <c r="N680" s="59"/>
      <c r="O680" s="59"/>
      <c r="P680" s="379"/>
      <c r="Q680" s="379"/>
      <c r="R680" s="379"/>
      <c r="U680" s="54"/>
      <c r="V680" s="379"/>
      <c r="Y680" s="379"/>
      <c r="Z680" s="59"/>
      <c r="AA680" s="449"/>
      <c r="AB680" s="449"/>
      <c r="AC680" s="59"/>
      <c r="AD680" s="59"/>
      <c r="AE680" s="379"/>
      <c r="AF680" s="379"/>
      <c r="AG680" s="156"/>
      <c r="AH680" s="60"/>
      <c r="AI680" s="379"/>
      <c r="AJ680" s="379"/>
      <c r="AK680" s="156"/>
      <c r="AL680" s="379"/>
      <c r="AM680" s="50"/>
      <c r="AN680" s="50"/>
    </row>
    <row r="681" spans="1:40" x14ac:dyDescent="0.25">
      <c r="F681" s="381"/>
      <c r="H681" s="381"/>
      <c r="I681" s="381"/>
      <c r="J681" s="464"/>
      <c r="K681" s="464"/>
      <c r="L681" s="381"/>
      <c r="M681" s="381"/>
      <c r="N681" s="381"/>
      <c r="O681" s="381"/>
      <c r="P681" s="381"/>
      <c r="Q681" s="381"/>
      <c r="R681" s="381"/>
      <c r="V681" s="381"/>
      <c r="Y681" s="381"/>
      <c r="Z681" s="464"/>
      <c r="AA681" s="381"/>
      <c r="AB681" s="381"/>
      <c r="AC681" s="381"/>
      <c r="AD681" s="381"/>
      <c r="AE681" s="381"/>
      <c r="AF681" s="381"/>
      <c r="AI681" s="381"/>
      <c r="AJ681" s="381"/>
      <c r="AK681" s="162"/>
      <c r="AL681" s="381"/>
      <c r="AM681" s="50"/>
      <c r="AN681" s="50"/>
    </row>
    <row r="682" spans="1:40" x14ac:dyDescent="0.25">
      <c r="A682" s="53"/>
      <c r="C682" s="54"/>
      <c r="F682" s="379"/>
      <c r="H682" s="379"/>
      <c r="I682" s="379"/>
      <c r="J682" s="59"/>
      <c r="K682" s="59"/>
      <c r="L682" s="379"/>
      <c r="M682" s="379"/>
      <c r="N682" s="59"/>
      <c r="O682" s="59"/>
      <c r="P682" s="379"/>
      <c r="Q682" s="379"/>
      <c r="R682" s="379"/>
      <c r="T682" s="54"/>
      <c r="V682" s="379"/>
      <c r="Y682" s="379"/>
      <c r="Z682" s="59"/>
      <c r="AA682" s="379"/>
      <c r="AB682" s="379"/>
      <c r="AC682" s="59"/>
      <c r="AD682" s="59"/>
      <c r="AE682" s="379"/>
      <c r="AF682" s="379"/>
      <c r="AG682" s="156"/>
      <c r="AH682" s="60"/>
      <c r="AI682" s="379"/>
      <c r="AJ682" s="379"/>
      <c r="AK682" s="156"/>
      <c r="AL682" s="379"/>
      <c r="AM682" s="50"/>
      <c r="AN682" s="50"/>
    </row>
    <row r="683" spans="1:40" x14ac:dyDescent="0.25">
      <c r="F683" s="379"/>
      <c r="H683" s="379"/>
      <c r="I683" s="379"/>
      <c r="J683" s="59"/>
      <c r="K683" s="59"/>
      <c r="L683" s="379"/>
      <c r="M683" s="379"/>
      <c r="N683" s="59"/>
      <c r="O683" s="59"/>
      <c r="P683" s="379"/>
      <c r="Q683" s="379"/>
      <c r="R683" s="379"/>
      <c r="V683" s="379"/>
      <c r="Y683" s="379"/>
      <c r="Z683" s="59"/>
      <c r="AA683" s="379"/>
      <c r="AB683" s="379"/>
      <c r="AC683" s="59"/>
      <c r="AD683" s="59"/>
      <c r="AG683" s="156"/>
      <c r="AH683" s="60"/>
      <c r="AI683" s="379"/>
      <c r="AJ683" s="379"/>
      <c r="AK683" s="156"/>
      <c r="AL683" s="379"/>
      <c r="AM683" s="50"/>
      <c r="AN683" s="50"/>
    </row>
    <row r="684" spans="1:40" x14ac:dyDescent="0.25">
      <c r="A684" s="53"/>
      <c r="C684" s="54"/>
      <c r="F684" s="379"/>
      <c r="H684" s="379"/>
      <c r="I684" s="379"/>
      <c r="J684" s="59"/>
      <c r="K684" s="59"/>
      <c r="L684" s="379"/>
      <c r="M684" s="379"/>
      <c r="N684" s="59"/>
      <c r="O684" s="59"/>
      <c r="P684" s="379"/>
      <c r="Q684" s="379"/>
      <c r="R684" s="379"/>
      <c r="T684" s="54"/>
      <c r="V684" s="379"/>
      <c r="Y684" s="379"/>
      <c r="Z684" s="59"/>
      <c r="AA684" s="379"/>
      <c r="AB684" s="379"/>
      <c r="AC684" s="59"/>
      <c r="AD684" s="59"/>
      <c r="AE684" s="379"/>
      <c r="AF684" s="379"/>
      <c r="AG684" s="156"/>
      <c r="AH684" s="60"/>
      <c r="AI684" s="379"/>
      <c r="AJ684" s="379"/>
      <c r="AK684" s="156"/>
      <c r="AL684" s="379"/>
      <c r="AM684" s="50"/>
      <c r="AN684" s="50"/>
    </row>
    <row r="685" spans="1:40" x14ac:dyDescent="0.25">
      <c r="F685" s="381"/>
      <c r="H685" s="381"/>
      <c r="I685" s="381"/>
      <c r="J685" s="464"/>
      <c r="K685" s="464"/>
      <c r="L685" s="381"/>
      <c r="M685" s="381"/>
      <c r="N685" s="381"/>
      <c r="O685" s="381"/>
      <c r="P685" s="381"/>
      <c r="Q685" s="381"/>
      <c r="R685" s="381"/>
      <c r="V685" s="381"/>
      <c r="Y685" s="381"/>
      <c r="Z685" s="464"/>
      <c r="AA685" s="381"/>
      <c r="AB685" s="381"/>
      <c r="AC685" s="381"/>
      <c r="AD685" s="381"/>
      <c r="AE685" s="381"/>
      <c r="AF685" s="381"/>
      <c r="AI685" s="381"/>
      <c r="AJ685" s="381"/>
      <c r="AK685" s="162"/>
      <c r="AL685" s="381"/>
    </row>
    <row r="687" spans="1:40" x14ac:dyDescent="0.25">
      <c r="C687" s="54"/>
      <c r="L687" s="379"/>
      <c r="M687" s="379"/>
      <c r="P687" s="379"/>
      <c r="Q687" s="379"/>
      <c r="R687" s="379"/>
      <c r="T687" s="54"/>
    </row>
    <row r="688" spans="1:40" x14ac:dyDescent="0.25">
      <c r="A688" s="54"/>
      <c r="L688" s="379"/>
      <c r="M688" s="379"/>
      <c r="P688" s="379"/>
      <c r="Q688" s="379"/>
      <c r="R688" s="379"/>
    </row>
    <row r="689" spans="12:18" x14ac:dyDescent="0.25">
      <c r="L689" s="379"/>
      <c r="M689" s="379"/>
      <c r="P689" s="379"/>
      <c r="Q689" s="379"/>
      <c r="R689" s="379"/>
    </row>
    <row r="690" spans="12:18" x14ac:dyDescent="0.25">
      <c r="L690" s="379"/>
      <c r="M690" s="379"/>
      <c r="P690" s="379"/>
      <c r="Q690" s="379"/>
      <c r="R690" s="379"/>
    </row>
    <row r="691" spans="12:18" x14ac:dyDescent="0.25">
      <c r="L691" s="379"/>
      <c r="M691" s="379"/>
      <c r="P691" s="379"/>
      <c r="Q691" s="379"/>
      <c r="R691" s="379"/>
    </row>
    <row r="692" spans="12:18" x14ac:dyDescent="0.25">
      <c r="L692" s="379"/>
      <c r="M692" s="379"/>
      <c r="P692" s="379"/>
      <c r="Q692" s="379"/>
      <c r="R692" s="379"/>
    </row>
    <row r="693" spans="12:18" x14ac:dyDescent="0.25">
      <c r="L693" s="379"/>
      <c r="M693" s="379"/>
      <c r="P693" s="379"/>
      <c r="Q693" s="379"/>
      <c r="R693" s="379"/>
    </row>
    <row r="726" spans="49:49" x14ac:dyDescent="0.25">
      <c r="AW726" s="379"/>
    </row>
    <row r="727" spans="49:49" x14ac:dyDescent="0.25">
      <c r="AW727" s="379"/>
    </row>
    <row r="728" spans="49:49" x14ac:dyDescent="0.25">
      <c r="AW728" s="379"/>
    </row>
    <row r="729" spans="49:49" x14ac:dyDescent="0.25">
      <c r="AW729" s="379"/>
    </row>
    <row r="730" spans="49:49" x14ac:dyDescent="0.25">
      <c r="AW730" s="379"/>
    </row>
    <row r="731" spans="49:49" x14ac:dyDescent="0.25">
      <c r="AW731" s="379"/>
    </row>
    <row r="734" spans="49:49" x14ac:dyDescent="0.25">
      <c r="AW734" s="379"/>
    </row>
    <row r="735" spans="49:49" x14ac:dyDescent="0.25">
      <c r="AW735" s="379"/>
    </row>
    <row r="736" spans="49:49" x14ac:dyDescent="0.25">
      <c r="AW736" s="379"/>
    </row>
    <row r="737" spans="49:49" x14ac:dyDescent="0.25">
      <c r="AW737" s="379"/>
    </row>
    <row r="738" spans="49:49" x14ac:dyDescent="0.25">
      <c r="AW738" s="379"/>
    </row>
    <row r="739" spans="49:49" x14ac:dyDescent="0.25">
      <c r="AW739" s="379"/>
    </row>
    <row r="740" spans="49:49" x14ac:dyDescent="0.25">
      <c r="AW740" s="379"/>
    </row>
    <row r="741" spans="49:49" x14ac:dyDescent="0.25">
      <c r="AW741" s="379"/>
    </row>
    <row r="744" spans="49:49" x14ac:dyDescent="0.25">
      <c r="AW744" s="379"/>
    </row>
    <row r="745" spans="49:49" x14ac:dyDescent="0.25">
      <c r="AW745" s="379"/>
    </row>
    <row r="748" spans="49:49" x14ac:dyDescent="0.25">
      <c r="AW748" s="379"/>
    </row>
    <row r="749" spans="49:49" x14ac:dyDescent="0.25">
      <c r="AW749" s="379"/>
    </row>
    <row r="750" spans="49:49" x14ac:dyDescent="0.25">
      <c r="AW750" s="379"/>
    </row>
    <row r="751" spans="49:49" x14ac:dyDescent="0.25">
      <c r="AW751" s="379"/>
    </row>
    <row r="757" spans="45:69" x14ac:dyDescent="0.25">
      <c r="AY757" s="53"/>
    </row>
    <row r="758" spans="45:69" x14ac:dyDescent="0.25">
      <c r="AY758" s="53"/>
    </row>
    <row r="759" spans="45:69" x14ac:dyDescent="0.25">
      <c r="AY759" s="54"/>
    </row>
    <row r="760" spans="45:69" x14ac:dyDescent="0.25">
      <c r="AY760" s="54"/>
    </row>
    <row r="761" spans="45:69" x14ac:dyDescent="0.25">
      <c r="AS761" s="53"/>
      <c r="BD761" s="54"/>
    </row>
    <row r="762" spans="45:69" x14ac:dyDescent="0.25">
      <c r="AS762" s="53"/>
      <c r="BD762" s="54"/>
    </row>
    <row r="763" spans="45:69" x14ac:dyDescent="0.25">
      <c r="AS763" s="54"/>
      <c r="BD763" s="54"/>
    </row>
    <row r="764" spans="45:69" x14ac:dyDescent="0.25">
      <c r="BD764" s="53"/>
    </row>
    <row r="765" spans="45:69" x14ac:dyDescent="0.25"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</row>
    <row r="766" spans="45:69" x14ac:dyDescent="0.25">
      <c r="AX766" s="54"/>
    </row>
    <row r="767" spans="45:69" x14ac:dyDescent="0.25">
      <c r="AX767" s="55"/>
      <c r="AY767" s="55"/>
      <c r="AZ767" s="55"/>
      <c r="BA767" s="55"/>
      <c r="BC767" s="56"/>
      <c r="BD767" s="56"/>
    </row>
    <row r="768" spans="45:69" x14ac:dyDescent="0.25">
      <c r="AV768" s="56"/>
      <c r="AW768" s="56"/>
      <c r="AZ768" s="56"/>
      <c r="BA768" s="56"/>
      <c r="BC768" s="56"/>
      <c r="BD768" s="56"/>
      <c r="BE768" s="56"/>
      <c r="BG768" s="55"/>
      <c r="BH768" s="54"/>
      <c r="BK768" s="55"/>
      <c r="BM768" s="55"/>
      <c r="BN768" s="54"/>
      <c r="BQ768" s="55"/>
    </row>
    <row r="769" spans="45:69" x14ac:dyDescent="0.25"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H769" s="56"/>
      <c r="BI769" s="56"/>
      <c r="BJ769" s="56"/>
      <c r="BN769" s="56"/>
      <c r="BO769" s="56"/>
      <c r="BP769" s="56"/>
    </row>
    <row r="770" spans="45:69" x14ac:dyDescent="0.25">
      <c r="AS770" s="56"/>
      <c r="AU770" s="54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G770" s="56"/>
      <c r="BH770" s="56"/>
      <c r="BI770" s="56"/>
      <c r="BJ770" s="56"/>
      <c r="BK770" s="56"/>
      <c r="BM770" s="56"/>
      <c r="BN770" s="56"/>
      <c r="BO770" s="56"/>
      <c r="BP770" s="56"/>
      <c r="BQ770" s="56"/>
    </row>
    <row r="771" spans="45:69" x14ac:dyDescent="0.25">
      <c r="AS771" s="56"/>
      <c r="AU771" s="54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G771" s="56"/>
      <c r="BH771" s="56"/>
      <c r="BI771" s="56"/>
      <c r="BJ771" s="56"/>
      <c r="BK771" s="56"/>
      <c r="BM771" s="56"/>
      <c r="BN771" s="56"/>
      <c r="BO771" s="56"/>
      <c r="BP771" s="56"/>
      <c r="BQ771" s="56"/>
    </row>
    <row r="772" spans="45:69" x14ac:dyDescent="0.25"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G772" s="55"/>
      <c r="BH772" s="55"/>
      <c r="BI772" s="55"/>
      <c r="BJ772" s="55"/>
      <c r="BK772" s="55"/>
      <c r="BM772" s="55"/>
      <c r="BN772" s="55"/>
      <c r="BO772" s="55"/>
      <c r="BP772" s="55"/>
      <c r="BQ772" s="55"/>
    </row>
    <row r="773" spans="45:69" x14ac:dyDescent="0.25"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</row>
    <row r="774" spans="45:69" x14ac:dyDescent="0.25">
      <c r="AS774" s="53"/>
      <c r="AU774" s="54"/>
      <c r="AV774" s="56"/>
      <c r="AY774" s="59"/>
    </row>
    <row r="775" spans="45:69" x14ac:dyDescent="0.25">
      <c r="AS775" s="53"/>
      <c r="AV775" s="56"/>
      <c r="AW775" s="379"/>
      <c r="AX775" s="65"/>
      <c r="AY775" s="65"/>
      <c r="AZ775" s="65"/>
      <c r="BA775" s="50"/>
      <c r="BB775" s="65"/>
      <c r="BC775" s="59"/>
      <c r="BD775" s="59"/>
      <c r="BE775" s="50"/>
      <c r="BG775" s="65"/>
      <c r="BH775" s="65"/>
      <c r="BI775" s="65"/>
      <c r="BJ775" s="65"/>
      <c r="BK775" s="65"/>
      <c r="BM775" s="65"/>
      <c r="BN775" s="65"/>
      <c r="BO775" s="65"/>
      <c r="BP775" s="65"/>
      <c r="BQ775" s="65"/>
    </row>
    <row r="776" spans="45:69" x14ac:dyDescent="0.25">
      <c r="AS776" s="53"/>
      <c r="AV776" s="56"/>
      <c r="AW776" s="379"/>
      <c r="AX776" s="65"/>
      <c r="AY776" s="65"/>
      <c r="AZ776" s="65"/>
      <c r="BA776" s="50"/>
      <c r="BB776" s="65"/>
      <c r="BC776" s="59"/>
      <c r="BD776" s="59"/>
      <c r="BE776" s="50"/>
      <c r="BG776" s="65"/>
      <c r="BH776" s="65"/>
      <c r="BI776" s="65"/>
      <c r="BJ776" s="65"/>
      <c r="BK776" s="65"/>
      <c r="BM776" s="65"/>
      <c r="BN776" s="65"/>
      <c r="BO776" s="65"/>
      <c r="BP776" s="65"/>
      <c r="BQ776" s="65"/>
    </row>
    <row r="777" spans="45:69" x14ac:dyDescent="0.25">
      <c r="AS777" s="53"/>
      <c r="AV777" s="56"/>
      <c r="AW777" s="379"/>
      <c r="AX777" s="65"/>
      <c r="AY777" s="65"/>
      <c r="AZ777" s="65"/>
      <c r="BA777" s="50"/>
      <c r="BB777" s="65"/>
      <c r="BC777" s="59"/>
      <c r="BD777" s="59"/>
      <c r="BE777" s="50"/>
      <c r="BG777" s="65"/>
      <c r="BH777" s="65"/>
      <c r="BI777" s="65"/>
      <c r="BJ777" s="65"/>
      <c r="BK777" s="65"/>
      <c r="BM777" s="65"/>
      <c r="BN777" s="65"/>
      <c r="BO777" s="65"/>
      <c r="BP777" s="65"/>
      <c r="BQ777" s="65"/>
    </row>
    <row r="778" spans="45:69" x14ac:dyDescent="0.25">
      <c r="AS778" s="53"/>
      <c r="AV778" s="56"/>
      <c r="AW778" s="379"/>
      <c r="AX778" s="65"/>
      <c r="AY778" s="65"/>
      <c r="AZ778" s="65"/>
      <c r="BA778" s="50"/>
      <c r="BB778" s="65"/>
      <c r="BC778" s="59"/>
      <c r="BD778" s="59"/>
      <c r="BE778" s="50"/>
      <c r="BG778" s="65"/>
      <c r="BH778" s="65"/>
      <c r="BI778" s="65"/>
      <c r="BJ778" s="65"/>
      <c r="BK778" s="65"/>
      <c r="BM778" s="65"/>
      <c r="BN778" s="65"/>
      <c r="BO778" s="65"/>
      <c r="BP778" s="65"/>
      <c r="BQ778" s="65"/>
    </row>
    <row r="779" spans="45:69" x14ac:dyDescent="0.25">
      <c r="AS779" s="53"/>
      <c r="AV779" s="56"/>
      <c r="AW779" s="379"/>
      <c r="AX779" s="65"/>
      <c r="AY779" s="65"/>
      <c r="AZ779" s="65"/>
      <c r="BA779" s="50"/>
      <c r="BB779" s="65"/>
      <c r="BC779" s="59"/>
      <c r="BD779" s="59"/>
      <c r="BE779" s="50"/>
      <c r="BG779" s="65"/>
      <c r="BH779" s="65"/>
      <c r="BI779" s="65"/>
      <c r="BJ779" s="65"/>
      <c r="BK779" s="65"/>
      <c r="BM779" s="65"/>
      <c r="BN779" s="65"/>
      <c r="BO779" s="65"/>
      <c r="BP779" s="65"/>
      <c r="BQ779" s="65"/>
    </row>
    <row r="780" spans="45:69" x14ac:dyDescent="0.25">
      <c r="AS780" s="53"/>
      <c r="AV780" s="56"/>
      <c r="AW780" s="379"/>
      <c r="AX780" s="65"/>
      <c r="AY780" s="65"/>
      <c r="AZ780" s="65"/>
      <c r="BA780" s="50"/>
      <c r="BB780" s="65"/>
      <c r="BC780" s="59"/>
      <c r="BD780" s="59"/>
      <c r="BE780" s="50"/>
      <c r="BG780" s="65"/>
      <c r="BH780" s="65"/>
      <c r="BI780" s="65"/>
      <c r="BJ780" s="65"/>
      <c r="BK780" s="65"/>
      <c r="BM780" s="65"/>
      <c r="BN780" s="65"/>
      <c r="BO780" s="65"/>
      <c r="BP780" s="65"/>
      <c r="BQ780" s="65"/>
    </row>
    <row r="781" spans="45:69" x14ac:dyDescent="0.25">
      <c r="AS781" s="53"/>
      <c r="AV781" s="56"/>
      <c r="AW781" s="379"/>
      <c r="AX781" s="65"/>
      <c r="AY781" s="65"/>
      <c r="AZ781" s="65"/>
      <c r="BA781" s="50"/>
      <c r="BB781" s="65"/>
      <c r="BC781" s="59"/>
      <c r="BD781" s="59"/>
      <c r="BE781" s="50"/>
      <c r="BG781" s="65"/>
      <c r="BH781" s="65"/>
      <c r="BI781" s="65"/>
      <c r="BJ781" s="65"/>
      <c r="BK781" s="65"/>
      <c r="BM781" s="65"/>
      <c r="BN781" s="65"/>
      <c r="BO781" s="65"/>
      <c r="BP781" s="65"/>
      <c r="BQ781" s="65"/>
    </row>
    <row r="782" spans="45:69" x14ac:dyDescent="0.25">
      <c r="AY782" s="59"/>
      <c r="AZ782" s="65"/>
      <c r="BA782" s="50"/>
      <c r="BB782" s="65"/>
      <c r="BC782" s="59"/>
      <c r="BD782" s="59"/>
      <c r="BE782" s="50"/>
      <c r="BK782" s="65"/>
      <c r="BQ782" s="65"/>
    </row>
    <row r="783" spans="45:69" x14ac:dyDescent="0.25">
      <c r="AS783" s="53"/>
      <c r="AV783" s="56"/>
      <c r="AY783" s="59"/>
      <c r="AZ783" s="65"/>
      <c r="BA783" s="50"/>
      <c r="BB783" s="65"/>
      <c r="BC783" s="59"/>
      <c r="BD783" s="59"/>
      <c r="BE783" s="50"/>
      <c r="BK783" s="65"/>
      <c r="BQ783" s="65"/>
    </row>
    <row r="784" spans="45:69" x14ac:dyDescent="0.25">
      <c r="AS784" s="53"/>
      <c r="AV784" s="56"/>
      <c r="AW784" s="379"/>
      <c r="AX784" s="65"/>
      <c r="AY784" s="65"/>
      <c r="AZ784" s="65"/>
      <c r="BA784" s="50"/>
      <c r="BB784" s="65"/>
      <c r="BC784" s="59"/>
      <c r="BD784" s="59"/>
      <c r="BE784" s="50"/>
      <c r="BG784" s="65"/>
      <c r="BH784" s="65"/>
      <c r="BI784" s="65"/>
      <c r="BJ784" s="65"/>
      <c r="BK784" s="65"/>
      <c r="BM784" s="65"/>
      <c r="BN784" s="65"/>
      <c r="BO784" s="65"/>
      <c r="BP784" s="65"/>
      <c r="BQ784" s="65"/>
    </row>
    <row r="785" spans="45:69" x14ac:dyDescent="0.25">
      <c r="AS785" s="53"/>
      <c r="AV785" s="56"/>
      <c r="AW785" s="379"/>
      <c r="AX785" s="65"/>
      <c r="AY785" s="65"/>
      <c r="AZ785" s="65"/>
      <c r="BA785" s="50"/>
      <c r="BB785" s="65"/>
      <c r="BC785" s="59"/>
      <c r="BD785" s="59"/>
      <c r="BE785" s="50"/>
      <c r="BG785" s="65"/>
      <c r="BH785" s="65"/>
      <c r="BI785" s="65"/>
      <c r="BJ785" s="65"/>
      <c r="BK785" s="65"/>
      <c r="BM785" s="65"/>
      <c r="BN785" s="65"/>
      <c r="BO785" s="65"/>
      <c r="BP785" s="65"/>
      <c r="BQ785" s="65"/>
    </row>
    <row r="786" spans="45:69" x14ac:dyDescent="0.25">
      <c r="AS786" s="53"/>
      <c r="AV786" s="56"/>
      <c r="AW786" s="379"/>
      <c r="AX786" s="65"/>
      <c r="AY786" s="65"/>
      <c r="AZ786" s="65"/>
      <c r="BA786" s="50"/>
      <c r="BB786" s="65"/>
      <c r="BC786" s="59"/>
      <c r="BD786" s="59"/>
      <c r="BE786" s="50"/>
      <c r="BG786" s="65"/>
      <c r="BH786" s="65"/>
      <c r="BI786" s="65"/>
      <c r="BJ786" s="65"/>
      <c r="BK786" s="65"/>
      <c r="BM786" s="65"/>
      <c r="BN786" s="65"/>
      <c r="BO786" s="65"/>
      <c r="BP786" s="65"/>
      <c r="BQ786" s="65"/>
    </row>
    <row r="787" spans="45:69" x14ac:dyDescent="0.25">
      <c r="AS787" s="53"/>
      <c r="AV787" s="56"/>
      <c r="AW787" s="379"/>
      <c r="AX787" s="65"/>
      <c r="AY787" s="65"/>
      <c r="AZ787" s="65"/>
      <c r="BA787" s="50"/>
      <c r="BB787" s="65"/>
      <c r="BC787" s="59"/>
      <c r="BD787" s="59"/>
      <c r="BE787" s="50"/>
      <c r="BG787" s="65"/>
      <c r="BH787" s="65"/>
      <c r="BI787" s="65"/>
      <c r="BJ787" s="65"/>
      <c r="BK787" s="65"/>
      <c r="BM787" s="65"/>
      <c r="BN787" s="65"/>
      <c r="BO787" s="65"/>
      <c r="BP787" s="65"/>
      <c r="BQ787" s="65"/>
    </row>
    <row r="788" spans="45:69" x14ac:dyDescent="0.25">
      <c r="AS788" s="53"/>
      <c r="AV788" s="56"/>
      <c r="AW788" s="379"/>
      <c r="AX788" s="65"/>
      <c r="AY788" s="65"/>
      <c r="AZ788" s="65"/>
      <c r="BA788" s="50"/>
      <c r="BB788" s="65"/>
      <c r="BC788" s="59"/>
      <c r="BD788" s="59"/>
      <c r="BE788" s="50"/>
      <c r="BG788" s="65"/>
      <c r="BH788" s="65"/>
      <c r="BI788" s="65"/>
      <c r="BJ788" s="65"/>
      <c r="BK788" s="65"/>
      <c r="BM788" s="65"/>
      <c r="BN788" s="65"/>
      <c r="BO788" s="65"/>
      <c r="BP788" s="65"/>
      <c r="BQ788" s="65"/>
    </row>
    <row r="789" spans="45:69" x14ac:dyDescent="0.25">
      <c r="AS789" s="53"/>
      <c r="AV789" s="56"/>
      <c r="AW789" s="379"/>
      <c r="AX789" s="65"/>
      <c r="AY789" s="65"/>
      <c r="AZ789" s="65"/>
      <c r="BA789" s="50"/>
      <c r="BB789" s="65"/>
      <c r="BC789" s="59"/>
      <c r="BD789" s="59"/>
      <c r="BE789" s="50"/>
      <c r="BG789" s="65"/>
      <c r="BH789" s="65"/>
      <c r="BI789" s="65"/>
      <c r="BJ789" s="65"/>
      <c r="BK789" s="65"/>
      <c r="BM789" s="65"/>
      <c r="BN789" s="65"/>
      <c r="BO789" s="65"/>
      <c r="BP789" s="65"/>
      <c r="BQ789" s="65"/>
    </row>
    <row r="790" spans="45:69" x14ac:dyDescent="0.25">
      <c r="AS790" s="53"/>
      <c r="AV790" s="56"/>
      <c r="AW790" s="379"/>
      <c r="AX790" s="65"/>
      <c r="AY790" s="65"/>
      <c r="AZ790" s="65"/>
      <c r="BA790" s="50"/>
      <c r="BB790" s="65"/>
      <c r="BC790" s="59"/>
      <c r="BD790" s="59"/>
      <c r="BE790" s="50"/>
      <c r="BG790" s="65"/>
      <c r="BH790" s="65"/>
      <c r="BI790" s="65"/>
      <c r="BJ790" s="65"/>
      <c r="BK790" s="65"/>
      <c r="BM790" s="65"/>
      <c r="BN790" s="65"/>
      <c r="BO790" s="65"/>
      <c r="BP790" s="65"/>
      <c r="BQ790" s="65"/>
    </row>
    <row r="791" spans="45:69" x14ac:dyDescent="0.25">
      <c r="AS791" s="53"/>
      <c r="AV791" s="56"/>
      <c r="AW791" s="379"/>
      <c r="AX791" s="65"/>
      <c r="AY791" s="65"/>
      <c r="AZ791" s="65"/>
      <c r="BA791" s="50"/>
      <c r="BB791" s="65"/>
      <c r="BC791" s="59"/>
      <c r="BD791" s="59"/>
      <c r="BE791" s="50"/>
      <c r="BG791" s="65"/>
      <c r="BH791" s="65"/>
      <c r="BI791" s="65"/>
      <c r="BJ791" s="65"/>
      <c r="BK791" s="65"/>
      <c r="BM791" s="65"/>
      <c r="BN791" s="65"/>
      <c r="BO791" s="65"/>
      <c r="BP791" s="65"/>
      <c r="BQ791" s="65"/>
    </row>
    <row r="792" spans="45:69" x14ac:dyDescent="0.25">
      <c r="AY792" s="59"/>
      <c r="AZ792" s="65"/>
      <c r="BA792" s="50"/>
      <c r="BB792" s="65"/>
      <c r="BC792" s="59"/>
      <c r="BD792" s="59"/>
      <c r="BE792" s="50"/>
      <c r="BK792" s="65"/>
      <c r="BQ792" s="65"/>
    </row>
    <row r="793" spans="45:69" x14ac:dyDescent="0.25">
      <c r="AU793" s="54"/>
      <c r="AZ793" s="65"/>
      <c r="BB793" s="65"/>
      <c r="BG793" s="65"/>
      <c r="BH793" s="65"/>
      <c r="BJ793" s="65"/>
      <c r="BK793" s="65"/>
    </row>
    <row r="794" spans="45:69" x14ac:dyDescent="0.25">
      <c r="AZ794" s="65"/>
      <c r="BB794" s="65"/>
    </row>
    <row r="795" spans="45:69" x14ac:dyDescent="0.25">
      <c r="AS795" s="54"/>
      <c r="AZ795" s="65"/>
      <c r="BB795" s="65"/>
      <c r="BI795" s="65"/>
    </row>
    <row r="796" spans="45:69" x14ac:dyDescent="0.25">
      <c r="AY796" s="53"/>
      <c r="AZ796" s="65"/>
      <c r="BB796" s="65"/>
    </row>
    <row r="797" spans="45:69" x14ac:dyDescent="0.25">
      <c r="AY797" s="65"/>
      <c r="BB797" s="65"/>
    </row>
    <row r="798" spans="45:69" x14ac:dyDescent="0.25">
      <c r="AY798" s="54"/>
      <c r="AZ798" s="65"/>
      <c r="BB798" s="65"/>
    </row>
    <row r="799" spans="45:69" x14ac:dyDescent="0.25">
      <c r="AY799" s="54"/>
      <c r="AZ799" s="65"/>
      <c r="BB799" s="65"/>
    </row>
    <row r="800" spans="45:69" x14ac:dyDescent="0.25">
      <c r="AS800" s="53"/>
      <c r="AZ800" s="65"/>
      <c r="BB800" s="65"/>
      <c r="BD800" s="54"/>
    </row>
    <row r="801" spans="45:75" x14ac:dyDescent="0.25">
      <c r="AS801" s="53"/>
      <c r="AZ801" s="65"/>
      <c r="BB801" s="65"/>
      <c r="BD801" s="54"/>
    </row>
    <row r="802" spans="45:75" x14ac:dyDescent="0.25">
      <c r="AS802" s="54"/>
      <c r="AZ802" s="65"/>
      <c r="BB802" s="65"/>
      <c r="BD802" s="54"/>
    </row>
    <row r="803" spans="45:75" x14ac:dyDescent="0.25">
      <c r="AZ803" s="65"/>
      <c r="BB803" s="65"/>
      <c r="BD803" s="53"/>
    </row>
    <row r="804" spans="45:75" x14ac:dyDescent="0.25">
      <c r="AS804" s="55"/>
      <c r="AT804" s="55"/>
      <c r="AU804" s="55"/>
      <c r="AV804" s="55"/>
      <c r="AW804" s="55"/>
      <c r="AX804" s="55"/>
      <c r="AY804" s="55"/>
      <c r="AZ804" s="66"/>
      <c r="BA804" s="55"/>
      <c r="BB804" s="66"/>
      <c r="BC804" s="55"/>
      <c r="BD804" s="55"/>
      <c r="BE804" s="55"/>
    </row>
    <row r="805" spans="45:75" x14ac:dyDescent="0.25">
      <c r="AX805" s="54"/>
      <c r="AZ805" s="65"/>
      <c r="BB805" s="65"/>
    </row>
    <row r="806" spans="45:75" x14ac:dyDescent="0.25">
      <c r="AX806" s="55"/>
      <c r="AY806" s="55"/>
      <c r="AZ806" s="66"/>
      <c r="BA806" s="55"/>
      <c r="BB806" s="65"/>
      <c r="BC806" s="56"/>
      <c r="BD806" s="56"/>
    </row>
    <row r="807" spans="45:75" x14ac:dyDescent="0.25">
      <c r="AV807" s="56"/>
      <c r="AW807" s="56"/>
      <c r="AZ807" s="67"/>
      <c r="BA807" s="56"/>
      <c r="BB807" s="65"/>
      <c r="BC807" s="56"/>
      <c r="BD807" s="56"/>
      <c r="BE807" s="56"/>
      <c r="BG807" s="55"/>
      <c r="BH807" s="55"/>
      <c r="BI807" s="54"/>
      <c r="BM807" s="55"/>
      <c r="BN807" s="55"/>
      <c r="BP807" s="55"/>
      <c r="BQ807" s="55"/>
      <c r="BR807" s="54"/>
      <c r="BV807" s="55"/>
      <c r="BW807" s="55"/>
    </row>
    <row r="808" spans="45:75" x14ac:dyDescent="0.25">
      <c r="AV808" s="56"/>
      <c r="AW808" s="56"/>
      <c r="AX808" s="56"/>
      <c r="AY808" s="56"/>
      <c r="AZ808" s="67"/>
      <c r="BA808" s="56"/>
      <c r="BB808" s="67"/>
      <c r="BC808" s="56"/>
      <c r="BD808" s="56"/>
      <c r="BE808" s="56"/>
      <c r="BH808" s="56"/>
      <c r="BI808" s="56"/>
      <c r="BJ808" s="56"/>
      <c r="BK808" s="56"/>
      <c r="BL808" s="56"/>
      <c r="BM808" s="56"/>
      <c r="BQ808" s="56"/>
      <c r="BR808" s="56"/>
      <c r="BS808" s="56"/>
      <c r="BT808" s="56"/>
      <c r="BU808" s="56"/>
      <c r="BV808" s="56"/>
    </row>
    <row r="809" spans="45:75" x14ac:dyDescent="0.25">
      <c r="AS809" s="56"/>
      <c r="AU809" s="54"/>
      <c r="AV809" s="56"/>
      <c r="AW809" s="56"/>
      <c r="AX809" s="56"/>
      <c r="AY809" s="56"/>
      <c r="AZ809" s="67"/>
      <c r="BA809" s="56"/>
      <c r="BB809" s="67"/>
      <c r="BC809" s="56"/>
      <c r="BD809" s="56"/>
      <c r="BE809" s="56"/>
      <c r="BG809" s="56"/>
      <c r="BH809" s="56"/>
      <c r="BI809" s="56"/>
      <c r="BJ809" s="56"/>
      <c r="BK809" s="56"/>
      <c r="BL809" s="56"/>
      <c r="BM809" s="56"/>
      <c r="BN809" s="56"/>
      <c r="BP809" s="56"/>
      <c r="BQ809" s="56"/>
      <c r="BR809" s="56"/>
      <c r="BS809" s="56"/>
      <c r="BT809" s="56"/>
      <c r="BU809" s="56"/>
      <c r="BV809" s="56"/>
      <c r="BW809" s="56"/>
    </row>
    <row r="810" spans="45:75" x14ac:dyDescent="0.25">
      <c r="AS810" s="56"/>
      <c r="AU810" s="54"/>
      <c r="AV810" s="56"/>
      <c r="AW810" s="56"/>
      <c r="AX810" s="56"/>
      <c r="AY810" s="56"/>
      <c r="AZ810" s="67"/>
      <c r="BA810" s="56"/>
      <c r="BB810" s="67"/>
      <c r="BC810" s="56"/>
      <c r="BD810" s="56"/>
      <c r="BE810" s="56"/>
      <c r="BG810" s="56"/>
      <c r="BH810" s="56"/>
      <c r="BI810" s="56"/>
      <c r="BJ810" s="56"/>
      <c r="BK810" s="56"/>
      <c r="BL810" s="56"/>
      <c r="BM810" s="56"/>
      <c r="BN810" s="56"/>
      <c r="BP810" s="56"/>
      <c r="BQ810" s="56"/>
      <c r="BR810" s="56"/>
      <c r="BS810" s="56"/>
      <c r="BT810" s="56"/>
      <c r="BU810" s="56"/>
      <c r="BV810" s="56"/>
      <c r="BW810" s="56"/>
    </row>
    <row r="811" spans="45:75" x14ac:dyDescent="0.25">
      <c r="AS811" s="55"/>
      <c r="AT811" s="55"/>
      <c r="AU811" s="55"/>
      <c r="AV811" s="55"/>
      <c r="AW811" s="55"/>
      <c r="AX811" s="55"/>
      <c r="AY811" s="55"/>
      <c r="AZ811" s="66"/>
      <c r="BA811" s="55"/>
      <c r="BB811" s="66"/>
      <c r="BC811" s="55"/>
      <c r="BD811" s="55"/>
      <c r="BE811" s="55"/>
      <c r="BG811" s="55"/>
      <c r="BH811" s="55"/>
      <c r="BI811" s="55"/>
      <c r="BJ811" s="55"/>
      <c r="BK811" s="55"/>
      <c r="BL811" s="55"/>
      <c r="BM811" s="55"/>
      <c r="BN811" s="55"/>
      <c r="BP811" s="55"/>
      <c r="BQ811" s="55"/>
      <c r="BR811" s="55"/>
      <c r="BS811" s="55"/>
      <c r="BT811" s="55"/>
      <c r="BU811" s="55"/>
      <c r="BV811" s="55"/>
      <c r="BW811" s="55"/>
    </row>
    <row r="812" spans="45:75" x14ac:dyDescent="0.25">
      <c r="AV812" s="56"/>
      <c r="AW812" s="56"/>
      <c r="AX812" s="56"/>
      <c r="AY812" s="56"/>
      <c r="AZ812" s="67"/>
      <c r="BA812" s="56"/>
      <c r="BB812" s="67"/>
      <c r="BC812" s="56"/>
      <c r="BD812" s="56"/>
      <c r="BE812" s="56"/>
      <c r="BG812" s="65"/>
      <c r="BH812" s="65"/>
      <c r="BI812" s="65"/>
      <c r="BJ812" s="65"/>
      <c r="BK812" s="65"/>
      <c r="BL812" s="65"/>
      <c r="BM812" s="65"/>
      <c r="BN812" s="65"/>
      <c r="BO812" s="65"/>
      <c r="BP812" s="65"/>
      <c r="BQ812" s="65"/>
      <c r="BR812" s="65"/>
      <c r="BS812" s="65"/>
      <c r="BT812" s="65"/>
      <c r="BU812" s="65"/>
      <c r="BV812" s="65"/>
      <c r="BW812" s="65"/>
    </row>
    <row r="813" spans="45:75" x14ac:dyDescent="0.25">
      <c r="AS813" s="53"/>
      <c r="AU813" s="54"/>
      <c r="AV813" s="53"/>
      <c r="AW813" s="379"/>
      <c r="AX813" s="65"/>
      <c r="AY813" s="65"/>
      <c r="AZ813" s="65"/>
      <c r="BA813" s="60"/>
      <c r="BB813" s="65"/>
      <c r="BC813" s="65"/>
      <c r="BD813" s="65"/>
      <c r="BE813" s="60"/>
      <c r="BG813" s="65"/>
      <c r="BH813" s="65"/>
      <c r="BI813" s="65"/>
      <c r="BJ813" s="65"/>
      <c r="BK813" s="65"/>
      <c r="BL813" s="65"/>
      <c r="BM813" s="65"/>
      <c r="BN813" s="65"/>
      <c r="BO813" s="65"/>
      <c r="BP813" s="65"/>
      <c r="BQ813" s="65"/>
      <c r="BR813" s="65"/>
      <c r="BS813" s="65"/>
      <c r="BT813" s="65"/>
      <c r="BU813" s="65"/>
      <c r="BV813" s="65"/>
      <c r="BW813" s="65"/>
    </row>
    <row r="814" spans="45:75" x14ac:dyDescent="0.25">
      <c r="AS814" s="53"/>
      <c r="AV814" s="53"/>
      <c r="AW814" s="379"/>
      <c r="AX814" s="65"/>
      <c r="AY814" s="65"/>
      <c r="AZ814" s="65"/>
      <c r="BA814" s="60"/>
      <c r="BB814" s="65"/>
      <c r="BC814" s="65"/>
      <c r="BD814" s="65"/>
      <c r="BE814" s="60"/>
      <c r="BG814" s="65"/>
      <c r="BH814" s="65"/>
      <c r="BI814" s="65"/>
      <c r="BJ814" s="65"/>
      <c r="BK814" s="65"/>
      <c r="BL814" s="65"/>
      <c r="BM814" s="65"/>
      <c r="BN814" s="65"/>
      <c r="BO814" s="65"/>
      <c r="BP814" s="65"/>
      <c r="BQ814" s="65"/>
      <c r="BR814" s="65"/>
      <c r="BS814" s="65"/>
      <c r="BT814" s="65"/>
      <c r="BU814" s="65"/>
      <c r="BV814" s="65"/>
      <c r="BW814" s="65"/>
    </row>
    <row r="815" spans="45:75" x14ac:dyDescent="0.25">
      <c r="AS815" s="53"/>
      <c r="AV815" s="53"/>
      <c r="AW815" s="379"/>
      <c r="AX815" s="65"/>
      <c r="AY815" s="65"/>
      <c r="AZ815" s="65"/>
      <c r="BA815" s="60"/>
      <c r="BB815" s="65"/>
      <c r="BC815" s="65"/>
      <c r="BD815" s="65"/>
      <c r="BE815" s="60"/>
      <c r="BG815" s="65"/>
      <c r="BH815" s="65"/>
      <c r="BI815" s="65"/>
      <c r="BJ815" s="65"/>
      <c r="BK815" s="65"/>
      <c r="BL815" s="65"/>
      <c r="BM815" s="65"/>
      <c r="BN815" s="65"/>
      <c r="BO815" s="65"/>
      <c r="BP815" s="65"/>
      <c r="BQ815" s="65"/>
      <c r="BR815" s="65"/>
      <c r="BS815" s="65"/>
      <c r="BT815" s="65"/>
      <c r="BU815" s="65"/>
      <c r="BV815" s="65"/>
      <c r="BW815" s="65"/>
    </row>
    <row r="816" spans="45:75" x14ac:dyDescent="0.25">
      <c r="AS816" s="53"/>
      <c r="AV816" s="53"/>
      <c r="AW816" s="379"/>
      <c r="AX816" s="65"/>
      <c r="AY816" s="65"/>
      <c r="AZ816" s="65"/>
      <c r="BA816" s="60"/>
      <c r="BB816" s="65"/>
      <c r="BC816" s="65"/>
      <c r="BD816" s="65"/>
      <c r="BE816" s="60"/>
      <c r="BG816" s="65"/>
      <c r="BH816" s="65"/>
      <c r="BI816" s="65"/>
      <c r="BJ816" s="65"/>
      <c r="BK816" s="65"/>
      <c r="BL816" s="65"/>
      <c r="BM816" s="65"/>
      <c r="BN816" s="65"/>
      <c r="BO816" s="65"/>
      <c r="BP816" s="65"/>
      <c r="BQ816" s="65"/>
      <c r="BR816" s="65"/>
      <c r="BS816" s="65"/>
      <c r="BT816" s="65"/>
      <c r="BU816" s="65"/>
      <c r="BV816" s="65"/>
      <c r="BW816" s="65"/>
    </row>
    <row r="817" spans="45:75" x14ac:dyDescent="0.25">
      <c r="AS817" s="53"/>
      <c r="AV817" s="53"/>
      <c r="AW817" s="379"/>
      <c r="AX817" s="65"/>
      <c r="AY817" s="65"/>
      <c r="AZ817" s="65"/>
      <c r="BA817" s="60"/>
      <c r="BB817" s="65"/>
      <c r="BC817" s="65"/>
      <c r="BD817" s="65"/>
      <c r="BE817" s="60"/>
      <c r="BG817" s="65"/>
      <c r="BH817" s="65"/>
      <c r="BI817" s="65"/>
      <c r="BJ817" s="65"/>
      <c r="BK817" s="65"/>
      <c r="BL817" s="65"/>
      <c r="BM817" s="65"/>
      <c r="BN817" s="65"/>
      <c r="BO817" s="65"/>
      <c r="BP817" s="65"/>
      <c r="BQ817" s="65"/>
      <c r="BR817" s="65"/>
      <c r="BS817" s="65"/>
      <c r="BT817" s="65"/>
      <c r="BU817" s="65"/>
      <c r="BV817" s="65"/>
      <c r="BW817" s="65"/>
    </row>
    <row r="818" spans="45:75" x14ac:dyDescent="0.25">
      <c r="AS818" s="53"/>
      <c r="AV818" s="53"/>
      <c r="AW818" s="379"/>
      <c r="AX818" s="65"/>
      <c r="AY818" s="65"/>
      <c r="AZ818" s="65"/>
      <c r="BA818" s="60"/>
      <c r="BB818" s="65"/>
      <c r="BC818" s="65"/>
      <c r="BD818" s="65"/>
      <c r="BE818" s="60"/>
      <c r="BG818" s="65"/>
      <c r="BH818" s="65"/>
      <c r="BI818" s="65"/>
      <c r="BJ818" s="65"/>
      <c r="BK818" s="65"/>
      <c r="BL818" s="65"/>
      <c r="BM818" s="65"/>
      <c r="BN818" s="65"/>
      <c r="BO818" s="65"/>
      <c r="BP818" s="65"/>
      <c r="BQ818" s="65"/>
      <c r="BR818" s="65"/>
      <c r="BS818" s="65"/>
      <c r="BT818" s="65"/>
      <c r="BU818" s="65"/>
      <c r="BV818" s="65"/>
      <c r="BW818" s="65"/>
    </row>
    <row r="819" spans="45:75" x14ac:dyDescent="0.25">
      <c r="AS819" s="53"/>
      <c r="AV819" s="53"/>
      <c r="AW819" s="379"/>
      <c r="AX819" s="65"/>
      <c r="AY819" s="65"/>
      <c r="AZ819" s="65"/>
      <c r="BA819" s="60"/>
      <c r="BB819" s="65"/>
      <c r="BC819" s="65"/>
      <c r="BD819" s="65"/>
      <c r="BE819" s="60"/>
      <c r="BG819" s="65"/>
      <c r="BH819" s="65"/>
      <c r="BI819" s="65"/>
      <c r="BJ819" s="65"/>
      <c r="BK819" s="65"/>
      <c r="BL819" s="65"/>
      <c r="BM819" s="65"/>
      <c r="BN819" s="65"/>
      <c r="BO819" s="65"/>
      <c r="BP819" s="65"/>
      <c r="BQ819" s="65"/>
      <c r="BR819" s="65"/>
      <c r="BS819" s="65"/>
      <c r="BT819" s="65"/>
      <c r="BU819" s="65"/>
      <c r="BV819" s="65"/>
      <c r="BW819" s="65"/>
    </row>
    <row r="820" spans="45:75" x14ac:dyDescent="0.25">
      <c r="AS820" s="53"/>
      <c r="AV820" s="53"/>
      <c r="AW820" s="379"/>
      <c r="AX820" s="65"/>
      <c r="AY820" s="65"/>
      <c r="AZ820" s="65"/>
      <c r="BA820" s="60"/>
      <c r="BB820" s="65"/>
      <c r="BC820" s="65"/>
      <c r="BD820" s="65"/>
      <c r="BE820" s="60"/>
      <c r="BG820" s="65"/>
      <c r="BH820" s="65"/>
      <c r="BI820" s="65"/>
      <c r="BJ820" s="65"/>
      <c r="BK820" s="65"/>
      <c r="BL820" s="65"/>
      <c r="BM820" s="65"/>
      <c r="BN820" s="65"/>
      <c r="BO820" s="65"/>
      <c r="BP820" s="65"/>
      <c r="BQ820" s="65"/>
      <c r="BR820" s="65"/>
      <c r="BS820" s="65"/>
      <c r="BT820" s="65"/>
      <c r="BU820" s="65"/>
      <c r="BV820" s="65"/>
      <c r="BW820" s="65"/>
    </row>
    <row r="821" spans="45:75" x14ac:dyDescent="0.25">
      <c r="AS821" s="53"/>
      <c r="AV821" s="53"/>
      <c r="AW821" s="379"/>
      <c r="AX821" s="65"/>
      <c r="AY821" s="65"/>
      <c r="AZ821" s="65"/>
      <c r="BA821" s="60"/>
      <c r="BB821" s="65"/>
      <c r="BC821" s="65"/>
      <c r="BD821" s="65"/>
      <c r="BE821" s="60"/>
      <c r="BG821" s="65"/>
      <c r="BH821" s="65"/>
      <c r="BI821" s="65"/>
      <c r="BJ821" s="65"/>
      <c r="BK821" s="65"/>
      <c r="BL821" s="65"/>
      <c r="BM821" s="65"/>
      <c r="BN821" s="65"/>
      <c r="BO821" s="65"/>
      <c r="BP821" s="65"/>
      <c r="BQ821" s="65"/>
      <c r="BR821" s="65"/>
      <c r="BS821" s="65"/>
      <c r="BT821" s="65"/>
      <c r="BU821" s="65"/>
      <c r="BV821" s="65"/>
      <c r="BW821" s="65"/>
    </row>
    <row r="822" spans="45:75" x14ac:dyDescent="0.25">
      <c r="AS822" s="53"/>
      <c r="AV822" s="53"/>
      <c r="AW822" s="379"/>
      <c r="AX822" s="65"/>
      <c r="AY822" s="65"/>
      <c r="AZ822" s="65"/>
      <c r="BA822" s="60"/>
      <c r="BB822" s="65"/>
      <c r="BC822" s="65"/>
      <c r="BD822" s="65"/>
      <c r="BE822" s="60"/>
      <c r="BG822" s="65"/>
      <c r="BH822" s="65"/>
      <c r="BI822" s="65"/>
      <c r="BJ822" s="65"/>
      <c r="BK822" s="65"/>
      <c r="BL822" s="65"/>
      <c r="BM822" s="65"/>
      <c r="BN822" s="65"/>
      <c r="BO822" s="65"/>
      <c r="BP822" s="65"/>
      <c r="BQ822" s="65"/>
      <c r="BR822" s="65"/>
      <c r="BS822" s="65"/>
      <c r="BT822" s="65"/>
      <c r="BU822" s="65"/>
      <c r="BV822" s="65"/>
      <c r="BW822" s="65"/>
    </row>
    <row r="823" spans="45:75" x14ac:dyDescent="0.25">
      <c r="AS823" s="53"/>
      <c r="AV823" s="53"/>
      <c r="AW823" s="379"/>
      <c r="AX823" s="65"/>
      <c r="AY823" s="65"/>
      <c r="AZ823" s="65"/>
      <c r="BA823" s="60"/>
      <c r="BB823" s="65"/>
      <c r="BC823" s="65"/>
      <c r="BD823" s="65"/>
      <c r="BE823" s="60"/>
      <c r="BG823" s="65"/>
      <c r="BH823" s="65"/>
      <c r="BI823" s="65"/>
      <c r="BJ823" s="65"/>
      <c r="BK823" s="65"/>
      <c r="BL823" s="65"/>
      <c r="BM823" s="65"/>
      <c r="BN823" s="65"/>
      <c r="BO823" s="65"/>
      <c r="BP823" s="65"/>
      <c r="BQ823" s="65"/>
      <c r="BR823" s="65"/>
      <c r="BS823" s="65"/>
      <c r="BT823" s="65"/>
      <c r="BU823" s="65"/>
      <c r="BV823" s="65"/>
      <c r="BW823" s="65"/>
    </row>
    <row r="824" spans="45:75" x14ac:dyDescent="0.25">
      <c r="AS824" s="53"/>
      <c r="AV824" s="53"/>
      <c r="AW824" s="379"/>
      <c r="AX824" s="65"/>
      <c r="AY824" s="65"/>
      <c r="AZ824" s="65"/>
      <c r="BA824" s="60"/>
      <c r="BB824" s="65"/>
      <c r="BC824" s="65"/>
      <c r="BD824" s="65"/>
      <c r="BE824" s="60"/>
      <c r="BG824" s="65"/>
      <c r="BH824" s="65"/>
      <c r="BI824" s="65"/>
      <c r="BJ824" s="65"/>
      <c r="BK824" s="65"/>
      <c r="BL824" s="65"/>
      <c r="BM824" s="65"/>
      <c r="BN824" s="65"/>
      <c r="BO824" s="65"/>
      <c r="BP824" s="65"/>
      <c r="BQ824" s="65"/>
      <c r="BR824" s="65"/>
      <c r="BS824" s="65"/>
      <c r="BT824" s="65"/>
      <c r="BU824" s="65"/>
      <c r="BV824" s="65"/>
      <c r="BW824" s="65"/>
    </row>
    <row r="825" spans="45:75" x14ac:dyDescent="0.25">
      <c r="AS825" s="53"/>
      <c r="AV825" s="53"/>
      <c r="AW825" s="379"/>
      <c r="AX825" s="65"/>
      <c r="AY825" s="65"/>
      <c r="AZ825" s="65"/>
      <c r="BA825" s="60"/>
      <c r="BB825" s="65"/>
      <c r="BC825" s="65"/>
      <c r="BD825" s="65"/>
      <c r="BE825" s="60"/>
      <c r="BG825" s="65"/>
      <c r="BH825" s="65"/>
      <c r="BI825" s="65"/>
      <c r="BJ825" s="65"/>
      <c r="BK825" s="65"/>
      <c r="BL825" s="65"/>
      <c r="BM825" s="65"/>
      <c r="BN825" s="65"/>
      <c r="BO825" s="65"/>
      <c r="BP825" s="65"/>
      <c r="BQ825" s="65"/>
      <c r="BR825" s="65"/>
      <c r="BS825" s="65"/>
      <c r="BT825" s="65"/>
      <c r="BU825" s="65"/>
      <c r="BV825" s="65"/>
      <c r="BW825" s="65"/>
    </row>
    <row r="826" spans="45:75" x14ac:dyDescent="0.25">
      <c r="AS826" s="53"/>
      <c r="AV826" s="53"/>
      <c r="AW826" s="379"/>
      <c r="AX826" s="65"/>
      <c r="AY826" s="65"/>
      <c r="AZ826" s="65"/>
      <c r="BA826" s="60"/>
      <c r="BB826" s="65"/>
      <c r="BC826" s="65"/>
      <c r="BD826" s="65"/>
      <c r="BE826" s="60"/>
      <c r="BG826" s="65"/>
      <c r="BH826" s="65"/>
      <c r="BI826" s="65"/>
      <c r="BJ826" s="65"/>
      <c r="BK826" s="65"/>
      <c r="BL826" s="65"/>
      <c r="BM826" s="65"/>
      <c r="BN826" s="65"/>
      <c r="BO826" s="65"/>
      <c r="BP826" s="65"/>
      <c r="BQ826" s="65"/>
      <c r="BR826" s="65"/>
      <c r="BS826" s="65"/>
      <c r="BT826" s="65"/>
      <c r="BU826" s="65"/>
      <c r="BV826" s="65"/>
      <c r="BW826" s="65"/>
    </row>
    <row r="827" spans="45:75" x14ac:dyDescent="0.25">
      <c r="AS827" s="53"/>
      <c r="AV827" s="53"/>
      <c r="AW827" s="379"/>
      <c r="AX827" s="65"/>
      <c r="AY827" s="65"/>
      <c r="AZ827" s="65"/>
      <c r="BA827" s="60"/>
      <c r="BB827" s="65"/>
      <c r="BC827" s="65"/>
      <c r="BD827" s="65"/>
      <c r="BE827" s="60"/>
      <c r="BG827" s="65"/>
      <c r="BH827" s="65"/>
      <c r="BI827" s="65"/>
      <c r="BJ827" s="65"/>
      <c r="BK827" s="65"/>
      <c r="BL827" s="65"/>
      <c r="BM827" s="65"/>
      <c r="BN827" s="65"/>
      <c r="BO827" s="65"/>
      <c r="BP827" s="65"/>
      <c r="BQ827" s="65"/>
      <c r="BR827" s="65"/>
      <c r="BS827" s="65"/>
      <c r="BT827" s="65"/>
      <c r="BU827" s="65"/>
      <c r="BV827" s="65"/>
      <c r="BW827" s="65"/>
    </row>
    <row r="828" spans="45:75" x14ac:dyDescent="0.25">
      <c r="AS828" s="53"/>
      <c r="AV828" s="53"/>
      <c r="AW828" s="379"/>
      <c r="AX828" s="65"/>
      <c r="AY828" s="65"/>
      <c r="AZ828" s="65"/>
      <c r="BA828" s="60"/>
      <c r="BB828" s="65"/>
      <c r="BC828" s="65"/>
      <c r="BD828" s="65"/>
      <c r="BE828" s="60"/>
      <c r="BG828" s="65"/>
      <c r="BH828" s="65"/>
      <c r="BI828" s="65"/>
      <c r="BJ828" s="65"/>
      <c r="BK828" s="65"/>
      <c r="BL828" s="65"/>
      <c r="BM828" s="65"/>
      <c r="BN828" s="65"/>
      <c r="BO828" s="65"/>
      <c r="BP828" s="65"/>
      <c r="BQ828" s="65"/>
      <c r="BR828" s="65"/>
      <c r="BS828" s="65"/>
      <c r="BT828" s="65"/>
      <c r="BU828" s="65"/>
      <c r="BV828" s="65"/>
      <c r="BW828" s="65"/>
    </row>
    <row r="829" spans="45:75" x14ac:dyDescent="0.25">
      <c r="AS829" s="53"/>
      <c r="AV829" s="53"/>
      <c r="AW829" s="379"/>
      <c r="AX829" s="65"/>
      <c r="AY829" s="65"/>
      <c r="AZ829" s="65"/>
      <c r="BA829" s="60"/>
      <c r="BB829" s="65"/>
      <c r="BC829" s="65"/>
      <c r="BD829" s="65"/>
      <c r="BE829" s="60"/>
      <c r="BG829" s="65"/>
      <c r="BH829" s="65"/>
      <c r="BI829" s="65"/>
      <c r="BJ829" s="65"/>
      <c r="BK829" s="65"/>
      <c r="BL829" s="65"/>
      <c r="BM829" s="65"/>
      <c r="BN829" s="65"/>
      <c r="BO829" s="65"/>
      <c r="BP829" s="65"/>
      <c r="BQ829" s="65"/>
      <c r="BR829" s="65"/>
      <c r="BS829" s="65"/>
      <c r="BT829" s="65"/>
      <c r="BU829" s="65"/>
      <c r="BV829" s="65"/>
      <c r="BW829" s="65"/>
    </row>
    <row r="830" spans="45:75" x14ac:dyDescent="0.25">
      <c r="AS830" s="53"/>
      <c r="AV830" s="53"/>
      <c r="AW830" s="379"/>
      <c r="AX830" s="65"/>
      <c r="AY830" s="65"/>
      <c r="AZ830" s="65"/>
      <c r="BA830" s="60"/>
      <c r="BB830" s="65"/>
      <c r="BC830" s="65"/>
      <c r="BD830" s="65"/>
      <c r="BE830" s="60"/>
      <c r="BG830" s="65"/>
      <c r="BH830" s="65"/>
      <c r="BI830" s="65"/>
      <c r="BJ830" s="65"/>
      <c r="BK830" s="65"/>
      <c r="BL830" s="65"/>
      <c r="BM830" s="65"/>
      <c r="BN830" s="65"/>
      <c r="BO830" s="65"/>
      <c r="BP830" s="65"/>
      <c r="BQ830" s="65"/>
      <c r="BR830" s="65"/>
      <c r="BS830" s="65"/>
      <c r="BT830" s="65"/>
      <c r="BU830" s="65"/>
      <c r="BV830" s="65"/>
      <c r="BW830" s="65"/>
    </row>
    <row r="831" spans="45:75" x14ac:dyDescent="0.25">
      <c r="AS831" s="53"/>
      <c r="AV831" s="53"/>
      <c r="AW831" s="379"/>
      <c r="AX831" s="65"/>
      <c r="AY831" s="65"/>
      <c r="AZ831" s="65"/>
      <c r="BA831" s="60"/>
      <c r="BB831" s="65"/>
      <c r="BC831" s="65"/>
      <c r="BD831" s="65"/>
      <c r="BE831" s="60"/>
      <c r="BG831" s="65"/>
      <c r="BH831" s="65"/>
      <c r="BI831" s="65"/>
      <c r="BJ831" s="65"/>
      <c r="BK831" s="65"/>
      <c r="BL831" s="65"/>
      <c r="BM831" s="65"/>
      <c r="BN831" s="65"/>
      <c r="BO831" s="65"/>
      <c r="BP831" s="65"/>
      <c r="BQ831" s="65"/>
      <c r="BR831" s="65"/>
      <c r="BS831" s="65"/>
      <c r="BT831" s="65"/>
      <c r="BU831" s="65"/>
      <c r="BV831" s="65"/>
      <c r="BW831" s="65"/>
    </row>
    <row r="832" spans="45:75" x14ac:dyDescent="0.25">
      <c r="AS832" s="53"/>
      <c r="AV832" s="53"/>
      <c r="AW832" s="379"/>
      <c r="AX832" s="65"/>
      <c r="AY832" s="65"/>
      <c r="AZ832" s="65"/>
      <c r="BA832" s="60"/>
      <c r="BB832" s="65"/>
      <c r="BC832" s="65"/>
      <c r="BD832" s="65"/>
      <c r="BE832" s="60"/>
      <c r="BG832" s="65"/>
      <c r="BH832" s="65"/>
      <c r="BI832" s="65"/>
      <c r="BJ832" s="65"/>
      <c r="BK832" s="65"/>
      <c r="BL832" s="65"/>
      <c r="BM832" s="65"/>
      <c r="BN832" s="65"/>
      <c r="BO832" s="65"/>
      <c r="BP832" s="65"/>
      <c r="BQ832" s="65"/>
      <c r="BR832" s="65"/>
      <c r="BS832" s="65"/>
      <c r="BT832" s="65"/>
      <c r="BU832" s="65"/>
      <c r="BV832" s="65"/>
      <c r="BW832" s="65"/>
    </row>
    <row r="833" spans="45:75" x14ac:dyDescent="0.25">
      <c r="AS833" s="53"/>
      <c r="AV833" s="53"/>
      <c r="AW833" s="379"/>
      <c r="AX833" s="65"/>
      <c r="AY833" s="65"/>
      <c r="AZ833" s="65"/>
      <c r="BA833" s="60"/>
      <c r="BB833" s="65"/>
      <c r="BC833" s="65"/>
      <c r="BD833" s="65"/>
      <c r="BE833" s="60"/>
      <c r="BG833" s="65"/>
      <c r="BH833" s="65"/>
      <c r="BI833" s="65"/>
      <c r="BJ833" s="65"/>
      <c r="BK833" s="65"/>
      <c r="BL833" s="65"/>
      <c r="BM833" s="65"/>
      <c r="BN833" s="65"/>
      <c r="BO833" s="65"/>
      <c r="BP833" s="65"/>
      <c r="BQ833" s="65"/>
      <c r="BR833" s="65"/>
      <c r="BS833" s="65"/>
      <c r="BT833" s="65"/>
      <c r="BU833" s="65"/>
      <c r="BV833" s="65"/>
      <c r="BW833" s="65"/>
    </row>
    <row r="834" spans="45:75" x14ac:dyDescent="0.25">
      <c r="AW834" s="379"/>
      <c r="AX834" s="65"/>
      <c r="AY834" s="65"/>
      <c r="AZ834" s="65"/>
      <c r="BA834" s="60"/>
      <c r="BB834" s="65"/>
      <c r="BC834" s="65"/>
      <c r="BD834" s="65"/>
      <c r="BE834" s="60"/>
      <c r="BG834" s="55"/>
      <c r="BH834" s="55"/>
      <c r="BI834" s="54"/>
      <c r="BM834" s="55"/>
      <c r="BN834" s="55"/>
      <c r="BO834" s="65"/>
      <c r="BP834" s="55"/>
      <c r="BQ834" s="55"/>
      <c r="BR834" s="54"/>
      <c r="BV834" s="55"/>
      <c r="BW834" s="55"/>
    </row>
    <row r="835" spans="45:75" x14ac:dyDescent="0.25">
      <c r="AS835" s="53"/>
      <c r="AU835" s="54"/>
      <c r="AV835" s="56"/>
      <c r="AW835" s="379"/>
      <c r="AX835" s="65"/>
      <c r="AY835" s="65"/>
      <c r="AZ835" s="65"/>
      <c r="BA835" s="60"/>
      <c r="BB835" s="65"/>
      <c r="BC835" s="65"/>
      <c r="BD835" s="65"/>
      <c r="BE835" s="60"/>
      <c r="BG835" s="67"/>
      <c r="BH835" s="65"/>
      <c r="BI835" s="65"/>
      <c r="BJ835" s="65"/>
      <c r="BK835" s="67"/>
      <c r="BL835" s="68"/>
      <c r="BM835" s="65"/>
      <c r="BN835" s="67"/>
      <c r="BO835" s="65"/>
      <c r="BP835" s="67"/>
      <c r="BQ835" s="65"/>
      <c r="BR835" s="65"/>
      <c r="BS835" s="65"/>
      <c r="BT835" s="67"/>
      <c r="BU835" s="68"/>
      <c r="BV835" s="65"/>
      <c r="BW835" s="67"/>
    </row>
    <row r="836" spans="45:75" x14ac:dyDescent="0.25">
      <c r="AS836" s="53"/>
      <c r="AV836" s="56"/>
      <c r="AW836" s="379"/>
      <c r="AX836" s="65"/>
      <c r="AY836" s="65"/>
      <c r="AZ836" s="65"/>
      <c r="BA836" s="60"/>
      <c r="BB836" s="65"/>
      <c r="BC836" s="65"/>
      <c r="BD836" s="65"/>
      <c r="BE836" s="60"/>
      <c r="BG836" s="65"/>
      <c r="BH836" s="65"/>
      <c r="BI836" s="65"/>
      <c r="BJ836" s="65"/>
      <c r="BK836" s="65"/>
      <c r="BL836" s="68"/>
      <c r="BM836" s="65"/>
      <c r="BN836" s="65"/>
      <c r="BO836" s="65"/>
      <c r="BP836" s="65"/>
      <c r="BQ836" s="65"/>
      <c r="BR836" s="65"/>
      <c r="BS836" s="65"/>
      <c r="BT836" s="65"/>
      <c r="BU836" s="68"/>
      <c r="BV836" s="65"/>
      <c r="BW836" s="65"/>
    </row>
    <row r="837" spans="45:75" x14ac:dyDescent="0.25">
      <c r="AS837" s="53"/>
      <c r="AV837" s="56"/>
      <c r="AW837" s="379"/>
      <c r="AX837" s="65"/>
      <c r="AY837" s="65"/>
      <c r="AZ837" s="65"/>
      <c r="BA837" s="60"/>
      <c r="BB837" s="65"/>
      <c r="BC837" s="65"/>
      <c r="BD837" s="65"/>
      <c r="BE837" s="60"/>
      <c r="BG837" s="65"/>
      <c r="BH837" s="65"/>
      <c r="BI837" s="65"/>
      <c r="BJ837" s="65"/>
      <c r="BK837" s="65"/>
      <c r="BL837" s="68"/>
      <c r="BM837" s="65"/>
      <c r="BN837" s="65"/>
      <c r="BO837" s="65"/>
      <c r="BP837" s="65"/>
      <c r="BQ837" s="65"/>
      <c r="BR837" s="65"/>
      <c r="BS837" s="65"/>
      <c r="BT837" s="65"/>
      <c r="BU837" s="68"/>
      <c r="BV837" s="65"/>
      <c r="BW837" s="65"/>
    </row>
    <row r="838" spans="45:75" x14ac:dyDescent="0.25">
      <c r="AS838" s="53"/>
      <c r="AV838" s="56"/>
      <c r="AW838" s="379"/>
      <c r="AX838" s="65"/>
      <c r="AY838" s="65"/>
      <c r="AZ838" s="65"/>
      <c r="BA838" s="60"/>
      <c r="BB838" s="65"/>
      <c r="BC838" s="65"/>
      <c r="BD838" s="65"/>
      <c r="BE838" s="60"/>
      <c r="BG838" s="65"/>
      <c r="BH838" s="65"/>
      <c r="BI838" s="65"/>
      <c r="BJ838" s="65"/>
      <c r="BK838" s="65"/>
      <c r="BL838" s="68"/>
      <c r="BM838" s="65"/>
      <c r="BN838" s="65"/>
      <c r="BO838" s="65"/>
      <c r="BP838" s="65"/>
      <c r="BQ838" s="65"/>
      <c r="BR838" s="65"/>
      <c r="BS838" s="65"/>
      <c r="BT838" s="65"/>
      <c r="BU838" s="68"/>
      <c r="BV838" s="65"/>
      <c r="BW838" s="65"/>
    </row>
    <row r="839" spans="45:75" x14ac:dyDescent="0.25">
      <c r="AX839" s="65"/>
      <c r="AY839" s="65"/>
      <c r="AZ839" s="65"/>
      <c r="BA839" s="60"/>
      <c r="BB839" s="65"/>
      <c r="BC839" s="65"/>
      <c r="BD839" s="65"/>
      <c r="BE839" s="60"/>
      <c r="BG839" s="65"/>
      <c r="BH839" s="65"/>
      <c r="BI839" s="65"/>
      <c r="BJ839" s="65"/>
      <c r="BK839" s="65"/>
      <c r="BL839" s="65"/>
      <c r="BM839" s="65"/>
      <c r="BN839" s="65"/>
      <c r="BO839" s="65"/>
      <c r="BP839" s="65"/>
      <c r="BQ839" s="65"/>
      <c r="BR839" s="65"/>
      <c r="BS839" s="65"/>
      <c r="BT839" s="65"/>
      <c r="BU839" s="65"/>
      <c r="BV839" s="65"/>
    </row>
    <row r="840" spans="45:75" x14ac:dyDescent="0.25">
      <c r="AU840" s="54"/>
    </row>
    <row r="841" spans="45:75" x14ac:dyDescent="0.25">
      <c r="AU841" s="54"/>
      <c r="AZ841" s="65"/>
      <c r="BA841" s="60"/>
      <c r="BB841" s="65"/>
      <c r="BC841" s="65"/>
      <c r="BD841" s="65"/>
      <c r="BE841" s="60"/>
      <c r="BG841" s="65"/>
      <c r="BH841" s="65"/>
      <c r="BI841" s="65"/>
      <c r="BJ841" s="65"/>
      <c r="BK841" s="65"/>
      <c r="BL841" s="65"/>
      <c r="BM841" s="65"/>
      <c r="BN841" s="65"/>
      <c r="BO841" s="65"/>
      <c r="BP841" s="65"/>
      <c r="BQ841" s="65"/>
      <c r="BR841" s="65"/>
      <c r="BS841" s="65"/>
      <c r="BT841" s="65"/>
      <c r="BU841" s="65"/>
      <c r="BV841" s="65"/>
    </row>
    <row r="842" spans="45:75" x14ac:dyDescent="0.25">
      <c r="AS842" s="54"/>
      <c r="AZ842" s="65"/>
      <c r="BB842" s="65"/>
    </row>
    <row r="843" spans="45:75" x14ac:dyDescent="0.25">
      <c r="AY843" s="53"/>
      <c r="AZ843" s="65"/>
      <c r="BB843" s="65"/>
      <c r="BO843" s="65"/>
      <c r="BP843" s="65"/>
      <c r="BQ843" s="65"/>
      <c r="BR843" s="65"/>
      <c r="BS843" s="65"/>
      <c r="BT843" s="65"/>
      <c r="BU843" s="65"/>
      <c r="BV843" s="65"/>
    </row>
    <row r="844" spans="45:75" x14ac:dyDescent="0.25">
      <c r="AY844" s="65"/>
      <c r="AZ844" s="65"/>
      <c r="BB844" s="65"/>
      <c r="BO844" s="65"/>
      <c r="BP844" s="65"/>
      <c r="BQ844" s="65"/>
      <c r="BR844" s="65"/>
      <c r="BS844" s="65"/>
      <c r="BT844" s="65"/>
      <c r="BU844" s="65"/>
      <c r="BV844" s="65"/>
    </row>
    <row r="845" spans="45:75" x14ac:dyDescent="0.25">
      <c r="AY845" s="54"/>
      <c r="AZ845" s="65"/>
      <c r="BB845" s="65"/>
      <c r="BO845" s="65"/>
      <c r="BP845" s="65"/>
      <c r="BQ845" s="65"/>
      <c r="BR845" s="65"/>
      <c r="BS845" s="65"/>
      <c r="BT845" s="65"/>
      <c r="BU845" s="65"/>
      <c r="BV845" s="65"/>
    </row>
    <row r="846" spans="45:75" x14ac:dyDescent="0.25">
      <c r="AY846" s="54"/>
      <c r="AZ846" s="65"/>
      <c r="BB846" s="65"/>
      <c r="BO846" s="65"/>
      <c r="BP846" s="65"/>
      <c r="BQ846" s="65"/>
      <c r="BR846" s="65"/>
      <c r="BS846" s="65"/>
      <c r="BT846" s="65"/>
      <c r="BU846" s="65"/>
      <c r="BV846" s="65"/>
    </row>
    <row r="847" spans="45:75" x14ac:dyDescent="0.25">
      <c r="AS847" s="53"/>
      <c r="AZ847" s="65"/>
      <c r="BB847" s="65"/>
      <c r="BD847" s="54"/>
      <c r="BO847" s="65"/>
      <c r="BP847" s="65"/>
      <c r="BQ847" s="65"/>
      <c r="BR847" s="65"/>
      <c r="BS847" s="65"/>
      <c r="BT847" s="65"/>
      <c r="BU847" s="65"/>
      <c r="BV847" s="65"/>
    </row>
    <row r="848" spans="45:75" x14ac:dyDescent="0.25">
      <c r="AS848" s="53"/>
      <c r="AZ848" s="65"/>
      <c r="BB848" s="65"/>
      <c r="BD848" s="54"/>
      <c r="BO848" s="65"/>
      <c r="BP848" s="65"/>
      <c r="BQ848" s="65"/>
      <c r="BR848" s="65"/>
      <c r="BS848" s="65"/>
      <c r="BT848" s="65"/>
      <c r="BU848" s="65"/>
      <c r="BV848" s="65"/>
    </row>
    <row r="849" spans="45:74" x14ac:dyDescent="0.25">
      <c r="AS849" s="54"/>
      <c r="AZ849" s="65"/>
      <c r="BB849" s="65"/>
      <c r="BD849" s="54"/>
      <c r="BO849" s="65"/>
      <c r="BP849" s="65"/>
      <c r="BQ849" s="65"/>
      <c r="BR849" s="65"/>
      <c r="BS849" s="65"/>
      <c r="BT849" s="65"/>
      <c r="BU849" s="65"/>
      <c r="BV849" s="65"/>
    </row>
    <row r="850" spans="45:74" x14ac:dyDescent="0.25">
      <c r="AZ850" s="65"/>
      <c r="BB850" s="65"/>
      <c r="BD850" s="53"/>
      <c r="BO850" s="65"/>
      <c r="BP850" s="65"/>
      <c r="BQ850" s="65"/>
      <c r="BR850" s="65"/>
      <c r="BS850" s="65"/>
      <c r="BT850" s="65"/>
      <c r="BU850" s="65"/>
      <c r="BV850" s="65"/>
    </row>
    <row r="851" spans="45:74" x14ac:dyDescent="0.25">
      <c r="AS851" s="55"/>
      <c r="AT851" s="55"/>
      <c r="AU851" s="55"/>
      <c r="AV851" s="55"/>
      <c r="AW851" s="55"/>
      <c r="AX851" s="55"/>
      <c r="AY851" s="55"/>
      <c r="AZ851" s="66"/>
      <c r="BA851" s="55"/>
      <c r="BB851" s="66"/>
      <c r="BC851" s="55"/>
      <c r="BD851" s="55"/>
      <c r="BE851" s="55"/>
      <c r="BO851" s="65"/>
      <c r="BP851" s="65"/>
      <c r="BQ851" s="65"/>
      <c r="BR851" s="65"/>
      <c r="BS851" s="65"/>
      <c r="BT851" s="65"/>
      <c r="BU851" s="65"/>
      <c r="BV851" s="65"/>
    </row>
    <row r="852" spans="45:74" x14ac:dyDescent="0.25">
      <c r="AX852" s="54"/>
      <c r="AZ852" s="65"/>
      <c r="BB852" s="65"/>
      <c r="BO852" s="65"/>
      <c r="BP852" s="65"/>
      <c r="BQ852" s="65"/>
      <c r="BR852" s="65"/>
      <c r="BS852" s="65"/>
      <c r="BT852" s="65"/>
      <c r="BU852" s="65"/>
      <c r="BV852" s="65"/>
    </row>
    <row r="853" spans="45:74" x14ac:dyDescent="0.25">
      <c r="AX853" s="55"/>
      <c r="AY853" s="55"/>
      <c r="AZ853" s="66"/>
      <c r="BA853" s="55"/>
      <c r="BB853" s="65"/>
      <c r="BC853" s="56"/>
      <c r="BD853" s="56"/>
      <c r="BO853" s="65"/>
      <c r="BP853" s="65"/>
      <c r="BQ853" s="65"/>
      <c r="BR853" s="65"/>
      <c r="BS853" s="65"/>
      <c r="BT853" s="65"/>
      <c r="BU853" s="65"/>
      <c r="BV853" s="65"/>
    </row>
    <row r="854" spans="45:74" x14ac:dyDescent="0.25">
      <c r="AV854" s="56"/>
      <c r="AW854" s="56"/>
      <c r="AZ854" s="67"/>
      <c r="BA854" s="56"/>
      <c r="BB854" s="65"/>
      <c r="BC854" s="56"/>
      <c r="BD854" s="56"/>
      <c r="BE854" s="56"/>
      <c r="BG854" s="55"/>
      <c r="BH854" s="54"/>
      <c r="BK854" s="55"/>
      <c r="BM854" s="55"/>
      <c r="BN854" s="54"/>
      <c r="BQ854" s="55"/>
    </row>
    <row r="855" spans="45:74" x14ac:dyDescent="0.25">
      <c r="AV855" s="56"/>
      <c r="AW855" s="56"/>
      <c r="AX855" s="56"/>
      <c r="AY855" s="56"/>
      <c r="AZ855" s="67"/>
      <c r="BA855" s="56"/>
      <c r="BB855" s="67"/>
      <c r="BC855" s="56"/>
      <c r="BD855" s="56"/>
      <c r="BE855" s="56"/>
      <c r="BH855" s="56"/>
      <c r="BI855" s="56"/>
      <c r="BN855" s="56"/>
      <c r="BO855" s="56"/>
    </row>
    <row r="856" spans="45:74" x14ac:dyDescent="0.25">
      <c r="AS856" s="56"/>
      <c r="AU856" s="54"/>
      <c r="AV856" s="56"/>
      <c r="AW856" s="56"/>
      <c r="AX856" s="56"/>
      <c r="AY856" s="56"/>
      <c r="AZ856" s="67"/>
      <c r="BA856" s="56"/>
      <c r="BB856" s="67"/>
      <c r="BC856" s="56"/>
      <c r="BD856" s="56"/>
      <c r="BE856" s="56"/>
      <c r="BG856" s="56"/>
      <c r="BH856" s="56"/>
      <c r="BI856" s="56"/>
      <c r="BJ856" s="56"/>
      <c r="BK856" s="56"/>
      <c r="BM856" s="56"/>
      <c r="BN856" s="56"/>
      <c r="BO856" s="56"/>
      <c r="BP856" s="56"/>
      <c r="BQ856" s="56"/>
    </row>
    <row r="857" spans="45:74" x14ac:dyDescent="0.25">
      <c r="AS857" s="56"/>
      <c r="AU857" s="54"/>
      <c r="AV857" s="56"/>
      <c r="AW857" s="56"/>
      <c r="AX857" s="56"/>
      <c r="AY857" s="56"/>
      <c r="AZ857" s="67"/>
      <c r="BA857" s="56"/>
      <c r="BB857" s="67"/>
      <c r="BC857" s="56"/>
      <c r="BD857" s="56"/>
      <c r="BE857" s="56"/>
      <c r="BG857" s="56"/>
      <c r="BH857" s="56"/>
      <c r="BI857" s="56"/>
      <c r="BJ857" s="56"/>
      <c r="BK857" s="56"/>
      <c r="BM857" s="56"/>
      <c r="BN857" s="56"/>
      <c r="BO857" s="56"/>
      <c r="BP857" s="56"/>
      <c r="BQ857" s="56"/>
    </row>
    <row r="858" spans="45:74" x14ac:dyDescent="0.25">
      <c r="AS858" s="55"/>
      <c r="AT858" s="55"/>
      <c r="AU858" s="55"/>
      <c r="AV858" s="55"/>
      <c r="AW858" s="55"/>
      <c r="AX858" s="55"/>
      <c r="AY858" s="55"/>
      <c r="AZ858" s="66"/>
      <c r="BA858" s="55"/>
      <c r="BB858" s="66"/>
      <c r="BC858" s="55"/>
      <c r="BD858" s="55"/>
      <c r="BE858" s="55"/>
      <c r="BG858" s="55"/>
      <c r="BH858" s="55"/>
      <c r="BI858" s="55"/>
      <c r="BJ858" s="55"/>
      <c r="BK858" s="55"/>
      <c r="BM858" s="55"/>
      <c r="BN858" s="55"/>
      <c r="BO858" s="55"/>
      <c r="BP858" s="55"/>
      <c r="BQ858" s="55"/>
    </row>
    <row r="859" spans="45:74" x14ac:dyDescent="0.25">
      <c r="AV859" s="56"/>
      <c r="AW859" s="56"/>
      <c r="AX859" s="56"/>
      <c r="AY859" s="56"/>
      <c r="AZ859" s="67"/>
      <c r="BA859" s="56"/>
      <c r="BB859" s="67"/>
      <c r="BC859" s="56"/>
      <c r="BD859" s="56"/>
      <c r="BE859" s="56"/>
      <c r="BG859" s="65"/>
      <c r="BH859" s="65"/>
      <c r="BI859" s="65"/>
      <c r="BJ859" s="65"/>
      <c r="BK859" s="65"/>
      <c r="BL859" s="65"/>
      <c r="BM859" s="65"/>
      <c r="BN859" s="65"/>
      <c r="BO859" s="65"/>
      <c r="BP859" s="65"/>
      <c r="BQ859" s="65"/>
    </row>
    <row r="860" spans="45:74" x14ac:dyDescent="0.25">
      <c r="AS860" s="53"/>
      <c r="AT860" s="54"/>
      <c r="AV860" s="379"/>
      <c r="AW860" s="379"/>
      <c r="AX860" s="65"/>
      <c r="AY860" s="65"/>
      <c r="AZ860" s="65"/>
      <c r="BA860" s="60"/>
      <c r="BB860" s="65"/>
      <c r="BC860" s="65"/>
      <c r="BD860" s="65"/>
      <c r="BE860" s="60"/>
      <c r="BG860" s="65"/>
      <c r="BH860" s="65"/>
      <c r="BI860" s="65"/>
      <c r="BJ860" s="65"/>
      <c r="BK860" s="65"/>
      <c r="BL860" s="65"/>
      <c r="BM860" s="65"/>
      <c r="BN860" s="65"/>
      <c r="BO860" s="65"/>
      <c r="BP860" s="65"/>
      <c r="BQ860" s="65"/>
      <c r="BR860" s="65"/>
      <c r="BS860" s="65"/>
    </row>
    <row r="861" spans="45:74" x14ac:dyDescent="0.25">
      <c r="AS861" s="53"/>
      <c r="AV861" s="379"/>
      <c r="AW861" s="379"/>
      <c r="AX861" s="65"/>
      <c r="AY861" s="65"/>
      <c r="AZ861" s="65"/>
      <c r="BA861" s="60"/>
      <c r="BB861" s="65"/>
      <c r="BC861" s="65"/>
      <c r="BD861" s="65"/>
      <c r="BE861" s="60"/>
      <c r="BG861" s="65"/>
      <c r="BH861" s="65"/>
      <c r="BI861" s="65"/>
      <c r="BJ861" s="65"/>
      <c r="BK861" s="65"/>
      <c r="BL861" s="65"/>
      <c r="BM861" s="65"/>
      <c r="BN861" s="65"/>
      <c r="BO861" s="65"/>
      <c r="BP861" s="65"/>
      <c r="BQ861" s="65"/>
      <c r="BR861" s="65"/>
      <c r="BS861" s="65"/>
    </row>
    <row r="862" spans="45:74" x14ac:dyDescent="0.25">
      <c r="AS862" s="53"/>
      <c r="AV862" s="379"/>
      <c r="AW862" s="379"/>
      <c r="AX862" s="65"/>
      <c r="AY862" s="65"/>
      <c r="AZ862" s="65"/>
      <c r="BA862" s="60"/>
      <c r="BB862" s="65"/>
      <c r="BC862" s="65"/>
      <c r="BD862" s="65"/>
      <c r="BE862" s="60"/>
      <c r="BG862" s="65"/>
      <c r="BH862" s="65"/>
      <c r="BI862" s="65"/>
      <c r="BJ862" s="65"/>
      <c r="BK862" s="65"/>
      <c r="BL862" s="65"/>
      <c r="BM862" s="65"/>
      <c r="BN862" s="65"/>
      <c r="BO862" s="65"/>
      <c r="BP862" s="65"/>
      <c r="BQ862" s="65"/>
      <c r="BR862" s="65"/>
      <c r="BS862" s="65"/>
    </row>
    <row r="863" spans="45:74" x14ac:dyDescent="0.25">
      <c r="AS863" s="53"/>
      <c r="AV863" s="379"/>
      <c r="AW863" s="379"/>
      <c r="AX863" s="65"/>
      <c r="AY863" s="65"/>
      <c r="AZ863" s="65"/>
      <c r="BA863" s="60"/>
      <c r="BB863" s="65"/>
      <c r="BC863" s="65"/>
      <c r="BD863" s="65"/>
      <c r="BE863" s="60"/>
      <c r="BG863" s="65"/>
      <c r="BH863" s="65"/>
      <c r="BI863" s="65"/>
      <c r="BJ863" s="65"/>
      <c r="BK863" s="65"/>
      <c r="BL863" s="65"/>
      <c r="BM863" s="65"/>
      <c r="BN863" s="65"/>
      <c r="BO863" s="65"/>
      <c r="BP863" s="65"/>
      <c r="BQ863" s="65"/>
      <c r="BR863" s="65"/>
      <c r="BS863" s="65"/>
    </row>
    <row r="864" spans="45:74" x14ac:dyDescent="0.25">
      <c r="AS864" s="53"/>
      <c r="AV864" s="379"/>
      <c r="AW864" s="379"/>
      <c r="AX864" s="65"/>
      <c r="AY864" s="65"/>
      <c r="AZ864" s="65"/>
      <c r="BA864" s="60"/>
      <c r="BB864" s="65"/>
      <c r="BC864" s="65"/>
      <c r="BD864" s="65"/>
      <c r="BE864" s="60"/>
      <c r="BG864" s="65"/>
      <c r="BH864" s="65"/>
      <c r="BI864" s="65"/>
      <c r="BJ864" s="65"/>
      <c r="BK864" s="65"/>
      <c r="BL864" s="65"/>
      <c r="BM864" s="65"/>
      <c r="BN864" s="65"/>
      <c r="BO864" s="65"/>
      <c r="BP864" s="65"/>
      <c r="BQ864" s="65"/>
      <c r="BR864" s="65"/>
      <c r="BS864" s="65"/>
    </row>
    <row r="865" spans="45:71" x14ac:dyDescent="0.25">
      <c r="AS865" s="53"/>
      <c r="AV865" s="379"/>
      <c r="AW865" s="379"/>
      <c r="AX865" s="65"/>
      <c r="AY865" s="65"/>
      <c r="AZ865" s="65"/>
      <c r="BA865" s="60"/>
      <c r="BB865" s="65"/>
      <c r="BC865" s="65"/>
      <c r="BD865" s="65"/>
      <c r="BE865" s="60"/>
      <c r="BG865" s="65"/>
      <c r="BH865" s="65"/>
      <c r="BI865" s="65"/>
      <c r="BJ865" s="65"/>
      <c r="BK865" s="65"/>
      <c r="BL865" s="65"/>
      <c r="BM865" s="65"/>
      <c r="BN865" s="65"/>
      <c r="BO865" s="65"/>
      <c r="BP865" s="65"/>
      <c r="BQ865" s="65"/>
      <c r="BR865" s="65"/>
      <c r="BS865" s="65"/>
    </row>
    <row r="866" spans="45:71" x14ac:dyDescent="0.25">
      <c r="AS866" s="53"/>
      <c r="AV866" s="379"/>
      <c r="AW866" s="379"/>
      <c r="AX866" s="65"/>
      <c r="AY866" s="65"/>
      <c r="AZ866" s="65"/>
      <c r="BA866" s="60"/>
      <c r="BB866" s="65"/>
      <c r="BC866" s="65"/>
      <c r="BD866" s="65"/>
      <c r="BE866" s="60"/>
      <c r="BG866" s="65"/>
      <c r="BH866" s="65"/>
      <c r="BI866" s="65"/>
      <c r="BJ866" s="65"/>
      <c r="BK866" s="65"/>
      <c r="BL866" s="65"/>
      <c r="BM866" s="65"/>
      <c r="BN866" s="65"/>
      <c r="BO866" s="65"/>
      <c r="BP866" s="65"/>
      <c r="BQ866" s="65"/>
      <c r="BR866" s="65"/>
      <c r="BS866" s="65"/>
    </row>
    <row r="867" spans="45:71" x14ac:dyDescent="0.25">
      <c r="AS867" s="53"/>
      <c r="AV867" s="379"/>
      <c r="AW867" s="379"/>
      <c r="AX867" s="65"/>
      <c r="AY867" s="65"/>
      <c r="AZ867" s="65"/>
      <c r="BA867" s="60"/>
      <c r="BB867" s="65"/>
      <c r="BC867" s="65"/>
      <c r="BD867" s="65"/>
      <c r="BE867" s="60"/>
      <c r="BG867" s="65"/>
      <c r="BH867" s="65"/>
      <c r="BI867" s="65"/>
      <c r="BJ867" s="65"/>
      <c r="BK867" s="65"/>
      <c r="BL867" s="65"/>
      <c r="BM867" s="65"/>
      <c r="BN867" s="65"/>
      <c r="BO867" s="65"/>
      <c r="BP867" s="65"/>
      <c r="BQ867" s="65"/>
      <c r="BR867" s="65"/>
      <c r="BS867" s="65"/>
    </row>
    <row r="868" spans="45:71" x14ac:dyDescent="0.25">
      <c r="AS868" s="53"/>
      <c r="AV868" s="379"/>
      <c r="AW868" s="379"/>
      <c r="AX868" s="65"/>
      <c r="AY868" s="65"/>
      <c r="AZ868" s="65"/>
      <c r="BA868" s="60"/>
      <c r="BB868" s="65"/>
      <c r="BC868" s="65"/>
      <c r="BD868" s="65"/>
      <c r="BE868" s="60"/>
      <c r="BG868" s="65"/>
      <c r="BH868" s="65"/>
      <c r="BI868" s="65"/>
      <c r="BJ868" s="65"/>
      <c r="BK868" s="65"/>
      <c r="BL868" s="65"/>
      <c r="BM868" s="65"/>
      <c r="BN868" s="65"/>
      <c r="BO868" s="65"/>
      <c r="BP868" s="65"/>
      <c r="BQ868" s="65"/>
      <c r="BR868" s="65"/>
      <c r="BS868" s="65"/>
    </row>
    <row r="869" spans="45:71" x14ac:dyDescent="0.25">
      <c r="AS869" s="53"/>
      <c r="AV869" s="379"/>
      <c r="AW869" s="379"/>
      <c r="AX869" s="65"/>
      <c r="AY869" s="65"/>
      <c r="AZ869" s="65"/>
      <c r="BA869" s="60"/>
      <c r="BB869" s="65"/>
      <c r="BC869" s="65"/>
      <c r="BD869" s="65"/>
      <c r="BE869" s="60"/>
      <c r="BG869" s="65"/>
      <c r="BH869" s="65"/>
      <c r="BI869" s="65"/>
      <c r="BJ869" s="65"/>
      <c r="BK869" s="65"/>
      <c r="BL869" s="65"/>
      <c r="BM869" s="65"/>
      <c r="BN869" s="65"/>
      <c r="BO869" s="65"/>
      <c r="BP869" s="65"/>
      <c r="BQ869" s="65"/>
      <c r="BR869" s="65"/>
      <c r="BS869" s="65"/>
    </row>
    <row r="870" spans="45:71" x14ac:dyDescent="0.25">
      <c r="AS870" s="53"/>
      <c r="AV870" s="379"/>
      <c r="AW870" s="379"/>
      <c r="AX870" s="65"/>
      <c r="AY870" s="65"/>
      <c r="AZ870" s="65"/>
      <c r="BA870" s="60"/>
      <c r="BB870" s="65"/>
      <c r="BC870" s="65"/>
      <c r="BD870" s="65"/>
      <c r="BE870" s="60"/>
      <c r="BG870" s="65"/>
      <c r="BH870" s="65"/>
      <c r="BI870" s="65"/>
      <c r="BJ870" s="65"/>
      <c r="BK870" s="65"/>
      <c r="BL870" s="65"/>
      <c r="BM870" s="65"/>
      <c r="BN870" s="65"/>
      <c r="BO870" s="65"/>
      <c r="BP870" s="65"/>
      <c r="BQ870" s="65"/>
      <c r="BR870" s="65"/>
      <c r="BS870" s="65"/>
    </row>
    <row r="871" spans="45:71" x14ac:dyDescent="0.25">
      <c r="AS871" s="53"/>
      <c r="AV871" s="379"/>
      <c r="AW871" s="379"/>
      <c r="AX871" s="65"/>
      <c r="AY871" s="65"/>
      <c r="AZ871" s="65"/>
      <c r="BA871" s="60"/>
      <c r="BB871" s="65"/>
      <c r="BC871" s="65"/>
      <c r="BD871" s="65"/>
      <c r="BE871" s="60"/>
      <c r="BG871" s="65"/>
      <c r="BH871" s="65"/>
      <c r="BI871" s="65"/>
      <c r="BJ871" s="65"/>
      <c r="BK871" s="65"/>
      <c r="BL871" s="65"/>
      <c r="BM871" s="65"/>
      <c r="BN871" s="65"/>
      <c r="BO871" s="65"/>
      <c r="BP871" s="65"/>
      <c r="BQ871" s="65"/>
      <c r="BR871" s="65"/>
      <c r="BS871" s="65"/>
    </row>
    <row r="872" spans="45:71" x14ac:dyDescent="0.25">
      <c r="AS872" s="53"/>
      <c r="AV872" s="379"/>
      <c r="AW872" s="379"/>
      <c r="AX872" s="65"/>
      <c r="AY872" s="65"/>
      <c r="AZ872" s="65"/>
      <c r="BA872" s="60"/>
      <c r="BB872" s="65"/>
      <c r="BC872" s="65"/>
      <c r="BD872" s="65"/>
      <c r="BE872" s="60"/>
      <c r="BG872" s="65"/>
      <c r="BH872" s="65"/>
      <c r="BI872" s="65"/>
      <c r="BJ872" s="65"/>
      <c r="BK872" s="65"/>
      <c r="BL872" s="65"/>
      <c r="BM872" s="65"/>
      <c r="BN872" s="65"/>
      <c r="BO872" s="65"/>
      <c r="BP872" s="65"/>
      <c r="BQ872" s="65"/>
      <c r="BR872" s="65"/>
      <c r="BS872" s="65"/>
    </row>
    <row r="873" spans="45:71" x14ac:dyDescent="0.25">
      <c r="AS873" s="53"/>
      <c r="AV873" s="379"/>
      <c r="AW873" s="379"/>
      <c r="AX873" s="65"/>
      <c r="AY873" s="65"/>
      <c r="AZ873" s="65"/>
      <c r="BA873" s="60"/>
      <c r="BB873" s="65"/>
      <c r="BC873" s="65"/>
      <c r="BD873" s="65"/>
      <c r="BE873" s="60"/>
      <c r="BG873" s="65"/>
      <c r="BH873" s="65"/>
      <c r="BI873" s="65"/>
      <c r="BJ873" s="65"/>
      <c r="BK873" s="65"/>
      <c r="BL873" s="65"/>
      <c r="BM873" s="65"/>
      <c r="BN873" s="65"/>
      <c r="BO873" s="65"/>
      <c r="BP873" s="65"/>
      <c r="BQ873" s="65"/>
      <c r="BR873" s="65"/>
      <c r="BS873" s="65"/>
    </row>
    <row r="874" spans="45:71" x14ac:dyDescent="0.25">
      <c r="AS874" s="53"/>
      <c r="AV874" s="379"/>
      <c r="AW874" s="379"/>
      <c r="AX874" s="65"/>
      <c r="AY874" s="65"/>
      <c r="AZ874" s="65"/>
      <c r="BA874" s="60"/>
      <c r="BB874" s="65"/>
      <c r="BC874" s="65"/>
      <c r="BD874" s="65"/>
      <c r="BE874" s="60"/>
      <c r="BG874" s="65"/>
      <c r="BH874" s="65"/>
      <c r="BI874" s="65"/>
      <c r="BJ874" s="65"/>
      <c r="BK874" s="65"/>
      <c r="BL874" s="65"/>
      <c r="BM874" s="65"/>
      <c r="BN874" s="65"/>
      <c r="BO874" s="65"/>
      <c r="BP874" s="65"/>
      <c r="BQ874" s="65"/>
      <c r="BR874" s="65"/>
      <c r="BS874" s="65"/>
    </row>
    <row r="875" spans="45:71" x14ac:dyDescent="0.25">
      <c r="AS875" s="53"/>
      <c r="AV875" s="379"/>
      <c r="AW875" s="379"/>
      <c r="AX875" s="65"/>
      <c r="AY875" s="65"/>
      <c r="AZ875" s="65"/>
      <c r="BA875" s="60"/>
      <c r="BB875" s="65"/>
      <c r="BC875" s="65"/>
      <c r="BD875" s="65"/>
      <c r="BE875" s="60"/>
      <c r="BG875" s="65"/>
      <c r="BH875" s="65"/>
      <c r="BI875" s="65"/>
      <c r="BJ875" s="65"/>
      <c r="BK875" s="65"/>
      <c r="BL875" s="65"/>
      <c r="BM875" s="65"/>
      <c r="BN875" s="65"/>
      <c r="BO875" s="65"/>
      <c r="BP875" s="65"/>
      <c r="BQ875" s="65"/>
      <c r="BR875" s="65"/>
      <c r="BS875" s="65"/>
    </row>
    <row r="876" spans="45:71" x14ac:dyDescent="0.25">
      <c r="AS876" s="53"/>
      <c r="AV876" s="379"/>
      <c r="AW876" s="379"/>
      <c r="AX876" s="65"/>
      <c r="AY876" s="65"/>
      <c r="AZ876" s="65"/>
      <c r="BA876" s="60"/>
      <c r="BB876" s="65"/>
      <c r="BC876" s="65"/>
      <c r="BD876" s="65"/>
      <c r="BE876" s="60"/>
      <c r="BG876" s="65"/>
      <c r="BH876" s="65"/>
      <c r="BI876" s="65"/>
      <c r="BJ876" s="65"/>
      <c r="BK876" s="65"/>
      <c r="BL876" s="65"/>
      <c r="BM876" s="65"/>
      <c r="BN876" s="65"/>
      <c r="BO876" s="65"/>
      <c r="BP876" s="65"/>
      <c r="BQ876" s="65"/>
      <c r="BR876" s="65"/>
      <c r="BS876" s="65"/>
    </row>
    <row r="877" spans="45:71" x14ac:dyDescent="0.25">
      <c r="AS877" s="53"/>
      <c r="AV877" s="379"/>
      <c r="AW877" s="379"/>
      <c r="AX877" s="65"/>
      <c r="AY877" s="65"/>
      <c r="AZ877" s="65"/>
      <c r="BA877" s="60"/>
      <c r="BB877" s="65"/>
      <c r="BC877" s="65"/>
      <c r="BD877" s="65"/>
      <c r="BE877" s="60"/>
      <c r="BG877" s="65"/>
      <c r="BH877" s="65"/>
      <c r="BI877" s="65"/>
      <c r="BJ877" s="65"/>
      <c r="BK877" s="65"/>
      <c r="BL877" s="65"/>
      <c r="BM877" s="65"/>
      <c r="BN877" s="65"/>
      <c r="BO877" s="65"/>
      <c r="BP877" s="65"/>
      <c r="BQ877" s="65"/>
      <c r="BR877" s="65"/>
      <c r="BS877" s="65"/>
    </row>
    <row r="878" spans="45:71" x14ac:dyDescent="0.25">
      <c r="AZ878" s="65"/>
      <c r="BB878" s="65"/>
      <c r="BC878" s="65"/>
      <c r="BD878" s="65"/>
      <c r="BG878" s="65"/>
      <c r="BH878" s="65"/>
      <c r="BI878" s="65"/>
      <c r="BJ878" s="65"/>
      <c r="BK878" s="65"/>
      <c r="BL878" s="65"/>
      <c r="BM878" s="65"/>
      <c r="BN878" s="65"/>
      <c r="BO878" s="65"/>
      <c r="BP878" s="65"/>
      <c r="BQ878" s="65"/>
      <c r="BR878" s="65"/>
      <c r="BS878" s="65"/>
    </row>
    <row r="879" spans="45:71" x14ac:dyDescent="0.25">
      <c r="AS879" s="53"/>
      <c r="AT879" s="54"/>
      <c r="AV879" s="379"/>
      <c r="AW879" s="379"/>
      <c r="AX879" s="65"/>
      <c r="AY879" s="65"/>
      <c r="AZ879" s="65"/>
      <c r="BA879" s="60"/>
      <c r="BB879" s="65"/>
      <c r="BC879" s="65"/>
      <c r="BD879" s="65"/>
      <c r="BE879" s="60"/>
    </row>
    <row r="880" spans="45:71" x14ac:dyDescent="0.25">
      <c r="AS880" s="53"/>
      <c r="AV880" s="379"/>
      <c r="AW880" s="379"/>
      <c r="AX880" s="65"/>
      <c r="AY880" s="65"/>
      <c r="AZ880" s="65"/>
      <c r="BA880" s="60"/>
      <c r="BB880" s="65"/>
      <c r="BC880" s="65"/>
      <c r="BD880" s="65"/>
      <c r="BE880" s="60"/>
    </row>
    <row r="881" spans="45:57" x14ac:dyDescent="0.25">
      <c r="AS881" s="53"/>
      <c r="AV881" s="379"/>
      <c r="AW881" s="379"/>
      <c r="AX881" s="65"/>
      <c r="AY881" s="65"/>
      <c r="AZ881" s="65"/>
      <c r="BA881" s="60"/>
      <c r="BB881" s="65"/>
      <c r="BC881" s="65"/>
      <c r="BD881" s="65"/>
      <c r="BE881" s="60"/>
    </row>
    <row r="882" spans="45:57" x14ac:dyDescent="0.25">
      <c r="AS882" s="53"/>
      <c r="AV882" s="379"/>
      <c r="AW882" s="379"/>
      <c r="AX882" s="65"/>
      <c r="AY882" s="65"/>
      <c r="AZ882" s="65"/>
      <c r="BA882" s="60"/>
      <c r="BB882" s="65"/>
      <c r="BC882" s="65"/>
      <c r="BD882" s="65"/>
      <c r="BE882" s="60"/>
    </row>
    <row r="883" spans="45:57" x14ac:dyDescent="0.25">
      <c r="AS883" s="53"/>
      <c r="AV883" s="379"/>
      <c r="AW883" s="379"/>
      <c r="AX883" s="65"/>
      <c r="AY883" s="65"/>
      <c r="AZ883" s="65"/>
      <c r="BA883" s="60"/>
      <c r="BB883" s="65"/>
      <c r="BC883" s="65"/>
      <c r="BD883" s="65"/>
      <c r="BE883" s="60"/>
    </row>
    <row r="884" spans="45:57" x14ac:dyDescent="0.25">
      <c r="AS884" s="53"/>
      <c r="AV884" s="379"/>
      <c r="AW884" s="379"/>
      <c r="AX884" s="65"/>
      <c r="AY884" s="65"/>
      <c r="AZ884" s="65"/>
      <c r="BA884" s="60"/>
      <c r="BB884" s="65"/>
      <c r="BC884" s="65"/>
      <c r="BD884" s="65"/>
      <c r="BE884" s="60"/>
    </row>
    <row r="885" spans="45:57" x14ac:dyDescent="0.25">
      <c r="AS885" s="53"/>
      <c r="AV885" s="379"/>
      <c r="AW885" s="379"/>
      <c r="AX885" s="65"/>
      <c r="AY885" s="65"/>
      <c r="AZ885" s="65"/>
      <c r="BA885" s="60"/>
      <c r="BB885" s="65"/>
      <c r="BC885" s="65"/>
      <c r="BD885" s="65"/>
      <c r="BE885" s="60"/>
    </row>
    <row r="886" spans="45:57" x14ac:dyDescent="0.25">
      <c r="AS886" s="53"/>
      <c r="AV886" s="379"/>
      <c r="AW886" s="379"/>
      <c r="AX886" s="65"/>
      <c r="AY886" s="65"/>
      <c r="AZ886" s="65"/>
      <c r="BA886" s="60"/>
      <c r="BB886" s="65"/>
      <c r="BC886" s="65"/>
      <c r="BD886" s="65"/>
      <c r="BE886" s="60"/>
    </row>
    <row r="887" spans="45:57" x14ac:dyDescent="0.25">
      <c r="AS887" s="53"/>
      <c r="AV887" s="379"/>
      <c r="AW887" s="379"/>
      <c r="AX887" s="65"/>
      <c r="AY887" s="65"/>
      <c r="AZ887" s="65"/>
      <c r="BA887" s="60"/>
      <c r="BB887" s="65"/>
      <c r="BC887" s="65"/>
      <c r="BD887" s="65"/>
      <c r="BE887" s="60"/>
    </row>
    <row r="888" spans="45:57" x14ac:dyDescent="0.25">
      <c r="AS888" s="53"/>
      <c r="AV888" s="379"/>
      <c r="AW888" s="379"/>
      <c r="AX888" s="65"/>
      <c r="AY888" s="65"/>
      <c r="AZ888" s="65"/>
      <c r="BA888" s="60"/>
      <c r="BB888" s="65"/>
      <c r="BC888" s="65"/>
      <c r="BD888" s="65"/>
      <c r="BE888" s="60"/>
    </row>
    <row r="889" spans="45:57" x14ac:dyDescent="0.25">
      <c r="AS889" s="53"/>
      <c r="AV889" s="379"/>
      <c r="AW889" s="379"/>
      <c r="AX889" s="65"/>
      <c r="AY889" s="65"/>
      <c r="AZ889" s="65"/>
      <c r="BA889" s="60"/>
      <c r="BB889" s="65"/>
      <c r="BC889" s="65"/>
      <c r="BD889" s="65"/>
      <c r="BE889" s="60"/>
    </row>
    <row r="890" spans="45:57" x14ac:dyDescent="0.25">
      <c r="AS890" s="53"/>
      <c r="AV890" s="379"/>
      <c r="AW890" s="379"/>
      <c r="AX890" s="65"/>
      <c r="AY890" s="65"/>
      <c r="AZ890" s="65"/>
      <c r="BA890" s="60"/>
      <c r="BB890" s="65"/>
      <c r="BC890" s="65"/>
      <c r="BD890" s="65"/>
      <c r="BE890" s="60"/>
    </row>
    <row r="891" spans="45:57" x14ac:dyDescent="0.25">
      <c r="AS891" s="53"/>
      <c r="AV891" s="379"/>
      <c r="AW891" s="379"/>
      <c r="AX891" s="65"/>
      <c r="AY891" s="65"/>
      <c r="AZ891" s="65"/>
      <c r="BA891" s="60"/>
      <c r="BB891" s="65"/>
      <c r="BC891" s="65"/>
      <c r="BD891" s="65"/>
      <c r="BE891" s="60"/>
    </row>
    <row r="892" spans="45:57" x14ac:dyDescent="0.25">
      <c r="AS892" s="53"/>
      <c r="AV892" s="379"/>
      <c r="AW892" s="379"/>
      <c r="AX892" s="65"/>
      <c r="AY892" s="65"/>
      <c r="AZ892" s="65"/>
      <c r="BA892" s="60"/>
      <c r="BB892" s="65"/>
      <c r="BC892" s="65"/>
      <c r="BD892" s="65"/>
      <c r="BE892" s="60"/>
    </row>
    <row r="893" spans="45:57" x14ac:dyDescent="0.25">
      <c r="AS893" s="53"/>
      <c r="AV893" s="379"/>
      <c r="AW893" s="379"/>
      <c r="AX893" s="65"/>
      <c r="AY893" s="65"/>
      <c r="AZ893" s="65"/>
      <c r="BA893" s="60"/>
      <c r="BB893" s="65"/>
      <c r="BC893" s="65"/>
      <c r="BD893" s="65"/>
      <c r="BE893" s="60"/>
    </row>
    <row r="894" spans="45:57" x14ac:dyDescent="0.25">
      <c r="AS894" s="53"/>
      <c r="AV894" s="379"/>
      <c r="AW894" s="379"/>
      <c r="AX894" s="65"/>
      <c r="AY894" s="65"/>
      <c r="AZ894" s="65"/>
      <c r="BA894" s="60"/>
      <c r="BB894" s="65"/>
      <c r="BC894" s="65"/>
      <c r="BD894" s="65"/>
      <c r="BE894" s="60"/>
    </row>
    <row r="895" spans="45:57" x14ac:dyDescent="0.25">
      <c r="AS895" s="53"/>
      <c r="AV895" s="379"/>
      <c r="AW895" s="379"/>
      <c r="AX895" s="65"/>
      <c r="AY895" s="65"/>
      <c r="AZ895" s="65"/>
      <c r="BA895" s="60"/>
      <c r="BB895" s="65"/>
      <c r="BC895" s="65"/>
      <c r="BD895" s="65"/>
      <c r="BE895" s="60"/>
    </row>
    <row r="896" spans="45:57" x14ac:dyDescent="0.25">
      <c r="AS896" s="53"/>
      <c r="AV896" s="379"/>
      <c r="AW896" s="379"/>
      <c r="AX896" s="65"/>
      <c r="AY896" s="65"/>
      <c r="AZ896" s="65"/>
      <c r="BA896" s="60"/>
      <c r="BB896" s="65"/>
      <c r="BC896" s="65"/>
      <c r="BD896" s="65"/>
      <c r="BE896" s="60"/>
    </row>
    <row r="897" spans="45:57" x14ac:dyDescent="0.25">
      <c r="BB897" s="65"/>
    </row>
    <row r="898" spans="45:57" x14ac:dyDescent="0.25">
      <c r="AU898" s="54"/>
      <c r="BB898" s="65"/>
    </row>
    <row r="899" spans="45:57" x14ac:dyDescent="0.25">
      <c r="AU899" s="54"/>
    </row>
    <row r="900" spans="45:57" x14ac:dyDescent="0.25">
      <c r="AU900" s="54"/>
      <c r="BB900" s="65"/>
    </row>
    <row r="901" spans="45:57" x14ac:dyDescent="0.25">
      <c r="AS901" s="54"/>
      <c r="AZ901" s="65"/>
      <c r="BB901" s="65"/>
    </row>
    <row r="902" spans="45:57" x14ac:dyDescent="0.25">
      <c r="AY902" s="53"/>
      <c r="AZ902" s="65"/>
      <c r="BB902" s="65"/>
    </row>
    <row r="903" spans="45:57" x14ac:dyDescent="0.25">
      <c r="AY903" s="65"/>
      <c r="AZ903" s="65"/>
      <c r="BB903" s="65"/>
    </row>
    <row r="904" spans="45:57" x14ac:dyDescent="0.25">
      <c r="AY904" s="54"/>
      <c r="AZ904" s="65"/>
      <c r="BB904" s="65"/>
    </row>
    <row r="905" spans="45:57" x14ac:dyDescent="0.25">
      <c r="AY905" s="54"/>
      <c r="AZ905" s="65"/>
      <c r="BB905" s="65"/>
    </row>
    <row r="906" spans="45:57" x14ac:dyDescent="0.25">
      <c r="AS906" s="53"/>
      <c r="AZ906" s="65"/>
      <c r="BB906" s="65"/>
      <c r="BD906" s="54"/>
    </row>
    <row r="907" spans="45:57" x14ac:dyDescent="0.25">
      <c r="AS907" s="53"/>
      <c r="AZ907" s="65"/>
      <c r="BB907" s="65"/>
      <c r="BD907" s="54"/>
    </row>
    <row r="908" spans="45:57" x14ac:dyDescent="0.25">
      <c r="AS908" s="54"/>
      <c r="AZ908" s="65"/>
      <c r="BB908" s="65"/>
      <c r="BD908" s="54"/>
    </row>
    <row r="909" spans="45:57" x14ac:dyDescent="0.25">
      <c r="AZ909" s="65"/>
      <c r="BB909" s="65"/>
      <c r="BD909" s="53"/>
    </row>
    <row r="910" spans="45:57" x14ac:dyDescent="0.25">
      <c r="AS910" s="55"/>
      <c r="AT910" s="55"/>
      <c r="AU910" s="55"/>
      <c r="AV910" s="55"/>
      <c r="AW910" s="55"/>
      <c r="AX910" s="55"/>
      <c r="AY910" s="55"/>
      <c r="AZ910" s="66"/>
      <c r="BA910" s="55"/>
      <c r="BB910" s="66"/>
      <c r="BC910" s="55"/>
      <c r="BD910" s="55"/>
      <c r="BE910" s="55"/>
    </row>
    <row r="911" spans="45:57" x14ac:dyDescent="0.25">
      <c r="AX911" s="54"/>
      <c r="AZ911" s="65"/>
      <c r="BB911" s="65"/>
    </row>
    <row r="912" spans="45:57" x14ac:dyDescent="0.25">
      <c r="AX912" s="55"/>
      <c r="AY912" s="55"/>
      <c r="AZ912" s="66"/>
      <c r="BA912" s="55"/>
      <c r="BB912" s="65"/>
      <c r="BC912" s="56"/>
      <c r="BD912" s="56"/>
    </row>
    <row r="913" spans="45:57" x14ac:dyDescent="0.25">
      <c r="AV913" s="56"/>
      <c r="AW913" s="56"/>
      <c r="AZ913" s="67"/>
      <c r="BA913" s="56"/>
      <c r="BB913" s="65"/>
      <c r="BC913" s="56"/>
      <c r="BD913" s="56"/>
      <c r="BE913" s="56"/>
    </row>
    <row r="914" spans="45:57" x14ac:dyDescent="0.25">
      <c r="AV914" s="56"/>
      <c r="AW914" s="56"/>
      <c r="AX914" s="56"/>
      <c r="AY914" s="56"/>
      <c r="AZ914" s="67"/>
      <c r="BA914" s="56"/>
      <c r="BB914" s="67"/>
      <c r="BC914" s="56"/>
      <c r="BD914" s="56"/>
      <c r="BE914" s="56"/>
    </row>
    <row r="915" spans="45:57" x14ac:dyDescent="0.25">
      <c r="AS915" s="56"/>
      <c r="AU915" s="54"/>
      <c r="AV915" s="56"/>
      <c r="AW915" s="56"/>
      <c r="AX915" s="56"/>
      <c r="AY915" s="56"/>
      <c r="AZ915" s="67"/>
      <c r="BA915" s="56"/>
      <c r="BB915" s="67"/>
      <c r="BC915" s="56"/>
      <c r="BD915" s="56"/>
      <c r="BE915" s="56"/>
    </row>
    <row r="916" spans="45:57" x14ac:dyDescent="0.25">
      <c r="AS916" s="56"/>
      <c r="AU916" s="54"/>
      <c r="AV916" s="56"/>
      <c r="AW916" s="56"/>
      <c r="AX916" s="56"/>
      <c r="AY916" s="56"/>
      <c r="AZ916" s="67"/>
      <c r="BA916" s="56"/>
      <c r="BB916" s="67"/>
      <c r="BC916" s="56"/>
      <c r="BD916" s="56"/>
      <c r="BE916" s="56"/>
    </row>
    <row r="917" spans="45:57" x14ac:dyDescent="0.25">
      <c r="AS917" s="55"/>
      <c r="AT917" s="55"/>
      <c r="AU917" s="55"/>
      <c r="AV917" s="55"/>
      <c r="AW917" s="55"/>
      <c r="AX917" s="55"/>
      <c r="AY917" s="55"/>
      <c r="AZ917" s="66"/>
      <c r="BA917" s="55"/>
      <c r="BB917" s="66"/>
      <c r="BC917" s="55"/>
      <c r="BD917" s="55"/>
      <c r="BE917" s="55"/>
    </row>
    <row r="918" spans="45:57" x14ac:dyDescent="0.25">
      <c r="AV918" s="56"/>
      <c r="AW918" s="56"/>
      <c r="AX918" s="56"/>
      <c r="AY918" s="56"/>
      <c r="AZ918" s="67"/>
      <c r="BA918" s="56"/>
      <c r="BB918" s="67"/>
      <c r="BC918" s="56"/>
      <c r="BD918" s="56"/>
      <c r="BE918" s="56"/>
    </row>
    <row r="919" spans="45:57" x14ac:dyDescent="0.25">
      <c r="AS919" s="53"/>
      <c r="AT919" s="54"/>
      <c r="AV919" s="379"/>
      <c r="AW919" s="379"/>
      <c r="AX919" s="65"/>
      <c r="AY919" s="65"/>
      <c r="AZ919" s="65"/>
      <c r="BA919" s="60"/>
      <c r="BB919" s="65"/>
      <c r="BC919" s="65"/>
      <c r="BD919" s="65"/>
      <c r="BE919" s="60"/>
    </row>
    <row r="920" spans="45:57" x14ac:dyDescent="0.25">
      <c r="AS920" s="53"/>
      <c r="AV920" s="379"/>
      <c r="AW920" s="379"/>
      <c r="AX920" s="65"/>
      <c r="AY920" s="65"/>
      <c r="AZ920" s="65"/>
      <c r="BA920" s="60"/>
      <c r="BB920" s="65"/>
      <c r="BC920" s="65"/>
      <c r="BD920" s="65"/>
      <c r="BE920" s="60"/>
    </row>
    <row r="921" spans="45:57" x14ac:dyDescent="0.25">
      <c r="AS921" s="53"/>
      <c r="AV921" s="379"/>
      <c r="AW921" s="379"/>
      <c r="AX921" s="65"/>
      <c r="AY921" s="65"/>
      <c r="AZ921" s="65"/>
      <c r="BA921" s="60"/>
      <c r="BB921" s="65"/>
      <c r="BC921" s="65"/>
      <c r="BD921" s="65"/>
      <c r="BE921" s="60"/>
    </row>
    <row r="922" spans="45:57" x14ac:dyDescent="0.25">
      <c r="AS922" s="53"/>
      <c r="AV922" s="379"/>
      <c r="AW922" s="379"/>
      <c r="AX922" s="65"/>
      <c r="AY922" s="65"/>
      <c r="AZ922" s="65"/>
      <c r="BA922" s="60"/>
      <c r="BB922" s="65"/>
      <c r="BC922" s="65"/>
      <c r="BD922" s="65"/>
      <c r="BE922" s="60"/>
    </row>
    <row r="923" spans="45:57" x14ac:dyDescent="0.25">
      <c r="AS923" s="53"/>
      <c r="AV923" s="379"/>
      <c r="AW923" s="379"/>
      <c r="AX923" s="65"/>
      <c r="AY923" s="65"/>
      <c r="AZ923" s="65"/>
      <c r="BA923" s="60"/>
      <c r="BB923" s="65"/>
      <c r="BC923" s="65"/>
      <c r="BD923" s="65"/>
      <c r="BE923" s="60"/>
    </row>
    <row r="924" spans="45:57" x14ac:dyDescent="0.25">
      <c r="AS924" s="53"/>
      <c r="AV924" s="379"/>
      <c r="AW924" s="379"/>
      <c r="AX924" s="65"/>
      <c r="AY924" s="65"/>
      <c r="AZ924" s="65"/>
      <c r="BA924" s="60"/>
      <c r="BB924" s="65"/>
      <c r="BC924" s="65"/>
      <c r="BD924" s="65"/>
      <c r="BE924" s="60"/>
    </row>
    <row r="925" spans="45:57" x14ac:dyDescent="0.25">
      <c r="AS925" s="53"/>
      <c r="AV925" s="379"/>
      <c r="AW925" s="379"/>
      <c r="AX925" s="65"/>
      <c r="AY925" s="65"/>
      <c r="AZ925" s="65"/>
      <c r="BA925" s="60"/>
      <c r="BB925" s="65"/>
      <c r="BC925" s="65"/>
      <c r="BD925" s="65"/>
      <c r="BE925" s="60"/>
    </row>
    <row r="926" spans="45:57" x14ac:dyDescent="0.25">
      <c r="AS926" s="53"/>
      <c r="AV926" s="379"/>
      <c r="AW926" s="379"/>
      <c r="AX926" s="65"/>
      <c r="AY926" s="65"/>
      <c r="AZ926" s="65"/>
      <c r="BA926" s="60"/>
      <c r="BB926" s="65"/>
      <c r="BC926" s="65"/>
      <c r="BD926" s="65"/>
      <c r="BE926" s="60"/>
    </row>
    <row r="927" spans="45:57" x14ac:dyDescent="0.25">
      <c r="AS927" s="53"/>
      <c r="AV927" s="379"/>
      <c r="AW927" s="379"/>
      <c r="AX927" s="65"/>
      <c r="AY927" s="65"/>
      <c r="AZ927" s="65"/>
      <c r="BA927" s="60"/>
      <c r="BB927" s="65"/>
      <c r="BC927" s="65"/>
      <c r="BD927" s="65"/>
      <c r="BE927" s="60"/>
    </row>
    <row r="928" spans="45:57" x14ac:dyDescent="0.25">
      <c r="AS928" s="53"/>
      <c r="AV928" s="379"/>
      <c r="AW928" s="379"/>
      <c r="AX928" s="65"/>
      <c r="AY928" s="65"/>
      <c r="AZ928" s="65"/>
      <c r="BA928" s="60"/>
      <c r="BB928" s="65"/>
      <c r="BC928" s="65"/>
      <c r="BD928" s="65"/>
      <c r="BE928" s="60"/>
    </row>
    <row r="929" spans="45:57" x14ac:dyDescent="0.25">
      <c r="AV929" s="379"/>
      <c r="AW929" s="379"/>
      <c r="BB929" s="65"/>
    </row>
    <row r="930" spans="45:57" x14ac:dyDescent="0.25">
      <c r="AS930" s="53"/>
      <c r="AT930" s="54"/>
      <c r="AV930" s="379"/>
      <c r="AW930" s="379"/>
      <c r="AX930" s="65"/>
      <c r="AY930" s="65"/>
      <c r="AZ930" s="65"/>
      <c r="BA930" s="60"/>
      <c r="BB930" s="65"/>
      <c r="BC930" s="65"/>
      <c r="BD930" s="65"/>
      <c r="BE930" s="60"/>
    </row>
    <row r="931" spans="45:57" x14ac:dyDescent="0.25">
      <c r="AS931" s="53"/>
      <c r="AV931" s="379"/>
      <c r="AW931" s="379"/>
      <c r="AX931" s="65"/>
      <c r="AY931" s="65"/>
      <c r="AZ931" s="65"/>
      <c r="BA931" s="60"/>
      <c r="BB931" s="65"/>
      <c r="BC931" s="65"/>
      <c r="BD931" s="65"/>
      <c r="BE931" s="60"/>
    </row>
    <row r="932" spans="45:57" x14ac:dyDescent="0.25">
      <c r="AS932" s="53"/>
      <c r="AV932" s="379"/>
      <c r="AW932" s="379"/>
      <c r="AX932" s="65"/>
      <c r="AY932" s="65"/>
      <c r="AZ932" s="65"/>
      <c r="BA932" s="60"/>
      <c r="BB932" s="65"/>
      <c r="BC932" s="65"/>
      <c r="BD932" s="65"/>
      <c r="BE932" s="60"/>
    </row>
    <row r="933" spans="45:57" x14ac:dyDescent="0.25">
      <c r="AS933" s="53"/>
      <c r="AV933" s="379"/>
      <c r="AW933" s="379"/>
      <c r="AX933" s="65"/>
      <c r="AY933" s="65"/>
      <c r="AZ933" s="65"/>
      <c r="BA933" s="60"/>
      <c r="BB933" s="65"/>
      <c r="BC933" s="65"/>
      <c r="BD933" s="65"/>
      <c r="BE933" s="60"/>
    </row>
    <row r="934" spans="45:57" x14ac:dyDescent="0.25">
      <c r="AS934" s="53"/>
      <c r="AV934" s="379"/>
      <c r="AW934" s="379"/>
      <c r="AX934" s="65"/>
      <c r="AY934" s="65"/>
      <c r="AZ934" s="65"/>
      <c r="BA934" s="60"/>
      <c r="BB934" s="65"/>
      <c r="BC934" s="65"/>
      <c r="BD934" s="65"/>
      <c r="BE934" s="60"/>
    </row>
    <row r="935" spans="45:57" x14ac:dyDescent="0.25">
      <c r="AS935" s="53"/>
      <c r="AV935" s="379"/>
      <c r="AW935" s="379"/>
      <c r="AX935" s="65"/>
      <c r="AY935" s="65"/>
      <c r="AZ935" s="65"/>
      <c r="BA935" s="60"/>
      <c r="BB935" s="65"/>
      <c r="BC935" s="65"/>
      <c r="BD935" s="65"/>
      <c r="BE935" s="60"/>
    </row>
    <row r="936" spans="45:57" x14ac:dyDescent="0.25">
      <c r="AS936" s="53"/>
      <c r="AV936" s="379"/>
      <c r="AW936" s="379"/>
      <c r="AX936" s="65"/>
      <c r="AY936" s="65"/>
      <c r="AZ936" s="65"/>
      <c r="BA936" s="60"/>
      <c r="BB936" s="65"/>
      <c r="BC936" s="65"/>
      <c r="BD936" s="65"/>
      <c r="BE936" s="60"/>
    </row>
    <row r="937" spans="45:57" x14ac:dyDescent="0.25">
      <c r="AS937" s="53"/>
      <c r="AV937" s="379"/>
      <c r="AW937" s="379"/>
      <c r="AX937" s="65"/>
      <c r="AY937" s="65"/>
      <c r="AZ937" s="65"/>
      <c r="BA937" s="60"/>
      <c r="BB937" s="65"/>
      <c r="BC937" s="65"/>
      <c r="BD937" s="65"/>
      <c r="BE937" s="60"/>
    </row>
    <row r="938" spans="45:57" x14ac:dyDescent="0.25">
      <c r="AS938" s="53"/>
      <c r="AV938" s="379"/>
      <c r="AW938" s="379"/>
      <c r="AX938" s="65"/>
      <c r="AY938" s="65"/>
      <c r="AZ938" s="65"/>
      <c r="BA938" s="60"/>
      <c r="BB938" s="65"/>
      <c r="BC938" s="65"/>
      <c r="BD938" s="65"/>
      <c r="BE938" s="60"/>
    </row>
    <row r="939" spans="45:57" x14ac:dyDescent="0.25">
      <c r="AS939" s="53"/>
      <c r="AV939" s="379"/>
      <c r="AW939" s="379"/>
      <c r="AX939" s="65"/>
      <c r="AY939" s="65"/>
      <c r="AZ939" s="65"/>
      <c r="BA939" s="60"/>
      <c r="BB939" s="65"/>
      <c r="BC939" s="65"/>
      <c r="BD939" s="65"/>
      <c r="BE939" s="60"/>
    </row>
    <row r="941" spans="45:57" x14ac:dyDescent="0.25">
      <c r="AU941" s="54"/>
    </row>
    <row r="942" spans="45:57" x14ac:dyDescent="0.25">
      <c r="AU942" s="54"/>
    </row>
    <row r="943" spans="45:57" x14ac:dyDescent="0.25">
      <c r="AU943" s="54"/>
    </row>
    <row r="944" spans="45:57" x14ac:dyDescent="0.25">
      <c r="AS944" s="54"/>
    </row>
    <row r="965" spans="52:71" x14ac:dyDescent="0.25">
      <c r="AZ965" s="65"/>
      <c r="BB965" s="65"/>
      <c r="BC965" s="65"/>
      <c r="BD965" s="65"/>
      <c r="BG965" s="65"/>
      <c r="BH965" s="65"/>
      <c r="BI965" s="65"/>
      <c r="BJ965" s="65"/>
      <c r="BK965" s="65"/>
      <c r="BL965" s="65"/>
      <c r="BM965" s="65"/>
      <c r="BN965" s="65"/>
      <c r="BO965" s="65"/>
      <c r="BP965" s="65"/>
      <c r="BQ965" s="65"/>
      <c r="BR965" s="65"/>
      <c r="BS965" s="65"/>
    </row>
    <row r="966" spans="52:71" x14ac:dyDescent="0.25">
      <c r="AZ966" s="65"/>
      <c r="BB966" s="65"/>
      <c r="BC966" s="65"/>
      <c r="BD966" s="65"/>
      <c r="BG966" s="65"/>
      <c r="BH966" s="65"/>
      <c r="BI966" s="65"/>
      <c r="BJ966" s="65"/>
      <c r="BK966" s="65"/>
      <c r="BL966" s="65"/>
      <c r="BM966" s="65"/>
      <c r="BN966" s="65"/>
      <c r="BO966" s="65"/>
      <c r="BP966" s="65"/>
      <c r="BQ966" s="65"/>
      <c r="BR966" s="65"/>
      <c r="BS966" s="65"/>
    </row>
    <row r="967" spans="52:71" x14ac:dyDescent="0.25">
      <c r="AZ967" s="65"/>
      <c r="BB967" s="65"/>
      <c r="BC967" s="65"/>
      <c r="BD967" s="65"/>
      <c r="BG967" s="65"/>
      <c r="BH967" s="65"/>
      <c r="BI967" s="65"/>
      <c r="BJ967" s="65"/>
      <c r="BK967" s="65"/>
      <c r="BL967" s="65"/>
      <c r="BM967" s="65"/>
      <c r="BN967" s="65"/>
      <c r="BO967" s="65"/>
      <c r="BP967" s="65"/>
      <c r="BQ967" s="65"/>
      <c r="BR967" s="65"/>
      <c r="BS967" s="65"/>
    </row>
    <row r="968" spans="52:71" x14ac:dyDescent="0.25">
      <c r="AZ968" s="65"/>
      <c r="BB968" s="65"/>
      <c r="BC968" s="65"/>
      <c r="BD968" s="65"/>
      <c r="BG968" s="65"/>
      <c r="BH968" s="65"/>
      <c r="BI968" s="65"/>
      <c r="BJ968" s="65"/>
      <c r="BK968" s="65"/>
      <c r="BL968" s="65"/>
      <c r="BM968" s="65"/>
      <c r="BN968" s="65"/>
      <c r="BO968" s="65"/>
      <c r="BP968" s="65"/>
      <c r="BQ968" s="65"/>
      <c r="BR968" s="65"/>
      <c r="BS968" s="65"/>
    </row>
    <row r="969" spans="52:71" x14ac:dyDescent="0.25">
      <c r="AZ969" s="65"/>
      <c r="BB969" s="65"/>
      <c r="BC969" s="65"/>
      <c r="BD969" s="65"/>
      <c r="BG969" s="65"/>
      <c r="BH969" s="65"/>
      <c r="BI969" s="65"/>
      <c r="BJ969" s="65"/>
      <c r="BK969" s="65"/>
      <c r="BL969" s="65"/>
      <c r="BM969" s="65"/>
      <c r="BN969" s="65"/>
      <c r="BO969" s="65"/>
      <c r="BP969" s="65"/>
      <c r="BQ969" s="65"/>
      <c r="BR969" s="65"/>
      <c r="BS969" s="65"/>
    </row>
    <row r="970" spans="52:71" x14ac:dyDescent="0.25">
      <c r="AZ970" s="65"/>
      <c r="BB970" s="65"/>
      <c r="BC970" s="65"/>
      <c r="BD970" s="65"/>
      <c r="BG970" s="65"/>
      <c r="BH970" s="65"/>
      <c r="BI970" s="65"/>
      <c r="BJ970" s="65"/>
      <c r="BK970" s="65"/>
      <c r="BL970" s="65"/>
      <c r="BM970" s="65"/>
      <c r="BN970" s="65"/>
      <c r="BO970" s="65"/>
      <c r="BP970" s="65"/>
      <c r="BQ970" s="65"/>
      <c r="BR970" s="65"/>
      <c r="BS970" s="65"/>
    </row>
    <row r="971" spans="52:71" x14ac:dyDescent="0.25">
      <c r="AZ971" s="65"/>
      <c r="BB971" s="65"/>
      <c r="BC971" s="65"/>
      <c r="BD971" s="65"/>
      <c r="BG971" s="65"/>
      <c r="BH971" s="65"/>
      <c r="BI971" s="65"/>
      <c r="BJ971" s="65"/>
      <c r="BK971" s="65"/>
      <c r="BL971" s="65"/>
      <c r="BM971" s="65"/>
      <c r="BN971" s="65"/>
      <c r="BO971" s="65"/>
      <c r="BP971" s="65"/>
      <c r="BQ971" s="65"/>
      <c r="BR971" s="65"/>
      <c r="BS971" s="65"/>
    </row>
    <row r="972" spans="52:71" x14ac:dyDescent="0.25">
      <c r="AZ972" s="65"/>
      <c r="BB972" s="65"/>
      <c r="BC972" s="65"/>
      <c r="BD972" s="65"/>
      <c r="BG972" s="65"/>
      <c r="BH972" s="65"/>
      <c r="BI972" s="65"/>
      <c r="BJ972" s="65"/>
      <c r="BK972" s="65"/>
      <c r="BL972" s="65"/>
      <c r="BM972" s="65"/>
      <c r="BN972" s="65"/>
      <c r="BO972" s="65"/>
      <c r="BP972" s="65"/>
      <c r="BQ972" s="65"/>
      <c r="BR972" s="65"/>
      <c r="BS972" s="65"/>
    </row>
    <row r="973" spans="52:71" x14ac:dyDescent="0.25">
      <c r="AZ973" s="65"/>
      <c r="BB973" s="65"/>
      <c r="BC973" s="65"/>
      <c r="BD973" s="65"/>
      <c r="BG973" s="65"/>
      <c r="BH973" s="65"/>
      <c r="BI973" s="65"/>
      <c r="BJ973" s="65"/>
      <c r="BK973" s="65"/>
      <c r="BL973" s="65"/>
      <c r="BM973" s="65"/>
      <c r="BN973" s="65"/>
      <c r="BO973" s="65"/>
      <c r="BP973" s="65"/>
      <c r="BQ973" s="65"/>
      <c r="BR973" s="65"/>
      <c r="BS973" s="65"/>
    </row>
    <row r="974" spans="52:71" x14ac:dyDescent="0.25">
      <c r="AZ974" s="65"/>
      <c r="BB974" s="65"/>
      <c r="BC974" s="65"/>
      <c r="BD974" s="65"/>
      <c r="BG974" s="65"/>
      <c r="BH974" s="65"/>
      <c r="BI974" s="65"/>
      <c r="BJ974" s="65"/>
      <c r="BK974" s="65"/>
      <c r="BL974" s="65"/>
      <c r="BM974" s="65"/>
      <c r="BN974" s="65"/>
      <c r="BO974" s="65"/>
      <c r="BP974" s="65"/>
      <c r="BQ974" s="65"/>
      <c r="BR974" s="65"/>
      <c r="BS974" s="65"/>
    </row>
    <row r="975" spans="52:71" x14ac:dyDescent="0.25">
      <c r="AZ975" s="65"/>
      <c r="BB975" s="65"/>
      <c r="BC975" s="65"/>
      <c r="BD975" s="65"/>
      <c r="BG975" s="65"/>
      <c r="BH975" s="65"/>
      <c r="BI975" s="65"/>
      <c r="BJ975" s="65"/>
      <c r="BK975" s="65"/>
      <c r="BL975" s="65"/>
      <c r="BM975" s="65"/>
      <c r="BN975" s="65"/>
      <c r="BO975" s="65"/>
      <c r="BP975" s="65"/>
      <c r="BQ975" s="65"/>
      <c r="BR975" s="65"/>
      <c r="BS975" s="65"/>
    </row>
    <row r="976" spans="52:71" x14ac:dyDescent="0.25">
      <c r="AZ976" s="65"/>
      <c r="BB976" s="65"/>
      <c r="BC976" s="65"/>
      <c r="BD976" s="65"/>
      <c r="BG976" s="65"/>
      <c r="BH976" s="65"/>
      <c r="BI976" s="65"/>
      <c r="BJ976" s="65"/>
      <c r="BK976" s="65"/>
      <c r="BL976" s="65"/>
      <c r="BM976" s="65"/>
      <c r="BN976" s="65"/>
      <c r="BO976" s="65"/>
      <c r="BP976" s="65"/>
      <c r="BQ976" s="65"/>
      <c r="BR976" s="65"/>
      <c r="BS976" s="65"/>
    </row>
    <row r="977" spans="52:71" x14ac:dyDescent="0.25">
      <c r="AZ977" s="65"/>
      <c r="BG977" s="65"/>
      <c r="BH977" s="65"/>
      <c r="BI977" s="65"/>
      <c r="BJ977" s="65"/>
      <c r="BK977" s="65"/>
      <c r="BL977" s="65"/>
      <c r="BM977" s="65"/>
      <c r="BN977" s="65"/>
      <c r="BO977" s="65"/>
      <c r="BP977" s="65"/>
      <c r="BQ977" s="65"/>
      <c r="BR977" s="65"/>
      <c r="BS977" s="65"/>
    </row>
    <row r="978" spans="52:71" x14ac:dyDescent="0.25">
      <c r="AZ978" s="65"/>
      <c r="BG978" s="65"/>
      <c r="BH978" s="65"/>
      <c r="BI978" s="65"/>
      <c r="BJ978" s="65"/>
      <c r="BK978" s="65"/>
      <c r="BL978" s="65"/>
      <c r="BM978" s="65"/>
      <c r="BN978" s="65"/>
      <c r="BO978" s="65"/>
      <c r="BP978" s="65"/>
      <c r="BQ978" s="65"/>
      <c r="BR978" s="65"/>
      <c r="BS978" s="65"/>
    </row>
    <row r="979" spans="52:71" x14ac:dyDescent="0.25">
      <c r="AZ979" s="65"/>
      <c r="BG979" s="65"/>
      <c r="BH979" s="65"/>
      <c r="BI979" s="65"/>
      <c r="BJ979" s="65"/>
      <c r="BK979" s="65"/>
      <c r="BL979" s="65"/>
      <c r="BM979" s="65"/>
      <c r="BN979" s="65"/>
      <c r="BO979" s="65"/>
      <c r="BP979" s="65"/>
      <c r="BQ979" s="65"/>
      <c r="BR979" s="65"/>
      <c r="BS979" s="65"/>
    </row>
    <row r="980" spans="52:71" x14ac:dyDescent="0.25">
      <c r="AZ980" s="65"/>
      <c r="BG980" s="65"/>
      <c r="BH980" s="65"/>
      <c r="BI980" s="65"/>
      <c r="BJ980" s="65"/>
      <c r="BK980" s="65"/>
      <c r="BL980" s="65"/>
      <c r="BM980" s="65"/>
      <c r="BN980" s="65"/>
      <c r="BO980" s="65"/>
      <c r="BP980" s="65"/>
      <c r="BQ980" s="65"/>
      <c r="BR980" s="65"/>
      <c r="BS980" s="65"/>
    </row>
    <row r="981" spans="52:71" x14ac:dyDescent="0.25">
      <c r="AZ981" s="65"/>
      <c r="BG981" s="65"/>
      <c r="BH981" s="65"/>
      <c r="BI981" s="65"/>
      <c r="BJ981" s="65"/>
      <c r="BK981" s="65"/>
      <c r="BL981" s="65"/>
      <c r="BM981" s="65"/>
      <c r="BN981" s="65"/>
      <c r="BO981" s="65"/>
      <c r="BP981" s="65"/>
      <c r="BQ981" s="65"/>
      <c r="BR981" s="65"/>
      <c r="BS981" s="65"/>
    </row>
    <row r="982" spans="52:71" x14ac:dyDescent="0.25">
      <c r="AZ982" s="65"/>
      <c r="BG982" s="65"/>
      <c r="BH982" s="65"/>
      <c r="BI982" s="65"/>
      <c r="BJ982" s="65"/>
      <c r="BK982" s="65"/>
      <c r="BL982" s="65"/>
      <c r="BM982" s="65"/>
      <c r="BN982" s="65"/>
      <c r="BO982" s="65"/>
      <c r="BP982" s="65"/>
      <c r="BQ982" s="65"/>
      <c r="BR982" s="65"/>
      <c r="BS982" s="65"/>
    </row>
    <row r="983" spans="52:71" x14ac:dyDescent="0.25">
      <c r="AZ983" s="65"/>
      <c r="BG983" s="65"/>
      <c r="BH983" s="65"/>
      <c r="BI983" s="65"/>
      <c r="BJ983" s="65"/>
      <c r="BK983" s="65"/>
      <c r="BL983" s="65"/>
      <c r="BM983" s="65"/>
      <c r="BN983" s="65"/>
      <c r="BO983" s="65"/>
      <c r="BP983" s="65"/>
      <c r="BQ983" s="65"/>
      <c r="BR983" s="65"/>
      <c r="BS983" s="65"/>
    </row>
    <row r="984" spans="52:71" x14ac:dyDescent="0.25">
      <c r="AZ984" s="65"/>
    </row>
    <row r="985" spans="52:71" x14ac:dyDescent="0.25">
      <c r="AZ985" s="65"/>
    </row>
    <row r="999" spans="1:28" x14ac:dyDescent="0.25">
      <c r="A999" s="54"/>
    </row>
    <row r="1002" spans="1:28" x14ac:dyDescent="0.25">
      <c r="Y1002" s="54"/>
    </row>
    <row r="1003" spans="1:28" x14ac:dyDescent="0.25">
      <c r="A1003" s="54"/>
      <c r="H1003" s="54"/>
      <c r="I1003" s="54"/>
    </row>
    <row r="1004" spans="1:28" x14ac:dyDescent="0.25">
      <c r="A1004" s="54"/>
      <c r="V1004" s="56"/>
      <c r="AA1004" s="56"/>
      <c r="AB1004" s="56"/>
    </row>
    <row r="1005" spans="1:28" x14ac:dyDescent="0.25">
      <c r="A1005" s="54"/>
      <c r="V1005" s="55"/>
      <c r="AA1005" s="55"/>
      <c r="AB1005" s="55"/>
    </row>
    <row r="1006" spans="1:28" x14ac:dyDescent="0.25">
      <c r="A1006" s="54"/>
      <c r="U1006" s="54"/>
      <c r="AA1006" s="56"/>
      <c r="AB1006" s="56"/>
    </row>
    <row r="1007" spans="1:28" x14ac:dyDescent="0.25">
      <c r="A1007" s="54"/>
    </row>
    <row r="1008" spans="1:28" x14ac:dyDescent="0.25">
      <c r="A1008" s="54"/>
      <c r="U1008" s="54"/>
      <c r="AA1008" s="56"/>
      <c r="AB1008" s="56"/>
    </row>
    <row r="1009" spans="1:28" x14ac:dyDescent="0.25">
      <c r="A1009" s="54"/>
    </row>
    <row r="1010" spans="1:28" x14ac:dyDescent="0.25">
      <c r="A1010" s="54"/>
      <c r="U1010" s="54"/>
      <c r="V1010" s="480"/>
      <c r="AA1010" s="56"/>
      <c r="AB1010" s="56"/>
    </row>
    <row r="1011" spans="1:28" x14ac:dyDescent="0.25">
      <c r="A1011" s="54"/>
    </row>
    <row r="1012" spans="1:28" x14ac:dyDescent="0.25">
      <c r="A1012" s="54"/>
      <c r="U1012" s="54"/>
      <c r="AA1012" s="56"/>
      <c r="AB1012" s="56"/>
    </row>
    <row r="1013" spans="1:28" x14ac:dyDescent="0.25">
      <c r="A1013" s="54"/>
    </row>
    <row r="1014" spans="1:28" x14ac:dyDescent="0.25">
      <c r="A1014" s="54"/>
      <c r="U1014" s="54"/>
      <c r="AA1014" s="56"/>
      <c r="AB1014" s="56"/>
    </row>
    <row r="1015" spans="1:28" x14ac:dyDescent="0.25">
      <c r="A1015" s="54"/>
    </row>
    <row r="1016" spans="1:28" x14ac:dyDescent="0.25">
      <c r="A1016" s="54"/>
    </row>
    <row r="1017" spans="1:28" x14ac:dyDescent="0.25">
      <c r="A1017" s="54"/>
    </row>
    <row r="1018" spans="1:28" x14ac:dyDescent="0.25">
      <c r="A1018" s="54"/>
    </row>
    <row r="1019" spans="1:28" x14ac:dyDescent="0.25">
      <c r="A1019" s="54"/>
    </row>
    <row r="1020" spans="1:28" x14ac:dyDescent="0.25">
      <c r="A1020" s="54"/>
    </row>
    <row r="1021" spans="1:28" x14ac:dyDescent="0.25">
      <c r="A1021" s="54"/>
    </row>
    <row r="1022" spans="1:28" x14ac:dyDescent="0.25">
      <c r="A1022" s="54"/>
    </row>
    <row r="1023" spans="1:28" x14ac:dyDescent="0.25">
      <c r="A1023" s="54"/>
    </row>
    <row r="1024" spans="1:28" x14ac:dyDescent="0.25">
      <c r="A1024" s="54"/>
    </row>
    <row r="1025" spans="1:9" x14ac:dyDescent="0.25">
      <c r="A1025" s="54"/>
      <c r="H1025" s="54"/>
      <c r="I1025" s="54"/>
    </row>
    <row r="1028" spans="1:9" x14ac:dyDescent="0.25">
      <c r="A1028" s="54"/>
    </row>
    <row r="1031" spans="1:9" x14ac:dyDescent="0.25">
      <c r="A1031" s="54"/>
    </row>
    <row r="1034" spans="1:9" x14ac:dyDescent="0.25">
      <c r="A1034" s="54"/>
    </row>
    <row r="1035" spans="1:9" x14ac:dyDescent="0.25">
      <c r="A1035" s="54"/>
    </row>
    <row r="1036" spans="1:9" x14ac:dyDescent="0.25">
      <c r="A1036" s="54"/>
    </row>
    <row r="1037" spans="1:9" x14ac:dyDescent="0.25">
      <c r="A1037" s="54"/>
    </row>
    <row r="1038" spans="1:9" x14ac:dyDescent="0.25">
      <c r="A1038" s="54"/>
    </row>
    <row r="1039" spans="1:9" x14ac:dyDescent="0.25">
      <c r="A1039" s="54"/>
    </row>
    <row r="1040" spans="1:9" x14ac:dyDescent="0.25">
      <c r="A1040" s="54"/>
    </row>
    <row r="1041" spans="1:1" x14ac:dyDescent="0.25">
      <c r="A1041" s="54"/>
    </row>
    <row r="1042" spans="1:1" x14ac:dyDescent="0.25">
      <c r="A1042" s="54"/>
    </row>
    <row r="1043" spans="1:1" x14ac:dyDescent="0.25">
      <c r="A1043" s="54"/>
    </row>
    <row r="1044" spans="1:1" x14ac:dyDescent="0.25">
      <c r="A1044" s="54"/>
    </row>
    <row r="1045" spans="1:1" x14ac:dyDescent="0.25">
      <c r="A1045" s="54"/>
    </row>
    <row r="1046" spans="1:1" x14ac:dyDescent="0.25">
      <c r="A1046" s="54"/>
    </row>
    <row r="1047" spans="1:1" x14ac:dyDescent="0.25">
      <c r="A1047" s="54"/>
    </row>
    <row r="1048" spans="1:1" x14ac:dyDescent="0.25">
      <c r="A1048" s="54"/>
    </row>
    <row r="1049" spans="1:1" x14ac:dyDescent="0.25">
      <c r="A1049" s="54"/>
    </row>
    <row r="1050" spans="1:1" x14ac:dyDescent="0.25">
      <c r="A1050" s="54"/>
    </row>
    <row r="1051" spans="1:1" x14ac:dyDescent="0.25">
      <c r="A1051" s="54"/>
    </row>
    <row r="1052" spans="1:1" x14ac:dyDescent="0.25">
      <c r="A1052" s="54"/>
    </row>
    <row r="1053" spans="1:1" x14ac:dyDescent="0.25">
      <c r="A1053" s="54"/>
    </row>
    <row r="1054" spans="1:1" x14ac:dyDescent="0.25">
      <c r="A1054" s="54"/>
    </row>
    <row r="1055" spans="1:1" x14ac:dyDescent="0.25">
      <c r="A1055" s="54"/>
    </row>
    <row r="1056" spans="1:1" x14ac:dyDescent="0.25">
      <c r="A1056" s="54"/>
    </row>
    <row r="1057" spans="1:1" x14ac:dyDescent="0.25">
      <c r="A1057" s="54"/>
    </row>
    <row r="1058" spans="1:1" x14ac:dyDescent="0.25">
      <c r="A1058" s="54"/>
    </row>
    <row r="1059" spans="1:1" x14ac:dyDescent="0.25">
      <c r="A1059" s="54"/>
    </row>
    <row r="1060" spans="1:1" x14ac:dyDescent="0.25">
      <c r="A1060" s="54"/>
    </row>
    <row r="1061" spans="1:1" x14ac:dyDescent="0.25">
      <c r="A1061" s="54"/>
    </row>
    <row r="1062" spans="1:1" x14ac:dyDescent="0.25">
      <c r="A1062" s="54"/>
    </row>
    <row r="1063" spans="1:1" x14ac:dyDescent="0.25">
      <c r="A1063" s="54"/>
    </row>
    <row r="1064" spans="1:1" x14ac:dyDescent="0.25">
      <c r="A1064" s="54"/>
    </row>
    <row r="1065" spans="1:1" x14ac:dyDescent="0.25">
      <c r="A1065" s="54"/>
    </row>
    <row r="1066" spans="1:1" x14ac:dyDescent="0.25">
      <c r="A1066" s="54"/>
    </row>
    <row r="1067" spans="1:1" x14ac:dyDescent="0.25">
      <c r="A1067" s="54"/>
    </row>
    <row r="1068" spans="1:1" x14ac:dyDescent="0.25">
      <c r="A1068" s="54"/>
    </row>
    <row r="1073" spans="1:1" x14ac:dyDescent="0.25">
      <c r="A1073" s="54"/>
    </row>
    <row r="1074" spans="1:1" x14ac:dyDescent="0.25">
      <c r="A1074" s="54"/>
    </row>
    <row r="1077" spans="1:1" x14ac:dyDescent="0.25">
      <c r="A1077" s="54"/>
    </row>
    <row r="1079" spans="1:1" x14ac:dyDescent="0.25">
      <c r="A1079" s="54"/>
    </row>
    <row r="1081" spans="1:1" x14ac:dyDescent="0.25">
      <c r="A1081" s="54"/>
    </row>
    <row r="1083" spans="1:1" x14ac:dyDescent="0.25">
      <c r="A1083" s="54"/>
    </row>
    <row r="1086" spans="1:1" x14ac:dyDescent="0.25">
      <c r="A1086" s="54"/>
    </row>
    <row r="1087" spans="1:1" x14ac:dyDescent="0.25">
      <c r="A1087" s="54"/>
    </row>
    <row r="1088" spans="1:1" x14ac:dyDescent="0.25">
      <c r="A1088" s="54"/>
    </row>
    <row r="1089" spans="1:1" x14ac:dyDescent="0.25">
      <c r="A1089" s="54"/>
    </row>
    <row r="1090" spans="1:1" x14ac:dyDescent="0.25">
      <c r="A1090" s="54"/>
    </row>
    <row r="1091" spans="1:1" x14ac:dyDescent="0.25">
      <c r="A1091" s="54"/>
    </row>
    <row r="1092" spans="1:1" x14ac:dyDescent="0.25">
      <c r="A1092" s="54"/>
    </row>
    <row r="1093" spans="1:1" x14ac:dyDescent="0.25">
      <c r="A1093" s="54"/>
    </row>
  </sheetData>
  <customSheetViews>
    <customSheetView guid="{195DF303-1BBD-4236-94B5-47432850B006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1"/>
      <headerFooter alignWithMargins="0"/>
    </customSheetView>
    <customSheetView guid="{0C49E549-011E-46F4-A82E-2CC8951A9C1E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2"/>
      <headerFooter alignWithMargins="0"/>
    </customSheetView>
    <customSheetView guid="{4BC93440-BA85-4935-A8C9-66DC6AE5DE5E}" scale="75" fitToPage="1" showRuler="0" topLeftCell="Y82">
      <selection activeCell="Y119" sqref="Y11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9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9" orientation="landscape" r:id="rId4"/>
      <headerFooter alignWithMargins="0"/>
    </customSheetView>
    <customSheetView guid="{2EA35095-1ADC-4CC7-8C3C-B487D65FA247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5"/>
      <headerFooter alignWithMargins="0"/>
    </customSheetView>
    <customSheetView guid="{8FC77C99-DBF7-40B8-99B8-01B75826CDCB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7"/>
      <headerFooter alignWithMargins="0"/>
    </customSheetView>
    <customSheetView guid="{6B3D5C27-2FDE-4561-9575-1E98BFB869D0}" scale="75" fitToPage="1" showRuler="0" topLeftCell="A30">
      <selection activeCell="L60" sqref="L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0" orientation="landscape" r:id="rId8"/>
      <headerFooter alignWithMargins="0"/>
    </customSheetView>
    <customSheetView guid="{0BC1F393-8A13-47D5-BC6C-0C99615B5AB9}" scale="75" fitToPage="1" showRuler="0" topLeftCell="A30">
      <selection activeCell="L60" sqref="L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9"/>
      <headerFooter alignWithMargins="0"/>
    </customSheetView>
    <customSheetView guid="{18BDED73-BFA0-442E-87EC-CED86EE4CF94}" scale="75" fitToPage="1" showRuler="0" topLeftCell="A83">
      <selection activeCell="AA97" sqref="AA97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0"/>
      <headerFooter alignWithMargins="0"/>
    </customSheetView>
    <customSheetView guid="{35F19056-2E6F-4935-B863-78836FE990BF}" scale="75" fitToPage="1" showRuler="0">
      <selection activeCell="H21" sqref="H2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1"/>
      <headerFooter alignWithMargins="0"/>
    </customSheetView>
    <customSheetView guid="{F562D92E-120C-4AE9-9663-89E64D41DC53}" scale="75" fitToPage="1" topLeftCell="W89">
      <selection activeCell="P58" sqref="P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2"/>
      <headerFooter alignWithMargins="0"/>
    </customSheetView>
  </customSheetViews>
  <phoneticPr fontId="9" type="noConversion"/>
  <printOptions horizontalCentered="1"/>
  <pageMargins left="0.75" right="0.75" top="1" bottom="1" header="0.5" footer="0.5"/>
  <pageSetup scale="43" orientation="landscape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5" manualBreakCount="15"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2" transitionEvaluation="1" transitionEntry="1" codeName="Sheet11"/>
  <dimension ref="A1:BX1109"/>
  <sheetViews>
    <sheetView tabSelected="1" view="pageBreakPreview" topLeftCell="A22" zoomScale="60" zoomScaleNormal="75" workbookViewId="0">
      <selection sqref="A1:J1"/>
    </sheetView>
  </sheetViews>
  <sheetFormatPr defaultColWidth="9.77734375" defaultRowHeight="15.75" x14ac:dyDescent="0.25"/>
  <cols>
    <col min="1" max="1" width="5.21875" style="380" customWidth="1"/>
    <col min="2" max="2" width="0.44140625" style="380" customWidth="1"/>
    <col min="3" max="3" width="6.77734375" style="380" customWidth="1"/>
    <col min="4" max="4" width="31" style="380" customWidth="1"/>
    <col min="5" max="5" width="0.4414062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2.33203125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2.77734375" style="380" customWidth="1"/>
    <col min="15" max="15" width="0.5546875" style="380" customWidth="1"/>
    <col min="16" max="16" width="14.77734375" style="380" customWidth="1"/>
    <col min="17" max="17" width="0.5546875" style="380" customWidth="1"/>
    <col min="18" max="18" width="17.88671875" style="380" customWidth="1"/>
    <col min="19" max="19" width="6.77734375" style="380" customWidth="1"/>
    <col min="20" max="20" width="5.44140625" style="380" customWidth="1"/>
    <col min="21" max="21" width="0.5546875" style="380" customWidth="1"/>
    <col min="22" max="22" width="4.5546875" style="380" customWidth="1"/>
    <col min="23" max="23" width="41.88671875" style="380" customWidth="1"/>
    <col min="24" max="24" width="0.44140625" style="380" customWidth="1"/>
    <col min="25" max="25" width="9.6640625" style="380" customWidth="1"/>
    <col min="26" max="26" width="0.6640625" style="380" customWidth="1"/>
    <col min="27" max="27" width="13.33203125" style="380" customWidth="1"/>
    <col min="28" max="28" width="0.6640625" style="380" customWidth="1"/>
    <col min="29" max="29" width="12.21875" style="380" customWidth="1"/>
    <col min="30" max="30" width="0.88671875" style="380" customWidth="1"/>
    <col min="31" max="31" width="12.88671875" style="380" customWidth="1"/>
    <col min="32" max="32" width="0.77734375" style="380" customWidth="1"/>
    <col min="33" max="33" width="13.6640625" style="153" customWidth="1"/>
    <col min="34" max="34" width="0.6640625" style="380" customWidth="1"/>
    <col min="35" max="35" width="14.33203125" style="380" customWidth="1"/>
    <col min="36" max="36" width="0.77734375" style="380" customWidth="1"/>
    <col min="37" max="37" width="14.5546875" style="153" customWidth="1"/>
    <col min="38" max="38" width="0.5546875" style="380" customWidth="1"/>
    <col min="39" max="39" width="12.109375" style="380" customWidth="1"/>
    <col min="40" max="40" width="0.5546875" style="380" customWidth="1"/>
    <col min="41" max="41" width="13.21875" style="380" customWidth="1"/>
    <col min="42" max="42" width="0.6640625" style="380" customWidth="1"/>
    <col min="43" max="43" width="11.21875" style="153" customWidth="1"/>
    <col min="44" max="44" width="14.77734375" style="380" customWidth="1"/>
    <col min="45" max="45" width="4.77734375" style="380" customWidth="1"/>
    <col min="46" max="46" width="5.77734375" style="380" customWidth="1"/>
    <col min="47" max="47" width="10.77734375" style="380" customWidth="1"/>
    <col min="48" max="48" width="11.77734375" style="380" customWidth="1"/>
    <col min="49" max="49" width="12.77734375" style="380" customWidth="1"/>
    <col min="50" max="52" width="15.77734375" style="380" customWidth="1"/>
    <col min="53" max="53" width="12.77734375" style="380" customWidth="1"/>
    <col min="54" max="56" width="15.77734375" style="380" customWidth="1"/>
    <col min="57" max="57" width="12.77734375" style="380" customWidth="1"/>
    <col min="58" max="59" width="9.77734375" style="380"/>
    <col min="60" max="62" width="12.77734375" style="380" customWidth="1"/>
    <col min="63" max="63" width="14.77734375" style="380" customWidth="1"/>
    <col min="64" max="65" width="9.77734375" style="380"/>
    <col min="66" max="68" width="12.77734375" style="380" customWidth="1"/>
    <col min="69" max="69" width="14.77734375" style="380" customWidth="1"/>
    <col min="70" max="76" width="9.77734375" style="380"/>
    <col min="77" max="77" width="1.77734375" style="380" customWidth="1"/>
    <col min="78" max="79" width="9.77734375" style="380"/>
    <col min="80" max="80" width="10.77734375" style="380" customWidth="1"/>
    <col min="81" max="82" width="9.77734375" style="380"/>
    <col min="83" max="83" width="7.77734375" style="380" customWidth="1"/>
    <col min="84" max="16384" width="9.77734375" style="380"/>
  </cols>
  <sheetData>
    <row r="1" spans="1:40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4"/>
      <c r="K1" s="44"/>
      <c r="L1" s="43"/>
      <c r="M1" s="43"/>
      <c r="N1" s="43"/>
      <c r="O1" s="43"/>
      <c r="P1" s="43"/>
      <c r="Q1" s="43"/>
      <c r="R1" s="43"/>
      <c r="Z1" s="53"/>
    </row>
    <row r="2" spans="1:40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4"/>
      <c r="K2" s="44"/>
      <c r="L2" s="43"/>
      <c r="M2" s="43"/>
      <c r="N2" s="43"/>
      <c r="O2" s="43"/>
      <c r="P2" s="43"/>
      <c r="Q2" s="43"/>
      <c r="R2" s="43"/>
      <c r="Z2" s="53"/>
    </row>
    <row r="3" spans="1:40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Y3" s="54"/>
    </row>
    <row r="4" spans="1:4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4"/>
      <c r="K4" s="44"/>
      <c r="L4" s="43"/>
      <c r="M4" s="43"/>
      <c r="N4" s="43"/>
      <c r="O4" s="43"/>
      <c r="P4" s="43"/>
      <c r="Q4" s="43"/>
      <c r="R4" s="43"/>
      <c r="Z4" s="53"/>
    </row>
    <row r="5" spans="1:4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4"/>
      <c r="M5" s="44"/>
      <c r="N5" s="43"/>
      <c r="O5" s="43"/>
      <c r="P5" s="43"/>
      <c r="Q5" s="43"/>
      <c r="R5" s="43"/>
      <c r="AA5" s="54"/>
      <c r="AB5" s="54"/>
    </row>
    <row r="6" spans="1:40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K6" s="161"/>
      <c r="AL6" s="54"/>
    </row>
    <row r="7" spans="1:40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6 OF "&amp;TEXT(Page_Num_2.3,"00")</f>
        <v>PAGE 6 OF 23</v>
      </c>
      <c r="AK7" s="161"/>
      <c r="AL7" s="54"/>
    </row>
    <row r="8" spans="1:40" x14ac:dyDescent="0.25">
      <c r="A8" s="46" t="s">
        <v>177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K8" s="161"/>
      <c r="AL8" s="54"/>
    </row>
    <row r="9" spans="1:40" x14ac:dyDescent="0.25">
      <c r="A9" s="222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45" t="str">
        <f>WIT</f>
        <v>J. L. Kern</v>
      </c>
      <c r="AK9" s="161"/>
      <c r="AL9" s="54"/>
    </row>
    <row r="10" spans="1:40" x14ac:dyDescent="0.25">
      <c r="A10" s="222" t="str">
        <f>INPUT!B5</f>
        <v>6 Months Actual Ending May 31, 2019</v>
      </c>
      <c r="B10" s="378"/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78"/>
      <c r="P10" s="378"/>
      <c r="Q10" s="378"/>
      <c r="R10" s="45"/>
      <c r="AK10" s="161"/>
      <c r="AL10" s="54"/>
    </row>
    <row r="11" spans="1:40" x14ac:dyDescent="0.25">
      <c r="A11" s="44" t="s">
        <v>136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AA11" s="54"/>
      <c r="AB11" s="54"/>
      <c r="AK11" s="156"/>
      <c r="AL11" s="53"/>
    </row>
    <row r="12" spans="1:40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154"/>
      <c r="AH12" s="55"/>
      <c r="AI12" s="55"/>
      <c r="AJ12" s="55"/>
      <c r="AK12" s="154"/>
      <c r="AL12" s="55"/>
      <c r="AM12" s="55"/>
      <c r="AN12" s="55"/>
    </row>
    <row r="13" spans="1:40" ht="18" customHeight="1" x14ac:dyDescent="0.25">
      <c r="A13" s="378"/>
      <c r="B13" s="378"/>
      <c r="C13" s="378"/>
      <c r="D13" s="378"/>
      <c r="E13" s="378"/>
      <c r="F13" s="378"/>
      <c r="G13" s="378"/>
      <c r="H13" s="378"/>
      <c r="I13" s="378"/>
      <c r="J13" s="378"/>
      <c r="K13" s="378"/>
      <c r="L13" s="426" t="s">
        <v>6</v>
      </c>
      <c r="M13" s="426"/>
      <c r="N13" s="426" t="s">
        <v>7</v>
      </c>
      <c r="O13" s="426"/>
      <c r="P13" s="378"/>
      <c r="Q13" s="378"/>
      <c r="R13" s="426" t="s">
        <v>6</v>
      </c>
      <c r="AA13" s="56"/>
      <c r="AB13" s="56"/>
      <c r="AC13" s="56"/>
      <c r="AD13" s="56"/>
      <c r="AE13" s="56"/>
      <c r="AF13" s="56"/>
      <c r="AG13" s="155"/>
      <c r="AH13" s="56"/>
      <c r="AK13" s="155"/>
      <c r="AL13" s="56"/>
      <c r="AM13" s="56"/>
      <c r="AN13" s="56"/>
    </row>
    <row r="14" spans="1:40" x14ac:dyDescent="0.25">
      <c r="A14" s="378"/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426" t="s">
        <v>12</v>
      </c>
      <c r="M14" s="426"/>
      <c r="N14" s="426" t="s">
        <v>13</v>
      </c>
      <c r="O14" s="426"/>
      <c r="P14" s="378"/>
      <c r="Q14" s="378"/>
      <c r="R14" s="426" t="s">
        <v>11</v>
      </c>
      <c r="Z14" s="56"/>
      <c r="AA14" s="56"/>
      <c r="AB14" s="56"/>
      <c r="AC14" s="56"/>
      <c r="AD14" s="56"/>
      <c r="AE14" s="56"/>
      <c r="AF14" s="56"/>
      <c r="AG14" s="155"/>
      <c r="AH14" s="56"/>
      <c r="AK14" s="155"/>
      <c r="AL14" s="56"/>
      <c r="AM14" s="56"/>
      <c r="AN14" s="56"/>
    </row>
    <row r="15" spans="1:40" x14ac:dyDescent="0.25">
      <c r="A15" s="426" t="s">
        <v>17</v>
      </c>
      <c r="B15" s="378"/>
      <c r="C15" s="426" t="s">
        <v>18</v>
      </c>
      <c r="D15" s="426" t="s">
        <v>19</v>
      </c>
      <c r="E15" s="426"/>
      <c r="F15" s="426" t="s">
        <v>20</v>
      </c>
      <c r="G15" s="378"/>
      <c r="H15" s="378"/>
      <c r="I15" s="378"/>
      <c r="J15" s="426" t="s">
        <v>6</v>
      </c>
      <c r="K15" s="426"/>
      <c r="L15" s="426" t="s">
        <v>21</v>
      </c>
      <c r="M15" s="426"/>
      <c r="N15" s="426" t="s">
        <v>21</v>
      </c>
      <c r="O15" s="426"/>
      <c r="P15" s="426" t="s">
        <v>21</v>
      </c>
      <c r="Q15" s="426"/>
      <c r="R15" s="426" t="s">
        <v>9</v>
      </c>
      <c r="T15" s="56"/>
      <c r="U15" s="56"/>
      <c r="V15" s="56"/>
      <c r="Z15" s="56"/>
      <c r="AA15" s="56"/>
      <c r="AB15" s="56"/>
      <c r="AC15" s="56"/>
      <c r="AD15" s="56"/>
      <c r="AE15" s="56"/>
      <c r="AF15" s="56"/>
      <c r="AG15" s="155"/>
      <c r="AH15" s="56"/>
      <c r="AI15" s="56"/>
      <c r="AJ15" s="56"/>
      <c r="AK15" s="155"/>
      <c r="AL15" s="56"/>
      <c r="AM15" s="56"/>
      <c r="AN15" s="56"/>
    </row>
    <row r="16" spans="1:40" x14ac:dyDescent="0.25">
      <c r="A16" s="426" t="s">
        <v>24</v>
      </c>
      <c r="B16" s="378"/>
      <c r="C16" s="426" t="s">
        <v>25</v>
      </c>
      <c r="D16" s="426" t="s">
        <v>26</v>
      </c>
      <c r="E16" s="426"/>
      <c r="F16" s="426" t="s">
        <v>27</v>
      </c>
      <c r="G16" s="378"/>
      <c r="H16" s="426" t="s">
        <v>28</v>
      </c>
      <c r="I16" s="426"/>
      <c r="J16" s="426" t="s">
        <v>29</v>
      </c>
      <c r="K16" s="426"/>
      <c r="L16" s="426" t="s">
        <v>9</v>
      </c>
      <c r="M16" s="426"/>
      <c r="N16" s="426" t="s">
        <v>9</v>
      </c>
      <c r="O16" s="426"/>
      <c r="P16" s="426" t="s">
        <v>379</v>
      </c>
      <c r="Q16" s="426"/>
      <c r="R16" s="265" t="s">
        <v>30</v>
      </c>
      <c r="T16" s="56"/>
      <c r="U16" s="56"/>
      <c r="V16" s="56"/>
      <c r="Y16" s="56"/>
      <c r="Z16" s="56"/>
      <c r="AA16" s="56"/>
      <c r="AB16" s="56"/>
      <c r="AC16" s="56"/>
      <c r="AD16" s="56"/>
      <c r="AE16" s="56"/>
      <c r="AF16" s="56"/>
      <c r="AG16" s="155"/>
      <c r="AH16" s="56"/>
      <c r="AI16" s="56"/>
      <c r="AJ16" s="56"/>
      <c r="AK16" s="155"/>
      <c r="AL16" s="56"/>
      <c r="AM16" s="56"/>
      <c r="AN16" s="56"/>
    </row>
    <row r="17" spans="1:40" x14ac:dyDescent="0.25">
      <c r="A17" s="378"/>
      <c r="B17" s="378"/>
      <c r="C17" s="265" t="s">
        <v>35</v>
      </c>
      <c r="D17" s="265" t="s">
        <v>36</v>
      </c>
      <c r="E17" s="265"/>
      <c r="F17" s="265" t="s">
        <v>37</v>
      </c>
      <c r="G17" s="218"/>
      <c r="H17" s="265" t="s">
        <v>38</v>
      </c>
      <c r="I17" s="265"/>
      <c r="J17" s="265" t="s">
        <v>39</v>
      </c>
      <c r="K17" s="265"/>
      <c r="L17" s="265" t="s">
        <v>40</v>
      </c>
      <c r="M17" s="265"/>
      <c r="N17" s="265" t="s">
        <v>41</v>
      </c>
      <c r="O17" s="265"/>
      <c r="P17" s="265" t="s">
        <v>42</v>
      </c>
      <c r="Q17" s="265"/>
      <c r="R17" s="265" t="s">
        <v>43</v>
      </c>
      <c r="T17" s="56"/>
      <c r="U17" s="56"/>
      <c r="V17" s="56"/>
      <c r="Y17" s="56"/>
      <c r="Z17" s="56"/>
      <c r="AA17" s="56"/>
      <c r="AB17" s="56"/>
      <c r="AC17" s="56"/>
      <c r="AD17" s="56"/>
      <c r="AE17" s="56"/>
      <c r="AF17" s="56"/>
      <c r="AG17" s="155"/>
      <c r="AH17" s="56"/>
      <c r="AI17" s="56"/>
      <c r="AJ17" s="56"/>
      <c r="AK17" s="155"/>
      <c r="AL17" s="56"/>
      <c r="AM17" s="56"/>
      <c r="AN17" s="56"/>
    </row>
    <row r="18" spans="1:40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154"/>
      <c r="AH18" s="55"/>
      <c r="AI18" s="55"/>
      <c r="AJ18" s="55"/>
      <c r="AK18" s="154"/>
      <c r="AL18" s="55"/>
      <c r="AM18" s="55"/>
      <c r="AN18" s="55"/>
    </row>
    <row r="19" spans="1:40" ht="17.100000000000001" customHeight="1" x14ac:dyDescent="0.25">
      <c r="A19" s="378"/>
      <c r="B19" s="378"/>
      <c r="C19" s="378"/>
      <c r="D19" s="378"/>
      <c r="E19" s="378"/>
      <c r="F19" s="378"/>
      <c r="G19" s="378"/>
      <c r="H19" s="442" t="s">
        <v>203</v>
      </c>
      <c r="I19" s="441"/>
      <c r="J19" s="442" t="s">
        <v>368</v>
      </c>
      <c r="K19" s="441"/>
      <c r="L19" s="441" t="s">
        <v>52</v>
      </c>
      <c r="M19" s="441"/>
      <c r="N19" s="441" t="s">
        <v>53</v>
      </c>
      <c r="O19" s="441"/>
      <c r="P19" s="441" t="s">
        <v>52</v>
      </c>
      <c r="Q19" s="441"/>
      <c r="R19" s="441" t="s">
        <v>52</v>
      </c>
      <c r="Y19" s="56"/>
      <c r="Z19" s="56"/>
      <c r="AA19" s="56"/>
      <c r="AB19" s="56"/>
      <c r="AC19" s="56"/>
      <c r="AD19" s="56"/>
      <c r="AE19" s="56"/>
      <c r="AF19" s="56"/>
      <c r="AG19" s="155"/>
      <c r="AH19" s="56"/>
      <c r="AI19" s="56"/>
      <c r="AJ19" s="56"/>
      <c r="AK19" s="155"/>
      <c r="AL19" s="56"/>
      <c r="AM19" s="56"/>
      <c r="AN19" s="56"/>
    </row>
    <row r="20" spans="1:40" x14ac:dyDescent="0.25">
      <c r="A20" s="45">
        <v>1</v>
      </c>
      <c r="B20" s="378"/>
      <c r="C20" s="222" t="s">
        <v>100</v>
      </c>
      <c r="D20" s="222" t="s">
        <v>161</v>
      </c>
      <c r="E20" s="46"/>
      <c r="F20" s="2"/>
      <c r="G20" s="2"/>
      <c r="H20" s="459"/>
      <c r="I20" s="459"/>
      <c r="J20" s="460" t="s">
        <v>384</v>
      </c>
      <c r="K20" s="459"/>
      <c r="L20" s="459"/>
      <c r="M20" s="459"/>
      <c r="N20" s="459"/>
      <c r="O20" s="459"/>
      <c r="P20" s="459"/>
      <c r="Q20" s="459"/>
      <c r="R20" s="459"/>
      <c r="T20" s="54"/>
      <c r="U20" s="54"/>
    </row>
    <row r="21" spans="1:40" x14ac:dyDescent="0.25">
      <c r="A21" s="45">
        <v>2</v>
      </c>
      <c r="B21" s="378"/>
      <c r="C21" s="218"/>
      <c r="D21" s="222" t="s">
        <v>162</v>
      </c>
      <c r="E21" s="4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T21" s="54"/>
    </row>
    <row r="22" spans="1:40" x14ac:dyDescent="0.25">
      <c r="A22" s="378"/>
      <c r="B22" s="378"/>
      <c r="C22" s="378"/>
      <c r="D22" s="378"/>
      <c r="E22" s="37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40" x14ac:dyDescent="0.25">
      <c r="A23" s="45">
        <v>3</v>
      </c>
      <c r="B23" s="378"/>
      <c r="C23" s="222" t="s">
        <v>140</v>
      </c>
      <c r="D23" s="378"/>
      <c r="E23" s="378"/>
      <c r="F23" s="5"/>
      <c r="G23" s="2"/>
      <c r="H23" s="2"/>
      <c r="I23" s="2"/>
      <c r="J23" s="104"/>
      <c r="K23" s="104"/>
      <c r="L23" s="5"/>
      <c r="M23" s="5"/>
      <c r="N23" s="2"/>
      <c r="O23" s="2"/>
      <c r="P23" s="2"/>
      <c r="Q23" s="2"/>
      <c r="R23" s="5"/>
      <c r="S23" s="379"/>
      <c r="T23" s="54"/>
      <c r="V23" s="379"/>
      <c r="Y23" s="379"/>
      <c r="Z23" s="461"/>
      <c r="AA23" s="379"/>
      <c r="AB23" s="379"/>
      <c r="AC23" s="50"/>
      <c r="AD23" s="50"/>
      <c r="AE23" s="379"/>
      <c r="AF23" s="379"/>
      <c r="AG23" s="156"/>
      <c r="AH23" s="50"/>
      <c r="AI23" s="379"/>
      <c r="AJ23" s="379"/>
      <c r="AK23" s="156"/>
      <c r="AL23" s="379"/>
      <c r="AM23" s="50"/>
      <c r="AN23" s="50"/>
    </row>
    <row r="24" spans="1:40" x14ac:dyDescent="0.25">
      <c r="A24" s="45">
        <v>4</v>
      </c>
      <c r="B24" s="378"/>
      <c r="C24" s="46" t="s">
        <v>141</v>
      </c>
      <c r="D24" s="378"/>
      <c r="E24" s="378"/>
      <c r="F24" s="392">
        <v>106</v>
      </c>
      <c r="G24" s="2"/>
      <c r="H24" s="86"/>
      <c r="I24" s="86"/>
      <c r="J24" s="450">
        <f>INPUT!D85</f>
        <v>15</v>
      </c>
      <c r="K24" s="96"/>
      <c r="L24" s="5">
        <f>ROUND(F24*J24,0)</f>
        <v>1590</v>
      </c>
      <c r="M24" s="5"/>
      <c r="N24" s="6">
        <f>ROUND((L24/L$43)*100,1)</f>
        <v>0.2</v>
      </c>
      <c r="O24" s="6"/>
      <c r="P24" s="5"/>
      <c r="Q24" s="5"/>
      <c r="R24" s="5">
        <f>L24+P24</f>
        <v>1590</v>
      </c>
      <c r="S24" s="379"/>
      <c r="V24" s="381"/>
      <c r="Y24" s="381"/>
      <c r="Z24" s="464"/>
      <c r="AA24" s="381"/>
      <c r="AB24" s="381"/>
      <c r="AC24" s="381"/>
      <c r="AD24" s="381"/>
      <c r="AE24" s="381"/>
      <c r="AF24" s="381"/>
      <c r="AI24" s="381"/>
      <c r="AJ24" s="381"/>
      <c r="AK24" s="162"/>
      <c r="AL24" s="381"/>
      <c r="AM24" s="50"/>
      <c r="AN24" s="50"/>
    </row>
    <row r="25" spans="1:40" x14ac:dyDescent="0.25">
      <c r="A25" s="45">
        <v>5</v>
      </c>
      <c r="B25" s="378"/>
      <c r="C25" s="46" t="s">
        <v>142</v>
      </c>
      <c r="D25" s="378"/>
      <c r="E25" s="378"/>
      <c r="F25" s="392">
        <v>368</v>
      </c>
      <c r="G25" s="2"/>
      <c r="H25" s="451"/>
      <c r="I25" s="451"/>
      <c r="J25" s="450">
        <f>INPUT!D86</f>
        <v>30</v>
      </c>
      <c r="K25" s="96"/>
      <c r="L25" s="5">
        <f>ROUND(F25*J25,0)</f>
        <v>11040</v>
      </c>
      <c r="M25" s="5"/>
      <c r="N25" s="6">
        <f>ROUND((L25/L$43)*100,1)</f>
        <v>1.4</v>
      </c>
      <c r="O25" s="6"/>
      <c r="P25" s="5"/>
      <c r="Q25" s="5"/>
      <c r="R25" s="5">
        <f>L25+P25</f>
        <v>11040</v>
      </c>
      <c r="S25" s="379"/>
      <c r="V25" s="449"/>
      <c r="Y25" s="449"/>
      <c r="Z25" s="464"/>
      <c r="AA25" s="379"/>
      <c r="AB25" s="379"/>
      <c r="AC25" s="50"/>
      <c r="AD25" s="50"/>
      <c r="AE25" s="379"/>
      <c r="AF25" s="379"/>
      <c r="AI25" s="379"/>
      <c r="AJ25" s="379"/>
      <c r="AK25" s="156"/>
      <c r="AL25" s="379"/>
      <c r="AM25" s="50"/>
      <c r="AN25" s="50"/>
    </row>
    <row r="26" spans="1:40" x14ac:dyDescent="0.25">
      <c r="A26" s="45">
        <v>6</v>
      </c>
      <c r="B26" s="378"/>
      <c r="C26" s="52" t="s">
        <v>151</v>
      </c>
      <c r="D26" s="378"/>
      <c r="E26" s="378"/>
      <c r="F26" s="392">
        <v>0</v>
      </c>
      <c r="G26" s="2"/>
      <c r="H26" s="451"/>
      <c r="I26" s="451"/>
      <c r="J26" s="450">
        <f>INPUT!D87</f>
        <v>117</v>
      </c>
      <c r="K26" s="96"/>
      <c r="L26" s="5">
        <f>ROUND(F26*J26,0)</f>
        <v>0</v>
      </c>
      <c r="M26" s="5"/>
      <c r="N26" s="88">
        <f>ROUND((L26/L$43)*100,1)</f>
        <v>0</v>
      </c>
      <c r="O26" s="6"/>
      <c r="P26" s="5"/>
      <c r="Q26" s="5"/>
      <c r="R26" s="81">
        <f>L26+P26</f>
        <v>0</v>
      </c>
      <c r="S26" s="379"/>
      <c r="V26" s="449"/>
      <c r="Y26" s="449"/>
      <c r="Z26" s="464"/>
      <c r="AA26" s="379"/>
      <c r="AB26" s="379"/>
      <c r="AC26" s="50"/>
      <c r="AD26" s="50"/>
      <c r="AE26" s="379"/>
      <c r="AF26" s="379"/>
      <c r="AI26" s="379"/>
      <c r="AJ26" s="379"/>
      <c r="AK26" s="156"/>
      <c r="AL26" s="379"/>
      <c r="AM26" s="50"/>
      <c r="AN26" s="50"/>
    </row>
    <row r="27" spans="1:40" ht="20.100000000000001" customHeight="1" x14ac:dyDescent="0.25">
      <c r="A27" s="45">
        <v>7</v>
      </c>
      <c r="B27" s="378"/>
      <c r="C27" s="222" t="s">
        <v>143</v>
      </c>
      <c r="D27" s="378"/>
      <c r="E27" s="378"/>
      <c r="F27" s="90">
        <f>SUM(F24:F26)</f>
        <v>474</v>
      </c>
      <c r="G27" s="2"/>
      <c r="H27" s="5"/>
      <c r="I27" s="5"/>
      <c r="J27" s="9"/>
      <c r="K27" s="9"/>
      <c r="L27" s="90">
        <f>SUM(L24:L26)</f>
        <v>12630</v>
      </c>
      <c r="M27" s="5"/>
      <c r="N27" s="93">
        <f>ROUND((L27/L$43)*100,1)</f>
        <v>1.6</v>
      </c>
      <c r="O27" s="6"/>
      <c r="P27" s="90"/>
      <c r="Q27" s="5"/>
      <c r="R27" s="90">
        <f>SUM(R24:R26)</f>
        <v>12630</v>
      </c>
      <c r="S27" s="379"/>
      <c r="V27" s="381"/>
      <c r="Y27" s="381"/>
      <c r="Z27" s="464"/>
      <c r="AA27" s="381"/>
      <c r="AB27" s="381"/>
      <c r="AC27" s="381"/>
      <c r="AD27" s="381"/>
      <c r="AE27" s="381"/>
      <c r="AF27" s="381"/>
      <c r="AI27" s="381"/>
      <c r="AJ27" s="381"/>
      <c r="AK27" s="162"/>
      <c r="AL27" s="381"/>
      <c r="AM27" s="50"/>
      <c r="AN27" s="50"/>
    </row>
    <row r="28" spans="1:40" x14ac:dyDescent="0.25">
      <c r="A28" s="45"/>
      <c r="B28" s="378"/>
      <c r="C28" s="46"/>
      <c r="D28" s="378"/>
      <c r="E28" s="378"/>
      <c r="F28" s="83"/>
      <c r="G28" s="2"/>
      <c r="H28" s="5"/>
      <c r="I28" s="5"/>
      <c r="J28" s="9"/>
      <c r="K28" s="9"/>
      <c r="L28" s="83"/>
      <c r="M28" s="5"/>
      <c r="N28" s="91"/>
      <c r="O28" s="6"/>
      <c r="P28" s="83"/>
      <c r="Q28" s="5"/>
      <c r="R28" s="83"/>
      <c r="S28" s="379"/>
      <c r="V28" s="381"/>
      <c r="Y28" s="381"/>
      <c r="Z28" s="464"/>
      <c r="AA28" s="381"/>
      <c r="AB28" s="381"/>
      <c r="AC28" s="381"/>
      <c r="AD28" s="381"/>
      <c r="AE28" s="381"/>
      <c r="AF28" s="381"/>
      <c r="AI28" s="381"/>
      <c r="AJ28" s="381"/>
      <c r="AK28" s="162"/>
      <c r="AL28" s="381"/>
      <c r="AM28" s="50"/>
      <c r="AN28" s="50"/>
    </row>
    <row r="29" spans="1:40" x14ac:dyDescent="0.25">
      <c r="A29" s="45">
        <v>8</v>
      </c>
      <c r="B29" s="378"/>
      <c r="C29" s="222" t="s">
        <v>65</v>
      </c>
      <c r="D29" s="378"/>
      <c r="E29" s="378"/>
      <c r="F29" s="83"/>
      <c r="G29" s="2"/>
      <c r="H29" s="5"/>
      <c r="I29" s="5"/>
      <c r="J29" s="9"/>
      <c r="K29" s="9"/>
      <c r="L29" s="83"/>
      <c r="M29" s="5"/>
      <c r="N29" s="91"/>
      <c r="O29" s="6"/>
      <c r="P29" s="83"/>
      <c r="Q29" s="5"/>
      <c r="R29" s="83"/>
      <c r="S29" s="379"/>
      <c r="V29" s="381"/>
      <c r="Y29" s="381"/>
      <c r="Z29" s="464"/>
      <c r="AA29" s="381"/>
      <c r="AB29" s="381"/>
      <c r="AC29" s="381"/>
      <c r="AD29" s="381"/>
      <c r="AE29" s="381"/>
      <c r="AF29" s="381"/>
      <c r="AI29" s="381"/>
      <c r="AJ29" s="381"/>
      <c r="AK29" s="162"/>
      <c r="AL29" s="381"/>
      <c r="AM29" s="50"/>
      <c r="AN29" s="50"/>
    </row>
    <row r="30" spans="1:40" x14ac:dyDescent="0.25">
      <c r="A30" s="45">
        <v>9</v>
      </c>
      <c r="B30" s="378"/>
      <c r="C30" s="46" t="s">
        <v>157</v>
      </c>
      <c r="D30" s="378"/>
      <c r="E30" s="378"/>
      <c r="F30" s="83"/>
      <c r="G30" s="2"/>
      <c r="H30" s="486">
        <v>29465.579999999998</v>
      </c>
      <c r="I30" s="5"/>
      <c r="J30" s="490">
        <f>INPUT!D91</f>
        <v>0</v>
      </c>
      <c r="K30" s="9"/>
      <c r="L30" s="81">
        <f>ROUND((H30*J30),0)</f>
        <v>0</v>
      </c>
      <c r="M30" s="5"/>
      <c r="N30" s="88">
        <f>ROUND((L30/L$43)*100,1)</f>
        <v>0</v>
      </c>
      <c r="O30" s="6"/>
      <c r="P30" s="81"/>
      <c r="Q30" s="5"/>
      <c r="R30" s="81">
        <f>L30+P30</f>
        <v>0</v>
      </c>
      <c r="S30" s="379"/>
      <c r="V30" s="381"/>
      <c r="Y30" s="381"/>
      <c r="Z30" s="464"/>
      <c r="AA30" s="381"/>
      <c r="AB30" s="381"/>
      <c r="AC30" s="381"/>
      <c r="AD30" s="381"/>
      <c r="AE30" s="381"/>
      <c r="AF30" s="381"/>
      <c r="AI30" s="381"/>
      <c r="AJ30" s="381"/>
      <c r="AK30" s="162"/>
      <c r="AL30" s="381"/>
      <c r="AM30" s="50"/>
      <c r="AN30" s="50"/>
    </row>
    <row r="31" spans="1:40" x14ac:dyDescent="0.25">
      <c r="A31" s="45"/>
      <c r="B31" s="378"/>
      <c r="C31" s="46"/>
      <c r="D31" s="378"/>
      <c r="E31" s="378"/>
      <c r="F31" s="83"/>
      <c r="G31" s="2"/>
      <c r="H31" s="379"/>
      <c r="I31" s="5"/>
      <c r="J31" s="490"/>
      <c r="K31" s="9"/>
      <c r="L31" s="83"/>
      <c r="M31" s="5"/>
      <c r="N31" s="91"/>
      <c r="O31" s="6"/>
      <c r="P31" s="83"/>
      <c r="Q31" s="5"/>
      <c r="R31" s="83"/>
      <c r="S31" s="379"/>
      <c r="V31" s="381"/>
      <c r="Y31" s="381"/>
      <c r="Z31" s="464"/>
      <c r="AA31" s="381"/>
      <c r="AB31" s="381"/>
      <c r="AC31" s="381"/>
      <c r="AD31" s="381"/>
      <c r="AE31" s="381"/>
      <c r="AF31" s="381"/>
      <c r="AI31" s="381"/>
      <c r="AJ31" s="381"/>
      <c r="AK31" s="162"/>
      <c r="AL31" s="381"/>
      <c r="AM31" s="50"/>
      <c r="AN31" s="50"/>
    </row>
    <row r="32" spans="1:40" x14ac:dyDescent="0.25">
      <c r="A32" s="45">
        <v>10</v>
      </c>
      <c r="B32" s="378"/>
      <c r="C32" s="222" t="s">
        <v>432</v>
      </c>
      <c r="D32" s="378"/>
      <c r="E32" s="378"/>
      <c r="F32" s="5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5"/>
      <c r="S32" s="379"/>
      <c r="T32" s="54"/>
      <c r="Z32" s="464"/>
      <c r="AA32" s="379"/>
      <c r="AB32" s="379"/>
      <c r="AC32" s="50"/>
      <c r="AD32" s="50"/>
      <c r="AE32" s="379"/>
      <c r="AF32" s="379"/>
      <c r="AG32" s="156"/>
      <c r="AH32" s="50"/>
      <c r="AI32" s="379"/>
      <c r="AJ32" s="379"/>
      <c r="AK32" s="156"/>
      <c r="AL32" s="379"/>
      <c r="AM32" s="50"/>
      <c r="AN32" s="50"/>
    </row>
    <row r="33" spans="1:44" x14ac:dyDescent="0.25">
      <c r="A33" s="45">
        <v>11</v>
      </c>
      <c r="B33" s="378"/>
      <c r="C33" s="46" t="s">
        <v>70</v>
      </c>
      <c r="D33" s="378"/>
      <c r="E33" s="378"/>
      <c r="F33" s="81"/>
      <c r="G33" s="2"/>
      <c r="H33" s="452">
        <v>9252534</v>
      </c>
      <c r="I33" s="86"/>
      <c r="J33" s="457">
        <f>INPUT!D89</f>
        <v>7.0482000000000003E-2</v>
      </c>
      <c r="K33" s="454"/>
      <c r="L33" s="81">
        <f>ROUND((H33*J33),0)</f>
        <v>652137</v>
      </c>
      <c r="M33" s="5"/>
      <c r="N33" s="88">
        <f>ROUND((L33/L$43)*100,1)</f>
        <v>83.9</v>
      </c>
      <c r="O33" s="6"/>
      <c r="P33" s="87"/>
      <c r="Q33" s="86"/>
      <c r="R33" s="81">
        <f>L33+P33</f>
        <v>652137</v>
      </c>
      <c r="Z33" s="53"/>
    </row>
    <row r="34" spans="1:44" ht="18" customHeight="1" x14ac:dyDescent="0.25">
      <c r="A34" s="45">
        <v>12</v>
      </c>
      <c r="B34" s="378"/>
      <c r="C34" s="444" t="s">
        <v>518</v>
      </c>
      <c r="D34" s="378"/>
      <c r="E34" s="378"/>
      <c r="F34" s="81">
        <f>F27</f>
        <v>474</v>
      </c>
      <c r="G34" s="2"/>
      <c r="H34" s="89">
        <f>H33</f>
        <v>9252534</v>
      </c>
      <c r="I34" s="86"/>
      <c r="J34" s="457"/>
      <c r="K34" s="454"/>
      <c r="L34" s="90">
        <f>L27+L30+L33</f>
        <v>664767</v>
      </c>
      <c r="M34" s="5"/>
      <c r="N34" s="93">
        <f>ROUND((L34/L$43)*100,1)</f>
        <v>85.5</v>
      </c>
      <c r="O34" s="6"/>
      <c r="P34" s="89"/>
      <c r="Q34" s="86"/>
      <c r="R34" s="90">
        <f>R33+R30+R27</f>
        <v>664767</v>
      </c>
      <c r="Z34" s="53"/>
    </row>
    <row r="35" spans="1:44" x14ac:dyDescent="0.25">
      <c r="A35" s="45"/>
      <c r="B35" s="378"/>
      <c r="C35" s="46"/>
      <c r="D35" s="378"/>
      <c r="E35" s="378"/>
      <c r="F35" s="83"/>
      <c r="G35" s="2"/>
      <c r="H35" s="449"/>
      <c r="I35" s="86"/>
      <c r="J35" s="457"/>
      <c r="K35" s="454"/>
      <c r="L35" s="83"/>
      <c r="M35" s="5"/>
      <c r="N35" s="91"/>
      <c r="O35" s="6"/>
      <c r="P35" s="94"/>
      <c r="Q35" s="86"/>
      <c r="R35" s="83"/>
      <c r="Z35" s="53"/>
    </row>
    <row r="36" spans="1:44" x14ac:dyDescent="0.25">
      <c r="A36" s="45">
        <v>13</v>
      </c>
      <c r="B36" s="378"/>
      <c r="C36" s="222" t="s">
        <v>504</v>
      </c>
      <c r="D36" s="378"/>
      <c r="E36" s="378"/>
      <c r="F36" s="83"/>
      <c r="G36" s="2"/>
      <c r="H36" s="83"/>
      <c r="I36" s="83"/>
      <c r="J36" s="268"/>
      <c r="K36" s="454"/>
      <c r="L36" s="83"/>
      <c r="M36" s="5"/>
      <c r="N36" s="91"/>
      <c r="O36" s="6"/>
      <c r="P36" s="94"/>
      <c r="Q36" s="86"/>
      <c r="R36" s="83"/>
      <c r="Z36" s="53"/>
    </row>
    <row r="37" spans="1:44" x14ac:dyDescent="0.25">
      <c r="A37" s="45">
        <v>14</v>
      </c>
      <c r="B37" s="378"/>
      <c r="C37" s="216" t="str">
        <f>DSMR_Name</f>
        <v>DEMAND SIDE MANAGEMENT RIDER (DSMR)</v>
      </c>
      <c r="D37" s="378"/>
      <c r="E37" s="378"/>
      <c r="F37" s="83"/>
      <c r="G37" s="2"/>
      <c r="H37" s="83"/>
      <c r="I37" s="83"/>
      <c r="J37" s="465">
        <f>PRO_DSM_DIST</f>
        <v>5.091E-3</v>
      </c>
      <c r="K37" s="454"/>
      <c r="L37" s="83">
        <f>ROUND($H$34*J37,0)</f>
        <v>47105</v>
      </c>
      <c r="M37" s="5"/>
      <c r="N37" s="149">
        <f>ROUND((L37/L$43)*100,1)</f>
        <v>6.1</v>
      </c>
      <c r="O37" s="6"/>
      <c r="P37" s="94"/>
      <c r="Q37" s="86"/>
      <c r="R37" s="5">
        <f t="shared" ref="R37:R40" si="0">L37+P37</f>
        <v>47105</v>
      </c>
      <c r="Z37" s="53"/>
    </row>
    <row r="38" spans="1:44" x14ac:dyDescent="0.25">
      <c r="A38" s="45">
        <v>15</v>
      </c>
      <c r="B38" s="378"/>
      <c r="C38" s="216" t="str">
        <f>ESM_Name</f>
        <v>ENVIRONMENTAL SURCHARGE MECHANISM RIDER (ESM)</v>
      </c>
      <c r="D38" s="378"/>
      <c r="E38" s="378"/>
      <c r="F38" s="83"/>
      <c r="G38" s="2"/>
      <c r="H38" s="83"/>
      <c r="I38" s="83"/>
      <c r="J38" s="453"/>
      <c r="K38" s="454"/>
      <c r="L38" s="83">
        <f>AE86</f>
        <v>67084</v>
      </c>
      <c r="M38" s="5"/>
      <c r="N38" s="149">
        <f>ROUND((L38/L$43)*100,1)</f>
        <v>8.6</v>
      </c>
      <c r="O38" s="6"/>
      <c r="P38" s="94"/>
      <c r="Q38" s="86"/>
      <c r="R38" s="5">
        <f t="shared" si="0"/>
        <v>67084</v>
      </c>
      <c r="Z38" s="53"/>
    </row>
    <row r="39" spans="1:44" x14ac:dyDescent="0.25">
      <c r="A39" s="45">
        <v>16</v>
      </c>
      <c r="B39" s="378"/>
      <c r="C39" s="216" t="str">
        <f>FAC_Name</f>
        <v>FUEL ADJUSTMENT CLAUSE (FAC)</v>
      </c>
      <c r="D39" s="378"/>
      <c r="E39" s="378"/>
      <c r="F39" s="83"/>
      <c r="G39" s="2"/>
      <c r="H39" s="83"/>
      <c r="I39" s="83"/>
      <c r="J39" s="465">
        <f>PRO_FAC</f>
        <v>6.8099999999999996E-4</v>
      </c>
      <c r="K39" s="454"/>
      <c r="L39" s="83"/>
      <c r="M39" s="5"/>
      <c r="N39" s="149">
        <f>ROUND((L39/L$43)*100,1)</f>
        <v>0</v>
      </c>
      <c r="O39" s="6"/>
      <c r="P39" s="94">
        <f>ROUND(H34*PRO_FAC,0)</f>
        <v>6301</v>
      </c>
      <c r="Q39" s="86"/>
      <c r="R39" s="5">
        <f t="shared" si="0"/>
        <v>6301</v>
      </c>
      <c r="Z39" s="53"/>
    </row>
    <row r="40" spans="1:44" x14ac:dyDescent="0.25">
      <c r="A40" s="45">
        <v>17</v>
      </c>
      <c r="B40" s="378"/>
      <c r="C40" s="216" t="str">
        <f>PSM_Name</f>
        <v>PROFIT SHARING MECHANISM (PSM)</v>
      </c>
      <c r="D40" s="378"/>
      <c r="E40" s="378"/>
      <c r="F40" s="83"/>
      <c r="G40" s="2"/>
      <c r="H40" s="83"/>
      <c r="I40" s="83"/>
      <c r="J40" s="465">
        <f>PRO_PSM</f>
        <v>-1.63E-4</v>
      </c>
      <c r="K40" s="454"/>
      <c r="L40" s="81">
        <f>ROUND(H34*PRO_PSM,0)</f>
        <v>-1508</v>
      </c>
      <c r="M40" s="5"/>
      <c r="N40" s="149">
        <f>ROUND((L40/L$43)*100,1)</f>
        <v>-0.2</v>
      </c>
      <c r="O40" s="6"/>
      <c r="P40" s="87"/>
      <c r="Q40" s="86"/>
      <c r="R40" s="5">
        <f t="shared" si="0"/>
        <v>-1508</v>
      </c>
      <c r="Z40" s="53"/>
    </row>
    <row r="41" spans="1:44" ht="18" customHeight="1" x14ac:dyDescent="0.25">
      <c r="A41" s="45">
        <v>18</v>
      </c>
      <c r="B41" s="378"/>
      <c r="C41" s="222" t="s">
        <v>510</v>
      </c>
      <c r="D41" s="378"/>
      <c r="E41" s="378"/>
      <c r="F41" s="81"/>
      <c r="G41" s="2"/>
      <c r="H41" s="81"/>
      <c r="I41" s="83"/>
      <c r="J41" s="446"/>
      <c r="K41" s="454"/>
      <c r="L41" s="90">
        <f>SUM(L37:L40)</f>
        <v>112681</v>
      </c>
      <c r="M41" s="5"/>
      <c r="N41" s="150">
        <f>ROUND((L41/L$43)*100,1)</f>
        <v>14.5</v>
      </c>
      <c r="O41" s="6"/>
      <c r="P41" s="89">
        <f>SUM(P37:P40)</f>
        <v>6301</v>
      </c>
      <c r="Q41" s="86"/>
      <c r="R41" s="90">
        <f>SUM(R37:R40)</f>
        <v>118982</v>
      </c>
      <c r="Z41" s="53"/>
    </row>
    <row r="42" spans="1:44" x14ac:dyDescent="0.25">
      <c r="A42" s="45"/>
      <c r="B42" s="378"/>
      <c r="C42" s="46"/>
      <c r="D42" s="378"/>
      <c r="E42" s="378"/>
      <c r="F42" s="83"/>
      <c r="G42" s="2"/>
      <c r="H42" s="449"/>
      <c r="I42" s="86"/>
      <c r="J42" s="455"/>
      <c r="K42" s="454"/>
      <c r="L42" s="83"/>
      <c r="M42" s="5"/>
      <c r="N42" s="91"/>
      <c r="O42" s="6"/>
      <c r="P42" s="94"/>
      <c r="Q42" s="86"/>
      <c r="R42" s="83"/>
      <c r="Z42" s="53"/>
    </row>
    <row r="43" spans="1:44" ht="20.100000000000001" customHeight="1" thickBot="1" x14ac:dyDescent="0.3">
      <c r="A43" s="45">
        <v>19</v>
      </c>
      <c r="B43" s="378"/>
      <c r="C43" s="222" t="s">
        <v>519</v>
      </c>
      <c r="D43" s="378"/>
      <c r="E43" s="378"/>
      <c r="F43" s="82">
        <f>F34</f>
        <v>474</v>
      </c>
      <c r="G43" s="2"/>
      <c r="H43" s="82">
        <f>H34</f>
        <v>9252534</v>
      </c>
      <c r="I43" s="5"/>
      <c r="J43" s="104"/>
      <c r="K43" s="104"/>
      <c r="L43" s="82">
        <f>L34+L41</f>
        <v>777448</v>
      </c>
      <c r="M43" s="5"/>
      <c r="N43" s="92">
        <v>100</v>
      </c>
      <c r="O43" s="6"/>
      <c r="P43" s="82">
        <f>P41+P34</f>
        <v>6301</v>
      </c>
      <c r="Q43" s="5"/>
      <c r="R43" s="82">
        <f>R41+R34</f>
        <v>783749</v>
      </c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143"/>
      <c r="AH43" s="378"/>
      <c r="AI43" s="378"/>
      <c r="AJ43" s="378"/>
      <c r="AK43" s="143"/>
      <c r="AL43" s="378"/>
      <c r="AM43" s="378"/>
      <c r="AN43" s="378"/>
      <c r="AO43" s="378"/>
      <c r="AP43" s="378"/>
      <c r="AQ43" s="143"/>
      <c r="AR43" s="378"/>
    </row>
    <row r="44" spans="1:44" ht="16.5" thickTop="1" x14ac:dyDescent="0.25">
      <c r="A44" s="378"/>
      <c r="B44" s="378"/>
      <c r="C44" s="378"/>
      <c r="D44" s="378"/>
      <c r="E44" s="378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5"/>
      <c r="T44" s="378"/>
      <c r="U44" s="378"/>
      <c r="V44" s="378"/>
      <c r="W44" s="378"/>
      <c r="X44" s="378"/>
      <c r="Y44" s="378"/>
      <c r="Z44" s="378"/>
      <c r="AA44" s="378"/>
      <c r="AB44" s="378"/>
      <c r="AC44" s="378"/>
      <c r="AD44" s="378"/>
      <c r="AE44" s="378"/>
      <c r="AF44" s="378"/>
      <c r="AG44" s="143"/>
      <c r="AH44" s="378"/>
      <c r="AI44" s="378"/>
      <c r="AJ44" s="378"/>
      <c r="AK44" s="143"/>
      <c r="AL44" s="378"/>
      <c r="AM44" s="378"/>
      <c r="AN44" s="378"/>
      <c r="AO44" s="378"/>
      <c r="AP44" s="378"/>
      <c r="AQ44" s="143"/>
      <c r="AR44" s="378"/>
    </row>
    <row r="45" spans="1:44" x14ac:dyDescent="0.25">
      <c r="A45" s="378"/>
      <c r="B45" s="378"/>
      <c r="C45" s="243" t="s">
        <v>61</v>
      </c>
      <c r="D45" s="378"/>
      <c r="E45" s="378"/>
      <c r="F45" s="48"/>
      <c r="G45" s="378"/>
      <c r="H45" s="48"/>
      <c r="I45" s="48"/>
      <c r="J45" s="51"/>
      <c r="K45" s="51"/>
      <c r="L45" s="48"/>
      <c r="M45" s="48"/>
      <c r="N45" s="48"/>
      <c r="O45" s="48"/>
      <c r="P45" s="48"/>
      <c r="Q45" s="48"/>
      <c r="R45" s="4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143"/>
      <c r="AH45" s="378"/>
      <c r="AI45" s="378"/>
      <c r="AJ45" s="378"/>
      <c r="AK45" s="143"/>
      <c r="AL45" s="378"/>
      <c r="AM45" s="378"/>
      <c r="AN45" s="378"/>
      <c r="AO45" s="378"/>
      <c r="AP45" s="378"/>
      <c r="AQ45" s="143"/>
      <c r="AR45" s="378"/>
    </row>
    <row r="46" spans="1:44" x14ac:dyDescent="0.25">
      <c r="A46" s="378"/>
      <c r="B46" s="378"/>
      <c r="C46" s="243" t="str">
        <f>"(2) REFLECTS FUEL COMPONENT OF "&amp;TEXT(PRO_FAC,"$0.000000;($0.000000)")&amp;"  PER KWH."</f>
        <v>(2) REFLECTS FUEL COMPONENT OF $0.000681  PER KWH.</v>
      </c>
      <c r="D46" s="378"/>
      <c r="E46" s="378"/>
      <c r="F46" s="48"/>
      <c r="G46" s="378"/>
      <c r="H46" s="48"/>
      <c r="I46" s="48"/>
      <c r="J46" s="51"/>
      <c r="K46" s="51"/>
      <c r="L46" s="48"/>
      <c r="M46" s="48"/>
      <c r="N46" s="48"/>
      <c r="O46" s="48"/>
      <c r="P46" s="48"/>
      <c r="Q46" s="48"/>
      <c r="R46" s="48"/>
      <c r="T46" s="378"/>
      <c r="U46" s="378"/>
      <c r="V46" s="378"/>
      <c r="W46" s="378"/>
      <c r="X46" s="378"/>
      <c r="Y46" s="378"/>
      <c r="Z46" s="378"/>
      <c r="AA46" s="378"/>
      <c r="AB46" s="378"/>
      <c r="AC46" s="378"/>
      <c r="AD46" s="378"/>
      <c r="AE46" s="378"/>
      <c r="AF46" s="378"/>
      <c r="AG46" s="143"/>
      <c r="AH46" s="378"/>
      <c r="AI46" s="378"/>
      <c r="AJ46" s="378"/>
      <c r="AK46" s="143"/>
      <c r="AL46" s="378"/>
      <c r="AM46" s="378"/>
      <c r="AN46" s="378"/>
      <c r="AO46" s="378"/>
      <c r="AP46" s="378"/>
      <c r="AQ46" s="143"/>
      <c r="AR46" s="378"/>
    </row>
    <row r="47" spans="1:44" x14ac:dyDescent="0.25">
      <c r="A47" s="56"/>
      <c r="C47" s="243" t="str">
        <f>"(3) REFLECTS FUEL COST RECOVERY INCLUDED IN BASE RATES OF "&amp;TEXT(PRO_BASE_FUEL,"$0.000000;($0.000000)")&amp;"  PER KWH."</f>
        <v>(3) REFLECTS FUEL COST RECOVERY INCLUDED IN BASE RATES OF $0.023837  PER KWH.</v>
      </c>
      <c r="D47" s="56"/>
      <c r="E47" s="56"/>
      <c r="F47" s="56"/>
      <c r="J47" s="56"/>
      <c r="K47" s="56"/>
      <c r="L47" s="56"/>
      <c r="M47" s="56"/>
      <c r="N47" s="56"/>
      <c r="O47" s="56"/>
      <c r="P47" s="56"/>
      <c r="Q47" s="56"/>
      <c r="R47" s="56"/>
      <c r="T47" s="378"/>
      <c r="U47" s="378"/>
      <c r="V47" s="378"/>
      <c r="W47" s="378"/>
      <c r="X47" s="378"/>
      <c r="Y47" s="378"/>
      <c r="Z47" s="378"/>
      <c r="AA47" s="378"/>
      <c r="AB47" s="378"/>
      <c r="AC47" s="378"/>
      <c r="AD47" s="378"/>
      <c r="AE47" s="378"/>
      <c r="AF47" s="378"/>
      <c r="AG47" s="143"/>
      <c r="AH47" s="378"/>
      <c r="AI47" s="378"/>
      <c r="AJ47" s="378"/>
      <c r="AK47" s="143"/>
      <c r="AL47" s="378"/>
      <c r="AM47" s="378"/>
      <c r="AN47" s="378"/>
      <c r="AO47" s="378"/>
      <c r="AP47" s="378"/>
      <c r="AQ47" s="143"/>
      <c r="AR47" s="378"/>
    </row>
    <row r="48" spans="1:44" x14ac:dyDescent="0.25">
      <c r="A48" s="56"/>
      <c r="C48" s="56"/>
      <c r="D48" s="56"/>
      <c r="E48" s="56"/>
      <c r="F48" s="56"/>
      <c r="J48" s="56"/>
      <c r="K48" s="56"/>
      <c r="L48" s="56"/>
      <c r="M48" s="56"/>
      <c r="N48" s="56"/>
      <c r="O48" s="56"/>
      <c r="P48" s="56"/>
      <c r="Q48" s="56"/>
      <c r="R48" s="56"/>
      <c r="T48" s="378"/>
      <c r="U48" s="378"/>
      <c r="V48" s="378"/>
      <c r="W48" s="378"/>
      <c r="X48" s="378"/>
      <c r="Y48" s="378"/>
      <c r="Z48" s="378"/>
      <c r="AA48" s="378"/>
      <c r="AB48" s="378"/>
      <c r="AC48" s="378"/>
      <c r="AD48" s="378"/>
      <c r="AE48" s="378"/>
      <c r="AF48" s="378"/>
      <c r="AG48" s="143"/>
      <c r="AH48" s="378"/>
      <c r="AI48" s="378"/>
      <c r="AJ48" s="378"/>
      <c r="AK48" s="143"/>
      <c r="AL48" s="378"/>
      <c r="AM48" s="378"/>
      <c r="AN48" s="378"/>
      <c r="AO48" s="378"/>
      <c r="AP48" s="378"/>
      <c r="AQ48" s="143"/>
      <c r="AR48" s="378"/>
    </row>
    <row r="49" spans="1:76" x14ac:dyDescent="0.25">
      <c r="A49" s="56"/>
      <c r="C49" s="56"/>
      <c r="D49" s="56"/>
      <c r="E49" s="56"/>
      <c r="F49" s="491"/>
      <c r="G49" s="491"/>
      <c r="H49" s="491"/>
      <c r="I49" s="491"/>
      <c r="J49" s="491"/>
      <c r="K49" s="56"/>
      <c r="L49" s="56"/>
      <c r="M49" s="56"/>
      <c r="N49" s="56"/>
      <c r="O49" s="56"/>
      <c r="P49" s="56"/>
      <c r="Q49" s="56"/>
      <c r="R49" s="56"/>
      <c r="T49" s="43" t="str">
        <f>NAME</f>
        <v>DUKE ENERGY KENTUCKY, INC.</v>
      </c>
      <c r="U49" s="43"/>
      <c r="V49" s="43"/>
      <c r="W49" s="43"/>
      <c r="X49" s="43"/>
      <c r="Y49" s="43"/>
      <c r="Z49" s="43"/>
      <c r="AA49" s="43"/>
      <c r="AB49" s="43"/>
      <c r="AC49" s="44"/>
      <c r="AD49" s="44"/>
      <c r="AE49" s="43"/>
      <c r="AF49" s="57"/>
      <c r="AG49" s="144"/>
      <c r="AH49" s="57"/>
      <c r="AI49" s="43"/>
      <c r="AJ49" s="43"/>
      <c r="AK49" s="144"/>
      <c r="AL49" s="43"/>
      <c r="AM49" s="43"/>
      <c r="AN49" s="57"/>
      <c r="AO49" s="43"/>
      <c r="AP49" s="43"/>
      <c r="AQ49" s="144"/>
    </row>
    <row r="50" spans="1:76" x14ac:dyDescent="0.25">
      <c r="A50" s="56"/>
      <c r="C50" s="56"/>
      <c r="D50" s="56"/>
      <c r="E50" s="56"/>
      <c r="F50" s="491"/>
      <c r="G50" s="491"/>
      <c r="H50" s="491"/>
      <c r="I50" s="491"/>
      <c r="J50" s="491"/>
      <c r="K50" s="56"/>
      <c r="L50" s="56"/>
      <c r="M50" s="56"/>
      <c r="N50" s="56"/>
      <c r="O50" s="56"/>
      <c r="P50" s="56"/>
      <c r="Q50" s="56"/>
      <c r="R50" s="56"/>
      <c r="T50" s="43" t="str">
        <f>CASE_NO</f>
        <v>CASE NO.   2019-000271</v>
      </c>
      <c r="U50" s="43"/>
      <c r="V50" s="43"/>
      <c r="W50" s="43"/>
      <c r="X50" s="43"/>
      <c r="Y50" s="43"/>
      <c r="Z50" s="43"/>
      <c r="AA50" s="43"/>
      <c r="AB50" s="43"/>
      <c r="AC50" s="44"/>
      <c r="AD50" s="44"/>
      <c r="AE50" s="43"/>
      <c r="AF50" s="57"/>
      <c r="AG50" s="144"/>
      <c r="AH50" s="57"/>
      <c r="AI50" s="43"/>
      <c r="AJ50" s="43"/>
      <c r="AK50" s="144"/>
      <c r="AL50" s="43"/>
      <c r="AM50" s="43"/>
      <c r="AN50" s="57"/>
      <c r="AO50" s="43"/>
      <c r="AP50" s="43"/>
      <c r="AQ50" s="144"/>
    </row>
    <row r="51" spans="1:76" x14ac:dyDescent="0.25">
      <c r="C51" s="56"/>
      <c r="D51" s="56"/>
      <c r="E51" s="56"/>
      <c r="F51" s="491"/>
      <c r="G51" s="491"/>
      <c r="H51" s="491"/>
      <c r="I51" s="491"/>
      <c r="J51" s="491"/>
      <c r="K51" s="56"/>
      <c r="L51" s="56"/>
      <c r="M51" s="56"/>
      <c r="N51" s="56"/>
      <c r="O51" s="56"/>
      <c r="P51" s="56"/>
      <c r="Q51" s="56"/>
      <c r="R51" s="56"/>
      <c r="T51" s="44" t="str">
        <f>TITLE</f>
        <v>ANNUALIZED BASE YEAR REVENUES AT PROPOSED VS. MOST CURRENT RATES</v>
      </c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57"/>
      <c r="AG51" s="144"/>
      <c r="AH51" s="57"/>
      <c r="AI51" s="43"/>
      <c r="AJ51" s="43"/>
      <c r="AK51" s="144"/>
      <c r="AL51" s="43"/>
      <c r="AM51" s="43"/>
      <c r="AN51" s="57"/>
      <c r="AO51" s="43"/>
      <c r="AP51" s="43"/>
      <c r="AQ51" s="144"/>
    </row>
    <row r="52" spans="1:76" x14ac:dyDescent="0.25">
      <c r="A52" s="55"/>
      <c r="B52" s="55"/>
      <c r="C52" s="55"/>
      <c r="D52" s="55"/>
      <c r="E52" s="55"/>
      <c r="F52" s="491"/>
      <c r="G52" s="491"/>
      <c r="H52" s="491"/>
      <c r="I52" s="491"/>
      <c r="J52" s="491"/>
      <c r="K52" s="55"/>
      <c r="L52" s="55"/>
      <c r="M52" s="55"/>
      <c r="N52" s="55"/>
      <c r="O52" s="55"/>
      <c r="P52" s="55"/>
      <c r="Q52" s="55"/>
      <c r="R52" s="55"/>
      <c r="T52" s="43" t="str">
        <f>DATE</f>
        <v>FOR THE TWELVE MONTHS ENDED November 30, 2019</v>
      </c>
      <c r="U52" s="43"/>
      <c r="V52" s="43"/>
      <c r="W52" s="43"/>
      <c r="X52" s="43"/>
      <c r="Y52" s="43"/>
      <c r="Z52" s="43"/>
      <c r="AA52" s="43"/>
      <c r="AB52" s="43"/>
      <c r="AC52" s="44"/>
      <c r="AD52" s="44"/>
      <c r="AE52" s="43"/>
      <c r="AF52" s="57"/>
      <c r="AG52" s="144"/>
      <c r="AH52" s="57"/>
      <c r="AI52" s="43"/>
      <c r="AJ52" s="43"/>
      <c r="AK52" s="144"/>
      <c r="AL52" s="43"/>
      <c r="AM52" s="43"/>
      <c r="AN52" s="57"/>
      <c r="AO52" s="43"/>
      <c r="AP52" s="43"/>
      <c r="AQ52" s="144"/>
    </row>
    <row r="53" spans="1:76" x14ac:dyDescent="0.25">
      <c r="F53" s="491"/>
      <c r="G53" s="491"/>
      <c r="H53" s="491"/>
      <c r="I53" s="491"/>
      <c r="J53" s="491"/>
      <c r="K53" s="56"/>
      <c r="L53" s="56"/>
      <c r="M53" s="56"/>
      <c r="N53" s="56"/>
      <c r="O53" s="56"/>
      <c r="P53" s="56"/>
      <c r="Q53" s="56"/>
      <c r="R53" s="56"/>
      <c r="T53" s="43" t="str">
        <f>SERVICE</f>
        <v>(ELECTRIC SERVICE)</v>
      </c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4"/>
      <c r="AF53" s="58"/>
      <c r="AG53" s="144"/>
      <c r="AH53" s="57"/>
      <c r="AI53" s="43"/>
      <c r="AJ53" s="43"/>
      <c r="AK53" s="144"/>
      <c r="AL53" s="43"/>
      <c r="AM53" s="43"/>
      <c r="AN53" s="57"/>
      <c r="AO53" s="43"/>
      <c r="AP53" s="43"/>
      <c r="AQ53" s="144"/>
    </row>
    <row r="54" spans="1:76" x14ac:dyDescent="0.25">
      <c r="A54" s="53"/>
      <c r="C54" s="54"/>
      <c r="D54" s="54"/>
      <c r="E54" s="54"/>
      <c r="F54" s="491"/>
      <c r="G54" s="491"/>
      <c r="H54" s="491"/>
      <c r="I54" s="491"/>
      <c r="J54" s="491"/>
      <c r="T54" s="45" t="str">
        <f>DATA_PERIOD</f>
        <v>DATA: __X__ BASE PERIOD   ____FORECASTED PERIOD</v>
      </c>
      <c r="U54" s="378"/>
      <c r="V54" s="378"/>
      <c r="W54" s="378"/>
      <c r="X54" s="378"/>
      <c r="Y54" s="378"/>
      <c r="Z54" s="378"/>
      <c r="AA54" s="378"/>
      <c r="AB54" s="378"/>
      <c r="AC54" s="378"/>
      <c r="AD54" s="378"/>
      <c r="AE54" s="378"/>
      <c r="AG54" s="143"/>
      <c r="AI54" s="378"/>
      <c r="AJ54" s="378"/>
      <c r="AK54" s="143"/>
      <c r="AL54" s="378"/>
      <c r="AM54" s="378"/>
      <c r="AO54" s="46" t="s">
        <v>164</v>
      </c>
      <c r="AP54" s="46"/>
      <c r="AQ54" s="143"/>
    </row>
    <row r="55" spans="1:76" x14ac:dyDescent="0.25">
      <c r="A55" s="53"/>
      <c r="D55" s="54"/>
      <c r="E55" s="54"/>
      <c r="T55" s="45" t="str">
        <f>TYPE</f>
        <v>TYPE OF FILING: _X_ ORIGINAL   ___UPDATED  ___ REVISED</v>
      </c>
      <c r="U55" s="378"/>
      <c r="V55" s="378"/>
      <c r="W55" s="378"/>
      <c r="X55" s="378"/>
      <c r="Y55" s="378"/>
      <c r="Z55" s="378"/>
      <c r="AA55" s="378"/>
      <c r="AB55" s="378"/>
      <c r="AC55" s="378"/>
      <c r="AD55" s="378"/>
      <c r="AE55" s="378"/>
      <c r="AG55" s="143"/>
      <c r="AI55" s="378"/>
      <c r="AJ55" s="378"/>
      <c r="AK55" s="143"/>
      <c r="AL55" s="378"/>
      <c r="AM55" s="378"/>
      <c r="AO55" s="52" t="str">
        <f>"PAGE 6 OF "&amp;TEXT(Page_Num_2.2,"00")</f>
        <v>PAGE 6 OF 22</v>
      </c>
      <c r="AP55" s="46"/>
      <c r="AQ55" s="143"/>
    </row>
    <row r="56" spans="1:76" x14ac:dyDescent="0.25">
      <c r="T56" s="46" t="s">
        <v>177</v>
      </c>
      <c r="U56" s="378"/>
      <c r="V56" s="378"/>
      <c r="W56" s="378"/>
      <c r="X56" s="378"/>
      <c r="Y56" s="378"/>
      <c r="Z56" s="378"/>
      <c r="AA56" s="378"/>
      <c r="AB56" s="378"/>
      <c r="AC56" s="378"/>
      <c r="AD56" s="378"/>
      <c r="AE56" s="378"/>
      <c r="AG56" s="143"/>
      <c r="AI56" s="378"/>
      <c r="AJ56" s="378"/>
      <c r="AK56" s="143"/>
      <c r="AL56" s="378"/>
      <c r="AM56" s="378"/>
      <c r="AO56" s="46" t="s">
        <v>3</v>
      </c>
      <c r="AP56" s="46"/>
      <c r="AQ56" s="143"/>
    </row>
    <row r="57" spans="1:76" x14ac:dyDescent="0.25">
      <c r="A57" s="53"/>
      <c r="C57" s="54"/>
      <c r="T57" s="222" t="str">
        <f>TIME</f>
        <v>6 Months Actual and 6 Months Projected with Riders</v>
      </c>
      <c r="U57" s="378"/>
      <c r="V57" s="378"/>
      <c r="W57" s="378"/>
      <c r="X57" s="378"/>
      <c r="Y57" s="378"/>
      <c r="Z57" s="378"/>
      <c r="AA57" s="378"/>
      <c r="AB57" s="378"/>
      <c r="AC57" s="378"/>
      <c r="AD57" s="378"/>
      <c r="AE57" s="378"/>
      <c r="AG57" s="143"/>
      <c r="AI57" s="378"/>
      <c r="AJ57" s="378"/>
      <c r="AK57" s="143"/>
      <c r="AL57" s="378"/>
      <c r="AM57" s="378"/>
      <c r="AO57" s="45" t="str">
        <f>WIT</f>
        <v>J. L. Kern</v>
      </c>
      <c r="AP57" s="45"/>
      <c r="AQ57" s="143"/>
    </row>
    <row r="58" spans="1:76" x14ac:dyDescent="0.25">
      <c r="A58" s="53"/>
      <c r="C58" s="54"/>
      <c r="T58" s="222" t="str">
        <f>INPUT!B5</f>
        <v>6 Months Actual Ending May 31, 2019</v>
      </c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378"/>
      <c r="AG58" s="143"/>
      <c r="AI58" s="378"/>
      <c r="AJ58" s="378"/>
      <c r="AK58" s="143"/>
      <c r="AL58" s="378"/>
      <c r="AM58" s="378"/>
      <c r="AO58" s="45"/>
      <c r="AP58" s="45"/>
      <c r="AQ58" s="143"/>
    </row>
    <row r="59" spans="1:76" x14ac:dyDescent="0.25">
      <c r="A59" s="53"/>
      <c r="C59" s="54"/>
      <c r="F59" s="449"/>
      <c r="H59" s="449"/>
      <c r="I59" s="449"/>
      <c r="J59" s="461"/>
      <c r="K59" s="461"/>
      <c r="L59" s="379"/>
      <c r="M59" s="379"/>
      <c r="N59" s="50"/>
      <c r="O59" s="50"/>
      <c r="P59" s="53"/>
      <c r="Q59" s="53"/>
      <c r="R59" s="379"/>
      <c r="T59" s="44" t="s">
        <v>137</v>
      </c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57"/>
      <c r="AG59" s="144"/>
      <c r="AH59" s="57"/>
      <c r="AI59" s="43"/>
      <c r="AJ59" s="43"/>
      <c r="AK59" s="144"/>
      <c r="AL59" s="43"/>
      <c r="AM59" s="43"/>
      <c r="AN59" s="57"/>
      <c r="AO59" s="43"/>
      <c r="AP59" s="43"/>
      <c r="AQ59" s="144"/>
    </row>
    <row r="60" spans="1:76" x14ac:dyDescent="0.25">
      <c r="A60" s="53"/>
      <c r="C60" s="54"/>
      <c r="F60" s="449"/>
      <c r="H60" s="449"/>
      <c r="I60" s="449"/>
      <c r="J60" s="461"/>
      <c r="K60" s="461"/>
      <c r="L60" s="379"/>
      <c r="M60" s="379"/>
      <c r="N60" s="50"/>
      <c r="O60" s="50"/>
      <c r="P60" s="53"/>
      <c r="Q60" s="53"/>
      <c r="R60" s="379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145"/>
      <c r="AH60" s="47"/>
      <c r="AI60" s="47"/>
      <c r="AJ60" s="47"/>
      <c r="AK60" s="145"/>
      <c r="AL60" s="47"/>
      <c r="AM60" s="47"/>
      <c r="AN60" s="47"/>
      <c r="AO60" s="47"/>
      <c r="AP60" s="47"/>
      <c r="AQ60" s="145"/>
      <c r="AS60" s="378"/>
      <c r="AT60" s="378"/>
      <c r="AU60" s="378"/>
    </row>
    <row r="61" spans="1:76" ht="18" customHeight="1" x14ac:dyDescent="0.25">
      <c r="F61" s="381"/>
      <c r="H61" s="379"/>
      <c r="I61" s="379"/>
      <c r="J61" s="464"/>
      <c r="K61" s="464"/>
      <c r="L61" s="381"/>
      <c r="M61" s="381"/>
      <c r="N61" s="381"/>
      <c r="O61" s="381"/>
      <c r="P61" s="381"/>
      <c r="Q61" s="381"/>
      <c r="R61" s="381"/>
      <c r="T61" s="378"/>
      <c r="U61" s="378"/>
      <c r="V61" s="378"/>
      <c r="W61" s="378"/>
      <c r="X61" s="378"/>
      <c r="Y61" s="378"/>
      <c r="Z61" s="378"/>
      <c r="AA61" s="378"/>
      <c r="AB61" s="378"/>
      <c r="AC61" s="378"/>
      <c r="AD61" s="378"/>
      <c r="AE61" s="426" t="s">
        <v>8</v>
      </c>
      <c r="AF61" s="56"/>
      <c r="AG61" s="146" t="s">
        <v>7</v>
      </c>
      <c r="AH61" s="56"/>
      <c r="AI61" s="426" t="s">
        <v>9</v>
      </c>
      <c r="AJ61" s="426"/>
      <c r="AK61" s="146" t="s">
        <v>10</v>
      </c>
      <c r="AL61" s="426"/>
      <c r="AM61" s="378"/>
      <c r="AO61" s="426" t="s">
        <v>8</v>
      </c>
      <c r="AP61" s="426"/>
      <c r="AQ61" s="146" t="s">
        <v>11</v>
      </c>
      <c r="AS61" s="378"/>
      <c r="AT61" s="378"/>
      <c r="AU61" s="378"/>
    </row>
    <row r="62" spans="1:76" x14ac:dyDescent="0.25">
      <c r="A62" s="53"/>
      <c r="C62" s="54"/>
      <c r="F62" s="379"/>
      <c r="H62" s="379"/>
      <c r="I62" s="379"/>
      <c r="J62" s="464"/>
      <c r="K62" s="464"/>
      <c r="L62" s="379"/>
      <c r="M62" s="379"/>
      <c r="N62" s="50"/>
      <c r="O62" s="50"/>
      <c r="P62" s="379"/>
      <c r="Q62" s="379"/>
      <c r="R62" s="379"/>
      <c r="T62" s="378"/>
      <c r="U62" s="378"/>
      <c r="V62" s="378"/>
      <c r="W62" s="378"/>
      <c r="X62" s="378"/>
      <c r="Y62" s="378"/>
      <c r="Z62" s="378"/>
      <c r="AA62" s="378"/>
      <c r="AB62" s="378"/>
      <c r="AC62" s="426" t="s">
        <v>14</v>
      </c>
      <c r="AD62" s="426"/>
      <c r="AE62" s="426" t="s">
        <v>12</v>
      </c>
      <c r="AF62" s="56"/>
      <c r="AG62" s="146" t="s">
        <v>13</v>
      </c>
      <c r="AH62" s="56"/>
      <c r="AI62" s="426" t="s">
        <v>15</v>
      </c>
      <c r="AJ62" s="426"/>
      <c r="AK62" s="146" t="s">
        <v>16</v>
      </c>
      <c r="AL62" s="426"/>
      <c r="AM62" s="378"/>
      <c r="AO62" s="426" t="s">
        <v>11</v>
      </c>
      <c r="AP62" s="426"/>
      <c r="AQ62" s="146" t="s">
        <v>9</v>
      </c>
      <c r="AS62" s="378"/>
      <c r="AT62" s="378"/>
      <c r="AU62" s="378"/>
    </row>
    <row r="63" spans="1:76" x14ac:dyDescent="0.25">
      <c r="F63" s="381"/>
      <c r="H63" s="379"/>
      <c r="I63" s="379"/>
      <c r="J63" s="464"/>
      <c r="K63" s="464"/>
      <c r="L63" s="381"/>
      <c r="M63" s="381"/>
      <c r="N63" s="381"/>
      <c r="O63" s="381"/>
      <c r="P63" s="381"/>
      <c r="Q63" s="381"/>
      <c r="R63" s="381"/>
      <c r="T63" s="426" t="s">
        <v>17</v>
      </c>
      <c r="U63" s="378"/>
      <c r="V63" s="426" t="s">
        <v>18</v>
      </c>
      <c r="W63" s="426" t="s">
        <v>19</v>
      </c>
      <c r="X63" s="426"/>
      <c r="Y63" s="426" t="s">
        <v>20</v>
      </c>
      <c r="Z63" s="378"/>
      <c r="AA63" s="378"/>
      <c r="AB63" s="378"/>
      <c r="AC63" s="426" t="s">
        <v>8</v>
      </c>
      <c r="AD63" s="426"/>
      <c r="AE63" s="426" t="s">
        <v>21</v>
      </c>
      <c r="AF63" s="56"/>
      <c r="AG63" s="146" t="s">
        <v>21</v>
      </c>
      <c r="AH63" s="56"/>
      <c r="AI63" s="426" t="s">
        <v>22</v>
      </c>
      <c r="AJ63" s="426"/>
      <c r="AK63" s="146" t="s">
        <v>22</v>
      </c>
      <c r="AL63" s="426"/>
      <c r="AM63" s="426" t="s">
        <v>21</v>
      </c>
      <c r="AN63" s="56"/>
      <c r="AO63" s="426" t="s">
        <v>9</v>
      </c>
      <c r="AP63" s="426"/>
      <c r="AQ63" s="146" t="s">
        <v>23</v>
      </c>
      <c r="AS63" s="48"/>
      <c r="AT63" s="48"/>
      <c r="AU63" s="492"/>
    </row>
    <row r="64" spans="1:76" x14ac:dyDescent="0.25">
      <c r="F64" s="379"/>
      <c r="H64" s="379"/>
      <c r="I64" s="379"/>
      <c r="J64" s="464"/>
      <c r="K64" s="464"/>
      <c r="L64" s="379"/>
      <c r="M64" s="379"/>
      <c r="N64" s="50"/>
      <c r="O64" s="50"/>
      <c r="P64" s="379"/>
      <c r="Q64" s="379"/>
      <c r="R64" s="379"/>
      <c r="T64" s="426" t="s">
        <v>24</v>
      </c>
      <c r="U64" s="378"/>
      <c r="V64" s="426" t="s">
        <v>25</v>
      </c>
      <c r="W64" s="426" t="s">
        <v>26</v>
      </c>
      <c r="X64" s="426"/>
      <c r="Y64" s="426" t="s">
        <v>27</v>
      </c>
      <c r="Z64" s="378"/>
      <c r="AA64" s="426" t="s">
        <v>28</v>
      </c>
      <c r="AB64" s="426"/>
      <c r="AC64" s="426" t="s">
        <v>29</v>
      </c>
      <c r="AD64" s="426"/>
      <c r="AE64" s="426" t="s">
        <v>9</v>
      </c>
      <c r="AF64" s="56"/>
      <c r="AG64" s="146" t="s">
        <v>9</v>
      </c>
      <c r="AH64" s="56"/>
      <c r="AI64" s="265" t="s">
        <v>31</v>
      </c>
      <c r="AJ64" s="265"/>
      <c r="AK64" s="440" t="s">
        <v>32</v>
      </c>
      <c r="AL64" s="426"/>
      <c r="AM64" s="426" t="s">
        <v>379</v>
      </c>
      <c r="AN64" s="56"/>
      <c r="AO64" s="265" t="s">
        <v>33</v>
      </c>
      <c r="AP64" s="265"/>
      <c r="AQ64" s="440" t="s">
        <v>34</v>
      </c>
      <c r="AS64" s="48"/>
      <c r="AT64" s="48"/>
      <c r="AU64" s="49"/>
      <c r="BX64" s="470"/>
    </row>
    <row r="65" spans="1:47" x14ac:dyDescent="0.25">
      <c r="A65" s="53"/>
      <c r="C65" s="54"/>
      <c r="F65" s="449"/>
      <c r="H65" s="449"/>
      <c r="I65" s="449"/>
      <c r="J65" s="461"/>
      <c r="K65" s="461"/>
      <c r="L65" s="379"/>
      <c r="M65" s="379"/>
      <c r="N65" s="50"/>
      <c r="O65" s="50"/>
      <c r="P65" s="379"/>
      <c r="Q65" s="379"/>
      <c r="R65" s="379"/>
      <c r="T65" s="378"/>
      <c r="U65" s="378"/>
      <c r="V65" s="265" t="s">
        <v>35</v>
      </c>
      <c r="W65" s="265" t="s">
        <v>36</v>
      </c>
      <c r="X65" s="265"/>
      <c r="Y65" s="265" t="s">
        <v>37</v>
      </c>
      <c r="Z65" s="218"/>
      <c r="AA65" s="265" t="s">
        <v>38</v>
      </c>
      <c r="AB65" s="265"/>
      <c r="AC65" s="265" t="s">
        <v>44</v>
      </c>
      <c r="AD65" s="265"/>
      <c r="AE65" s="265" t="s">
        <v>45</v>
      </c>
      <c r="AF65" s="466"/>
      <c r="AG65" s="440" t="s">
        <v>46</v>
      </c>
      <c r="AH65" s="466"/>
      <c r="AI65" s="265" t="s">
        <v>47</v>
      </c>
      <c r="AJ65" s="265"/>
      <c r="AK65" s="440" t="s">
        <v>48</v>
      </c>
      <c r="AL65" s="265"/>
      <c r="AM65" s="265" t="s">
        <v>42</v>
      </c>
      <c r="AN65" s="466"/>
      <c r="AO65" s="265" t="s">
        <v>49</v>
      </c>
      <c r="AP65" s="265"/>
      <c r="AQ65" s="440" t="s">
        <v>50</v>
      </c>
      <c r="AS65" s="48"/>
      <c r="AT65" s="48"/>
      <c r="AU65" s="49"/>
    </row>
    <row r="66" spans="1:47" x14ac:dyDescent="0.25">
      <c r="F66" s="379"/>
      <c r="H66" s="381"/>
      <c r="I66" s="381"/>
      <c r="J66" s="464"/>
      <c r="K66" s="464"/>
      <c r="L66" s="381"/>
      <c r="M66" s="381"/>
      <c r="N66" s="381"/>
      <c r="O66" s="381"/>
      <c r="P66" s="381"/>
      <c r="Q66" s="381"/>
      <c r="R66" s="381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145"/>
      <c r="AH66" s="47"/>
      <c r="AI66" s="47"/>
      <c r="AJ66" s="47"/>
      <c r="AK66" s="145"/>
      <c r="AL66" s="47"/>
      <c r="AM66" s="47"/>
      <c r="AN66" s="47"/>
      <c r="AO66" s="47"/>
      <c r="AP66" s="47"/>
      <c r="AQ66" s="145"/>
      <c r="AS66" s="48"/>
      <c r="AT66" s="48"/>
      <c r="AU66" s="49"/>
    </row>
    <row r="67" spans="1:47" ht="17.100000000000001" customHeight="1" x14ac:dyDescent="0.25">
      <c r="A67" s="53"/>
      <c r="C67" s="54"/>
      <c r="F67" s="379"/>
      <c r="H67" s="379"/>
      <c r="I67" s="379"/>
      <c r="J67" s="59"/>
      <c r="K67" s="59"/>
      <c r="L67" s="379"/>
      <c r="M67" s="379"/>
      <c r="N67" s="50"/>
      <c r="O67" s="50"/>
      <c r="P67" s="379"/>
      <c r="Q67" s="379"/>
      <c r="R67" s="379"/>
      <c r="T67" s="378"/>
      <c r="U67" s="378"/>
      <c r="V67" s="378"/>
      <c r="W67" s="378"/>
      <c r="X67" s="378"/>
      <c r="Y67" s="378"/>
      <c r="Z67" s="378"/>
      <c r="AA67" s="442" t="s">
        <v>203</v>
      </c>
      <c r="AB67" s="441"/>
      <c r="AC67" s="442" t="s">
        <v>390</v>
      </c>
      <c r="AD67" s="441"/>
      <c r="AE67" s="441" t="s">
        <v>52</v>
      </c>
      <c r="AF67" s="467"/>
      <c r="AG67" s="443" t="s">
        <v>53</v>
      </c>
      <c r="AH67" s="467"/>
      <c r="AI67" s="441" t="s">
        <v>52</v>
      </c>
      <c r="AJ67" s="441"/>
      <c r="AK67" s="443" t="s">
        <v>53</v>
      </c>
      <c r="AL67" s="441"/>
      <c r="AM67" s="441" t="s">
        <v>52</v>
      </c>
      <c r="AN67" s="467"/>
      <c r="AO67" s="441" t="s">
        <v>52</v>
      </c>
      <c r="AP67" s="441"/>
      <c r="AQ67" s="443" t="s">
        <v>53</v>
      </c>
      <c r="AS67" s="48"/>
      <c r="AT67" s="48"/>
      <c r="AU67" s="492"/>
    </row>
    <row r="68" spans="1:47" x14ac:dyDescent="0.25">
      <c r="A68" s="53"/>
      <c r="C68" s="54"/>
      <c r="F68" s="449"/>
      <c r="H68" s="449"/>
      <c r="I68" s="449"/>
      <c r="J68" s="472"/>
      <c r="K68" s="472"/>
      <c r="L68" s="379"/>
      <c r="M68" s="379"/>
      <c r="N68" s="50"/>
      <c r="O68" s="50"/>
      <c r="P68" s="449"/>
      <c r="Q68" s="449"/>
      <c r="R68" s="379"/>
      <c r="T68" s="45">
        <v>1</v>
      </c>
      <c r="U68" s="378"/>
      <c r="V68" s="222" t="s">
        <v>100</v>
      </c>
      <c r="W68" s="222" t="s">
        <v>161</v>
      </c>
      <c r="X68" s="46"/>
      <c r="Y68" s="2"/>
      <c r="Z68" s="2"/>
      <c r="AA68" s="459"/>
      <c r="AB68" s="459"/>
      <c r="AC68" s="460" t="s">
        <v>384</v>
      </c>
      <c r="AD68" s="459"/>
      <c r="AE68" s="459"/>
      <c r="AF68" s="459"/>
      <c r="AG68" s="469"/>
      <c r="AH68" s="459"/>
      <c r="AI68" s="459"/>
      <c r="AJ68" s="459"/>
      <c r="AK68" s="469"/>
      <c r="AL68" s="459"/>
      <c r="AM68" s="459"/>
      <c r="AN68" s="459"/>
      <c r="AO68" s="459"/>
      <c r="AP68" s="459"/>
      <c r="AQ68" s="469"/>
      <c r="AS68" s="48"/>
      <c r="AT68" s="48"/>
      <c r="AU68" s="49"/>
    </row>
    <row r="69" spans="1:47" x14ac:dyDescent="0.25">
      <c r="A69" s="53"/>
      <c r="C69" s="54"/>
      <c r="H69" s="449"/>
      <c r="I69" s="449"/>
      <c r="J69" s="472"/>
      <c r="K69" s="472"/>
      <c r="L69" s="379"/>
      <c r="M69" s="379"/>
      <c r="N69" s="50"/>
      <c r="O69" s="50"/>
      <c r="P69" s="449"/>
      <c r="Q69" s="449"/>
      <c r="R69" s="379"/>
      <c r="T69" s="45">
        <v>2</v>
      </c>
      <c r="U69" s="378"/>
      <c r="V69" s="218"/>
      <c r="W69" s="222" t="s">
        <v>162</v>
      </c>
      <c r="X69" s="46"/>
      <c r="Y69" s="2"/>
      <c r="Z69" s="2"/>
      <c r="AA69" s="2"/>
      <c r="AB69" s="2"/>
      <c r="AC69" s="2"/>
      <c r="AD69" s="2"/>
      <c r="AE69" s="2"/>
      <c r="AF69" s="2"/>
      <c r="AG69" s="147"/>
      <c r="AH69" s="2"/>
      <c r="AI69" s="2"/>
      <c r="AJ69" s="2"/>
      <c r="AK69" s="147"/>
      <c r="AL69" s="2"/>
      <c r="AM69" s="2"/>
      <c r="AN69" s="2"/>
      <c r="AO69" s="2"/>
      <c r="AP69" s="2"/>
      <c r="AQ69" s="147"/>
      <c r="AS69" s="48"/>
      <c r="AT69" s="48"/>
      <c r="AU69" s="49"/>
    </row>
    <row r="70" spans="1:47" x14ac:dyDescent="0.25">
      <c r="A70" s="53"/>
      <c r="C70" s="54"/>
      <c r="F70" s="379"/>
      <c r="H70" s="379"/>
      <c r="I70" s="379"/>
      <c r="J70" s="59"/>
      <c r="K70" s="59"/>
      <c r="L70" s="379"/>
      <c r="M70" s="379"/>
      <c r="N70" s="50"/>
      <c r="O70" s="50"/>
      <c r="P70" s="379"/>
      <c r="Q70" s="379"/>
      <c r="R70" s="379"/>
      <c r="T70" s="378"/>
      <c r="U70" s="378"/>
      <c r="V70" s="378"/>
      <c r="W70" s="378"/>
      <c r="X70" s="378"/>
      <c r="Y70" s="2"/>
      <c r="Z70" s="2"/>
      <c r="AA70" s="2"/>
      <c r="AB70" s="2"/>
      <c r="AC70" s="2"/>
      <c r="AD70" s="2"/>
      <c r="AE70" s="2"/>
      <c r="AF70" s="2"/>
      <c r="AG70" s="147"/>
      <c r="AH70" s="2"/>
      <c r="AI70" s="2"/>
      <c r="AJ70" s="2"/>
      <c r="AK70" s="147"/>
      <c r="AL70" s="2"/>
      <c r="AM70" s="2"/>
      <c r="AN70" s="2"/>
      <c r="AO70" s="2"/>
      <c r="AP70" s="2"/>
      <c r="AQ70" s="147"/>
      <c r="AS70" s="48"/>
      <c r="AT70" s="48"/>
      <c r="AU70" s="49"/>
    </row>
    <row r="71" spans="1:47" x14ac:dyDescent="0.25">
      <c r="F71" s="381"/>
      <c r="H71" s="381"/>
      <c r="I71" s="381"/>
      <c r="J71" s="464"/>
      <c r="K71" s="464"/>
      <c r="L71" s="381"/>
      <c r="M71" s="381"/>
      <c r="N71" s="381"/>
      <c r="O71" s="381"/>
      <c r="P71" s="381"/>
      <c r="Q71" s="381"/>
      <c r="R71" s="381"/>
      <c r="T71" s="45">
        <v>3</v>
      </c>
      <c r="U71" s="378"/>
      <c r="V71" s="222" t="s">
        <v>140</v>
      </c>
      <c r="W71" s="378"/>
      <c r="X71" s="378"/>
      <c r="Y71" s="5"/>
      <c r="Z71" s="2"/>
      <c r="AA71" s="2"/>
      <c r="AB71" s="2"/>
      <c r="AC71" s="104"/>
      <c r="AD71" s="104"/>
      <c r="AE71" s="5"/>
      <c r="AF71" s="5"/>
      <c r="AG71" s="147"/>
      <c r="AH71" s="2"/>
      <c r="AI71" s="2"/>
      <c r="AJ71" s="2"/>
      <c r="AK71" s="147"/>
      <c r="AL71" s="2"/>
      <c r="AM71" s="2"/>
      <c r="AN71" s="2"/>
      <c r="AO71" s="5"/>
      <c r="AP71" s="5"/>
      <c r="AQ71" s="147"/>
      <c r="AS71" s="48"/>
      <c r="AT71" s="48"/>
      <c r="AU71" s="49"/>
    </row>
    <row r="72" spans="1:47" x14ac:dyDescent="0.25">
      <c r="A72" s="54"/>
      <c r="F72" s="379"/>
      <c r="H72" s="379"/>
      <c r="I72" s="379"/>
      <c r="J72" s="59"/>
      <c r="K72" s="59"/>
      <c r="L72" s="379"/>
      <c r="M72" s="379"/>
      <c r="N72" s="379"/>
      <c r="O72" s="379"/>
      <c r="P72" s="379"/>
      <c r="Q72" s="379"/>
      <c r="R72" s="379"/>
      <c r="T72" s="45">
        <v>4</v>
      </c>
      <c r="U72" s="378"/>
      <c r="V72" s="46" t="s">
        <v>141</v>
      </c>
      <c r="W72" s="378"/>
      <c r="X72" s="378"/>
      <c r="Y72" s="5">
        <f>F24</f>
        <v>106</v>
      </c>
      <c r="Z72" s="2"/>
      <c r="AA72" s="5"/>
      <c r="AB72" s="5"/>
      <c r="AC72" s="450">
        <f>INPUT!C85</f>
        <v>17.14</v>
      </c>
      <c r="AD72" s="96"/>
      <c r="AE72" s="5">
        <f>ROUND(Y72*AC72,0)</f>
        <v>1817</v>
      </c>
      <c r="AF72" s="5"/>
      <c r="AG72" s="383">
        <f>ROUND((AE72/AE$91)*100,1)</f>
        <v>0.3</v>
      </c>
      <c r="AH72" s="6"/>
      <c r="AI72" s="5">
        <f>L24-AE72</f>
        <v>-227</v>
      </c>
      <c r="AJ72" s="5"/>
      <c r="AK72" s="164">
        <f>IF(AE72=0,"0.0 ",ROUND((AI72/AE72)*100,1))</f>
        <v>-12.5</v>
      </c>
      <c r="AL72" s="8"/>
      <c r="AM72" s="5"/>
      <c r="AN72" s="5"/>
      <c r="AO72" s="5">
        <f>AE72+AM72</f>
        <v>1817</v>
      </c>
      <c r="AP72" s="5"/>
      <c r="AQ72" s="164">
        <f>IF(AO72=0,"0.0 ",ROUND((AI72/AO72)*100,1))</f>
        <v>-12.5</v>
      </c>
      <c r="AR72" s="379"/>
      <c r="AS72" s="48"/>
      <c r="AT72" s="48"/>
      <c r="AU72" s="49"/>
    </row>
    <row r="73" spans="1:47" x14ac:dyDescent="0.25">
      <c r="L73" s="379"/>
      <c r="M73" s="379"/>
      <c r="N73" s="379"/>
      <c r="O73" s="379"/>
      <c r="P73" s="379"/>
      <c r="Q73" s="379"/>
      <c r="R73" s="379"/>
      <c r="T73" s="45">
        <v>5</v>
      </c>
      <c r="U73" s="378"/>
      <c r="V73" s="46" t="s">
        <v>142</v>
      </c>
      <c r="W73" s="378"/>
      <c r="X73" s="378"/>
      <c r="Y73" s="5">
        <f>F25</f>
        <v>368</v>
      </c>
      <c r="Z73" s="2"/>
      <c r="AA73" s="5"/>
      <c r="AB73" s="5"/>
      <c r="AC73" s="450">
        <f>INPUT!C86</f>
        <v>34.28</v>
      </c>
      <c r="AD73" s="96"/>
      <c r="AE73" s="5">
        <f>ROUND(Y73*AC73,0)</f>
        <v>12615</v>
      </c>
      <c r="AF73" s="5"/>
      <c r="AG73" s="383">
        <f>ROUND((AE73/AE$91)*100,1)</f>
        <v>1.8</v>
      </c>
      <c r="AH73" s="6"/>
      <c r="AI73" s="5">
        <f>L25-AE73</f>
        <v>-1575</v>
      </c>
      <c r="AJ73" s="5"/>
      <c r="AK73" s="149">
        <f>IF(AE73=0,"0.0 ",ROUND((AI73/AE73)*100,1))</f>
        <v>-12.5</v>
      </c>
      <c r="AL73" s="8"/>
      <c r="AM73" s="5"/>
      <c r="AN73" s="5"/>
      <c r="AO73" s="5">
        <f>AE73+AM73</f>
        <v>12615</v>
      </c>
      <c r="AP73" s="5"/>
      <c r="AQ73" s="164">
        <f>IF(AO73=0,"0.0 ",ROUND((AI73/AO73)*100,1))</f>
        <v>-12.5</v>
      </c>
      <c r="AR73" s="379"/>
      <c r="AS73" s="48"/>
      <c r="AT73" s="48"/>
      <c r="AU73" s="49"/>
    </row>
    <row r="74" spans="1:47" x14ac:dyDescent="0.25">
      <c r="L74" s="379"/>
      <c r="M74" s="379"/>
      <c r="N74" s="379"/>
      <c r="O74" s="379"/>
      <c r="P74" s="379"/>
      <c r="Q74" s="379"/>
      <c r="R74" s="379"/>
      <c r="T74" s="45">
        <v>6</v>
      </c>
      <c r="U74" s="378"/>
      <c r="V74" s="46" t="s">
        <v>151</v>
      </c>
      <c r="W74" s="378"/>
      <c r="X74" s="378"/>
      <c r="Y74" s="5">
        <f>F26</f>
        <v>0</v>
      </c>
      <c r="Z74" s="2"/>
      <c r="AA74" s="5"/>
      <c r="AB74" s="5"/>
      <c r="AC74" s="450">
        <f>INPUT!C87</f>
        <v>117</v>
      </c>
      <c r="AD74" s="96"/>
      <c r="AE74" s="81">
        <f>ROUND(Y74*AC74,0)</f>
        <v>0</v>
      </c>
      <c r="AF74" s="5"/>
      <c r="AG74" s="148">
        <f>ROUND((AE74/AE$91)*100,1)</f>
        <v>0</v>
      </c>
      <c r="AH74" s="6"/>
      <c r="AI74" s="5">
        <f>L26-AE74</f>
        <v>0</v>
      </c>
      <c r="AJ74" s="5"/>
      <c r="AK74" s="163" t="str">
        <f>IF(AE74=0,"0.0 ",ROUND((AI74/AE74)*100,1))</f>
        <v xml:space="preserve">0.0 </v>
      </c>
      <c r="AL74" s="8"/>
      <c r="AM74" s="5"/>
      <c r="AN74" s="5"/>
      <c r="AO74" s="5">
        <f>AE74+AM74</f>
        <v>0</v>
      </c>
      <c r="AP74" s="5"/>
      <c r="AQ74" s="164" t="str">
        <f>IF(AO74=0,"0.0 ",ROUND((AI74/AO74)*100,1))</f>
        <v xml:space="preserve">0.0 </v>
      </c>
      <c r="AR74" s="379"/>
      <c r="AS74" s="48"/>
      <c r="AT74" s="48"/>
      <c r="AU74" s="49"/>
    </row>
    <row r="75" spans="1:47" ht="20.100000000000001" customHeight="1" x14ac:dyDescent="0.25">
      <c r="H75" s="54"/>
      <c r="I75" s="54"/>
      <c r="T75" s="45">
        <v>7</v>
      </c>
      <c r="U75" s="378"/>
      <c r="V75" s="222" t="s">
        <v>143</v>
      </c>
      <c r="W75" s="378"/>
      <c r="X75" s="378"/>
      <c r="Y75" s="90">
        <f>F27</f>
        <v>474</v>
      </c>
      <c r="Z75" s="2"/>
      <c r="AA75" s="5"/>
      <c r="AB75" s="5"/>
      <c r="AC75" s="9"/>
      <c r="AD75" s="9"/>
      <c r="AE75" s="90">
        <f>SUM(AE72:AE74)</f>
        <v>14432</v>
      </c>
      <c r="AF75" s="5"/>
      <c r="AG75" s="148">
        <f>ROUND((AE75/AE$91)*100,1)</f>
        <v>2.1</v>
      </c>
      <c r="AH75" s="6"/>
      <c r="AI75" s="90">
        <f>SUM(AI72:AI74)</f>
        <v>-1802</v>
      </c>
      <c r="AJ75" s="5"/>
      <c r="AK75" s="165">
        <f>IF(AE75=0,"0.0 ",ROUND((AI75/AE75)*100,1))</f>
        <v>-12.5</v>
      </c>
      <c r="AL75" s="8"/>
      <c r="AM75" s="90"/>
      <c r="AN75" s="5"/>
      <c r="AO75" s="90">
        <f>SUM(AO72:AO74)</f>
        <v>14432</v>
      </c>
      <c r="AP75" s="5"/>
      <c r="AQ75" s="164">
        <f>IF(AO75=0,"0.0 ",ROUND((AI75/AO75)*100,1))</f>
        <v>-12.5</v>
      </c>
      <c r="AR75" s="379"/>
      <c r="AS75" s="378"/>
      <c r="AT75" s="378"/>
      <c r="AU75" s="378"/>
    </row>
    <row r="76" spans="1:47" x14ac:dyDescent="0.25">
      <c r="L76" s="54"/>
      <c r="M76" s="54"/>
      <c r="T76" s="378"/>
      <c r="U76" s="378"/>
      <c r="V76" s="378"/>
      <c r="W76" s="378"/>
      <c r="X76" s="378"/>
      <c r="Y76" s="5"/>
      <c r="Z76" s="2"/>
      <c r="AA76" s="2"/>
      <c r="AB76" s="2"/>
      <c r="AC76" s="2"/>
      <c r="AD76" s="2"/>
      <c r="AE76" s="2"/>
      <c r="AF76" s="2"/>
      <c r="AG76" s="147"/>
      <c r="AH76" s="2"/>
      <c r="AI76" s="2"/>
      <c r="AJ76" s="2"/>
      <c r="AK76" s="147"/>
      <c r="AL76" s="2"/>
      <c r="AM76" s="2"/>
      <c r="AN76" s="2"/>
      <c r="AO76" s="5"/>
      <c r="AP76" s="5"/>
      <c r="AQ76" s="147"/>
      <c r="AR76" s="449"/>
    </row>
    <row r="77" spans="1:47" x14ac:dyDescent="0.25">
      <c r="L77" s="54"/>
      <c r="M77" s="54"/>
      <c r="T77" s="378">
        <v>8</v>
      </c>
      <c r="U77" s="378"/>
      <c r="V77" s="218" t="s">
        <v>65</v>
      </c>
      <c r="W77" s="378"/>
      <c r="X77" s="378"/>
      <c r="Y77" s="5"/>
      <c r="Z77" s="2"/>
      <c r="AA77" s="2"/>
      <c r="AB77" s="2"/>
      <c r="AC77" s="2"/>
      <c r="AD77" s="2"/>
      <c r="AE77" s="2"/>
      <c r="AF77" s="2"/>
      <c r="AG77" s="147"/>
      <c r="AH77" s="2"/>
      <c r="AI77" s="2"/>
      <c r="AJ77" s="2"/>
      <c r="AK77" s="167"/>
      <c r="AL77" s="2"/>
      <c r="AM77" s="2"/>
      <c r="AN77" s="2"/>
      <c r="AO77" s="5"/>
      <c r="AP77" s="5"/>
      <c r="AQ77" s="147"/>
      <c r="AR77" s="449"/>
    </row>
    <row r="78" spans="1:47" x14ac:dyDescent="0.25">
      <c r="L78" s="54"/>
      <c r="M78" s="54"/>
      <c r="T78" s="378">
        <v>9</v>
      </c>
      <c r="U78" s="378"/>
      <c r="V78" s="378" t="s">
        <v>157</v>
      </c>
      <c r="W78" s="378"/>
      <c r="X78" s="378"/>
      <c r="Y78" s="5"/>
      <c r="Z78" s="2"/>
      <c r="AA78" s="105">
        <f>H30</f>
        <v>29465.579999999998</v>
      </c>
      <c r="AB78" s="2"/>
      <c r="AC78" s="450">
        <f>INPUT!C91</f>
        <v>0</v>
      </c>
      <c r="AD78" s="2"/>
      <c r="AE78" s="81">
        <f>ROUND(Y78*AC78,0)</f>
        <v>0</v>
      </c>
      <c r="AF78" s="2"/>
      <c r="AG78" s="148">
        <f>ROUND((AE78/AE$91)*100,1)</f>
        <v>0</v>
      </c>
      <c r="AH78" s="2"/>
      <c r="AI78" s="81">
        <f>L30-AE78</f>
        <v>0</v>
      </c>
      <c r="AJ78" s="2"/>
      <c r="AK78" s="163" t="str">
        <f>IF(AE78=0,"0.0 ",ROUND((AI78/AE78)*100,1))</f>
        <v xml:space="preserve">0.0 </v>
      </c>
      <c r="AL78" s="2"/>
      <c r="AM78" s="10"/>
      <c r="AN78" s="2"/>
      <c r="AO78" s="81">
        <f>AE78+AM78</f>
        <v>0</v>
      </c>
      <c r="AP78" s="5"/>
      <c r="AQ78" s="164" t="str">
        <f>IF(AO78=0,"0.0 ",ROUND((AI78/AO78)*100,1))</f>
        <v xml:space="preserve">0.0 </v>
      </c>
      <c r="AR78" s="449"/>
    </row>
    <row r="79" spans="1:47" x14ac:dyDescent="0.25">
      <c r="L79" s="54"/>
      <c r="M79" s="54"/>
      <c r="T79" s="378"/>
      <c r="U79" s="378"/>
      <c r="V79" s="378"/>
      <c r="W79" s="378"/>
      <c r="X79" s="378"/>
      <c r="Y79" s="5"/>
      <c r="Z79" s="2"/>
      <c r="AA79" s="2"/>
      <c r="AB79" s="2"/>
      <c r="AC79" s="2"/>
      <c r="AD79" s="2"/>
      <c r="AE79" s="2"/>
      <c r="AF79" s="2"/>
      <c r="AG79" s="147"/>
      <c r="AH79" s="2"/>
      <c r="AI79" s="2"/>
      <c r="AJ79" s="2"/>
      <c r="AK79" s="147"/>
      <c r="AL79" s="2"/>
      <c r="AM79" s="2"/>
      <c r="AN79" s="2"/>
      <c r="AO79" s="5"/>
      <c r="AP79" s="5"/>
      <c r="AQ79" s="147"/>
      <c r="AR79" s="449"/>
    </row>
    <row r="80" spans="1:47" x14ac:dyDescent="0.25">
      <c r="A80" s="53"/>
      <c r="R80" s="54"/>
      <c r="T80" s="45">
        <v>10</v>
      </c>
      <c r="U80" s="378"/>
      <c r="V80" s="222" t="s">
        <v>432</v>
      </c>
      <c r="W80" s="378"/>
      <c r="X80" s="378"/>
      <c r="Y80" s="5"/>
      <c r="Z80" s="2"/>
      <c r="AA80" s="2"/>
      <c r="AB80" s="2"/>
      <c r="AC80" s="2"/>
      <c r="AD80" s="2"/>
      <c r="AE80" s="2"/>
      <c r="AF80" s="2"/>
      <c r="AG80" s="147"/>
      <c r="AH80" s="2"/>
      <c r="AI80" s="2"/>
      <c r="AJ80" s="2"/>
      <c r="AK80" s="167"/>
      <c r="AL80" s="2"/>
      <c r="AM80" s="2"/>
      <c r="AN80" s="2"/>
      <c r="AO80" s="5"/>
      <c r="AP80" s="5"/>
      <c r="AQ80" s="147"/>
      <c r="AR80" s="449"/>
    </row>
    <row r="81" spans="1:44" x14ac:dyDescent="0.25">
      <c r="A81" s="54"/>
      <c r="R81" s="54"/>
      <c r="T81" s="45">
        <v>11</v>
      </c>
      <c r="U81" s="378"/>
      <c r="V81" s="46" t="s">
        <v>87</v>
      </c>
      <c r="W81" s="378"/>
      <c r="X81" s="378"/>
      <c r="Y81" s="83"/>
      <c r="Z81" s="84"/>
      <c r="AA81" s="81">
        <f>H33</f>
        <v>9252534</v>
      </c>
      <c r="AB81" s="5"/>
      <c r="AC81" s="453">
        <f>INPUT!C89</f>
        <v>6.2202E-2</v>
      </c>
      <c r="AD81" s="456"/>
      <c r="AE81" s="81">
        <f>ROUND((AA81*AC81),0)</f>
        <v>575526</v>
      </c>
      <c r="AF81" s="5"/>
      <c r="AG81" s="148">
        <f>ROUND((AE81/AE$91)*100,1)</f>
        <v>81.900000000000006</v>
      </c>
      <c r="AH81" s="6"/>
      <c r="AI81" s="81">
        <f>L33-AE81</f>
        <v>76611</v>
      </c>
      <c r="AJ81" s="5"/>
      <c r="AK81" s="163">
        <f>IF(AE81=0,"0.0 ",ROUND((AI81/AE81)*100,1))</f>
        <v>13.3</v>
      </c>
      <c r="AL81" s="8"/>
      <c r="AM81" s="87"/>
      <c r="AN81" s="86"/>
      <c r="AO81" s="81">
        <f>AE81+AM81</f>
        <v>575526</v>
      </c>
      <c r="AP81" s="5"/>
      <c r="AQ81" s="164">
        <f>IF(AO81=0,"0.0 ",ROUND((AI81/AO81)*100,1))</f>
        <v>13.3</v>
      </c>
      <c r="AR81" s="379"/>
    </row>
    <row r="82" spans="1:44" ht="20.100000000000001" customHeight="1" x14ac:dyDescent="0.25">
      <c r="A82" s="54"/>
      <c r="R82" s="54"/>
      <c r="T82" s="45">
        <v>12</v>
      </c>
      <c r="U82" s="378"/>
      <c r="V82" s="444" t="s">
        <v>518</v>
      </c>
      <c r="W82" s="378"/>
      <c r="X82" s="378"/>
      <c r="Y82" s="81">
        <f>Y75</f>
        <v>474</v>
      </c>
      <c r="Z82" s="84"/>
      <c r="AA82" s="90">
        <f>AA81</f>
        <v>9252534</v>
      </c>
      <c r="AB82" s="5"/>
      <c r="AC82" s="455"/>
      <c r="AD82" s="456"/>
      <c r="AE82" s="90">
        <f>AE75+AE78+AE81</f>
        <v>589958</v>
      </c>
      <c r="AF82" s="5"/>
      <c r="AG82" s="150">
        <f>ROUND((AE82/AE$91)*100,1)</f>
        <v>84</v>
      </c>
      <c r="AH82" s="6"/>
      <c r="AI82" s="90">
        <f>AI75+AI78+AI81</f>
        <v>74809</v>
      </c>
      <c r="AJ82" s="5"/>
      <c r="AK82" s="165">
        <f>IF(AE82=0,"0.0 ",ROUND((AI82/AE82)*100,1))</f>
        <v>12.7</v>
      </c>
      <c r="AL82" s="8"/>
      <c r="AM82" s="89"/>
      <c r="AN82" s="86"/>
      <c r="AO82" s="90">
        <f>AO75+AO78+AO81</f>
        <v>589958</v>
      </c>
      <c r="AP82" s="5"/>
      <c r="AQ82" s="164">
        <f>IF(AO82=0,"0.0 ",ROUND((AI82/AO82)*100,1))</f>
        <v>12.7</v>
      </c>
      <c r="AR82" s="379"/>
    </row>
    <row r="83" spans="1:44" x14ac:dyDescent="0.25">
      <c r="A83" s="54"/>
      <c r="R83" s="54"/>
      <c r="T83" s="45"/>
      <c r="U83" s="378"/>
      <c r="V83" s="46"/>
      <c r="W83" s="378"/>
      <c r="X83" s="378"/>
      <c r="Y83" s="83"/>
      <c r="Z83" s="84"/>
      <c r="AA83" s="83"/>
      <c r="AB83" s="5"/>
      <c r="AC83" s="455"/>
      <c r="AD83" s="456"/>
      <c r="AE83" s="83"/>
      <c r="AF83" s="5"/>
      <c r="AG83" s="383"/>
      <c r="AH83" s="6"/>
      <c r="AI83" s="83"/>
      <c r="AJ83" s="5"/>
      <c r="AK83" s="168"/>
      <c r="AL83" s="8"/>
      <c r="AM83" s="94"/>
      <c r="AN83" s="86"/>
      <c r="AO83" s="83"/>
      <c r="AP83" s="5"/>
      <c r="AQ83" s="164"/>
      <c r="AR83" s="379"/>
    </row>
    <row r="84" spans="1:44" x14ac:dyDescent="0.25">
      <c r="A84" s="54"/>
      <c r="R84" s="54"/>
      <c r="T84" s="45">
        <f t="shared" ref="T84:T89" si="1">A36</f>
        <v>13</v>
      </c>
      <c r="U84" s="378"/>
      <c r="V84" s="222" t="s">
        <v>504</v>
      </c>
      <c r="W84" s="378"/>
      <c r="X84" s="378"/>
      <c r="Y84" s="83"/>
      <c r="Z84" s="84"/>
      <c r="AA84" s="83"/>
      <c r="AB84" s="5"/>
      <c r="AC84" s="455"/>
      <c r="AD84" s="456"/>
      <c r="AE84" s="83"/>
      <c r="AF84" s="5"/>
      <c r="AG84" s="383"/>
      <c r="AH84" s="6"/>
      <c r="AI84" s="83"/>
      <c r="AJ84" s="5"/>
      <c r="AK84" s="168"/>
      <c r="AL84" s="8"/>
      <c r="AM84" s="94"/>
      <c r="AN84" s="86"/>
      <c r="AO84" s="83"/>
      <c r="AP84" s="5"/>
      <c r="AQ84" s="164"/>
      <c r="AR84" s="379"/>
    </row>
    <row r="85" spans="1:44" x14ac:dyDescent="0.25">
      <c r="A85" s="54"/>
      <c r="R85" s="54"/>
      <c r="T85" s="45">
        <f t="shared" si="1"/>
        <v>14</v>
      </c>
      <c r="U85" s="378"/>
      <c r="V85" s="216" t="str">
        <f>C37</f>
        <v>DEMAND SIDE MANAGEMENT RIDER (DSMR)</v>
      </c>
      <c r="W85" s="378"/>
      <c r="X85" s="378"/>
      <c r="Y85" s="83"/>
      <c r="Z85" s="84"/>
      <c r="AA85" s="83"/>
      <c r="AB85" s="5"/>
      <c r="AC85" s="465">
        <f>DSM_DIST</f>
        <v>5.091E-3</v>
      </c>
      <c r="AD85" s="456"/>
      <c r="AE85" s="83">
        <f>ROUND($AA$82*AC85,0)</f>
        <v>47105</v>
      </c>
      <c r="AF85" s="5"/>
      <c r="AG85" s="383">
        <f>ROUND((AE85/AE$91)*100,1)</f>
        <v>6.7</v>
      </c>
      <c r="AH85" s="6"/>
      <c r="AI85" s="5">
        <f>L37-AE85</f>
        <v>0</v>
      </c>
      <c r="AJ85" s="5"/>
      <c r="AK85" s="164">
        <f t="shared" ref="AK85:AK89" si="2">IF(AE85=0,"0.0 ",ROUND((AI85/AE85)*100,1))</f>
        <v>0</v>
      </c>
      <c r="AL85" s="8"/>
      <c r="AM85" s="94"/>
      <c r="AN85" s="86"/>
      <c r="AO85" s="5">
        <f t="shared" ref="AO85:AO88" si="3">AE85+AM85</f>
        <v>47105</v>
      </c>
      <c r="AP85" s="5"/>
      <c r="AQ85" s="164">
        <f t="shared" ref="AQ85:AQ89" si="4">IF(AO85=0,"0.0 ",ROUND((AI85/AO85)*100,1))</f>
        <v>0</v>
      </c>
      <c r="AR85" s="379"/>
    </row>
    <row r="86" spans="1:44" x14ac:dyDescent="0.25">
      <c r="A86" s="54"/>
      <c r="R86" s="54"/>
      <c r="T86" s="45">
        <f t="shared" si="1"/>
        <v>15</v>
      </c>
      <c r="U86" s="378"/>
      <c r="V86" s="216" t="str">
        <f>C38</f>
        <v>ENVIRONMENTAL SURCHARGE MECHANISM RIDER (ESM)</v>
      </c>
      <c r="W86" s="378"/>
      <c r="X86" s="378"/>
      <c r="Y86" s="83"/>
      <c r="Z86" s="84"/>
      <c r="AA86" s="83"/>
      <c r="AB86" s="5"/>
      <c r="AC86" s="473">
        <f>CUR_ESM_NONRES</f>
        <v>0.18160000000000001</v>
      </c>
      <c r="AD86" s="9"/>
      <c r="AE86" s="83">
        <f>ROUND((AO82-CUR_BASE_FUEL*AA82)*AC86,0)</f>
        <v>67084</v>
      </c>
      <c r="AF86" s="5"/>
      <c r="AG86" s="383">
        <f>ROUND((AE86/AE$91)*100,1)</f>
        <v>9.5</v>
      </c>
      <c r="AH86" s="6"/>
      <c r="AI86" s="5">
        <f>L38-AE86</f>
        <v>0</v>
      </c>
      <c r="AJ86" s="5"/>
      <c r="AK86" s="164">
        <f t="shared" si="2"/>
        <v>0</v>
      </c>
      <c r="AL86" s="8"/>
      <c r="AM86" s="94"/>
      <c r="AN86" s="86"/>
      <c r="AO86" s="5">
        <f t="shared" ref="AO86" si="5">AE86+AM86</f>
        <v>67084</v>
      </c>
      <c r="AP86" s="5"/>
      <c r="AQ86" s="164">
        <f t="shared" ref="AQ86" si="6">IF(AO86=0,"0.0 ",ROUND((AI86/AO86)*100,1))</f>
        <v>0</v>
      </c>
      <c r="AR86" s="379"/>
    </row>
    <row r="87" spans="1:44" x14ac:dyDescent="0.25">
      <c r="A87" s="54"/>
      <c r="R87" s="54"/>
      <c r="T87" s="45">
        <f t="shared" si="1"/>
        <v>16</v>
      </c>
      <c r="U87" s="378"/>
      <c r="V87" s="216" t="str">
        <f>C39</f>
        <v>FUEL ADJUSTMENT CLAUSE (FAC)</v>
      </c>
      <c r="W87" s="378"/>
      <c r="X87" s="378"/>
      <c r="Y87" s="83"/>
      <c r="Z87" s="84"/>
      <c r="AA87" s="83"/>
      <c r="AB87" s="5"/>
      <c r="AC87" s="465">
        <f>CUR_FAC</f>
        <v>6.8099999999999996E-4</v>
      </c>
      <c r="AD87" s="456"/>
      <c r="AE87" s="83"/>
      <c r="AF87" s="5"/>
      <c r="AG87" s="383"/>
      <c r="AH87" s="6"/>
      <c r="AI87" s="5"/>
      <c r="AJ87" s="5"/>
      <c r="AK87" s="164"/>
      <c r="AL87" s="8"/>
      <c r="AM87" s="94">
        <f>ROUND(AA82*CUR_FAC,0)</f>
        <v>6301</v>
      </c>
      <c r="AN87" s="86"/>
      <c r="AO87" s="5">
        <f t="shared" si="3"/>
        <v>6301</v>
      </c>
      <c r="AP87" s="5"/>
      <c r="AQ87" s="164">
        <f>IF(AO87=0,"0.0 ",ROUND(((R39-AO87)/AO87)*100,1))</f>
        <v>0</v>
      </c>
      <c r="AR87" s="379"/>
    </row>
    <row r="88" spans="1:44" x14ac:dyDescent="0.25">
      <c r="A88" s="54"/>
      <c r="R88" s="54"/>
      <c r="T88" s="45">
        <f t="shared" si="1"/>
        <v>17</v>
      </c>
      <c r="U88" s="378"/>
      <c r="V88" s="216" t="str">
        <f>C40</f>
        <v>PROFIT SHARING MECHANISM (PSM)</v>
      </c>
      <c r="W88" s="378"/>
      <c r="X88" s="378"/>
      <c r="Y88" s="83"/>
      <c r="Z88" s="84"/>
      <c r="AA88" s="83"/>
      <c r="AB88" s="5"/>
      <c r="AC88" s="465">
        <f>RS_PSM</f>
        <v>-1.63E-4</v>
      </c>
      <c r="AD88" s="456"/>
      <c r="AE88" s="81">
        <f>ROUND(AA82*RS_PSM,0)</f>
        <v>-1508</v>
      </c>
      <c r="AF88" s="5"/>
      <c r="AG88" s="148">
        <f>ROUND((AE88/AE$91)*100,1)</f>
        <v>-0.2</v>
      </c>
      <c r="AH88" s="6"/>
      <c r="AI88" s="5">
        <f>L40-AE88</f>
        <v>0</v>
      </c>
      <c r="AJ88" s="5"/>
      <c r="AK88" s="163">
        <f t="shared" si="2"/>
        <v>0</v>
      </c>
      <c r="AL88" s="8"/>
      <c r="AM88" s="87"/>
      <c r="AN88" s="86"/>
      <c r="AO88" s="81">
        <f t="shared" si="3"/>
        <v>-1508</v>
      </c>
      <c r="AP88" s="5"/>
      <c r="AQ88" s="164">
        <f t="shared" si="4"/>
        <v>0</v>
      </c>
      <c r="AR88" s="379"/>
    </row>
    <row r="89" spans="1:44" ht="20.100000000000001" customHeight="1" x14ac:dyDescent="0.25">
      <c r="A89" s="54"/>
      <c r="R89" s="54"/>
      <c r="T89" s="45">
        <f t="shared" si="1"/>
        <v>18</v>
      </c>
      <c r="U89" s="378"/>
      <c r="V89" s="222" t="s">
        <v>510</v>
      </c>
      <c r="W89" s="378"/>
      <c r="X89" s="378"/>
      <c r="Y89" s="81"/>
      <c r="Z89" s="84"/>
      <c r="AA89" s="81"/>
      <c r="AB89" s="5"/>
      <c r="AC89" s="455"/>
      <c r="AD89" s="456"/>
      <c r="AE89" s="90">
        <f>SUM(AE85:AE88)</f>
        <v>112681</v>
      </c>
      <c r="AF89" s="5"/>
      <c r="AG89" s="150">
        <f>ROUND((AE89/AE$91)*100,1)</f>
        <v>16</v>
      </c>
      <c r="AH89" s="6"/>
      <c r="AI89" s="90">
        <f>SUM(AI85:AI88)</f>
        <v>0</v>
      </c>
      <c r="AJ89" s="5"/>
      <c r="AK89" s="165">
        <f t="shared" si="2"/>
        <v>0</v>
      </c>
      <c r="AL89" s="8"/>
      <c r="AM89" s="89">
        <f>SUM(AM85:AM88)</f>
        <v>6301</v>
      </c>
      <c r="AN89" s="86"/>
      <c r="AO89" s="90">
        <f>SUM(AO85:AO88)</f>
        <v>118982</v>
      </c>
      <c r="AP89" s="5"/>
      <c r="AQ89" s="164">
        <f t="shared" si="4"/>
        <v>0</v>
      </c>
      <c r="AR89" s="379"/>
    </row>
    <row r="90" spans="1:44" x14ac:dyDescent="0.25">
      <c r="A90" s="54"/>
      <c r="R90" s="54"/>
      <c r="T90" s="45"/>
      <c r="U90" s="378"/>
      <c r="V90" s="46"/>
      <c r="W90" s="378"/>
      <c r="X90" s="378"/>
      <c r="Y90" s="83"/>
      <c r="Z90" s="84"/>
      <c r="AA90" s="83"/>
      <c r="AB90" s="5"/>
      <c r="AC90" s="455"/>
      <c r="AD90" s="456"/>
      <c r="AE90" s="83"/>
      <c r="AF90" s="5"/>
      <c r="AG90" s="383"/>
      <c r="AH90" s="6"/>
      <c r="AI90" s="83"/>
      <c r="AJ90" s="5"/>
      <c r="AK90" s="168"/>
      <c r="AL90" s="8"/>
      <c r="AM90" s="94"/>
      <c r="AN90" s="86"/>
      <c r="AO90" s="83"/>
      <c r="AP90" s="5"/>
      <c r="AQ90" s="164"/>
      <c r="AR90" s="379"/>
    </row>
    <row r="91" spans="1:44" ht="20.100000000000001" customHeight="1" thickBot="1" x14ac:dyDescent="0.3">
      <c r="L91" s="56"/>
      <c r="M91" s="56"/>
      <c r="N91" s="56"/>
      <c r="O91" s="56"/>
      <c r="R91" s="56"/>
      <c r="T91" s="45">
        <f>A43</f>
        <v>19</v>
      </c>
      <c r="U91" s="378"/>
      <c r="V91" s="222" t="s">
        <v>519</v>
      </c>
      <c r="W91" s="378"/>
      <c r="X91" s="378"/>
      <c r="Y91" s="82">
        <f>Y82</f>
        <v>474</v>
      </c>
      <c r="Z91" s="2"/>
      <c r="AA91" s="82">
        <f>AA82</f>
        <v>9252534</v>
      </c>
      <c r="AB91" s="5"/>
      <c r="AC91" s="104"/>
      <c r="AD91" s="104"/>
      <c r="AE91" s="82">
        <f>AE89+AE82</f>
        <v>702639</v>
      </c>
      <c r="AF91" s="5"/>
      <c r="AG91" s="151">
        <v>100</v>
      </c>
      <c r="AH91" s="6"/>
      <c r="AI91" s="82">
        <f>AI89+AI82</f>
        <v>74809</v>
      </c>
      <c r="AJ91" s="5"/>
      <c r="AK91" s="166">
        <f>IF(AE91=0,"0.0 ",ROUND((AI91/AE91)*100,1))</f>
        <v>10.6</v>
      </c>
      <c r="AL91" s="8"/>
      <c r="AM91" s="82">
        <f>AM89+AM82</f>
        <v>6301</v>
      </c>
      <c r="AN91" s="5"/>
      <c r="AO91" s="82">
        <f>AO89+AO82</f>
        <v>708940</v>
      </c>
      <c r="AP91" s="5"/>
      <c r="AQ91" s="164">
        <f>IF(AO91=0,"0.0 ",ROUND((AI91/AO91)*100,1))</f>
        <v>10.6</v>
      </c>
    </row>
    <row r="92" spans="1:44" ht="16.5" thickTop="1" x14ac:dyDescent="0.25">
      <c r="C92" s="56"/>
      <c r="D92" s="56"/>
      <c r="E92" s="56"/>
      <c r="F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T92" s="378"/>
      <c r="U92" s="378"/>
      <c r="V92" s="378"/>
      <c r="W92" s="378"/>
      <c r="X92" s="378"/>
      <c r="Y92" s="2"/>
      <c r="Z92" s="2"/>
      <c r="AA92" s="2"/>
      <c r="AB92" s="2"/>
      <c r="AC92" s="2"/>
      <c r="AD92" s="2"/>
      <c r="AE92" s="2"/>
      <c r="AF92" s="2"/>
      <c r="AG92" s="147"/>
      <c r="AH92" s="2"/>
      <c r="AI92" s="2"/>
      <c r="AJ92" s="2"/>
      <c r="AK92" s="149"/>
      <c r="AL92" s="5"/>
      <c r="AM92" s="2"/>
      <c r="AN92" s="2"/>
      <c r="AO92" s="2"/>
      <c r="AP92" s="2"/>
      <c r="AQ92" s="149"/>
    </row>
    <row r="93" spans="1:44" x14ac:dyDescent="0.25"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T93" s="378"/>
      <c r="U93" s="378"/>
      <c r="V93" s="243" t="s">
        <v>61</v>
      </c>
      <c r="W93" s="378"/>
      <c r="X93" s="378"/>
      <c r="Y93" s="48"/>
      <c r="Z93" s="378"/>
      <c r="AA93" s="48"/>
      <c r="AB93" s="48"/>
      <c r="AC93" s="51"/>
      <c r="AD93" s="51"/>
      <c r="AE93" s="48"/>
      <c r="AF93" s="48"/>
      <c r="AG93" s="152"/>
      <c r="AH93" s="48"/>
      <c r="AI93" s="48"/>
      <c r="AJ93" s="48"/>
      <c r="AK93" s="152"/>
      <c r="AL93" s="48"/>
      <c r="AM93" s="378"/>
      <c r="AN93" s="378"/>
      <c r="AO93" s="378"/>
      <c r="AP93" s="378"/>
      <c r="AQ93" s="143"/>
    </row>
    <row r="94" spans="1:44" x14ac:dyDescent="0.25"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T94" s="378"/>
      <c r="U94" s="378"/>
      <c r="V94" s="243" t="str">
        <f>"(2) REFLECTS FUEL COMPONENT OF "&amp;TEXT(CUR_FAC,"$0.000000;($0.000000)")&amp;"  PER KWH."</f>
        <v>(2) REFLECTS FUEL COMPONENT OF $0.000681  PER KWH.</v>
      </c>
      <c r="W94" s="378"/>
      <c r="X94" s="378"/>
      <c r="Y94" s="48"/>
      <c r="Z94" s="378"/>
      <c r="AA94" s="48"/>
      <c r="AB94" s="48"/>
      <c r="AC94" s="51"/>
      <c r="AD94" s="51"/>
      <c r="AE94" s="48"/>
      <c r="AF94" s="48"/>
      <c r="AG94" s="152"/>
      <c r="AH94" s="48"/>
      <c r="AI94" s="48"/>
      <c r="AJ94" s="48"/>
      <c r="AK94" s="152"/>
      <c r="AL94" s="48"/>
      <c r="AM94" s="378"/>
      <c r="AN94" s="378"/>
      <c r="AO94" s="378"/>
      <c r="AP94" s="378"/>
      <c r="AQ94" s="143"/>
    </row>
    <row r="95" spans="1:44" x14ac:dyDescent="0.25">
      <c r="A95" s="53"/>
      <c r="C95" s="54"/>
      <c r="D95" s="54"/>
      <c r="E95" s="54"/>
      <c r="T95" s="55"/>
      <c r="U95" s="55"/>
      <c r="V95" s="243" t="str">
        <f>"(3) REFLECTS FUEL COST RECOVERY INCLUDED IN BASE RATES OF "&amp;TEXT(CUR_BASE_FUEL,"$0.000000;($0.000000)")&amp;"  PER KWH."</f>
        <v>(3) REFLECTS FUEL COST RECOVERY INCLUDED IN BASE RATES OF $0.023837  PER KWH.</v>
      </c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154"/>
      <c r="AH95" s="55"/>
      <c r="AI95" s="55"/>
      <c r="AJ95" s="55"/>
      <c r="AK95" s="154"/>
      <c r="AL95" s="55"/>
      <c r="AM95" s="55"/>
      <c r="AN95" s="55"/>
    </row>
    <row r="96" spans="1:44" x14ac:dyDescent="0.25">
      <c r="A96" s="53"/>
      <c r="C96" s="54"/>
      <c r="AA96" s="56"/>
      <c r="AB96" s="56"/>
      <c r="AC96" s="56"/>
      <c r="AD96" s="56"/>
      <c r="AE96" s="56"/>
      <c r="AF96" s="56"/>
      <c r="AG96" s="155"/>
      <c r="AH96" s="56"/>
      <c r="AK96" s="155"/>
      <c r="AL96" s="56"/>
      <c r="AM96" s="56"/>
      <c r="AN96" s="56"/>
    </row>
    <row r="97" spans="1:40" x14ac:dyDescent="0.25">
      <c r="Z97" s="56"/>
      <c r="AA97" s="56"/>
      <c r="AB97" s="56"/>
      <c r="AC97" s="56"/>
      <c r="AD97" s="56"/>
      <c r="AE97" s="56"/>
      <c r="AF97" s="56"/>
      <c r="AG97" s="155"/>
      <c r="AH97" s="56"/>
      <c r="AK97" s="155"/>
      <c r="AL97" s="56"/>
      <c r="AM97" s="56"/>
      <c r="AN97" s="56"/>
    </row>
    <row r="98" spans="1:40" x14ac:dyDescent="0.25">
      <c r="A98" s="53"/>
      <c r="C98" s="54"/>
      <c r="T98" s="56"/>
      <c r="U98" s="56"/>
      <c r="V98" s="56"/>
      <c r="Z98" s="56"/>
      <c r="AA98" s="56"/>
      <c r="AB98" s="56"/>
      <c r="AC98" s="56"/>
      <c r="AD98" s="56"/>
      <c r="AE98" s="56"/>
      <c r="AF98" s="56"/>
      <c r="AG98" s="155"/>
      <c r="AH98" s="56"/>
      <c r="AI98" s="56"/>
      <c r="AJ98" s="56"/>
      <c r="AK98" s="155"/>
      <c r="AL98" s="56"/>
      <c r="AM98" s="56"/>
      <c r="AN98" s="56"/>
    </row>
    <row r="99" spans="1:40" x14ac:dyDescent="0.25">
      <c r="A99" s="53"/>
      <c r="C99" s="54"/>
      <c r="F99" s="449"/>
      <c r="H99" s="449"/>
      <c r="I99" s="449"/>
      <c r="J99" s="461"/>
      <c r="K99" s="461"/>
      <c r="L99" s="379"/>
      <c r="M99" s="379"/>
      <c r="N99" s="50"/>
      <c r="O99" s="50"/>
      <c r="P99" s="53"/>
      <c r="Q99" s="53"/>
      <c r="R99" s="379"/>
      <c r="T99" s="56"/>
      <c r="U99" s="56"/>
      <c r="V99" s="56"/>
      <c r="Y99" s="56"/>
      <c r="Z99" s="56"/>
      <c r="AA99" s="56"/>
      <c r="AB99" s="56"/>
      <c r="AC99" s="56"/>
      <c r="AD99" s="56"/>
      <c r="AE99" s="56"/>
      <c r="AF99" s="56"/>
      <c r="AG99" s="155"/>
      <c r="AH99" s="56"/>
      <c r="AI99" s="56"/>
      <c r="AJ99" s="56"/>
      <c r="AK99" s="155"/>
      <c r="AL99" s="56"/>
      <c r="AM99" s="56"/>
      <c r="AN99" s="56"/>
    </row>
    <row r="100" spans="1:40" x14ac:dyDescent="0.25">
      <c r="A100" s="53"/>
      <c r="C100" s="54"/>
      <c r="F100" s="449"/>
      <c r="H100" s="449"/>
      <c r="I100" s="449"/>
      <c r="J100" s="461"/>
      <c r="K100" s="461"/>
      <c r="L100" s="379"/>
      <c r="M100" s="379"/>
      <c r="N100" s="50"/>
      <c r="O100" s="50"/>
      <c r="P100" s="53"/>
      <c r="Q100" s="53"/>
      <c r="R100" s="379"/>
      <c r="T100" s="56"/>
      <c r="U100" s="56"/>
      <c r="V100" s="56"/>
      <c r="Y100" s="56"/>
      <c r="Z100" s="56"/>
      <c r="AA100" s="56"/>
      <c r="AB100" s="56"/>
      <c r="AC100" s="56"/>
      <c r="AD100" s="56"/>
      <c r="AE100" s="56"/>
      <c r="AF100" s="56"/>
      <c r="AG100" s="155"/>
      <c r="AH100" s="56"/>
      <c r="AI100" s="56"/>
      <c r="AJ100" s="56"/>
      <c r="AK100" s="155"/>
      <c r="AL100" s="56"/>
      <c r="AM100" s="56"/>
      <c r="AN100" s="56"/>
    </row>
    <row r="101" spans="1:40" x14ac:dyDescent="0.25">
      <c r="A101" s="53"/>
      <c r="C101" s="54"/>
      <c r="F101" s="449"/>
      <c r="H101" s="449"/>
      <c r="I101" s="449"/>
      <c r="J101" s="461"/>
      <c r="K101" s="461"/>
      <c r="L101" s="379"/>
      <c r="M101" s="379"/>
      <c r="N101" s="50"/>
      <c r="O101" s="50"/>
      <c r="P101" s="53"/>
      <c r="Q101" s="53"/>
      <c r="R101" s="379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154"/>
      <c r="AH101" s="55"/>
      <c r="AI101" s="55"/>
      <c r="AJ101" s="55"/>
      <c r="AK101" s="154"/>
      <c r="AL101" s="55"/>
      <c r="AM101" s="55"/>
      <c r="AN101" s="55"/>
    </row>
    <row r="102" spans="1:40" x14ac:dyDescent="0.25">
      <c r="F102" s="381"/>
      <c r="H102" s="379"/>
      <c r="I102" s="379"/>
      <c r="J102" s="464"/>
      <c r="K102" s="464"/>
      <c r="L102" s="381"/>
      <c r="M102" s="381"/>
      <c r="N102" s="381"/>
      <c r="O102" s="381"/>
      <c r="P102" s="381"/>
      <c r="Q102" s="381"/>
      <c r="R102" s="381"/>
      <c r="Y102" s="56"/>
      <c r="Z102" s="56"/>
      <c r="AA102" s="56"/>
      <c r="AB102" s="56"/>
      <c r="AC102" s="56"/>
      <c r="AD102" s="56"/>
      <c r="AE102" s="56"/>
      <c r="AF102" s="56"/>
      <c r="AG102" s="155"/>
      <c r="AH102" s="56"/>
      <c r="AI102" s="56"/>
      <c r="AJ102" s="56"/>
      <c r="AK102" s="155"/>
      <c r="AL102" s="56"/>
      <c r="AM102" s="56"/>
      <c r="AN102" s="56"/>
    </row>
    <row r="103" spans="1:40" x14ac:dyDescent="0.25">
      <c r="A103" s="53"/>
      <c r="C103" s="54"/>
      <c r="F103" s="379"/>
      <c r="H103" s="379"/>
      <c r="I103" s="379"/>
      <c r="J103" s="464"/>
      <c r="K103" s="464"/>
      <c r="L103" s="379"/>
      <c r="M103" s="379"/>
      <c r="N103" s="50"/>
      <c r="O103" s="50"/>
      <c r="P103" s="379"/>
      <c r="Q103" s="379"/>
      <c r="R103" s="379"/>
      <c r="T103" s="54"/>
      <c r="U103" s="54"/>
    </row>
    <row r="104" spans="1:40" x14ac:dyDescent="0.25">
      <c r="F104" s="381"/>
      <c r="H104" s="379"/>
      <c r="I104" s="379"/>
      <c r="J104" s="464"/>
      <c r="K104" s="464"/>
      <c r="L104" s="381"/>
      <c r="M104" s="381"/>
      <c r="N104" s="381"/>
      <c r="O104" s="381"/>
      <c r="P104" s="381"/>
      <c r="Q104" s="381"/>
      <c r="R104" s="381"/>
      <c r="T104" s="54"/>
    </row>
    <row r="105" spans="1:40" x14ac:dyDescent="0.25">
      <c r="A105" s="53"/>
      <c r="C105" s="54"/>
      <c r="F105" s="449"/>
      <c r="H105" s="449"/>
      <c r="I105" s="449"/>
      <c r="J105" s="477"/>
      <c r="K105" s="477"/>
      <c r="L105" s="379"/>
      <c r="M105" s="379"/>
      <c r="N105" s="50"/>
      <c r="O105" s="50"/>
      <c r="P105" s="379"/>
      <c r="Q105" s="379"/>
      <c r="R105" s="379"/>
      <c r="S105" s="379"/>
    </row>
    <row r="106" spans="1:40" x14ac:dyDescent="0.25">
      <c r="A106" s="53"/>
      <c r="C106" s="54"/>
      <c r="F106" s="449"/>
      <c r="H106" s="449"/>
      <c r="I106" s="449"/>
      <c r="J106" s="461"/>
      <c r="K106" s="461"/>
      <c r="L106" s="379"/>
      <c r="M106" s="379"/>
      <c r="N106" s="50"/>
      <c r="O106" s="50"/>
      <c r="P106" s="379"/>
      <c r="Q106" s="379"/>
      <c r="R106" s="379"/>
      <c r="T106" s="54"/>
    </row>
    <row r="107" spans="1:40" x14ac:dyDescent="0.25">
      <c r="A107" s="53"/>
      <c r="C107" s="54"/>
      <c r="F107" s="449"/>
      <c r="H107" s="449"/>
      <c r="I107" s="449"/>
      <c r="J107" s="461"/>
      <c r="K107" s="461"/>
      <c r="L107" s="379"/>
      <c r="M107" s="379"/>
      <c r="N107" s="50"/>
      <c r="O107" s="50"/>
      <c r="P107" s="379"/>
      <c r="Q107" s="379"/>
      <c r="R107" s="379"/>
      <c r="T107" s="54"/>
      <c r="V107" s="379"/>
      <c r="Y107" s="449"/>
      <c r="Z107" s="461"/>
      <c r="AA107" s="379"/>
      <c r="AB107" s="379"/>
      <c r="AC107" s="50"/>
      <c r="AD107" s="50"/>
      <c r="AE107" s="379"/>
      <c r="AF107" s="379"/>
      <c r="AG107" s="474"/>
      <c r="AH107" s="475"/>
      <c r="AI107" s="53"/>
      <c r="AJ107" s="53"/>
      <c r="AK107" s="156"/>
      <c r="AL107" s="379"/>
      <c r="AM107" s="476"/>
      <c r="AN107" s="476"/>
    </row>
    <row r="108" spans="1:40" x14ac:dyDescent="0.25">
      <c r="F108" s="379"/>
      <c r="H108" s="381"/>
      <c r="I108" s="381"/>
      <c r="J108" s="464"/>
      <c r="K108" s="464"/>
      <c r="L108" s="381"/>
      <c r="M108" s="381"/>
      <c r="N108" s="381"/>
      <c r="O108" s="381"/>
      <c r="P108" s="381"/>
      <c r="Q108" s="381"/>
      <c r="R108" s="381"/>
      <c r="T108" s="54"/>
      <c r="V108" s="379"/>
      <c r="Y108" s="449"/>
      <c r="Z108" s="461"/>
      <c r="AA108" s="379"/>
      <c r="AB108" s="379"/>
      <c r="AC108" s="50"/>
      <c r="AD108" s="50"/>
      <c r="AE108" s="379"/>
      <c r="AF108" s="379"/>
      <c r="AG108" s="156"/>
      <c r="AH108" s="60"/>
      <c r="AI108" s="53"/>
      <c r="AJ108" s="53"/>
      <c r="AK108" s="156"/>
      <c r="AL108" s="379"/>
      <c r="AM108" s="50"/>
      <c r="AN108" s="50"/>
    </row>
    <row r="109" spans="1:40" x14ac:dyDescent="0.25">
      <c r="A109" s="53"/>
      <c r="C109" s="54"/>
      <c r="F109" s="379"/>
      <c r="H109" s="379"/>
      <c r="I109" s="379"/>
      <c r="J109" s="464"/>
      <c r="K109" s="464"/>
      <c r="L109" s="379"/>
      <c r="M109" s="379"/>
      <c r="N109" s="50"/>
      <c r="O109" s="50"/>
      <c r="P109" s="379"/>
      <c r="Q109" s="379"/>
      <c r="R109" s="379"/>
      <c r="T109" s="54"/>
      <c r="V109" s="379"/>
      <c r="Y109" s="449"/>
      <c r="Z109" s="461"/>
      <c r="AA109" s="379"/>
      <c r="AB109" s="379"/>
      <c r="AC109" s="50"/>
      <c r="AD109" s="50"/>
      <c r="AE109" s="379"/>
      <c r="AF109" s="379"/>
      <c r="AG109" s="156"/>
      <c r="AH109" s="60"/>
      <c r="AI109" s="53"/>
      <c r="AJ109" s="53"/>
      <c r="AK109" s="156"/>
      <c r="AL109" s="379"/>
      <c r="AM109" s="50"/>
      <c r="AN109" s="50"/>
    </row>
    <row r="110" spans="1:40" x14ac:dyDescent="0.25">
      <c r="F110" s="379"/>
      <c r="H110" s="381"/>
      <c r="I110" s="381"/>
      <c r="J110" s="464"/>
      <c r="K110" s="464"/>
      <c r="L110" s="381"/>
      <c r="M110" s="381"/>
      <c r="N110" s="381"/>
      <c r="O110" s="381"/>
      <c r="P110" s="381"/>
      <c r="Q110" s="381"/>
      <c r="R110" s="381"/>
      <c r="V110" s="381"/>
      <c r="Y110" s="379"/>
      <c r="Z110" s="464"/>
      <c r="AA110" s="381"/>
      <c r="AB110" s="381"/>
      <c r="AC110" s="381"/>
      <c r="AD110" s="381"/>
      <c r="AE110" s="381"/>
      <c r="AF110" s="381"/>
      <c r="AI110" s="381"/>
      <c r="AJ110" s="381"/>
      <c r="AK110" s="162"/>
      <c r="AL110" s="381"/>
      <c r="AM110" s="50"/>
      <c r="AN110" s="50"/>
    </row>
    <row r="111" spans="1:40" x14ac:dyDescent="0.25">
      <c r="A111" s="53"/>
      <c r="C111" s="54"/>
      <c r="F111" s="379"/>
      <c r="H111" s="379"/>
      <c r="I111" s="379"/>
      <c r="J111" s="464"/>
      <c r="K111" s="464"/>
      <c r="L111" s="379"/>
      <c r="M111" s="379"/>
      <c r="N111" s="379"/>
      <c r="O111" s="379"/>
      <c r="P111" s="379"/>
      <c r="Q111" s="379"/>
      <c r="R111" s="379"/>
      <c r="T111" s="54"/>
      <c r="V111" s="379"/>
      <c r="Y111" s="379"/>
      <c r="Z111" s="59"/>
      <c r="AA111" s="379"/>
      <c r="AB111" s="379"/>
      <c r="AC111" s="50"/>
      <c r="AD111" s="50"/>
      <c r="AE111" s="379"/>
      <c r="AF111" s="379"/>
      <c r="AG111" s="156"/>
      <c r="AH111" s="60"/>
      <c r="AI111" s="379"/>
      <c r="AJ111" s="379"/>
      <c r="AK111" s="156"/>
      <c r="AL111" s="379"/>
      <c r="AM111" s="50"/>
      <c r="AN111" s="50"/>
    </row>
    <row r="112" spans="1:40" x14ac:dyDescent="0.25">
      <c r="A112" s="53"/>
      <c r="C112" s="54"/>
      <c r="F112" s="379"/>
      <c r="H112" s="449"/>
      <c r="I112" s="449"/>
      <c r="J112" s="221"/>
      <c r="K112" s="221"/>
      <c r="L112" s="379"/>
      <c r="M112" s="379"/>
      <c r="N112" s="50"/>
      <c r="O112" s="50"/>
      <c r="P112" s="379"/>
      <c r="Q112" s="379"/>
      <c r="R112" s="379"/>
      <c r="V112" s="381"/>
      <c r="Y112" s="379"/>
      <c r="Z112" s="464"/>
      <c r="AA112" s="381"/>
      <c r="AB112" s="381"/>
      <c r="AC112" s="381"/>
      <c r="AD112" s="381"/>
      <c r="AE112" s="381"/>
      <c r="AF112" s="381"/>
      <c r="AI112" s="381"/>
      <c r="AJ112" s="381"/>
      <c r="AK112" s="162"/>
      <c r="AL112" s="381"/>
      <c r="AM112" s="50"/>
      <c r="AN112" s="50"/>
    </row>
    <row r="113" spans="1:40" x14ac:dyDescent="0.25">
      <c r="A113" s="53"/>
      <c r="C113" s="54"/>
      <c r="H113" s="449"/>
      <c r="I113" s="449"/>
      <c r="J113" s="221"/>
      <c r="K113" s="221"/>
      <c r="L113" s="379"/>
      <c r="M113" s="379"/>
      <c r="N113" s="50"/>
      <c r="O113" s="50"/>
      <c r="P113" s="379"/>
      <c r="Q113" s="379"/>
      <c r="R113" s="379"/>
      <c r="T113" s="54"/>
      <c r="V113" s="449"/>
      <c r="Y113" s="449"/>
      <c r="Z113" s="477"/>
      <c r="AA113" s="379"/>
      <c r="AB113" s="379"/>
      <c r="AC113" s="50"/>
      <c r="AD113" s="50"/>
      <c r="AE113" s="379"/>
      <c r="AF113" s="379"/>
      <c r="AG113" s="156"/>
      <c r="AH113" s="50"/>
      <c r="AI113" s="379"/>
      <c r="AJ113" s="379"/>
      <c r="AK113" s="156"/>
      <c r="AL113" s="379"/>
      <c r="AM113" s="50"/>
      <c r="AN113" s="50"/>
    </row>
    <row r="114" spans="1:40" x14ac:dyDescent="0.25">
      <c r="F114" s="379"/>
      <c r="H114" s="379"/>
      <c r="I114" s="379"/>
      <c r="J114" s="464"/>
      <c r="K114" s="464"/>
      <c r="L114" s="381"/>
      <c r="M114" s="381"/>
      <c r="N114" s="381"/>
      <c r="O114" s="381"/>
      <c r="P114" s="381"/>
      <c r="Q114" s="381"/>
      <c r="R114" s="381"/>
      <c r="T114" s="54"/>
      <c r="V114" s="449"/>
      <c r="Y114" s="379"/>
      <c r="Z114" s="461"/>
      <c r="AA114" s="379"/>
      <c r="AB114" s="379"/>
      <c r="AC114" s="50"/>
      <c r="AD114" s="50"/>
      <c r="AE114" s="379"/>
      <c r="AF114" s="379"/>
      <c r="AG114" s="156"/>
      <c r="AH114" s="60"/>
      <c r="AI114" s="379"/>
      <c r="AJ114" s="379"/>
      <c r="AK114" s="156"/>
      <c r="AL114" s="379"/>
      <c r="AM114" s="50"/>
      <c r="AN114" s="50"/>
    </row>
    <row r="115" spans="1:40" x14ac:dyDescent="0.25">
      <c r="A115" s="53"/>
      <c r="C115" s="54"/>
      <c r="F115" s="379"/>
      <c r="H115" s="379"/>
      <c r="I115" s="379"/>
      <c r="J115" s="59"/>
      <c r="K115" s="59"/>
      <c r="L115" s="379"/>
      <c r="M115" s="379"/>
      <c r="N115" s="50"/>
      <c r="O115" s="50"/>
      <c r="P115" s="379"/>
      <c r="Q115" s="379"/>
      <c r="R115" s="379"/>
      <c r="T115" s="54"/>
      <c r="V115" s="449"/>
      <c r="Y115" s="379"/>
      <c r="Z115" s="461"/>
      <c r="AA115" s="379"/>
      <c r="AB115" s="379"/>
      <c r="AC115" s="50"/>
      <c r="AD115" s="50"/>
      <c r="AE115" s="379"/>
      <c r="AF115" s="379"/>
      <c r="AG115" s="156"/>
      <c r="AH115" s="60"/>
      <c r="AI115" s="379"/>
      <c r="AJ115" s="379"/>
      <c r="AK115" s="156"/>
      <c r="AL115" s="379"/>
      <c r="AM115" s="50"/>
      <c r="AN115" s="50"/>
    </row>
    <row r="116" spans="1:40" x14ac:dyDescent="0.25">
      <c r="F116" s="379"/>
      <c r="H116" s="379"/>
      <c r="I116" s="379"/>
      <c r="J116" s="464"/>
      <c r="K116" s="464"/>
      <c r="L116" s="381"/>
      <c r="M116" s="381"/>
      <c r="N116" s="381"/>
      <c r="O116" s="381"/>
      <c r="P116" s="381"/>
      <c r="Q116" s="381"/>
      <c r="R116" s="381"/>
      <c r="V116" s="379"/>
      <c r="Y116" s="381"/>
      <c r="Z116" s="464"/>
      <c r="AA116" s="381"/>
      <c r="AB116" s="381"/>
      <c r="AC116" s="381"/>
      <c r="AD116" s="381"/>
      <c r="AE116" s="381"/>
      <c r="AF116" s="381"/>
      <c r="AI116" s="381"/>
      <c r="AJ116" s="381"/>
      <c r="AK116" s="162"/>
      <c r="AL116" s="381"/>
      <c r="AM116" s="50"/>
      <c r="AN116" s="50"/>
    </row>
    <row r="117" spans="1:40" x14ac:dyDescent="0.25">
      <c r="A117" s="53"/>
      <c r="C117" s="54"/>
      <c r="F117" s="379"/>
      <c r="H117" s="379"/>
      <c r="I117" s="379"/>
      <c r="J117" s="59"/>
      <c r="K117" s="59"/>
      <c r="L117" s="379"/>
      <c r="M117" s="379"/>
      <c r="N117" s="50"/>
      <c r="O117" s="50"/>
      <c r="P117" s="379"/>
      <c r="Q117" s="379"/>
      <c r="R117" s="379"/>
      <c r="T117" s="54"/>
      <c r="V117" s="379"/>
      <c r="Y117" s="379"/>
      <c r="Z117" s="464"/>
      <c r="AA117" s="379"/>
      <c r="AB117" s="379"/>
      <c r="AC117" s="50"/>
      <c r="AD117" s="50"/>
      <c r="AE117" s="379"/>
      <c r="AF117" s="379"/>
      <c r="AG117" s="156"/>
      <c r="AH117" s="60"/>
      <c r="AI117" s="379"/>
      <c r="AJ117" s="379"/>
      <c r="AK117" s="156"/>
      <c r="AL117" s="379"/>
      <c r="AM117" s="50"/>
      <c r="AN117" s="50"/>
    </row>
    <row r="118" spans="1:40" x14ac:dyDescent="0.25">
      <c r="A118" s="53"/>
      <c r="C118" s="54"/>
      <c r="F118" s="379"/>
      <c r="H118" s="449"/>
      <c r="I118" s="449"/>
      <c r="J118" s="472"/>
      <c r="K118" s="472"/>
      <c r="L118" s="379"/>
      <c r="M118" s="379"/>
      <c r="N118" s="50"/>
      <c r="O118" s="50"/>
      <c r="P118" s="379"/>
      <c r="Q118" s="379"/>
      <c r="R118" s="379"/>
      <c r="V118" s="379"/>
      <c r="Y118" s="381"/>
      <c r="Z118" s="464"/>
      <c r="AA118" s="381"/>
      <c r="AB118" s="381"/>
      <c r="AC118" s="381"/>
      <c r="AD118" s="381"/>
      <c r="AE118" s="381"/>
      <c r="AF118" s="381"/>
      <c r="AI118" s="381"/>
      <c r="AJ118" s="381"/>
      <c r="AK118" s="162"/>
      <c r="AL118" s="381"/>
      <c r="AM118" s="50"/>
      <c r="AN118" s="50"/>
    </row>
    <row r="119" spans="1:40" x14ac:dyDescent="0.25">
      <c r="F119" s="381"/>
      <c r="H119" s="381"/>
      <c r="I119" s="381"/>
      <c r="J119" s="464"/>
      <c r="K119" s="464"/>
      <c r="L119" s="381"/>
      <c r="M119" s="381"/>
      <c r="N119" s="381"/>
      <c r="O119" s="381"/>
      <c r="P119" s="381"/>
      <c r="Q119" s="381"/>
      <c r="R119" s="381"/>
      <c r="T119" s="54"/>
      <c r="V119" s="379"/>
      <c r="Y119" s="379"/>
      <c r="Z119" s="464"/>
      <c r="AA119" s="379"/>
      <c r="AB119" s="379"/>
      <c r="AC119" s="379"/>
      <c r="AD119" s="379"/>
      <c r="AE119" s="379"/>
      <c r="AF119" s="379"/>
      <c r="AG119" s="156"/>
      <c r="AH119" s="60"/>
      <c r="AI119" s="379"/>
      <c r="AJ119" s="379"/>
      <c r="AK119" s="156"/>
      <c r="AL119" s="379"/>
      <c r="AM119" s="50"/>
      <c r="AN119" s="50"/>
    </row>
    <row r="120" spans="1:40" x14ac:dyDescent="0.25">
      <c r="A120" s="53"/>
      <c r="C120" s="54"/>
      <c r="F120" s="379"/>
      <c r="H120" s="379"/>
      <c r="I120" s="379"/>
      <c r="J120" s="464"/>
      <c r="K120" s="464"/>
      <c r="L120" s="379"/>
      <c r="M120" s="379"/>
      <c r="N120" s="50"/>
      <c r="O120" s="50"/>
      <c r="P120" s="379"/>
      <c r="Q120" s="379"/>
      <c r="R120" s="379"/>
      <c r="S120" s="379"/>
      <c r="T120" s="54"/>
      <c r="V120" s="379"/>
      <c r="Y120" s="379"/>
      <c r="Z120" s="221"/>
      <c r="AA120" s="379"/>
      <c r="AB120" s="379"/>
      <c r="AC120" s="50"/>
      <c r="AD120" s="50"/>
      <c r="AE120" s="379"/>
      <c r="AF120" s="379"/>
      <c r="AG120" s="156"/>
      <c r="AH120" s="60"/>
      <c r="AI120" s="379"/>
      <c r="AJ120" s="379"/>
      <c r="AK120" s="156"/>
      <c r="AL120" s="379"/>
      <c r="AM120" s="50"/>
      <c r="AN120" s="50"/>
    </row>
    <row r="121" spans="1:40" x14ac:dyDescent="0.25">
      <c r="F121" s="381"/>
      <c r="H121" s="381"/>
      <c r="I121" s="381"/>
      <c r="J121" s="464"/>
      <c r="K121" s="464"/>
      <c r="L121" s="381"/>
      <c r="M121" s="381"/>
      <c r="N121" s="381"/>
      <c r="O121" s="381"/>
      <c r="P121" s="381"/>
      <c r="Q121" s="381"/>
      <c r="R121" s="381"/>
      <c r="S121" s="379"/>
      <c r="T121" s="54"/>
      <c r="Y121" s="379"/>
      <c r="Z121" s="221"/>
      <c r="AA121" s="379"/>
      <c r="AB121" s="379"/>
      <c r="AC121" s="50"/>
      <c r="AD121" s="50"/>
      <c r="AE121" s="379"/>
      <c r="AF121" s="379"/>
      <c r="AG121" s="156"/>
      <c r="AH121" s="60"/>
      <c r="AI121" s="379"/>
      <c r="AJ121" s="379"/>
      <c r="AK121" s="156"/>
      <c r="AL121" s="379"/>
      <c r="AM121" s="50"/>
      <c r="AN121" s="50"/>
    </row>
    <row r="122" spans="1:40" x14ac:dyDescent="0.25">
      <c r="A122" s="53"/>
      <c r="C122" s="54"/>
      <c r="F122" s="449"/>
      <c r="H122" s="478"/>
      <c r="I122" s="478"/>
      <c r="J122" s="464"/>
      <c r="K122" s="464"/>
      <c r="L122" s="379"/>
      <c r="M122" s="379"/>
      <c r="N122" s="50"/>
      <c r="O122" s="50"/>
      <c r="P122" s="379"/>
      <c r="Q122" s="379"/>
      <c r="R122" s="379"/>
      <c r="S122" s="379"/>
      <c r="V122" s="379"/>
      <c r="Y122" s="379"/>
      <c r="Z122" s="464"/>
      <c r="AA122" s="381"/>
      <c r="AB122" s="381"/>
      <c r="AC122" s="381"/>
      <c r="AD122" s="381"/>
      <c r="AE122" s="381"/>
      <c r="AF122" s="381"/>
      <c r="AI122" s="381"/>
      <c r="AJ122" s="381"/>
      <c r="AK122" s="162"/>
      <c r="AL122" s="381"/>
      <c r="AM122" s="50"/>
      <c r="AN122" s="50"/>
    </row>
    <row r="123" spans="1:40" x14ac:dyDescent="0.25">
      <c r="T123" s="54"/>
      <c r="V123" s="379"/>
      <c r="Y123" s="379"/>
      <c r="Z123" s="59"/>
      <c r="AA123" s="379"/>
      <c r="AB123" s="379"/>
      <c r="AC123" s="50"/>
      <c r="AD123" s="50"/>
      <c r="AE123" s="379"/>
      <c r="AF123" s="379"/>
      <c r="AG123" s="156"/>
      <c r="AH123" s="60"/>
      <c r="AI123" s="379"/>
      <c r="AJ123" s="379"/>
      <c r="AK123" s="156"/>
      <c r="AL123" s="379"/>
      <c r="AM123" s="50"/>
      <c r="AN123" s="50"/>
    </row>
    <row r="124" spans="1:40" x14ac:dyDescent="0.25">
      <c r="A124" s="53"/>
      <c r="C124" s="54"/>
      <c r="V124" s="379"/>
      <c r="Y124" s="379"/>
      <c r="Z124" s="464"/>
      <c r="AA124" s="381"/>
      <c r="AB124" s="381"/>
      <c r="AC124" s="381"/>
      <c r="AD124" s="381"/>
      <c r="AE124" s="381"/>
      <c r="AF124" s="381"/>
      <c r="AI124" s="381"/>
      <c r="AJ124" s="381"/>
      <c r="AK124" s="162"/>
      <c r="AL124" s="381"/>
      <c r="AM124" s="50"/>
      <c r="AN124" s="50"/>
    </row>
    <row r="125" spans="1:40" x14ac:dyDescent="0.25">
      <c r="A125" s="53"/>
      <c r="C125" s="54"/>
      <c r="F125" s="449"/>
      <c r="H125" s="449"/>
      <c r="I125" s="449"/>
      <c r="J125" s="461"/>
      <c r="K125" s="461"/>
      <c r="L125" s="379"/>
      <c r="M125" s="379"/>
      <c r="N125" s="50"/>
      <c r="O125" s="50"/>
      <c r="P125" s="53"/>
      <c r="Q125" s="53"/>
      <c r="R125" s="379"/>
      <c r="T125" s="54"/>
      <c r="V125" s="379"/>
      <c r="Y125" s="379"/>
      <c r="Z125" s="59"/>
      <c r="AA125" s="379"/>
      <c r="AB125" s="379"/>
      <c r="AC125" s="50"/>
      <c r="AD125" s="50"/>
      <c r="AE125" s="379"/>
      <c r="AF125" s="379"/>
      <c r="AG125" s="156"/>
      <c r="AH125" s="60"/>
      <c r="AI125" s="379"/>
      <c r="AJ125" s="379"/>
      <c r="AK125" s="156"/>
      <c r="AL125" s="379"/>
      <c r="AM125" s="50"/>
      <c r="AN125" s="50"/>
    </row>
    <row r="126" spans="1:40" x14ac:dyDescent="0.25">
      <c r="A126" s="53"/>
      <c r="C126" s="54"/>
      <c r="F126" s="449"/>
      <c r="H126" s="449"/>
      <c r="I126" s="449"/>
      <c r="J126" s="461"/>
      <c r="K126" s="461"/>
      <c r="L126" s="379"/>
      <c r="M126" s="379"/>
      <c r="N126" s="50"/>
      <c r="O126" s="50"/>
      <c r="P126" s="53"/>
      <c r="Q126" s="53"/>
      <c r="R126" s="379"/>
      <c r="T126" s="54"/>
      <c r="V126" s="449"/>
      <c r="Y126" s="379"/>
      <c r="Z126" s="472"/>
      <c r="AA126" s="379"/>
      <c r="AB126" s="379"/>
      <c r="AC126" s="50"/>
      <c r="AD126" s="50"/>
      <c r="AE126" s="379"/>
      <c r="AF126" s="379"/>
      <c r="AG126" s="156"/>
      <c r="AH126" s="60"/>
      <c r="AI126" s="379"/>
      <c r="AJ126" s="379"/>
      <c r="AK126" s="156"/>
      <c r="AL126" s="379"/>
      <c r="AM126" s="50"/>
      <c r="AN126" s="50"/>
    </row>
    <row r="127" spans="1:40" x14ac:dyDescent="0.25">
      <c r="A127" s="53"/>
      <c r="C127" s="54"/>
      <c r="F127" s="449"/>
      <c r="H127" s="449"/>
      <c r="I127" s="449"/>
      <c r="J127" s="461"/>
      <c r="K127" s="461"/>
      <c r="L127" s="379"/>
      <c r="M127" s="379"/>
      <c r="N127" s="50"/>
      <c r="O127" s="50"/>
      <c r="P127" s="53"/>
      <c r="Q127" s="53"/>
      <c r="R127" s="379"/>
      <c r="V127" s="381"/>
      <c r="Y127" s="381"/>
      <c r="Z127" s="464"/>
      <c r="AA127" s="381"/>
      <c r="AB127" s="381"/>
      <c r="AC127" s="381"/>
      <c r="AD127" s="381"/>
      <c r="AE127" s="381"/>
      <c r="AF127" s="381"/>
      <c r="AI127" s="381"/>
      <c r="AJ127" s="381"/>
      <c r="AK127" s="162"/>
      <c r="AL127" s="381"/>
      <c r="AM127" s="50"/>
      <c r="AN127" s="50"/>
    </row>
    <row r="128" spans="1:40" x14ac:dyDescent="0.25">
      <c r="F128" s="381"/>
      <c r="H128" s="379"/>
      <c r="I128" s="379"/>
      <c r="J128" s="464"/>
      <c r="K128" s="464"/>
      <c r="L128" s="381"/>
      <c r="M128" s="381"/>
      <c r="N128" s="381"/>
      <c r="O128" s="381"/>
      <c r="P128" s="381"/>
      <c r="Q128" s="381"/>
      <c r="R128" s="381"/>
      <c r="T128" s="54"/>
      <c r="V128" s="379"/>
      <c r="Y128" s="379"/>
      <c r="Z128" s="464"/>
      <c r="AA128" s="379"/>
      <c r="AB128" s="379"/>
      <c r="AC128" s="50"/>
      <c r="AD128" s="50"/>
      <c r="AE128" s="379"/>
      <c r="AF128" s="379"/>
      <c r="AG128" s="156"/>
      <c r="AH128" s="50"/>
      <c r="AI128" s="379"/>
      <c r="AJ128" s="379"/>
      <c r="AK128" s="156"/>
      <c r="AL128" s="379"/>
      <c r="AM128" s="50"/>
      <c r="AN128" s="50"/>
    </row>
    <row r="129" spans="1:40" x14ac:dyDescent="0.25">
      <c r="A129" s="53"/>
      <c r="C129" s="54"/>
      <c r="F129" s="379"/>
      <c r="H129" s="379"/>
      <c r="I129" s="379"/>
      <c r="J129" s="464"/>
      <c r="K129" s="464"/>
      <c r="L129" s="379"/>
      <c r="M129" s="379"/>
      <c r="N129" s="50"/>
      <c r="O129" s="50"/>
      <c r="P129" s="379"/>
      <c r="Q129" s="379"/>
      <c r="R129" s="379"/>
      <c r="V129" s="381"/>
      <c r="Y129" s="381"/>
      <c r="Z129" s="464"/>
      <c r="AA129" s="381"/>
      <c r="AB129" s="381"/>
      <c r="AC129" s="381"/>
      <c r="AD129" s="381"/>
      <c r="AE129" s="381"/>
      <c r="AF129" s="381"/>
      <c r="AI129" s="381"/>
      <c r="AJ129" s="381"/>
      <c r="AK129" s="162"/>
      <c r="AL129" s="381"/>
      <c r="AM129" s="50"/>
      <c r="AN129" s="50"/>
    </row>
    <row r="130" spans="1:40" x14ac:dyDescent="0.25">
      <c r="F130" s="381"/>
      <c r="H130" s="379"/>
      <c r="I130" s="379"/>
      <c r="J130" s="464"/>
      <c r="K130" s="464"/>
      <c r="L130" s="381"/>
      <c r="M130" s="381"/>
      <c r="N130" s="381"/>
      <c r="O130" s="381"/>
      <c r="P130" s="381"/>
      <c r="Q130" s="381"/>
      <c r="R130" s="381"/>
      <c r="T130" s="54"/>
      <c r="V130" s="449"/>
      <c r="Y130" s="449"/>
      <c r="Z130" s="464"/>
      <c r="AA130" s="379"/>
      <c r="AB130" s="379"/>
      <c r="AC130" s="50"/>
      <c r="AD130" s="50"/>
      <c r="AE130" s="379"/>
      <c r="AF130" s="379"/>
      <c r="AI130" s="379"/>
      <c r="AJ130" s="379"/>
      <c r="AK130" s="156"/>
      <c r="AL130" s="379"/>
      <c r="AM130" s="50"/>
      <c r="AN130" s="50"/>
    </row>
    <row r="131" spans="1:40" x14ac:dyDescent="0.25">
      <c r="A131" s="53"/>
      <c r="C131" s="54"/>
      <c r="F131" s="449"/>
      <c r="H131" s="449"/>
      <c r="I131" s="449"/>
      <c r="J131" s="477"/>
      <c r="K131" s="477"/>
      <c r="L131" s="379"/>
      <c r="M131" s="379"/>
      <c r="N131" s="50"/>
      <c r="O131" s="50"/>
      <c r="P131" s="379"/>
      <c r="Q131" s="379"/>
      <c r="R131" s="379"/>
      <c r="S131" s="379"/>
    </row>
    <row r="132" spans="1:40" x14ac:dyDescent="0.25">
      <c r="A132" s="53"/>
      <c r="C132" s="54"/>
      <c r="F132" s="449"/>
      <c r="H132" s="449"/>
      <c r="I132" s="449"/>
      <c r="J132" s="461"/>
      <c r="K132" s="461"/>
      <c r="L132" s="379"/>
      <c r="M132" s="379"/>
      <c r="N132" s="50"/>
      <c r="O132" s="50"/>
      <c r="P132" s="379"/>
      <c r="Q132" s="379"/>
      <c r="R132" s="379"/>
      <c r="T132" s="54"/>
    </row>
    <row r="133" spans="1:40" x14ac:dyDescent="0.25">
      <c r="A133" s="53"/>
      <c r="C133" s="54"/>
      <c r="F133" s="449"/>
      <c r="H133" s="449"/>
      <c r="I133" s="449"/>
      <c r="J133" s="461"/>
      <c r="K133" s="461"/>
      <c r="L133" s="379"/>
      <c r="M133" s="379"/>
      <c r="N133" s="50"/>
      <c r="O133" s="50"/>
      <c r="P133" s="379"/>
      <c r="Q133" s="379"/>
      <c r="R133" s="379"/>
      <c r="T133" s="54"/>
      <c r="V133" s="379"/>
      <c r="Y133" s="449"/>
      <c r="Z133" s="461"/>
      <c r="AA133" s="379"/>
      <c r="AB133" s="379"/>
      <c r="AC133" s="50"/>
      <c r="AD133" s="50"/>
      <c r="AE133" s="379"/>
      <c r="AF133" s="379"/>
      <c r="AG133" s="474"/>
      <c r="AH133" s="475"/>
      <c r="AI133" s="53"/>
      <c r="AJ133" s="53"/>
      <c r="AK133" s="156"/>
      <c r="AL133" s="379"/>
      <c r="AM133" s="476"/>
      <c r="AN133" s="476"/>
    </row>
    <row r="134" spans="1:40" x14ac:dyDescent="0.25">
      <c r="F134" s="379"/>
      <c r="H134" s="381"/>
      <c r="I134" s="381"/>
      <c r="J134" s="464"/>
      <c r="K134" s="464"/>
      <c r="L134" s="381"/>
      <c r="M134" s="381"/>
      <c r="N134" s="381"/>
      <c r="O134" s="381"/>
      <c r="P134" s="381"/>
      <c r="Q134" s="381"/>
      <c r="R134" s="381"/>
      <c r="T134" s="54"/>
      <c r="V134" s="379"/>
      <c r="Y134" s="449"/>
      <c r="Z134" s="461"/>
      <c r="AA134" s="379"/>
      <c r="AB134" s="379"/>
      <c r="AC134" s="50"/>
      <c r="AD134" s="50"/>
      <c r="AE134" s="379"/>
      <c r="AF134" s="379"/>
      <c r="AG134" s="156"/>
      <c r="AH134" s="60"/>
      <c r="AI134" s="53"/>
      <c r="AJ134" s="53"/>
      <c r="AK134" s="156"/>
      <c r="AL134" s="379"/>
      <c r="AM134" s="50"/>
      <c r="AN134" s="50"/>
    </row>
    <row r="135" spans="1:40" x14ac:dyDescent="0.25">
      <c r="A135" s="53"/>
      <c r="C135" s="54"/>
      <c r="F135" s="379"/>
      <c r="H135" s="379"/>
      <c r="I135" s="379"/>
      <c r="J135" s="464"/>
      <c r="K135" s="464"/>
      <c r="L135" s="379"/>
      <c r="M135" s="379"/>
      <c r="N135" s="50"/>
      <c r="O135" s="50"/>
      <c r="P135" s="379"/>
      <c r="Q135" s="379"/>
      <c r="R135" s="379"/>
      <c r="T135" s="54"/>
      <c r="V135" s="379"/>
      <c r="Y135" s="449"/>
      <c r="Z135" s="461"/>
      <c r="AA135" s="379"/>
      <c r="AB135" s="379"/>
      <c r="AC135" s="50"/>
      <c r="AD135" s="50"/>
      <c r="AE135" s="379"/>
      <c r="AF135" s="379"/>
      <c r="AG135" s="156"/>
      <c r="AH135" s="60"/>
      <c r="AI135" s="53"/>
      <c r="AJ135" s="53"/>
      <c r="AK135" s="156"/>
      <c r="AL135" s="379"/>
      <c r="AM135" s="50"/>
      <c r="AN135" s="50"/>
    </row>
    <row r="136" spans="1:40" x14ac:dyDescent="0.25">
      <c r="F136" s="379"/>
      <c r="H136" s="381"/>
      <c r="I136" s="381"/>
      <c r="J136" s="464"/>
      <c r="K136" s="464"/>
      <c r="L136" s="381"/>
      <c r="M136" s="381"/>
      <c r="N136" s="381"/>
      <c r="O136" s="381"/>
      <c r="P136" s="381"/>
      <c r="Q136" s="381"/>
      <c r="R136" s="381"/>
      <c r="V136" s="381"/>
      <c r="Y136" s="379"/>
      <c r="Z136" s="464"/>
      <c r="AA136" s="381"/>
      <c r="AB136" s="381"/>
      <c r="AC136" s="381"/>
      <c r="AD136" s="381"/>
      <c r="AE136" s="381"/>
      <c r="AF136" s="381"/>
      <c r="AI136" s="381"/>
      <c r="AJ136" s="381"/>
      <c r="AK136" s="162"/>
      <c r="AL136" s="381"/>
      <c r="AM136" s="50"/>
      <c r="AN136" s="50"/>
    </row>
    <row r="137" spans="1:40" x14ac:dyDescent="0.25">
      <c r="A137" s="53"/>
      <c r="C137" s="54"/>
      <c r="F137" s="379"/>
      <c r="H137" s="379"/>
      <c r="I137" s="379"/>
      <c r="J137" s="464"/>
      <c r="K137" s="464"/>
      <c r="L137" s="379"/>
      <c r="M137" s="379"/>
      <c r="N137" s="379"/>
      <c r="O137" s="379"/>
      <c r="P137" s="379"/>
      <c r="Q137" s="379"/>
      <c r="R137" s="379"/>
      <c r="T137" s="54"/>
      <c r="V137" s="379"/>
      <c r="Y137" s="379"/>
      <c r="Z137" s="464"/>
      <c r="AA137" s="379"/>
      <c r="AB137" s="379"/>
      <c r="AC137" s="50"/>
      <c r="AD137" s="50"/>
      <c r="AE137" s="379"/>
      <c r="AF137" s="379"/>
      <c r="AG137" s="156"/>
      <c r="AH137" s="60"/>
      <c r="AI137" s="379"/>
      <c r="AJ137" s="379"/>
      <c r="AK137" s="156"/>
      <c r="AL137" s="379"/>
      <c r="AM137" s="50"/>
      <c r="AN137" s="50"/>
    </row>
    <row r="138" spans="1:40" x14ac:dyDescent="0.25">
      <c r="A138" s="53"/>
      <c r="C138" s="54"/>
      <c r="F138" s="379"/>
      <c r="H138" s="449"/>
      <c r="I138" s="449"/>
      <c r="J138" s="221"/>
      <c r="K138" s="221"/>
      <c r="L138" s="379"/>
      <c r="M138" s="379"/>
      <c r="N138" s="50"/>
      <c r="O138" s="50"/>
      <c r="P138" s="379"/>
      <c r="Q138" s="379"/>
      <c r="R138" s="379"/>
      <c r="V138" s="381"/>
      <c r="Y138" s="379"/>
      <c r="Z138" s="464"/>
      <c r="AA138" s="381"/>
      <c r="AB138" s="381"/>
      <c r="AC138" s="381"/>
      <c r="AD138" s="381"/>
      <c r="AE138" s="381"/>
      <c r="AF138" s="381"/>
      <c r="AI138" s="381"/>
      <c r="AJ138" s="381"/>
      <c r="AK138" s="162"/>
      <c r="AL138" s="381"/>
      <c r="AM138" s="50"/>
      <c r="AN138" s="50"/>
    </row>
    <row r="139" spans="1:40" x14ac:dyDescent="0.25">
      <c r="A139" s="53"/>
      <c r="C139" s="54"/>
      <c r="H139" s="449"/>
      <c r="I139" s="449"/>
      <c r="J139" s="221"/>
      <c r="K139" s="221"/>
      <c r="L139" s="379"/>
      <c r="M139" s="379"/>
      <c r="N139" s="50"/>
      <c r="O139" s="50"/>
      <c r="P139" s="379"/>
      <c r="Q139" s="379"/>
      <c r="R139" s="379"/>
      <c r="T139" s="54"/>
      <c r="V139" s="449"/>
      <c r="Y139" s="449"/>
      <c r="Z139" s="477"/>
      <c r="AA139" s="379"/>
      <c r="AB139" s="379"/>
      <c r="AC139" s="50"/>
      <c r="AD139" s="50"/>
      <c r="AE139" s="379"/>
      <c r="AF139" s="379"/>
      <c r="AG139" s="156"/>
      <c r="AH139" s="50"/>
      <c r="AI139" s="379"/>
      <c r="AJ139" s="379"/>
      <c r="AK139" s="156"/>
      <c r="AL139" s="379"/>
      <c r="AM139" s="50"/>
      <c r="AN139" s="50"/>
    </row>
    <row r="140" spans="1:40" x14ac:dyDescent="0.25">
      <c r="F140" s="379"/>
      <c r="H140" s="379"/>
      <c r="I140" s="379"/>
      <c r="J140" s="464"/>
      <c r="K140" s="464"/>
      <c r="L140" s="381"/>
      <c r="M140" s="381"/>
      <c r="N140" s="381"/>
      <c r="O140" s="381"/>
      <c r="P140" s="381"/>
      <c r="Q140" s="381"/>
      <c r="R140" s="381"/>
      <c r="T140" s="54"/>
      <c r="V140" s="449"/>
      <c r="Y140" s="379"/>
      <c r="Z140" s="461"/>
      <c r="AA140" s="379"/>
      <c r="AB140" s="379"/>
      <c r="AC140" s="50"/>
      <c r="AD140" s="50"/>
      <c r="AE140" s="379"/>
      <c r="AF140" s="379"/>
      <c r="AG140" s="156"/>
      <c r="AH140" s="60"/>
      <c r="AI140" s="379"/>
      <c r="AJ140" s="379"/>
      <c r="AK140" s="156"/>
      <c r="AL140" s="379"/>
      <c r="AM140" s="50"/>
      <c r="AN140" s="50"/>
    </row>
    <row r="141" spans="1:40" x14ac:dyDescent="0.25">
      <c r="A141" s="53"/>
      <c r="C141" s="54"/>
      <c r="F141" s="379"/>
      <c r="H141" s="379"/>
      <c r="I141" s="379"/>
      <c r="J141" s="59"/>
      <c r="K141" s="59"/>
      <c r="L141" s="379"/>
      <c r="M141" s="379"/>
      <c r="N141" s="50"/>
      <c r="O141" s="50"/>
      <c r="P141" s="379"/>
      <c r="Q141" s="379"/>
      <c r="R141" s="379"/>
      <c r="T141" s="54"/>
      <c r="V141" s="449"/>
      <c r="Y141" s="379"/>
      <c r="Z141" s="461"/>
      <c r="AA141" s="379"/>
      <c r="AB141" s="379"/>
      <c r="AC141" s="50"/>
      <c r="AD141" s="50"/>
      <c r="AE141" s="379"/>
      <c r="AF141" s="379"/>
      <c r="AG141" s="156"/>
      <c r="AH141" s="60"/>
      <c r="AI141" s="379"/>
      <c r="AJ141" s="379"/>
      <c r="AK141" s="156"/>
      <c r="AL141" s="379"/>
      <c r="AM141" s="50"/>
      <c r="AN141" s="50"/>
    </row>
    <row r="142" spans="1:40" x14ac:dyDescent="0.25">
      <c r="F142" s="379"/>
      <c r="H142" s="379"/>
      <c r="I142" s="379"/>
      <c r="J142" s="464"/>
      <c r="K142" s="464"/>
      <c r="L142" s="381"/>
      <c r="M142" s="381"/>
      <c r="N142" s="381"/>
      <c r="O142" s="381"/>
      <c r="P142" s="381"/>
      <c r="Q142" s="381"/>
      <c r="R142" s="381"/>
      <c r="V142" s="379"/>
      <c r="Y142" s="381"/>
      <c r="Z142" s="464"/>
      <c r="AA142" s="381"/>
      <c r="AB142" s="381"/>
      <c r="AC142" s="381"/>
      <c r="AD142" s="381"/>
      <c r="AE142" s="381"/>
      <c r="AF142" s="381"/>
      <c r="AI142" s="381"/>
      <c r="AJ142" s="381"/>
      <c r="AK142" s="162"/>
      <c r="AL142" s="381"/>
      <c r="AM142" s="50"/>
      <c r="AN142" s="50"/>
    </row>
    <row r="143" spans="1:40" x14ac:dyDescent="0.25">
      <c r="A143" s="53"/>
      <c r="C143" s="54"/>
      <c r="F143" s="379"/>
      <c r="H143" s="379"/>
      <c r="I143" s="379"/>
      <c r="J143" s="59"/>
      <c r="K143" s="59"/>
      <c r="L143" s="379"/>
      <c r="M143" s="379"/>
      <c r="N143" s="50"/>
      <c r="O143" s="50"/>
      <c r="P143" s="379"/>
      <c r="Q143" s="379"/>
      <c r="R143" s="379"/>
      <c r="T143" s="54"/>
      <c r="V143" s="379"/>
      <c r="Y143" s="379"/>
      <c r="Z143" s="464"/>
      <c r="AA143" s="379"/>
      <c r="AB143" s="379"/>
      <c r="AC143" s="50"/>
      <c r="AD143" s="50"/>
      <c r="AE143" s="379"/>
      <c r="AF143" s="379"/>
      <c r="AG143" s="156"/>
      <c r="AH143" s="60"/>
      <c r="AI143" s="379"/>
      <c r="AJ143" s="379"/>
      <c r="AK143" s="156"/>
      <c r="AL143" s="379"/>
      <c r="AM143" s="50"/>
      <c r="AN143" s="50"/>
    </row>
    <row r="144" spans="1:40" x14ac:dyDescent="0.25">
      <c r="A144" s="53"/>
      <c r="C144" s="54"/>
      <c r="F144" s="449"/>
      <c r="H144" s="449"/>
      <c r="I144" s="449"/>
      <c r="J144" s="472"/>
      <c r="K144" s="472"/>
      <c r="L144" s="379"/>
      <c r="M144" s="379"/>
      <c r="N144" s="50"/>
      <c r="O144" s="50"/>
      <c r="P144" s="379"/>
      <c r="Q144" s="379"/>
      <c r="R144" s="379"/>
      <c r="V144" s="379"/>
      <c r="Y144" s="381"/>
      <c r="Z144" s="464"/>
      <c r="AA144" s="381"/>
      <c r="AB144" s="381"/>
      <c r="AC144" s="381"/>
      <c r="AD144" s="381"/>
      <c r="AE144" s="381"/>
      <c r="AF144" s="381"/>
      <c r="AI144" s="381"/>
      <c r="AJ144" s="381"/>
      <c r="AK144" s="162"/>
      <c r="AL144" s="381"/>
      <c r="AM144" s="50"/>
      <c r="AN144" s="50"/>
    </row>
    <row r="145" spans="1:40" x14ac:dyDescent="0.25">
      <c r="F145" s="381"/>
      <c r="H145" s="381"/>
      <c r="I145" s="381"/>
      <c r="J145" s="464"/>
      <c r="K145" s="464"/>
      <c r="L145" s="381"/>
      <c r="M145" s="381"/>
      <c r="N145" s="381"/>
      <c r="O145" s="381"/>
      <c r="P145" s="381"/>
      <c r="Q145" s="381"/>
      <c r="R145" s="381"/>
      <c r="T145" s="54"/>
      <c r="V145" s="379"/>
      <c r="Y145" s="379"/>
      <c r="Z145" s="464"/>
      <c r="AA145" s="379"/>
      <c r="AB145" s="379"/>
      <c r="AC145" s="379"/>
      <c r="AD145" s="379"/>
      <c r="AE145" s="379"/>
      <c r="AF145" s="379"/>
      <c r="AG145" s="156"/>
      <c r="AH145" s="60"/>
      <c r="AI145" s="379"/>
      <c r="AJ145" s="379"/>
      <c r="AK145" s="156"/>
      <c r="AL145" s="379"/>
      <c r="AM145" s="50"/>
      <c r="AN145" s="50"/>
    </row>
    <row r="146" spans="1:40" x14ac:dyDescent="0.25">
      <c r="A146" s="53"/>
      <c r="C146" s="54"/>
      <c r="F146" s="379"/>
      <c r="H146" s="379"/>
      <c r="I146" s="379"/>
      <c r="J146" s="464"/>
      <c r="K146" s="464"/>
      <c r="L146" s="379"/>
      <c r="M146" s="379"/>
      <c r="N146" s="50"/>
      <c r="O146" s="50"/>
      <c r="P146" s="379"/>
      <c r="Q146" s="379"/>
      <c r="R146" s="379"/>
      <c r="S146" s="379"/>
      <c r="T146" s="54"/>
      <c r="V146" s="379"/>
      <c r="Y146" s="379"/>
      <c r="Z146" s="221"/>
      <c r="AA146" s="379"/>
      <c r="AB146" s="379"/>
      <c r="AC146" s="50"/>
      <c r="AD146" s="50"/>
      <c r="AE146" s="379"/>
      <c r="AF146" s="379"/>
      <c r="AG146" s="156"/>
      <c r="AH146" s="60"/>
      <c r="AI146" s="379"/>
      <c r="AJ146" s="379"/>
      <c r="AK146" s="156"/>
      <c r="AL146" s="379"/>
      <c r="AM146" s="50"/>
      <c r="AN146" s="50"/>
    </row>
    <row r="147" spans="1:40" x14ac:dyDescent="0.25">
      <c r="F147" s="381"/>
      <c r="H147" s="381"/>
      <c r="I147" s="381"/>
      <c r="J147" s="464"/>
      <c r="K147" s="464"/>
      <c r="L147" s="381"/>
      <c r="M147" s="381"/>
      <c r="N147" s="381"/>
      <c r="O147" s="381"/>
      <c r="P147" s="381"/>
      <c r="Q147" s="381"/>
      <c r="R147" s="381"/>
      <c r="S147" s="379"/>
      <c r="T147" s="54"/>
      <c r="Y147" s="379"/>
      <c r="Z147" s="221"/>
      <c r="AA147" s="379"/>
      <c r="AB147" s="379"/>
      <c r="AC147" s="50"/>
      <c r="AD147" s="50"/>
      <c r="AE147" s="379"/>
      <c r="AF147" s="379"/>
      <c r="AG147" s="156"/>
      <c r="AH147" s="60"/>
      <c r="AI147" s="379"/>
      <c r="AJ147" s="379"/>
      <c r="AK147" s="156"/>
      <c r="AL147" s="379"/>
      <c r="AM147" s="50"/>
      <c r="AN147" s="50"/>
    </row>
    <row r="148" spans="1:40" x14ac:dyDescent="0.25">
      <c r="A148" s="53"/>
      <c r="C148" s="54"/>
      <c r="V148" s="379"/>
      <c r="Y148" s="379"/>
      <c r="Z148" s="464"/>
      <c r="AA148" s="381"/>
      <c r="AB148" s="381"/>
      <c r="AC148" s="381"/>
      <c r="AD148" s="381"/>
      <c r="AE148" s="381"/>
      <c r="AF148" s="381"/>
      <c r="AI148" s="381"/>
      <c r="AJ148" s="381"/>
      <c r="AK148" s="162"/>
      <c r="AL148" s="381"/>
      <c r="AM148" s="50"/>
      <c r="AN148" s="50"/>
    </row>
    <row r="149" spans="1:40" x14ac:dyDescent="0.25">
      <c r="A149" s="53"/>
      <c r="C149" s="54"/>
      <c r="F149" s="379"/>
      <c r="H149" s="379"/>
      <c r="I149" s="379"/>
      <c r="L149" s="379"/>
      <c r="M149" s="379"/>
      <c r="N149" s="50"/>
      <c r="O149" s="50"/>
      <c r="P149" s="449"/>
      <c r="Q149" s="449"/>
      <c r="R149" s="379"/>
      <c r="T149" s="54"/>
      <c r="V149" s="379"/>
      <c r="Y149" s="379"/>
      <c r="Z149" s="59"/>
      <c r="AA149" s="379"/>
      <c r="AB149" s="379"/>
      <c r="AC149" s="50"/>
      <c r="AD149" s="50"/>
      <c r="AE149" s="379"/>
      <c r="AF149" s="379"/>
      <c r="AG149" s="156"/>
      <c r="AH149" s="60"/>
      <c r="AI149" s="379"/>
      <c r="AJ149" s="379"/>
      <c r="AK149" s="156"/>
      <c r="AL149" s="379"/>
      <c r="AM149" s="50"/>
      <c r="AN149" s="50"/>
    </row>
    <row r="150" spans="1:40" x14ac:dyDescent="0.25">
      <c r="F150" s="381"/>
      <c r="H150" s="381"/>
      <c r="I150" s="381"/>
      <c r="J150" s="464"/>
      <c r="K150" s="464"/>
      <c r="L150" s="381"/>
      <c r="M150" s="381"/>
      <c r="N150" s="381"/>
      <c r="O150" s="381"/>
      <c r="P150" s="381"/>
      <c r="Q150" s="381"/>
      <c r="R150" s="381"/>
      <c r="V150" s="379"/>
      <c r="Y150" s="379"/>
      <c r="Z150" s="464"/>
      <c r="AA150" s="381"/>
      <c r="AB150" s="381"/>
      <c r="AC150" s="381"/>
      <c r="AD150" s="381"/>
      <c r="AE150" s="381"/>
      <c r="AF150" s="381"/>
      <c r="AI150" s="381"/>
      <c r="AJ150" s="381"/>
      <c r="AK150" s="162"/>
      <c r="AL150" s="381"/>
      <c r="AM150" s="50"/>
      <c r="AN150" s="50"/>
    </row>
    <row r="151" spans="1:40" x14ac:dyDescent="0.25">
      <c r="T151" s="54"/>
      <c r="V151" s="379"/>
      <c r="Y151" s="379"/>
      <c r="Z151" s="59"/>
      <c r="AA151" s="379"/>
      <c r="AB151" s="379"/>
      <c r="AC151" s="50"/>
      <c r="AD151" s="50"/>
      <c r="AE151" s="379"/>
      <c r="AF151" s="379"/>
      <c r="AG151" s="156"/>
      <c r="AH151" s="60"/>
      <c r="AI151" s="379"/>
      <c r="AJ151" s="379"/>
      <c r="AK151" s="156"/>
      <c r="AL151" s="379"/>
      <c r="AM151" s="50"/>
      <c r="AN151" s="50"/>
    </row>
    <row r="152" spans="1:40" x14ac:dyDescent="0.25">
      <c r="C152" s="54"/>
      <c r="L152" s="379"/>
      <c r="M152" s="379"/>
      <c r="N152" s="379"/>
      <c r="O152" s="379"/>
      <c r="P152" s="379"/>
      <c r="Q152" s="379"/>
      <c r="R152" s="379"/>
      <c r="S152" s="379"/>
      <c r="T152" s="54"/>
      <c r="V152" s="449"/>
      <c r="Y152" s="379"/>
      <c r="Z152" s="472"/>
      <c r="AA152" s="379"/>
      <c r="AB152" s="379"/>
      <c r="AC152" s="50"/>
      <c r="AD152" s="50"/>
      <c r="AE152" s="379"/>
      <c r="AF152" s="379"/>
      <c r="AG152" s="156"/>
      <c r="AH152" s="60"/>
      <c r="AI152" s="379"/>
      <c r="AJ152" s="379"/>
      <c r="AK152" s="156"/>
      <c r="AL152" s="379"/>
      <c r="AM152" s="50"/>
      <c r="AN152" s="50"/>
    </row>
    <row r="153" spans="1:40" x14ac:dyDescent="0.25">
      <c r="A153" s="54"/>
      <c r="V153" s="381"/>
      <c r="Y153" s="381"/>
      <c r="Z153" s="464"/>
      <c r="AA153" s="381"/>
      <c r="AB153" s="381"/>
      <c r="AC153" s="381"/>
      <c r="AD153" s="381"/>
      <c r="AE153" s="381"/>
      <c r="AF153" s="381"/>
      <c r="AI153" s="381"/>
      <c r="AJ153" s="381"/>
      <c r="AK153" s="162"/>
      <c r="AL153" s="381"/>
      <c r="AM153" s="50"/>
      <c r="AN153" s="50"/>
    </row>
    <row r="154" spans="1:40" x14ac:dyDescent="0.25">
      <c r="J154" s="53"/>
      <c r="K154" s="53"/>
      <c r="T154" s="54"/>
      <c r="V154" s="379"/>
      <c r="Y154" s="379"/>
      <c r="Z154" s="464"/>
      <c r="AA154" s="379"/>
      <c r="AB154" s="379"/>
      <c r="AC154" s="50"/>
      <c r="AD154" s="50"/>
      <c r="AE154" s="379"/>
      <c r="AF154" s="379"/>
      <c r="AG154" s="156"/>
      <c r="AH154" s="50"/>
      <c r="AI154" s="379"/>
      <c r="AJ154" s="379"/>
      <c r="AK154" s="156"/>
      <c r="AL154" s="379"/>
      <c r="AM154" s="50"/>
      <c r="AN154" s="50"/>
    </row>
    <row r="155" spans="1:40" x14ac:dyDescent="0.25">
      <c r="H155" s="54"/>
      <c r="I155" s="54"/>
      <c r="V155" s="381"/>
      <c r="Y155" s="381"/>
      <c r="Z155" s="464"/>
      <c r="AA155" s="381"/>
      <c r="AB155" s="381"/>
      <c r="AC155" s="381"/>
      <c r="AD155" s="381"/>
      <c r="AE155" s="381"/>
      <c r="AF155" s="381"/>
      <c r="AI155" s="381"/>
      <c r="AJ155" s="381"/>
      <c r="AK155" s="162"/>
      <c r="AL155" s="381"/>
      <c r="AM155" s="50"/>
      <c r="AN155" s="50"/>
    </row>
    <row r="156" spans="1:40" x14ac:dyDescent="0.25">
      <c r="J156" s="53"/>
      <c r="K156" s="53"/>
      <c r="T156" s="54"/>
    </row>
    <row r="157" spans="1:40" x14ac:dyDescent="0.25">
      <c r="L157" s="54"/>
      <c r="M157" s="54"/>
      <c r="AA157" s="54"/>
      <c r="AB157" s="54"/>
    </row>
    <row r="158" spans="1:40" x14ac:dyDescent="0.25">
      <c r="A158" s="53"/>
      <c r="R158" s="54"/>
      <c r="AK158" s="161"/>
      <c r="AL158" s="54"/>
    </row>
    <row r="159" spans="1:40" x14ac:dyDescent="0.25">
      <c r="A159" s="53"/>
      <c r="R159" s="54"/>
      <c r="AK159" s="161"/>
      <c r="AL159" s="54"/>
    </row>
    <row r="160" spans="1:40" x14ac:dyDescent="0.25">
      <c r="A160" s="54"/>
      <c r="R160" s="54"/>
      <c r="AK160" s="161"/>
      <c r="AL160" s="54"/>
    </row>
    <row r="161" spans="1:40" x14ac:dyDescent="0.25">
      <c r="L161" s="54"/>
      <c r="M161" s="54"/>
      <c r="R161" s="53"/>
      <c r="AA161" s="54"/>
      <c r="AB161" s="54"/>
      <c r="AK161" s="156"/>
      <c r="AL161" s="53"/>
    </row>
    <row r="162" spans="1:40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154"/>
      <c r="AH162" s="55"/>
      <c r="AI162" s="55"/>
      <c r="AJ162" s="55"/>
      <c r="AK162" s="154"/>
      <c r="AL162" s="55"/>
      <c r="AM162" s="55"/>
      <c r="AN162" s="55"/>
    </row>
    <row r="163" spans="1:40" x14ac:dyDescent="0.25">
      <c r="L163" s="56"/>
      <c r="M163" s="56"/>
      <c r="N163" s="56"/>
      <c r="O163" s="56"/>
      <c r="R163" s="56"/>
      <c r="AA163" s="56"/>
      <c r="AB163" s="56"/>
      <c r="AC163" s="56"/>
      <c r="AD163" s="56"/>
      <c r="AE163" s="56"/>
      <c r="AF163" s="56"/>
      <c r="AG163" s="155"/>
      <c r="AH163" s="56"/>
      <c r="AK163" s="155"/>
      <c r="AL163" s="56"/>
      <c r="AM163" s="56"/>
      <c r="AN163" s="56"/>
    </row>
    <row r="164" spans="1:40" x14ac:dyDescent="0.25">
      <c r="L164" s="56"/>
      <c r="M164" s="56"/>
      <c r="N164" s="56"/>
      <c r="O164" s="56"/>
      <c r="R164" s="56"/>
      <c r="Z164" s="56"/>
      <c r="AA164" s="56"/>
      <c r="AB164" s="56"/>
      <c r="AC164" s="56"/>
      <c r="AD164" s="56"/>
      <c r="AE164" s="56"/>
      <c r="AF164" s="56"/>
      <c r="AG164" s="155"/>
      <c r="AH164" s="56"/>
      <c r="AK164" s="155"/>
      <c r="AL164" s="56"/>
      <c r="AM164" s="56"/>
      <c r="AN164" s="56"/>
    </row>
    <row r="165" spans="1:40" x14ac:dyDescent="0.25">
      <c r="A165" s="56"/>
      <c r="C165" s="56"/>
      <c r="D165" s="56"/>
      <c r="E165" s="56"/>
      <c r="F165" s="56"/>
      <c r="J165" s="56"/>
      <c r="K165" s="56"/>
      <c r="L165" s="56"/>
      <c r="M165" s="56"/>
      <c r="N165" s="56"/>
      <c r="O165" s="56"/>
      <c r="P165" s="56"/>
      <c r="Q165" s="56"/>
      <c r="R165" s="56"/>
      <c r="T165" s="56"/>
      <c r="U165" s="56"/>
      <c r="V165" s="56"/>
      <c r="Z165" s="56"/>
      <c r="AA165" s="56"/>
      <c r="AB165" s="56"/>
      <c r="AC165" s="56"/>
      <c r="AD165" s="56"/>
      <c r="AE165" s="56"/>
      <c r="AF165" s="56"/>
      <c r="AG165" s="155"/>
      <c r="AH165" s="56"/>
      <c r="AI165" s="56"/>
      <c r="AJ165" s="56"/>
      <c r="AK165" s="155"/>
      <c r="AL165" s="56"/>
      <c r="AM165" s="56"/>
      <c r="AN165" s="56"/>
    </row>
    <row r="166" spans="1:40" x14ac:dyDescent="0.25">
      <c r="A166" s="56"/>
      <c r="C166" s="56"/>
      <c r="D166" s="56"/>
      <c r="E166" s="56"/>
      <c r="F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T166" s="56"/>
      <c r="U166" s="56"/>
      <c r="V166" s="56"/>
      <c r="Y166" s="56"/>
      <c r="Z166" s="56"/>
      <c r="AA166" s="56"/>
      <c r="AB166" s="56"/>
      <c r="AC166" s="56"/>
      <c r="AD166" s="56"/>
      <c r="AE166" s="56"/>
      <c r="AF166" s="56"/>
      <c r="AG166" s="155"/>
      <c r="AH166" s="56"/>
      <c r="AI166" s="56"/>
      <c r="AJ166" s="56"/>
      <c r="AK166" s="155"/>
      <c r="AL166" s="56"/>
      <c r="AM166" s="56"/>
      <c r="AN166" s="56"/>
    </row>
    <row r="167" spans="1:40" x14ac:dyDescent="0.25">
      <c r="C167" s="56"/>
      <c r="D167" s="56"/>
      <c r="E167" s="56"/>
      <c r="F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T167" s="56"/>
      <c r="U167" s="56"/>
      <c r="V167" s="56"/>
      <c r="Y167" s="56"/>
      <c r="Z167" s="56"/>
      <c r="AA167" s="56"/>
      <c r="AB167" s="56"/>
      <c r="AC167" s="56"/>
      <c r="AD167" s="56"/>
      <c r="AE167" s="56"/>
      <c r="AF167" s="56"/>
      <c r="AG167" s="155"/>
      <c r="AH167" s="56"/>
      <c r="AI167" s="56"/>
      <c r="AJ167" s="56"/>
      <c r="AK167" s="155"/>
      <c r="AL167" s="56"/>
      <c r="AM167" s="56"/>
      <c r="AN167" s="56"/>
    </row>
    <row r="168" spans="1:40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154"/>
      <c r="AH168" s="55"/>
      <c r="AI168" s="55"/>
      <c r="AJ168" s="55"/>
      <c r="AK168" s="154"/>
      <c r="AL168" s="55"/>
      <c r="AM168" s="55"/>
      <c r="AN168" s="55"/>
    </row>
    <row r="169" spans="1:40" x14ac:dyDescent="0.25"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Y169" s="56"/>
      <c r="Z169" s="56"/>
      <c r="AA169" s="56"/>
      <c r="AB169" s="56"/>
      <c r="AC169" s="56"/>
      <c r="AD169" s="56"/>
      <c r="AE169" s="56"/>
      <c r="AF169" s="56"/>
      <c r="AG169" s="155"/>
      <c r="AH169" s="56"/>
      <c r="AI169" s="56"/>
      <c r="AJ169" s="56"/>
      <c r="AK169" s="155"/>
      <c r="AL169" s="56"/>
      <c r="AM169" s="56"/>
      <c r="AN169" s="56"/>
    </row>
    <row r="170" spans="1:40" x14ac:dyDescent="0.25">
      <c r="A170" s="53"/>
      <c r="C170" s="54"/>
      <c r="D170" s="54"/>
      <c r="E170" s="54"/>
      <c r="T170" s="54"/>
      <c r="U170" s="54"/>
    </row>
    <row r="171" spans="1:40" x14ac:dyDescent="0.25">
      <c r="A171" s="53"/>
      <c r="D171" s="54"/>
      <c r="E171" s="54"/>
      <c r="U171" s="54"/>
    </row>
    <row r="173" spans="1:40" x14ac:dyDescent="0.25">
      <c r="A173" s="53"/>
      <c r="C173" s="54"/>
      <c r="F173" s="449"/>
      <c r="H173" s="449"/>
      <c r="I173" s="449"/>
      <c r="J173" s="461"/>
      <c r="K173" s="461"/>
      <c r="L173" s="379"/>
      <c r="M173" s="379"/>
      <c r="N173" s="50"/>
      <c r="O173" s="50"/>
      <c r="R173" s="379"/>
      <c r="T173" s="54"/>
      <c r="V173" s="379"/>
      <c r="Y173" s="449"/>
      <c r="Z173" s="461"/>
      <c r="AA173" s="379"/>
      <c r="AB173" s="379"/>
      <c r="AC173" s="50"/>
      <c r="AD173" s="50"/>
      <c r="AE173" s="379"/>
      <c r="AF173" s="379"/>
      <c r="AG173" s="474"/>
      <c r="AH173" s="475"/>
      <c r="AK173" s="156"/>
      <c r="AL173" s="379"/>
      <c r="AM173" s="476"/>
      <c r="AN173" s="476"/>
    </row>
    <row r="174" spans="1:40" x14ac:dyDescent="0.25">
      <c r="A174" s="53"/>
      <c r="C174" s="54"/>
      <c r="F174" s="449"/>
      <c r="H174" s="449"/>
      <c r="I174" s="449"/>
      <c r="J174" s="461"/>
      <c r="K174" s="461"/>
      <c r="L174" s="379"/>
      <c r="M174" s="379"/>
      <c r="N174" s="50"/>
      <c r="O174" s="50"/>
      <c r="P174" s="53"/>
      <c r="Q174" s="53"/>
      <c r="R174" s="379"/>
      <c r="T174" s="54"/>
      <c r="V174" s="379"/>
      <c r="Y174" s="449"/>
      <c r="Z174" s="461"/>
      <c r="AA174" s="379"/>
      <c r="AB174" s="379"/>
      <c r="AC174" s="50"/>
      <c r="AD174" s="50"/>
      <c r="AE174" s="379"/>
      <c r="AF174" s="379"/>
      <c r="AG174" s="156"/>
      <c r="AH174" s="60"/>
      <c r="AI174" s="53"/>
      <c r="AJ174" s="53"/>
      <c r="AK174" s="156"/>
      <c r="AL174" s="379"/>
      <c r="AM174" s="50"/>
      <c r="AN174" s="50"/>
    </row>
    <row r="175" spans="1:40" x14ac:dyDescent="0.25">
      <c r="F175" s="381"/>
      <c r="H175" s="379"/>
      <c r="I175" s="379"/>
      <c r="J175" s="464"/>
      <c r="K175" s="464"/>
      <c r="L175" s="381"/>
      <c r="M175" s="381"/>
      <c r="N175" s="381"/>
      <c r="O175" s="381"/>
      <c r="P175" s="381"/>
      <c r="Q175" s="381"/>
      <c r="R175" s="381"/>
      <c r="V175" s="381"/>
      <c r="Y175" s="379"/>
      <c r="Z175" s="464"/>
      <c r="AA175" s="381"/>
      <c r="AB175" s="381"/>
      <c r="AC175" s="381"/>
      <c r="AD175" s="381"/>
      <c r="AE175" s="381"/>
      <c r="AF175" s="381"/>
      <c r="AI175" s="381"/>
      <c r="AJ175" s="381"/>
      <c r="AK175" s="162"/>
      <c r="AL175" s="381"/>
      <c r="AM175" s="50"/>
      <c r="AN175" s="50"/>
    </row>
    <row r="176" spans="1:40" x14ac:dyDescent="0.25">
      <c r="A176" s="53"/>
      <c r="C176" s="54"/>
      <c r="F176" s="379"/>
      <c r="H176" s="379"/>
      <c r="I176" s="379"/>
      <c r="J176" s="464"/>
      <c r="K176" s="464"/>
      <c r="L176" s="379"/>
      <c r="M176" s="379"/>
      <c r="N176" s="50"/>
      <c r="O176" s="50"/>
      <c r="P176" s="379"/>
      <c r="Q176" s="379"/>
      <c r="R176" s="379"/>
      <c r="T176" s="54"/>
      <c r="V176" s="379"/>
      <c r="Y176" s="379"/>
      <c r="Z176" s="59"/>
      <c r="AA176" s="379"/>
      <c r="AB176" s="379"/>
      <c r="AC176" s="50"/>
      <c r="AD176" s="50"/>
      <c r="AE176" s="379"/>
      <c r="AF176" s="379"/>
      <c r="AG176" s="156"/>
      <c r="AH176" s="60"/>
      <c r="AI176" s="379"/>
      <c r="AJ176" s="379"/>
      <c r="AK176" s="156"/>
      <c r="AL176" s="379"/>
      <c r="AM176" s="50"/>
      <c r="AN176" s="50"/>
    </row>
    <row r="177" spans="1:40" x14ac:dyDescent="0.25">
      <c r="F177" s="381"/>
      <c r="H177" s="379"/>
      <c r="I177" s="379"/>
      <c r="J177" s="464"/>
      <c r="K177" s="464"/>
      <c r="L177" s="381"/>
      <c r="M177" s="381"/>
      <c r="N177" s="381"/>
      <c r="O177" s="381"/>
      <c r="P177" s="381"/>
      <c r="Q177" s="381"/>
      <c r="R177" s="381"/>
      <c r="V177" s="381"/>
      <c r="Y177" s="379"/>
      <c r="Z177" s="464"/>
      <c r="AA177" s="381"/>
      <c r="AB177" s="381"/>
      <c r="AC177" s="381"/>
      <c r="AD177" s="381"/>
      <c r="AE177" s="381"/>
      <c r="AF177" s="381"/>
      <c r="AI177" s="381"/>
      <c r="AJ177" s="381"/>
      <c r="AK177" s="162"/>
      <c r="AL177" s="381"/>
      <c r="AM177" s="50"/>
      <c r="AN177" s="50"/>
    </row>
    <row r="178" spans="1:40" x14ac:dyDescent="0.25">
      <c r="F178" s="379"/>
      <c r="H178" s="379"/>
      <c r="I178" s="379"/>
      <c r="J178" s="464"/>
      <c r="K178" s="464"/>
      <c r="L178" s="379"/>
      <c r="M178" s="379"/>
      <c r="N178" s="50"/>
      <c r="O178" s="50"/>
      <c r="P178" s="379"/>
      <c r="Q178" s="379"/>
      <c r="R178" s="379"/>
      <c r="V178" s="379"/>
      <c r="Y178" s="379"/>
      <c r="Z178" s="59"/>
      <c r="AA178" s="379"/>
      <c r="AB178" s="379"/>
      <c r="AC178" s="50"/>
      <c r="AD178" s="50"/>
      <c r="AE178" s="379"/>
      <c r="AF178" s="379"/>
      <c r="AG178" s="156"/>
      <c r="AH178" s="60"/>
      <c r="AI178" s="379"/>
      <c r="AJ178" s="379"/>
      <c r="AK178" s="156"/>
      <c r="AL178" s="379"/>
      <c r="AM178" s="50"/>
      <c r="AN178" s="50"/>
    </row>
    <row r="179" spans="1:40" x14ac:dyDescent="0.25">
      <c r="A179" s="53"/>
      <c r="C179" s="54"/>
      <c r="F179" s="449"/>
      <c r="H179" s="449"/>
      <c r="I179" s="449"/>
      <c r="J179" s="461"/>
      <c r="K179" s="461"/>
      <c r="L179" s="379"/>
      <c r="M179" s="379"/>
      <c r="N179" s="50"/>
      <c r="O179" s="50"/>
      <c r="P179" s="379"/>
      <c r="Q179" s="379"/>
      <c r="R179" s="379"/>
      <c r="T179" s="54"/>
      <c r="V179" s="449"/>
      <c r="Y179" s="379"/>
      <c r="Z179" s="461"/>
      <c r="AA179" s="379"/>
      <c r="AB179" s="379"/>
      <c r="AC179" s="50"/>
      <c r="AD179" s="50"/>
      <c r="AE179" s="379"/>
      <c r="AF179" s="379"/>
      <c r="AG179" s="474"/>
      <c r="AH179" s="475"/>
      <c r="AI179" s="379"/>
      <c r="AJ179" s="379"/>
      <c r="AK179" s="156"/>
      <c r="AL179" s="379"/>
      <c r="AM179" s="476"/>
      <c r="AN179" s="476"/>
    </row>
    <row r="180" spans="1:40" x14ac:dyDescent="0.25">
      <c r="A180" s="53"/>
      <c r="C180" s="54"/>
      <c r="F180" s="449"/>
      <c r="H180" s="449"/>
      <c r="I180" s="449"/>
      <c r="J180" s="461"/>
      <c r="K180" s="461"/>
      <c r="L180" s="379"/>
      <c r="M180" s="379"/>
      <c r="N180" s="50"/>
      <c r="O180" s="50"/>
      <c r="P180" s="379"/>
      <c r="Q180" s="379"/>
      <c r="R180" s="379"/>
      <c r="T180" s="54"/>
      <c r="V180" s="449"/>
      <c r="Y180" s="379"/>
      <c r="Z180" s="461"/>
      <c r="AA180" s="379"/>
      <c r="AB180" s="379"/>
      <c r="AC180" s="50"/>
      <c r="AD180" s="50"/>
      <c r="AE180" s="379"/>
      <c r="AF180" s="379"/>
      <c r="AG180" s="156"/>
      <c r="AH180" s="60"/>
      <c r="AI180" s="379"/>
      <c r="AJ180" s="379"/>
      <c r="AK180" s="156"/>
      <c r="AL180" s="379"/>
      <c r="AM180" s="50"/>
      <c r="AN180" s="50"/>
    </row>
    <row r="181" spans="1:40" x14ac:dyDescent="0.25">
      <c r="F181" s="379"/>
      <c r="H181" s="381"/>
      <c r="I181" s="381"/>
      <c r="J181" s="464"/>
      <c r="K181" s="464"/>
      <c r="L181" s="381"/>
      <c r="M181" s="381"/>
      <c r="N181" s="381"/>
      <c r="O181" s="381"/>
      <c r="P181" s="381"/>
      <c r="Q181" s="381"/>
      <c r="R181" s="381"/>
      <c r="V181" s="379"/>
      <c r="Y181" s="381"/>
      <c r="Z181" s="464"/>
      <c r="AA181" s="381"/>
      <c r="AB181" s="381"/>
      <c r="AC181" s="381"/>
      <c r="AD181" s="381"/>
      <c r="AE181" s="381"/>
      <c r="AF181" s="381"/>
      <c r="AI181" s="381"/>
      <c r="AJ181" s="381"/>
      <c r="AK181" s="162"/>
      <c r="AL181" s="381"/>
      <c r="AM181" s="50"/>
      <c r="AN181" s="50"/>
    </row>
    <row r="182" spans="1:40" x14ac:dyDescent="0.25">
      <c r="A182" s="53"/>
      <c r="C182" s="54"/>
      <c r="F182" s="379"/>
      <c r="H182" s="379"/>
      <c r="I182" s="379"/>
      <c r="J182" s="464"/>
      <c r="K182" s="464"/>
      <c r="L182" s="379"/>
      <c r="M182" s="379"/>
      <c r="N182" s="50"/>
      <c r="O182" s="50"/>
      <c r="P182" s="379"/>
      <c r="Q182" s="379"/>
      <c r="R182" s="379"/>
      <c r="T182" s="54"/>
      <c r="V182" s="379"/>
      <c r="Y182" s="379"/>
      <c r="Z182" s="464"/>
      <c r="AA182" s="379"/>
      <c r="AB182" s="379"/>
      <c r="AC182" s="50"/>
      <c r="AD182" s="50"/>
      <c r="AE182" s="379"/>
      <c r="AF182" s="379"/>
      <c r="AG182" s="156"/>
      <c r="AH182" s="60"/>
      <c r="AI182" s="379"/>
      <c r="AJ182" s="379"/>
      <c r="AK182" s="156"/>
      <c r="AL182" s="379"/>
      <c r="AM182" s="50"/>
      <c r="AN182" s="50"/>
    </row>
    <row r="183" spans="1:40" x14ac:dyDescent="0.25">
      <c r="F183" s="379"/>
      <c r="H183" s="381"/>
      <c r="I183" s="381"/>
      <c r="J183" s="464"/>
      <c r="K183" s="464"/>
      <c r="L183" s="381"/>
      <c r="M183" s="381"/>
      <c r="N183" s="381"/>
      <c r="O183" s="381"/>
      <c r="P183" s="381"/>
      <c r="Q183" s="381"/>
      <c r="R183" s="381"/>
      <c r="V183" s="379"/>
      <c r="Y183" s="381"/>
      <c r="Z183" s="464"/>
      <c r="AA183" s="381"/>
      <c r="AB183" s="381"/>
      <c r="AC183" s="381"/>
      <c r="AD183" s="381"/>
      <c r="AE183" s="381"/>
      <c r="AF183" s="381"/>
      <c r="AI183" s="381"/>
      <c r="AJ183" s="381"/>
      <c r="AK183" s="162"/>
      <c r="AL183" s="381"/>
      <c r="AM183" s="50"/>
      <c r="AN183" s="50"/>
    </row>
    <row r="184" spans="1:40" x14ac:dyDescent="0.25">
      <c r="F184" s="379"/>
      <c r="H184" s="379"/>
      <c r="I184" s="379"/>
      <c r="J184" s="464"/>
      <c r="K184" s="464"/>
      <c r="L184" s="379"/>
      <c r="M184" s="379"/>
      <c r="N184" s="379"/>
      <c r="O184" s="379"/>
      <c r="P184" s="379"/>
      <c r="Q184" s="379"/>
      <c r="R184" s="379"/>
      <c r="V184" s="379"/>
      <c r="Y184" s="379"/>
      <c r="Z184" s="464"/>
      <c r="AA184" s="379"/>
      <c r="AB184" s="379"/>
      <c r="AC184" s="379"/>
      <c r="AD184" s="379"/>
      <c r="AE184" s="379"/>
      <c r="AF184" s="379"/>
      <c r="AG184" s="156"/>
      <c r="AH184" s="60"/>
      <c r="AI184" s="379"/>
      <c r="AJ184" s="379"/>
      <c r="AK184" s="156"/>
      <c r="AL184" s="379"/>
      <c r="AM184" s="50"/>
      <c r="AN184" s="50"/>
    </row>
    <row r="185" spans="1:40" x14ac:dyDescent="0.25">
      <c r="A185" s="53"/>
      <c r="C185" s="54"/>
      <c r="F185" s="449"/>
      <c r="H185" s="449"/>
      <c r="I185" s="449"/>
      <c r="J185" s="472"/>
      <c r="K185" s="472"/>
      <c r="L185" s="379"/>
      <c r="M185" s="379"/>
      <c r="N185" s="50"/>
      <c r="O185" s="50"/>
      <c r="P185" s="449"/>
      <c r="Q185" s="449"/>
      <c r="R185" s="379"/>
      <c r="T185" s="54"/>
      <c r="V185" s="449"/>
      <c r="Y185" s="449"/>
      <c r="Z185" s="477"/>
      <c r="AA185" s="379"/>
      <c r="AB185" s="379"/>
      <c r="AC185" s="50"/>
      <c r="AD185" s="50"/>
      <c r="AE185" s="379"/>
      <c r="AF185" s="379"/>
      <c r="AG185" s="156"/>
      <c r="AH185" s="60"/>
      <c r="AI185" s="449"/>
      <c r="AJ185" s="449"/>
      <c r="AK185" s="156"/>
      <c r="AL185" s="379"/>
      <c r="AM185" s="50"/>
      <c r="AN185" s="50"/>
    </row>
    <row r="186" spans="1:40" x14ac:dyDescent="0.25">
      <c r="A186" s="53"/>
      <c r="C186" s="54"/>
      <c r="F186" s="449"/>
      <c r="H186" s="449"/>
      <c r="I186" s="449"/>
      <c r="J186" s="472"/>
      <c r="K186" s="472"/>
      <c r="L186" s="379"/>
      <c r="M186" s="379"/>
      <c r="N186" s="50"/>
      <c r="O186" s="50"/>
      <c r="P186" s="449"/>
      <c r="Q186" s="449"/>
      <c r="R186" s="379"/>
      <c r="T186" s="54"/>
      <c r="V186" s="449"/>
      <c r="Y186" s="379"/>
      <c r="Z186" s="463"/>
      <c r="AA186" s="379"/>
      <c r="AB186" s="379"/>
      <c r="AC186" s="50"/>
      <c r="AD186" s="50"/>
      <c r="AE186" s="379"/>
      <c r="AF186" s="379"/>
      <c r="AG186" s="156"/>
      <c r="AH186" s="60"/>
      <c r="AI186" s="449"/>
      <c r="AJ186" s="449"/>
      <c r="AK186" s="156"/>
      <c r="AL186" s="379"/>
      <c r="AM186" s="50"/>
      <c r="AN186" s="50"/>
    </row>
    <row r="187" spans="1:40" x14ac:dyDescent="0.25">
      <c r="A187" s="53"/>
      <c r="C187" s="54"/>
      <c r="F187" s="449"/>
      <c r="H187" s="449"/>
      <c r="I187" s="449"/>
      <c r="J187" s="472"/>
      <c r="K187" s="472"/>
      <c r="L187" s="379"/>
      <c r="M187" s="379"/>
      <c r="N187" s="50"/>
      <c r="O187" s="50"/>
      <c r="P187" s="449"/>
      <c r="Q187" s="449"/>
      <c r="R187" s="379"/>
      <c r="T187" s="54"/>
      <c r="V187" s="449"/>
      <c r="Y187" s="379"/>
      <c r="Z187" s="463"/>
      <c r="AA187" s="379"/>
      <c r="AB187" s="379"/>
      <c r="AC187" s="50"/>
      <c r="AD187" s="50"/>
      <c r="AE187" s="379"/>
      <c r="AF187" s="379"/>
      <c r="AG187" s="156"/>
      <c r="AH187" s="60"/>
      <c r="AI187" s="449"/>
      <c r="AJ187" s="449"/>
      <c r="AK187" s="156"/>
      <c r="AL187" s="379"/>
      <c r="AM187" s="50"/>
      <c r="AN187" s="50"/>
    </row>
    <row r="188" spans="1:40" x14ac:dyDescent="0.25">
      <c r="F188" s="381"/>
      <c r="H188" s="381"/>
      <c r="I188" s="381"/>
      <c r="J188" s="464"/>
      <c r="K188" s="464"/>
      <c r="L188" s="381"/>
      <c r="M188" s="381"/>
      <c r="N188" s="381"/>
      <c r="O188" s="381"/>
      <c r="P188" s="381"/>
      <c r="Q188" s="381"/>
      <c r="R188" s="381"/>
      <c r="V188" s="381"/>
      <c r="Y188" s="381"/>
      <c r="Z188" s="464"/>
      <c r="AA188" s="381"/>
      <c r="AB188" s="381"/>
      <c r="AC188" s="381"/>
      <c r="AD188" s="381"/>
      <c r="AE188" s="381"/>
      <c r="AF188" s="381"/>
      <c r="AI188" s="381"/>
      <c r="AJ188" s="381"/>
      <c r="AK188" s="162"/>
      <c r="AL188" s="381"/>
      <c r="AM188" s="50"/>
      <c r="AN188" s="50"/>
    </row>
    <row r="189" spans="1:40" x14ac:dyDescent="0.25">
      <c r="A189" s="53"/>
      <c r="C189" s="54"/>
      <c r="F189" s="379"/>
      <c r="H189" s="379"/>
      <c r="I189" s="379"/>
      <c r="J189" s="59"/>
      <c r="K189" s="59"/>
      <c r="L189" s="379"/>
      <c r="M189" s="379"/>
      <c r="N189" s="50"/>
      <c r="O189" s="50"/>
      <c r="P189" s="379"/>
      <c r="Q189" s="379"/>
      <c r="R189" s="379"/>
      <c r="T189" s="54"/>
      <c r="V189" s="379"/>
      <c r="Y189" s="379"/>
      <c r="Z189" s="59"/>
      <c r="AA189" s="379"/>
      <c r="AB189" s="379"/>
      <c r="AC189" s="50"/>
      <c r="AD189" s="50"/>
      <c r="AE189" s="379"/>
      <c r="AF189" s="379"/>
      <c r="AG189" s="156"/>
      <c r="AH189" s="60"/>
      <c r="AI189" s="379"/>
      <c r="AJ189" s="379"/>
      <c r="AK189" s="156"/>
      <c r="AL189" s="379"/>
      <c r="AM189" s="50"/>
      <c r="AN189" s="50"/>
    </row>
    <row r="190" spans="1:40" x14ac:dyDescent="0.25">
      <c r="F190" s="381"/>
      <c r="H190" s="381"/>
      <c r="I190" s="381"/>
      <c r="J190" s="464"/>
      <c r="K190" s="464"/>
      <c r="L190" s="381"/>
      <c r="M190" s="381"/>
      <c r="N190" s="381"/>
      <c r="O190" s="381"/>
      <c r="P190" s="381"/>
      <c r="Q190" s="381"/>
      <c r="R190" s="381"/>
      <c r="V190" s="381"/>
      <c r="Y190" s="381"/>
      <c r="Z190" s="464"/>
      <c r="AA190" s="381"/>
      <c r="AB190" s="381"/>
      <c r="AC190" s="381"/>
      <c r="AD190" s="381"/>
      <c r="AE190" s="381"/>
      <c r="AF190" s="381"/>
      <c r="AI190" s="381"/>
      <c r="AJ190" s="381"/>
      <c r="AK190" s="162"/>
      <c r="AL190" s="381"/>
      <c r="AM190" s="50"/>
      <c r="AN190" s="50"/>
    </row>
    <row r="191" spans="1:40" x14ac:dyDescent="0.25">
      <c r="A191" s="53"/>
      <c r="C191" s="54"/>
      <c r="F191" s="379"/>
      <c r="H191" s="379"/>
      <c r="I191" s="379"/>
      <c r="J191" s="59"/>
      <c r="K191" s="59"/>
      <c r="L191" s="379"/>
      <c r="M191" s="379"/>
      <c r="N191" s="50"/>
      <c r="O191" s="50"/>
      <c r="P191" s="379"/>
      <c r="Q191" s="379"/>
      <c r="R191" s="379"/>
      <c r="T191" s="54"/>
      <c r="V191" s="379"/>
      <c r="Y191" s="379"/>
      <c r="Z191" s="59"/>
      <c r="AA191" s="379"/>
      <c r="AB191" s="379"/>
      <c r="AC191" s="50"/>
      <c r="AD191" s="50"/>
      <c r="AE191" s="379"/>
      <c r="AF191" s="379"/>
      <c r="AG191" s="156"/>
      <c r="AH191" s="60"/>
      <c r="AI191" s="379"/>
      <c r="AJ191" s="379"/>
      <c r="AK191" s="156"/>
      <c r="AL191" s="379"/>
      <c r="AM191" s="50"/>
      <c r="AN191" s="50"/>
    </row>
    <row r="192" spans="1:40" x14ac:dyDescent="0.25">
      <c r="A192" s="53"/>
      <c r="C192" s="54"/>
      <c r="F192" s="379"/>
      <c r="H192" s="379"/>
      <c r="I192" s="379"/>
      <c r="J192" s="59"/>
      <c r="K192" s="59"/>
      <c r="L192" s="379"/>
      <c r="M192" s="379"/>
      <c r="N192" s="50"/>
      <c r="O192" s="50"/>
      <c r="P192" s="379"/>
      <c r="Q192" s="379"/>
      <c r="R192" s="379"/>
      <c r="T192" s="54"/>
      <c r="V192" s="379"/>
      <c r="Y192" s="379"/>
      <c r="Z192" s="59"/>
      <c r="AA192" s="379"/>
      <c r="AB192" s="379"/>
      <c r="AC192" s="50"/>
      <c r="AD192" s="50"/>
      <c r="AE192" s="379"/>
      <c r="AF192" s="379"/>
      <c r="AG192" s="156"/>
      <c r="AH192" s="60"/>
      <c r="AI192" s="379"/>
      <c r="AJ192" s="379"/>
      <c r="AK192" s="156"/>
      <c r="AL192" s="379"/>
      <c r="AM192" s="50"/>
      <c r="AN192" s="50"/>
    </row>
    <row r="193" spans="1:40" x14ac:dyDescent="0.25">
      <c r="F193" s="381"/>
      <c r="H193" s="381"/>
      <c r="I193" s="381"/>
      <c r="J193" s="464"/>
      <c r="K193" s="464"/>
      <c r="L193" s="381"/>
      <c r="M193" s="381"/>
      <c r="N193" s="381"/>
      <c r="O193" s="381"/>
      <c r="P193" s="381"/>
      <c r="Q193" s="381"/>
      <c r="R193" s="381"/>
      <c r="V193" s="381"/>
      <c r="Y193" s="381"/>
      <c r="Z193" s="464"/>
      <c r="AA193" s="381"/>
      <c r="AB193" s="381"/>
      <c r="AC193" s="381"/>
      <c r="AD193" s="381"/>
      <c r="AE193" s="381"/>
      <c r="AF193" s="381"/>
      <c r="AI193" s="381"/>
      <c r="AJ193" s="381"/>
      <c r="AK193" s="162"/>
      <c r="AL193" s="381"/>
      <c r="AM193" s="379"/>
      <c r="AN193" s="379"/>
    </row>
    <row r="194" spans="1:40" x14ac:dyDescent="0.25">
      <c r="F194" s="379"/>
      <c r="H194" s="379"/>
      <c r="I194" s="379"/>
      <c r="J194" s="59"/>
      <c r="K194" s="59"/>
      <c r="L194" s="379"/>
      <c r="M194" s="379"/>
      <c r="N194" s="379"/>
      <c r="O194" s="379"/>
      <c r="P194" s="379"/>
      <c r="Q194" s="379"/>
      <c r="R194" s="379"/>
      <c r="V194" s="379"/>
      <c r="Y194" s="379"/>
      <c r="Z194" s="59"/>
      <c r="AA194" s="379"/>
      <c r="AB194" s="379"/>
      <c r="AC194" s="379"/>
      <c r="AD194" s="379"/>
    </row>
    <row r="195" spans="1:40" x14ac:dyDescent="0.25">
      <c r="C195" s="54"/>
      <c r="F195" s="379"/>
      <c r="H195" s="379"/>
      <c r="I195" s="379"/>
      <c r="J195" s="59"/>
      <c r="K195" s="59"/>
      <c r="L195" s="379"/>
      <c r="M195" s="379"/>
      <c r="N195" s="379"/>
      <c r="O195" s="379"/>
      <c r="P195" s="379"/>
      <c r="Q195" s="379"/>
      <c r="R195" s="379"/>
      <c r="T195" s="54"/>
      <c r="V195" s="379"/>
      <c r="Y195" s="379"/>
      <c r="Z195" s="59"/>
      <c r="AA195" s="379"/>
      <c r="AB195" s="379"/>
      <c r="AC195" s="379"/>
      <c r="AD195" s="379"/>
    </row>
    <row r="196" spans="1:40" x14ac:dyDescent="0.25">
      <c r="A196" s="54"/>
    </row>
    <row r="197" spans="1:40" x14ac:dyDescent="0.25">
      <c r="J197" s="53"/>
      <c r="K197" s="53"/>
      <c r="Z197" s="53"/>
    </row>
    <row r="198" spans="1:40" x14ac:dyDescent="0.25">
      <c r="H198" s="54"/>
      <c r="I198" s="54"/>
      <c r="Y198" s="54"/>
    </row>
    <row r="199" spans="1:40" x14ac:dyDescent="0.25">
      <c r="J199" s="53"/>
      <c r="K199" s="53"/>
      <c r="Z199" s="53"/>
    </row>
    <row r="200" spans="1:40" x14ac:dyDescent="0.25">
      <c r="L200" s="54"/>
      <c r="M200" s="54"/>
      <c r="AA200" s="54"/>
      <c r="AB200" s="54"/>
    </row>
    <row r="201" spans="1:40" x14ac:dyDescent="0.25">
      <c r="A201" s="53"/>
      <c r="R201" s="54"/>
      <c r="AK201" s="161"/>
      <c r="AL201" s="54"/>
    </row>
    <row r="202" spans="1:40" x14ac:dyDescent="0.25">
      <c r="A202" s="53"/>
      <c r="R202" s="54"/>
      <c r="AK202" s="161"/>
      <c r="AL202" s="54"/>
    </row>
    <row r="203" spans="1:40" x14ac:dyDescent="0.25">
      <c r="A203" s="54"/>
      <c r="R203" s="54"/>
      <c r="AK203" s="161"/>
      <c r="AL203" s="54"/>
    </row>
    <row r="204" spans="1:40" x14ac:dyDescent="0.25">
      <c r="L204" s="54"/>
      <c r="M204" s="54"/>
      <c r="R204" s="53"/>
      <c r="AA204" s="54"/>
      <c r="AB204" s="54"/>
      <c r="AK204" s="156"/>
      <c r="AL204" s="53"/>
    </row>
    <row r="205" spans="1:40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154"/>
      <c r="AH205" s="55"/>
      <c r="AI205" s="55"/>
      <c r="AJ205" s="55"/>
      <c r="AK205" s="154"/>
      <c r="AL205" s="55"/>
      <c r="AM205" s="55"/>
      <c r="AN205" s="55"/>
    </row>
    <row r="206" spans="1:40" x14ac:dyDescent="0.25">
      <c r="L206" s="56"/>
      <c r="M206" s="56"/>
      <c r="N206" s="56"/>
      <c r="O206" s="56"/>
      <c r="R206" s="56"/>
      <c r="AA206" s="56"/>
      <c r="AB206" s="56"/>
      <c r="AC206" s="56"/>
      <c r="AD206" s="56"/>
      <c r="AE206" s="56"/>
      <c r="AF206" s="56"/>
      <c r="AG206" s="155"/>
      <c r="AH206" s="56"/>
      <c r="AK206" s="155"/>
      <c r="AL206" s="56"/>
      <c r="AM206" s="56"/>
      <c r="AN206" s="56"/>
    </row>
    <row r="207" spans="1:40" x14ac:dyDescent="0.25">
      <c r="L207" s="56"/>
      <c r="M207" s="56"/>
      <c r="N207" s="56"/>
      <c r="O207" s="56"/>
      <c r="R207" s="56"/>
      <c r="Z207" s="56"/>
      <c r="AA207" s="56"/>
      <c r="AB207" s="56"/>
      <c r="AC207" s="56"/>
      <c r="AD207" s="56"/>
      <c r="AE207" s="56"/>
      <c r="AF207" s="56"/>
      <c r="AG207" s="155"/>
      <c r="AH207" s="56"/>
      <c r="AK207" s="155"/>
      <c r="AL207" s="56"/>
      <c r="AM207" s="56"/>
      <c r="AN207" s="56"/>
    </row>
    <row r="208" spans="1:40" x14ac:dyDescent="0.25">
      <c r="A208" s="56"/>
      <c r="C208" s="56"/>
      <c r="D208" s="56"/>
      <c r="E208" s="56"/>
      <c r="F208" s="56"/>
      <c r="J208" s="56"/>
      <c r="K208" s="56"/>
      <c r="L208" s="56"/>
      <c r="M208" s="56"/>
      <c r="N208" s="56"/>
      <c r="O208" s="56"/>
      <c r="P208" s="56"/>
      <c r="Q208" s="56"/>
      <c r="R208" s="56"/>
      <c r="T208" s="56"/>
      <c r="U208" s="56"/>
      <c r="V208" s="56"/>
      <c r="Z208" s="56"/>
      <c r="AA208" s="56"/>
      <c r="AB208" s="56"/>
      <c r="AC208" s="56"/>
      <c r="AD208" s="56"/>
      <c r="AE208" s="56"/>
      <c r="AF208" s="56"/>
      <c r="AG208" s="155"/>
      <c r="AH208" s="56"/>
      <c r="AI208" s="56"/>
      <c r="AJ208" s="56"/>
      <c r="AK208" s="155"/>
      <c r="AL208" s="56"/>
      <c r="AM208" s="56"/>
      <c r="AN208" s="56"/>
    </row>
    <row r="209" spans="1:40" x14ac:dyDescent="0.25">
      <c r="A209" s="56"/>
      <c r="C209" s="56"/>
      <c r="D209" s="56"/>
      <c r="E209" s="56"/>
      <c r="F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T209" s="56"/>
      <c r="U209" s="56"/>
      <c r="V209" s="56"/>
      <c r="Y209" s="56"/>
      <c r="Z209" s="56"/>
      <c r="AA209" s="56"/>
      <c r="AB209" s="56"/>
      <c r="AC209" s="56"/>
      <c r="AD209" s="56"/>
      <c r="AE209" s="56"/>
      <c r="AF209" s="56"/>
      <c r="AG209" s="155"/>
      <c r="AH209" s="56"/>
      <c r="AI209" s="56"/>
      <c r="AJ209" s="56"/>
      <c r="AK209" s="155"/>
      <c r="AL209" s="56"/>
      <c r="AM209" s="56"/>
      <c r="AN209" s="56"/>
    </row>
    <row r="210" spans="1:40" x14ac:dyDescent="0.25">
      <c r="C210" s="56"/>
      <c r="D210" s="56"/>
      <c r="E210" s="56"/>
      <c r="F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T210" s="56"/>
      <c r="U210" s="56"/>
      <c r="V210" s="56"/>
      <c r="Y210" s="56"/>
      <c r="Z210" s="56"/>
      <c r="AA210" s="56"/>
      <c r="AB210" s="56"/>
      <c r="AC210" s="56"/>
      <c r="AD210" s="56"/>
      <c r="AE210" s="56"/>
      <c r="AF210" s="56"/>
      <c r="AG210" s="155"/>
      <c r="AH210" s="56"/>
      <c r="AI210" s="56"/>
      <c r="AJ210" s="56"/>
      <c r="AK210" s="155"/>
      <c r="AL210" s="56"/>
      <c r="AM210" s="56"/>
      <c r="AN210" s="56"/>
    </row>
    <row r="211" spans="1:40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154"/>
      <c r="AH211" s="55"/>
      <c r="AI211" s="55"/>
      <c r="AJ211" s="55"/>
      <c r="AK211" s="154"/>
      <c r="AL211" s="55"/>
      <c r="AM211" s="55"/>
      <c r="AN211" s="55"/>
    </row>
    <row r="212" spans="1:40" x14ac:dyDescent="0.25"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Y212" s="56"/>
      <c r="Z212" s="56"/>
      <c r="AA212" s="56"/>
      <c r="AB212" s="56"/>
      <c r="AC212" s="56"/>
      <c r="AD212" s="56"/>
      <c r="AE212" s="56"/>
      <c r="AF212" s="56"/>
      <c r="AG212" s="155"/>
      <c r="AH212" s="56"/>
      <c r="AI212" s="56"/>
      <c r="AJ212" s="56"/>
      <c r="AK212" s="155"/>
      <c r="AL212" s="56"/>
      <c r="AM212" s="56"/>
      <c r="AN212" s="56"/>
    </row>
    <row r="213" spans="1:40" x14ac:dyDescent="0.25">
      <c r="A213" s="53"/>
      <c r="C213" s="54"/>
      <c r="D213" s="54"/>
      <c r="E213" s="54"/>
      <c r="T213" s="54"/>
      <c r="U213" s="54"/>
    </row>
    <row r="215" spans="1:40" x14ac:dyDescent="0.25">
      <c r="A215" s="53"/>
      <c r="C215" s="54"/>
      <c r="F215" s="449"/>
      <c r="H215" s="470"/>
      <c r="I215" s="470"/>
      <c r="J215" s="461"/>
      <c r="K215" s="461"/>
      <c r="L215" s="379"/>
      <c r="M215" s="379"/>
      <c r="N215" s="53"/>
      <c r="O215" s="53"/>
      <c r="P215" s="53"/>
      <c r="Q215" s="53"/>
      <c r="R215" s="379"/>
      <c r="T215" s="54"/>
      <c r="V215" s="379"/>
      <c r="Y215" s="53"/>
      <c r="Z215" s="461"/>
      <c r="AA215" s="379"/>
      <c r="AB215" s="379"/>
      <c r="AC215" s="53"/>
      <c r="AD215" s="53"/>
      <c r="AE215" s="379"/>
      <c r="AF215" s="379"/>
      <c r="AG215" s="474"/>
      <c r="AH215" s="475"/>
      <c r="AI215" s="379"/>
      <c r="AJ215" s="379"/>
      <c r="AK215" s="156"/>
      <c r="AL215" s="379"/>
      <c r="AM215" s="476"/>
      <c r="AN215" s="476"/>
    </row>
    <row r="216" spans="1:40" x14ac:dyDescent="0.25">
      <c r="F216" s="449"/>
      <c r="H216" s="470"/>
      <c r="I216" s="470"/>
      <c r="J216" s="470"/>
      <c r="K216" s="470"/>
      <c r="R216" s="379"/>
      <c r="V216" s="379"/>
      <c r="Z216" s="470"/>
    </row>
    <row r="217" spans="1:40" x14ac:dyDescent="0.25">
      <c r="A217" s="53"/>
      <c r="C217" s="54"/>
      <c r="F217" s="449"/>
      <c r="H217" s="449"/>
      <c r="I217" s="449"/>
      <c r="J217" s="472"/>
      <c r="K217" s="472"/>
      <c r="L217" s="379"/>
      <c r="M217" s="379"/>
      <c r="N217" s="50"/>
      <c r="O217" s="50"/>
      <c r="P217" s="449"/>
      <c r="Q217" s="449"/>
      <c r="R217" s="379"/>
      <c r="T217" s="54"/>
      <c r="V217" s="379"/>
      <c r="Y217" s="379"/>
      <c r="Z217" s="463"/>
      <c r="AA217" s="379"/>
      <c r="AB217" s="379"/>
      <c r="AC217" s="50"/>
      <c r="AD217" s="50"/>
      <c r="AE217" s="379"/>
      <c r="AF217" s="379"/>
      <c r="AG217" s="156"/>
      <c r="AH217" s="60"/>
      <c r="AI217" s="449"/>
      <c r="AJ217" s="449"/>
      <c r="AK217" s="156"/>
      <c r="AL217" s="379"/>
      <c r="AM217" s="50"/>
      <c r="AN217" s="50"/>
    </row>
    <row r="218" spans="1:40" x14ac:dyDescent="0.25">
      <c r="F218" s="381"/>
      <c r="H218" s="381"/>
      <c r="I218" s="381"/>
      <c r="J218" s="464"/>
      <c r="K218" s="464"/>
      <c r="L218" s="381"/>
      <c r="M218" s="381"/>
      <c r="N218" s="381"/>
      <c r="O218" s="381"/>
      <c r="P218" s="381"/>
      <c r="Q218" s="381"/>
      <c r="R218" s="381"/>
      <c r="V218" s="381"/>
      <c r="Y218" s="381"/>
      <c r="Z218" s="464"/>
      <c r="AA218" s="381"/>
      <c r="AB218" s="381"/>
      <c r="AC218" s="381"/>
      <c r="AD218" s="381"/>
      <c r="AE218" s="381"/>
      <c r="AF218" s="381"/>
      <c r="AI218" s="381"/>
      <c r="AJ218" s="381"/>
      <c r="AK218" s="162"/>
      <c r="AL218" s="381"/>
    </row>
    <row r="219" spans="1:40" x14ac:dyDescent="0.25">
      <c r="A219" s="53"/>
      <c r="D219" s="54"/>
      <c r="E219" s="54"/>
      <c r="F219" s="379"/>
      <c r="H219" s="379"/>
      <c r="I219" s="379"/>
      <c r="J219" s="59"/>
      <c r="K219" s="59"/>
      <c r="L219" s="379"/>
      <c r="M219" s="379"/>
      <c r="N219" s="50"/>
      <c r="O219" s="50"/>
      <c r="P219" s="379"/>
      <c r="Q219" s="379"/>
      <c r="R219" s="379"/>
      <c r="U219" s="54"/>
      <c r="V219" s="379"/>
      <c r="Y219" s="379"/>
      <c r="Z219" s="59"/>
      <c r="AA219" s="379"/>
      <c r="AB219" s="379"/>
      <c r="AC219" s="50"/>
      <c r="AD219" s="50"/>
      <c r="AE219" s="379"/>
      <c r="AF219" s="379"/>
      <c r="AG219" s="156"/>
      <c r="AH219" s="60"/>
      <c r="AI219" s="379"/>
      <c r="AJ219" s="379"/>
      <c r="AK219" s="156"/>
      <c r="AL219" s="379"/>
      <c r="AM219" s="50"/>
      <c r="AN219" s="50"/>
    </row>
    <row r="220" spans="1:40" x14ac:dyDescent="0.25">
      <c r="F220" s="381"/>
      <c r="H220" s="381"/>
      <c r="I220" s="381"/>
      <c r="J220" s="464"/>
      <c r="K220" s="464"/>
      <c r="L220" s="381"/>
      <c r="M220" s="381"/>
      <c r="N220" s="381"/>
      <c r="O220" s="381"/>
      <c r="P220" s="381"/>
      <c r="Q220" s="381"/>
      <c r="R220" s="381"/>
      <c r="V220" s="381"/>
      <c r="Y220" s="381"/>
      <c r="Z220" s="464"/>
      <c r="AA220" s="381"/>
      <c r="AB220" s="381"/>
      <c r="AC220" s="381"/>
      <c r="AD220" s="381"/>
      <c r="AE220" s="381"/>
      <c r="AF220" s="381"/>
      <c r="AI220" s="381"/>
      <c r="AJ220" s="381"/>
      <c r="AK220" s="162"/>
      <c r="AL220" s="381"/>
    </row>
    <row r="221" spans="1:40" x14ac:dyDescent="0.25">
      <c r="R221" s="379"/>
    </row>
    <row r="222" spans="1:40" x14ac:dyDescent="0.25">
      <c r="R222" s="379"/>
    </row>
    <row r="223" spans="1:40" x14ac:dyDescent="0.25">
      <c r="R223" s="379"/>
    </row>
    <row r="224" spans="1:40" x14ac:dyDescent="0.25">
      <c r="A224" s="53"/>
      <c r="C224" s="54"/>
      <c r="D224" s="54"/>
      <c r="E224" s="54"/>
      <c r="H224" s="379"/>
      <c r="I224" s="379"/>
      <c r="J224" s="59"/>
      <c r="K224" s="59"/>
      <c r="L224" s="379"/>
      <c r="M224" s="379"/>
      <c r="N224" s="50"/>
      <c r="O224" s="50"/>
      <c r="P224" s="379"/>
      <c r="Q224" s="379"/>
      <c r="R224" s="379"/>
      <c r="T224" s="54"/>
      <c r="U224" s="54"/>
      <c r="Y224" s="379"/>
      <c r="Z224" s="59"/>
      <c r="AA224" s="379"/>
      <c r="AB224" s="379"/>
      <c r="AC224" s="50"/>
      <c r="AD224" s="50"/>
    </row>
    <row r="225" spans="1:40" x14ac:dyDescent="0.25">
      <c r="H225" s="379"/>
      <c r="I225" s="379"/>
      <c r="J225" s="59"/>
      <c r="K225" s="59"/>
      <c r="L225" s="379"/>
      <c r="M225" s="379"/>
      <c r="N225" s="50"/>
      <c r="O225" s="50"/>
      <c r="P225" s="379"/>
      <c r="Q225" s="379"/>
      <c r="R225" s="379"/>
      <c r="Y225" s="379"/>
      <c r="Z225" s="59"/>
      <c r="AA225" s="379"/>
      <c r="AB225" s="379"/>
      <c r="AC225" s="50"/>
      <c r="AD225" s="50"/>
    </row>
    <row r="226" spans="1:40" x14ac:dyDescent="0.25">
      <c r="A226" s="53"/>
      <c r="C226" s="54"/>
      <c r="F226" s="449"/>
      <c r="H226" s="449"/>
      <c r="I226" s="449"/>
      <c r="J226" s="61"/>
      <c r="K226" s="61"/>
      <c r="L226" s="449"/>
      <c r="M226" s="449"/>
      <c r="N226" s="50"/>
      <c r="O226" s="50"/>
      <c r="P226" s="379"/>
      <c r="Q226" s="379"/>
      <c r="R226" s="379"/>
      <c r="T226" s="54"/>
      <c r="V226" s="379"/>
      <c r="Y226" s="379"/>
      <c r="Z226" s="61"/>
      <c r="AA226" s="379"/>
      <c r="AB226" s="379"/>
      <c r="AC226" s="50"/>
      <c r="AD226" s="50"/>
      <c r="AE226" s="379"/>
      <c r="AF226" s="379"/>
      <c r="AG226" s="156"/>
      <c r="AH226" s="60"/>
      <c r="AI226" s="379"/>
      <c r="AJ226" s="379"/>
      <c r="AK226" s="156"/>
      <c r="AL226" s="379"/>
      <c r="AM226" s="50"/>
      <c r="AN226" s="50"/>
    </row>
    <row r="227" spans="1:40" x14ac:dyDescent="0.25">
      <c r="F227" s="449"/>
      <c r="H227" s="470"/>
      <c r="I227" s="470"/>
      <c r="J227" s="470"/>
      <c r="K227" s="470"/>
      <c r="R227" s="379"/>
      <c r="V227" s="379"/>
      <c r="Z227" s="470"/>
    </row>
    <row r="228" spans="1:40" x14ac:dyDescent="0.25">
      <c r="A228" s="53"/>
      <c r="C228" s="54"/>
      <c r="F228" s="449"/>
      <c r="H228" s="449"/>
      <c r="I228" s="449"/>
      <c r="J228" s="461"/>
      <c r="K228" s="461"/>
      <c r="L228" s="379"/>
      <c r="M228" s="379"/>
      <c r="N228" s="50"/>
      <c r="O228" s="50"/>
      <c r="P228" s="379"/>
      <c r="Q228" s="379"/>
      <c r="R228" s="379"/>
      <c r="T228" s="54"/>
      <c r="V228" s="379"/>
      <c r="Y228" s="379"/>
      <c r="Z228" s="461"/>
      <c r="AA228" s="379"/>
      <c r="AB228" s="379"/>
      <c r="AC228" s="50"/>
      <c r="AD228" s="50"/>
      <c r="AE228" s="379"/>
      <c r="AF228" s="379"/>
      <c r="AG228" s="156"/>
      <c r="AH228" s="60"/>
      <c r="AI228" s="379"/>
      <c r="AJ228" s="379"/>
      <c r="AK228" s="156"/>
      <c r="AL228" s="379"/>
      <c r="AM228" s="50"/>
      <c r="AN228" s="50"/>
    </row>
    <row r="229" spans="1:40" x14ac:dyDescent="0.25">
      <c r="F229" s="449"/>
      <c r="H229" s="470"/>
      <c r="I229" s="470"/>
      <c r="J229" s="470"/>
      <c r="K229" s="470"/>
      <c r="R229" s="379"/>
      <c r="V229" s="379"/>
      <c r="Z229" s="470"/>
    </row>
    <row r="230" spans="1:40" x14ac:dyDescent="0.25">
      <c r="A230" s="53"/>
      <c r="C230" s="54"/>
      <c r="F230" s="449"/>
      <c r="H230" s="449"/>
      <c r="I230" s="449"/>
      <c r="J230" s="472"/>
      <c r="K230" s="472"/>
      <c r="L230" s="379"/>
      <c r="M230" s="379"/>
      <c r="N230" s="50"/>
      <c r="O230" s="50"/>
      <c r="P230" s="379"/>
      <c r="Q230" s="379"/>
      <c r="R230" s="379"/>
      <c r="T230" s="54"/>
      <c r="V230" s="379"/>
      <c r="Y230" s="379"/>
      <c r="Z230" s="463"/>
      <c r="AA230" s="379"/>
      <c r="AB230" s="379"/>
      <c r="AC230" s="50"/>
      <c r="AD230" s="50"/>
      <c r="AE230" s="379"/>
      <c r="AF230" s="379"/>
      <c r="AG230" s="156"/>
      <c r="AH230" s="60"/>
      <c r="AI230" s="379"/>
      <c r="AJ230" s="379"/>
      <c r="AK230" s="156"/>
      <c r="AL230" s="379"/>
      <c r="AM230" s="50"/>
      <c r="AN230" s="50"/>
    </row>
    <row r="231" spans="1:40" x14ac:dyDescent="0.25">
      <c r="F231" s="381"/>
      <c r="H231" s="381"/>
      <c r="I231" s="381"/>
      <c r="J231" s="464"/>
      <c r="K231" s="464"/>
      <c r="L231" s="381"/>
      <c r="M231" s="381"/>
      <c r="N231" s="381"/>
      <c r="O231" s="381"/>
      <c r="P231" s="381"/>
      <c r="Q231" s="381"/>
      <c r="R231" s="381"/>
      <c r="S231" s="379"/>
      <c r="V231" s="381"/>
      <c r="Y231" s="381"/>
      <c r="Z231" s="464"/>
      <c r="AA231" s="381"/>
      <c r="AB231" s="381"/>
      <c r="AC231" s="381"/>
      <c r="AD231" s="381"/>
      <c r="AE231" s="381"/>
      <c r="AF231" s="381"/>
      <c r="AI231" s="381"/>
      <c r="AJ231" s="381"/>
      <c r="AK231" s="162"/>
      <c r="AL231" s="381"/>
    </row>
    <row r="232" spans="1:40" x14ac:dyDescent="0.25">
      <c r="A232" s="53"/>
      <c r="D232" s="54"/>
      <c r="E232" s="54"/>
      <c r="F232" s="379"/>
      <c r="H232" s="379"/>
      <c r="I232" s="379"/>
      <c r="J232" s="59"/>
      <c r="K232" s="59"/>
      <c r="L232" s="379"/>
      <c r="M232" s="379"/>
      <c r="N232" s="50"/>
      <c r="O232" s="50"/>
      <c r="P232" s="449"/>
      <c r="Q232" s="449"/>
      <c r="R232" s="379"/>
      <c r="S232" s="379"/>
      <c r="U232" s="54"/>
      <c r="V232" s="379"/>
      <c r="Y232" s="379"/>
      <c r="Z232" s="59"/>
      <c r="AA232" s="379"/>
      <c r="AB232" s="379"/>
      <c r="AC232" s="50"/>
      <c r="AD232" s="50"/>
      <c r="AE232" s="379"/>
      <c r="AF232" s="379"/>
      <c r="AG232" s="156"/>
      <c r="AH232" s="60"/>
      <c r="AI232" s="449"/>
      <c r="AJ232" s="449"/>
      <c r="AK232" s="156"/>
      <c r="AL232" s="379"/>
      <c r="AM232" s="50"/>
      <c r="AN232" s="50"/>
    </row>
    <row r="233" spans="1:40" x14ac:dyDescent="0.25">
      <c r="F233" s="381"/>
      <c r="H233" s="381"/>
      <c r="I233" s="381"/>
      <c r="J233" s="464"/>
      <c r="K233" s="464"/>
      <c r="L233" s="381"/>
      <c r="M233" s="381"/>
      <c r="N233" s="381"/>
      <c r="O233" s="381"/>
      <c r="P233" s="381"/>
      <c r="Q233" s="381"/>
      <c r="R233" s="381"/>
      <c r="S233" s="379"/>
      <c r="V233" s="381"/>
      <c r="Y233" s="381"/>
      <c r="Z233" s="464"/>
      <c r="AA233" s="381"/>
      <c r="AB233" s="381"/>
      <c r="AC233" s="381"/>
      <c r="AD233" s="381"/>
      <c r="AE233" s="381"/>
      <c r="AF233" s="381"/>
      <c r="AI233" s="381"/>
      <c r="AJ233" s="381"/>
      <c r="AK233" s="162"/>
      <c r="AL233" s="381"/>
    </row>
    <row r="234" spans="1:40" x14ac:dyDescent="0.25">
      <c r="R234" s="379"/>
    </row>
    <row r="235" spans="1:40" x14ac:dyDescent="0.25">
      <c r="F235" s="379"/>
      <c r="H235" s="379"/>
      <c r="I235" s="379"/>
      <c r="J235" s="59"/>
      <c r="K235" s="59"/>
      <c r="L235" s="379"/>
      <c r="M235" s="379"/>
      <c r="N235" s="379"/>
      <c r="O235" s="379"/>
      <c r="P235" s="379"/>
      <c r="Q235" s="379"/>
      <c r="R235" s="379"/>
      <c r="V235" s="379"/>
      <c r="Y235" s="379"/>
      <c r="Z235" s="59"/>
      <c r="AA235" s="379"/>
      <c r="AB235" s="379"/>
      <c r="AC235" s="379"/>
      <c r="AD235" s="379"/>
    </row>
    <row r="236" spans="1:40" x14ac:dyDescent="0.25">
      <c r="C236" s="54"/>
      <c r="F236" s="379"/>
      <c r="H236" s="379"/>
      <c r="I236" s="379"/>
      <c r="J236" s="59"/>
      <c r="K236" s="59"/>
      <c r="L236" s="379"/>
      <c r="M236" s="379"/>
      <c r="N236" s="379"/>
      <c r="O236" s="379"/>
      <c r="P236" s="379"/>
      <c r="Q236" s="379"/>
      <c r="R236" s="379"/>
      <c r="T236" s="54"/>
      <c r="V236" s="379"/>
      <c r="Y236" s="379"/>
      <c r="Z236" s="59"/>
      <c r="AA236" s="379"/>
      <c r="AB236" s="379"/>
      <c r="AC236" s="379"/>
      <c r="AD236" s="379"/>
    </row>
    <row r="237" spans="1:40" x14ac:dyDescent="0.25">
      <c r="C237" s="54"/>
      <c r="T237" s="54"/>
    </row>
    <row r="238" spans="1:40" x14ac:dyDescent="0.25">
      <c r="A238" s="54"/>
    </row>
    <row r="240" spans="1:40" x14ac:dyDescent="0.25">
      <c r="J240" s="53"/>
      <c r="K240" s="53"/>
      <c r="Z240" s="53"/>
    </row>
    <row r="241" spans="1:40" x14ac:dyDescent="0.25">
      <c r="H241" s="54"/>
      <c r="I241" s="54"/>
      <c r="Y241" s="54"/>
    </row>
    <row r="242" spans="1:40" x14ac:dyDescent="0.25">
      <c r="J242" s="53"/>
      <c r="K242" s="53"/>
      <c r="Z242" s="53"/>
    </row>
    <row r="243" spans="1:40" x14ac:dyDescent="0.25">
      <c r="L243" s="54"/>
      <c r="M243" s="54"/>
      <c r="AA243" s="54"/>
      <c r="AB243" s="54"/>
    </row>
    <row r="244" spans="1:40" x14ac:dyDescent="0.25">
      <c r="A244" s="53"/>
      <c r="R244" s="54"/>
      <c r="AK244" s="161"/>
      <c r="AL244" s="54"/>
    </row>
    <row r="245" spans="1:40" x14ac:dyDescent="0.25">
      <c r="A245" s="53"/>
      <c r="R245" s="54"/>
      <c r="AK245" s="161"/>
      <c r="AL245" s="54"/>
    </row>
    <row r="246" spans="1:40" x14ac:dyDescent="0.25">
      <c r="A246" s="54"/>
      <c r="R246" s="54"/>
      <c r="AK246" s="161"/>
      <c r="AL246" s="54"/>
    </row>
    <row r="247" spans="1:40" x14ac:dyDescent="0.25">
      <c r="L247" s="54"/>
      <c r="M247" s="54"/>
      <c r="R247" s="53"/>
      <c r="AA247" s="54"/>
      <c r="AB247" s="54"/>
      <c r="AK247" s="156"/>
      <c r="AL247" s="53"/>
    </row>
    <row r="248" spans="1:40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154"/>
      <c r="AH248" s="55"/>
      <c r="AI248" s="55"/>
      <c r="AJ248" s="55"/>
      <c r="AK248" s="154"/>
      <c r="AL248" s="55"/>
      <c r="AM248" s="55"/>
      <c r="AN248" s="55"/>
    </row>
    <row r="249" spans="1:40" x14ac:dyDescent="0.25">
      <c r="L249" s="56"/>
      <c r="M249" s="56"/>
      <c r="N249" s="56"/>
      <c r="O249" s="56"/>
      <c r="R249" s="56"/>
      <c r="AA249" s="56"/>
      <c r="AB249" s="56"/>
      <c r="AC249" s="56"/>
      <c r="AD249" s="56"/>
      <c r="AE249" s="56"/>
      <c r="AF249" s="56"/>
      <c r="AG249" s="155"/>
      <c r="AH249" s="56"/>
      <c r="AK249" s="155"/>
      <c r="AL249" s="56"/>
      <c r="AM249" s="56"/>
      <c r="AN249" s="56"/>
    </row>
    <row r="250" spans="1:40" x14ac:dyDescent="0.25">
      <c r="L250" s="56"/>
      <c r="M250" s="56"/>
      <c r="N250" s="56"/>
      <c r="O250" s="56"/>
      <c r="R250" s="56"/>
      <c r="Z250" s="56"/>
      <c r="AA250" s="56"/>
      <c r="AB250" s="56"/>
      <c r="AC250" s="56"/>
      <c r="AD250" s="56"/>
      <c r="AE250" s="56"/>
      <c r="AF250" s="56"/>
      <c r="AG250" s="155"/>
      <c r="AH250" s="56"/>
      <c r="AK250" s="155"/>
      <c r="AL250" s="56"/>
      <c r="AM250" s="56"/>
      <c r="AN250" s="56"/>
    </row>
    <row r="251" spans="1:40" x14ac:dyDescent="0.25">
      <c r="A251" s="56"/>
      <c r="C251" s="56"/>
      <c r="D251" s="56"/>
      <c r="E251" s="56"/>
      <c r="F251" s="56"/>
      <c r="J251" s="56"/>
      <c r="K251" s="56"/>
      <c r="L251" s="56"/>
      <c r="M251" s="56"/>
      <c r="N251" s="56"/>
      <c r="O251" s="56"/>
      <c r="P251" s="56"/>
      <c r="Q251" s="56"/>
      <c r="R251" s="56"/>
      <c r="T251" s="56"/>
      <c r="U251" s="56"/>
      <c r="V251" s="56"/>
      <c r="Z251" s="56"/>
      <c r="AA251" s="56"/>
      <c r="AB251" s="56"/>
      <c r="AC251" s="56"/>
      <c r="AD251" s="56"/>
      <c r="AE251" s="56"/>
      <c r="AF251" s="56"/>
      <c r="AG251" s="155"/>
      <c r="AH251" s="56"/>
      <c r="AI251" s="56"/>
      <c r="AJ251" s="56"/>
      <c r="AK251" s="155"/>
      <c r="AL251" s="56"/>
      <c r="AM251" s="56"/>
      <c r="AN251" s="56"/>
    </row>
    <row r="252" spans="1:40" x14ac:dyDescent="0.25">
      <c r="A252" s="56"/>
      <c r="C252" s="56"/>
      <c r="D252" s="56"/>
      <c r="E252" s="56"/>
      <c r="F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T252" s="56"/>
      <c r="U252" s="56"/>
      <c r="V252" s="56"/>
      <c r="Y252" s="56"/>
      <c r="Z252" s="56"/>
      <c r="AA252" s="56"/>
      <c r="AB252" s="56"/>
      <c r="AC252" s="56"/>
      <c r="AD252" s="56"/>
      <c r="AE252" s="56"/>
      <c r="AF252" s="56"/>
      <c r="AG252" s="155"/>
      <c r="AH252" s="56"/>
      <c r="AI252" s="56"/>
      <c r="AJ252" s="56"/>
      <c r="AK252" s="155"/>
      <c r="AL252" s="56"/>
      <c r="AM252" s="56"/>
      <c r="AN252" s="56"/>
    </row>
    <row r="253" spans="1:40" x14ac:dyDescent="0.25">
      <c r="C253" s="56"/>
      <c r="D253" s="56"/>
      <c r="E253" s="56"/>
      <c r="F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T253" s="56"/>
      <c r="U253" s="56"/>
      <c r="V253" s="56"/>
      <c r="Y253" s="56"/>
      <c r="Z253" s="56"/>
      <c r="AA253" s="56"/>
      <c r="AB253" s="56"/>
      <c r="AC253" s="56"/>
      <c r="AD253" s="56"/>
      <c r="AE253" s="56"/>
      <c r="AF253" s="56"/>
      <c r="AG253" s="155"/>
      <c r="AH253" s="56"/>
      <c r="AI253" s="56"/>
      <c r="AJ253" s="56"/>
      <c r="AK253" s="155"/>
      <c r="AL253" s="56"/>
      <c r="AM253" s="56"/>
      <c r="AN253" s="56"/>
    </row>
    <row r="254" spans="1:40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154"/>
      <c r="AH254" s="55"/>
      <c r="AI254" s="55"/>
      <c r="AJ254" s="55"/>
      <c r="AK254" s="154"/>
      <c r="AL254" s="55"/>
      <c r="AM254" s="55"/>
      <c r="AN254" s="55"/>
    </row>
    <row r="255" spans="1:40" x14ac:dyDescent="0.25"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Y255" s="56"/>
      <c r="Z255" s="56"/>
      <c r="AA255" s="56"/>
      <c r="AB255" s="56"/>
      <c r="AC255" s="56"/>
      <c r="AD255" s="56"/>
      <c r="AE255" s="56"/>
      <c r="AF255" s="56"/>
      <c r="AG255" s="155"/>
      <c r="AH255" s="56"/>
      <c r="AI255" s="56"/>
      <c r="AJ255" s="56"/>
      <c r="AK255" s="155"/>
      <c r="AL255" s="56"/>
      <c r="AM255" s="56"/>
      <c r="AN255" s="56"/>
    </row>
    <row r="256" spans="1:40" x14ac:dyDescent="0.25">
      <c r="A256" s="53"/>
      <c r="C256" s="54"/>
      <c r="D256" s="54"/>
      <c r="E256" s="54"/>
      <c r="T256" s="54"/>
      <c r="U256" s="54"/>
    </row>
    <row r="257" spans="1:40" x14ac:dyDescent="0.25">
      <c r="A257" s="53"/>
      <c r="D257" s="54"/>
      <c r="E257" s="54"/>
      <c r="U257" s="54"/>
    </row>
    <row r="259" spans="1:40" x14ac:dyDescent="0.25">
      <c r="A259" s="53"/>
      <c r="C259" s="54"/>
      <c r="F259" s="379"/>
      <c r="J259" s="62"/>
      <c r="K259" s="62"/>
      <c r="L259" s="379"/>
      <c r="M259" s="379"/>
      <c r="R259" s="379"/>
      <c r="T259" s="54"/>
      <c r="V259" s="379"/>
      <c r="Z259" s="62"/>
      <c r="AA259" s="379"/>
      <c r="AB259" s="379"/>
      <c r="AK259" s="156"/>
      <c r="AL259" s="379"/>
    </row>
    <row r="260" spans="1:40" x14ac:dyDescent="0.25">
      <c r="F260" s="379"/>
      <c r="R260" s="379"/>
      <c r="V260" s="379"/>
      <c r="AK260" s="156"/>
      <c r="AL260" s="379"/>
    </row>
    <row r="261" spans="1:40" x14ac:dyDescent="0.25">
      <c r="A261" s="53"/>
      <c r="C261" s="54"/>
      <c r="F261" s="449"/>
      <c r="H261" s="449"/>
      <c r="I261" s="449"/>
      <c r="J261" s="461"/>
      <c r="K261" s="461"/>
      <c r="L261" s="379"/>
      <c r="M261" s="379"/>
      <c r="N261" s="50"/>
      <c r="O261" s="50"/>
      <c r="P261" s="379"/>
      <c r="Q261" s="379"/>
      <c r="R261" s="379"/>
      <c r="T261" s="54"/>
      <c r="V261" s="379"/>
      <c r="Y261" s="379"/>
      <c r="Z261" s="461"/>
      <c r="AA261" s="379"/>
      <c r="AB261" s="379"/>
      <c r="AC261" s="50"/>
      <c r="AD261" s="50"/>
      <c r="AE261" s="379"/>
      <c r="AF261" s="379"/>
      <c r="AG261" s="156"/>
      <c r="AH261" s="60"/>
      <c r="AI261" s="379"/>
      <c r="AJ261" s="379"/>
      <c r="AK261" s="156"/>
      <c r="AL261" s="379"/>
      <c r="AM261" s="50"/>
      <c r="AN261" s="50"/>
    </row>
    <row r="262" spans="1:40" x14ac:dyDescent="0.25">
      <c r="A262" s="53"/>
      <c r="C262" s="54"/>
      <c r="F262" s="449"/>
      <c r="H262" s="470"/>
      <c r="I262" s="470"/>
      <c r="J262" s="461"/>
      <c r="K262" s="461"/>
      <c r="L262" s="379"/>
      <c r="M262" s="379"/>
      <c r="N262" s="50"/>
      <c r="O262" s="50"/>
      <c r="P262" s="379"/>
      <c r="Q262" s="379"/>
      <c r="R262" s="379"/>
      <c r="T262" s="54"/>
      <c r="V262" s="379"/>
      <c r="Y262" s="379"/>
      <c r="Z262" s="461"/>
      <c r="AA262" s="379"/>
      <c r="AB262" s="379"/>
      <c r="AC262" s="50"/>
      <c r="AD262" s="50"/>
      <c r="AE262" s="379"/>
      <c r="AF262" s="379"/>
      <c r="AG262" s="156"/>
      <c r="AH262" s="60"/>
      <c r="AI262" s="379"/>
      <c r="AJ262" s="379"/>
      <c r="AK262" s="156"/>
      <c r="AL262" s="379"/>
      <c r="AM262" s="50"/>
      <c r="AN262" s="50"/>
    </row>
    <row r="263" spans="1:40" x14ac:dyDescent="0.25">
      <c r="F263" s="381"/>
      <c r="H263" s="379"/>
      <c r="I263" s="379"/>
      <c r="J263" s="464"/>
      <c r="K263" s="464"/>
      <c r="L263" s="381"/>
      <c r="M263" s="381"/>
      <c r="N263" s="381"/>
      <c r="O263" s="381"/>
      <c r="P263" s="381"/>
      <c r="Q263" s="381"/>
      <c r="R263" s="381"/>
      <c r="V263" s="381"/>
      <c r="Y263" s="379"/>
      <c r="Z263" s="464"/>
      <c r="AA263" s="381"/>
      <c r="AB263" s="381"/>
      <c r="AC263" s="381"/>
      <c r="AD263" s="381"/>
      <c r="AE263" s="381"/>
      <c r="AF263" s="381"/>
      <c r="AI263" s="381"/>
      <c r="AJ263" s="381"/>
      <c r="AK263" s="162"/>
      <c r="AL263" s="381"/>
    </row>
    <row r="264" spans="1:40" x14ac:dyDescent="0.25">
      <c r="A264" s="53"/>
      <c r="C264" s="54"/>
      <c r="F264" s="379"/>
      <c r="H264" s="379"/>
      <c r="I264" s="379"/>
      <c r="J264" s="59"/>
      <c r="K264" s="59"/>
      <c r="L264" s="379"/>
      <c r="M264" s="379"/>
      <c r="N264" s="50"/>
      <c r="O264" s="50"/>
      <c r="P264" s="379"/>
      <c r="Q264" s="379"/>
      <c r="R264" s="379"/>
      <c r="T264" s="54"/>
      <c r="V264" s="379"/>
      <c r="Y264" s="379"/>
      <c r="Z264" s="59"/>
      <c r="AA264" s="379"/>
      <c r="AB264" s="379"/>
      <c r="AC264" s="50"/>
      <c r="AD264" s="50"/>
      <c r="AE264" s="379"/>
      <c r="AF264" s="379"/>
      <c r="AG264" s="156"/>
      <c r="AH264" s="60"/>
      <c r="AI264" s="379"/>
      <c r="AJ264" s="379"/>
      <c r="AK264" s="156"/>
      <c r="AL264" s="379"/>
      <c r="AM264" s="50"/>
      <c r="AN264" s="50"/>
    </row>
    <row r="265" spans="1:40" x14ac:dyDescent="0.25">
      <c r="F265" s="381"/>
      <c r="H265" s="379"/>
      <c r="I265" s="379"/>
      <c r="J265" s="464"/>
      <c r="K265" s="464"/>
      <c r="L265" s="381"/>
      <c r="M265" s="381"/>
      <c r="N265" s="381"/>
      <c r="O265" s="381"/>
      <c r="P265" s="381"/>
      <c r="Q265" s="381"/>
      <c r="R265" s="381"/>
      <c r="V265" s="381"/>
      <c r="Y265" s="379"/>
      <c r="Z265" s="464"/>
      <c r="AA265" s="381"/>
      <c r="AB265" s="381"/>
      <c r="AC265" s="381"/>
      <c r="AD265" s="381"/>
      <c r="AE265" s="381"/>
      <c r="AF265" s="381"/>
      <c r="AI265" s="381"/>
      <c r="AJ265" s="381"/>
      <c r="AK265" s="162"/>
      <c r="AL265" s="381"/>
    </row>
    <row r="266" spans="1:40" x14ac:dyDescent="0.25">
      <c r="F266" s="379"/>
      <c r="R266" s="379"/>
      <c r="V266" s="379"/>
      <c r="AK266" s="156"/>
      <c r="AL266" s="379"/>
    </row>
    <row r="267" spans="1:40" x14ac:dyDescent="0.25">
      <c r="A267" s="53"/>
      <c r="C267" s="54"/>
      <c r="F267" s="379"/>
      <c r="R267" s="379"/>
      <c r="T267" s="54"/>
      <c r="V267" s="379"/>
      <c r="AK267" s="156"/>
      <c r="AL267" s="379"/>
    </row>
    <row r="268" spans="1:40" x14ac:dyDescent="0.25">
      <c r="F268" s="379"/>
      <c r="R268" s="379"/>
      <c r="V268" s="379"/>
      <c r="AK268" s="156"/>
      <c r="AL268" s="379"/>
    </row>
    <row r="269" spans="1:40" x14ac:dyDescent="0.25">
      <c r="A269" s="53"/>
      <c r="C269" s="54"/>
      <c r="F269" s="379"/>
      <c r="H269" s="449"/>
      <c r="I269" s="449"/>
      <c r="J269" s="472"/>
      <c r="K269" s="472"/>
      <c r="L269" s="379"/>
      <c r="M269" s="379"/>
      <c r="N269" s="50"/>
      <c r="O269" s="50"/>
      <c r="P269" s="449"/>
      <c r="Q269" s="449"/>
      <c r="R269" s="379"/>
      <c r="T269" s="54"/>
      <c r="V269" s="379"/>
      <c r="Y269" s="379"/>
      <c r="Z269" s="463"/>
      <c r="AA269" s="379"/>
      <c r="AB269" s="379"/>
      <c r="AC269" s="50"/>
      <c r="AD269" s="50"/>
      <c r="AE269" s="379"/>
      <c r="AF269" s="379"/>
      <c r="AG269" s="156"/>
      <c r="AH269" s="60"/>
      <c r="AI269" s="449"/>
      <c r="AJ269" s="449"/>
      <c r="AK269" s="156"/>
      <c r="AL269" s="379"/>
      <c r="AM269" s="50"/>
      <c r="AN269" s="50"/>
    </row>
    <row r="270" spans="1:40" x14ac:dyDescent="0.25">
      <c r="F270" s="381"/>
      <c r="H270" s="381"/>
      <c r="I270" s="381"/>
      <c r="J270" s="464"/>
      <c r="K270" s="464"/>
      <c r="L270" s="381"/>
      <c r="M270" s="381"/>
      <c r="N270" s="381"/>
      <c r="O270" s="381"/>
      <c r="P270" s="381"/>
      <c r="Q270" s="381"/>
      <c r="R270" s="381"/>
      <c r="V270" s="381"/>
      <c r="Y270" s="381"/>
      <c r="Z270" s="464"/>
      <c r="AA270" s="381"/>
      <c r="AB270" s="381"/>
      <c r="AC270" s="381"/>
      <c r="AD270" s="381"/>
      <c r="AE270" s="381"/>
      <c r="AF270" s="381"/>
      <c r="AI270" s="381"/>
      <c r="AJ270" s="381"/>
      <c r="AK270" s="162"/>
      <c r="AL270" s="381"/>
    </row>
    <row r="272" spans="1:40" x14ac:dyDescent="0.25">
      <c r="A272" s="53"/>
      <c r="C272" s="54"/>
      <c r="F272" s="379"/>
      <c r="H272" s="379"/>
      <c r="I272" s="379"/>
      <c r="J272" s="62"/>
      <c r="K272" s="62"/>
      <c r="L272" s="379"/>
      <c r="M272" s="379"/>
      <c r="N272" s="50"/>
      <c r="O272" s="50"/>
      <c r="P272" s="379"/>
      <c r="Q272" s="379"/>
      <c r="R272" s="379"/>
      <c r="T272" s="54"/>
      <c r="V272" s="379"/>
      <c r="Y272" s="379"/>
      <c r="Z272" s="62"/>
      <c r="AA272" s="379"/>
      <c r="AB272" s="379"/>
      <c r="AC272" s="50"/>
      <c r="AD272" s="50"/>
      <c r="AE272" s="379"/>
      <c r="AF272" s="379"/>
      <c r="AG272" s="156"/>
      <c r="AH272" s="60"/>
      <c r="AI272" s="379"/>
      <c r="AJ272" s="379"/>
      <c r="AK272" s="156"/>
      <c r="AL272" s="379"/>
      <c r="AM272" s="50"/>
      <c r="AN272" s="50"/>
    </row>
    <row r="273" spans="1:40" x14ac:dyDescent="0.25">
      <c r="F273" s="381"/>
      <c r="H273" s="381"/>
      <c r="I273" s="381"/>
      <c r="J273" s="464"/>
      <c r="K273" s="464"/>
      <c r="L273" s="381"/>
      <c r="M273" s="381"/>
      <c r="N273" s="381"/>
      <c r="O273" s="381"/>
      <c r="P273" s="381"/>
      <c r="Q273" s="381"/>
      <c r="R273" s="381"/>
      <c r="V273" s="381"/>
      <c r="Y273" s="381"/>
      <c r="Z273" s="464"/>
      <c r="AA273" s="381"/>
      <c r="AB273" s="381"/>
      <c r="AC273" s="381"/>
      <c r="AD273" s="381"/>
      <c r="AE273" s="381"/>
      <c r="AF273" s="381"/>
      <c r="AI273" s="381"/>
      <c r="AJ273" s="381"/>
      <c r="AK273" s="162"/>
      <c r="AL273" s="381"/>
    </row>
    <row r="274" spans="1:40" x14ac:dyDescent="0.25">
      <c r="R274" s="379"/>
      <c r="AG274" s="156"/>
      <c r="AH274" s="379"/>
    </row>
    <row r="275" spans="1:40" x14ac:dyDescent="0.25">
      <c r="F275" s="379"/>
      <c r="H275" s="379"/>
      <c r="I275" s="379"/>
      <c r="J275" s="59"/>
      <c r="K275" s="59"/>
      <c r="L275" s="379"/>
      <c r="M275" s="379"/>
      <c r="N275" s="379"/>
      <c r="O275" s="379"/>
      <c r="P275" s="379"/>
      <c r="Q275" s="379"/>
      <c r="R275" s="379"/>
      <c r="V275" s="379"/>
      <c r="Y275" s="379"/>
      <c r="Z275" s="59"/>
      <c r="AA275" s="379"/>
      <c r="AB275" s="379"/>
      <c r="AC275" s="379"/>
      <c r="AD275" s="379"/>
      <c r="AE275" s="379"/>
      <c r="AF275" s="379"/>
      <c r="AG275" s="156"/>
      <c r="AH275" s="379"/>
    </row>
    <row r="276" spans="1:40" x14ac:dyDescent="0.25">
      <c r="C276" s="54"/>
      <c r="F276" s="379"/>
      <c r="H276" s="379"/>
      <c r="I276" s="379"/>
      <c r="J276" s="59"/>
      <c r="K276" s="59"/>
      <c r="L276" s="379"/>
      <c r="M276" s="379"/>
      <c r="N276" s="379"/>
      <c r="O276" s="379"/>
      <c r="P276" s="379"/>
      <c r="Q276" s="379"/>
      <c r="R276" s="379"/>
      <c r="T276" s="54"/>
      <c r="V276" s="379"/>
      <c r="Y276" s="379"/>
      <c r="Z276" s="59"/>
      <c r="AA276" s="379"/>
      <c r="AB276" s="379"/>
      <c r="AC276" s="379"/>
      <c r="AD276" s="379"/>
      <c r="AE276" s="379"/>
      <c r="AF276" s="379"/>
      <c r="AG276" s="156"/>
      <c r="AH276" s="379"/>
    </row>
    <row r="277" spans="1:40" x14ac:dyDescent="0.25">
      <c r="A277" s="54"/>
    </row>
    <row r="279" spans="1:40" x14ac:dyDescent="0.25">
      <c r="J279" s="53"/>
      <c r="K279" s="53"/>
      <c r="Z279" s="53"/>
    </row>
    <row r="280" spans="1:40" x14ac:dyDescent="0.25">
      <c r="H280" s="54"/>
      <c r="I280" s="54"/>
      <c r="Y280" s="54"/>
    </row>
    <row r="281" spans="1:40" x14ac:dyDescent="0.25">
      <c r="J281" s="53"/>
      <c r="K281" s="53"/>
      <c r="Z281" s="53"/>
    </row>
    <row r="282" spans="1:40" x14ac:dyDescent="0.25">
      <c r="L282" s="54"/>
      <c r="M282" s="54"/>
      <c r="AA282" s="54"/>
      <c r="AB282" s="54"/>
    </row>
    <row r="283" spans="1:40" x14ac:dyDescent="0.25">
      <c r="A283" s="53"/>
      <c r="R283" s="54"/>
      <c r="AK283" s="161"/>
      <c r="AL283" s="54"/>
    </row>
    <row r="284" spans="1:40" x14ac:dyDescent="0.25">
      <c r="A284" s="53"/>
      <c r="R284" s="54"/>
      <c r="AK284" s="161"/>
      <c r="AL284" s="54"/>
    </row>
    <row r="285" spans="1:40" x14ac:dyDescent="0.25">
      <c r="A285" s="54"/>
      <c r="R285" s="54"/>
      <c r="AK285" s="161"/>
      <c r="AL285" s="54"/>
    </row>
    <row r="286" spans="1:40" x14ac:dyDescent="0.25">
      <c r="L286" s="54"/>
      <c r="M286" s="54"/>
      <c r="R286" s="53"/>
      <c r="AA286" s="54"/>
      <c r="AB286" s="54"/>
      <c r="AK286" s="156"/>
      <c r="AL286" s="53"/>
    </row>
    <row r="287" spans="1:40" x14ac:dyDescent="0.25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154"/>
      <c r="AH287" s="55"/>
      <c r="AI287" s="55"/>
      <c r="AJ287" s="55"/>
      <c r="AK287" s="154"/>
      <c r="AL287" s="55"/>
      <c r="AM287" s="55"/>
      <c r="AN287" s="55"/>
    </row>
    <row r="288" spans="1:40" x14ac:dyDescent="0.25">
      <c r="L288" s="56"/>
      <c r="M288" s="56"/>
      <c r="N288" s="56"/>
      <c r="O288" s="56"/>
      <c r="R288" s="56"/>
      <c r="AA288" s="56"/>
      <c r="AB288" s="56"/>
      <c r="AC288" s="56"/>
      <c r="AD288" s="56"/>
      <c r="AE288" s="56"/>
      <c r="AF288" s="56"/>
      <c r="AG288" s="155"/>
      <c r="AH288" s="56"/>
      <c r="AK288" s="155"/>
      <c r="AL288" s="56"/>
      <c r="AM288" s="56"/>
      <c r="AN288" s="56"/>
    </row>
    <row r="289" spans="1:40" x14ac:dyDescent="0.25">
      <c r="L289" s="56"/>
      <c r="M289" s="56"/>
      <c r="N289" s="56"/>
      <c r="O289" s="56"/>
      <c r="R289" s="56"/>
      <c r="Z289" s="56"/>
      <c r="AA289" s="56"/>
      <c r="AB289" s="56"/>
      <c r="AC289" s="56"/>
      <c r="AD289" s="56"/>
      <c r="AE289" s="56"/>
      <c r="AF289" s="56"/>
      <c r="AG289" s="155"/>
      <c r="AH289" s="56"/>
      <c r="AK289" s="155"/>
      <c r="AL289" s="56"/>
      <c r="AM289" s="56"/>
      <c r="AN289" s="56"/>
    </row>
    <row r="290" spans="1:40" x14ac:dyDescent="0.25">
      <c r="A290" s="56"/>
      <c r="C290" s="56"/>
      <c r="D290" s="56"/>
      <c r="E290" s="56"/>
      <c r="F290" s="56"/>
      <c r="J290" s="56"/>
      <c r="K290" s="56"/>
      <c r="L290" s="56"/>
      <c r="M290" s="56"/>
      <c r="N290" s="56"/>
      <c r="O290" s="56"/>
      <c r="P290" s="56"/>
      <c r="Q290" s="56"/>
      <c r="R290" s="56"/>
      <c r="T290" s="56"/>
      <c r="U290" s="56"/>
      <c r="V290" s="56"/>
      <c r="Z290" s="56"/>
      <c r="AA290" s="56"/>
      <c r="AB290" s="56"/>
      <c r="AC290" s="56"/>
      <c r="AD290" s="56"/>
      <c r="AE290" s="56"/>
      <c r="AF290" s="56"/>
      <c r="AG290" s="155"/>
      <c r="AH290" s="56"/>
      <c r="AI290" s="56"/>
      <c r="AJ290" s="56"/>
      <c r="AK290" s="155"/>
      <c r="AL290" s="56"/>
      <c r="AM290" s="56"/>
      <c r="AN290" s="56"/>
    </row>
    <row r="291" spans="1:40" x14ac:dyDescent="0.25">
      <c r="A291" s="56"/>
      <c r="C291" s="56"/>
      <c r="D291" s="56"/>
      <c r="E291" s="56"/>
      <c r="F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T291" s="56"/>
      <c r="U291" s="56"/>
      <c r="V291" s="56"/>
      <c r="Y291" s="56"/>
      <c r="Z291" s="56"/>
      <c r="AA291" s="56"/>
      <c r="AB291" s="56"/>
      <c r="AC291" s="56"/>
      <c r="AD291" s="56"/>
      <c r="AE291" s="56"/>
      <c r="AF291" s="56"/>
      <c r="AG291" s="155"/>
      <c r="AH291" s="56"/>
      <c r="AI291" s="56"/>
      <c r="AJ291" s="56"/>
      <c r="AK291" s="155"/>
      <c r="AL291" s="56"/>
      <c r="AM291" s="56"/>
      <c r="AN291" s="56"/>
    </row>
    <row r="292" spans="1:40" x14ac:dyDescent="0.25">
      <c r="C292" s="56"/>
      <c r="D292" s="56"/>
      <c r="E292" s="56"/>
      <c r="F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T292" s="56"/>
      <c r="U292" s="56"/>
      <c r="V292" s="56"/>
      <c r="Y292" s="56"/>
      <c r="Z292" s="56"/>
      <c r="AA292" s="56"/>
      <c r="AB292" s="56"/>
      <c r="AC292" s="56"/>
      <c r="AD292" s="56"/>
      <c r="AE292" s="56"/>
      <c r="AF292" s="56"/>
      <c r="AG292" s="155"/>
      <c r="AH292" s="56"/>
      <c r="AI292" s="56"/>
      <c r="AJ292" s="56"/>
      <c r="AK292" s="155"/>
      <c r="AL292" s="56"/>
      <c r="AM292" s="56"/>
      <c r="AN292" s="56"/>
    </row>
    <row r="293" spans="1:40" x14ac:dyDescent="0.25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154"/>
      <c r="AH293" s="55"/>
      <c r="AI293" s="55"/>
      <c r="AJ293" s="55"/>
      <c r="AK293" s="154"/>
      <c r="AL293" s="55"/>
      <c r="AM293" s="55"/>
      <c r="AN293" s="55"/>
    </row>
    <row r="294" spans="1:40" x14ac:dyDescent="0.25"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Y294" s="56"/>
      <c r="Z294" s="56"/>
      <c r="AA294" s="56"/>
      <c r="AB294" s="56"/>
      <c r="AC294" s="56"/>
      <c r="AD294" s="56"/>
      <c r="AE294" s="56"/>
      <c r="AF294" s="56"/>
      <c r="AG294" s="155"/>
      <c r="AH294" s="56"/>
      <c r="AI294" s="56"/>
      <c r="AJ294" s="56"/>
      <c r="AK294" s="155"/>
      <c r="AL294" s="56"/>
      <c r="AM294" s="56"/>
      <c r="AN294" s="56"/>
    </row>
    <row r="295" spans="1:40" x14ac:dyDescent="0.25">
      <c r="A295" s="53"/>
      <c r="C295" s="54"/>
      <c r="D295" s="54"/>
      <c r="E295" s="54"/>
      <c r="T295" s="54"/>
      <c r="U295" s="54"/>
    </row>
    <row r="296" spans="1:40" x14ac:dyDescent="0.25">
      <c r="A296" s="53"/>
      <c r="C296" s="54"/>
      <c r="T296" s="54"/>
    </row>
    <row r="298" spans="1:40" x14ac:dyDescent="0.25">
      <c r="A298" s="53"/>
      <c r="C298" s="54"/>
      <c r="F298" s="449"/>
      <c r="H298" s="449"/>
      <c r="I298" s="449"/>
      <c r="J298" s="461"/>
      <c r="K298" s="461"/>
      <c r="L298" s="379"/>
      <c r="M298" s="379"/>
      <c r="N298" s="50"/>
      <c r="O298" s="50"/>
      <c r="P298" s="53"/>
      <c r="Q298" s="53"/>
      <c r="R298" s="379"/>
      <c r="T298" s="54"/>
      <c r="V298" s="379"/>
      <c r="Y298" s="449"/>
      <c r="Z298" s="461"/>
      <c r="AA298" s="379"/>
      <c r="AB298" s="379"/>
      <c r="AC298" s="50"/>
      <c r="AD298" s="50"/>
      <c r="AE298" s="379"/>
      <c r="AF298" s="379"/>
      <c r="AG298" s="156"/>
      <c r="AH298" s="60"/>
      <c r="AI298" s="53"/>
      <c r="AJ298" s="53"/>
      <c r="AK298" s="156"/>
      <c r="AL298" s="379"/>
      <c r="AM298" s="50"/>
      <c r="AN298" s="50"/>
    </row>
    <row r="299" spans="1:40" x14ac:dyDescent="0.25">
      <c r="F299" s="381"/>
      <c r="H299" s="379"/>
      <c r="I299" s="379"/>
      <c r="J299" s="464"/>
      <c r="K299" s="464"/>
      <c r="L299" s="381"/>
      <c r="M299" s="381"/>
      <c r="N299" s="381"/>
      <c r="O299" s="381"/>
      <c r="P299" s="381"/>
      <c r="Q299" s="381"/>
      <c r="R299" s="381"/>
      <c r="V299" s="381"/>
      <c r="Y299" s="379"/>
      <c r="Z299" s="464"/>
      <c r="AA299" s="381"/>
      <c r="AB299" s="381"/>
      <c r="AC299" s="381"/>
      <c r="AD299" s="381"/>
      <c r="AE299" s="381"/>
      <c r="AF299" s="381"/>
      <c r="AI299" s="381"/>
      <c r="AJ299" s="381"/>
      <c r="AK299" s="162"/>
      <c r="AL299" s="381"/>
      <c r="AM299" s="50"/>
      <c r="AN299" s="50"/>
    </row>
    <row r="300" spans="1:40" x14ac:dyDescent="0.25">
      <c r="A300" s="53"/>
      <c r="C300" s="54"/>
      <c r="F300" s="449"/>
      <c r="H300" s="449"/>
      <c r="I300" s="449"/>
      <c r="J300" s="477"/>
      <c r="K300" s="477"/>
      <c r="L300" s="379"/>
      <c r="M300" s="379"/>
      <c r="N300" s="50"/>
      <c r="O300" s="50"/>
      <c r="P300" s="379"/>
      <c r="Q300" s="379"/>
      <c r="R300" s="379"/>
      <c r="S300" s="379"/>
      <c r="T300" s="54"/>
      <c r="V300" s="449"/>
      <c r="Y300" s="449"/>
      <c r="Z300" s="477"/>
      <c r="AA300" s="379"/>
      <c r="AB300" s="379"/>
      <c r="AC300" s="50"/>
      <c r="AD300" s="50"/>
      <c r="AE300" s="379"/>
      <c r="AF300" s="379"/>
      <c r="AG300" s="156"/>
      <c r="AH300" s="50"/>
      <c r="AI300" s="379"/>
      <c r="AJ300" s="379"/>
      <c r="AK300" s="156"/>
      <c r="AL300" s="379"/>
      <c r="AM300" s="50"/>
      <c r="AN300" s="50"/>
    </row>
    <row r="301" spans="1:40" x14ac:dyDescent="0.25">
      <c r="A301" s="53"/>
      <c r="C301" s="54"/>
      <c r="F301" s="449"/>
      <c r="H301" s="449"/>
      <c r="I301" s="449"/>
      <c r="J301" s="461"/>
      <c r="K301" s="461"/>
      <c r="L301" s="379"/>
      <c r="M301" s="379"/>
      <c r="N301" s="50"/>
      <c r="O301" s="50"/>
      <c r="P301" s="379"/>
      <c r="Q301" s="379"/>
      <c r="R301" s="379"/>
      <c r="T301" s="54"/>
      <c r="V301" s="449"/>
      <c r="Y301" s="379"/>
      <c r="Z301" s="461"/>
      <c r="AA301" s="379"/>
      <c r="AB301" s="379"/>
      <c r="AC301" s="50"/>
      <c r="AD301" s="50"/>
      <c r="AE301" s="379"/>
      <c r="AF301" s="379"/>
      <c r="AG301" s="156"/>
      <c r="AH301" s="60"/>
      <c r="AI301" s="379"/>
      <c r="AJ301" s="379"/>
      <c r="AK301" s="156"/>
      <c r="AL301" s="379"/>
      <c r="AM301" s="50"/>
      <c r="AN301" s="50"/>
    </row>
    <row r="302" spans="1:40" x14ac:dyDescent="0.25">
      <c r="A302" s="53"/>
      <c r="C302" s="54"/>
      <c r="F302" s="449"/>
      <c r="H302" s="449"/>
      <c r="I302" s="449"/>
      <c r="J302" s="461"/>
      <c r="K302" s="461"/>
      <c r="L302" s="379"/>
      <c r="M302" s="379"/>
      <c r="N302" s="50"/>
      <c r="O302" s="50"/>
      <c r="P302" s="379"/>
      <c r="Q302" s="379"/>
      <c r="R302" s="379"/>
      <c r="T302" s="54"/>
      <c r="V302" s="449"/>
      <c r="Y302" s="379"/>
      <c r="Z302" s="461"/>
      <c r="AA302" s="379"/>
      <c r="AB302" s="379"/>
      <c r="AC302" s="50"/>
      <c r="AD302" s="50"/>
      <c r="AE302" s="379"/>
      <c r="AF302" s="379"/>
      <c r="AG302" s="156"/>
      <c r="AH302" s="60"/>
      <c r="AI302" s="379"/>
      <c r="AJ302" s="379"/>
      <c r="AK302" s="156"/>
      <c r="AL302" s="379"/>
      <c r="AM302" s="50"/>
      <c r="AN302" s="50"/>
    </row>
    <row r="303" spans="1:40" x14ac:dyDescent="0.25">
      <c r="F303" s="381"/>
      <c r="H303" s="381"/>
      <c r="I303" s="381"/>
      <c r="J303" s="464"/>
      <c r="K303" s="464"/>
      <c r="L303" s="381"/>
      <c r="M303" s="381"/>
      <c r="N303" s="381"/>
      <c r="O303" s="381"/>
      <c r="P303" s="381"/>
      <c r="Q303" s="381"/>
      <c r="R303" s="381"/>
      <c r="V303" s="381"/>
      <c r="Y303" s="381"/>
      <c r="Z303" s="464"/>
      <c r="AA303" s="381"/>
      <c r="AB303" s="381"/>
      <c r="AC303" s="381"/>
      <c r="AD303" s="381"/>
      <c r="AE303" s="381"/>
      <c r="AF303" s="381"/>
      <c r="AI303" s="381"/>
      <c r="AJ303" s="381"/>
      <c r="AK303" s="162"/>
      <c r="AL303" s="381"/>
      <c r="AM303" s="50"/>
      <c r="AN303" s="50"/>
    </row>
    <row r="304" spans="1:40" x14ac:dyDescent="0.25">
      <c r="A304" s="53"/>
      <c r="C304" s="54"/>
      <c r="F304" s="379"/>
      <c r="H304" s="379"/>
      <c r="I304" s="379"/>
      <c r="J304" s="59"/>
      <c r="K304" s="59"/>
      <c r="L304" s="379"/>
      <c r="M304" s="379"/>
      <c r="N304" s="50"/>
      <c r="O304" s="50"/>
      <c r="P304" s="379"/>
      <c r="Q304" s="379"/>
      <c r="R304" s="379"/>
      <c r="T304" s="54"/>
      <c r="V304" s="379"/>
      <c r="Y304" s="379"/>
      <c r="Z304" s="59"/>
      <c r="AA304" s="379"/>
      <c r="AB304" s="379"/>
      <c r="AC304" s="50"/>
      <c r="AD304" s="50"/>
      <c r="AE304" s="379"/>
      <c r="AF304" s="379"/>
      <c r="AG304" s="156"/>
      <c r="AH304" s="60"/>
      <c r="AI304" s="379"/>
      <c r="AJ304" s="379"/>
      <c r="AK304" s="156"/>
      <c r="AL304" s="379"/>
      <c r="AM304" s="50"/>
      <c r="AN304" s="50"/>
    </row>
    <row r="305" spans="1:40" x14ac:dyDescent="0.25">
      <c r="F305" s="381"/>
      <c r="H305" s="381"/>
      <c r="I305" s="381"/>
      <c r="J305" s="464"/>
      <c r="K305" s="464"/>
      <c r="L305" s="381"/>
      <c r="M305" s="381"/>
      <c r="N305" s="381"/>
      <c r="O305" s="381"/>
      <c r="P305" s="381"/>
      <c r="Q305" s="381"/>
      <c r="R305" s="381"/>
      <c r="V305" s="381"/>
      <c r="Y305" s="381"/>
      <c r="Z305" s="464"/>
      <c r="AA305" s="381"/>
      <c r="AB305" s="381"/>
      <c r="AC305" s="381"/>
      <c r="AD305" s="381"/>
      <c r="AE305" s="381"/>
      <c r="AF305" s="381"/>
      <c r="AI305" s="381"/>
      <c r="AJ305" s="381"/>
      <c r="AK305" s="162"/>
      <c r="AL305" s="381"/>
      <c r="AM305" s="50"/>
      <c r="AN305" s="50"/>
    </row>
    <row r="306" spans="1:40" x14ac:dyDescent="0.25">
      <c r="A306" s="53"/>
      <c r="C306" s="54"/>
      <c r="F306" s="379"/>
      <c r="H306" s="379"/>
      <c r="I306" s="379"/>
      <c r="J306" s="59"/>
      <c r="K306" s="59"/>
      <c r="L306" s="379"/>
      <c r="M306" s="379"/>
      <c r="N306" s="50"/>
      <c r="O306" s="50"/>
      <c r="P306" s="379"/>
      <c r="Q306" s="379"/>
      <c r="R306" s="379"/>
      <c r="T306" s="54"/>
      <c r="V306" s="379"/>
      <c r="Y306" s="379"/>
      <c r="Z306" s="59"/>
      <c r="AA306" s="379"/>
      <c r="AB306" s="379"/>
      <c r="AC306" s="50"/>
      <c r="AD306" s="50"/>
      <c r="AE306" s="379"/>
      <c r="AF306" s="379"/>
      <c r="AG306" s="156"/>
      <c r="AH306" s="60"/>
      <c r="AI306" s="379"/>
      <c r="AJ306" s="379"/>
      <c r="AK306" s="156"/>
      <c r="AL306" s="379"/>
      <c r="AM306" s="50"/>
      <c r="AN306" s="50"/>
    </row>
    <row r="307" spans="1:40" x14ac:dyDescent="0.25">
      <c r="A307" s="53"/>
      <c r="C307" s="54"/>
      <c r="F307" s="379"/>
      <c r="H307" s="449"/>
      <c r="I307" s="449"/>
      <c r="J307" s="472"/>
      <c r="K307" s="472"/>
      <c r="L307" s="379"/>
      <c r="M307" s="379"/>
      <c r="N307" s="50"/>
      <c r="O307" s="50"/>
      <c r="P307" s="379"/>
      <c r="Q307" s="379"/>
      <c r="R307" s="379"/>
      <c r="T307" s="54"/>
      <c r="V307" s="379"/>
      <c r="Y307" s="379"/>
      <c r="Z307" s="463"/>
      <c r="AA307" s="379"/>
      <c r="AB307" s="379"/>
      <c r="AC307" s="50"/>
      <c r="AD307" s="50"/>
      <c r="AE307" s="379"/>
      <c r="AF307" s="379"/>
      <c r="AG307" s="156"/>
      <c r="AH307" s="60"/>
      <c r="AI307" s="379"/>
      <c r="AJ307" s="379"/>
      <c r="AK307" s="156"/>
      <c r="AL307" s="379"/>
      <c r="AM307" s="50"/>
      <c r="AN307" s="50"/>
    </row>
    <row r="308" spans="1:40" x14ac:dyDescent="0.25">
      <c r="F308" s="381"/>
      <c r="H308" s="381"/>
      <c r="I308" s="381"/>
      <c r="J308" s="464"/>
      <c r="K308" s="464"/>
      <c r="L308" s="381"/>
      <c r="M308" s="381"/>
      <c r="N308" s="381"/>
      <c r="O308" s="381"/>
      <c r="P308" s="381"/>
      <c r="Q308" s="381"/>
      <c r="R308" s="381"/>
      <c r="V308" s="381"/>
      <c r="Y308" s="381"/>
      <c r="Z308" s="464"/>
      <c r="AA308" s="381"/>
      <c r="AB308" s="381"/>
      <c r="AC308" s="381"/>
      <c r="AD308" s="381"/>
      <c r="AE308" s="381"/>
      <c r="AF308" s="381"/>
      <c r="AI308" s="381"/>
      <c r="AJ308" s="381"/>
      <c r="AK308" s="162"/>
      <c r="AL308" s="381"/>
      <c r="AM308" s="50"/>
      <c r="AN308" s="50"/>
    </row>
    <row r="310" spans="1:40" x14ac:dyDescent="0.25">
      <c r="A310" s="53"/>
      <c r="C310" s="54"/>
      <c r="F310" s="379"/>
      <c r="H310" s="379"/>
      <c r="I310" s="379"/>
      <c r="J310" s="464"/>
      <c r="K310" s="464"/>
      <c r="L310" s="379"/>
      <c r="M310" s="379"/>
      <c r="N310" s="50"/>
      <c r="O310" s="50"/>
      <c r="P310" s="379"/>
      <c r="Q310" s="379"/>
      <c r="R310" s="379"/>
      <c r="S310" s="379"/>
      <c r="T310" s="54"/>
      <c r="V310" s="379"/>
      <c r="Y310" s="379"/>
      <c r="Z310" s="464"/>
      <c r="AA310" s="379"/>
      <c r="AB310" s="379"/>
      <c r="AC310" s="50"/>
      <c r="AD310" s="50"/>
      <c r="AE310" s="379"/>
      <c r="AF310" s="379"/>
      <c r="AG310" s="156"/>
      <c r="AH310" s="50"/>
      <c r="AI310" s="379"/>
      <c r="AJ310" s="379"/>
      <c r="AK310" s="156"/>
      <c r="AL310" s="379"/>
      <c r="AM310" s="50"/>
      <c r="AN310" s="50"/>
    </row>
    <row r="311" spans="1:40" x14ac:dyDescent="0.25">
      <c r="F311" s="381"/>
      <c r="H311" s="381"/>
      <c r="I311" s="381"/>
      <c r="J311" s="464"/>
      <c r="K311" s="464"/>
      <c r="L311" s="381"/>
      <c r="M311" s="381"/>
      <c r="N311" s="381"/>
      <c r="O311" s="381"/>
      <c r="P311" s="381"/>
      <c r="Q311" s="381"/>
      <c r="R311" s="381"/>
      <c r="S311" s="379"/>
      <c r="V311" s="381"/>
      <c r="Y311" s="381"/>
      <c r="Z311" s="464"/>
      <c r="AA311" s="381"/>
      <c r="AB311" s="381"/>
      <c r="AC311" s="381"/>
      <c r="AD311" s="381"/>
      <c r="AE311" s="381"/>
      <c r="AF311" s="381"/>
      <c r="AI311" s="381"/>
      <c r="AJ311" s="381"/>
      <c r="AK311" s="162"/>
      <c r="AL311" s="381"/>
      <c r="AM311" s="50"/>
      <c r="AN311" s="50"/>
    </row>
    <row r="312" spans="1:40" x14ac:dyDescent="0.25">
      <c r="A312" s="53"/>
      <c r="C312" s="54"/>
      <c r="F312" s="449"/>
      <c r="H312" s="449"/>
      <c r="I312" s="449"/>
      <c r="J312" s="464"/>
      <c r="K312" s="464"/>
      <c r="L312" s="379"/>
      <c r="M312" s="379"/>
      <c r="N312" s="50"/>
      <c r="O312" s="50"/>
      <c r="P312" s="379"/>
      <c r="Q312" s="379"/>
      <c r="R312" s="379"/>
      <c r="S312" s="379"/>
      <c r="T312" s="54"/>
      <c r="V312" s="449"/>
      <c r="Y312" s="449"/>
      <c r="Z312" s="464"/>
      <c r="AA312" s="379"/>
      <c r="AB312" s="379"/>
      <c r="AC312" s="50"/>
      <c r="AD312" s="50"/>
      <c r="AE312" s="379"/>
      <c r="AF312" s="379"/>
      <c r="AI312" s="379"/>
      <c r="AJ312" s="379"/>
      <c r="AK312" s="156"/>
      <c r="AL312" s="379"/>
      <c r="AM312" s="50"/>
      <c r="AN312" s="50"/>
    </row>
    <row r="314" spans="1:40" x14ac:dyDescent="0.25">
      <c r="A314" s="53"/>
      <c r="C314" s="54"/>
      <c r="F314" s="449"/>
      <c r="H314" s="449"/>
      <c r="I314" s="449"/>
      <c r="J314" s="461"/>
      <c r="K314" s="461"/>
      <c r="L314" s="379"/>
      <c r="M314" s="379"/>
      <c r="N314" s="50"/>
      <c r="O314" s="50"/>
      <c r="P314" s="53"/>
      <c r="Q314" s="53"/>
      <c r="R314" s="379"/>
      <c r="T314" s="54"/>
      <c r="V314" s="379"/>
      <c r="Y314" s="449"/>
      <c r="Z314" s="461"/>
      <c r="AA314" s="379"/>
      <c r="AB314" s="379"/>
      <c r="AC314" s="50"/>
      <c r="AD314" s="50"/>
      <c r="AE314" s="379"/>
      <c r="AF314" s="379"/>
      <c r="AG314" s="156"/>
      <c r="AH314" s="60"/>
      <c r="AI314" s="53"/>
      <c r="AJ314" s="53"/>
      <c r="AK314" s="156"/>
      <c r="AL314" s="379"/>
      <c r="AM314" s="50"/>
      <c r="AN314" s="50"/>
    </row>
    <row r="315" spans="1:40" x14ac:dyDescent="0.25">
      <c r="F315" s="381"/>
      <c r="H315" s="379"/>
      <c r="I315" s="379"/>
      <c r="J315" s="464"/>
      <c r="K315" s="464"/>
      <c r="L315" s="381"/>
      <c r="M315" s="381"/>
      <c r="N315" s="381"/>
      <c r="O315" s="381"/>
      <c r="P315" s="381"/>
      <c r="Q315" s="381"/>
      <c r="R315" s="381"/>
      <c r="V315" s="381"/>
      <c r="Y315" s="379"/>
      <c r="Z315" s="464"/>
      <c r="AA315" s="381"/>
      <c r="AB315" s="381"/>
      <c r="AC315" s="381"/>
      <c r="AD315" s="381"/>
      <c r="AE315" s="381"/>
      <c r="AF315" s="381"/>
      <c r="AI315" s="381"/>
      <c r="AJ315" s="381"/>
      <c r="AK315" s="162"/>
      <c r="AL315" s="381"/>
      <c r="AM315" s="50"/>
      <c r="AN315" s="50"/>
    </row>
    <row r="316" spans="1:40" x14ac:dyDescent="0.25">
      <c r="A316" s="53"/>
      <c r="C316" s="54"/>
      <c r="F316" s="449"/>
      <c r="H316" s="449"/>
      <c r="I316" s="449"/>
      <c r="J316" s="477"/>
      <c r="K316" s="477"/>
      <c r="L316" s="379"/>
      <c r="M316" s="379"/>
      <c r="N316" s="50"/>
      <c r="O316" s="50"/>
      <c r="P316" s="379"/>
      <c r="Q316" s="379"/>
      <c r="R316" s="379"/>
      <c r="S316" s="379"/>
      <c r="T316" s="54"/>
      <c r="V316" s="449"/>
      <c r="Y316" s="449"/>
      <c r="Z316" s="477"/>
      <c r="AA316" s="379"/>
      <c r="AB316" s="379"/>
      <c r="AC316" s="50"/>
      <c r="AD316" s="50"/>
      <c r="AE316" s="379"/>
      <c r="AF316" s="379"/>
      <c r="AG316" s="156"/>
      <c r="AH316" s="50"/>
      <c r="AI316" s="379"/>
      <c r="AJ316" s="379"/>
      <c r="AK316" s="156"/>
      <c r="AL316" s="379"/>
      <c r="AM316" s="50"/>
      <c r="AN316" s="50"/>
    </row>
    <row r="317" spans="1:40" x14ac:dyDescent="0.25">
      <c r="A317" s="53"/>
      <c r="C317" s="54"/>
      <c r="F317" s="449"/>
      <c r="H317" s="449"/>
      <c r="I317" s="449"/>
      <c r="J317" s="461"/>
      <c r="K317" s="461"/>
      <c r="L317" s="379"/>
      <c r="M317" s="379"/>
      <c r="N317" s="50"/>
      <c r="O317" s="50"/>
      <c r="P317" s="379"/>
      <c r="Q317" s="379"/>
      <c r="R317" s="379"/>
      <c r="T317" s="54"/>
      <c r="V317" s="449"/>
      <c r="Y317" s="379"/>
      <c r="Z317" s="461"/>
      <c r="AA317" s="379"/>
      <c r="AB317" s="379"/>
      <c r="AC317" s="50"/>
      <c r="AD317" s="50"/>
      <c r="AE317" s="379"/>
      <c r="AF317" s="379"/>
      <c r="AG317" s="156"/>
      <c r="AH317" s="60"/>
      <c r="AI317" s="379"/>
      <c r="AJ317" s="379"/>
      <c r="AK317" s="156"/>
      <c r="AL317" s="379"/>
      <c r="AM317" s="50"/>
      <c r="AN317" s="50"/>
    </row>
    <row r="318" spans="1:40" x14ac:dyDescent="0.25">
      <c r="A318" s="53"/>
      <c r="C318" s="54"/>
      <c r="F318" s="449"/>
      <c r="H318" s="449"/>
      <c r="I318" s="449"/>
      <c r="J318" s="461"/>
      <c r="K318" s="461"/>
      <c r="L318" s="379"/>
      <c r="M318" s="379"/>
      <c r="N318" s="50"/>
      <c r="O318" s="50"/>
      <c r="P318" s="379"/>
      <c r="Q318" s="379"/>
      <c r="R318" s="379"/>
      <c r="T318" s="54"/>
      <c r="V318" s="449"/>
      <c r="Y318" s="379"/>
      <c r="Z318" s="461"/>
      <c r="AA318" s="379"/>
      <c r="AB318" s="379"/>
      <c r="AC318" s="50"/>
      <c r="AD318" s="50"/>
      <c r="AE318" s="379"/>
      <c r="AF318" s="379"/>
      <c r="AG318" s="156"/>
      <c r="AH318" s="60"/>
      <c r="AI318" s="379"/>
      <c r="AJ318" s="379"/>
      <c r="AK318" s="156"/>
      <c r="AL318" s="379"/>
      <c r="AM318" s="50"/>
      <c r="AN318" s="50"/>
    </row>
    <row r="319" spans="1:40" x14ac:dyDescent="0.25">
      <c r="F319" s="381"/>
      <c r="H319" s="381"/>
      <c r="I319" s="381"/>
      <c r="J319" s="464"/>
      <c r="K319" s="464"/>
      <c r="L319" s="381"/>
      <c r="M319" s="381"/>
      <c r="N319" s="381"/>
      <c r="O319" s="381"/>
      <c r="P319" s="381"/>
      <c r="Q319" s="381"/>
      <c r="R319" s="381"/>
      <c r="V319" s="381"/>
      <c r="Y319" s="381"/>
      <c r="Z319" s="464"/>
      <c r="AA319" s="381"/>
      <c r="AB319" s="381"/>
      <c r="AC319" s="381"/>
      <c r="AD319" s="381"/>
      <c r="AE319" s="381"/>
      <c r="AF319" s="381"/>
      <c r="AI319" s="381"/>
      <c r="AJ319" s="381"/>
      <c r="AK319" s="162"/>
      <c r="AL319" s="381"/>
      <c r="AM319" s="50"/>
      <c r="AN319" s="50"/>
    </row>
    <row r="320" spans="1:40" x14ac:dyDescent="0.25">
      <c r="A320" s="53"/>
      <c r="C320" s="54"/>
      <c r="F320" s="379"/>
      <c r="H320" s="379"/>
      <c r="I320" s="379"/>
      <c r="J320" s="59"/>
      <c r="K320" s="59"/>
      <c r="L320" s="379"/>
      <c r="M320" s="379"/>
      <c r="N320" s="50"/>
      <c r="O320" s="50"/>
      <c r="P320" s="379"/>
      <c r="Q320" s="379"/>
      <c r="R320" s="379"/>
      <c r="T320" s="54"/>
      <c r="V320" s="379"/>
      <c r="Y320" s="379"/>
      <c r="Z320" s="59"/>
      <c r="AA320" s="379"/>
      <c r="AB320" s="379"/>
      <c r="AC320" s="50"/>
      <c r="AD320" s="50"/>
      <c r="AE320" s="379"/>
      <c r="AF320" s="379"/>
      <c r="AG320" s="156"/>
      <c r="AH320" s="60"/>
      <c r="AI320" s="379"/>
      <c r="AJ320" s="379"/>
      <c r="AK320" s="156"/>
      <c r="AL320" s="379"/>
      <c r="AM320" s="50"/>
      <c r="AN320" s="50"/>
    </row>
    <row r="321" spans="1:40" x14ac:dyDescent="0.25">
      <c r="F321" s="381"/>
      <c r="H321" s="381"/>
      <c r="I321" s="381"/>
      <c r="J321" s="464"/>
      <c r="K321" s="464"/>
      <c r="L321" s="381"/>
      <c r="M321" s="381"/>
      <c r="N321" s="381"/>
      <c r="O321" s="381"/>
      <c r="P321" s="381"/>
      <c r="Q321" s="381"/>
      <c r="R321" s="381"/>
      <c r="V321" s="381"/>
      <c r="Y321" s="381"/>
      <c r="Z321" s="464"/>
      <c r="AA321" s="381"/>
      <c r="AB321" s="381"/>
      <c r="AC321" s="381"/>
      <c r="AD321" s="381"/>
      <c r="AE321" s="381"/>
      <c r="AF321" s="381"/>
      <c r="AI321" s="381"/>
      <c r="AJ321" s="381"/>
      <c r="AK321" s="162"/>
      <c r="AL321" s="381"/>
      <c r="AM321" s="50"/>
      <c r="AN321" s="50"/>
    </row>
    <row r="322" spans="1:40" x14ac:dyDescent="0.25">
      <c r="A322" s="53"/>
      <c r="C322" s="54"/>
      <c r="F322" s="379"/>
      <c r="H322" s="379"/>
      <c r="I322" s="379"/>
      <c r="J322" s="59"/>
      <c r="K322" s="59"/>
      <c r="L322" s="379"/>
      <c r="M322" s="379"/>
      <c r="N322" s="50"/>
      <c r="O322" s="50"/>
      <c r="P322" s="379"/>
      <c r="Q322" s="379"/>
      <c r="R322" s="379"/>
      <c r="T322" s="54"/>
      <c r="V322" s="379"/>
      <c r="Y322" s="379"/>
      <c r="Z322" s="59"/>
      <c r="AA322" s="379"/>
      <c r="AB322" s="379"/>
      <c r="AC322" s="50"/>
      <c r="AD322" s="50"/>
      <c r="AE322" s="379"/>
      <c r="AF322" s="379"/>
      <c r="AG322" s="156"/>
      <c r="AH322" s="60"/>
      <c r="AI322" s="379"/>
      <c r="AJ322" s="379"/>
      <c r="AK322" s="156"/>
      <c r="AL322" s="379"/>
      <c r="AM322" s="50"/>
      <c r="AN322" s="50"/>
    </row>
    <row r="323" spans="1:40" x14ac:dyDescent="0.25">
      <c r="A323" s="53"/>
      <c r="C323" s="54"/>
      <c r="F323" s="379"/>
      <c r="H323" s="449"/>
      <c r="I323" s="449"/>
      <c r="J323" s="472"/>
      <c r="K323" s="472"/>
      <c r="L323" s="379"/>
      <c r="M323" s="379"/>
      <c r="N323" s="50"/>
      <c r="O323" s="50"/>
      <c r="P323" s="379"/>
      <c r="Q323" s="379"/>
      <c r="R323" s="379"/>
      <c r="T323" s="54"/>
      <c r="V323" s="379"/>
      <c r="Y323" s="379"/>
      <c r="Z323" s="463"/>
      <c r="AA323" s="379"/>
      <c r="AB323" s="379"/>
      <c r="AC323" s="50"/>
      <c r="AD323" s="50"/>
      <c r="AE323" s="379"/>
      <c r="AF323" s="379"/>
      <c r="AG323" s="156"/>
      <c r="AH323" s="60"/>
      <c r="AI323" s="379"/>
      <c r="AJ323" s="379"/>
      <c r="AK323" s="156"/>
      <c r="AL323" s="379"/>
      <c r="AM323" s="50"/>
      <c r="AN323" s="50"/>
    </row>
    <row r="324" spans="1:40" x14ac:dyDescent="0.25">
      <c r="F324" s="381"/>
      <c r="H324" s="381"/>
      <c r="I324" s="381"/>
      <c r="J324" s="464"/>
      <c r="K324" s="464"/>
      <c r="L324" s="381"/>
      <c r="M324" s="381"/>
      <c r="N324" s="381"/>
      <c r="O324" s="381"/>
      <c r="P324" s="381"/>
      <c r="Q324" s="381"/>
      <c r="R324" s="381"/>
      <c r="V324" s="381"/>
      <c r="Y324" s="381"/>
      <c r="Z324" s="464"/>
      <c r="AA324" s="381"/>
      <c r="AB324" s="381"/>
      <c r="AC324" s="381"/>
      <c r="AD324" s="381"/>
      <c r="AE324" s="381"/>
      <c r="AF324" s="381"/>
      <c r="AI324" s="381"/>
      <c r="AJ324" s="381"/>
      <c r="AK324" s="162"/>
      <c r="AL324" s="381"/>
      <c r="AM324" s="50"/>
      <c r="AN324" s="50"/>
    </row>
    <row r="326" spans="1:40" x14ac:dyDescent="0.25">
      <c r="A326" s="53"/>
      <c r="C326" s="54"/>
      <c r="F326" s="379"/>
      <c r="H326" s="379"/>
      <c r="I326" s="379"/>
      <c r="J326" s="464"/>
      <c r="K326" s="464"/>
      <c r="L326" s="379"/>
      <c r="M326" s="379"/>
      <c r="N326" s="50"/>
      <c r="O326" s="50"/>
      <c r="P326" s="379"/>
      <c r="Q326" s="379"/>
      <c r="R326" s="379"/>
      <c r="S326" s="379"/>
      <c r="T326" s="54"/>
      <c r="V326" s="379"/>
      <c r="Y326" s="379"/>
      <c r="Z326" s="464"/>
      <c r="AA326" s="379"/>
      <c r="AB326" s="379"/>
      <c r="AC326" s="50"/>
      <c r="AD326" s="50"/>
      <c r="AE326" s="379"/>
      <c r="AF326" s="379"/>
      <c r="AG326" s="156"/>
      <c r="AH326" s="50"/>
      <c r="AI326" s="379"/>
      <c r="AJ326" s="379"/>
      <c r="AK326" s="156"/>
      <c r="AL326" s="379"/>
      <c r="AM326" s="50"/>
      <c r="AN326" s="50"/>
    </row>
    <row r="327" spans="1:40" x14ac:dyDescent="0.25">
      <c r="F327" s="381"/>
      <c r="H327" s="381"/>
      <c r="I327" s="381"/>
      <c r="J327" s="464"/>
      <c r="K327" s="464"/>
      <c r="L327" s="381"/>
      <c r="M327" s="381"/>
      <c r="N327" s="381"/>
      <c r="O327" s="381"/>
      <c r="P327" s="381"/>
      <c r="Q327" s="381"/>
      <c r="R327" s="381"/>
      <c r="S327" s="379"/>
      <c r="V327" s="381"/>
      <c r="Y327" s="381"/>
      <c r="Z327" s="464"/>
      <c r="AA327" s="381"/>
      <c r="AB327" s="381"/>
      <c r="AC327" s="381"/>
      <c r="AD327" s="381"/>
      <c r="AE327" s="381"/>
      <c r="AF327" s="381"/>
      <c r="AI327" s="381"/>
      <c r="AJ327" s="381"/>
      <c r="AK327" s="162"/>
      <c r="AL327" s="381"/>
      <c r="AM327" s="50"/>
      <c r="AN327" s="50"/>
    </row>
    <row r="328" spans="1:40" x14ac:dyDescent="0.25">
      <c r="A328" s="53"/>
      <c r="C328" s="54"/>
      <c r="T328" s="54"/>
    </row>
    <row r="329" spans="1:40" x14ac:dyDescent="0.25">
      <c r="A329" s="53"/>
      <c r="C329" s="54"/>
      <c r="F329" s="379"/>
      <c r="H329" s="379"/>
      <c r="I329" s="379"/>
      <c r="L329" s="379"/>
      <c r="M329" s="379"/>
      <c r="N329" s="50"/>
      <c r="O329" s="50"/>
      <c r="P329" s="449"/>
      <c r="Q329" s="449"/>
      <c r="R329" s="379"/>
      <c r="T329" s="54"/>
      <c r="V329" s="379"/>
      <c r="Y329" s="379"/>
      <c r="AA329" s="379"/>
      <c r="AB329" s="379"/>
      <c r="AC329" s="50"/>
      <c r="AD329" s="50"/>
      <c r="AE329" s="379"/>
      <c r="AF329" s="379"/>
      <c r="AG329" s="156"/>
      <c r="AH329" s="50"/>
      <c r="AI329" s="449"/>
      <c r="AJ329" s="449"/>
      <c r="AK329" s="156"/>
      <c r="AL329" s="379"/>
      <c r="AM329" s="50"/>
      <c r="AN329" s="50"/>
    </row>
    <row r="330" spans="1:40" x14ac:dyDescent="0.25">
      <c r="F330" s="381"/>
      <c r="H330" s="381"/>
      <c r="I330" s="381"/>
      <c r="J330" s="464"/>
      <c r="K330" s="464"/>
      <c r="L330" s="381"/>
      <c r="M330" s="381"/>
      <c r="N330" s="381"/>
      <c r="O330" s="381"/>
      <c r="P330" s="381"/>
      <c r="Q330" s="381"/>
      <c r="R330" s="381"/>
      <c r="V330" s="381"/>
      <c r="Y330" s="381"/>
      <c r="Z330" s="464"/>
      <c r="AA330" s="381"/>
      <c r="AB330" s="381"/>
      <c r="AC330" s="381"/>
      <c r="AD330" s="381"/>
      <c r="AE330" s="381"/>
      <c r="AF330" s="381"/>
      <c r="AI330" s="381"/>
      <c r="AJ330" s="381"/>
      <c r="AK330" s="162"/>
      <c r="AL330" s="381"/>
    </row>
    <row r="332" spans="1:40" x14ac:dyDescent="0.25">
      <c r="C332" s="54"/>
      <c r="L332" s="379"/>
      <c r="M332" s="379"/>
      <c r="N332" s="379"/>
      <c r="O332" s="379"/>
      <c r="P332" s="379"/>
      <c r="Q332" s="379"/>
      <c r="R332" s="379"/>
      <c r="S332" s="379"/>
      <c r="T332" s="54"/>
      <c r="AA332" s="379"/>
      <c r="AB332" s="379"/>
      <c r="AC332" s="379"/>
      <c r="AD332" s="379"/>
      <c r="AI332" s="379"/>
      <c r="AJ332" s="379"/>
      <c r="AK332" s="156"/>
      <c r="AL332" s="379"/>
    </row>
    <row r="333" spans="1:40" x14ac:dyDescent="0.25">
      <c r="A333" s="54"/>
    </row>
    <row r="334" spans="1:40" x14ac:dyDescent="0.25">
      <c r="J334" s="53"/>
      <c r="K334" s="53"/>
      <c r="Z334" s="53"/>
    </row>
    <row r="335" spans="1:40" x14ac:dyDescent="0.25">
      <c r="H335" s="54"/>
      <c r="I335" s="54"/>
      <c r="Y335" s="54"/>
    </row>
    <row r="336" spans="1:40" x14ac:dyDescent="0.25">
      <c r="J336" s="53"/>
      <c r="K336" s="53"/>
      <c r="Z336" s="53"/>
    </row>
    <row r="337" spans="1:40" x14ac:dyDescent="0.25">
      <c r="L337" s="54"/>
      <c r="M337" s="54"/>
      <c r="AA337" s="54"/>
      <c r="AB337" s="54"/>
    </row>
    <row r="338" spans="1:40" x14ac:dyDescent="0.25">
      <c r="A338" s="53"/>
      <c r="R338" s="54"/>
      <c r="AK338" s="161"/>
      <c r="AL338" s="54"/>
    </row>
    <row r="339" spans="1:40" x14ac:dyDescent="0.25">
      <c r="A339" s="53"/>
      <c r="R339" s="54"/>
      <c r="AK339" s="161"/>
      <c r="AL339" s="54"/>
    </row>
    <row r="340" spans="1:40" x14ac:dyDescent="0.25">
      <c r="A340" s="54"/>
      <c r="R340" s="54"/>
      <c r="AK340" s="161"/>
      <c r="AL340" s="54"/>
    </row>
    <row r="341" spans="1:40" x14ac:dyDescent="0.25">
      <c r="L341" s="54"/>
      <c r="M341" s="54"/>
      <c r="R341" s="53"/>
      <c r="AA341" s="54"/>
      <c r="AB341" s="54"/>
      <c r="AK341" s="156"/>
      <c r="AL341" s="53"/>
    </row>
    <row r="342" spans="1:40" x14ac:dyDescent="0.25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154"/>
      <c r="AH342" s="55"/>
      <c r="AI342" s="55"/>
      <c r="AJ342" s="55"/>
      <c r="AK342" s="154"/>
      <c r="AL342" s="55"/>
      <c r="AM342" s="55"/>
      <c r="AN342" s="55"/>
    </row>
    <row r="343" spans="1:40" x14ac:dyDescent="0.25">
      <c r="L343" s="56"/>
      <c r="M343" s="56"/>
      <c r="N343" s="56"/>
      <c r="O343" s="56"/>
      <c r="R343" s="56"/>
      <c r="AA343" s="56"/>
      <c r="AB343" s="56"/>
      <c r="AC343" s="56"/>
      <c r="AD343" s="56"/>
      <c r="AE343" s="56"/>
      <c r="AF343" s="56"/>
      <c r="AG343" s="155"/>
      <c r="AH343" s="56"/>
      <c r="AK343" s="155"/>
      <c r="AL343" s="56"/>
      <c r="AM343" s="56"/>
      <c r="AN343" s="56"/>
    </row>
    <row r="344" spans="1:40" x14ac:dyDescent="0.25">
      <c r="L344" s="56"/>
      <c r="M344" s="56"/>
      <c r="N344" s="56"/>
      <c r="O344" s="56"/>
      <c r="R344" s="56"/>
      <c r="Z344" s="56"/>
      <c r="AA344" s="56"/>
      <c r="AB344" s="56"/>
      <c r="AC344" s="56"/>
      <c r="AD344" s="56"/>
      <c r="AE344" s="56"/>
      <c r="AF344" s="56"/>
      <c r="AG344" s="155"/>
      <c r="AH344" s="56"/>
      <c r="AK344" s="155"/>
      <c r="AL344" s="56"/>
      <c r="AM344" s="56"/>
      <c r="AN344" s="56"/>
    </row>
    <row r="345" spans="1:40" x14ac:dyDescent="0.25">
      <c r="A345" s="56"/>
      <c r="C345" s="56"/>
      <c r="D345" s="56"/>
      <c r="E345" s="56"/>
      <c r="F345" s="56"/>
      <c r="J345" s="56"/>
      <c r="K345" s="56"/>
      <c r="L345" s="56"/>
      <c r="M345" s="56"/>
      <c r="N345" s="56"/>
      <c r="O345" s="56"/>
      <c r="P345" s="56"/>
      <c r="Q345" s="56"/>
      <c r="R345" s="56"/>
      <c r="T345" s="56"/>
      <c r="U345" s="56"/>
      <c r="V345" s="56"/>
      <c r="Z345" s="56"/>
      <c r="AA345" s="56"/>
      <c r="AB345" s="56"/>
      <c r="AC345" s="56"/>
      <c r="AD345" s="56"/>
      <c r="AE345" s="56"/>
      <c r="AF345" s="56"/>
      <c r="AG345" s="155"/>
      <c r="AH345" s="56"/>
      <c r="AI345" s="56"/>
      <c r="AJ345" s="56"/>
      <c r="AK345" s="155"/>
      <c r="AL345" s="56"/>
      <c r="AM345" s="56"/>
      <c r="AN345" s="56"/>
    </row>
    <row r="346" spans="1:40" x14ac:dyDescent="0.25">
      <c r="A346" s="56"/>
      <c r="C346" s="56"/>
      <c r="D346" s="56"/>
      <c r="E346" s="56"/>
      <c r="F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T346" s="56"/>
      <c r="U346" s="56"/>
      <c r="V346" s="56"/>
      <c r="Y346" s="56"/>
      <c r="Z346" s="56"/>
      <c r="AA346" s="56"/>
      <c r="AB346" s="56"/>
      <c r="AC346" s="56"/>
      <c r="AD346" s="56"/>
      <c r="AE346" s="56"/>
      <c r="AF346" s="56"/>
      <c r="AG346" s="155"/>
      <c r="AH346" s="56"/>
      <c r="AI346" s="56"/>
      <c r="AJ346" s="56"/>
      <c r="AK346" s="155"/>
      <c r="AL346" s="56"/>
      <c r="AM346" s="56"/>
      <c r="AN346" s="56"/>
    </row>
    <row r="347" spans="1:40" x14ac:dyDescent="0.25">
      <c r="C347" s="56"/>
      <c r="D347" s="56"/>
      <c r="E347" s="56"/>
      <c r="F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T347" s="56"/>
      <c r="U347" s="56"/>
      <c r="V347" s="56"/>
      <c r="Y347" s="56"/>
      <c r="Z347" s="56"/>
      <c r="AA347" s="56"/>
      <c r="AB347" s="56"/>
      <c r="AC347" s="56"/>
      <c r="AD347" s="56"/>
      <c r="AE347" s="56"/>
      <c r="AF347" s="56"/>
      <c r="AG347" s="155"/>
      <c r="AH347" s="56"/>
      <c r="AI347" s="56"/>
      <c r="AJ347" s="56"/>
      <c r="AK347" s="155"/>
      <c r="AL347" s="56"/>
      <c r="AM347" s="56"/>
      <c r="AN347" s="56"/>
    </row>
    <row r="348" spans="1:40" x14ac:dyDescent="0.25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154"/>
      <c r="AH348" s="55"/>
      <c r="AI348" s="55"/>
      <c r="AJ348" s="55"/>
      <c r="AK348" s="154"/>
      <c r="AL348" s="55"/>
      <c r="AM348" s="55"/>
      <c r="AN348" s="55"/>
    </row>
    <row r="349" spans="1:40" x14ac:dyDescent="0.25"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Y349" s="56"/>
      <c r="Z349" s="56"/>
      <c r="AA349" s="56"/>
      <c r="AB349" s="56"/>
      <c r="AC349" s="56"/>
      <c r="AD349" s="56"/>
      <c r="AE349" s="56"/>
      <c r="AF349" s="56"/>
      <c r="AG349" s="155"/>
      <c r="AH349" s="56"/>
      <c r="AI349" s="56"/>
      <c r="AJ349" s="56"/>
      <c r="AK349" s="155"/>
      <c r="AL349" s="56"/>
      <c r="AM349" s="56"/>
      <c r="AN349" s="56"/>
    </row>
    <row r="350" spans="1:40" x14ac:dyDescent="0.25">
      <c r="A350" s="53"/>
      <c r="C350" s="54"/>
      <c r="D350" s="54"/>
      <c r="E350" s="54"/>
      <c r="T350" s="54"/>
      <c r="U350" s="54"/>
    </row>
    <row r="351" spans="1:40" x14ac:dyDescent="0.25">
      <c r="D351" s="54"/>
      <c r="E351" s="54"/>
      <c r="U351" s="54"/>
    </row>
    <row r="353" spans="1:40" x14ac:dyDescent="0.25">
      <c r="A353" s="53"/>
      <c r="C353" s="54"/>
      <c r="T353" s="54"/>
    </row>
    <row r="354" spans="1:40" x14ac:dyDescent="0.25">
      <c r="A354" s="53"/>
      <c r="C354" s="54"/>
      <c r="F354" s="449"/>
      <c r="H354" s="449"/>
      <c r="I354" s="449"/>
      <c r="J354" s="221"/>
      <c r="K354" s="221"/>
      <c r="L354" s="379"/>
      <c r="M354" s="379"/>
      <c r="N354" s="50"/>
      <c r="O354" s="50"/>
      <c r="P354" s="379"/>
      <c r="Q354" s="379"/>
      <c r="R354" s="379"/>
      <c r="T354" s="54"/>
      <c r="V354" s="449"/>
      <c r="W354" s="379"/>
      <c r="X354" s="379"/>
      <c r="Y354" s="449"/>
      <c r="Z354" s="221"/>
      <c r="AA354" s="379"/>
      <c r="AB354" s="379"/>
      <c r="AC354" s="50"/>
      <c r="AD354" s="50"/>
      <c r="AE354" s="379"/>
      <c r="AF354" s="379"/>
      <c r="AG354" s="156"/>
      <c r="AH354" s="60"/>
      <c r="AI354" s="379"/>
      <c r="AJ354" s="379"/>
      <c r="AK354" s="156"/>
      <c r="AL354" s="379"/>
      <c r="AM354" s="50"/>
      <c r="AN354" s="50"/>
    </row>
    <row r="355" spans="1:40" x14ac:dyDescent="0.25">
      <c r="A355" s="53"/>
      <c r="C355" s="54"/>
      <c r="F355" s="379"/>
      <c r="H355" s="379"/>
      <c r="I355" s="379"/>
      <c r="J355" s="464"/>
      <c r="K355" s="464"/>
      <c r="L355" s="379"/>
      <c r="M355" s="379"/>
      <c r="N355" s="50"/>
      <c r="O355" s="50"/>
      <c r="P355" s="379"/>
      <c r="Q355" s="379"/>
      <c r="R355" s="379"/>
      <c r="T355" s="54"/>
      <c r="V355" s="449"/>
      <c r="W355" s="379"/>
      <c r="X355" s="379"/>
      <c r="Y355" s="449"/>
      <c r="Z355" s="464"/>
      <c r="AA355" s="379"/>
      <c r="AB355" s="379"/>
      <c r="AC355" s="50"/>
      <c r="AD355" s="50"/>
      <c r="AE355" s="379"/>
      <c r="AF355" s="379"/>
      <c r="AG355" s="156"/>
      <c r="AH355" s="60"/>
      <c r="AI355" s="379"/>
      <c r="AJ355" s="379"/>
      <c r="AK355" s="156"/>
      <c r="AL355" s="379"/>
      <c r="AM355" s="50"/>
      <c r="AN355" s="50"/>
    </row>
    <row r="356" spans="1:40" x14ac:dyDescent="0.25">
      <c r="A356" s="53"/>
      <c r="C356" s="54"/>
      <c r="F356" s="449"/>
      <c r="H356" s="449"/>
      <c r="I356" s="449"/>
      <c r="J356" s="221"/>
      <c r="K356" s="221"/>
      <c r="L356" s="379"/>
      <c r="M356" s="379"/>
      <c r="N356" s="50"/>
      <c r="O356" s="50"/>
      <c r="P356" s="379"/>
      <c r="Q356" s="379"/>
      <c r="R356" s="379"/>
      <c r="T356" s="54"/>
      <c r="V356" s="449"/>
      <c r="W356" s="379"/>
      <c r="X356" s="379"/>
      <c r="Y356" s="449"/>
      <c r="Z356" s="221"/>
      <c r="AA356" s="379"/>
      <c r="AB356" s="379"/>
      <c r="AC356" s="50"/>
      <c r="AD356" s="50"/>
      <c r="AE356" s="379"/>
      <c r="AF356" s="379"/>
      <c r="AG356" s="156"/>
      <c r="AH356" s="60"/>
      <c r="AI356" s="379"/>
      <c r="AJ356" s="379"/>
      <c r="AK356" s="156"/>
      <c r="AL356" s="379"/>
      <c r="AM356" s="50"/>
      <c r="AN356" s="50"/>
    </row>
    <row r="357" spans="1:40" x14ac:dyDescent="0.25">
      <c r="A357" s="53"/>
      <c r="C357" s="54"/>
      <c r="F357" s="449"/>
      <c r="H357" s="449"/>
      <c r="I357" s="449"/>
      <c r="J357" s="221"/>
      <c r="K357" s="221"/>
      <c r="L357" s="379"/>
      <c r="M357" s="379"/>
      <c r="N357" s="50"/>
      <c r="O357" s="50"/>
      <c r="P357" s="379"/>
      <c r="Q357" s="379"/>
      <c r="R357" s="379"/>
      <c r="T357" s="54"/>
      <c r="V357" s="449"/>
      <c r="W357" s="379"/>
      <c r="X357" s="379"/>
      <c r="Y357" s="449"/>
      <c r="Z357" s="221"/>
      <c r="AA357" s="379"/>
      <c r="AB357" s="379"/>
      <c r="AC357" s="50"/>
      <c r="AD357" s="50"/>
      <c r="AE357" s="379"/>
      <c r="AF357" s="379"/>
      <c r="AG357" s="156"/>
      <c r="AH357" s="60"/>
      <c r="AI357" s="379"/>
      <c r="AJ357" s="379"/>
      <c r="AK357" s="156"/>
      <c r="AL357" s="379"/>
      <c r="AM357" s="50"/>
      <c r="AN357" s="50"/>
    </row>
    <row r="358" spans="1:40" x14ac:dyDescent="0.25">
      <c r="A358" s="53"/>
      <c r="C358" s="54"/>
      <c r="F358" s="449"/>
      <c r="H358" s="449"/>
      <c r="I358" s="449"/>
      <c r="J358" s="221"/>
      <c r="K358" s="221"/>
      <c r="L358" s="379"/>
      <c r="M358" s="379"/>
      <c r="N358" s="50"/>
      <c r="O358" s="50"/>
      <c r="P358" s="379"/>
      <c r="Q358" s="379"/>
      <c r="R358" s="379"/>
      <c r="T358" s="54"/>
      <c r="V358" s="449"/>
      <c r="W358" s="379"/>
      <c r="X358" s="379"/>
      <c r="Y358" s="449"/>
      <c r="Z358" s="221"/>
      <c r="AA358" s="379"/>
      <c r="AB358" s="379"/>
      <c r="AC358" s="50"/>
      <c r="AD358" s="50"/>
      <c r="AE358" s="379"/>
      <c r="AF358" s="379"/>
      <c r="AG358" s="156"/>
      <c r="AH358" s="60"/>
      <c r="AI358" s="379"/>
      <c r="AJ358" s="379"/>
      <c r="AK358" s="156"/>
      <c r="AL358" s="379"/>
      <c r="AM358" s="50"/>
      <c r="AN358" s="50"/>
    </row>
    <row r="359" spans="1:40" x14ac:dyDescent="0.25">
      <c r="A359" s="53"/>
      <c r="C359" s="54"/>
      <c r="F359" s="379"/>
      <c r="H359" s="379"/>
      <c r="I359" s="379"/>
      <c r="J359" s="221"/>
      <c r="K359" s="221"/>
      <c r="L359" s="379"/>
      <c r="M359" s="379"/>
      <c r="N359" s="50"/>
      <c r="O359" s="50"/>
      <c r="P359" s="379"/>
      <c r="Q359" s="379"/>
      <c r="R359" s="379"/>
      <c r="T359" s="54"/>
      <c r="V359" s="449"/>
      <c r="W359" s="379"/>
      <c r="X359" s="379"/>
      <c r="Y359" s="449"/>
      <c r="Z359" s="221"/>
      <c r="AA359" s="379"/>
      <c r="AB359" s="379"/>
      <c r="AC359" s="50"/>
      <c r="AD359" s="50"/>
      <c r="AE359" s="379"/>
      <c r="AF359" s="379"/>
      <c r="AG359" s="156"/>
      <c r="AH359" s="60"/>
      <c r="AI359" s="379"/>
      <c r="AJ359" s="379"/>
      <c r="AK359" s="156"/>
      <c r="AL359" s="379"/>
      <c r="AM359" s="50"/>
      <c r="AN359" s="50"/>
    </row>
    <row r="360" spans="1:40" x14ac:dyDescent="0.25">
      <c r="A360" s="53"/>
      <c r="C360" s="54"/>
      <c r="F360" s="379"/>
      <c r="H360" s="379"/>
      <c r="I360" s="379"/>
      <c r="J360" s="221"/>
      <c r="K360" s="221"/>
      <c r="L360" s="379"/>
      <c r="M360" s="379"/>
      <c r="N360" s="50"/>
      <c r="O360" s="50"/>
      <c r="P360" s="379"/>
      <c r="Q360" s="379"/>
      <c r="R360" s="379"/>
      <c r="T360" s="54"/>
      <c r="V360" s="449"/>
      <c r="W360" s="379"/>
      <c r="X360" s="379"/>
      <c r="Y360" s="449"/>
      <c r="Z360" s="221"/>
      <c r="AA360" s="379"/>
      <c r="AB360" s="379"/>
      <c r="AC360" s="50"/>
      <c r="AD360" s="50"/>
      <c r="AE360" s="379"/>
      <c r="AF360" s="379"/>
      <c r="AG360" s="156"/>
      <c r="AH360" s="60"/>
      <c r="AI360" s="379"/>
      <c r="AJ360" s="379"/>
      <c r="AK360" s="156"/>
      <c r="AL360" s="379"/>
      <c r="AM360" s="50"/>
      <c r="AN360" s="50"/>
    </row>
    <row r="361" spans="1:40" x14ac:dyDescent="0.25">
      <c r="F361" s="63"/>
      <c r="H361" s="479"/>
      <c r="I361" s="479"/>
      <c r="J361" s="221"/>
      <c r="K361" s="221"/>
      <c r="L361" s="63"/>
      <c r="M361" s="63"/>
      <c r="N361" s="381"/>
      <c r="O361" s="381"/>
      <c r="P361" s="63"/>
      <c r="Q361" s="63"/>
      <c r="R361" s="63"/>
      <c r="V361" s="63"/>
      <c r="W361" s="379"/>
      <c r="X361" s="379"/>
      <c r="Y361" s="63"/>
      <c r="Z361" s="221"/>
      <c r="AA361" s="63"/>
      <c r="AB361" s="63"/>
      <c r="AC361" s="64"/>
      <c r="AD361" s="64"/>
      <c r="AE361" s="63"/>
      <c r="AF361" s="63"/>
      <c r="AG361" s="156"/>
      <c r="AH361" s="60"/>
      <c r="AI361" s="63"/>
      <c r="AJ361" s="63"/>
      <c r="AK361" s="154"/>
      <c r="AL361" s="63"/>
      <c r="AM361" s="50"/>
      <c r="AN361" s="50"/>
    </row>
    <row r="362" spans="1:40" x14ac:dyDescent="0.25">
      <c r="A362" s="53"/>
      <c r="C362" s="54"/>
      <c r="F362" s="379"/>
      <c r="H362" s="379"/>
      <c r="I362" s="379"/>
      <c r="J362" s="221"/>
      <c r="K362" s="221"/>
      <c r="L362" s="379"/>
      <c r="M362" s="379"/>
      <c r="N362" s="60"/>
      <c r="O362" s="60"/>
      <c r="P362" s="379"/>
      <c r="Q362" s="379"/>
      <c r="R362" s="379"/>
      <c r="T362" s="56"/>
      <c r="V362" s="379"/>
      <c r="W362" s="379"/>
      <c r="X362" s="379"/>
      <c r="Y362" s="379"/>
      <c r="Z362" s="221"/>
      <c r="AA362" s="379"/>
      <c r="AB362" s="379"/>
      <c r="AC362" s="60"/>
      <c r="AD362" s="60"/>
      <c r="AE362" s="379"/>
      <c r="AF362" s="379"/>
      <c r="AG362" s="156"/>
      <c r="AH362" s="60"/>
      <c r="AI362" s="379"/>
      <c r="AJ362" s="379"/>
      <c r="AK362" s="156"/>
      <c r="AL362" s="379"/>
      <c r="AM362" s="50"/>
      <c r="AN362" s="50"/>
    </row>
    <row r="363" spans="1:40" x14ac:dyDescent="0.25">
      <c r="F363" s="55"/>
      <c r="H363" s="55"/>
      <c r="I363" s="55"/>
      <c r="L363" s="55"/>
      <c r="M363" s="55"/>
      <c r="N363" s="64"/>
      <c r="O363" s="64"/>
      <c r="P363" s="63"/>
      <c r="Q363" s="63"/>
      <c r="R363" s="63"/>
      <c r="V363" s="63"/>
      <c r="Y363" s="63"/>
      <c r="Z363" s="464"/>
      <c r="AA363" s="63"/>
      <c r="AB363" s="63"/>
      <c r="AC363" s="63"/>
      <c r="AD363" s="63"/>
      <c r="AE363" s="63"/>
      <c r="AF363" s="63"/>
      <c r="AI363" s="63"/>
      <c r="AJ363" s="63"/>
      <c r="AK363" s="154"/>
      <c r="AL363" s="63"/>
      <c r="AM363" s="64"/>
      <c r="AN363" s="64"/>
    </row>
    <row r="364" spans="1:40" x14ac:dyDescent="0.25">
      <c r="AI364" s="53"/>
      <c r="AJ364" s="53"/>
    </row>
    <row r="368" spans="1:40" x14ac:dyDescent="0.25">
      <c r="N368" s="379"/>
      <c r="O368" s="379"/>
      <c r="P368" s="379"/>
      <c r="Q368" s="379"/>
      <c r="R368" s="379"/>
      <c r="V368" s="379"/>
      <c r="Y368" s="379"/>
      <c r="Z368" s="59"/>
      <c r="AA368" s="379"/>
      <c r="AB368" s="379"/>
      <c r="AC368" s="50"/>
      <c r="AD368" s="50"/>
      <c r="AE368" s="379"/>
      <c r="AF368" s="379"/>
      <c r="AG368" s="156"/>
      <c r="AH368" s="60"/>
      <c r="AI368" s="379"/>
      <c r="AJ368" s="379"/>
      <c r="AK368" s="156"/>
      <c r="AL368" s="379"/>
      <c r="AM368" s="50"/>
      <c r="AN368" s="50"/>
    </row>
    <row r="369" spans="1:40" x14ac:dyDescent="0.25">
      <c r="A369" s="53"/>
      <c r="C369" s="54"/>
      <c r="D369" s="54"/>
      <c r="E369" s="54"/>
      <c r="J369" s="65"/>
      <c r="K369" s="65"/>
      <c r="T369" s="54"/>
      <c r="U369" s="54"/>
      <c r="Z369" s="65"/>
      <c r="AE369" s="379"/>
      <c r="AF369" s="379"/>
      <c r="AI369" s="379"/>
      <c r="AJ369" s="379"/>
      <c r="AK369" s="156"/>
      <c r="AL369" s="379"/>
      <c r="AM369" s="50"/>
      <c r="AN369" s="50"/>
    </row>
    <row r="370" spans="1:40" x14ac:dyDescent="0.25">
      <c r="D370" s="54"/>
      <c r="E370" s="54"/>
      <c r="F370" s="379"/>
      <c r="H370" s="379"/>
      <c r="I370" s="379"/>
      <c r="J370" s="221"/>
      <c r="K370" s="221"/>
      <c r="L370" s="379"/>
      <c r="M370" s="379"/>
      <c r="N370" s="50"/>
      <c r="O370" s="50"/>
      <c r="P370" s="379"/>
      <c r="Q370" s="379"/>
      <c r="R370" s="379"/>
      <c r="U370" s="54"/>
      <c r="V370" s="379"/>
      <c r="Y370" s="379"/>
      <c r="Z370" s="221"/>
      <c r="AA370" s="379"/>
      <c r="AB370" s="379"/>
      <c r="AC370" s="50"/>
      <c r="AD370" s="50"/>
      <c r="AE370" s="379"/>
      <c r="AF370" s="379"/>
      <c r="AG370" s="156"/>
      <c r="AH370" s="60"/>
      <c r="AI370" s="379"/>
      <c r="AJ370" s="379"/>
      <c r="AK370" s="156"/>
      <c r="AL370" s="379"/>
      <c r="AM370" s="50"/>
      <c r="AN370" s="50"/>
    </row>
    <row r="371" spans="1:40" x14ac:dyDescent="0.25">
      <c r="F371" s="379"/>
      <c r="H371" s="379"/>
      <c r="I371" s="379"/>
      <c r="J371" s="464"/>
      <c r="K371" s="464"/>
      <c r="L371" s="379"/>
      <c r="M371" s="379"/>
      <c r="N371" s="379"/>
      <c r="O371" s="379"/>
      <c r="P371" s="379"/>
      <c r="Q371" s="379"/>
      <c r="R371" s="379"/>
      <c r="V371" s="379"/>
      <c r="Y371" s="379"/>
      <c r="Z371" s="464"/>
      <c r="AA371" s="379"/>
      <c r="AB371" s="379"/>
      <c r="AC371" s="379"/>
      <c r="AD371" s="379"/>
      <c r="AE371" s="379"/>
      <c r="AF371" s="379"/>
      <c r="AG371" s="156"/>
      <c r="AH371" s="60"/>
      <c r="AI371" s="449"/>
      <c r="AJ371" s="449"/>
      <c r="AK371" s="156"/>
      <c r="AL371" s="379"/>
      <c r="AM371" s="50"/>
      <c r="AN371" s="50"/>
    </row>
    <row r="372" spans="1:40" x14ac:dyDescent="0.25">
      <c r="A372" s="53"/>
      <c r="C372" s="54"/>
      <c r="F372" s="449"/>
      <c r="H372" s="449"/>
      <c r="I372" s="449"/>
      <c r="J372" s="463"/>
      <c r="K372" s="463"/>
      <c r="L372" s="379"/>
      <c r="M372" s="379"/>
      <c r="N372" s="50"/>
      <c r="O372" s="50"/>
      <c r="P372" s="379"/>
      <c r="Q372" s="379"/>
      <c r="R372" s="379"/>
      <c r="T372" s="54"/>
      <c r="V372" s="449"/>
      <c r="Y372" s="449"/>
      <c r="Z372" s="463"/>
      <c r="AA372" s="379"/>
      <c r="AB372" s="379"/>
      <c r="AC372" s="50"/>
      <c r="AD372" s="50"/>
      <c r="AE372" s="379"/>
      <c r="AF372" s="379"/>
      <c r="AG372" s="156"/>
      <c r="AH372" s="60"/>
      <c r="AI372" s="379"/>
      <c r="AJ372" s="379"/>
      <c r="AK372" s="156"/>
      <c r="AL372" s="379"/>
      <c r="AM372" s="50"/>
      <c r="AN372" s="50"/>
    </row>
    <row r="373" spans="1:40" x14ac:dyDescent="0.25">
      <c r="F373" s="55"/>
      <c r="H373" s="55"/>
      <c r="I373" s="55"/>
      <c r="L373" s="55"/>
      <c r="M373" s="55"/>
      <c r="N373" s="55"/>
      <c r="O373" s="55"/>
      <c r="P373" s="55"/>
      <c r="Q373" s="55"/>
      <c r="R373" s="55"/>
      <c r="V373" s="55"/>
      <c r="Y373" s="55"/>
      <c r="AA373" s="55"/>
      <c r="AB373" s="55"/>
      <c r="AC373" s="55"/>
      <c r="AD373" s="55"/>
      <c r="AE373" s="55"/>
      <c r="AF373" s="55"/>
      <c r="AG373" s="154"/>
      <c r="AH373" s="55"/>
      <c r="AI373" s="55"/>
      <c r="AJ373" s="55"/>
      <c r="AK373" s="154"/>
      <c r="AL373" s="55"/>
      <c r="AM373" s="55"/>
      <c r="AN373" s="55"/>
    </row>
    <row r="374" spans="1:40" x14ac:dyDescent="0.25">
      <c r="A374" s="53"/>
      <c r="C374" s="56"/>
      <c r="F374" s="449"/>
      <c r="H374" s="449"/>
      <c r="I374" s="449"/>
      <c r="J374" s="461"/>
      <c r="K374" s="461"/>
      <c r="L374" s="449"/>
      <c r="M374" s="449"/>
      <c r="N374" s="50"/>
      <c r="O374" s="50"/>
      <c r="P374" s="449"/>
      <c r="Q374" s="449"/>
      <c r="R374" s="449"/>
      <c r="T374" s="56"/>
      <c r="V374" s="379"/>
      <c r="Y374" s="379"/>
      <c r="Z374" s="59"/>
      <c r="AA374" s="379"/>
      <c r="AB374" s="379"/>
      <c r="AC374" s="50"/>
      <c r="AD374" s="50"/>
      <c r="AE374" s="53"/>
      <c r="AF374" s="53"/>
      <c r="AG374" s="156"/>
      <c r="AH374" s="60"/>
      <c r="AI374" s="379"/>
      <c r="AJ374" s="379"/>
      <c r="AK374" s="156"/>
      <c r="AL374" s="379"/>
      <c r="AM374" s="50"/>
      <c r="AN374" s="50"/>
    </row>
    <row r="375" spans="1:40" x14ac:dyDescent="0.25">
      <c r="F375" s="63"/>
      <c r="H375" s="63"/>
      <c r="I375" s="63"/>
      <c r="J375" s="464"/>
      <c r="K375" s="464"/>
      <c r="L375" s="63"/>
      <c r="M375" s="63"/>
      <c r="N375" s="63"/>
      <c r="O375" s="63"/>
      <c r="P375" s="63"/>
      <c r="Q375" s="63"/>
      <c r="R375" s="63"/>
      <c r="V375" s="55"/>
      <c r="Y375" s="55"/>
      <c r="AA375" s="55"/>
      <c r="AB375" s="55"/>
      <c r="AC375" s="55"/>
      <c r="AD375" s="55"/>
      <c r="AE375" s="55"/>
      <c r="AF375" s="55"/>
      <c r="AG375" s="154"/>
      <c r="AH375" s="55"/>
      <c r="AI375" s="55"/>
      <c r="AJ375" s="55"/>
      <c r="AK375" s="154"/>
      <c r="AL375" s="55"/>
      <c r="AM375" s="55"/>
      <c r="AN375" s="55"/>
    </row>
    <row r="376" spans="1:40" x14ac:dyDescent="0.25">
      <c r="F376" s="449"/>
      <c r="H376" s="449"/>
      <c r="I376" s="449"/>
      <c r="J376" s="477"/>
      <c r="K376" s="477"/>
      <c r="L376" s="379"/>
      <c r="M376" s="379"/>
      <c r="N376" s="50"/>
      <c r="O376" s="50"/>
      <c r="P376" s="379"/>
      <c r="Q376" s="379"/>
      <c r="R376" s="379"/>
    </row>
    <row r="377" spans="1:40" x14ac:dyDescent="0.25">
      <c r="A377" s="54"/>
      <c r="F377" s="449"/>
      <c r="H377" s="449"/>
      <c r="I377" s="449"/>
      <c r="J377" s="461"/>
      <c r="K377" s="461"/>
      <c r="L377" s="379"/>
      <c r="M377" s="379"/>
      <c r="N377" s="50"/>
      <c r="O377" s="50"/>
      <c r="P377" s="379"/>
      <c r="Q377" s="379"/>
      <c r="R377" s="379"/>
    </row>
    <row r="378" spans="1:40" x14ac:dyDescent="0.25">
      <c r="F378" s="449"/>
      <c r="H378" s="449"/>
      <c r="I378" s="449"/>
      <c r="J378" s="461"/>
      <c r="K378" s="461"/>
      <c r="L378" s="379"/>
      <c r="M378" s="379"/>
      <c r="N378" s="50"/>
      <c r="O378" s="50"/>
      <c r="P378" s="379"/>
      <c r="Q378" s="379"/>
      <c r="R378" s="379"/>
    </row>
    <row r="379" spans="1:40" x14ac:dyDescent="0.25">
      <c r="A379" s="54"/>
    </row>
    <row r="381" spans="1:40" x14ac:dyDescent="0.25">
      <c r="J381" s="53"/>
      <c r="K381" s="53"/>
      <c r="Z381" s="53"/>
    </row>
    <row r="382" spans="1:40" x14ac:dyDescent="0.25">
      <c r="H382" s="54"/>
      <c r="I382" s="54"/>
      <c r="Y382" s="54"/>
    </row>
    <row r="383" spans="1:40" x14ac:dyDescent="0.25">
      <c r="J383" s="53"/>
      <c r="K383" s="53"/>
      <c r="Z383" s="53"/>
    </row>
    <row r="384" spans="1:40" x14ac:dyDescent="0.25">
      <c r="L384" s="54"/>
      <c r="M384" s="54"/>
      <c r="AA384" s="54"/>
      <c r="AB384" s="54"/>
    </row>
    <row r="385" spans="1:40" x14ac:dyDescent="0.25">
      <c r="A385" s="53"/>
      <c r="R385" s="54"/>
      <c r="AK385" s="161"/>
      <c r="AL385" s="54"/>
    </row>
    <row r="386" spans="1:40" x14ac:dyDescent="0.25">
      <c r="A386" s="53"/>
      <c r="R386" s="54"/>
      <c r="AK386" s="161"/>
      <c r="AL386" s="54"/>
    </row>
    <row r="387" spans="1:40" x14ac:dyDescent="0.25">
      <c r="A387" s="54"/>
      <c r="R387" s="54"/>
      <c r="AK387" s="161"/>
      <c r="AL387" s="54"/>
    </row>
    <row r="388" spans="1:40" x14ac:dyDescent="0.25">
      <c r="L388" s="54"/>
      <c r="M388" s="54"/>
      <c r="R388" s="53"/>
      <c r="AA388" s="54"/>
      <c r="AB388" s="54"/>
      <c r="AK388" s="156"/>
      <c r="AL388" s="53"/>
    </row>
    <row r="389" spans="1:40" x14ac:dyDescent="0.25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154"/>
      <c r="AH389" s="55"/>
      <c r="AI389" s="55"/>
      <c r="AJ389" s="55"/>
      <c r="AK389" s="154"/>
      <c r="AL389" s="55"/>
      <c r="AM389" s="55"/>
      <c r="AN389" s="55"/>
    </row>
    <row r="390" spans="1:40" x14ac:dyDescent="0.25">
      <c r="L390" s="56"/>
      <c r="M390" s="56"/>
      <c r="N390" s="56"/>
      <c r="O390" s="56"/>
      <c r="R390" s="56"/>
      <c r="AA390" s="56"/>
      <c r="AB390" s="56"/>
      <c r="AC390" s="56"/>
      <c r="AD390" s="56"/>
      <c r="AE390" s="56"/>
      <c r="AF390" s="56"/>
      <c r="AG390" s="155"/>
      <c r="AH390" s="56"/>
      <c r="AK390" s="155"/>
      <c r="AL390" s="56"/>
      <c r="AM390" s="56"/>
      <c r="AN390" s="56"/>
    </row>
    <row r="391" spans="1:40" x14ac:dyDescent="0.25">
      <c r="L391" s="56"/>
      <c r="M391" s="56"/>
      <c r="N391" s="56"/>
      <c r="O391" s="56"/>
      <c r="R391" s="56"/>
      <c r="Z391" s="56"/>
      <c r="AA391" s="56"/>
      <c r="AB391" s="56"/>
      <c r="AC391" s="56"/>
      <c r="AD391" s="56"/>
      <c r="AE391" s="56"/>
      <c r="AF391" s="56"/>
      <c r="AG391" s="155"/>
      <c r="AH391" s="56"/>
      <c r="AK391" s="155"/>
      <c r="AL391" s="56"/>
      <c r="AM391" s="56"/>
      <c r="AN391" s="56"/>
    </row>
    <row r="392" spans="1:40" x14ac:dyDescent="0.25">
      <c r="A392" s="56"/>
      <c r="C392" s="56"/>
      <c r="D392" s="56"/>
      <c r="E392" s="56"/>
      <c r="F392" s="56"/>
      <c r="J392" s="56"/>
      <c r="K392" s="56"/>
      <c r="L392" s="56"/>
      <c r="M392" s="56"/>
      <c r="N392" s="56"/>
      <c r="O392" s="56"/>
      <c r="P392" s="56"/>
      <c r="Q392" s="56"/>
      <c r="R392" s="56"/>
      <c r="T392" s="56"/>
      <c r="U392" s="56"/>
      <c r="V392" s="56"/>
      <c r="Z392" s="56"/>
      <c r="AA392" s="56"/>
      <c r="AB392" s="56"/>
      <c r="AC392" s="56"/>
      <c r="AD392" s="56"/>
      <c r="AE392" s="56"/>
      <c r="AF392" s="56"/>
      <c r="AG392" s="155"/>
      <c r="AH392" s="56"/>
      <c r="AI392" s="56"/>
      <c r="AJ392" s="56"/>
      <c r="AK392" s="155"/>
      <c r="AL392" s="56"/>
      <c r="AM392" s="56"/>
      <c r="AN392" s="56"/>
    </row>
    <row r="393" spans="1:40" x14ac:dyDescent="0.25">
      <c r="A393" s="56"/>
      <c r="C393" s="56"/>
      <c r="D393" s="56"/>
      <c r="E393" s="56"/>
      <c r="F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T393" s="56"/>
      <c r="U393" s="56"/>
      <c r="V393" s="56"/>
      <c r="Y393" s="56"/>
      <c r="Z393" s="56"/>
      <c r="AA393" s="56"/>
      <c r="AB393" s="56"/>
      <c r="AC393" s="56"/>
      <c r="AD393" s="56"/>
      <c r="AE393" s="56"/>
      <c r="AF393" s="56"/>
      <c r="AG393" s="155"/>
      <c r="AH393" s="56"/>
      <c r="AI393" s="56"/>
      <c r="AJ393" s="56"/>
      <c r="AK393" s="155"/>
      <c r="AL393" s="56"/>
      <c r="AM393" s="56"/>
      <c r="AN393" s="56"/>
    </row>
    <row r="394" spans="1:40" x14ac:dyDescent="0.25">
      <c r="C394" s="56"/>
      <c r="D394" s="56"/>
      <c r="E394" s="56"/>
      <c r="F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T394" s="56"/>
      <c r="U394" s="56"/>
      <c r="V394" s="56"/>
      <c r="Y394" s="56"/>
      <c r="Z394" s="56"/>
      <c r="AA394" s="56"/>
      <c r="AB394" s="56"/>
      <c r="AC394" s="56"/>
      <c r="AD394" s="56"/>
      <c r="AE394" s="56"/>
      <c r="AF394" s="56"/>
      <c r="AG394" s="155"/>
      <c r="AH394" s="56"/>
      <c r="AI394" s="56"/>
      <c r="AJ394" s="56"/>
      <c r="AK394" s="155"/>
      <c r="AL394" s="56"/>
      <c r="AM394" s="56"/>
      <c r="AN394" s="56"/>
    </row>
    <row r="395" spans="1:40" x14ac:dyDescent="0.25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154"/>
      <c r="AH395" s="55"/>
      <c r="AI395" s="55"/>
      <c r="AJ395" s="55"/>
      <c r="AK395" s="154"/>
      <c r="AL395" s="55"/>
      <c r="AM395" s="55"/>
      <c r="AN395" s="55"/>
    </row>
    <row r="396" spans="1:40" x14ac:dyDescent="0.25"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Y396" s="56"/>
      <c r="Z396" s="56"/>
      <c r="AA396" s="56"/>
      <c r="AB396" s="56"/>
      <c r="AC396" s="56"/>
      <c r="AD396" s="56"/>
      <c r="AE396" s="56"/>
      <c r="AF396" s="56"/>
      <c r="AG396" s="155"/>
      <c r="AH396" s="56"/>
      <c r="AI396" s="56"/>
      <c r="AJ396" s="56"/>
      <c r="AK396" s="155"/>
      <c r="AL396" s="56"/>
      <c r="AM396" s="56"/>
      <c r="AN396" s="56"/>
    </row>
    <row r="397" spans="1:40" x14ac:dyDescent="0.25">
      <c r="A397" s="53"/>
      <c r="C397" s="54"/>
      <c r="D397" s="54"/>
      <c r="E397" s="54"/>
      <c r="T397" s="54"/>
      <c r="U397" s="54"/>
    </row>
    <row r="399" spans="1:40" x14ac:dyDescent="0.25">
      <c r="A399" s="53"/>
      <c r="C399" s="54"/>
      <c r="T399" s="54"/>
    </row>
    <row r="400" spans="1:40" x14ac:dyDescent="0.25">
      <c r="A400" s="53"/>
      <c r="C400" s="54"/>
      <c r="F400" s="449"/>
      <c r="H400" s="449"/>
      <c r="I400" s="449"/>
      <c r="J400" s="464"/>
      <c r="K400" s="464"/>
      <c r="L400" s="379"/>
      <c r="M400" s="379"/>
      <c r="N400" s="50"/>
      <c r="O400" s="50"/>
      <c r="P400" s="379"/>
      <c r="Q400" s="379"/>
      <c r="R400" s="379"/>
      <c r="T400" s="54"/>
      <c r="V400" s="449"/>
      <c r="Y400" s="449"/>
      <c r="Z400" s="464"/>
      <c r="AA400" s="379"/>
      <c r="AB400" s="379"/>
      <c r="AC400" s="50"/>
      <c r="AD400" s="50"/>
      <c r="AE400" s="379"/>
      <c r="AF400" s="379"/>
      <c r="AG400" s="156"/>
      <c r="AH400" s="60"/>
      <c r="AI400" s="379"/>
      <c r="AJ400" s="379"/>
      <c r="AK400" s="156"/>
      <c r="AL400" s="379"/>
      <c r="AM400" s="50"/>
      <c r="AN400" s="50"/>
    </row>
    <row r="401" spans="1:40" x14ac:dyDescent="0.25">
      <c r="A401" s="53"/>
      <c r="C401" s="54"/>
      <c r="T401" s="54"/>
    </row>
    <row r="402" spans="1:40" x14ac:dyDescent="0.25">
      <c r="A402" s="53"/>
      <c r="C402" s="54"/>
      <c r="F402" s="449"/>
      <c r="H402" s="449"/>
      <c r="I402" s="449"/>
      <c r="J402" s="221"/>
      <c r="K402" s="221"/>
      <c r="L402" s="379"/>
      <c r="M402" s="379"/>
      <c r="N402" s="50"/>
      <c r="O402" s="50"/>
      <c r="P402" s="379"/>
      <c r="Q402" s="379"/>
      <c r="R402" s="379"/>
      <c r="T402" s="54"/>
      <c r="V402" s="379"/>
      <c r="Y402" s="379"/>
      <c r="Z402" s="221"/>
      <c r="AA402" s="379"/>
      <c r="AB402" s="379"/>
      <c r="AC402" s="50"/>
      <c r="AD402" s="50"/>
      <c r="AE402" s="379"/>
      <c r="AF402" s="379"/>
      <c r="AG402" s="156"/>
      <c r="AH402" s="60"/>
      <c r="AI402" s="379"/>
      <c r="AJ402" s="379"/>
      <c r="AK402" s="156"/>
      <c r="AL402" s="379"/>
      <c r="AM402" s="50"/>
      <c r="AN402" s="50"/>
    </row>
    <row r="403" spans="1:40" x14ac:dyDescent="0.25">
      <c r="A403" s="53"/>
      <c r="C403" s="54"/>
      <c r="F403" s="449"/>
      <c r="H403" s="449"/>
      <c r="I403" s="449"/>
      <c r="J403" s="221"/>
      <c r="K403" s="221"/>
      <c r="L403" s="379"/>
      <c r="M403" s="379"/>
      <c r="N403" s="50"/>
      <c r="O403" s="50"/>
      <c r="P403" s="379"/>
      <c r="Q403" s="379"/>
      <c r="R403" s="379"/>
      <c r="T403" s="54"/>
      <c r="V403" s="379"/>
      <c r="Y403" s="379"/>
      <c r="Z403" s="221"/>
      <c r="AA403" s="379"/>
      <c r="AB403" s="379"/>
      <c r="AC403" s="50"/>
      <c r="AD403" s="50"/>
      <c r="AE403" s="379"/>
      <c r="AF403" s="379"/>
      <c r="AG403" s="156"/>
      <c r="AH403" s="60"/>
      <c r="AI403" s="379"/>
      <c r="AJ403" s="379"/>
      <c r="AK403" s="156"/>
      <c r="AL403" s="379"/>
      <c r="AM403" s="50"/>
      <c r="AN403" s="50"/>
    </row>
    <row r="404" spans="1:40" x14ac:dyDescent="0.25">
      <c r="A404" s="53"/>
      <c r="C404" s="54"/>
      <c r="F404" s="449"/>
      <c r="H404" s="449"/>
      <c r="I404" s="449"/>
      <c r="J404" s="221"/>
      <c r="K404" s="221"/>
      <c r="L404" s="379"/>
      <c r="M404" s="379"/>
      <c r="N404" s="50"/>
      <c r="O404" s="50"/>
      <c r="P404" s="379"/>
      <c r="Q404" s="379"/>
      <c r="R404" s="379"/>
      <c r="T404" s="54"/>
      <c r="V404" s="379"/>
      <c r="Y404" s="379"/>
      <c r="Z404" s="221"/>
      <c r="AA404" s="379"/>
      <c r="AB404" s="379"/>
      <c r="AC404" s="50"/>
      <c r="AD404" s="50"/>
      <c r="AE404" s="379"/>
      <c r="AF404" s="379"/>
      <c r="AG404" s="156"/>
      <c r="AH404" s="60"/>
      <c r="AI404" s="379"/>
      <c r="AJ404" s="379"/>
      <c r="AK404" s="156"/>
      <c r="AL404" s="379"/>
      <c r="AM404" s="50"/>
      <c r="AN404" s="50"/>
    </row>
    <row r="405" spans="1:40" x14ac:dyDescent="0.25">
      <c r="A405" s="53"/>
      <c r="C405" s="54"/>
      <c r="F405" s="449"/>
      <c r="H405" s="449"/>
      <c r="I405" s="449"/>
      <c r="J405" s="221"/>
      <c r="K405" s="221"/>
      <c r="L405" s="379"/>
      <c r="M405" s="379"/>
      <c r="N405" s="50"/>
      <c r="O405" s="50"/>
      <c r="P405" s="379"/>
      <c r="Q405" s="379"/>
      <c r="R405" s="379"/>
      <c r="T405" s="54"/>
      <c r="V405" s="379"/>
      <c r="Y405" s="379"/>
      <c r="Z405" s="221"/>
      <c r="AA405" s="379"/>
      <c r="AB405" s="379"/>
      <c r="AC405" s="50"/>
      <c r="AD405" s="50"/>
      <c r="AE405" s="379"/>
      <c r="AF405" s="379"/>
      <c r="AG405" s="156"/>
      <c r="AH405" s="60"/>
      <c r="AI405" s="379"/>
      <c r="AJ405" s="379"/>
      <c r="AK405" s="156"/>
      <c r="AL405" s="379"/>
      <c r="AM405" s="50"/>
      <c r="AN405" s="50"/>
    </row>
    <row r="406" spans="1:40" x14ac:dyDescent="0.25">
      <c r="A406" s="53"/>
      <c r="C406" s="54"/>
      <c r="J406" s="65"/>
      <c r="K406" s="65"/>
      <c r="T406" s="54"/>
      <c r="Z406" s="65"/>
    </row>
    <row r="407" spans="1:40" x14ac:dyDescent="0.25">
      <c r="A407" s="53"/>
      <c r="C407" s="54"/>
      <c r="F407" s="449"/>
      <c r="H407" s="449"/>
      <c r="I407" s="449"/>
      <c r="J407" s="221"/>
      <c r="K407" s="221"/>
      <c r="L407" s="379"/>
      <c r="M407" s="379"/>
      <c r="N407" s="50"/>
      <c r="O407" s="50"/>
      <c r="P407" s="379"/>
      <c r="Q407" s="379"/>
      <c r="R407" s="379"/>
      <c r="T407" s="54"/>
      <c r="V407" s="379"/>
      <c r="Y407" s="379"/>
      <c r="Z407" s="221"/>
      <c r="AA407" s="379"/>
      <c r="AB407" s="379"/>
      <c r="AC407" s="50"/>
      <c r="AD407" s="50"/>
      <c r="AE407" s="379"/>
      <c r="AF407" s="379"/>
      <c r="AG407" s="156"/>
      <c r="AH407" s="60"/>
      <c r="AI407" s="379"/>
      <c r="AJ407" s="379"/>
      <c r="AK407" s="156"/>
      <c r="AL407" s="379"/>
      <c r="AM407" s="50"/>
      <c r="AN407" s="50"/>
    </row>
    <row r="408" spans="1:40" x14ac:dyDescent="0.25">
      <c r="A408" s="53"/>
      <c r="C408" s="54"/>
      <c r="F408" s="449"/>
      <c r="H408" s="449"/>
      <c r="I408" s="449"/>
      <c r="J408" s="221"/>
      <c r="K408" s="221"/>
      <c r="L408" s="379"/>
      <c r="M408" s="379"/>
      <c r="N408" s="50"/>
      <c r="O408" s="50"/>
      <c r="P408" s="379"/>
      <c r="Q408" s="379"/>
      <c r="R408" s="379"/>
      <c r="T408" s="54"/>
      <c r="V408" s="379"/>
      <c r="Y408" s="379"/>
      <c r="Z408" s="221"/>
      <c r="AA408" s="379"/>
      <c r="AB408" s="379"/>
      <c r="AC408" s="50"/>
      <c r="AD408" s="50"/>
      <c r="AE408" s="379"/>
      <c r="AF408" s="379"/>
      <c r="AG408" s="156"/>
      <c r="AH408" s="60"/>
      <c r="AI408" s="379"/>
      <c r="AJ408" s="379"/>
      <c r="AK408" s="156"/>
      <c r="AL408" s="379"/>
      <c r="AM408" s="50"/>
      <c r="AN408" s="50"/>
    </row>
    <row r="409" spans="1:40" x14ac:dyDescent="0.25">
      <c r="A409" s="53"/>
      <c r="C409" s="54"/>
      <c r="F409" s="449"/>
      <c r="H409" s="449"/>
      <c r="I409" s="449"/>
      <c r="J409" s="221"/>
      <c r="K409" s="221"/>
      <c r="L409" s="379"/>
      <c r="M409" s="379"/>
      <c r="N409" s="50"/>
      <c r="O409" s="50"/>
      <c r="P409" s="379"/>
      <c r="Q409" s="379"/>
      <c r="R409" s="379"/>
      <c r="T409" s="54"/>
      <c r="V409" s="379"/>
      <c r="Y409" s="379"/>
      <c r="Z409" s="221"/>
      <c r="AA409" s="379"/>
      <c r="AB409" s="379"/>
      <c r="AC409" s="50"/>
      <c r="AD409" s="50"/>
      <c r="AE409" s="379"/>
      <c r="AF409" s="379"/>
      <c r="AG409" s="156"/>
      <c r="AH409" s="60"/>
      <c r="AI409" s="379"/>
      <c r="AJ409" s="379"/>
      <c r="AK409" s="156"/>
      <c r="AL409" s="379"/>
      <c r="AM409" s="50"/>
      <c r="AN409" s="50"/>
    </row>
    <row r="410" spans="1:40" x14ac:dyDescent="0.25">
      <c r="A410" s="53"/>
      <c r="C410" s="54"/>
      <c r="J410" s="65"/>
      <c r="K410" s="65"/>
      <c r="T410" s="54"/>
      <c r="Z410" s="65"/>
    </row>
    <row r="411" spans="1:40" x14ac:dyDescent="0.25">
      <c r="A411" s="53"/>
      <c r="C411" s="54"/>
      <c r="F411" s="449"/>
      <c r="H411" s="449"/>
      <c r="I411" s="449"/>
      <c r="J411" s="221"/>
      <c r="K411" s="221"/>
      <c r="L411" s="379"/>
      <c r="M411" s="379"/>
      <c r="N411" s="50"/>
      <c r="O411" s="50"/>
      <c r="P411" s="379"/>
      <c r="Q411" s="379"/>
      <c r="R411" s="379"/>
      <c r="T411" s="54"/>
      <c r="V411" s="379"/>
      <c r="Y411" s="379"/>
      <c r="Z411" s="221"/>
      <c r="AA411" s="379"/>
      <c r="AB411" s="379"/>
      <c r="AC411" s="50"/>
      <c r="AD411" s="50"/>
      <c r="AE411" s="379"/>
      <c r="AF411" s="379"/>
      <c r="AG411" s="156"/>
      <c r="AH411" s="60"/>
      <c r="AI411" s="379"/>
      <c r="AJ411" s="379"/>
      <c r="AK411" s="156"/>
      <c r="AL411" s="379"/>
      <c r="AM411" s="50"/>
      <c r="AN411" s="50"/>
    </row>
    <row r="412" spans="1:40" x14ac:dyDescent="0.25">
      <c r="A412" s="53"/>
      <c r="C412" s="54"/>
      <c r="F412" s="449"/>
      <c r="H412" s="449"/>
      <c r="I412" s="449"/>
      <c r="J412" s="221"/>
      <c r="K412" s="221"/>
      <c r="L412" s="379"/>
      <c r="M412" s="379"/>
      <c r="N412" s="50"/>
      <c r="O412" s="50"/>
      <c r="P412" s="379"/>
      <c r="Q412" s="379"/>
      <c r="R412" s="379"/>
      <c r="T412" s="54"/>
      <c r="V412" s="379"/>
      <c r="Y412" s="379"/>
      <c r="Z412" s="221"/>
      <c r="AA412" s="379"/>
      <c r="AB412" s="379"/>
      <c r="AC412" s="50"/>
      <c r="AD412" s="50"/>
      <c r="AE412" s="379"/>
      <c r="AF412" s="379"/>
      <c r="AG412" s="156"/>
      <c r="AH412" s="60"/>
      <c r="AI412" s="379"/>
      <c r="AJ412" s="379"/>
      <c r="AK412" s="156"/>
      <c r="AL412" s="379"/>
      <c r="AM412" s="50"/>
      <c r="AN412" s="50"/>
    </row>
    <row r="413" spans="1:40" x14ac:dyDescent="0.25">
      <c r="A413" s="53"/>
      <c r="C413" s="54"/>
      <c r="J413" s="65"/>
      <c r="K413" s="65"/>
      <c r="T413" s="54"/>
      <c r="Z413" s="65"/>
    </row>
    <row r="414" spans="1:40" x14ac:dyDescent="0.25">
      <c r="A414" s="53"/>
      <c r="C414" s="54"/>
      <c r="F414" s="449"/>
      <c r="H414" s="449"/>
      <c r="I414" s="449"/>
      <c r="J414" s="221"/>
      <c r="K414" s="221"/>
      <c r="L414" s="379"/>
      <c r="M414" s="379"/>
      <c r="N414" s="50"/>
      <c r="O414" s="50"/>
      <c r="P414" s="379"/>
      <c r="Q414" s="379"/>
      <c r="R414" s="379"/>
      <c r="T414" s="54"/>
      <c r="V414" s="379"/>
      <c r="Y414" s="379"/>
      <c r="Z414" s="221"/>
      <c r="AA414" s="379"/>
      <c r="AB414" s="379"/>
      <c r="AC414" s="50"/>
      <c r="AD414" s="50"/>
      <c r="AE414" s="379"/>
      <c r="AF414" s="379"/>
      <c r="AG414" s="156"/>
      <c r="AH414" s="60"/>
      <c r="AI414" s="379"/>
      <c r="AJ414" s="379"/>
      <c r="AK414" s="156"/>
      <c r="AL414" s="379"/>
      <c r="AM414" s="50"/>
      <c r="AN414" s="50"/>
    </row>
    <row r="415" spans="1:40" x14ac:dyDescent="0.25">
      <c r="A415" s="53"/>
      <c r="C415" s="54"/>
      <c r="F415" s="449"/>
      <c r="H415" s="449"/>
      <c r="I415" s="449"/>
      <c r="J415" s="221"/>
      <c r="K415" s="221"/>
      <c r="L415" s="379"/>
      <c r="M415" s="379"/>
      <c r="N415" s="50"/>
      <c r="O415" s="50"/>
      <c r="P415" s="379"/>
      <c r="Q415" s="379"/>
      <c r="R415" s="379"/>
      <c r="T415" s="54"/>
      <c r="V415" s="379"/>
      <c r="Y415" s="379"/>
      <c r="Z415" s="221"/>
      <c r="AA415" s="379"/>
      <c r="AB415" s="379"/>
      <c r="AC415" s="50"/>
      <c r="AD415" s="50"/>
      <c r="AE415" s="379"/>
      <c r="AF415" s="379"/>
      <c r="AG415" s="156"/>
      <c r="AH415" s="60"/>
      <c r="AI415" s="379"/>
      <c r="AJ415" s="379"/>
      <c r="AK415" s="156"/>
      <c r="AL415" s="379"/>
      <c r="AM415" s="50"/>
      <c r="AN415" s="50"/>
    </row>
    <row r="416" spans="1:40" x14ac:dyDescent="0.25">
      <c r="A416" s="53"/>
      <c r="C416" s="54"/>
      <c r="F416" s="449"/>
      <c r="H416" s="449"/>
      <c r="I416" s="449"/>
      <c r="J416" s="221"/>
      <c r="K416" s="221"/>
      <c r="L416" s="379"/>
      <c r="M416" s="379"/>
      <c r="N416" s="50"/>
      <c r="O416" s="50"/>
      <c r="P416" s="379"/>
      <c r="Q416" s="379"/>
      <c r="R416" s="379"/>
      <c r="T416" s="54"/>
      <c r="V416" s="379"/>
      <c r="Y416" s="379"/>
      <c r="Z416" s="221"/>
      <c r="AA416" s="379"/>
      <c r="AB416" s="379"/>
      <c r="AC416" s="50"/>
      <c r="AD416" s="50"/>
      <c r="AE416" s="379"/>
      <c r="AF416" s="379"/>
      <c r="AG416" s="156"/>
      <c r="AH416" s="60"/>
      <c r="AI416" s="379"/>
      <c r="AJ416" s="379"/>
      <c r="AK416" s="156"/>
      <c r="AL416" s="379"/>
      <c r="AM416" s="50"/>
      <c r="AN416" s="50"/>
    </row>
    <row r="417" spans="1:40" x14ac:dyDescent="0.25">
      <c r="F417" s="381"/>
      <c r="H417" s="381"/>
      <c r="I417" s="381"/>
      <c r="J417" s="221"/>
      <c r="K417" s="221"/>
      <c r="L417" s="381"/>
      <c r="M417" s="381"/>
      <c r="N417" s="381"/>
      <c r="O417" s="381"/>
      <c r="P417" s="381"/>
      <c r="Q417" s="381"/>
      <c r="R417" s="381"/>
      <c r="V417" s="381"/>
      <c r="Y417" s="381"/>
      <c r="Z417" s="221"/>
      <c r="AA417" s="381"/>
      <c r="AB417" s="381"/>
      <c r="AC417" s="381"/>
      <c r="AD417" s="381"/>
      <c r="AE417" s="381"/>
      <c r="AF417" s="381"/>
      <c r="AI417" s="381"/>
      <c r="AJ417" s="381"/>
      <c r="AK417" s="162"/>
      <c r="AL417" s="381"/>
    </row>
    <row r="418" spans="1:40" x14ac:dyDescent="0.25">
      <c r="A418" s="53"/>
      <c r="C418" s="56"/>
      <c r="F418" s="379"/>
      <c r="H418" s="379"/>
      <c r="I418" s="379"/>
      <c r="J418" s="65"/>
      <c r="K418" s="65"/>
      <c r="L418" s="379"/>
      <c r="M418" s="379"/>
      <c r="N418" s="60"/>
      <c r="O418" s="60"/>
      <c r="P418" s="379"/>
      <c r="Q418" s="379"/>
      <c r="R418" s="379"/>
      <c r="T418" s="56"/>
      <c r="V418" s="379"/>
      <c r="Y418" s="379"/>
      <c r="Z418" s="65"/>
      <c r="AA418" s="379"/>
      <c r="AB418" s="379"/>
      <c r="AC418" s="379"/>
      <c r="AD418" s="379"/>
      <c r="AE418" s="379"/>
      <c r="AF418" s="379"/>
      <c r="AG418" s="156"/>
      <c r="AH418" s="60"/>
      <c r="AI418" s="379"/>
      <c r="AJ418" s="379"/>
      <c r="AK418" s="156"/>
      <c r="AL418" s="379"/>
      <c r="AM418" s="50"/>
      <c r="AN418" s="50"/>
    </row>
    <row r="419" spans="1:40" x14ac:dyDescent="0.25">
      <c r="F419" s="381"/>
      <c r="H419" s="381"/>
      <c r="I419" s="381"/>
      <c r="J419" s="221"/>
      <c r="K419" s="221"/>
      <c r="L419" s="381"/>
      <c r="M419" s="381"/>
      <c r="N419" s="381"/>
      <c r="O419" s="381"/>
      <c r="P419" s="381"/>
      <c r="Q419" s="381"/>
      <c r="R419" s="381"/>
      <c r="V419" s="381"/>
      <c r="Y419" s="381"/>
      <c r="Z419" s="221"/>
      <c r="AA419" s="381"/>
      <c r="AB419" s="381"/>
      <c r="AC419" s="381"/>
      <c r="AD419" s="381"/>
      <c r="AE419" s="381"/>
      <c r="AF419" s="381"/>
      <c r="AI419" s="381"/>
      <c r="AJ419" s="381"/>
      <c r="AK419" s="162"/>
      <c r="AL419" s="381"/>
    </row>
    <row r="420" spans="1:40" x14ac:dyDescent="0.25">
      <c r="A420" s="53"/>
      <c r="C420" s="54"/>
      <c r="J420" s="65"/>
      <c r="K420" s="65"/>
      <c r="T420" s="54"/>
      <c r="Z420" s="65"/>
    </row>
    <row r="421" spans="1:40" x14ac:dyDescent="0.25">
      <c r="A421" s="53"/>
      <c r="C421" s="54"/>
      <c r="J421" s="65"/>
      <c r="K421" s="65"/>
      <c r="T421" s="54"/>
      <c r="Z421" s="65"/>
    </row>
    <row r="422" spans="1:40" x14ac:dyDescent="0.25">
      <c r="A422" s="53"/>
      <c r="C422" s="54"/>
      <c r="F422" s="449"/>
      <c r="H422" s="449"/>
      <c r="I422" s="449"/>
      <c r="J422" s="221"/>
      <c r="K422" s="221"/>
      <c r="L422" s="379"/>
      <c r="M422" s="379"/>
      <c r="N422" s="50"/>
      <c r="O422" s="50"/>
      <c r="P422" s="379"/>
      <c r="Q422" s="379"/>
      <c r="R422" s="379"/>
      <c r="T422" s="54"/>
      <c r="V422" s="379"/>
      <c r="Y422" s="379"/>
      <c r="Z422" s="221"/>
      <c r="AA422" s="379"/>
      <c r="AB422" s="379"/>
      <c r="AC422" s="50"/>
      <c r="AD422" s="50"/>
      <c r="AE422" s="379"/>
      <c r="AF422" s="379"/>
      <c r="AG422" s="156"/>
      <c r="AH422" s="60"/>
      <c r="AI422" s="379"/>
      <c r="AJ422" s="379"/>
      <c r="AK422" s="156"/>
      <c r="AL422" s="379"/>
      <c r="AM422" s="50"/>
      <c r="AN422" s="50"/>
    </row>
    <row r="423" spans="1:40" x14ac:dyDescent="0.25">
      <c r="A423" s="53"/>
      <c r="C423" s="54"/>
      <c r="F423" s="449"/>
      <c r="H423" s="449"/>
      <c r="I423" s="449"/>
      <c r="J423" s="221"/>
      <c r="K423" s="221"/>
      <c r="L423" s="379"/>
      <c r="M423" s="379"/>
      <c r="N423" s="50"/>
      <c r="O423" s="50"/>
      <c r="P423" s="379"/>
      <c r="Q423" s="379"/>
      <c r="R423" s="379"/>
      <c r="T423" s="54"/>
      <c r="V423" s="379"/>
      <c r="Y423" s="379"/>
      <c r="Z423" s="221"/>
      <c r="AA423" s="379"/>
      <c r="AB423" s="379"/>
      <c r="AC423" s="50"/>
      <c r="AD423" s="50"/>
      <c r="AE423" s="379"/>
      <c r="AF423" s="379"/>
      <c r="AG423" s="156"/>
      <c r="AH423" s="60"/>
      <c r="AI423" s="379"/>
      <c r="AJ423" s="379"/>
      <c r="AK423" s="156"/>
      <c r="AL423" s="379"/>
      <c r="AM423" s="50"/>
      <c r="AN423" s="50"/>
    </row>
    <row r="424" spans="1:40" x14ac:dyDescent="0.25">
      <c r="A424" s="53"/>
      <c r="C424" s="54"/>
      <c r="F424" s="449"/>
      <c r="H424" s="449"/>
      <c r="I424" s="449"/>
      <c r="J424" s="221"/>
      <c r="K424" s="221"/>
      <c r="L424" s="379"/>
      <c r="M424" s="379"/>
      <c r="N424" s="50"/>
      <c r="O424" s="50"/>
      <c r="P424" s="379"/>
      <c r="Q424" s="379"/>
      <c r="R424" s="379"/>
      <c r="T424" s="54"/>
      <c r="V424" s="379"/>
      <c r="Y424" s="379"/>
      <c r="Z424" s="221"/>
      <c r="AA424" s="379"/>
      <c r="AB424" s="379"/>
      <c r="AC424" s="50"/>
      <c r="AD424" s="50"/>
      <c r="AE424" s="379"/>
      <c r="AF424" s="379"/>
      <c r="AG424" s="156"/>
      <c r="AH424" s="60"/>
      <c r="AI424" s="379"/>
      <c r="AJ424" s="379"/>
      <c r="AK424" s="156"/>
      <c r="AL424" s="379"/>
      <c r="AM424" s="50"/>
      <c r="AN424" s="50"/>
    </row>
    <row r="425" spans="1:40" x14ac:dyDescent="0.25">
      <c r="A425" s="53"/>
      <c r="C425" s="54"/>
      <c r="F425" s="449"/>
      <c r="H425" s="449"/>
      <c r="I425" s="449"/>
      <c r="J425" s="221"/>
      <c r="K425" s="221"/>
      <c r="L425" s="379"/>
      <c r="M425" s="379"/>
      <c r="N425" s="50"/>
      <c r="O425" s="50"/>
      <c r="P425" s="379"/>
      <c r="Q425" s="379"/>
      <c r="R425" s="379"/>
      <c r="T425" s="54"/>
      <c r="V425" s="379"/>
      <c r="Y425" s="379"/>
      <c r="Z425" s="221"/>
      <c r="AA425" s="379"/>
      <c r="AB425" s="379"/>
      <c r="AC425" s="50"/>
      <c r="AD425" s="50"/>
      <c r="AE425" s="379"/>
      <c r="AF425" s="379"/>
      <c r="AG425" s="156"/>
      <c r="AH425" s="60"/>
      <c r="AI425" s="379"/>
      <c r="AJ425" s="379"/>
      <c r="AK425" s="156"/>
      <c r="AL425" s="379"/>
      <c r="AM425" s="50"/>
      <c r="AN425" s="50"/>
    </row>
    <row r="426" spans="1:40" x14ac:dyDescent="0.25">
      <c r="A426" s="53"/>
      <c r="C426" s="54"/>
      <c r="F426" s="449"/>
      <c r="H426" s="449"/>
      <c r="I426" s="449"/>
      <c r="J426" s="221"/>
      <c r="K426" s="221"/>
      <c r="L426" s="379"/>
      <c r="M426" s="379"/>
      <c r="N426" s="50"/>
      <c r="O426" s="50"/>
      <c r="P426" s="379"/>
      <c r="Q426" s="379"/>
      <c r="R426" s="379"/>
      <c r="T426" s="54"/>
      <c r="V426" s="379"/>
      <c r="Y426" s="379"/>
      <c r="Z426" s="221"/>
      <c r="AA426" s="379"/>
      <c r="AB426" s="379"/>
      <c r="AC426" s="50"/>
      <c r="AD426" s="50"/>
      <c r="AE426" s="379"/>
      <c r="AF426" s="379"/>
      <c r="AG426" s="156"/>
      <c r="AH426" s="60"/>
      <c r="AI426" s="379"/>
      <c r="AJ426" s="379"/>
      <c r="AK426" s="156"/>
      <c r="AL426" s="379"/>
      <c r="AM426" s="50"/>
      <c r="AN426" s="50"/>
    </row>
    <row r="427" spans="1:40" x14ac:dyDescent="0.25">
      <c r="A427" s="53"/>
      <c r="C427" s="54"/>
      <c r="F427" s="449"/>
      <c r="H427" s="449"/>
      <c r="I427" s="449"/>
      <c r="J427" s="221"/>
      <c r="K427" s="221"/>
      <c r="L427" s="379"/>
      <c r="M427" s="379"/>
      <c r="N427" s="50"/>
      <c r="O427" s="50"/>
      <c r="P427" s="379"/>
      <c r="Q427" s="379"/>
      <c r="R427" s="379"/>
      <c r="T427" s="54"/>
      <c r="V427" s="379"/>
      <c r="Y427" s="379"/>
      <c r="Z427" s="221"/>
      <c r="AA427" s="379"/>
      <c r="AB427" s="379"/>
      <c r="AC427" s="50"/>
      <c r="AD427" s="50"/>
      <c r="AE427" s="379"/>
      <c r="AF427" s="379"/>
      <c r="AG427" s="156"/>
      <c r="AH427" s="60"/>
      <c r="AI427" s="379"/>
      <c r="AJ427" s="379"/>
      <c r="AK427" s="156"/>
      <c r="AL427" s="379"/>
      <c r="AM427" s="50"/>
      <c r="AN427" s="50"/>
    </row>
    <row r="428" spans="1:40" x14ac:dyDescent="0.25">
      <c r="A428" s="53"/>
      <c r="C428" s="54"/>
      <c r="F428" s="449"/>
      <c r="H428" s="449"/>
      <c r="I428" s="449"/>
      <c r="J428" s="221"/>
      <c r="K428" s="221"/>
      <c r="L428" s="379"/>
      <c r="M428" s="379"/>
      <c r="N428" s="50"/>
      <c r="O428" s="50"/>
      <c r="P428" s="379"/>
      <c r="Q428" s="379"/>
      <c r="R428" s="379"/>
      <c r="T428" s="54"/>
      <c r="V428" s="379"/>
      <c r="Y428" s="379"/>
      <c r="Z428" s="221"/>
      <c r="AA428" s="379"/>
      <c r="AB428" s="379"/>
      <c r="AC428" s="50"/>
      <c r="AD428" s="50"/>
      <c r="AE428" s="379"/>
      <c r="AF428" s="379"/>
      <c r="AG428" s="156"/>
      <c r="AH428" s="60"/>
      <c r="AI428" s="379"/>
      <c r="AJ428" s="379"/>
      <c r="AK428" s="156"/>
      <c r="AL428" s="379"/>
      <c r="AM428" s="50"/>
      <c r="AN428" s="50"/>
    </row>
    <row r="429" spans="1:40" x14ac:dyDescent="0.25">
      <c r="A429" s="53"/>
      <c r="C429" s="54"/>
      <c r="J429" s="65"/>
      <c r="K429" s="65"/>
      <c r="T429" s="54"/>
      <c r="Z429" s="65"/>
    </row>
    <row r="430" spans="1:40" x14ac:dyDescent="0.25">
      <c r="A430" s="53"/>
      <c r="C430" s="54"/>
      <c r="F430" s="449"/>
      <c r="H430" s="449"/>
      <c r="I430" s="449"/>
      <c r="J430" s="221"/>
      <c r="K430" s="221"/>
      <c r="L430" s="379"/>
      <c r="M430" s="379"/>
      <c r="N430" s="50"/>
      <c r="O430" s="50"/>
      <c r="P430" s="379"/>
      <c r="Q430" s="379"/>
      <c r="R430" s="379"/>
      <c r="T430" s="54"/>
      <c r="V430" s="379"/>
      <c r="Y430" s="379"/>
      <c r="Z430" s="221"/>
      <c r="AA430" s="379"/>
      <c r="AB430" s="379"/>
      <c r="AC430" s="50"/>
      <c r="AD430" s="50"/>
      <c r="AE430" s="379"/>
      <c r="AF430" s="379"/>
      <c r="AG430" s="156"/>
      <c r="AH430" s="60"/>
      <c r="AI430" s="379"/>
      <c r="AJ430" s="379"/>
      <c r="AK430" s="156"/>
      <c r="AL430" s="379"/>
      <c r="AM430" s="50"/>
      <c r="AN430" s="50"/>
    </row>
    <row r="431" spans="1:40" x14ac:dyDescent="0.25">
      <c r="A431" s="53"/>
      <c r="C431" s="54"/>
      <c r="F431" s="449"/>
      <c r="H431" s="449"/>
      <c r="I431" s="449"/>
      <c r="J431" s="221"/>
      <c r="K431" s="221"/>
      <c r="L431" s="379"/>
      <c r="M431" s="379"/>
      <c r="N431" s="50"/>
      <c r="O431" s="50"/>
      <c r="P431" s="379"/>
      <c r="Q431" s="379"/>
      <c r="R431" s="379"/>
      <c r="T431" s="54"/>
      <c r="V431" s="379"/>
      <c r="Y431" s="379"/>
      <c r="Z431" s="221"/>
      <c r="AA431" s="379"/>
      <c r="AB431" s="379"/>
      <c r="AC431" s="50"/>
      <c r="AD431" s="50"/>
      <c r="AE431" s="379"/>
      <c r="AF431" s="379"/>
      <c r="AG431" s="156"/>
      <c r="AH431" s="60"/>
      <c r="AI431" s="379"/>
      <c r="AJ431" s="379"/>
      <c r="AK431" s="156"/>
      <c r="AL431" s="379"/>
      <c r="AM431" s="50"/>
      <c r="AN431" s="50"/>
    </row>
    <row r="432" spans="1:40" x14ac:dyDescent="0.25">
      <c r="A432" s="53"/>
      <c r="C432" s="54"/>
      <c r="F432" s="449"/>
      <c r="H432" s="449"/>
      <c r="I432" s="449"/>
      <c r="J432" s="221"/>
      <c r="K432" s="221"/>
      <c r="L432" s="379"/>
      <c r="M432" s="379"/>
      <c r="N432" s="50"/>
      <c r="O432" s="50"/>
      <c r="P432" s="379"/>
      <c r="Q432" s="379"/>
      <c r="R432" s="379"/>
      <c r="T432" s="54"/>
      <c r="V432" s="379"/>
      <c r="Y432" s="379"/>
      <c r="Z432" s="221"/>
      <c r="AA432" s="379"/>
      <c r="AB432" s="379"/>
      <c r="AC432" s="50"/>
      <c r="AD432" s="50"/>
      <c r="AE432" s="379"/>
      <c r="AF432" s="379"/>
      <c r="AG432" s="156"/>
      <c r="AH432" s="60"/>
      <c r="AI432" s="379"/>
      <c r="AJ432" s="379"/>
      <c r="AK432" s="156"/>
      <c r="AL432" s="379"/>
      <c r="AM432" s="50"/>
      <c r="AN432" s="50"/>
    </row>
    <row r="433" spans="1:40" x14ac:dyDescent="0.25">
      <c r="A433" s="53"/>
      <c r="C433" s="54"/>
      <c r="F433" s="449"/>
      <c r="H433" s="449"/>
      <c r="I433" s="449"/>
      <c r="J433" s="221"/>
      <c r="K433" s="221"/>
      <c r="L433" s="379"/>
      <c r="M433" s="379"/>
      <c r="N433" s="50"/>
      <c r="O433" s="50"/>
      <c r="P433" s="379"/>
      <c r="Q433" s="379"/>
      <c r="R433" s="379"/>
      <c r="T433" s="54"/>
      <c r="V433" s="379"/>
      <c r="Y433" s="379"/>
      <c r="Z433" s="221"/>
      <c r="AA433" s="379"/>
      <c r="AB433" s="379"/>
      <c r="AC433" s="50"/>
      <c r="AD433" s="50"/>
      <c r="AE433" s="379"/>
      <c r="AF433" s="379"/>
      <c r="AG433" s="156"/>
      <c r="AH433" s="60"/>
      <c r="AI433" s="379"/>
      <c r="AJ433" s="379"/>
      <c r="AK433" s="156"/>
      <c r="AL433" s="379"/>
      <c r="AM433" s="50"/>
      <c r="AN433" s="50"/>
    </row>
    <row r="434" spans="1:40" x14ac:dyDescent="0.25">
      <c r="A434" s="53"/>
      <c r="C434" s="54"/>
      <c r="J434" s="65"/>
      <c r="K434" s="65"/>
      <c r="T434" s="54"/>
      <c r="Z434" s="65"/>
    </row>
    <row r="435" spans="1:40" x14ac:dyDescent="0.25">
      <c r="A435" s="53"/>
      <c r="C435" s="54"/>
      <c r="F435" s="449"/>
      <c r="H435" s="449"/>
      <c r="I435" s="449"/>
      <c r="J435" s="221"/>
      <c r="K435" s="221"/>
      <c r="L435" s="379"/>
      <c r="M435" s="379"/>
      <c r="N435" s="50"/>
      <c r="O435" s="50"/>
      <c r="P435" s="379"/>
      <c r="Q435" s="379"/>
      <c r="R435" s="379"/>
      <c r="T435" s="54"/>
      <c r="V435" s="379"/>
      <c r="Y435" s="379"/>
      <c r="Z435" s="221"/>
      <c r="AA435" s="379"/>
      <c r="AB435" s="379"/>
      <c r="AC435" s="50"/>
      <c r="AD435" s="50"/>
      <c r="AE435" s="379"/>
      <c r="AF435" s="379"/>
      <c r="AG435" s="156"/>
      <c r="AH435" s="60"/>
      <c r="AI435" s="379"/>
      <c r="AJ435" s="379"/>
      <c r="AK435" s="156"/>
      <c r="AL435" s="379"/>
      <c r="AM435" s="50"/>
      <c r="AN435" s="50"/>
    </row>
    <row r="436" spans="1:40" x14ac:dyDescent="0.25">
      <c r="A436" s="53"/>
      <c r="C436" s="54"/>
      <c r="F436" s="449"/>
      <c r="H436" s="449"/>
      <c r="I436" s="449"/>
      <c r="J436" s="221"/>
      <c r="K436" s="221"/>
      <c r="L436" s="379"/>
      <c r="M436" s="379"/>
      <c r="N436" s="50"/>
      <c r="O436" s="50"/>
      <c r="P436" s="379"/>
      <c r="Q436" s="379"/>
      <c r="R436" s="379"/>
      <c r="T436" s="54"/>
      <c r="V436" s="379"/>
      <c r="Y436" s="379"/>
      <c r="Z436" s="221"/>
      <c r="AA436" s="379"/>
      <c r="AB436" s="379"/>
      <c r="AC436" s="50"/>
      <c r="AD436" s="50"/>
      <c r="AE436" s="379"/>
      <c r="AF436" s="379"/>
      <c r="AG436" s="156"/>
      <c r="AH436" s="60"/>
      <c r="AI436" s="379"/>
      <c r="AJ436" s="379"/>
      <c r="AK436" s="156"/>
      <c r="AL436" s="379"/>
      <c r="AM436" s="50"/>
      <c r="AN436" s="50"/>
    </row>
    <row r="437" spans="1:40" x14ac:dyDescent="0.25">
      <c r="A437" s="53"/>
      <c r="C437" s="54"/>
      <c r="F437" s="449"/>
      <c r="H437" s="449"/>
      <c r="I437" s="449"/>
      <c r="J437" s="221"/>
      <c r="K437" s="221"/>
      <c r="L437" s="379"/>
      <c r="M437" s="379"/>
      <c r="N437" s="50"/>
      <c r="O437" s="50"/>
      <c r="P437" s="379"/>
      <c r="Q437" s="379"/>
      <c r="R437" s="379"/>
      <c r="T437" s="54"/>
      <c r="V437" s="379"/>
      <c r="Y437" s="379"/>
      <c r="Z437" s="221"/>
      <c r="AA437" s="379"/>
      <c r="AB437" s="379"/>
      <c r="AC437" s="50"/>
      <c r="AD437" s="50"/>
      <c r="AE437" s="379"/>
      <c r="AF437" s="379"/>
      <c r="AG437" s="156"/>
      <c r="AH437" s="60"/>
      <c r="AI437" s="379"/>
      <c r="AJ437" s="379"/>
      <c r="AK437" s="156"/>
      <c r="AL437" s="379"/>
      <c r="AM437" s="50"/>
      <c r="AN437" s="50"/>
    </row>
    <row r="438" spans="1:40" x14ac:dyDescent="0.25">
      <c r="A438" s="53"/>
      <c r="C438" s="54"/>
      <c r="F438" s="449"/>
      <c r="H438" s="449"/>
      <c r="I438" s="449"/>
      <c r="J438" s="221"/>
      <c r="K438" s="221"/>
      <c r="L438" s="379"/>
      <c r="M438" s="379"/>
      <c r="N438" s="50"/>
      <c r="O438" s="50"/>
      <c r="P438" s="379"/>
      <c r="Q438" s="379"/>
      <c r="R438" s="379"/>
      <c r="T438" s="54"/>
      <c r="V438" s="379"/>
      <c r="Y438" s="379"/>
      <c r="Z438" s="221"/>
      <c r="AA438" s="379"/>
      <c r="AB438" s="379"/>
      <c r="AC438" s="50"/>
      <c r="AD438" s="50"/>
      <c r="AE438" s="379"/>
      <c r="AF438" s="379"/>
      <c r="AG438" s="156"/>
      <c r="AH438" s="60"/>
      <c r="AI438" s="379"/>
      <c r="AJ438" s="379"/>
      <c r="AK438" s="156"/>
      <c r="AL438" s="379"/>
      <c r="AM438" s="50"/>
      <c r="AN438" s="50"/>
    </row>
    <row r="439" spans="1:40" x14ac:dyDescent="0.25">
      <c r="A439" s="53"/>
      <c r="C439" s="54"/>
      <c r="F439" s="449"/>
      <c r="H439" s="449"/>
      <c r="I439" s="449"/>
      <c r="J439" s="221"/>
      <c r="K439" s="221"/>
      <c r="L439" s="379"/>
      <c r="M439" s="379"/>
      <c r="N439" s="50"/>
      <c r="O439" s="50"/>
      <c r="P439" s="379"/>
      <c r="Q439" s="379"/>
      <c r="R439" s="379"/>
      <c r="T439" s="54"/>
      <c r="V439" s="379"/>
      <c r="Y439" s="379"/>
      <c r="Z439" s="221"/>
      <c r="AA439" s="379"/>
      <c r="AB439" s="379"/>
      <c r="AC439" s="50"/>
      <c r="AD439" s="50"/>
      <c r="AE439" s="379"/>
      <c r="AF439" s="379"/>
      <c r="AG439" s="156"/>
      <c r="AH439" s="60"/>
      <c r="AI439" s="379"/>
      <c r="AJ439" s="379"/>
      <c r="AK439" s="156"/>
      <c r="AL439" s="379"/>
      <c r="AM439" s="50"/>
      <c r="AN439" s="50"/>
    </row>
    <row r="440" spans="1:40" x14ac:dyDescent="0.25">
      <c r="F440" s="381"/>
      <c r="H440" s="381"/>
      <c r="I440" s="381"/>
      <c r="J440" s="464"/>
      <c r="K440" s="464"/>
      <c r="L440" s="381"/>
      <c r="M440" s="381"/>
      <c r="N440" s="381"/>
      <c r="O440" s="381"/>
      <c r="P440" s="381"/>
      <c r="Q440" s="381"/>
      <c r="R440" s="381"/>
      <c r="V440" s="381"/>
      <c r="Y440" s="381"/>
      <c r="Z440" s="221"/>
      <c r="AA440" s="381"/>
      <c r="AB440" s="381"/>
      <c r="AC440" s="381"/>
      <c r="AD440" s="381"/>
      <c r="AE440" s="381"/>
      <c r="AF440" s="381"/>
      <c r="AI440" s="381"/>
      <c r="AJ440" s="381"/>
      <c r="AK440" s="162"/>
      <c r="AL440" s="381"/>
    </row>
    <row r="441" spans="1:40" x14ac:dyDescent="0.25">
      <c r="A441" s="53"/>
      <c r="C441" s="54"/>
      <c r="F441" s="379"/>
      <c r="H441" s="379"/>
      <c r="I441" s="379"/>
      <c r="L441" s="379"/>
      <c r="M441" s="379"/>
      <c r="N441" s="60"/>
      <c r="O441" s="60"/>
      <c r="P441" s="379"/>
      <c r="Q441" s="379"/>
      <c r="R441" s="379"/>
      <c r="T441" s="54"/>
      <c r="V441" s="379"/>
      <c r="Y441" s="379"/>
      <c r="AA441" s="379"/>
      <c r="AB441" s="379"/>
      <c r="AC441" s="50"/>
      <c r="AD441" s="50"/>
      <c r="AE441" s="379"/>
      <c r="AF441" s="379"/>
      <c r="AG441" s="156"/>
      <c r="AH441" s="60"/>
      <c r="AI441" s="379"/>
      <c r="AJ441" s="379"/>
      <c r="AK441" s="156"/>
      <c r="AL441" s="379"/>
      <c r="AM441" s="50"/>
      <c r="AN441" s="50"/>
    </row>
    <row r="442" spans="1:40" x14ac:dyDescent="0.25">
      <c r="F442" s="381"/>
      <c r="H442" s="381"/>
      <c r="I442" s="381"/>
      <c r="J442" s="464"/>
      <c r="K442" s="464"/>
      <c r="L442" s="381"/>
      <c r="M442" s="381"/>
      <c r="N442" s="381"/>
      <c r="O442" s="381"/>
      <c r="P442" s="381"/>
      <c r="Q442" s="381"/>
      <c r="R442" s="381"/>
      <c r="V442" s="381"/>
      <c r="Y442" s="381"/>
      <c r="Z442" s="464"/>
      <c r="AA442" s="381"/>
      <c r="AB442" s="381"/>
      <c r="AC442" s="381"/>
      <c r="AD442" s="381"/>
      <c r="AE442" s="381"/>
      <c r="AF442" s="381"/>
      <c r="AI442" s="381"/>
      <c r="AJ442" s="381"/>
      <c r="AK442" s="162"/>
      <c r="AL442" s="381"/>
    </row>
    <row r="443" spans="1:40" x14ac:dyDescent="0.25">
      <c r="A443" s="53"/>
      <c r="C443" s="54"/>
      <c r="T443" s="54"/>
    </row>
    <row r="444" spans="1:40" x14ac:dyDescent="0.25">
      <c r="A444" s="53"/>
      <c r="C444" s="54"/>
      <c r="F444" s="449"/>
      <c r="H444" s="449"/>
      <c r="I444" s="449"/>
      <c r="J444" s="461"/>
      <c r="K444" s="461"/>
      <c r="L444" s="379"/>
      <c r="M444" s="379"/>
      <c r="N444" s="50"/>
      <c r="O444" s="50"/>
      <c r="P444" s="379"/>
      <c r="Q444" s="379"/>
      <c r="R444" s="379"/>
      <c r="T444" s="54"/>
      <c r="V444" s="379"/>
      <c r="Y444" s="379"/>
      <c r="Z444" s="461"/>
      <c r="AA444" s="379"/>
      <c r="AB444" s="379"/>
      <c r="AC444" s="50"/>
      <c r="AD444" s="50"/>
      <c r="AE444" s="379"/>
      <c r="AF444" s="379"/>
      <c r="AG444" s="156"/>
      <c r="AH444" s="60"/>
      <c r="AI444" s="379"/>
      <c r="AJ444" s="379"/>
      <c r="AK444" s="156"/>
      <c r="AL444" s="379"/>
      <c r="AM444" s="50"/>
      <c r="AN444" s="50"/>
    </row>
    <row r="445" spans="1:40" x14ac:dyDescent="0.25">
      <c r="A445" s="53"/>
      <c r="C445" s="54"/>
      <c r="F445" s="449"/>
      <c r="H445" s="449"/>
      <c r="I445" s="449"/>
      <c r="J445" s="461"/>
      <c r="K445" s="461"/>
      <c r="L445" s="379"/>
      <c r="M445" s="379"/>
      <c r="N445" s="50"/>
      <c r="O445" s="50"/>
      <c r="P445" s="379"/>
      <c r="Q445" s="379"/>
      <c r="R445" s="379"/>
      <c r="T445" s="54"/>
      <c r="V445" s="379"/>
      <c r="Y445" s="379"/>
      <c r="Z445" s="461"/>
      <c r="AA445" s="379"/>
      <c r="AB445" s="379"/>
      <c r="AC445" s="50"/>
      <c r="AD445" s="50"/>
      <c r="AE445" s="379"/>
      <c r="AF445" s="379"/>
      <c r="AG445" s="156"/>
      <c r="AH445" s="60"/>
      <c r="AI445" s="379"/>
      <c r="AJ445" s="379"/>
      <c r="AK445" s="156"/>
      <c r="AL445" s="379"/>
      <c r="AM445" s="50"/>
      <c r="AN445" s="50"/>
    </row>
    <row r="446" spans="1:40" x14ac:dyDescent="0.25">
      <c r="F446" s="381"/>
      <c r="H446" s="379"/>
      <c r="I446" s="379"/>
      <c r="J446" s="464"/>
      <c r="K446" s="464"/>
      <c r="L446" s="381"/>
      <c r="M446" s="381"/>
      <c r="N446" s="381"/>
      <c r="O446" s="381"/>
      <c r="P446" s="381"/>
      <c r="Q446" s="381"/>
      <c r="R446" s="381"/>
      <c r="V446" s="381"/>
      <c r="Y446" s="379"/>
      <c r="Z446" s="464"/>
      <c r="AA446" s="381"/>
      <c r="AB446" s="381"/>
      <c r="AC446" s="381"/>
      <c r="AD446" s="381"/>
      <c r="AE446" s="381"/>
      <c r="AF446" s="381"/>
      <c r="AI446" s="381"/>
      <c r="AJ446" s="381"/>
      <c r="AK446" s="162"/>
      <c r="AL446" s="381"/>
    </row>
    <row r="447" spans="1:40" x14ac:dyDescent="0.25">
      <c r="F447" s="379"/>
      <c r="H447" s="379"/>
      <c r="I447" s="379"/>
      <c r="J447" s="464"/>
      <c r="K447" s="464"/>
      <c r="L447" s="379"/>
      <c r="M447" s="379"/>
      <c r="N447" s="379"/>
      <c r="O447" s="379"/>
      <c r="P447" s="379"/>
      <c r="Q447" s="379"/>
      <c r="R447" s="379"/>
      <c r="V447" s="379"/>
      <c r="Y447" s="379"/>
      <c r="Z447" s="464"/>
      <c r="AA447" s="379"/>
      <c r="AB447" s="379"/>
      <c r="AC447" s="379"/>
      <c r="AD447" s="379"/>
      <c r="AE447" s="379"/>
      <c r="AF447" s="379"/>
      <c r="AI447" s="379"/>
      <c r="AJ447" s="379"/>
      <c r="AK447" s="156"/>
      <c r="AL447" s="379"/>
    </row>
    <row r="448" spans="1:40" x14ac:dyDescent="0.25">
      <c r="A448" s="53"/>
      <c r="C448" s="54"/>
      <c r="F448" s="379"/>
      <c r="H448" s="379"/>
      <c r="I448" s="379"/>
      <c r="L448" s="379"/>
      <c r="M448" s="379"/>
      <c r="N448" s="50"/>
      <c r="O448" s="50"/>
      <c r="P448" s="379"/>
      <c r="Q448" s="379"/>
      <c r="R448" s="379"/>
      <c r="T448" s="54"/>
      <c r="V448" s="379"/>
      <c r="Y448" s="379"/>
      <c r="AA448" s="379"/>
      <c r="AB448" s="379"/>
      <c r="AC448" s="50"/>
      <c r="AD448" s="50"/>
      <c r="AE448" s="379"/>
      <c r="AF448" s="379"/>
      <c r="AG448" s="156"/>
      <c r="AH448" s="60"/>
      <c r="AI448" s="449"/>
      <c r="AJ448" s="449"/>
      <c r="AK448" s="156"/>
      <c r="AL448" s="379"/>
      <c r="AM448" s="50"/>
      <c r="AN448" s="50"/>
    </row>
    <row r="449" spans="1:38" x14ac:dyDescent="0.25">
      <c r="F449" s="381"/>
      <c r="H449" s="381"/>
      <c r="I449" s="381"/>
      <c r="J449" s="464"/>
      <c r="K449" s="464"/>
      <c r="L449" s="381"/>
      <c r="M449" s="381"/>
      <c r="N449" s="381"/>
      <c r="O449" s="381"/>
      <c r="P449" s="381"/>
      <c r="Q449" s="381"/>
      <c r="R449" s="381"/>
      <c r="V449" s="381"/>
      <c r="Y449" s="381"/>
      <c r="Z449" s="464"/>
      <c r="AA449" s="381"/>
      <c r="AB449" s="381"/>
      <c r="AC449" s="381"/>
      <c r="AD449" s="381"/>
      <c r="AE449" s="381"/>
      <c r="AF449" s="381"/>
      <c r="AI449" s="381"/>
      <c r="AJ449" s="381"/>
      <c r="AK449" s="162"/>
      <c r="AL449" s="381"/>
    </row>
    <row r="451" spans="1:38" x14ac:dyDescent="0.25">
      <c r="A451" s="54"/>
      <c r="T451" s="54"/>
    </row>
    <row r="452" spans="1:38" x14ac:dyDescent="0.25">
      <c r="A452" s="54"/>
      <c r="T452" s="54"/>
    </row>
    <row r="453" spans="1:38" x14ac:dyDescent="0.25">
      <c r="A453" s="54"/>
      <c r="T453" s="54"/>
    </row>
    <row r="454" spans="1:38" x14ac:dyDescent="0.25">
      <c r="A454" s="54"/>
      <c r="T454" s="54"/>
    </row>
    <row r="455" spans="1:38" x14ac:dyDescent="0.25">
      <c r="A455" s="54"/>
      <c r="T455" s="54"/>
    </row>
    <row r="456" spans="1:38" x14ac:dyDescent="0.25">
      <c r="A456" s="54"/>
      <c r="T456" s="54"/>
    </row>
    <row r="457" spans="1:38" x14ac:dyDescent="0.25">
      <c r="A457" s="54"/>
      <c r="T457" s="54"/>
    </row>
    <row r="458" spans="1:38" x14ac:dyDescent="0.25">
      <c r="A458" s="54"/>
      <c r="T458" s="54"/>
    </row>
    <row r="459" spans="1:38" x14ac:dyDescent="0.25">
      <c r="A459" s="54"/>
      <c r="T459" s="54"/>
    </row>
    <row r="461" spans="1:38" x14ac:dyDescent="0.25">
      <c r="A461" s="54"/>
    </row>
    <row r="462" spans="1:38" x14ac:dyDescent="0.25">
      <c r="J462" s="53"/>
      <c r="K462" s="53"/>
      <c r="Z462" s="53"/>
    </row>
    <row r="463" spans="1:38" x14ac:dyDescent="0.25">
      <c r="H463" s="54"/>
      <c r="I463" s="54"/>
      <c r="Y463" s="54"/>
    </row>
    <row r="464" spans="1:38" x14ac:dyDescent="0.25">
      <c r="J464" s="53"/>
      <c r="K464" s="53"/>
      <c r="Z464" s="53"/>
    </row>
    <row r="465" spans="1:40" x14ac:dyDescent="0.25">
      <c r="L465" s="54"/>
      <c r="M465" s="54"/>
      <c r="AA465" s="54"/>
      <c r="AB465" s="54"/>
    </row>
    <row r="466" spans="1:40" x14ac:dyDescent="0.25">
      <c r="A466" s="53"/>
      <c r="R466" s="54"/>
      <c r="AK466" s="161"/>
      <c r="AL466" s="54"/>
    </row>
    <row r="467" spans="1:40" x14ac:dyDescent="0.25">
      <c r="A467" s="53"/>
      <c r="R467" s="54"/>
      <c r="AK467" s="161"/>
      <c r="AL467" s="54"/>
    </row>
    <row r="468" spans="1:40" x14ac:dyDescent="0.25">
      <c r="A468" s="54"/>
      <c r="R468" s="54"/>
      <c r="AK468" s="161"/>
      <c r="AL468" s="54"/>
    </row>
    <row r="469" spans="1:40" x14ac:dyDescent="0.25">
      <c r="L469" s="54"/>
      <c r="M469" s="54"/>
      <c r="R469" s="53"/>
      <c r="AA469" s="54"/>
      <c r="AB469" s="54"/>
      <c r="AK469" s="156"/>
      <c r="AL469" s="53"/>
    </row>
    <row r="470" spans="1:40" x14ac:dyDescent="0.25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154"/>
      <c r="AH470" s="55"/>
      <c r="AI470" s="55"/>
      <c r="AJ470" s="55"/>
      <c r="AK470" s="154"/>
      <c r="AL470" s="55"/>
      <c r="AM470" s="55"/>
      <c r="AN470" s="55"/>
    </row>
    <row r="471" spans="1:40" x14ac:dyDescent="0.25">
      <c r="L471" s="56"/>
      <c r="M471" s="56"/>
      <c r="N471" s="56"/>
      <c r="O471" s="56"/>
      <c r="R471" s="56"/>
      <c r="AA471" s="56"/>
      <c r="AB471" s="56"/>
      <c r="AC471" s="56"/>
      <c r="AD471" s="56"/>
      <c r="AE471" s="56"/>
      <c r="AF471" s="56"/>
      <c r="AG471" s="155"/>
      <c r="AH471" s="56"/>
      <c r="AK471" s="155"/>
      <c r="AL471" s="56"/>
      <c r="AM471" s="56"/>
      <c r="AN471" s="56"/>
    </row>
    <row r="472" spans="1:40" x14ac:dyDescent="0.25">
      <c r="L472" s="56"/>
      <c r="M472" s="56"/>
      <c r="N472" s="56"/>
      <c r="O472" s="56"/>
      <c r="R472" s="56"/>
      <c r="Z472" s="56"/>
      <c r="AA472" s="56"/>
      <c r="AB472" s="56"/>
      <c r="AC472" s="56"/>
      <c r="AD472" s="56"/>
      <c r="AE472" s="56"/>
      <c r="AF472" s="56"/>
      <c r="AG472" s="155"/>
      <c r="AH472" s="56"/>
      <c r="AK472" s="155"/>
      <c r="AL472" s="56"/>
      <c r="AM472" s="56"/>
      <c r="AN472" s="56"/>
    </row>
    <row r="473" spans="1:40" x14ac:dyDescent="0.25">
      <c r="A473" s="56"/>
      <c r="C473" s="56"/>
      <c r="D473" s="56"/>
      <c r="E473" s="56"/>
      <c r="F473" s="56"/>
      <c r="J473" s="56"/>
      <c r="K473" s="56"/>
      <c r="L473" s="56"/>
      <c r="M473" s="56"/>
      <c r="N473" s="56"/>
      <c r="O473" s="56"/>
      <c r="P473" s="56"/>
      <c r="Q473" s="56"/>
      <c r="R473" s="56"/>
      <c r="T473" s="56"/>
      <c r="U473" s="56"/>
      <c r="V473" s="56"/>
      <c r="Z473" s="56"/>
      <c r="AA473" s="56"/>
      <c r="AB473" s="56"/>
      <c r="AC473" s="56"/>
      <c r="AD473" s="56"/>
      <c r="AE473" s="56"/>
      <c r="AF473" s="56"/>
      <c r="AG473" s="155"/>
      <c r="AH473" s="56"/>
      <c r="AI473" s="56"/>
      <c r="AJ473" s="56"/>
      <c r="AK473" s="155"/>
      <c r="AL473" s="56"/>
      <c r="AM473" s="56"/>
      <c r="AN473" s="56"/>
    </row>
    <row r="474" spans="1:40" x14ac:dyDescent="0.25">
      <c r="A474" s="56"/>
      <c r="C474" s="56"/>
      <c r="D474" s="56"/>
      <c r="E474" s="56"/>
      <c r="F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T474" s="56"/>
      <c r="U474" s="56"/>
      <c r="V474" s="56"/>
      <c r="Y474" s="56"/>
      <c r="Z474" s="56"/>
      <c r="AA474" s="56"/>
      <c r="AB474" s="56"/>
      <c r="AC474" s="56"/>
      <c r="AD474" s="56"/>
      <c r="AE474" s="56"/>
      <c r="AF474" s="56"/>
      <c r="AG474" s="155"/>
      <c r="AH474" s="56"/>
      <c r="AI474" s="56"/>
      <c r="AJ474" s="56"/>
      <c r="AK474" s="155"/>
      <c r="AL474" s="56"/>
      <c r="AM474" s="56"/>
      <c r="AN474" s="56"/>
    </row>
    <row r="475" spans="1:40" x14ac:dyDescent="0.25">
      <c r="C475" s="56"/>
      <c r="D475" s="56"/>
      <c r="E475" s="56"/>
      <c r="F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T475" s="56"/>
      <c r="U475" s="56"/>
      <c r="V475" s="56"/>
      <c r="Y475" s="56"/>
      <c r="Z475" s="56"/>
      <c r="AA475" s="56"/>
      <c r="AB475" s="56"/>
      <c r="AC475" s="56"/>
      <c r="AD475" s="56"/>
      <c r="AE475" s="56"/>
      <c r="AF475" s="56"/>
      <c r="AG475" s="155"/>
      <c r="AH475" s="56"/>
      <c r="AI475" s="56"/>
      <c r="AJ475" s="56"/>
      <c r="AK475" s="155"/>
      <c r="AL475" s="56"/>
      <c r="AM475" s="56"/>
      <c r="AN475" s="56"/>
    </row>
    <row r="476" spans="1:40" x14ac:dyDescent="0.25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154"/>
      <c r="AH476" s="55"/>
      <c r="AI476" s="55"/>
      <c r="AJ476" s="55"/>
      <c r="AK476" s="154"/>
      <c r="AL476" s="55"/>
      <c r="AM476" s="55"/>
      <c r="AN476" s="55"/>
    </row>
    <row r="477" spans="1:40" x14ac:dyDescent="0.25"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Y477" s="56"/>
      <c r="Z477" s="56"/>
      <c r="AA477" s="56"/>
      <c r="AB477" s="56"/>
      <c r="AC477" s="56"/>
      <c r="AD477" s="56"/>
      <c r="AE477" s="56"/>
      <c r="AF477" s="56"/>
      <c r="AG477" s="155"/>
      <c r="AH477" s="56"/>
      <c r="AI477" s="56"/>
      <c r="AJ477" s="56"/>
      <c r="AK477" s="155"/>
      <c r="AL477" s="56"/>
      <c r="AM477" s="56"/>
      <c r="AN477" s="56"/>
    </row>
    <row r="478" spans="1:40" x14ac:dyDescent="0.25">
      <c r="A478" s="53"/>
      <c r="C478" s="54"/>
      <c r="D478" s="54"/>
      <c r="E478" s="54"/>
      <c r="T478" s="54"/>
      <c r="U478" s="54"/>
    </row>
    <row r="479" spans="1:40" x14ac:dyDescent="0.25">
      <c r="A479" s="53"/>
      <c r="D479" s="54"/>
      <c r="E479" s="54"/>
      <c r="U479" s="54"/>
    </row>
    <row r="481" spans="1:40" x14ac:dyDescent="0.25">
      <c r="A481" s="53"/>
      <c r="C481" s="54"/>
      <c r="F481" s="379"/>
      <c r="J481" s="62"/>
      <c r="K481" s="62"/>
      <c r="L481" s="379"/>
      <c r="M481" s="379"/>
      <c r="R481" s="379"/>
      <c r="T481" s="54"/>
      <c r="V481" s="379"/>
      <c r="Z481" s="62"/>
      <c r="AA481" s="379"/>
      <c r="AB481" s="379"/>
      <c r="AG481" s="156"/>
      <c r="AH481" s="379"/>
      <c r="AK481" s="156"/>
      <c r="AL481" s="379"/>
    </row>
    <row r="482" spans="1:40" x14ac:dyDescent="0.25">
      <c r="A482" s="53"/>
      <c r="C482" s="54"/>
      <c r="F482" s="379"/>
      <c r="R482" s="379"/>
      <c r="T482" s="54"/>
      <c r="V482" s="379"/>
      <c r="AG482" s="156"/>
      <c r="AH482" s="379"/>
      <c r="AK482" s="156"/>
      <c r="AL482" s="379"/>
    </row>
    <row r="483" spans="1:40" x14ac:dyDescent="0.25">
      <c r="AI483" s="379"/>
      <c r="AJ483" s="379"/>
      <c r="AK483" s="156"/>
      <c r="AL483" s="379"/>
      <c r="AM483" s="50"/>
      <c r="AN483" s="50"/>
    </row>
    <row r="484" spans="1:40" x14ac:dyDescent="0.25">
      <c r="A484" s="53"/>
      <c r="C484" s="54"/>
      <c r="F484" s="449"/>
      <c r="H484" s="449"/>
      <c r="I484" s="449"/>
      <c r="J484" s="477"/>
      <c r="K484" s="477"/>
      <c r="L484" s="379"/>
      <c r="M484" s="379"/>
      <c r="N484" s="50"/>
      <c r="O484" s="50"/>
      <c r="P484" s="379"/>
      <c r="Q484" s="379"/>
      <c r="R484" s="379"/>
      <c r="T484" s="54"/>
      <c r="V484" s="379"/>
      <c r="Y484" s="379"/>
      <c r="Z484" s="477"/>
      <c r="AA484" s="379"/>
      <c r="AB484" s="379"/>
      <c r="AC484" s="50"/>
      <c r="AD484" s="50"/>
      <c r="AE484" s="379"/>
      <c r="AF484" s="379"/>
      <c r="AG484" s="156"/>
      <c r="AH484" s="60"/>
      <c r="AI484" s="379"/>
      <c r="AJ484" s="379"/>
      <c r="AK484" s="156"/>
      <c r="AL484" s="379"/>
      <c r="AM484" s="50"/>
      <c r="AN484" s="50"/>
    </row>
    <row r="485" spans="1:40" x14ac:dyDescent="0.25">
      <c r="F485" s="379"/>
      <c r="H485" s="379"/>
      <c r="I485" s="379"/>
      <c r="J485" s="59"/>
      <c r="K485" s="59"/>
      <c r="L485" s="379"/>
      <c r="M485" s="379"/>
      <c r="P485" s="379"/>
      <c r="Q485" s="379"/>
      <c r="R485" s="379"/>
      <c r="V485" s="379"/>
      <c r="Y485" s="379"/>
      <c r="Z485" s="59"/>
      <c r="AA485" s="379"/>
      <c r="AB485" s="379"/>
      <c r="AI485" s="379"/>
      <c r="AJ485" s="379"/>
      <c r="AK485" s="156"/>
      <c r="AL485" s="379"/>
      <c r="AM485" s="50"/>
      <c r="AN485" s="50"/>
    </row>
    <row r="486" spans="1:40" x14ac:dyDescent="0.25">
      <c r="F486" s="379"/>
      <c r="R486" s="379"/>
      <c r="V486" s="379"/>
      <c r="AK486" s="156"/>
      <c r="AL486" s="379"/>
      <c r="AM486" s="50"/>
      <c r="AN486" s="50"/>
    </row>
    <row r="487" spans="1:40" x14ac:dyDescent="0.25">
      <c r="A487" s="53"/>
      <c r="C487" s="54"/>
      <c r="F487" s="379"/>
      <c r="J487" s="62"/>
      <c r="K487" s="62"/>
      <c r="L487" s="379"/>
      <c r="M487" s="379"/>
      <c r="N487" s="50"/>
      <c r="O487" s="50"/>
      <c r="R487" s="379"/>
      <c r="T487" s="54"/>
      <c r="V487" s="379"/>
      <c r="Z487" s="62"/>
      <c r="AA487" s="379"/>
      <c r="AB487" s="379"/>
      <c r="AC487" s="50"/>
      <c r="AD487" s="50"/>
      <c r="AK487" s="156"/>
      <c r="AL487" s="379"/>
      <c r="AM487" s="50"/>
      <c r="AN487" s="50"/>
    </row>
    <row r="488" spans="1:40" x14ac:dyDescent="0.25">
      <c r="A488" s="53"/>
      <c r="C488" s="54"/>
      <c r="F488" s="379"/>
      <c r="H488" s="379"/>
      <c r="I488" s="379"/>
      <c r="J488" s="62"/>
      <c r="K488" s="62"/>
      <c r="L488" s="379"/>
      <c r="M488" s="379"/>
      <c r="N488" s="50"/>
      <c r="O488" s="50"/>
      <c r="P488" s="379"/>
      <c r="Q488" s="379"/>
      <c r="R488" s="379"/>
      <c r="T488" s="54"/>
      <c r="V488" s="379"/>
      <c r="Y488" s="379"/>
      <c r="Z488" s="62"/>
      <c r="AA488" s="379"/>
      <c r="AB488" s="379"/>
      <c r="AC488" s="50"/>
      <c r="AD488" s="50"/>
      <c r="AI488" s="379"/>
      <c r="AJ488" s="379"/>
      <c r="AK488" s="156"/>
      <c r="AL488" s="379"/>
      <c r="AM488" s="50"/>
      <c r="AN488" s="50"/>
    </row>
    <row r="489" spans="1:40" x14ac:dyDescent="0.25">
      <c r="A489" s="53"/>
      <c r="C489" s="54"/>
      <c r="T489" s="54"/>
      <c r="AM489" s="50"/>
      <c r="AN489" s="50"/>
    </row>
    <row r="490" spans="1:40" x14ac:dyDescent="0.25">
      <c r="A490" s="53"/>
      <c r="C490" s="54"/>
      <c r="T490" s="54"/>
      <c r="AM490" s="50"/>
      <c r="AN490" s="50"/>
    </row>
    <row r="491" spans="1:40" x14ac:dyDescent="0.25">
      <c r="AM491" s="50"/>
      <c r="AN491" s="50"/>
    </row>
    <row r="492" spans="1:40" x14ac:dyDescent="0.25">
      <c r="A492" s="53"/>
      <c r="C492" s="54"/>
      <c r="F492" s="449"/>
      <c r="H492" s="449"/>
      <c r="I492" s="449"/>
      <c r="J492" s="477"/>
      <c r="K492" s="477"/>
      <c r="L492" s="379"/>
      <c r="M492" s="379"/>
      <c r="N492" s="50"/>
      <c r="O492" s="50"/>
      <c r="P492" s="379"/>
      <c r="Q492" s="379"/>
      <c r="R492" s="379"/>
      <c r="T492" s="54"/>
      <c r="V492" s="379"/>
      <c r="Y492" s="379"/>
      <c r="Z492" s="477"/>
      <c r="AA492" s="379"/>
      <c r="AB492" s="379"/>
      <c r="AC492" s="50"/>
      <c r="AD492" s="50"/>
      <c r="AE492" s="379"/>
      <c r="AF492" s="379"/>
      <c r="AG492" s="156"/>
      <c r="AH492" s="60"/>
      <c r="AI492" s="379"/>
      <c r="AJ492" s="379"/>
      <c r="AK492" s="156"/>
      <c r="AL492" s="379"/>
      <c r="AM492" s="50"/>
      <c r="AN492" s="50"/>
    </row>
    <row r="493" spans="1:40" x14ac:dyDescent="0.25">
      <c r="F493" s="381"/>
      <c r="H493" s="381"/>
      <c r="I493" s="381"/>
      <c r="J493" s="464"/>
      <c r="K493" s="464"/>
      <c r="L493" s="381"/>
      <c r="M493" s="381"/>
      <c r="N493" s="381"/>
      <c r="O493" s="381"/>
      <c r="P493" s="381"/>
      <c r="Q493" s="381"/>
      <c r="R493" s="381"/>
      <c r="V493" s="381"/>
      <c r="Y493" s="381"/>
      <c r="Z493" s="464"/>
      <c r="AA493" s="381"/>
      <c r="AB493" s="381"/>
      <c r="AC493" s="381"/>
      <c r="AD493" s="381"/>
      <c r="AE493" s="381"/>
      <c r="AF493" s="381"/>
      <c r="AI493" s="381"/>
      <c r="AJ493" s="381"/>
      <c r="AK493" s="162"/>
      <c r="AL493" s="381"/>
      <c r="AM493" s="50"/>
      <c r="AN493" s="50"/>
    </row>
    <row r="494" spans="1:40" x14ac:dyDescent="0.25">
      <c r="H494" s="379"/>
      <c r="I494" s="379"/>
      <c r="Y494" s="379"/>
      <c r="AM494" s="50"/>
      <c r="AN494" s="50"/>
    </row>
    <row r="495" spans="1:40" x14ac:dyDescent="0.25">
      <c r="A495" s="53"/>
      <c r="C495" s="54"/>
      <c r="F495" s="379"/>
      <c r="H495" s="379"/>
      <c r="I495" s="379"/>
      <c r="L495" s="379"/>
      <c r="M495" s="379"/>
      <c r="N495" s="50"/>
      <c r="O495" s="50"/>
      <c r="P495" s="449"/>
      <c r="Q495" s="449"/>
      <c r="R495" s="379"/>
      <c r="T495" s="54"/>
      <c r="V495" s="379"/>
      <c r="Y495" s="379"/>
      <c r="AA495" s="379"/>
      <c r="AB495" s="379"/>
      <c r="AC495" s="50"/>
      <c r="AD495" s="50"/>
      <c r="AE495" s="379"/>
      <c r="AF495" s="379"/>
      <c r="AG495" s="156"/>
      <c r="AH495" s="60"/>
      <c r="AI495" s="449"/>
      <c r="AJ495" s="449"/>
      <c r="AK495" s="156"/>
      <c r="AL495" s="379"/>
      <c r="AM495" s="50"/>
      <c r="AN495" s="50"/>
    </row>
    <row r="496" spans="1:40" x14ac:dyDescent="0.25">
      <c r="F496" s="381"/>
      <c r="H496" s="381"/>
      <c r="I496" s="381"/>
      <c r="J496" s="464"/>
      <c r="K496" s="464"/>
      <c r="L496" s="381"/>
      <c r="M496" s="381"/>
      <c r="N496" s="381"/>
      <c r="O496" s="381"/>
      <c r="P496" s="381"/>
      <c r="Q496" s="381"/>
      <c r="R496" s="381"/>
      <c r="V496" s="381"/>
      <c r="Y496" s="381"/>
      <c r="Z496" s="464"/>
      <c r="AA496" s="381"/>
      <c r="AB496" s="381"/>
      <c r="AC496" s="381"/>
      <c r="AD496" s="381"/>
      <c r="AE496" s="381"/>
      <c r="AF496" s="381"/>
      <c r="AI496" s="381"/>
      <c r="AJ496" s="381"/>
      <c r="AK496" s="162"/>
      <c r="AL496" s="381"/>
      <c r="AM496" s="50"/>
      <c r="AN496" s="50"/>
    </row>
    <row r="498" spans="1:40" x14ac:dyDescent="0.25">
      <c r="F498" s="379"/>
      <c r="H498" s="379"/>
      <c r="I498" s="379"/>
      <c r="J498" s="59"/>
      <c r="K498" s="59"/>
      <c r="L498" s="379"/>
      <c r="M498" s="379"/>
      <c r="N498" s="379"/>
      <c r="O498" s="379"/>
      <c r="P498" s="379"/>
      <c r="Q498" s="379"/>
      <c r="R498" s="379"/>
      <c r="V498" s="379"/>
      <c r="Y498" s="379"/>
      <c r="Z498" s="59"/>
      <c r="AA498" s="379"/>
      <c r="AB498" s="379"/>
      <c r="AC498" s="379"/>
      <c r="AD498" s="379"/>
      <c r="AE498" s="379"/>
      <c r="AF498" s="379"/>
      <c r="AG498" s="156"/>
      <c r="AH498" s="379"/>
      <c r="AI498" s="379"/>
      <c r="AJ498" s="379"/>
      <c r="AK498" s="156"/>
      <c r="AL498" s="379"/>
    </row>
    <row r="499" spans="1:40" x14ac:dyDescent="0.25">
      <c r="A499" s="54"/>
    </row>
    <row r="500" spans="1:40" x14ac:dyDescent="0.25">
      <c r="J500" s="53"/>
      <c r="K500" s="53"/>
      <c r="Z500" s="53"/>
    </row>
    <row r="501" spans="1:40" x14ac:dyDescent="0.25">
      <c r="H501" s="54"/>
      <c r="I501" s="54"/>
      <c r="Y501" s="54"/>
    </row>
    <row r="502" spans="1:40" x14ac:dyDescent="0.25">
      <c r="J502" s="53"/>
      <c r="K502" s="53"/>
      <c r="Z502" s="53"/>
    </row>
    <row r="503" spans="1:40" x14ac:dyDescent="0.25">
      <c r="L503" s="54"/>
      <c r="M503" s="54"/>
      <c r="AA503" s="54"/>
      <c r="AB503" s="54"/>
    </row>
    <row r="504" spans="1:40" x14ac:dyDescent="0.25">
      <c r="A504" s="53"/>
      <c r="R504" s="54"/>
      <c r="AK504" s="161"/>
      <c r="AL504" s="54"/>
    </row>
    <row r="505" spans="1:40" x14ac:dyDescent="0.25">
      <c r="A505" s="53"/>
      <c r="R505" s="54"/>
      <c r="AK505" s="161"/>
      <c r="AL505" s="54"/>
    </row>
    <row r="506" spans="1:40" x14ac:dyDescent="0.25">
      <c r="A506" s="54"/>
      <c r="R506" s="54"/>
      <c r="AK506" s="161"/>
      <c r="AL506" s="54"/>
    </row>
    <row r="507" spans="1:40" x14ac:dyDescent="0.25">
      <c r="L507" s="54"/>
      <c r="M507" s="54"/>
      <c r="R507" s="53"/>
      <c r="AA507" s="54"/>
      <c r="AB507" s="54"/>
      <c r="AK507" s="156"/>
      <c r="AL507" s="53"/>
    </row>
    <row r="508" spans="1:40" x14ac:dyDescent="0.25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154"/>
      <c r="AH508" s="55"/>
      <c r="AI508" s="55"/>
      <c r="AJ508" s="55"/>
      <c r="AK508" s="154"/>
      <c r="AL508" s="55"/>
      <c r="AM508" s="55"/>
      <c r="AN508" s="55"/>
    </row>
    <row r="509" spans="1:40" x14ac:dyDescent="0.25">
      <c r="L509" s="56"/>
      <c r="M509" s="56"/>
      <c r="N509" s="56"/>
      <c r="O509" s="56"/>
      <c r="R509" s="56"/>
      <c r="AA509" s="56"/>
      <c r="AB509" s="56"/>
      <c r="AC509" s="56"/>
      <c r="AD509" s="56"/>
      <c r="AE509" s="56"/>
      <c r="AF509" s="56"/>
      <c r="AG509" s="155"/>
      <c r="AH509" s="56"/>
      <c r="AK509" s="155"/>
      <c r="AL509" s="56"/>
      <c r="AM509" s="56"/>
      <c r="AN509" s="56"/>
    </row>
    <row r="510" spans="1:40" x14ac:dyDescent="0.25">
      <c r="L510" s="56"/>
      <c r="M510" s="56"/>
      <c r="N510" s="56"/>
      <c r="O510" s="56"/>
      <c r="R510" s="56"/>
      <c r="Z510" s="56"/>
      <c r="AA510" s="56"/>
      <c r="AB510" s="56"/>
      <c r="AC510" s="56"/>
      <c r="AD510" s="56"/>
      <c r="AE510" s="56"/>
      <c r="AF510" s="56"/>
      <c r="AG510" s="155"/>
      <c r="AH510" s="56"/>
      <c r="AK510" s="155"/>
      <c r="AL510" s="56"/>
      <c r="AM510" s="56"/>
      <c r="AN510" s="56"/>
    </row>
    <row r="511" spans="1:40" x14ac:dyDescent="0.25">
      <c r="A511" s="56"/>
      <c r="C511" s="56"/>
      <c r="D511" s="56"/>
      <c r="E511" s="56"/>
      <c r="F511" s="56"/>
      <c r="J511" s="56"/>
      <c r="K511" s="56"/>
      <c r="L511" s="56"/>
      <c r="M511" s="56"/>
      <c r="N511" s="56"/>
      <c r="O511" s="56"/>
      <c r="P511" s="56"/>
      <c r="Q511" s="56"/>
      <c r="R511" s="56"/>
      <c r="T511" s="56"/>
      <c r="U511" s="56"/>
      <c r="V511" s="56"/>
      <c r="Z511" s="56"/>
      <c r="AA511" s="56"/>
      <c r="AB511" s="56"/>
      <c r="AC511" s="56"/>
      <c r="AD511" s="56"/>
      <c r="AE511" s="56"/>
      <c r="AF511" s="56"/>
      <c r="AG511" s="155"/>
      <c r="AH511" s="56"/>
      <c r="AI511" s="56"/>
      <c r="AJ511" s="56"/>
      <c r="AK511" s="155"/>
      <c r="AL511" s="56"/>
      <c r="AM511" s="56"/>
      <c r="AN511" s="56"/>
    </row>
    <row r="512" spans="1:40" x14ac:dyDescent="0.25">
      <c r="A512" s="56"/>
      <c r="C512" s="56"/>
      <c r="D512" s="56"/>
      <c r="E512" s="56"/>
      <c r="F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T512" s="56"/>
      <c r="U512" s="56"/>
      <c r="V512" s="56"/>
      <c r="Y512" s="56"/>
      <c r="Z512" s="56"/>
      <c r="AA512" s="56"/>
      <c r="AB512" s="56"/>
      <c r="AC512" s="56"/>
      <c r="AD512" s="56"/>
      <c r="AE512" s="56"/>
      <c r="AF512" s="56"/>
      <c r="AG512" s="155"/>
      <c r="AH512" s="56"/>
      <c r="AI512" s="56"/>
      <c r="AJ512" s="56"/>
      <c r="AK512" s="155"/>
      <c r="AL512" s="56"/>
      <c r="AM512" s="56"/>
      <c r="AN512" s="56"/>
    </row>
    <row r="513" spans="1:40" x14ac:dyDescent="0.25">
      <c r="C513" s="56"/>
      <c r="D513" s="56"/>
      <c r="E513" s="56"/>
      <c r="F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T513" s="56"/>
      <c r="U513" s="56"/>
      <c r="V513" s="56"/>
      <c r="Y513" s="56"/>
      <c r="Z513" s="56"/>
      <c r="AA513" s="56"/>
      <c r="AB513" s="56"/>
      <c r="AC513" s="56"/>
      <c r="AD513" s="56"/>
      <c r="AE513" s="56"/>
      <c r="AF513" s="56"/>
      <c r="AG513" s="155"/>
      <c r="AH513" s="56"/>
      <c r="AI513" s="56"/>
      <c r="AJ513" s="56"/>
      <c r="AK513" s="155"/>
      <c r="AL513" s="56"/>
      <c r="AM513" s="56"/>
      <c r="AN513" s="56"/>
    </row>
    <row r="514" spans="1:40" x14ac:dyDescent="0.25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154"/>
      <c r="AH514" s="55"/>
      <c r="AI514" s="55"/>
      <c r="AJ514" s="55"/>
      <c r="AK514" s="154"/>
      <c r="AL514" s="55"/>
      <c r="AM514" s="55"/>
      <c r="AN514" s="55"/>
    </row>
    <row r="515" spans="1:40" x14ac:dyDescent="0.25"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Y515" s="56"/>
      <c r="Z515" s="56"/>
      <c r="AA515" s="56"/>
      <c r="AB515" s="56"/>
      <c r="AC515" s="56"/>
      <c r="AD515" s="56"/>
      <c r="AE515" s="56"/>
      <c r="AF515" s="56"/>
      <c r="AG515" s="155"/>
      <c r="AH515" s="56"/>
      <c r="AI515" s="56"/>
      <c r="AJ515" s="56"/>
      <c r="AK515" s="155"/>
      <c r="AL515" s="56"/>
      <c r="AM515" s="56"/>
      <c r="AN515" s="56"/>
    </row>
    <row r="516" spans="1:40" x14ac:dyDescent="0.25">
      <c r="A516" s="53"/>
      <c r="C516" s="54"/>
      <c r="D516" s="54"/>
      <c r="E516" s="54"/>
      <c r="T516" s="54"/>
      <c r="U516" s="54"/>
      <c r="V516" s="379"/>
      <c r="W516" s="379"/>
      <c r="X516" s="379"/>
      <c r="Y516" s="379"/>
      <c r="Z516" s="477"/>
    </row>
    <row r="518" spans="1:40" x14ac:dyDescent="0.25">
      <c r="A518" s="53"/>
      <c r="C518" s="54"/>
      <c r="T518" s="54"/>
      <c r="V518" s="379"/>
      <c r="W518" s="379"/>
      <c r="X518" s="379"/>
      <c r="Y518" s="379"/>
      <c r="Z518" s="477"/>
    </row>
    <row r="519" spans="1:40" x14ac:dyDescent="0.25">
      <c r="A519" s="53"/>
      <c r="C519" s="54"/>
      <c r="F519" s="449"/>
      <c r="H519" s="449"/>
      <c r="I519" s="449"/>
      <c r="J519" s="221"/>
      <c r="K519" s="221"/>
      <c r="L519" s="379"/>
      <c r="M519" s="379"/>
      <c r="N519" s="50"/>
      <c r="O519" s="50"/>
      <c r="P519" s="379"/>
      <c r="Q519" s="379"/>
      <c r="R519" s="379"/>
      <c r="T519" s="54"/>
      <c r="V519" s="379"/>
      <c r="W519" s="379"/>
      <c r="X519" s="379"/>
      <c r="Y519" s="379"/>
      <c r="Z519" s="221"/>
      <c r="AA519" s="379"/>
      <c r="AB519" s="379"/>
      <c r="AC519" s="50"/>
      <c r="AD519" s="50"/>
      <c r="AE519" s="379"/>
      <c r="AF519" s="379"/>
      <c r="AG519" s="156"/>
      <c r="AH519" s="60"/>
      <c r="AI519" s="379"/>
      <c r="AJ519" s="379"/>
      <c r="AK519" s="156"/>
      <c r="AL519" s="379"/>
      <c r="AM519" s="50"/>
      <c r="AN519" s="50"/>
    </row>
    <row r="520" spans="1:40" x14ac:dyDescent="0.25">
      <c r="A520" s="53"/>
      <c r="C520" s="54"/>
      <c r="F520" s="449"/>
      <c r="H520" s="449"/>
      <c r="I520" s="449"/>
      <c r="J520" s="221"/>
      <c r="K520" s="221"/>
      <c r="L520" s="379"/>
      <c r="M520" s="379"/>
      <c r="N520" s="50"/>
      <c r="O520" s="50"/>
      <c r="P520" s="379"/>
      <c r="Q520" s="379"/>
      <c r="R520" s="379"/>
      <c r="T520" s="54"/>
      <c r="V520" s="379"/>
      <c r="W520" s="379"/>
      <c r="X520" s="379"/>
      <c r="Y520" s="379"/>
      <c r="Z520" s="221"/>
      <c r="AA520" s="379"/>
      <c r="AB520" s="379"/>
      <c r="AC520" s="50"/>
      <c r="AD520" s="50"/>
      <c r="AE520" s="379"/>
      <c r="AF520" s="379"/>
      <c r="AG520" s="156"/>
      <c r="AH520" s="60"/>
      <c r="AI520" s="379"/>
      <c r="AJ520" s="379"/>
      <c r="AK520" s="156"/>
      <c r="AL520" s="379"/>
      <c r="AM520" s="50"/>
      <c r="AN520" s="50"/>
    </row>
    <row r="521" spans="1:40" x14ac:dyDescent="0.25">
      <c r="A521" s="53"/>
      <c r="C521" s="54"/>
      <c r="F521" s="449"/>
      <c r="H521" s="449"/>
      <c r="I521" s="449"/>
      <c r="J521" s="221"/>
      <c r="K521" s="221"/>
      <c r="L521" s="379"/>
      <c r="M521" s="379"/>
      <c r="N521" s="50"/>
      <c r="O521" s="50"/>
      <c r="P521" s="379"/>
      <c r="Q521" s="379"/>
      <c r="R521" s="379"/>
      <c r="T521" s="54"/>
      <c r="V521" s="379"/>
      <c r="W521" s="379"/>
      <c r="X521" s="379"/>
      <c r="Y521" s="379"/>
      <c r="Z521" s="221"/>
      <c r="AA521" s="379"/>
      <c r="AB521" s="379"/>
      <c r="AC521" s="50"/>
      <c r="AD521" s="50"/>
      <c r="AE521" s="379"/>
      <c r="AF521" s="379"/>
      <c r="AG521" s="156"/>
      <c r="AH521" s="60"/>
      <c r="AI521" s="379"/>
      <c r="AJ521" s="379"/>
      <c r="AK521" s="156"/>
      <c r="AL521" s="379"/>
      <c r="AM521" s="50"/>
      <c r="AN521" s="50"/>
    </row>
    <row r="522" spans="1:40" x14ac:dyDescent="0.25">
      <c r="A522" s="53"/>
      <c r="C522" s="54"/>
      <c r="F522" s="449"/>
      <c r="H522" s="449"/>
      <c r="I522" s="449"/>
      <c r="J522" s="221"/>
      <c r="K522" s="221"/>
      <c r="L522" s="379"/>
      <c r="M522" s="379"/>
      <c r="N522" s="50"/>
      <c r="O522" s="50"/>
      <c r="P522" s="379"/>
      <c r="Q522" s="379"/>
      <c r="R522" s="379"/>
      <c r="T522" s="54"/>
      <c r="V522" s="379"/>
      <c r="W522" s="379"/>
      <c r="X522" s="379"/>
      <c r="Y522" s="379"/>
      <c r="Z522" s="221"/>
      <c r="AA522" s="379"/>
      <c r="AB522" s="379"/>
      <c r="AC522" s="50"/>
      <c r="AD522" s="50"/>
      <c r="AE522" s="379"/>
      <c r="AF522" s="379"/>
      <c r="AG522" s="156"/>
      <c r="AH522" s="60"/>
      <c r="AI522" s="379"/>
      <c r="AJ522" s="379"/>
      <c r="AK522" s="156"/>
      <c r="AL522" s="379"/>
      <c r="AM522" s="50"/>
      <c r="AN522" s="50"/>
    </row>
    <row r="523" spans="1:40" x14ac:dyDescent="0.25">
      <c r="J523" s="65"/>
      <c r="K523" s="65"/>
      <c r="V523" s="379"/>
      <c r="W523" s="379"/>
      <c r="X523" s="379"/>
      <c r="Y523" s="379"/>
      <c r="Z523" s="221"/>
    </row>
    <row r="524" spans="1:40" x14ac:dyDescent="0.25">
      <c r="A524" s="53"/>
      <c r="C524" s="54"/>
      <c r="F524" s="449"/>
      <c r="H524" s="449"/>
      <c r="I524" s="449"/>
      <c r="J524" s="221"/>
      <c r="K524" s="221"/>
      <c r="L524" s="379"/>
      <c r="M524" s="379"/>
      <c r="N524" s="50"/>
      <c r="O524" s="50"/>
      <c r="P524" s="379"/>
      <c r="Q524" s="379"/>
      <c r="R524" s="379"/>
      <c r="T524" s="54"/>
      <c r="V524" s="379"/>
      <c r="W524" s="379"/>
      <c r="X524" s="379"/>
      <c r="Y524" s="379"/>
      <c r="Z524" s="221"/>
      <c r="AA524" s="379"/>
      <c r="AB524" s="379"/>
      <c r="AC524" s="50"/>
      <c r="AD524" s="50"/>
      <c r="AE524" s="379"/>
      <c r="AF524" s="379"/>
      <c r="AG524" s="156"/>
      <c r="AH524" s="60"/>
      <c r="AI524" s="379"/>
      <c r="AJ524" s="379"/>
      <c r="AK524" s="156"/>
      <c r="AL524" s="379"/>
      <c r="AM524" s="60"/>
      <c r="AN524" s="60"/>
    </row>
    <row r="525" spans="1:40" x14ac:dyDescent="0.25">
      <c r="A525" s="53"/>
      <c r="C525" s="54"/>
      <c r="J525" s="65"/>
      <c r="K525" s="65"/>
      <c r="T525" s="54"/>
      <c r="V525" s="379"/>
      <c r="W525" s="379"/>
      <c r="X525" s="379"/>
      <c r="Y525" s="379"/>
      <c r="Z525" s="221"/>
    </row>
    <row r="526" spans="1:40" x14ac:dyDescent="0.25">
      <c r="A526" s="53"/>
      <c r="C526" s="54"/>
      <c r="F526" s="449"/>
      <c r="H526" s="449"/>
      <c r="I526" s="449"/>
      <c r="J526" s="221"/>
      <c r="K526" s="221"/>
      <c r="L526" s="379"/>
      <c r="M526" s="379"/>
      <c r="N526" s="50"/>
      <c r="O526" s="50"/>
      <c r="P526" s="379"/>
      <c r="Q526" s="379"/>
      <c r="R526" s="379"/>
      <c r="T526" s="54"/>
      <c r="V526" s="379"/>
      <c r="W526" s="379"/>
      <c r="X526" s="379"/>
      <c r="Y526" s="379"/>
      <c r="Z526" s="221"/>
      <c r="AA526" s="379"/>
      <c r="AB526" s="379"/>
      <c r="AC526" s="50"/>
      <c r="AD526" s="50"/>
      <c r="AE526" s="379"/>
      <c r="AF526" s="379"/>
      <c r="AG526" s="156"/>
      <c r="AH526" s="60"/>
      <c r="AI526" s="379"/>
      <c r="AJ526" s="379"/>
      <c r="AK526" s="156"/>
      <c r="AL526" s="379"/>
      <c r="AM526" s="60"/>
      <c r="AN526" s="60"/>
    </row>
    <row r="527" spans="1:40" x14ac:dyDescent="0.25">
      <c r="J527" s="65"/>
      <c r="K527" s="65"/>
      <c r="Z527" s="65"/>
    </row>
    <row r="528" spans="1:40" x14ac:dyDescent="0.25">
      <c r="A528" s="53"/>
      <c r="C528" s="54"/>
      <c r="J528" s="65"/>
      <c r="K528" s="65"/>
      <c r="T528" s="54"/>
      <c r="V528" s="379"/>
      <c r="W528" s="379"/>
      <c r="X528" s="379"/>
      <c r="Y528" s="379"/>
      <c r="Z528" s="221"/>
    </row>
    <row r="529" spans="1:40" x14ac:dyDescent="0.25">
      <c r="A529" s="53"/>
      <c r="C529" s="54"/>
      <c r="F529" s="449"/>
      <c r="H529" s="449"/>
      <c r="I529" s="449"/>
      <c r="J529" s="221"/>
      <c r="K529" s="221"/>
      <c r="L529" s="379"/>
      <c r="M529" s="379"/>
      <c r="N529" s="50"/>
      <c r="O529" s="50"/>
      <c r="P529" s="379"/>
      <c r="Q529" s="379"/>
      <c r="R529" s="379"/>
      <c r="T529" s="54"/>
      <c r="V529" s="379"/>
      <c r="W529" s="379"/>
      <c r="X529" s="379"/>
      <c r="Y529" s="379"/>
      <c r="Z529" s="221"/>
      <c r="AA529" s="379"/>
      <c r="AB529" s="379"/>
      <c r="AC529" s="50"/>
      <c r="AD529" s="50"/>
      <c r="AE529" s="379"/>
      <c r="AF529" s="379"/>
      <c r="AG529" s="156"/>
      <c r="AH529" s="60"/>
      <c r="AI529" s="379"/>
      <c r="AJ529" s="379"/>
      <c r="AK529" s="156"/>
      <c r="AL529" s="379"/>
      <c r="AM529" s="60"/>
      <c r="AN529" s="60"/>
    </row>
    <row r="530" spans="1:40" x14ac:dyDescent="0.25">
      <c r="A530" s="53"/>
      <c r="C530" s="54"/>
      <c r="F530" s="449"/>
      <c r="H530" s="449"/>
      <c r="I530" s="449"/>
      <c r="J530" s="221"/>
      <c r="K530" s="221"/>
      <c r="L530" s="379"/>
      <c r="M530" s="379"/>
      <c r="N530" s="50"/>
      <c r="O530" s="50"/>
      <c r="P530" s="379"/>
      <c r="Q530" s="379"/>
      <c r="R530" s="379"/>
      <c r="T530" s="54"/>
      <c r="V530" s="379"/>
      <c r="W530" s="379"/>
      <c r="X530" s="379"/>
      <c r="Y530" s="379"/>
      <c r="Z530" s="221"/>
      <c r="AA530" s="379"/>
      <c r="AB530" s="379"/>
      <c r="AC530" s="50"/>
      <c r="AD530" s="50"/>
      <c r="AE530" s="379"/>
      <c r="AF530" s="379"/>
      <c r="AG530" s="156"/>
      <c r="AH530" s="60"/>
      <c r="AI530" s="379"/>
      <c r="AJ530" s="379"/>
      <c r="AK530" s="156"/>
      <c r="AL530" s="379"/>
      <c r="AM530" s="60"/>
      <c r="AN530" s="60"/>
    </row>
    <row r="531" spans="1:40" x14ac:dyDescent="0.25">
      <c r="F531" s="381"/>
      <c r="H531" s="381"/>
      <c r="I531" s="381"/>
      <c r="J531" s="221"/>
      <c r="K531" s="221"/>
      <c r="L531" s="381"/>
      <c r="M531" s="381"/>
      <c r="N531" s="381"/>
      <c r="O531" s="381"/>
      <c r="P531" s="381"/>
      <c r="Q531" s="381"/>
      <c r="R531" s="381"/>
      <c r="V531" s="381"/>
      <c r="Y531" s="381"/>
      <c r="Z531" s="464"/>
      <c r="AA531" s="381"/>
      <c r="AB531" s="381"/>
      <c r="AC531" s="381"/>
      <c r="AD531" s="381"/>
      <c r="AE531" s="381"/>
      <c r="AF531" s="381"/>
      <c r="AI531" s="381"/>
      <c r="AJ531" s="381"/>
      <c r="AK531" s="162"/>
      <c r="AL531" s="381"/>
    </row>
    <row r="532" spans="1:40" x14ac:dyDescent="0.25">
      <c r="A532" s="53"/>
      <c r="C532" s="54"/>
      <c r="F532" s="379"/>
      <c r="H532" s="379"/>
      <c r="I532" s="379"/>
      <c r="L532" s="379"/>
      <c r="M532" s="379"/>
      <c r="N532" s="50"/>
      <c r="O532" s="50"/>
      <c r="P532" s="449"/>
      <c r="Q532" s="449"/>
      <c r="R532" s="379"/>
      <c r="T532" s="54"/>
      <c r="V532" s="379"/>
      <c r="W532" s="379"/>
      <c r="X532" s="379"/>
      <c r="Y532" s="379"/>
      <c r="Z532" s="477"/>
      <c r="AA532" s="379"/>
      <c r="AB532" s="379"/>
      <c r="AC532" s="50"/>
      <c r="AD532" s="50"/>
      <c r="AE532" s="379"/>
      <c r="AF532" s="379"/>
      <c r="AG532" s="156"/>
      <c r="AH532" s="60"/>
      <c r="AI532" s="449"/>
      <c r="AJ532" s="449"/>
      <c r="AK532" s="156"/>
      <c r="AL532" s="379"/>
      <c r="AM532" s="60"/>
      <c r="AN532" s="60"/>
    </row>
    <row r="533" spans="1:40" x14ac:dyDescent="0.25">
      <c r="F533" s="381"/>
      <c r="H533" s="381"/>
      <c r="I533" s="381"/>
      <c r="J533" s="464"/>
      <c r="K533" s="464"/>
      <c r="L533" s="381"/>
      <c r="M533" s="381"/>
      <c r="N533" s="381"/>
      <c r="O533" s="381"/>
      <c r="P533" s="381"/>
      <c r="Q533" s="381"/>
      <c r="R533" s="381"/>
      <c r="V533" s="381"/>
      <c r="Y533" s="381"/>
      <c r="Z533" s="464"/>
      <c r="AA533" s="381"/>
      <c r="AB533" s="381"/>
      <c r="AC533" s="381"/>
      <c r="AD533" s="381"/>
      <c r="AE533" s="381"/>
      <c r="AF533" s="381"/>
      <c r="AI533" s="381"/>
      <c r="AJ533" s="381"/>
      <c r="AK533" s="162"/>
      <c r="AL533" s="381"/>
    </row>
    <row r="535" spans="1:40" x14ac:dyDescent="0.25">
      <c r="C535" s="53"/>
      <c r="T535" s="53"/>
    </row>
    <row r="536" spans="1:40" x14ac:dyDescent="0.25">
      <c r="A536" s="54"/>
    </row>
    <row r="537" spans="1:40" x14ac:dyDescent="0.25">
      <c r="J537" s="53"/>
      <c r="K537" s="53"/>
      <c r="Z537" s="53"/>
    </row>
    <row r="538" spans="1:40" x14ac:dyDescent="0.25">
      <c r="H538" s="54"/>
      <c r="I538" s="54"/>
      <c r="Y538" s="54"/>
    </row>
    <row r="539" spans="1:40" x14ac:dyDescent="0.25">
      <c r="J539" s="53"/>
      <c r="K539" s="53"/>
      <c r="Z539" s="53"/>
    </row>
    <row r="540" spans="1:40" x14ac:dyDescent="0.25">
      <c r="L540" s="54"/>
      <c r="M540" s="54"/>
      <c r="AA540" s="54"/>
      <c r="AB540" s="54"/>
    </row>
    <row r="541" spans="1:40" x14ac:dyDescent="0.25">
      <c r="A541" s="53"/>
      <c r="R541" s="54"/>
      <c r="AK541" s="161"/>
      <c r="AL541" s="54"/>
    </row>
    <row r="542" spans="1:40" x14ac:dyDescent="0.25">
      <c r="A542" s="53"/>
      <c r="R542" s="54"/>
      <c r="AK542" s="161"/>
      <c r="AL542" s="54"/>
    </row>
    <row r="543" spans="1:40" x14ac:dyDescent="0.25">
      <c r="A543" s="54"/>
      <c r="R543" s="54"/>
      <c r="AK543" s="161"/>
      <c r="AL543" s="54"/>
    </row>
    <row r="544" spans="1:40" x14ac:dyDescent="0.25">
      <c r="L544" s="54"/>
      <c r="M544" s="54"/>
      <c r="R544" s="53"/>
      <c r="AA544" s="54"/>
      <c r="AB544" s="54"/>
      <c r="AK544" s="156"/>
      <c r="AL544" s="53"/>
    </row>
    <row r="545" spans="1:40" x14ac:dyDescent="0.25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154"/>
      <c r="AH545" s="55"/>
      <c r="AI545" s="55"/>
      <c r="AJ545" s="55"/>
      <c r="AK545" s="154"/>
      <c r="AL545" s="55"/>
      <c r="AM545" s="55"/>
      <c r="AN545" s="55"/>
    </row>
    <row r="546" spans="1:40" x14ac:dyDescent="0.25">
      <c r="L546" s="56"/>
      <c r="M546" s="56"/>
      <c r="N546" s="56"/>
      <c r="O546" s="56"/>
      <c r="R546" s="56"/>
      <c r="AA546" s="56"/>
      <c r="AB546" s="56"/>
      <c r="AC546" s="56"/>
      <c r="AD546" s="56"/>
      <c r="AE546" s="56"/>
      <c r="AF546" s="56"/>
      <c r="AG546" s="155"/>
      <c r="AH546" s="56"/>
      <c r="AK546" s="155"/>
      <c r="AL546" s="56"/>
      <c r="AM546" s="56"/>
      <c r="AN546" s="56"/>
    </row>
    <row r="547" spans="1:40" x14ac:dyDescent="0.25">
      <c r="L547" s="56"/>
      <c r="M547" s="56"/>
      <c r="N547" s="56"/>
      <c r="O547" s="56"/>
      <c r="R547" s="56"/>
      <c r="Z547" s="56"/>
      <c r="AA547" s="56"/>
      <c r="AB547" s="56"/>
      <c r="AC547" s="56"/>
      <c r="AD547" s="56"/>
      <c r="AE547" s="56"/>
      <c r="AF547" s="56"/>
      <c r="AG547" s="155"/>
      <c r="AH547" s="56"/>
      <c r="AK547" s="155"/>
      <c r="AL547" s="56"/>
      <c r="AM547" s="56"/>
      <c r="AN547" s="56"/>
    </row>
    <row r="548" spans="1:40" x14ac:dyDescent="0.25">
      <c r="A548" s="56"/>
      <c r="C548" s="56"/>
      <c r="D548" s="56"/>
      <c r="E548" s="56"/>
      <c r="F548" s="56"/>
      <c r="J548" s="56"/>
      <c r="K548" s="56"/>
      <c r="L548" s="56"/>
      <c r="M548" s="56"/>
      <c r="N548" s="56"/>
      <c r="O548" s="56"/>
      <c r="P548" s="56"/>
      <c r="Q548" s="56"/>
      <c r="R548" s="56"/>
      <c r="T548" s="56"/>
      <c r="U548" s="56"/>
      <c r="V548" s="56"/>
      <c r="Z548" s="56"/>
      <c r="AA548" s="56"/>
      <c r="AB548" s="56"/>
      <c r="AC548" s="56"/>
      <c r="AD548" s="56"/>
      <c r="AE548" s="56"/>
      <c r="AF548" s="56"/>
      <c r="AG548" s="155"/>
      <c r="AH548" s="56"/>
      <c r="AI548" s="56"/>
      <c r="AJ548" s="56"/>
      <c r="AK548" s="155"/>
      <c r="AL548" s="56"/>
      <c r="AM548" s="56"/>
      <c r="AN548" s="56"/>
    </row>
    <row r="549" spans="1:40" x14ac:dyDescent="0.25">
      <c r="A549" s="56"/>
      <c r="C549" s="56"/>
      <c r="D549" s="56"/>
      <c r="E549" s="56"/>
      <c r="F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T549" s="56"/>
      <c r="U549" s="56"/>
      <c r="V549" s="56"/>
      <c r="Y549" s="56"/>
      <c r="Z549" s="56"/>
      <c r="AA549" s="56"/>
      <c r="AB549" s="56"/>
      <c r="AC549" s="56"/>
      <c r="AD549" s="56"/>
      <c r="AE549" s="56"/>
      <c r="AF549" s="56"/>
      <c r="AG549" s="155"/>
      <c r="AH549" s="56"/>
      <c r="AI549" s="56"/>
      <c r="AJ549" s="56"/>
      <c r="AK549" s="155"/>
      <c r="AL549" s="56"/>
      <c r="AM549" s="56"/>
      <c r="AN549" s="56"/>
    </row>
    <row r="550" spans="1:40" x14ac:dyDescent="0.25">
      <c r="C550" s="56"/>
      <c r="D550" s="56"/>
      <c r="E550" s="56"/>
      <c r="F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T550" s="56"/>
      <c r="U550" s="56"/>
      <c r="V550" s="56"/>
      <c r="Y550" s="56"/>
      <c r="Z550" s="56"/>
      <c r="AA550" s="56"/>
      <c r="AB550" s="56"/>
      <c r="AC550" s="56"/>
      <c r="AD550" s="56"/>
      <c r="AE550" s="56"/>
      <c r="AF550" s="56"/>
      <c r="AG550" s="155"/>
      <c r="AH550" s="56"/>
      <c r="AI550" s="56"/>
      <c r="AJ550" s="56"/>
      <c r="AK550" s="155"/>
      <c r="AL550" s="56"/>
      <c r="AM550" s="56"/>
      <c r="AN550" s="56"/>
    </row>
    <row r="551" spans="1:40" x14ac:dyDescent="0.25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154"/>
      <c r="AH551" s="55"/>
      <c r="AI551" s="55"/>
      <c r="AJ551" s="55"/>
      <c r="AK551" s="154"/>
      <c r="AL551" s="55"/>
      <c r="AM551" s="55"/>
      <c r="AN551" s="55"/>
    </row>
    <row r="552" spans="1:40" x14ac:dyDescent="0.25"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Y552" s="56"/>
      <c r="Z552" s="56"/>
      <c r="AA552" s="56"/>
      <c r="AB552" s="56"/>
      <c r="AC552" s="56"/>
      <c r="AD552" s="56"/>
      <c r="AE552" s="56"/>
      <c r="AF552" s="56"/>
      <c r="AG552" s="155"/>
      <c r="AH552" s="56"/>
      <c r="AI552" s="56"/>
      <c r="AJ552" s="56"/>
      <c r="AK552" s="155"/>
      <c r="AL552" s="56"/>
      <c r="AM552" s="56"/>
      <c r="AN552" s="56"/>
    </row>
    <row r="553" spans="1:40" x14ac:dyDescent="0.25">
      <c r="A553" s="53"/>
      <c r="C553" s="54"/>
      <c r="D553" s="54"/>
      <c r="E553" s="54"/>
      <c r="T553" s="54"/>
      <c r="U553" s="54"/>
    </row>
    <row r="555" spans="1:40" x14ac:dyDescent="0.25">
      <c r="A555" s="53"/>
      <c r="C555" s="54"/>
      <c r="T555" s="54"/>
    </row>
    <row r="556" spans="1:40" x14ac:dyDescent="0.25">
      <c r="A556" s="53"/>
      <c r="C556" s="54"/>
      <c r="T556" s="54"/>
    </row>
    <row r="557" spans="1:40" x14ac:dyDescent="0.25">
      <c r="A557" s="53"/>
      <c r="C557" s="54"/>
      <c r="F557" s="449"/>
      <c r="H557" s="449"/>
      <c r="I557" s="449"/>
      <c r="J557" s="221"/>
      <c r="K557" s="221"/>
      <c r="L557" s="379"/>
      <c r="M557" s="379"/>
      <c r="N557" s="50"/>
      <c r="O557" s="50"/>
      <c r="P557" s="379"/>
      <c r="Q557" s="379"/>
      <c r="R557" s="379"/>
      <c r="T557" s="54"/>
      <c r="V557" s="379"/>
      <c r="W557" s="379"/>
      <c r="X557" s="379"/>
      <c r="Y557" s="379"/>
      <c r="Z557" s="221"/>
      <c r="AA557" s="379"/>
      <c r="AB557" s="379"/>
      <c r="AC557" s="50"/>
      <c r="AD557" s="50"/>
      <c r="AE557" s="379"/>
      <c r="AF557" s="379"/>
      <c r="AG557" s="156"/>
      <c r="AH557" s="60"/>
      <c r="AI557" s="379"/>
      <c r="AJ557" s="379"/>
      <c r="AK557" s="156"/>
      <c r="AL557" s="379"/>
      <c r="AM557" s="60"/>
      <c r="AN557" s="60"/>
    </row>
    <row r="558" spans="1:40" x14ac:dyDescent="0.25">
      <c r="A558" s="53"/>
      <c r="C558" s="54"/>
      <c r="F558" s="379"/>
      <c r="H558" s="379"/>
      <c r="I558" s="379"/>
      <c r="J558" s="65"/>
      <c r="K558" s="65"/>
      <c r="L558" s="379"/>
      <c r="M558" s="379"/>
      <c r="N558" s="50"/>
      <c r="O558" s="50"/>
      <c r="P558" s="379"/>
      <c r="Q558" s="379"/>
      <c r="R558" s="379"/>
      <c r="T558" s="54"/>
      <c r="V558" s="379"/>
      <c r="W558" s="379"/>
      <c r="X558" s="379"/>
      <c r="Y558" s="379"/>
      <c r="Z558" s="65"/>
      <c r="AA558" s="379"/>
      <c r="AB558" s="379"/>
      <c r="AC558" s="50"/>
      <c r="AD558" s="50"/>
      <c r="AE558" s="379"/>
      <c r="AF558" s="379"/>
      <c r="AG558" s="156"/>
      <c r="AH558" s="60"/>
      <c r="AI558" s="379"/>
      <c r="AJ558" s="379"/>
      <c r="AK558" s="156"/>
      <c r="AL558" s="379"/>
      <c r="AM558" s="60"/>
      <c r="AN558" s="60"/>
    </row>
    <row r="559" spans="1:40" x14ac:dyDescent="0.25">
      <c r="A559" s="53"/>
      <c r="C559" s="54"/>
      <c r="F559" s="379"/>
      <c r="H559" s="379"/>
      <c r="I559" s="379"/>
      <c r="J559" s="65"/>
      <c r="K559" s="65"/>
      <c r="L559" s="379"/>
      <c r="M559" s="379"/>
      <c r="N559" s="50"/>
      <c r="O559" s="50"/>
      <c r="P559" s="379"/>
      <c r="Q559" s="379"/>
      <c r="R559" s="379"/>
      <c r="T559" s="54"/>
      <c r="V559" s="379"/>
      <c r="W559" s="379"/>
      <c r="X559" s="379"/>
      <c r="Y559" s="379"/>
      <c r="Z559" s="65"/>
      <c r="AA559" s="379"/>
      <c r="AB559" s="379"/>
      <c r="AC559" s="50"/>
      <c r="AD559" s="50"/>
      <c r="AE559" s="379"/>
      <c r="AF559" s="379"/>
      <c r="AG559" s="156"/>
      <c r="AH559" s="60"/>
      <c r="AI559" s="379"/>
      <c r="AJ559" s="379"/>
      <c r="AK559" s="156"/>
      <c r="AL559" s="379"/>
      <c r="AM559" s="60"/>
      <c r="AN559" s="60"/>
    </row>
    <row r="560" spans="1:40" x14ac:dyDescent="0.25">
      <c r="A560" s="53"/>
      <c r="C560" s="54"/>
      <c r="F560" s="379"/>
      <c r="H560" s="379"/>
      <c r="I560" s="379"/>
      <c r="J560" s="65"/>
      <c r="K560" s="65"/>
      <c r="T560" s="54"/>
      <c r="V560" s="379"/>
      <c r="Z560" s="65"/>
    </row>
    <row r="561" spans="1:40" x14ac:dyDescent="0.25">
      <c r="A561" s="53"/>
      <c r="C561" s="54"/>
      <c r="F561" s="449"/>
      <c r="H561" s="449"/>
      <c r="I561" s="449"/>
      <c r="J561" s="221"/>
      <c r="K561" s="221"/>
      <c r="L561" s="379"/>
      <c r="M561" s="379"/>
      <c r="N561" s="50"/>
      <c r="O561" s="50"/>
      <c r="P561" s="379"/>
      <c r="Q561" s="379"/>
      <c r="R561" s="379"/>
      <c r="T561" s="54"/>
      <c r="V561" s="379"/>
      <c r="W561" s="379"/>
      <c r="X561" s="379"/>
      <c r="Y561" s="379"/>
      <c r="Z561" s="221"/>
      <c r="AA561" s="379"/>
      <c r="AB561" s="379"/>
      <c r="AC561" s="50"/>
      <c r="AD561" s="50"/>
      <c r="AE561" s="379"/>
      <c r="AF561" s="379"/>
      <c r="AG561" s="156"/>
      <c r="AH561" s="60"/>
      <c r="AI561" s="379"/>
      <c r="AJ561" s="379"/>
      <c r="AK561" s="156"/>
      <c r="AL561" s="379"/>
      <c r="AM561" s="60"/>
      <c r="AN561" s="60"/>
    </row>
    <row r="562" spans="1:40" x14ac:dyDescent="0.25">
      <c r="A562" s="53"/>
      <c r="C562" s="54"/>
      <c r="F562" s="379"/>
      <c r="H562" s="379"/>
      <c r="I562" s="379"/>
      <c r="J562" s="65"/>
      <c r="K562" s="65"/>
      <c r="T562" s="54"/>
      <c r="V562" s="379"/>
      <c r="W562" s="379"/>
      <c r="X562" s="379"/>
      <c r="Y562" s="379"/>
      <c r="Z562" s="65"/>
      <c r="AC562" s="50"/>
      <c r="AD562" s="50"/>
      <c r="AE562" s="379"/>
      <c r="AF562" s="379"/>
      <c r="AG562" s="156"/>
      <c r="AH562" s="60"/>
      <c r="AI562" s="379"/>
      <c r="AJ562" s="379"/>
      <c r="AK562" s="156"/>
      <c r="AL562" s="379"/>
      <c r="AM562" s="60"/>
      <c r="AN562" s="60"/>
    </row>
    <row r="563" spans="1:40" x14ac:dyDescent="0.25">
      <c r="A563" s="53"/>
      <c r="C563" s="54"/>
      <c r="F563" s="449"/>
      <c r="H563" s="449"/>
      <c r="I563" s="449"/>
      <c r="J563" s="221"/>
      <c r="K563" s="221"/>
      <c r="L563" s="379"/>
      <c r="M563" s="379"/>
      <c r="N563" s="50"/>
      <c r="O563" s="50"/>
      <c r="P563" s="379"/>
      <c r="Q563" s="379"/>
      <c r="R563" s="379"/>
      <c r="T563" s="54"/>
      <c r="V563" s="379"/>
      <c r="W563" s="379"/>
      <c r="X563" s="379"/>
      <c r="Y563" s="379"/>
      <c r="Z563" s="221"/>
      <c r="AA563" s="379"/>
      <c r="AB563" s="379"/>
      <c r="AC563" s="50"/>
      <c r="AD563" s="50"/>
      <c r="AE563" s="379"/>
      <c r="AF563" s="379"/>
      <c r="AG563" s="156"/>
      <c r="AH563" s="60"/>
      <c r="AI563" s="379"/>
      <c r="AJ563" s="379"/>
      <c r="AK563" s="156"/>
      <c r="AL563" s="379"/>
      <c r="AM563" s="60"/>
      <c r="AN563" s="60"/>
    </row>
    <row r="564" spans="1:40" x14ac:dyDescent="0.25">
      <c r="A564" s="53"/>
      <c r="C564" s="54"/>
      <c r="F564" s="379"/>
      <c r="H564" s="379"/>
      <c r="I564" s="379"/>
      <c r="J564" s="65"/>
      <c r="K564" s="65"/>
      <c r="L564" s="379"/>
      <c r="M564" s="379"/>
      <c r="N564" s="50"/>
      <c r="O564" s="50"/>
      <c r="P564" s="379"/>
      <c r="Q564" s="379"/>
      <c r="R564" s="379"/>
      <c r="T564" s="54"/>
      <c r="V564" s="379"/>
      <c r="W564" s="379"/>
      <c r="X564" s="379"/>
      <c r="Y564" s="379"/>
      <c r="Z564" s="65"/>
      <c r="AA564" s="379"/>
      <c r="AB564" s="379"/>
      <c r="AC564" s="50"/>
      <c r="AD564" s="50"/>
      <c r="AE564" s="379"/>
      <c r="AF564" s="379"/>
      <c r="AG564" s="156"/>
      <c r="AH564" s="60"/>
      <c r="AI564" s="379"/>
      <c r="AJ564" s="379"/>
      <c r="AK564" s="156"/>
      <c r="AL564" s="379"/>
      <c r="AM564" s="60"/>
      <c r="AN564" s="60"/>
    </row>
    <row r="565" spans="1:40" x14ac:dyDescent="0.25">
      <c r="F565" s="379"/>
      <c r="H565" s="379"/>
      <c r="I565" s="379"/>
      <c r="J565" s="65"/>
      <c r="K565" s="65"/>
      <c r="Z565" s="65"/>
    </row>
    <row r="566" spans="1:40" x14ac:dyDescent="0.25">
      <c r="A566" s="53"/>
      <c r="C566" s="54"/>
      <c r="F566" s="379"/>
      <c r="H566" s="449"/>
      <c r="I566" s="449"/>
      <c r="J566" s="221"/>
      <c r="K566" s="221"/>
      <c r="L566" s="379"/>
      <c r="M566" s="379"/>
      <c r="N566" s="50"/>
      <c r="O566" s="50"/>
      <c r="P566" s="379"/>
      <c r="Q566" s="379"/>
      <c r="R566" s="379"/>
      <c r="T566" s="54"/>
      <c r="V566" s="379"/>
      <c r="W566" s="379"/>
      <c r="X566" s="379"/>
      <c r="Y566" s="379"/>
      <c r="Z566" s="221"/>
      <c r="AA566" s="379"/>
      <c r="AB566" s="379"/>
      <c r="AC566" s="50"/>
      <c r="AD566" s="50"/>
      <c r="AE566" s="379"/>
      <c r="AF566" s="379"/>
      <c r="AG566" s="156"/>
      <c r="AH566" s="60"/>
      <c r="AI566" s="379"/>
      <c r="AJ566" s="379"/>
      <c r="AK566" s="156"/>
      <c r="AL566" s="379"/>
      <c r="AM566" s="60"/>
      <c r="AN566" s="60"/>
    </row>
    <row r="567" spans="1:40" x14ac:dyDescent="0.25">
      <c r="F567" s="381"/>
      <c r="H567" s="381"/>
      <c r="I567" s="381"/>
      <c r="J567" s="221"/>
      <c r="K567" s="221"/>
      <c r="L567" s="381"/>
      <c r="M567" s="381"/>
      <c r="N567" s="381"/>
      <c r="O567" s="381"/>
      <c r="P567" s="381"/>
      <c r="Q567" s="381"/>
      <c r="R567" s="381"/>
      <c r="V567" s="381"/>
      <c r="Y567" s="381"/>
      <c r="Z567" s="221"/>
      <c r="AA567" s="381"/>
      <c r="AB567" s="381"/>
      <c r="AC567" s="381"/>
      <c r="AD567" s="381"/>
      <c r="AE567" s="381"/>
      <c r="AF567" s="381"/>
      <c r="AI567" s="381"/>
      <c r="AJ567" s="381"/>
      <c r="AK567" s="162"/>
      <c r="AL567" s="381"/>
    </row>
    <row r="568" spans="1:40" x14ac:dyDescent="0.25">
      <c r="A568" s="53"/>
      <c r="C568" s="54"/>
      <c r="F568" s="379"/>
      <c r="H568" s="379"/>
      <c r="I568" s="379"/>
      <c r="J568" s="65"/>
      <c r="K568" s="65"/>
      <c r="L568" s="379"/>
      <c r="M568" s="379"/>
      <c r="N568" s="53"/>
      <c r="O568" s="53"/>
      <c r="P568" s="379"/>
      <c r="Q568" s="379"/>
      <c r="R568" s="379"/>
      <c r="T568" s="54"/>
      <c r="V568" s="379"/>
      <c r="Y568" s="379"/>
      <c r="Z568" s="65"/>
      <c r="AA568" s="379"/>
      <c r="AB568" s="379"/>
      <c r="AC568" s="60"/>
      <c r="AD568" s="60"/>
      <c r="AE568" s="379"/>
      <c r="AF568" s="379"/>
      <c r="AG568" s="156"/>
      <c r="AH568" s="60"/>
      <c r="AI568" s="379"/>
      <c r="AJ568" s="379"/>
      <c r="AK568" s="156"/>
      <c r="AL568" s="379"/>
      <c r="AM568" s="60"/>
      <c r="AN568" s="60"/>
    </row>
    <row r="569" spans="1:40" x14ac:dyDescent="0.25">
      <c r="F569" s="381"/>
      <c r="H569" s="381"/>
      <c r="I569" s="381"/>
      <c r="J569" s="221"/>
      <c r="K569" s="221"/>
      <c r="L569" s="381"/>
      <c r="M569" s="381"/>
      <c r="N569" s="381"/>
      <c r="O569" s="381"/>
      <c r="P569" s="381"/>
      <c r="Q569" s="381"/>
      <c r="R569" s="381"/>
      <c r="V569" s="381"/>
      <c r="Y569" s="381"/>
      <c r="Z569" s="221"/>
      <c r="AA569" s="381"/>
      <c r="AB569" s="381"/>
      <c r="AC569" s="381"/>
      <c r="AD569" s="381"/>
      <c r="AE569" s="381"/>
      <c r="AF569" s="381"/>
      <c r="AI569" s="381"/>
      <c r="AJ569" s="381"/>
      <c r="AK569" s="162"/>
      <c r="AL569" s="381"/>
    </row>
    <row r="570" spans="1:40" x14ac:dyDescent="0.25">
      <c r="J570" s="65"/>
      <c r="K570" s="65"/>
      <c r="Z570" s="65"/>
    </row>
    <row r="571" spans="1:40" x14ac:dyDescent="0.25">
      <c r="A571" s="53"/>
      <c r="C571" s="54"/>
      <c r="J571" s="65"/>
      <c r="K571" s="65"/>
      <c r="T571" s="54"/>
      <c r="Z571" s="65"/>
    </row>
    <row r="572" spans="1:40" x14ac:dyDescent="0.25">
      <c r="A572" s="53"/>
      <c r="C572" s="54"/>
      <c r="J572" s="65"/>
      <c r="K572" s="65"/>
      <c r="T572" s="54"/>
      <c r="Z572" s="65"/>
    </row>
    <row r="573" spans="1:40" x14ac:dyDescent="0.25">
      <c r="A573" s="53"/>
      <c r="C573" s="54"/>
      <c r="F573" s="449"/>
      <c r="H573" s="449"/>
      <c r="I573" s="449"/>
      <c r="J573" s="221"/>
      <c r="K573" s="221"/>
      <c r="L573" s="379"/>
      <c r="M573" s="379"/>
      <c r="N573" s="50"/>
      <c r="O573" s="50"/>
      <c r="P573" s="379"/>
      <c r="Q573" s="379"/>
      <c r="R573" s="379"/>
      <c r="T573" s="54"/>
      <c r="V573" s="379"/>
      <c r="W573" s="379"/>
      <c r="X573" s="379"/>
      <c r="Y573" s="379"/>
      <c r="Z573" s="221"/>
      <c r="AA573" s="379"/>
      <c r="AB573" s="379"/>
      <c r="AC573" s="50"/>
      <c r="AD573" s="50"/>
      <c r="AE573" s="379"/>
      <c r="AF573" s="379"/>
      <c r="AG573" s="156"/>
      <c r="AH573" s="60"/>
      <c r="AI573" s="379"/>
      <c r="AJ573" s="379"/>
      <c r="AK573" s="156"/>
      <c r="AL573" s="379"/>
      <c r="AM573" s="60"/>
      <c r="AN573" s="60"/>
    </row>
    <row r="574" spans="1:40" x14ac:dyDescent="0.25">
      <c r="A574" s="53"/>
      <c r="C574" s="54"/>
      <c r="J574" s="65"/>
      <c r="K574" s="65"/>
      <c r="T574" s="54"/>
      <c r="Z574" s="65"/>
    </row>
    <row r="575" spans="1:40" x14ac:dyDescent="0.25">
      <c r="A575" s="53"/>
      <c r="C575" s="54"/>
      <c r="F575" s="449"/>
      <c r="H575" s="449"/>
      <c r="I575" s="449"/>
      <c r="J575" s="221"/>
      <c r="K575" s="221"/>
      <c r="L575" s="379"/>
      <c r="M575" s="379"/>
      <c r="N575" s="50"/>
      <c r="O575" s="50"/>
      <c r="P575" s="379"/>
      <c r="Q575" s="379"/>
      <c r="R575" s="379"/>
      <c r="T575" s="54"/>
      <c r="V575" s="379"/>
      <c r="W575" s="379"/>
      <c r="X575" s="379"/>
      <c r="Y575" s="379"/>
      <c r="Z575" s="221"/>
      <c r="AA575" s="379"/>
      <c r="AB575" s="379"/>
      <c r="AC575" s="50"/>
      <c r="AD575" s="50"/>
      <c r="AE575" s="379"/>
      <c r="AF575" s="379"/>
      <c r="AG575" s="156"/>
      <c r="AH575" s="60"/>
      <c r="AI575" s="379"/>
      <c r="AJ575" s="379"/>
      <c r="AK575" s="156"/>
      <c r="AL575" s="379"/>
      <c r="AM575" s="60"/>
      <c r="AN575" s="60"/>
    </row>
    <row r="576" spans="1:40" x14ac:dyDescent="0.25">
      <c r="F576" s="381"/>
      <c r="H576" s="381"/>
      <c r="I576" s="381"/>
      <c r="J576" s="221"/>
      <c r="K576" s="221"/>
      <c r="L576" s="381"/>
      <c r="M576" s="381"/>
      <c r="N576" s="381"/>
      <c r="O576" s="381"/>
      <c r="P576" s="381"/>
      <c r="Q576" s="381"/>
      <c r="R576" s="381"/>
      <c r="V576" s="381"/>
      <c r="Y576" s="381"/>
      <c r="Z576" s="221"/>
      <c r="AA576" s="381"/>
      <c r="AB576" s="381"/>
      <c r="AC576" s="381"/>
      <c r="AD576" s="381"/>
      <c r="AE576" s="381"/>
      <c r="AF576" s="381"/>
      <c r="AI576" s="381"/>
      <c r="AJ576" s="381"/>
      <c r="AK576" s="162"/>
      <c r="AL576" s="381"/>
    </row>
    <row r="577" spans="1:40" x14ac:dyDescent="0.25">
      <c r="A577" s="53"/>
      <c r="C577" s="54"/>
      <c r="F577" s="379"/>
      <c r="H577" s="379"/>
      <c r="I577" s="379"/>
      <c r="J577" s="65"/>
      <c r="K577" s="65"/>
      <c r="L577" s="379"/>
      <c r="M577" s="379"/>
      <c r="N577" s="60"/>
      <c r="O577" s="60"/>
      <c r="P577" s="379"/>
      <c r="Q577" s="379"/>
      <c r="R577" s="379"/>
      <c r="T577" s="54"/>
      <c r="V577" s="379"/>
      <c r="Y577" s="379"/>
      <c r="Z577" s="65"/>
      <c r="AA577" s="379"/>
      <c r="AB577" s="379"/>
      <c r="AC577" s="60"/>
      <c r="AD577" s="60"/>
      <c r="AE577" s="379"/>
      <c r="AF577" s="379"/>
      <c r="AG577" s="156"/>
      <c r="AH577" s="60"/>
      <c r="AI577" s="379"/>
      <c r="AJ577" s="379"/>
      <c r="AK577" s="156"/>
      <c r="AL577" s="379"/>
      <c r="AM577" s="60"/>
      <c r="AN577" s="60"/>
    </row>
    <row r="578" spans="1:40" x14ac:dyDescent="0.25">
      <c r="F578" s="381"/>
      <c r="H578" s="381"/>
      <c r="I578" s="381"/>
      <c r="J578" s="221"/>
      <c r="K578" s="221"/>
      <c r="L578" s="381"/>
      <c r="M578" s="381"/>
      <c r="N578" s="381"/>
      <c r="O578" s="381"/>
      <c r="P578" s="381"/>
      <c r="Q578" s="381"/>
      <c r="R578" s="381"/>
      <c r="V578" s="381"/>
      <c r="Y578" s="381"/>
      <c r="Z578" s="464"/>
      <c r="AA578" s="381"/>
      <c r="AB578" s="381"/>
      <c r="AC578" s="381"/>
      <c r="AD578" s="381"/>
      <c r="AE578" s="381"/>
      <c r="AF578" s="381"/>
      <c r="AI578" s="381"/>
      <c r="AJ578" s="381"/>
      <c r="AK578" s="162"/>
      <c r="AL578" s="381"/>
    </row>
    <row r="579" spans="1:40" x14ac:dyDescent="0.25">
      <c r="J579" s="65"/>
      <c r="K579" s="65"/>
    </row>
    <row r="580" spans="1:40" x14ac:dyDescent="0.25">
      <c r="A580" s="53"/>
      <c r="C580" s="54"/>
      <c r="F580" s="379"/>
      <c r="H580" s="379"/>
      <c r="I580" s="379"/>
      <c r="J580" s="65"/>
      <c r="K580" s="65"/>
      <c r="L580" s="379"/>
      <c r="M580" s="379"/>
      <c r="N580" s="50"/>
      <c r="O580" s="50"/>
      <c r="P580" s="449"/>
      <c r="Q580" s="449"/>
      <c r="R580" s="379"/>
      <c r="T580" s="54"/>
      <c r="V580" s="379"/>
      <c r="Y580" s="379"/>
      <c r="AA580" s="379"/>
      <c r="AB580" s="379"/>
      <c r="AC580" s="60"/>
      <c r="AD580" s="60"/>
      <c r="AE580" s="379"/>
      <c r="AF580" s="379"/>
      <c r="AG580" s="156"/>
      <c r="AH580" s="60"/>
      <c r="AI580" s="449"/>
      <c r="AJ580" s="449"/>
      <c r="AK580" s="156"/>
      <c r="AL580" s="379"/>
      <c r="AM580" s="60"/>
      <c r="AN580" s="60"/>
    </row>
    <row r="581" spans="1:40" x14ac:dyDescent="0.25">
      <c r="F581" s="381"/>
      <c r="H581" s="381"/>
      <c r="I581" s="381"/>
      <c r="J581" s="221"/>
      <c r="K581" s="221"/>
      <c r="L581" s="381"/>
      <c r="M581" s="381"/>
      <c r="N581" s="381"/>
      <c r="O581" s="381"/>
      <c r="P581" s="381"/>
      <c r="Q581" s="381"/>
      <c r="R581" s="381"/>
      <c r="V581" s="381"/>
      <c r="Y581" s="381"/>
      <c r="Z581" s="464"/>
      <c r="AA581" s="381"/>
      <c r="AB581" s="381"/>
      <c r="AC581" s="381"/>
      <c r="AD581" s="381"/>
      <c r="AE581" s="381"/>
      <c r="AF581" s="381"/>
      <c r="AI581" s="381"/>
      <c r="AJ581" s="381"/>
      <c r="AK581" s="162"/>
      <c r="AL581" s="381"/>
    </row>
    <row r="583" spans="1:40" x14ac:dyDescent="0.25">
      <c r="C583" s="53"/>
      <c r="T583" s="53"/>
    </row>
    <row r="584" spans="1:40" x14ac:dyDescent="0.25">
      <c r="A584" s="54"/>
    </row>
    <row r="585" spans="1:40" x14ac:dyDescent="0.25">
      <c r="J585" s="53"/>
      <c r="K585" s="53"/>
      <c r="Z585" s="53"/>
    </row>
    <row r="586" spans="1:40" x14ac:dyDescent="0.25">
      <c r="H586" s="54"/>
      <c r="I586" s="54"/>
      <c r="Y586" s="54"/>
    </row>
    <row r="587" spans="1:40" x14ac:dyDescent="0.25">
      <c r="J587" s="53"/>
      <c r="K587" s="53"/>
      <c r="Z587" s="53"/>
    </row>
    <row r="588" spans="1:40" x14ac:dyDescent="0.25">
      <c r="L588" s="54"/>
      <c r="M588" s="54"/>
      <c r="AA588" s="54"/>
      <c r="AB588" s="54"/>
    </row>
    <row r="589" spans="1:40" x14ac:dyDescent="0.25">
      <c r="A589" s="53"/>
      <c r="R589" s="54"/>
      <c r="AK589" s="161"/>
      <c r="AL589" s="54"/>
    </row>
    <row r="590" spans="1:40" x14ac:dyDescent="0.25">
      <c r="A590" s="53"/>
      <c r="R590" s="54"/>
      <c r="AK590" s="161"/>
      <c r="AL590" s="54"/>
    </row>
    <row r="591" spans="1:40" x14ac:dyDescent="0.25">
      <c r="A591" s="54"/>
      <c r="R591" s="54"/>
      <c r="AK591" s="161"/>
      <c r="AL591" s="54"/>
    </row>
    <row r="592" spans="1:40" x14ac:dyDescent="0.25">
      <c r="L592" s="54"/>
      <c r="M592" s="54"/>
      <c r="R592" s="53"/>
      <c r="AA592" s="54"/>
      <c r="AB592" s="54"/>
      <c r="AK592" s="156"/>
      <c r="AL592" s="53"/>
    </row>
    <row r="593" spans="1:40" x14ac:dyDescent="0.25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154"/>
      <c r="AH593" s="55"/>
      <c r="AI593" s="55"/>
      <c r="AJ593" s="55"/>
      <c r="AK593" s="154"/>
      <c r="AL593" s="55"/>
      <c r="AM593" s="55"/>
      <c r="AN593" s="55"/>
    </row>
    <row r="594" spans="1:40" x14ac:dyDescent="0.25">
      <c r="L594" s="56"/>
      <c r="M594" s="56"/>
      <c r="N594" s="56"/>
      <c r="O594" s="56"/>
      <c r="R594" s="56"/>
      <c r="AA594" s="56"/>
      <c r="AB594" s="56"/>
      <c r="AC594" s="56"/>
      <c r="AD594" s="56"/>
      <c r="AE594" s="56"/>
      <c r="AF594" s="56"/>
      <c r="AG594" s="155"/>
      <c r="AH594" s="56"/>
      <c r="AK594" s="155"/>
      <c r="AL594" s="56"/>
      <c r="AM594" s="56"/>
      <c r="AN594" s="56"/>
    </row>
    <row r="595" spans="1:40" x14ac:dyDescent="0.25">
      <c r="L595" s="56"/>
      <c r="M595" s="56"/>
      <c r="N595" s="56"/>
      <c r="O595" s="56"/>
      <c r="R595" s="56"/>
      <c r="Z595" s="56"/>
      <c r="AA595" s="56"/>
      <c r="AB595" s="56"/>
      <c r="AC595" s="56"/>
      <c r="AD595" s="56"/>
      <c r="AE595" s="56"/>
      <c r="AF595" s="56"/>
      <c r="AG595" s="155"/>
      <c r="AH595" s="56"/>
      <c r="AK595" s="155"/>
      <c r="AL595" s="56"/>
      <c r="AM595" s="56"/>
      <c r="AN595" s="56"/>
    </row>
    <row r="596" spans="1:40" x14ac:dyDescent="0.25">
      <c r="A596" s="56"/>
      <c r="C596" s="56"/>
      <c r="D596" s="56"/>
      <c r="E596" s="56"/>
      <c r="F596" s="56"/>
      <c r="J596" s="56"/>
      <c r="K596" s="56"/>
      <c r="L596" s="56"/>
      <c r="M596" s="56"/>
      <c r="N596" s="56"/>
      <c r="O596" s="56"/>
      <c r="P596" s="56"/>
      <c r="Q596" s="56"/>
      <c r="R596" s="56"/>
      <c r="T596" s="56"/>
      <c r="U596" s="56"/>
      <c r="V596" s="56"/>
      <c r="Z596" s="56"/>
      <c r="AA596" s="56"/>
      <c r="AB596" s="56"/>
      <c r="AC596" s="56"/>
      <c r="AD596" s="56"/>
      <c r="AE596" s="56"/>
      <c r="AF596" s="56"/>
      <c r="AG596" s="155"/>
      <c r="AH596" s="56"/>
      <c r="AI596" s="56"/>
      <c r="AJ596" s="56"/>
      <c r="AK596" s="155"/>
      <c r="AL596" s="56"/>
      <c r="AM596" s="56"/>
      <c r="AN596" s="56"/>
    </row>
    <row r="597" spans="1:40" x14ac:dyDescent="0.25">
      <c r="A597" s="56"/>
      <c r="C597" s="56"/>
      <c r="D597" s="56"/>
      <c r="E597" s="56"/>
      <c r="F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T597" s="56"/>
      <c r="U597" s="56"/>
      <c r="V597" s="56"/>
      <c r="Y597" s="56"/>
      <c r="Z597" s="56"/>
      <c r="AA597" s="56"/>
      <c r="AB597" s="56"/>
      <c r="AC597" s="56"/>
      <c r="AD597" s="56"/>
      <c r="AE597" s="56"/>
      <c r="AF597" s="56"/>
      <c r="AG597" s="155"/>
      <c r="AH597" s="56"/>
      <c r="AI597" s="56"/>
      <c r="AJ597" s="56"/>
      <c r="AK597" s="155"/>
      <c r="AL597" s="56"/>
      <c r="AM597" s="56"/>
      <c r="AN597" s="56"/>
    </row>
    <row r="598" spans="1:40" x14ac:dyDescent="0.25">
      <c r="C598" s="56"/>
      <c r="D598" s="56"/>
      <c r="E598" s="56"/>
      <c r="F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T598" s="56"/>
      <c r="U598" s="56"/>
      <c r="V598" s="56"/>
      <c r="Y598" s="56"/>
      <c r="Z598" s="56"/>
      <c r="AA598" s="56"/>
      <c r="AB598" s="56"/>
      <c r="AC598" s="56"/>
      <c r="AD598" s="56"/>
      <c r="AE598" s="56"/>
      <c r="AF598" s="56"/>
      <c r="AG598" s="155"/>
      <c r="AH598" s="56"/>
      <c r="AI598" s="56"/>
      <c r="AJ598" s="56"/>
      <c r="AK598" s="155"/>
      <c r="AL598" s="56"/>
      <c r="AM598" s="56"/>
      <c r="AN598" s="56"/>
    </row>
    <row r="599" spans="1:40" x14ac:dyDescent="0.25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154"/>
      <c r="AH599" s="55"/>
      <c r="AI599" s="55"/>
      <c r="AJ599" s="55"/>
      <c r="AK599" s="154"/>
      <c r="AL599" s="55"/>
      <c r="AM599" s="55"/>
      <c r="AN599" s="55"/>
    </row>
    <row r="600" spans="1:40" x14ac:dyDescent="0.25"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Y600" s="56"/>
      <c r="Z600" s="56"/>
      <c r="AA600" s="56"/>
      <c r="AB600" s="56"/>
      <c r="AC600" s="56"/>
      <c r="AD600" s="56"/>
      <c r="AE600" s="56"/>
      <c r="AF600" s="56"/>
      <c r="AG600" s="155"/>
      <c r="AH600" s="56"/>
      <c r="AI600" s="56"/>
      <c r="AJ600" s="56"/>
      <c r="AK600" s="155"/>
      <c r="AL600" s="56"/>
      <c r="AM600" s="56"/>
      <c r="AN600" s="56"/>
    </row>
    <row r="601" spans="1:40" x14ac:dyDescent="0.25">
      <c r="A601" s="53"/>
      <c r="C601" s="54"/>
      <c r="D601" s="54"/>
      <c r="E601" s="54"/>
      <c r="T601" s="54"/>
      <c r="U601" s="54"/>
    </row>
    <row r="603" spans="1:40" x14ac:dyDescent="0.25">
      <c r="A603" s="53"/>
      <c r="C603" s="54"/>
      <c r="D603" s="54"/>
      <c r="E603" s="54"/>
      <c r="T603" s="54"/>
      <c r="U603" s="54"/>
    </row>
    <row r="604" spans="1:40" x14ac:dyDescent="0.25">
      <c r="A604" s="53"/>
      <c r="C604" s="54"/>
      <c r="T604" s="54"/>
    </row>
    <row r="605" spans="1:40" x14ac:dyDescent="0.25">
      <c r="A605" s="53"/>
      <c r="C605" s="54"/>
      <c r="T605" s="54"/>
    </row>
    <row r="606" spans="1:40" x14ac:dyDescent="0.25">
      <c r="A606" s="53"/>
      <c r="C606" s="54"/>
      <c r="F606" s="449"/>
      <c r="H606" s="449"/>
      <c r="I606" s="449"/>
      <c r="J606" s="221"/>
      <c r="K606" s="221"/>
      <c r="L606" s="379"/>
      <c r="M606" s="379"/>
      <c r="N606" s="50"/>
      <c r="O606" s="50"/>
      <c r="P606" s="379"/>
      <c r="Q606" s="379"/>
      <c r="R606" s="379"/>
      <c r="T606" s="54"/>
      <c r="V606" s="379"/>
      <c r="W606" s="379"/>
      <c r="X606" s="379"/>
      <c r="Y606" s="379"/>
      <c r="Z606" s="221"/>
      <c r="AA606" s="379"/>
      <c r="AB606" s="379"/>
      <c r="AC606" s="50"/>
      <c r="AD606" s="50"/>
      <c r="AE606" s="379"/>
      <c r="AF606" s="379"/>
      <c r="AG606" s="156"/>
      <c r="AH606" s="60"/>
      <c r="AI606" s="379"/>
      <c r="AJ606" s="379"/>
      <c r="AK606" s="156"/>
      <c r="AL606" s="379"/>
      <c r="AM606" s="50"/>
      <c r="AN606" s="50"/>
    </row>
    <row r="607" spans="1:40" x14ac:dyDescent="0.25">
      <c r="A607" s="53"/>
      <c r="C607" s="54"/>
      <c r="J607" s="65"/>
      <c r="K607" s="65"/>
      <c r="T607" s="54"/>
      <c r="V607" s="379"/>
      <c r="W607" s="379"/>
      <c r="X607" s="379"/>
      <c r="Y607" s="379"/>
      <c r="Z607" s="221"/>
    </row>
    <row r="608" spans="1:40" x14ac:dyDescent="0.25">
      <c r="A608" s="53"/>
      <c r="C608" s="54"/>
      <c r="F608" s="449"/>
      <c r="H608" s="449"/>
      <c r="I608" s="449"/>
      <c r="J608" s="221"/>
      <c r="K608" s="221"/>
      <c r="L608" s="379"/>
      <c r="M608" s="379"/>
      <c r="N608" s="50"/>
      <c r="O608" s="50"/>
      <c r="P608" s="379"/>
      <c r="Q608" s="379"/>
      <c r="R608" s="379"/>
      <c r="T608" s="54"/>
      <c r="V608" s="379"/>
      <c r="W608" s="379"/>
      <c r="X608" s="379"/>
      <c r="Y608" s="379"/>
      <c r="Z608" s="221"/>
      <c r="AA608" s="379"/>
      <c r="AB608" s="379"/>
      <c r="AC608" s="50"/>
      <c r="AD608" s="50"/>
      <c r="AE608" s="379"/>
      <c r="AF608" s="379"/>
      <c r="AG608" s="156"/>
      <c r="AH608" s="60"/>
      <c r="AI608" s="379"/>
      <c r="AJ608" s="379"/>
      <c r="AK608" s="156"/>
      <c r="AL608" s="379"/>
      <c r="AM608" s="50"/>
      <c r="AN608" s="50"/>
    </row>
    <row r="609" spans="1:40" x14ac:dyDescent="0.25">
      <c r="A609" s="53"/>
      <c r="C609" s="54"/>
      <c r="J609" s="65"/>
      <c r="K609" s="65"/>
      <c r="T609" s="54"/>
      <c r="V609" s="379"/>
      <c r="W609" s="379"/>
      <c r="X609" s="379"/>
      <c r="Y609" s="379"/>
      <c r="Z609" s="221"/>
    </row>
    <row r="610" spans="1:40" x14ac:dyDescent="0.25">
      <c r="A610" s="53"/>
      <c r="C610" s="54"/>
      <c r="F610" s="449"/>
      <c r="H610" s="449"/>
      <c r="I610" s="449"/>
      <c r="J610" s="221"/>
      <c r="K610" s="221"/>
      <c r="L610" s="379"/>
      <c r="M610" s="379"/>
      <c r="N610" s="50"/>
      <c r="O610" s="50"/>
      <c r="P610" s="379"/>
      <c r="Q610" s="379"/>
      <c r="R610" s="379"/>
      <c r="T610" s="54"/>
      <c r="V610" s="379"/>
      <c r="W610" s="379"/>
      <c r="X610" s="379"/>
      <c r="Y610" s="379"/>
      <c r="Z610" s="221"/>
      <c r="AA610" s="379"/>
      <c r="AB610" s="379"/>
      <c r="AC610" s="50"/>
      <c r="AD610" s="50"/>
      <c r="AE610" s="379"/>
      <c r="AF610" s="379"/>
      <c r="AG610" s="156"/>
      <c r="AH610" s="60"/>
      <c r="AI610" s="379"/>
      <c r="AJ610" s="379"/>
      <c r="AK610" s="156"/>
      <c r="AL610" s="379"/>
      <c r="AM610" s="50"/>
      <c r="AN610" s="50"/>
    </row>
    <row r="611" spans="1:40" x14ac:dyDescent="0.25">
      <c r="A611" s="53"/>
      <c r="C611" s="54"/>
      <c r="J611" s="65"/>
      <c r="K611" s="65"/>
      <c r="T611" s="54"/>
      <c r="V611" s="379"/>
      <c r="W611" s="379"/>
      <c r="X611" s="379"/>
      <c r="Y611" s="379"/>
      <c r="Z611" s="221"/>
    </row>
    <row r="612" spans="1:40" x14ac:dyDescent="0.25">
      <c r="A612" s="53"/>
      <c r="C612" s="54"/>
      <c r="F612" s="449"/>
      <c r="H612" s="449"/>
      <c r="I612" s="449"/>
      <c r="J612" s="221"/>
      <c r="K612" s="221"/>
      <c r="L612" s="379"/>
      <c r="M612" s="379"/>
      <c r="N612" s="50"/>
      <c r="O612" s="50"/>
      <c r="P612" s="379"/>
      <c r="Q612" s="379"/>
      <c r="R612" s="379"/>
      <c r="T612" s="54"/>
      <c r="V612" s="379"/>
      <c r="W612" s="379"/>
      <c r="X612" s="379"/>
      <c r="Y612" s="379"/>
      <c r="Z612" s="221"/>
      <c r="AA612" s="379"/>
      <c r="AB612" s="379"/>
      <c r="AC612" s="50"/>
      <c r="AD612" s="50"/>
      <c r="AE612" s="379"/>
      <c r="AF612" s="379"/>
      <c r="AG612" s="156"/>
      <c r="AH612" s="60"/>
      <c r="AI612" s="379"/>
      <c r="AJ612" s="379"/>
      <c r="AK612" s="156"/>
      <c r="AL612" s="379"/>
      <c r="AM612" s="50"/>
      <c r="AN612" s="50"/>
    </row>
    <row r="613" spans="1:40" x14ac:dyDescent="0.25">
      <c r="A613" s="53"/>
      <c r="C613" s="54"/>
      <c r="J613" s="65"/>
      <c r="K613" s="65"/>
      <c r="T613" s="54"/>
      <c r="V613" s="379"/>
      <c r="W613" s="379"/>
      <c r="X613" s="379"/>
      <c r="Y613" s="379"/>
      <c r="Z613" s="221"/>
    </row>
    <row r="614" spans="1:40" x14ac:dyDescent="0.25">
      <c r="A614" s="53"/>
      <c r="C614" s="54"/>
      <c r="F614" s="449"/>
      <c r="H614" s="449"/>
      <c r="I614" s="449"/>
      <c r="J614" s="221"/>
      <c r="K614" s="221"/>
      <c r="L614" s="379"/>
      <c r="M614" s="379"/>
      <c r="N614" s="50"/>
      <c r="O614" s="50"/>
      <c r="P614" s="379"/>
      <c r="Q614" s="379"/>
      <c r="R614" s="379"/>
      <c r="T614" s="54"/>
      <c r="V614" s="379"/>
      <c r="W614" s="379"/>
      <c r="X614" s="379"/>
      <c r="Y614" s="379"/>
      <c r="Z614" s="221"/>
      <c r="AA614" s="379"/>
      <c r="AB614" s="379"/>
      <c r="AC614" s="50"/>
      <c r="AD614" s="50"/>
      <c r="AE614" s="379"/>
      <c r="AF614" s="379"/>
      <c r="AG614" s="156"/>
      <c r="AH614" s="60"/>
      <c r="AI614" s="379"/>
      <c r="AJ614" s="379"/>
      <c r="AK614" s="156"/>
      <c r="AL614" s="379"/>
      <c r="AM614" s="50"/>
      <c r="AN614" s="50"/>
    </row>
    <row r="615" spans="1:40" x14ac:dyDescent="0.25">
      <c r="A615" s="53"/>
      <c r="C615" s="54"/>
      <c r="J615" s="65"/>
      <c r="K615" s="65"/>
      <c r="T615" s="54"/>
      <c r="V615" s="379"/>
      <c r="W615" s="379"/>
      <c r="X615" s="379"/>
      <c r="Y615" s="379"/>
      <c r="Z615" s="221"/>
    </row>
    <row r="616" spans="1:40" x14ac:dyDescent="0.25">
      <c r="A616" s="53"/>
      <c r="C616" s="54"/>
      <c r="F616" s="449"/>
      <c r="H616" s="449"/>
      <c r="I616" s="449"/>
      <c r="J616" s="221"/>
      <c r="K616" s="221"/>
      <c r="L616" s="379"/>
      <c r="M616" s="379"/>
      <c r="N616" s="50"/>
      <c r="O616" s="50"/>
      <c r="P616" s="379"/>
      <c r="Q616" s="379"/>
      <c r="R616" s="379"/>
      <c r="T616" s="54"/>
      <c r="V616" s="379"/>
      <c r="W616" s="379"/>
      <c r="X616" s="379"/>
      <c r="Y616" s="379"/>
      <c r="Z616" s="221"/>
      <c r="AA616" s="379"/>
      <c r="AB616" s="379"/>
      <c r="AC616" s="50"/>
      <c r="AD616" s="50"/>
      <c r="AE616" s="379"/>
      <c r="AF616" s="379"/>
      <c r="AG616" s="156"/>
      <c r="AH616" s="60"/>
      <c r="AI616" s="379"/>
      <c r="AJ616" s="379"/>
      <c r="AK616" s="156"/>
      <c r="AL616" s="379"/>
      <c r="AM616" s="50"/>
      <c r="AN616" s="50"/>
    </row>
    <row r="617" spans="1:40" x14ac:dyDescent="0.25">
      <c r="F617" s="381"/>
      <c r="H617" s="381"/>
      <c r="I617" s="381"/>
      <c r="J617" s="221"/>
      <c r="K617" s="221"/>
      <c r="L617" s="381"/>
      <c r="M617" s="381"/>
      <c r="N617" s="381"/>
      <c r="O617" s="381"/>
      <c r="P617" s="381"/>
      <c r="Q617" s="381"/>
      <c r="R617" s="381"/>
      <c r="V617" s="381"/>
      <c r="Y617" s="381"/>
      <c r="Z617" s="221"/>
      <c r="AA617" s="381"/>
      <c r="AB617" s="381"/>
      <c r="AC617" s="381"/>
      <c r="AD617" s="381"/>
      <c r="AE617" s="381"/>
      <c r="AF617" s="381"/>
      <c r="AI617" s="381"/>
      <c r="AJ617" s="381"/>
      <c r="AK617" s="162"/>
      <c r="AL617" s="381"/>
      <c r="AM617" s="50"/>
      <c r="AN617" s="50"/>
    </row>
    <row r="618" spans="1:40" x14ac:dyDescent="0.25">
      <c r="A618" s="53"/>
      <c r="C618" s="54"/>
      <c r="F618" s="379"/>
      <c r="H618" s="379"/>
      <c r="I618" s="379"/>
      <c r="J618" s="65"/>
      <c r="K618" s="65"/>
      <c r="L618" s="379"/>
      <c r="M618" s="379"/>
      <c r="N618" s="50"/>
      <c r="O618" s="50"/>
      <c r="P618" s="449"/>
      <c r="Q618" s="449"/>
      <c r="R618" s="379"/>
      <c r="T618" s="54"/>
      <c r="V618" s="379"/>
      <c r="W618" s="379"/>
      <c r="X618" s="379"/>
      <c r="Y618" s="379"/>
      <c r="Z618" s="221"/>
      <c r="AA618" s="379"/>
      <c r="AB618" s="379"/>
      <c r="AC618" s="50"/>
      <c r="AD618" s="50"/>
      <c r="AE618" s="379"/>
      <c r="AF618" s="379"/>
      <c r="AG618" s="156"/>
      <c r="AH618" s="60"/>
      <c r="AI618" s="449"/>
      <c r="AJ618" s="449"/>
      <c r="AK618" s="156"/>
      <c r="AL618" s="379"/>
      <c r="AM618" s="50"/>
      <c r="AN618" s="50"/>
    </row>
    <row r="619" spans="1:40" x14ac:dyDescent="0.25">
      <c r="F619" s="381"/>
      <c r="H619" s="381"/>
      <c r="I619" s="381"/>
      <c r="J619" s="221"/>
      <c r="K619" s="221"/>
      <c r="L619" s="381"/>
      <c r="M619" s="381"/>
      <c r="N619" s="381"/>
      <c r="O619" s="381"/>
      <c r="P619" s="381"/>
      <c r="Q619" s="381"/>
      <c r="R619" s="381"/>
      <c r="V619" s="381"/>
      <c r="Y619" s="381"/>
      <c r="Z619" s="221"/>
      <c r="AA619" s="381"/>
      <c r="AB619" s="381"/>
      <c r="AC619" s="381"/>
      <c r="AD619" s="381"/>
      <c r="AE619" s="381"/>
      <c r="AF619" s="381"/>
      <c r="AI619" s="381"/>
      <c r="AJ619" s="381"/>
      <c r="AK619" s="162"/>
      <c r="AL619" s="381"/>
    </row>
    <row r="620" spans="1:40" x14ac:dyDescent="0.25">
      <c r="A620" s="53"/>
      <c r="C620" s="54"/>
      <c r="D620" s="54"/>
      <c r="E620" s="54"/>
      <c r="J620" s="65"/>
      <c r="K620" s="65"/>
      <c r="T620" s="54"/>
      <c r="U620" s="54"/>
      <c r="V620" s="379"/>
      <c r="W620" s="379"/>
      <c r="X620" s="379"/>
      <c r="Y620" s="379"/>
      <c r="Z620" s="221"/>
    </row>
    <row r="621" spans="1:40" x14ac:dyDescent="0.25">
      <c r="A621" s="53"/>
      <c r="C621" s="54"/>
      <c r="J621" s="65"/>
      <c r="K621" s="65"/>
      <c r="T621" s="54"/>
      <c r="V621" s="379"/>
      <c r="W621" s="379"/>
      <c r="X621" s="379"/>
      <c r="Y621" s="379"/>
      <c r="Z621" s="221"/>
    </row>
    <row r="622" spans="1:40" x14ac:dyDescent="0.25">
      <c r="A622" s="53"/>
      <c r="C622" s="54"/>
      <c r="J622" s="65"/>
      <c r="K622" s="65"/>
      <c r="T622" s="54"/>
      <c r="V622" s="379"/>
      <c r="W622" s="379"/>
      <c r="X622" s="379"/>
      <c r="Y622" s="379"/>
      <c r="Z622" s="221"/>
    </row>
    <row r="623" spans="1:40" x14ac:dyDescent="0.25">
      <c r="A623" s="53"/>
      <c r="C623" s="54"/>
      <c r="F623" s="449"/>
      <c r="H623" s="449"/>
      <c r="I623" s="449"/>
      <c r="J623" s="221"/>
      <c r="K623" s="221"/>
      <c r="L623" s="379"/>
      <c r="M623" s="379"/>
      <c r="N623" s="50"/>
      <c r="O623" s="50"/>
      <c r="P623" s="379"/>
      <c r="Q623" s="379"/>
      <c r="R623" s="379"/>
      <c r="T623" s="54"/>
      <c r="V623" s="379"/>
      <c r="W623" s="379"/>
      <c r="X623" s="379"/>
      <c r="Y623" s="379"/>
      <c r="Z623" s="221"/>
      <c r="AA623" s="379"/>
      <c r="AB623" s="379"/>
      <c r="AC623" s="50"/>
      <c r="AD623" s="50"/>
      <c r="AE623" s="379"/>
      <c r="AF623" s="379"/>
      <c r="AG623" s="156"/>
      <c r="AH623" s="60"/>
      <c r="AI623" s="379"/>
      <c r="AJ623" s="379"/>
      <c r="AK623" s="156"/>
      <c r="AL623" s="379"/>
      <c r="AM623" s="50"/>
      <c r="AN623" s="50"/>
    </row>
    <row r="624" spans="1:40" x14ac:dyDescent="0.25">
      <c r="A624" s="53"/>
      <c r="C624" s="54"/>
      <c r="J624" s="65"/>
      <c r="K624" s="65"/>
      <c r="T624" s="54"/>
      <c r="V624" s="379"/>
      <c r="W624" s="379"/>
      <c r="X624" s="379"/>
      <c r="Y624" s="379"/>
      <c r="Z624" s="221"/>
    </row>
    <row r="625" spans="1:40" x14ac:dyDescent="0.25">
      <c r="A625" s="53"/>
      <c r="C625" s="54"/>
      <c r="F625" s="449"/>
      <c r="H625" s="449"/>
      <c r="I625" s="449"/>
      <c r="J625" s="221"/>
      <c r="K625" s="221"/>
      <c r="L625" s="379"/>
      <c r="M625" s="379"/>
      <c r="N625" s="50"/>
      <c r="O625" s="50"/>
      <c r="P625" s="379"/>
      <c r="Q625" s="379"/>
      <c r="R625" s="379"/>
      <c r="T625" s="54"/>
      <c r="V625" s="379"/>
      <c r="W625" s="379"/>
      <c r="X625" s="379"/>
      <c r="Y625" s="379"/>
      <c r="Z625" s="221"/>
      <c r="AA625" s="379"/>
      <c r="AB625" s="379"/>
      <c r="AC625" s="50"/>
      <c r="AD625" s="50"/>
      <c r="AE625" s="379"/>
      <c r="AF625" s="379"/>
      <c r="AG625" s="156"/>
      <c r="AH625" s="60"/>
      <c r="AI625" s="379"/>
      <c r="AJ625" s="379"/>
      <c r="AK625" s="156"/>
      <c r="AL625" s="379"/>
      <c r="AM625" s="50"/>
      <c r="AN625" s="50"/>
    </row>
    <row r="626" spans="1:40" x14ac:dyDescent="0.25">
      <c r="F626" s="381"/>
      <c r="H626" s="381"/>
      <c r="I626" s="381"/>
      <c r="J626" s="221"/>
      <c r="K626" s="221"/>
      <c r="L626" s="381"/>
      <c r="M626" s="381"/>
      <c r="N626" s="381"/>
      <c r="O626" s="381"/>
      <c r="P626" s="381"/>
      <c r="Q626" s="381"/>
      <c r="R626" s="381"/>
      <c r="V626" s="381"/>
      <c r="Y626" s="381"/>
      <c r="Z626" s="464"/>
      <c r="AA626" s="381"/>
      <c r="AB626" s="381"/>
      <c r="AC626" s="381"/>
      <c r="AD626" s="381"/>
      <c r="AE626" s="381"/>
      <c r="AF626" s="381"/>
      <c r="AI626" s="381"/>
      <c r="AJ626" s="381"/>
      <c r="AK626" s="162"/>
      <c r="AL626" s="381"/>
    </row>
    <row r="627" spans="1:40" x14ac:dyDescent="0.25">
      <c r="A627" s="53"/>
      <c r="C627" s="54"/>
      <c r="F627" s="379"/>
      <c r="H627" s="379"/>
      <c r="I627" s="379"/>
      <c r="L627" s="379"/>
      <c r="M627" s="379"/>
      <c r="N627" s="50"/>
      <c r="O627" s="50"/>
      <c r="P627" s="449"/>
      <c r="Q627" s="449"/>
      <c r="R627" s="379"/>
      <c r="T627" s="54"/>
      <c r="V627" s="379"/>
      <c r="W627" s="379"/>
      <c r="X627" s="379"/>
      <c r="Y627" s="379"/>
      <c r="Z627" s="477"/>
      <c r="AA627" s="379"/>
      <c r="AB627" s="379"/>
      <c r="AC627" s="50"/>
      <c r="AD627" s="50"/>
      <c r="AE627" s="379"/>
      <c r="AF627" s="379"/>
      <c r="AG627" s="156"/>
      <c r="AH627" s="60"/>
      <c r="AI627" s="449"/>
      <c r="AJ627" s="449"/>
      <c r="AK627" s="156"/>
      <c r="AL627" s="379"/>
      <c r="AM627" s="50"/>
      <c r="AN627" s="50"/>
    </row>
    <row r="628" spans="1:40" x14ac:dyDescent="0.25">
      <c r="F628" s="381"/>
      <c r="H628" s="381"/>
      <c r="I628" s="381"/>
      <c r="J628" s="464"/>
      <c r="K628" s="464"/>
      <c r="L628" s="381"/>
      <c r="M628" s="381"/>
      <c r="N628" s="381"/>
      <c r="O628" s="381"/>
      <c r="P628" s="381"/>
      <c r="Q628" s="381"/>
      <c r="R628" s="381"/>
      <c r="V628" s="381"/>
      <c r="Y628" s="381"/>
      <c r="Z628" s="464"/>
      <c r="AA628" s="381"/>
      <c r="AB628" s="381"/>
      <c r="AC628" s="381"/>
      <c r="AD628" s="381"/>
      <c r="AE628" s="381"/>
      <c r="AF628" s="381"/>
      <c r="AI628" s="381"/>
      <c r="AJ628" s="381"/>
      <c r="AK628" s="162"/>
      <c r="AL628" s="381"/>
    </row>
    <row r="629" spans="1:40" x14ac:dyDescent="0.25">
      <c r="A629" s="53"/>
      <c r="C629" s="54"/>
      <c r="D629" s="54"/>
      <c r="E629" s="54"/>
      <c r="T629" s="54"/>
      <c r="U629" s="54"/>
      <c r="V629" s="379"/>
      <c r="W629" s="379"/>
      <c r="X629" s="379"/>
      <c r="Y629" s="379"/>
      <c r="Z629" s="477"/>
    </row>
    <row r="630" spans="1:40" x14ac:dyDescent="0.25">
      <c r="A630" s="53"/>
      <c r="C630" s="54"/>
      <c r="T630" s="54"/>
      <c r="V630" s="379"/>
      <c r="W630" s="379"/>
      <c r="X630" s="379"/>
      <c r="Y630" s="379"/>
      <c r="Z630" s="477"/>
    </row>
    <row r="631" spans="1:40" x14ac:dyDescent="0.25">
      <c r="A631" s="53"/>
      <c r="C631" s="54"/>
      <c r="F631" s="449"/>
      <c r="H631" s="449"/>
      <c r="I631" s="449"/>
      <c r="J631" s="477"/>
      <c r="K631" s="477"/>
      <c r="L631" s="379"/>
      <c r="M631" s="379"/>
      <c r="N631" s="50"/>
      <c r="O631" s="50"/>
      <c r="P631" s="379"/>
      <c r="Q631" s="379"/>
      <c r="R631" s="379"/>
      <c r="T631" s="54"/>
      <c r="V631" s="379"/>
      <c r="W631" s="379"/>
      <c r="X631" s="379"/>
      <c r="Y631" s="379"/>
      <c r="Z631" s="477"/>
      <c r="AA631" s="379"/>
      <c r="AB631" s="379"/>
      <c r="AC631" s="50"/>
      <c r="AD631" s="50"/>
      <c r="AE631" s="379"/>
      <c r="AF631" s="379"/>
      <c r="AG631" s="156"/>
      <c r="AH631" s="60"/>
      <c r="AI631" s="379"/>
      <c r="AJ631" s="379"/>
      <c r="AK631" s="156"/>
      <c r="AL631" s="379"/>
      <c r="AM631" s="50"/>
      <c r="AN631" s="50"/>
    </row>
    <row r="632" spans="1:40" x14ac:dyDescent="0.25">
      <c r="A632" s="53"/>
      <c r="C632" s="54"/>
      <c r="T632" s="54"/>
      <c r="V632" s="379"/>
      <c r="W632" s="379"/>
      <c r="X632" s="379"/>
      <c r="Y632" s="379"/>
      <c r="Z632" s="477"/>
    </row>
    <row r="633" spans="1:40" x14ac:dyDescent="0.25">
      <c r="A633" s="53"/>
      <c r="C633" s="54"/>
      <c r="F633" s="449"/>
      <c r="H633" s="449"/>
      <c r="I633" s="449"/>
      <c r="J633" s="477"/>
      <c r="K633" s="477"/>
      <c r="L633" s="379"/>
      <c r="M633" s="379"/>
      <c r="N633" s="50"/>
      <c r="O633" s="50"/>
      <c r="P633" s="379"/>
      <c r="Q633" s="379"/>
      <c r="R633" s="379"/>
      <c r="T633" s="54"/>
      <c r="V633" s="379"/>
      <c r="W633" s="379"/>
      <c r="X633" s="379"/>
      <c r="Y633" s="379"/>
      <c r="Z633" s="477"/>
      <c r="AA633" s="379"/>
      <c r="AB633" s="379"/>
      <c r="AC633" s="50"/>
      <c r="AD633" s="50"/>
      <c r="AE633" s="379"/>
      <c r="AF633" s="379"/>
      <c r="AG633" s="156"/>
      <c r="AH633" s="60"/>
      <c r="AI633" s="379"/>
      <c r="AJ633" s="379"/>
      <c r="AK633" s="156"/>
      <c r="AL633" s="379"/>
      <c r="AM633" s="50"/>
      <c r="AN633" s="50"/>
    </row>
    <row r="634" spans="1:40" x14ac:dyDescent="0.25">
      <c r="A634" s="53"/>
      <c r="C634" s="54"/>
      <c r="T634" s="54"/>
      <c r="V634" s="379"/>
      <c r="W634" s="379"/>
      <c r="X634" s="379"/>
      <c r="Y634" s="379"/>
      <c r="Z634" s="477"/>
    </row>
    <row r="635" spans="1:40" x14ac:dyDescent="0.25">
      <c r="A635" s="53"/>
      <c r="C635" s="54"/>
      <c r="F635" s="449"/>
      <c r="H635" s="449"/>
      <c r="I635" s="449"/>
      <c r="J635" s="477"/>
      <c r="K635" s="477"/>
      <c r="L635" s="379"/>
      <c r="M635" s="379"/>
      <c r="N635" s="50"/>
      <c r="O635" s="50"/>
      <c r="P635" s="379"/>
      <c r="Q635" s="379"/>
      <c r="R635" s="379"/>
      <c r="T635" s="54"/>
      <c r="V635" s="379"/>
      <c r="W635" s="379"/>
      <c r="X635" s="379"/>
      <c r="Y635" s="379"/>
      <c r="Z635" s="477"/>
      <c r="AA635" s="379"/>
      <c r="AB635" s="379"/>
      <c r="AC635" s="50"/>
      <c r="AD635" s="50"/>
      <c r="AE635" s="379"/>
      <c r="AF635" s="379"/>
      <c r="AG635" s="156"/>
      <c r="AH635" s="60"/>
      <c r="AI635" s="379"/>
      <c r="AJ635" s="379"/>
      <c r="AK635" s="156"/>
      <c r="AL635" s="379"/>
      <c r="AM635" s="50"/>
      <c r="AN635" s="50"/>
    </row>
    <row r="636" spans="1:40" x14ac:dyDescent="0.25">
      <c r="A636" s="53"/>
      <c r="C636" s="54"/>
      <c r="T636" s="54"/>
      <c r="V636" s="379"/>
      <c r="W636" s="379"/>
      <c r="X636" s="379"/>
      <c r="Y636" s="379"/>
      <c r="Z636" s="477"/>
    </row>
    <row r="637" spans="1:40" x14ac:dyDescent="0.25">
      <c r="A637" s="53"/>
      <c r="C637" s="54"/>
      <c r="F637" s="449"/>
      <c r="H637" s="449"/>
      <c r="I637" s="449"/>
      <c r="J637" s="477"/>
      <c r="K637" s="477"/>
      <c r="L637" s="379"/>
      <c r="M637" s="379"/>
      <c r="N637" s="50"/>
      <c r="O637" s="50"/>
      <c r="P637" s="379"/>
      <c r="Q637" s="379"/>
      <c r="R637" s="379"/>
      <c r="T637" s="54"/>
      <c r="V637" s="379"/>
      <c r="W637" s="379"/>
      <c r="X637" s="379"/>
      <c r="Y637" s="379"/>
      <c r="Z637" s="477"/>
      <c r="AA637" s="379"/>
      <c r="AB637" s="379"/>
      <c r="AC637" s="50"/>
      <c r="AD637" s="50"/>
      <c r="AE637" s="379"/>
      <c r="AF637" s="379"/>
      <c r="AG637" s="156"/>
      <c r="AH637" s="60"/>
      <c r="AI637" s="379"/>
      <c r="AJ637" s="379"/>
      <c r="AK637" s="156"/>
      <c r="AL637" s="379"/>
      <c r="AM637" s="50"/>
      <c r="AN637" s="50"/>
    </row>
    <row r="638" spans="1:40" x14ac:dyDescent="0.25">
      <c r="F638" s="381"/>
      <c r="H638" s="381"/>
      <c r="I638" s="381"/>
      <c r="J638" s="464"/>
      <c r="K638" s="464"/>
      <c r="L638" s="381"/>
      <c r="M638" s="381"/>
      <c r="N638" s="381"/>
      <c r="O638" s="381"/>
      <c r="P638" s="381"/>
      <c r="Q638" s="381"/>
      <c r="R638" s="381"/>
      <c r="V638" s="381"/>
      <c r="Y638" s="381"/>
      <c r="Z638" s="464"/>
      <c r="AA638" s="381"/>
      <c r="AB638" s="381"/>
      <c r="AC638" s="381"/>
      <c r="AD638" s="381"/>
      <c r="AE638" s="381"/>
      <c r="AF638" s="381"/>
      <c r="AI638" s="381"/>
      <c r="AJ638" s="381"/>
      <c r="AK638" s="162"/>
      <c r="AL638" s="381"/>
    </row>
    <row r="639" spans="1:40" x14ac:dyDescent="0.25">
      <c r="A639" s="53"/>
      <c r="C639" s="54"/>
      <c r="F639" s="379"/>
      <c r="H639" s="379"/>
      <c r="I639" s="379"/>
      <c r="L639" s="379"/>
      <c r="M639" s="379"/>
      <c r="N639" s="50"/>
      <c r="O639" s="50"/>
      <c r="P639" s="449"/>
      <c r="Q639" s="449"/>
      <c r="R639" s="379"/>
      <c r="T639" s="54"/>
      <c r="V639" s="379"/>
      <c r="W639" s="379"/>
      <c r="X639" s="379"/>
      <c r="Y639" s="379"/>
      <c r="Z639" s="477"/>
      <c r="AA639" s="379"/>
      <c r="AB639" s="379"/>
      <c r="AC639" s="50"/>
      <c r="AD639" s="50"/>
      <c r="AE639" s="379"/>
      <c r="AF639" s="379"/>
      <c r="AG639" s="156"/>
      <c r="AH639" s="60"/>
      <c r="AI639" s="449"/>
      <c r="AJ639" s="449"/>
      <c r="AK639" s="156"/>
      <c r="AL639" s="379"/>
      <c r="AM639" s="50"/>
      <c r="AN639" s="50"/>
    </row>
    <row r="640" spans="1:40" x14ac:dyDescent="0.25">
      <c r="F640" s="381"/>
      <c r="H640" s="381"/>
      <c r="I640" s="381"/>
      <c r="J640" s="464"/>
      <c r="K640" s="464"/>
      <c r="L640" s="381"/>
      <c r="M640" s="381"/>
      <c r="N640" s="381"/>
      <c r="O640" s="381"/>
      <c r="P640" s="381"/>
      <c r="Q640" s="381"/>
      <c r="R640" s="381"/>
      <c r="V640" s="381"/>
      <c r="Y640" s="381"/>
      <c r="Z640" s="464"/>
      <c r="AA640" s="381"/>
      <c r="AB640" s="381"/>
      <c r="AC640" s="381"/>
      <c r="AD640" s="381"/>
      <c r="AE640" s="381"/>
      <c r="AF640" s="381"/>
      <c r="AI640" s="381"/>
      <c r="AJ640" s="381"/>
      <c r="AK640" s="162"/>
      <c r="AL640" s="381"/>
    </row>
    <row r="641" spans="1:40" x14ac:dyDescent="0.25">
      <c r="A641" s="53"/>
      <c r="C641" s="54"/>
      <c r="F641" s="379"/>
      <c r="H641" s="379"/>
      <c r="I641" s="379"/>
      <c r="L641" s="379"/>
      <c r="M641" s="379"/>
      <c r="N641" s="50"/>
      <c r="O641" s="50"/>
      <c r="P641" s="379"/>
      <c r="Q641" s="379"/>
      <c r="R641" s="379"/>
      <c r="T641" s="54"/>
      <c r="V641" s="379"/>
      <c r="W641" s="379"/>
      <c r="X641" s="379"/>
      <c r="Y641" s="379"/>
      <c r="AA641" s="379"/>
      <c r="AB641" s="379"/>
      <c r="AC641" s="50"/>
      <c r="AD641" s="50"/>
      <c r="AE641" s="379"/>
      <c r="AF641" s="379"/>
      <c r="AG641" s="156"/>
      <c r="AH641" s="60"/>
      <c r="AI641" s="379"/>
      <c r="AJ641" s="379"/>
      <c r="AK641" s="156"/>
      <c r="AL641" s="379"/>
      <c r="AM641" s="60"/>
      <c r="AN641" s="60"/>
    </row>
    <row r="642" spans="1:40" x14ac:dyDescent="0.25">
      <c r="F642" s="381"/>
      <c r="H642" s="381"/>
      <c r="I642" s="381"/>
      <c r="J642" s="464"/>
      <c r="K642" s="464"/>
      <c r="L642" s="381"/>
      <c r="M642" s="381"/>
      <c r="N642" s="381"/>
      <c r="O642" s="381"/>
      <c r="P642" s="381"/>
      <c r="Q642" s="381"/>
      <c r="R642" s="381"/>
      <c r="V642" s="381"/>
      <c r="Y642" s="381"/>
      <c r="Z642" s="464"/>
      <c r="AA642" s="381"/>
      <c r="AB642" s="381"/>
      <c r="AC642" s="381"/>
      <c r="AD642" s="381"/>
      <c r="AE642" s="381"/>
      <c r="AF642" s="381"/>
      <c r="AI642" s="381"/>
      <c r="AJ642" s="381"/>
      <c r="AK642" s="162"/>
      <c r="AL642" s="381"/>
    </row>
    <row r="644" spans="1:40" x14ac:dyDescent="0.25">
      <c r="C644" s="53"/>
      <c r="T644" s="53"/>
    </row>
    <row r="645" spans="1:40" x14ac:dyDescent="0.25">
      <c r="A645" s="54"/>
    </row>
    <row r="646" spans="1:40" x14ac:dyDescent="0.25">
      <c r="J646" s="53"/>
      <c r="K646" s="53"/>
      <c r="Z646" s="53"/>
    </row>
    <row r="647" spans="1:40" x14ac:dyDescent="0.25">
      <c r="H647" s="54"/>
      <c r="I647" s="54"/>
      <c r="Y647" s="54"/>
    </row>
    <row r="648" spans="1:40" x14ac:dyDescent="0.25">
      <c r="J648" s="53"/>
      <c r="K648" s="53"/>
      <c r="Z648" s="53"/>
    </row>
    <row r="649" spans="1:40" x14ac:dyDescent="0.25">
      <c r="L649" s="54"/>
      <c r="M649" s="54"/>
      <c r="AA649" s="54"/>
      <c r="AB649" s="54"/>
    </row>
    <row r="650" spans="1:40" x14ac:dyDescent="0.25">
      <c r="A650" s="53"/>
      <c r="R650" s="54"/>
      <c r="AK650" s="161"/>
      <c r="AL650" s="54"/>
    </row>
    <row r="651" spans="1:40" x14ac:dyDescent="0.25">
      <c r="A651" s="53"/>
      <c r="R651" s="54"/>
      <c r="AK651" s="161"/>
      <c r="AL651" s="54"/>
    </row>
    <row r="652" spans="1:40" x14ac:dyDescent="0.25">
      <c r="A652" s="54"/>
      <c r="R652" s="54"/>
      <c r="AK652" s="161"/>
      <c r="AL652" s="54"/>
    </row>
    <row r="653" spans="1:40" x14ac:dyDescent="0.25">
      <c r="L653" s="54"/>
      <c r="M653" s="54"/>
      <c r="R653" s="53"/>
      <c r="AA653" s="54"/>
      <c r="AB653" s="54"/>
      <c r="AK653" s="156"/>
      <c r="AL653" s="53"/>
    </row>
    <row r="654" spans="1:40" x14ac:dyDescent="0.25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154"/>
      <c r="AH654" s="55"/>
      <c r="AI654" s="55"/>
      <c r="AJ654" s="55"/>
      <c r="AK654" s="154"/>
      <c r="AL654" s="55"/>
      <c r="AM654" s="55"/>
      <c r="AN654" s="55"/>
    </row>
    <row r="655" spans="1:40" x14ac:dyDescent="0.25">
      <c r="L655" s="56"/>
      <c r="M655" s="56"/>
      <c r="N655" s="56"/>
      <c r="O655" s="56"/>
      <c r="R655" s="56"/>
      <c r="AA655" s="56"/>
      <c r="AB655" s="56"/>
      <c r="AC655" s="56"/>
      <c r="AD655" s="56"/>
      <c r="AE655" s="56"/>
      <c r="AF655" s="56"/>
      <c r="AG655" s="155"/>
      <c r="AH655" s="56"/>
      <c r="AK655" s="155"/>
      <c r="AL655" s="56"/>
      <c r="AM655" s="56"/>
      <c r="AN655" s="56"/>
    </row>
    <row r="656" spans="1:40" x14ac:dyDescent="0.25">
      <c r="L656" s="56"/>
      <c r="M656" s="56"/>
      <c r="N656" s="56"/>
      <c r="O656" s="56"/>
      <c r="R656" s="56"/>
      <c r="Z656" s="56"/>
      <c r="AA656" s="56"/>
      <c r="AB656" s="56"/>
      <c r="AC656" s="56"/>
      <c r="AD656" s="56"/>
      <c r="AE656" s="56"/>
      <c r="AF656" s="56"/>
      <c r="AG656" s="155"/>
      <c r="AH656" s="56"/>
      <c r="AK656" s="155"/>
      <c r="AL656" s="56"/>
      <c r="AM656" s="56"/>
      <c r="AN656" s="56"/>
    </row>
    <row r="657" spans="1:40" x14ac:dyDescent="0.25">
      <c r="A657" s="56"/>
      <c r="C657" s="56"/>
      <c r="D657" s="56"/>
      <c r="E657" s="56"/>
      <c r="F657" s="56"/>
      <c r="J657" s="56"/>
      <c r="K657" s="56"/>
      <c r="L657" s="56"/>
      <c r="M657" s="56"/>
      <c r="N657" s="56"/>
      <c r="O657" s="56"/>
      <c r="P657" s="56"/>
      <c r="Q657" s="56"/>
      <c r="R657" s="56"/>
      <c r="T657" s="56"/>
      <c r="U657" s="56"/>
      <c r="V657" s="56"/>
      <c r="Z657" s="56"/>
      <c r="AA657" s="56"/>
      <c r="AB657" s="56"/>
      <c r="AC657" s="56"/>
      <c r="AD657" s="56"/>
      <c r="AE657" s="56"/>
      <c r="AF657" s="56"/>
      <c r="AG657" s="155"/>
      <c r="AH657" s="56"/>
      <c r="AI657" s="56"/>
      <c r="AJ657" s="56"/>
      <c r="AK657" s="155"/>
      <c r="AL657" s="56"/>
      <c r="AM657" s="56"/>
      <c r="AN657" s="56"/>
    </row>
    <row r="658" spans="1:40" x14ac:dyDescent="0.25">
      <c r="A658" s="56"/>
      <c r="C658" s="56"/>
      <c r="D658" s="56"/>
      <c r="E658" s="56"/>
      <c r="F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T658" s="56"/>
      <c r="U658" s="56"/>
      <c r="V658" s="56"/>
      <c r="Y658" s="56"/>
      <c r="Z658" s="56"/>
      <c r="AA658" s="56"/>
      <c r="AB658" s="56"/>
      <c r="AC658" s="56"/>
      <c r="AD658" s="56"/>
      <c r="AE658" s="56"/>
      <c r="AF658" s="56"/>
      <c r="AG658" s="155"/>
      <c r="AH658" s="56"/>
      <c r="AI658" s="56"/>
      <c r="AJ658" s="56"/>
      <c r="AK658" s="155"/>
      <c r="AL658" s="56"/>
      <c r="AM658" s="56"/>
      <c r="AN658" s="56"/>
    </row>
    <row r="659" spans="1:40" x14ac:dyDescent="0.25">
      <c r="C659" s="56"/>
      <c r="D659" s="56"/>
      <c r="E659" s="56"/>
      <c r="F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T659" s="56"/>
      <c r="U659" s="56"/>
      <c r="V659" s="56"/>
      <c r="Y659" s="56"/>
      <c r="Z659" s="56"/>
      <c r="AA659" s="56"/>
      <c r="AB659" s="56"/>
      <c r="AC659" s="56"/>
      <c r="AD659" s="56"/>
      <c r="AE659" s="56"/>
      <c r="AF659" s="56"/>
      <c r="AG659" s="155"/>
      <c r="AH659" s="56"/>
      <c r="AI659" s="56"/>
      <c r="AJ659" s="56"/>
      <c r="AK659" s="155"/>
      <c r="AL659" s="56"/>
      <c r="AM659" s="56"/>
      <c r="AN659" s="56"/>
    </row>
    <row r="660" spans="1:40" x14ac:dyDescent="0.25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154"/>
      <c r="AH660" s="55"/>
      <c r="AI660" s="55"/>
      <c r="AJ660" s="55"/>
      <c r="AK660" s="154"/>
      <c r="AL660" s="55"/>
      <c r="AM660" s="55"/>
      <c r="AN660" s="55"/>
    </row>
    <row r="661" spans="1:40" x14ac:dyDescent="0.25"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Y661" s="56"/>
      <c r="Z661" s="56"/>
      <c r="AA661" s="56"/>
      <c r="AB661" s="56"/>
      <c r="AC661" s="56"/>
      <c r="AD661" s="56"/>
      <c r="AE661" s="56"/>
      <c r="AF661" s="56"/>
      <c r="AG661" s="155"/>
      <c r="AH661" s="56"/>
      <c r="AI661" s="56"/>
      <c r="AJ661" s="56"/>
      <c r="AK661" s="155"/>
      <c r="AL661" s="56"/>
      <c r="AM661" s="56"/>
      <c r="AN661" s="56"/>
    </row>
    <row r="662" spans="1:40" x14ac:dyDescent="0.25">
      <c r="A662" s="53"/>
      <c r="C662" s="54"/>
      <c r="D662" s="54"/>
      <c r="E662" s="54"/>
      <c r="F662" s="379"/>
      <c r="H662" s="379"/>
      <c r="I662" s="379"/>
      <c r="J662" s="59"/>
      <c r="K662" s="59"/>
      <c r="L662" s="379"/>
      <c r="M662" s="379"/>
      <c r="N662" s="59"/>
      <c r="O662" s="59"/>
      <c r="P662" s="379"/>
      <c r="Q662" s="379"/>
      <c r="R662" s="379"/>
      <c r="T662" s="54"/>
      <c r="U662" s="54"/>
      <c r="V662" s="379"/>
      <c r="Y662" s="379"/>
      <c r="Z662" s="59"/>
      <c r="AA662" s="379"/>
      <c r="AB662" s="379"/>
      <c r="AC662" s="59"/>
      <c r="AD662" s="59"/>
      <c r="AE662" s="379"/>
      <c r="AF662" s="379"/>
      <c r="AG662" s="156"/>
      <c r="AH662" s="60"/>
      <c r="AI662" s="379"/>
      <c r="AJ662" s="379"/>
      <c r="AK662" s="156"/>
      <c r="AL662" s="379"/>
      <c r="AM662" s="50"/>
      <c r="AN662" s="50"/>
    </row>
    <row r="663" spans="1:40" x14ac:dyDescent="0.25">
      <c r="F663" s="381"/>
      <c r="H663" s="381"/>
      <c r="I663" s="381"/>
      <c r="J663" s="464"/>
      <c r="K663" s="464"/>
      <c r="L663" s="381"/>
      <c r="M663" s="381"/>
      <c r="N663" s="381"/>
      <c r="O663" s="381"/>
      <c r="P663" s="381"/>
      <c r="Q663" s="381"/>
      <c r="R663" s="381"/>
      <c r="V663" s="381"/>
      <c r="Y663" s="381"/>
      <c r="Z663" s="464"/>
      <c r="AA663" s="381"/>
      <c r="AB663" s="381"/>
      <c r="AC663" s="381"/>
      <c r="AD663" s="381"/>
      <c r="AE663" s="381"/>
      <c r="AF663" s="381"/>
      <c r="AI663" s="381"/>
      <c r="AJ663" s="381"/>
      <c r="AK663" s="162"/>
      <c r="AL663" s="381"/>
      <c r="AM663" s="50"/>
      <c r="AN663" s="50"/>
    </row>
    <row r="664" spans="1:40" x14ac:dyDescent="0.25">
      <c r="A664" s="53"/>
      <c r="C664" s="54"/>
      <c r="F664" s="379"/>
      <c r="H664" s="379"/>
      <c r="I664" s="379"/>
      <c r="J664" s="59"/>
      <c r="K664" s="59"/>
      <c r="L664" s="379"/>
      <c r="M664" s="379"/>
      <c r="N664" s="59"/>
      <c r="O664" s="59"/>
      <c r="P664" s="379"/>
      <c r="Q664" s="379"/>
      <c r="R664" s="379"/>
      <c r="T664" s="54"/>
      <c r="V664" s="379"/>
      <c r="Y664" s="379"/>
      <c r="Z664" s="59"/>
      <c r="AA664" s="379"/>
      <c r="AB664" s="379"/>
      <c r="AC664" s="59"/>
      <c r="AD664" s="59"/>
      <c r="AE664" s="379"/>
      <c r="AF664" s="379"/>
      <c r="AG664" s="156"/>
      <c r="AH664" s="60"/>
      <c r="AI664" s="379"/>
      <c r="AJ664" s="379"/>
      <c r="AK664" s="156"/>
      <c r="AL664" s="379"/>
      <c r="AM664" s="50"/>
      <c r="AN664" s="50"/>
    </row>
    <row r="665" spans="1:40" x14ac:dyDescent="0.25">
      <c r="F665" s="379"/>
      <c r="H665" s="379"/>
      <c r="I665" s="379"/>
      <c r="J665" s="59"/>
      <c r="K665" s="59"/>
      <c r="L665" s="379"/>
      <c r="M665" s="379"/>
      <c r="N665" s="59"/>
      <c r="O665" s="59"/>
      <c r="P665" s="379"/>
      <c r="Q665" s="379"/>
      <c r="R665" s="379"/>
      <c r="V665" s="379"/>
      <c r="Y665" s="379"/>
      <c r="Z665" s="59"/>
      <c r="AA665" s="379"/>
      <c r="AB665" s="379"/>
      <c r="AC665" s="59"/>
      <c r="AD665" s="59"/>
      <c r="AG665" s="156"/>
      <c r="AH665" s="60"/>
      <c r="AI665" s="379"/>
      <c r="AJ665" s="379"/>
      <c r="AK665" s="156"/>
      <c r="AL665" s="379"/>
      <c r="AM665" s="50"/>
      <c r="AN665" s="50"/>
    </row>
    <row r="666" spans="1:40" x14ac:dyDescent="0.25">
      <c r="A666" s="53"/>
      <c r="C666" s="54"/>
      <c r="D666" s="54"/>
      <c r="E666" s="54"/>
      <c r="F666" s="379"/>
      <c r="H666" s="379"/>
      <c r="I666" s="379"/>
      <c r="J666" s="59"/>
      <c r="K666" s="59"/>
      <c r="L666" s="379"/>
      <c r="M666" s="379"/>
      <c r="N666" s="59"/>
      <c r="O666" s="59"/>
      <c r="P666" s="379"/>
      <c r="Q666" s="379"/>
      <c r="R666" s="379"/>
      <c r="T666" s="54"/>
      <c r="U666" s="54"/>
      <c r="V666" s="379"/>
      <c r="Y666" s="379"/>
      <c r="Z666" s="59"/>
      <c r="AA666" s="379"/>
      <c r="AB666" s="379"/>
      <c r="AC666" s="59"/>
      <c r="AD666" s="59"/>
      <c r="AE666" s="379"/>
      <c r="AF666" s="379"/>
      <c r="AG666" s="156"/>
      <c r="AH666" s="60"/>
      <c r="AI666" s="379"/>
      <c r="AJ666" s="379"/>
      <c r="AK666" s="156"/>
      <c r="AL666" s="379"/>
      <c r="AM666" s="50"/>
      <c r="AN666" s="50"/>
    </row>
    <row r="667" spans="1:40" x14ac:dyDescent="0.25">
      <c r="A667" s="53"/>
      <c r="C667" s="54"/>
      <c r="D667" s="54"/>
      <c r="E667" s="54"/>
      <c r="F667" s="379"/>
      <c r="H667" s="379"/>
      <c r="I667" s="379"/>
      <c r="J667" s="59"/>
      <c r="K667" s="59"/>
      <c r="L667" s="379"/>
      <c r="M667" s="379"/>
      <c r="N667" s="59"/>
      <c r="O667" s="59"/>
      <c r="P667" s="379"/>
      <c r="Q667" s="379"/>
      <c r="R667" s="379"/>
      <c r="T667" s="54"/>
      <c r="U667" s="54"/>
      <c r="V667" s="379"/>
      <c r="Y667" s="379"/>
      <c r="Z667" s="59"/>
      <c r="AA667" s="379"/>
      <c r="AB667" s="379"/>
      <c r="AC667" s="59"/>
      <c r="AD667" s="59"/>
      <c r="AE667" s="379"/>
      <c r="AF667" s="379"/>
      <c r="AG667" s="156"/>
      <c r="AH667" s="60"/>
      <c r="AI667" s="379"/>
      <c r="AJ667" s="379"/>
      <c r="AK667" s="156"/>
      <c r="AL667" s="379"/>
      <c r="AM667" s="50"/>
      <c r="AN667" s="50"/>
    </row>
    <row r="668" spans="1:40" x14ac:dyDescent="0.25">
      <c r="A668" s="53"/>
      <c r="C668" s="54"/>
      <c r="D668" s="54"/>
      <c r="E668" s="54"/>
      <c r="F668" s="379"/>
      <c r="H668" s="379"/>
      <c r="I668" s="379"/>
      <c r="J668" s="59"/>
      <c r="K668" s="59"/>
      <c r="L668" s="379"/>
      <c r="M668" s="379"/>
      <c r="N668" s="59"/>
      <c r="O668" s="59"/>
      <c r="P668" s="379"/>
      <c r="Q668" s="379"/>
      <c r="R668" s="379"/>
      <c r="T668" s="54"/>
      <c r="U668" s="54"/>
      <c r="V668" s="379"/>
      <c r="Y668" s="379"/>
      <c r="Z668" s="59"/>
      <c r="AA668" s="379"/>
      <c r="AB668" s="379"/>
      <c r="AC668" s="59"/>
      <c r="AD668" s="59"/>
      <c r="AE668" s="379"/>
      <c r="AF668" s="379"/>
      <c r="AG668" s="156"/>
      <c r="AH668" s="60"/>
      <c r="AI668" s="379"/>
      <c r="AJ668" s="379"/>
      <c r="AK668" s="156"/>
      <c r="AL668" s="379"/>
      <c r="AM668" s="50"/>
      <c r="AN668" s="50"/>
    </row>
    <row r="669" spans="1:40" x14ac:dyDescent="0.25">
      <c r="A669" s="53"/>
      <c r="C669" s="54"/>
      <c r="D669" s="54"/>
      <c r="E669" s="54"/>
      <c r="F669" s="379"/>
      <c r="H669" s="379"/>
      <c r="I669" s="379"/>
      <c r="J669" s="59"/>
      <c r="K669" s="59"/>
      <c r="L669" s="379"/>
      <c r="M669" s="379"/>
      <c r="N669" s="59"/>
      <c r="O669" s="59"/>
      <c r="P669" s="379"/>
      <c r="Q669" s="379"/>
      <c r="R669" s="379"/>
      <c r="T669" s="54"/>
      <c r="U669" s="54"/>
      <c r="V669" s="379"/>
      <c r="Y669" s="379"/>
      <c r="Z669" s="59"/>
      <c r="AA669" s="379"/>
      <c r="AB669" s="379"/>
      <c r="AC669" s="59"/>
      <c r="AD669" s="59"/>
      <c r="AE669" s="379"/>
      <c r="AF669" s="379"/>
      <c r="AG669" s="156"/>
      <c r="AH669" s="60"/>
      <c r="AI669" s="379"/>
      <c r="AJ669" s="379"/>
      <c r="AK669" s="156"/>
      <c r="AL669" s="379"/>
      <c r="AM669" s="50"/>
      <c r="AN669" s="50"/>
    </row>
    <row r="670" spans="1:40" x14ac:dyDescent="0.25">
      <c r="A670" s="53"/>
      <c r="C670" s="54"/>
      <c r="D670" s="54"/>
      <c r="E670" s="54"/>
      <c r="F670" s="379"/>
      <c r="H670" s="379"/>
      <c r="I670" s="379"/>
      <c r="J670" s="59"/>
      <c r="K670" s="59"/>
      <c r="L670" s="379"/>
      <c r="M670" s="379"/>
      <c r="N670" s="59"/>
      <c r="O670" s="59"/>
      <c r="P670" s="379"/>
      <c r="Q670" s="379"/>
      <c r="R670" s="379"/>
      <c r="T670" s="54"/>
      <c r="U670" s="54"/>
      <c r="V670" s="379"/>
      <c r="Y670" s="379"/>
      <c r="Z670" s="59"/>
      <c r="AA670" s="379"/>
      <c r="AB670" s="379"/>
      <c r="AC670" s="59"/>
      <c r="AD670" s="59"/>
      <c r="AE670" s="379"/>
      <c r="AF670" s="379"/>
      <c r="AG670" s="156"/>
      <c r="AH670" s="60"/>
      <c r="AI670" s="379"/>
      <c r="AJ670" s="379"/>
      <c r="AK670" s="156"/>
      <c r="AL670" s="379"/>
      <c r="AM670" s="50"/>
      <c r="AN670" s="50"/>
    </row>
    <row r="671" spans="1:40" x14ac:dyDescent="0.25">
      <c r="A671" s="53"/>
      <c r="C671" s="54"/>
      <c r="D671" s="54"/>
      <c r="E671" s="54"/>
      <c r="F671" s="379"/>
      <c r="H671" s="379"/>
      <c r="I671" s="379"/>
      <c r="J671" s="59"/>
      <c r="K671" s="59"/>
      <c r="L671" s="379"/>
      <c r="M671" s="379"/>
      <c r="N671" s="59"/>
      <c r="O671" s="59"/>
      <c r="P671" s="379"/>
      <c r="Q671" s="379"/>
      <c r="R671" s="379"/>
      <c r="T671" s="54"/>
      <c r="U671" s="54"/>
      <c r="V671" s="379"/>
      <c r="Y671" s="379"/>
      <c r="Z671" s="59"/>
      <c r="AA671" s="379"/>
      <c r="AB671" s="379"/>
      <c r="AC671" s="59"/>
      <c r="AD671" s="59"/>
      <c r="AE671" s="379"/>
      <c r="AF671" s="379"/>
      <c r="AG671" s="156"/>
      <c r="AH671" s="60"/>
      <c r="AI671" s="379"/>
      <c r="AJ671" s="379"/>
      <c r="AK671" s="156"/>
      <c r="AL671" s="379"/>
      <c r="AM671" s="50"/>
      <c r="AN671" s="50"/>
    </row>
    <row r="672" spans="1:40" x14ac:dyDescent="0.25">
      <c r="F672" s="381"/>
      <c r="H672" s="381"/>
      <c r="I672" s="381"/>
      <c r="J672" s="464"/>
      <c r="K672" s="464"/>
      <c r="L672" s="381"/>
      <c r="M672" s="381"/>
      <c r="N672" s="381"/>
      <c r="O672" s="381"/>
      <c r="P672" s="381"/>
      <c r="Q672" s="381"/>
      <c r="R672" s="381"/>
      <c r="V672" s="381"/>
      <c r="Y672" s="381"/>
      <c r="Z672" s="464"/>
      <c r="AA672" s="381"/>
      <c r="AB672" s="381"/>
      <c r="AC672" s="381"/>
      <c r="AD672" s="381"/>
      <c r="AE672" s="381"/>
      <c r="AF672" s="381"/>
      <c r="AI672" s="381"/>
      <c r="AJ672" s="381"/>
      <c r="AK672" s="162"/>
      <c r="AL672" s="381"/>
      <c r="AM672" s="50"/>
      <c r="AN672" s="50"/>
    </row>
    <row r="673" spans="1:40" x14ac:dyDescent="0.25">
      <c r="A673" s="53"/>
      <c r="C673" s="54"/>
      <c r="F673" s="379"/>
      <c r="H673" s="379"/>
      <c r="I673" s="379"/>
      <c r="J673" s="59"/>
      <c r="K673" s="59"/>
      <c r="L673" s="379"/>
      <c r="M673" s="379"/>
      <c r="N673" s="59"/>
      <c r="O673" s="59"/>
      <c r="P673" s="379"/>
      <c r="Q673" s="379"/>
      <c r="R673" s="379"/>
      <c r="T673" s="54"/>
      <c r="V673" s="379"/>
      <c r="Y673" s="379"/>
      <c r="Z673" s="59"/>
      <c r="AA673" s="379"/>
      <c r="AB673" s="379"/>
      <c r="AC673" s="59"/>
      <c r="AD673" s="59"/>
      <c r="AE673" s="379"/>
      <c r="AF673" s="379"/>
      <c r="AG673" s="156"/>
      <c r="AH673" s="60"/>
      <c r="AI673" s="379"/>
      <c r="AJ673" s="379"/>
      <c r="AK673" s="156"/>
      <c r="AL673" s="379"/>
      <c r="AM673" s="50"/>
      <c r="AN673" s="50"/>
    </row>
    <row r="674" spans="1:40" x14ac:dyDescent="0.25">
      <c r="F674" s="379"/>
      <c r="H674" s="379"/>
      <c r="I674" s="379"/>
      <c r="J674" s="59"/>
      <c r="K674" s="59"/>
      <c r="L674" s="379"/>
      <c r="M674" s="379"/>
      <c r="N674" s="59"/>
      <c r="O674" s="59"/>
      <c r="P674" s="379"/>
      <c r="Q674" s="379"/>
      <c r="R674" s="379"/>
      <c r="V674" s="379"/>
      <c r="Y674" s="379"/>
      <c r="Z674" s="59"/>
      <c r="AA674" s="379"/>
      <c r="AB674" s="379"/>
      <c r="AC674" s="59"/>
      <c r="AD674" s="59"/>
      <c r="AG674" s="156"/>
      <c r="AH674" s="60"/>
      <c r="AI674" s="379"/>
      <c r="AJ674" s="379"/>
      <c r="AK674" s="156"/>
      <c r="AL674" s="379"/>
      <c r="AM674" s="50"/>
      <c r="AN674" s="50"/>
    </row>
    <row r="675" spans="1:40" x14ac:dyDescent="0.25">
      <c r="A675" s="53"/>
      <c r="C675" s="54"/>
      <c r="D675" s="54"/>
      <c r="E675" s="54"/>
      <c r="F675" s="379"/>
      <c r="H675" s="379"/>
      <c r="I675" s="379"/>
      <c r="J675" s="59"/>
      <c r="K675" s="59"/>
      <c r="L675" s="379"/>
      <c r="M675" s="379"/>
      <c r="N675" s="59"/>
      <c r="O675" s="59"/>
      <c r="P675" s="379"/>
      <c r="Q675" s="379"/>
      <c r="R675" s="379"/>
      <c r="T675" s="54"/>
      <c r="U675" s="54"/>
      <c r="V675" s="379"/>
      <c r="Y675" s="379"/>
      <c r="Z675" s="59"/>
      <c r="AA675" s="379"/>
      <c r="AB675" s="379"/>
      <c r="AC675" s="59"/>
      <c r="AD675" s="59"/>
      <c r="AE675" s="379"/>
      <c r="AF675" s="379"/>
      <c r="AG675" s="156"/>
      <c r="AH675" s="60"/>
      <c r="AI675" s="379"/>
      <c r="AJ675" s="379"/>
      <c r="AK675" s="156"/>
      <c r="AL675" s="379"/>
      <c r="AM675" s="50"/>
      <c r="AN675" s="50"/>
    </row>
    <row r="676" spans="1:40" x14ac:dyDescent="0.25">
      <c r="F676" s="381"/>
      <c r="H676" s="381"/>
      <c r="I676" s="381"/>
      <c r="J676" s="464"/>
      <c r="K676" s="464"/>
      <c r="L676" s="381"/>
      <c r="M676" s="381"/>
      <c r="N676" s="381"/>
      <c r="O676" s="381"/>
      <c r="P676" s="381"/>
      <c r="Q676" s="381"/>
      <c r="R676" s="381"/>
      <c r="V676" s="381"/>
      <c r="Y676" s="381"/>
      <c r="Z676" s="464"/>
      <c r="AA676" s="381"/>
      <c r="AB676" s="381"/>
      <c r="AC676" s="381"/>
      <c r="AD676" s="381"/>
      <c r="AE676" s="381"/>
      <c r="AF676" s="381"/>
      <c r="AI676" s="381"/>
      <c r="AJ676" s="381"/>
      <c r="AK676" s="162"/>
      <c r="AL676" s="381"/>
      <c r="AM676" s="50"/>
      <c r="AN676" s="50"/>
    </row>
    <row r="677" spans="1:40" x14ac:dyDescent="0.25">
      <c r="A677" s="53"/>
      <c r="C677" s="54"/>
      <c r="F677" s="379"/>
      <c r="H677" s="379"/>
      <c r="I677" s="379"/>
      <c r="J677" s="59"/>
      <c r="K677" s="59"/>
      <c r="L677" s="379"/>
      <c r="M677" s="379"/>
      <c r="N677" s="59"/>
      <c r="O677" s="59"/>
      <c r="P677" s="379"/>
      <c r="Q677" s="379"/>
      <c r="R677" s="379"/>
      <c r="T677" s="54"/>
      <c r="V677" s="379"/>
      <c r="Y677" s="379"/>
      <c r="Z677" s="59"/>
      <c r="AA677" s="379"/>
      <c r="AB677" s="379"/>
      <c r="AC677" s="59"/>
      <c r="AD677" s="59"/>
      <c r="AE677" s="379"/>
      <c r="AF677" s="379"/>
      <c r="AG677" s="156"/>
      <c r="AH677" s="60"/>
      <c r="AI677" s="379"/>
      <c r="AJ677" s="379"/>
      <c r="AK677" s="156"/>
      <c r="AL677" s="379"/>
      <c r="AM677" s="50"/>
      <c r="AN677" s="50"/>
    </row>
    <row r="678" spans="1:40" x14ac:dyDescent="0.25">
      <c r="F678" s="379"/>
      <c r="H678" s="379"/>
      <c r="I678" s="379"/>
      <c r="J678" s="59"/>
      <c r="K678" s="59"/>
      <c r="L678" s="379"/>
      <c r="M678" s="379"/>
      <c r="N678" s="59"/>
      <c r="O678" s="59"/>
      <c r="P678" s="379"/>
      <c r="Q678" s="379"/>
      <c r="R678" s="379"/>
      <c r="V678" s="379"/>
      <c r="Y678" s="379"/>
      <c r="Z678" s="59"/>
      <c r="AA678" s="379"/>
      <c r="AB678" s="379"/>
      <c r="AC678" s="59"/>
      <c r="AD678" s="59"/>
      <c r="AG678" s="156"/>
      <c r="AH678" s="60"/>
      <c r="AI678" s="379"/>
      <c r="AJ678" s="379"/>
      <c r="AK678" s="156"/>
      <c r="AL678" s="379"/>
      <c r="AM678" s="50"/>
      <c r="AN678" s="50"/>
    </row>
    <row r="679" spans="1:40" x14ac:dyDescent="0.25">
      <c r="A679" s="53"/>
      <c r="C679" s="54"/>
      <c r="D679" s="54"/>
      <c r="E679" s="54"/>
      <c r="F679" s="379"/>
      <c r="H679" s="379"/>
      <c r="I679" s="379"/>
      <c r="J679" s="59"/>
      <c r="K679" s="59"/>
      <c r="L679" s="379"/>
      <c r="M679" s="379"/>
      <c r="N679" s="59"/>
      <c r="O679" s="59"/>
      <c r="P679" s="379"/>
      <c r="Q679" s="379"/>
      <c r="R679" s="379"/>
      <c r="T679" s="54"/>
      <c r="U679" s="54"/>
      <c r="V679" s="379"/>
      <c r="Y679" s="379"/>
      <c r="Z679" s="59"/>
      <c r="AA679" s="379"/>
      <c r="AB679" s="379"/>
      <c r="AC679" s="59"/>
      <c r="AD679" s="59"/>
      <c r="AE679" s="379"/>
      <c r="AF679" s="379"/>
      <c r="AG679" s="156"/>
      <c r="AH679" s="60"/>
      <c r="AI679" s="379"/>
      <c r="AJ679" s="379"/>
      <c r="AK679" s="156"/>
      <c r="AL679" s="379"/>
      <c r="AM679" s="50"/>
      <c r="AN679" s="50"/>
    </row>
    <row r="680" spans="1:40" x14ac:dyDescent="0.25">
      <c r="A680" s="53"/>
      <c r="C680" s="54"/>
      <c r="D680" s="54"/>
      <c r="E680" s="54"/>
      <c r="F680" s="379"/>
      <c r="G680" s="379"/>
      <c r="H680" s="379"/>
      <c r="I680" s="379"/>
      <c r="J680" s="59"/>
      <c r="K680" s="59"/>
      <c r="L680" s="379"/>
      <c r="M680" s="379"/>
      <c r="N680" s="59"/>
      <c r="O680" s="59"/>
      <c r="P680" s="379"/>
      <c r="Q680" s="379"/>
      <c r="R680" s="379"/>
      <c r="T680" s="54"/>
      <c r="U680" s="54"/>
      <c r="V680" s="379"/>
      <c r="W680" s="379"/>
      <c r="X680" s="379"/>
      <c r="Y680" s="379"/>
      <c r="Z680" s="59"/>
      <c r="AA680" s="379"/>
      <c r="AB680" s="379"/>
      <c r="AC680" s="59"/>
      <c r="AD680" s="59"/>
      <c r="AE680" s="379"/>
      <c r="AF680" s="379"/>
      <c r="AG680" s="156"/>
      <c r="AH680" s="60"/>
      <c r="AI680" s="379"/>
      <c r="AJ680" s="379"/>
      <c r="AK680" s="156"/>
      <c r="AL680" s="379"/>
      <c r="AM680" s="50"/>
      <c r="AN680" s="50"/>
    </row>
    <row r="681" spans="1:40" x14ac:dyDescent="0.25">
      <c r="A681" s="53"/>
      <c r="C681" s="54"/>
      <c r="D681" s="54"/>
      <c r="E681" s="54"/>
      <c r="F681" s="379"/>
      <c r="G681" s="379"/>
      <c r="H681" s="379"/>
      <c r="I681" s="379"/>
      <c r="J681" s="59"/>
      <c r="K681" s="59"/>
      <c r="L681" s="379"/>
      <c r="M681" s="379"/>
      <c r="N681" s="59"/>
      <c r="O681" s="59"/>
      <c r="P681" s="379"/>
      <c r="Q681" s="379"/>
      <c r="R681" s="379"/>
      <c r="T681" s="54"/>
      <c r="U681" s="54"/>
      <c r="V681" s="379"/>
      <c r="W681" s="379"/>
      <c r="X681" s="379"/>
      <c r="Y681" s="379"/>
      <c r="Z681" s="59"/>
      <c r="AA681" s="379"/>
      <c r="AB681" s="379"/>
      <c r="AC681" s="59"/>
      <c r="AD681" s="59"/>
      <c r="AE681" s="379"/>
      <c r="AF681" s="379"/>
      <c r="AG681" s="156"/>
      <c r="AH681" s="60"/>
      <c r="AI681" s="379"/>
      <c r="AJ681" s="379"/>
      <c r="AK681" s="156"/>
      <c r="AL681" s="379"/>
      <c r="AM681" s="50"/>
      <c r="AN681" s="50"/>
    </row>
    <row r="682" spans="1:40" x14ac:dyDescent="0.25">
      <c r="A682" s="53"/>
      <c r="C682" s="54"/>
      <c r="D682" s="54"/>
      <c r="E682" s="54"/>
      <c r="F682" s="379"/>
      <c r="H682" s="379"/>
      <c r="I682" s="379"/>
      <c r="J682" s="59"/>
      <c r="K682" s="59"/>
      <c r="L682" s="379"/>
      <c r="M682" s="379"/>
      <c r="N682" s="59"/>
      <c r="O682" s="59"/>
      <c r="P682" s="379"/>
      <c r="Q682" s="379"/>
      <c r="R682" s="379"/>
      <c r="T682" s="54"/>
      <c r="U682" s="54"/>
      <c r="V682" s="379"/>
      <c r="Y682" s="379"/>
      <c r="Z682" s="59"/>
      <c r="AA682" s="379"/>
      <c r="AB682" s="379"/>
      <c r="AC682" s="59"/>
      <c r="AD682" s="59"/>
      <c r="AE682" s="379"/>
      <c r="AF682" s="379"/>
      <c r="AG682" s="156"/>
      <c r="AH682" s="60"/>
      <c r="AI682" s="379"/>
      <c r="AJ682" s="379"/>
      <c r="AK682" s="156"/>
      <c r="AL682" s="379"/>
      <c r="AM682" s="50"/>
      <c r="AN682" s="50"/>
    </row>
    <row r="683" spans="1:40" x14ac:dyDescent="0.25">
      <c r="A683" s="53"/>
      <c r="C683" s="54"/>
      <c r="D683" s="54"/>
      <c r="E683" s="54"/>
      <c r="F683" s="379"/>
      <c r="H683" s="379"/>
      <c r="I683" s="379"/>
      <c r="J683" s="59"/>
      <c r="K683" s="59"/>
      <c r="L683" s="379"/>
      <c r="M683" s="379"/>
      <c r="N683" s="59"/>
      <c r="O683" s="59"/>
      <c r="P683" s="379"/>
      <c r="Q683" s="379"/>
      <c r="R683" s="379"/>
      <c r="T683" s="54"/>
      <c r="U683" s="54"/>
      <c r="V683" s="379"/>
      <c r="Y683" s="379"/>
      <c r="Z683" s="59"/>
      <c r="AA683" s="379"/>
      <c r="AB683" s="379"/>
      <c r="AC683" s="59"/>
      <c r="AD683" s="59"/>
      <c r="AE683" s="379"/>
      <c r="AF683" s="379"/>
      <c r="AG683" s="156"/>
      <c r="AH683" s="60"/>
      <c r="AI683" s="379"/>
      <c r="AJ683" s="379"/>
      <c r="AK683" s="156"/>
      <c r="AL683" s="379"/>
      <c r="AM683" s="50"/>
      <c r="AN683" s="50"/>
    </row>
    <row r="684" spans="1:40" x14ac:dyDescent="0.25">
      <c r="A684" s="53"/>
      <c r="C684" s="54"/>
      <c r="D684" s="54"/>
      <c r="E684" s="54"/>
      <c r="F684" s="379"/>
      <c r="H684" s="379"/>
      <c r="I684" s="379"/>
      <c r="J684" s="59"/>
      <c r="K684" s="59"/>
      <c r="L684" s="379"/>
      <c r="M684" s="379"/>
      <c r="N684" s="59"/>
      <c r="O684" s="59"/>
      <c r="P684" s="379"/>
      <c r="Q684" s="379"/>
      <c r="R684" s="379"/>
      <c r="T684" s="54"/>
      <c r="U684" s="54"/>
      <c r="V684" s="379"/>
      <c r="Y684" s="379"/>
      <c r="Z684" s="59"/>
      <c r="AA684" s="379"/>
      <c r="AB684" s="379"/>
      <c r="AC684" s="59"/>
      <c r="AD684" s="59"/>
      <c r="AE684" s="379"/>
      <c r="AF684" s="379"/>
      <c r="AG684" s="156"/>
      <c r="AH684" s="60"/>
      <c r="AI684" s="379"/>
      <c r="AJ684" s="379"/>
      <c r="AK684" s="156"/>
      <c r="AL684" s="379"/>
      <c r="AM684" s="50"/>
      <c r="AN684" s="50"/>
    </row>
    <row r="685" spans="1:40" x14ac:dyDescent="0.25">
      <c r="A685" s="53"/>
      <c r="C685" s="54"/>
      <c r="D685" s="54"/>
      <c r="E685" s="54"/>
      <c r="F685" s="379"/>
      <c r="H685" s="379"/>
      <c r="I685" s="379"/>
      <c r="J685" s="59"/>
      <c r="K685" s="59"/>
      <c r="L685" s="379"/>
      <c r="M685" s="379"/>
      <c r="N685" s="59"/>
      <c r="O685" s="59"/>
      <c r="P685" s="379"/>
      <c r="Q685" s="379"/>
      <c r="R685" s="379"/>
      <c r="T685" s="54"/>
      <c r="U685" s="54"/>
      <c r="V685" s="379"/>
      <c r="Y685" s="379"/>
      <c r="Z685" s="59"/>
      <c r="AA685" s="379"/>
      <c r="AB685" s="379"/>
      <c r="AC685" s="59"/>
      <c r="AD685" s="59"/>
      <c r="AE685" s="379"/>
      <c r="AF685" s="379"/>
      <c r="AG685" s="156"/>
      <c r="AH685" s="60"/>
      <c r="AI685" s="379"/>
      <c r="AJ685" s="379"/>
      <c r="AK685" s="156"/>
      <c r="AL685" s="379"/>
      <c r="AM685" s="50"/>
      <c r="AN685" s="50"/>
    </row>
    <row r="686" spans="1:40" x14ac:dyDescent="0.25">
      <c r="F686" s="381"/>
      <c r="H686" s="381"/>
      <c r="I686" s="381"/>
      <c r="J686" s="464"/>
      <c r="K686" s="464"/>
      <c r="L686" s="381"/>
      <c r="M686" s="381"/>
      <c r="N686" s="381"/>
      <c r="O686" s="381"/>
      <c r="P686" s="381"/>
      <c r="Q686" s="381"/>
      <c r="R686" s="381"/>
      <c r="V686" s="381"/>
      <c r="Y686" s="381"/>
      <c r="Z686" s="464"/>
      <c r="AA686" s="381"/>
      <c r="AB686" s="381"/>
      <c r="AC686" s="381"/>
      <c r="AD686" s="381"/>
      <c r="AE686" s="381"/>
      <c r="AF686" s="381"/>
      <c r="AI686" s="381"/>
      <c r="AJ686" s="381"/>
      <c r="AK686" s="162"/>
      <c r="AL686" s="381"/>
      <c r="AM686" s="50"/>
      <c r="AN686" s="50"/>
    </row>
    <row r="687" spans="1:40" x14ac:dyDescent="0.25">
      <c r="A687" s="53"/>
      <c r="C687" s="54"/>
      <c r="F687" s="379"/>
      <c r="H687" s="379"/>
      <c r="I687" s="379"/>
      <c r="J687" s="59"/>
      <c r="K687" s="59"/>
      <c r="L687" s="379"/>
      <c r="M687" s="379"/>
      <c r="N687" s="59"/>
      <c r="O687" s="59"/>
      <c r="P687" s="379"/>
      <c r="Q687" s="379"/>
      <c r="R687" s="379"/>
      <c r="T687" s="54"/>
      <c r="V687" s="379"/>
      <c r="Y687" s="379"/>
      <c r="Z687" s="59"/>
      <c r="AA687" s="379"/>
      <c r="AB687" s="379"/>
      <c r="AC687" s="59"/>
      <c r="AD687" s="59"/>
      <c r="AE687" s="379"/>
      <c r="AF687" s="379"/>
      <c r="AG687" s="156"/>
      <c r="AH687" s="60"/>
      <c r="AI687" s="379"/>
      <c r="AJ687" s="379"/>
      <c r="AK687" s="156"/>
      <c r="AL687" s="379"/>
      <c r="AM687" s="50"/>
      <c r="AN687" s="50"/>
    </row>
    <row r="688" spans="1:40" x14ac:dyDescent="0.25">
      <c r="V688" s="379"/>
      <c r="Y688" s="379"/>
      <c r="Z688" s="464"/>
      <c r="AA688" s="379"/>
      <c r="AB688" s="379"/>
      <c r="AC688" s="379"/>
      <c r="AD688" s="379"/>
      <c r="AE688" s="379"/>
      <c r="AF688" s="379"/>
      <c r="AI688" s="379"/>
      <c r="AJ688" s="379"/>
      <c r="AK688" s="156"/>
      <c r="AL688" s="379"/>
      <c r="AM688" s="50"/>
      <c r="AN688" s="50"/>
    </row>
    <row r="689" spans="1:40" x14ac:dyDescent="0.25">
      <c r="A689" s="53"/>
      <c r="C689" s="54"/>
      <c r="D689" s="54"/>
      <c r="E689" s="54"/>
      <c r="L689" s="379"/>
      <c r="M689" s="379"/>
      <c r="N689" s="59"/>
      <c r="O689" s="59"/>
      <c r="P689" s="53"/>
      <c r="Q689" s="53"/>
      <c r="R689" s="379"/>
      <c r="T689" s="54"/>
      <c r="U689" s="54"/>
      <c r="AA689" s="379"/>
      <c r="AB689" s="379"/>
      <c r="AC689" s="59"/>
      <c r="AD689" s="59"/>
      <c r="AE689" s="379"/>
      <c r="AF689" s="379"/>
      <c r="AG689" s="156"/>
      <c r="AH689" s="60"/>
      <c r="AI689" s="53"/>
      <c r="AJ689" s="53"/>
      <c r="AK689" s="156"/>
      <c r="AL689" s="379"/>
      <c r="AM689" s="50"/>
      <c r="AN689" s="50"/>
    </row>
    <row r="690" spans="1:40" x14ac:dyDescent="0.25">
      <c r="A690" s="53"/>
      <c r="D690" s="54"/>
      <c r="E690" s="54"/>
      <c r="F690" s="449"/>
      <c r="H690" s="449"/>
      <c r="I690" s="449"/>
      <c r="J690" s="59"/>
      <c r="K690" s="59"/>
      <c r="L690" s="379"/>
      <c r="M690" s="379"/>
      <c r="N690" s="59"/>
      <c r="O690" s="59"/>
      <c r="P690" s="449"/>
      <c r="Q690" s="449"/>
      <c r="R690" s="379"/>
      <c r="U690" s="54"/>
      <c r="V690" s="379"/>
      <c r="Y690" s="379"/>
      <c r="Z690" s="59"/>
      <c r="AA690" s="379"/>
      <c r="AB690" s="379"/>
      <c r="AC690" s="59"/>
      <c r="AD690" s="59"/>
      <c r="AE690" s="379"/>
      <c r="AF690" s="379"/>
      <c r="AG690" s="156"/>
      <c r="AH690" s="60"/>
      <c r="AI690" s="379"/>
      <c r="AJ690" s="379"/>
      <c r="AK690" s="156"/>
      <c r="AL690" s="379"/>
      <c r="AM690" s="50"/>
      <c r="AN690" s="50"/>
    </row>
    <row r="691" spans="1:40" x14ac:dyDescent="0.25">
      <c r="F691" s="381"/>
      <c r="H691" s="381"/>
      <c r="I691" s="381"/>
      <c r="J691" s="464"/>
      <c r="K691" s="464"/>
      <c r="L691" s="381"/>
      <c r="M691" s="381"/>
      <c r="N691" s="381"/>
      <c r="O691" s="381"/>
      <c r="P691" s="381"/>
      <c r="Q691" s="381"/>
      <c r="R691" s="381"/>
      <c r="V691" s="381"/>
      <c r="Y691" s="381"/>
      <c r="Z691" s="464"/>
      <c r="AA691" s="381"/>
      <c r="AB691" s="381"/>
      <c r="AC691" s="381"/>
      <c r="AD691" s="381"/>
      <c r="AE691" s="381"/>
      <c r="AF691" s="381"/>
      <c r="AI691" s="381"/>
      <c r="AJ691" s="381"/>
      <c r="AK691" s="162"/>
      <c r="AL691" s="381"/>
      <c r="AM691" s="50"/>
      <c r="AN691" s="50"/>
    </row>
    <row r="692" spans="1:40" x14ac:dyDescent="0.25">
      <c r="A692" s="53"/>
      <c r="C692" s="54"/>
      <c r="F692" s="379"/>
      <c r="H692" s="379"/>
      <c r="I692" s="379"/>
      <c r="J692" s="59"/>
      <c r="K692" s="59"/>
      <c r="L692" s="379"/>
      <c r="M692" s="379"/>
      <c r="N692" s="59"/>
      <c r="O692" s="59"/>
      <c r="P692" s="379"/>
      <c r="Q692" s="379"/>
      <c r="R692" s="379"/>
      <c r="T692" s="54"/>
      <c r="V692" s="379"/>
      <c r="Y692" s="379"/>
      <c r="Z692" s="59"/>
      <c r="AA692" s="379"/>
      <c r="AB692" s="379"/>
      <c r="AC692" s="59"/>
      <c r="AD692" s="59"/>
      <c r="AE692" s="379"/>
      <c r="AF692" s="379"/>
      <c r="AG692" s="156"/>
      <c r="AH692" s="60"/>
      <c r="AI692" s="379"/>
      <c r="AJ692" s="379"/>
      <c r="AK692" s="156"/>
      <c r="AL692" s="379"/>
      <c r="AM692" s="50"/>
      <c r="AN692" s="50"/>
    </row>
    <row r="693" spans="1:40" x14ac:dyDescent="0.25">
      <c r="F693" s="379"/>
      <c r="H693" s="379"/>
      <c r="I693" s="379"/>
      <c r="J693" s="59"/>
      <c r="K693" s="59"/>
      <c r="L693" s="379"/>
      <c r="M693" s="379"/>
      <c r="N693" s="59"/>
      <c r="O693" s="59"/>
      <c r="P693" s="379"/>
      <c r="Q693" s="379"/>
      <c r="R693" s="379"/>
      <c r="V693" s="379"/>
      <c r="Y693" s="379"/>
      <c r="Z693" s="59"/>
      <c r="AA693" s="379"/>
      <c r="AB693" s="379"/>
      <c r="AC693" s="59"/>
      <c r="AD693" s="59"/>
      <c r="AG693" s="156"/>
      <c r="AH693" s="60"/>
      <c r="AI693" s="379"/>
      <c r="AJ693" s="379"/>
      <c r="AK693" s="156"/>
      <c r="AL693" s="379"/>
      <c r="AM693" s="50"/>
      <c r="AN693" s="50"/>
    </row>
    <row r="694" spans="1:40" x14ac:dyDescent="0.25">
      <c r="A694" s="53"/>
      <c r="D694" s="54"/>
      <c r="E694" s="54"/>
      <c r="F694" s="379"/>
      <c r="H694" s="379"/>
      <c r="I694" s="379"/>
      <c r="J694" s="59"/>
      <c r="K694" s="59"/>
      <c r="L694" s="449"/>
      <c r="M694" s="449"/>
      <c r="N694" s="59"/>
      <c r="O694" s="59"/>
      <c r="P694" s="379"/>
      <c r="Q694" s="379"/>
      <c r="R694" s="379"/>
      <c r="U694" s="54"/>
      <c r="V694" s="379"/>
      <c r="Y694" s="379"/>
      <c r="Z694" s="59"/>
      <c r="AA694" s="449"/>
      <c r="AB694" s="449"/>
      <c r="AC694" s="59"/>
      <c r="AD694" s="59"/>
      <c r="AE694" s="379"/>
      <c r="AF694" s="379"/>
      <c r="AG694" s="156"/>
      <c r="AH694" s="60"/>
      <c r="AI694" s="379"/>
      <c r="AJ694" s="379"/>
      <c r="AK694" s="156"/>
      <c r="AL694" s="379"/>
      <c r="AM694" s="50"/>
      <c r="AN694" s="50"/>
    </row>
    <row r="695" spans="1:40" x14ac:dyDescent="0.25">
      <c r="A695" s="53"/>
      <c r="D695" s="54"/>
      <c r="E695" s="54"/>
      <c r="F695" s="379"/>
      <c r="H695" s="379"/>
      <c r="I695" s="379"/>
      <c r="J695" s="59"/>
      <c r="K695" s="59"/>
      <c r="L695" s="449"/>
      <c r="M695" s="449"/>
      <c r="N695" s="59"/>
      <c r="O695" s="59"/>
      <c r="P695" s="379"/>
      <c r="Q695" s="379"/>
      <c r="R695" s="379"/>
      <c r="U695" s="54"/>
      <c r="V695" s="379"/>
      <c r="Y695" s="379"/>
      <c r="Z695" s="59"/>
      <c r="AA695" s="449"/>
      <c r="AB695" s="449"/>
      <c r="AC695" s="59"/>
      <c r="AD695" s="59"/>
      <c r="AE695" s="379"/>
      <c r="AF695" s="379"/>
      <c r="AG695" s="156"/>
      <c r="AH695" s="60"/>
      <c r="AI695" s="379"/>
      <c r="AJ695" s="379"/>
      <c r="AK695" s="156"/>
      <c r="AL695" s="379"/>
      <c r="AM695" s="50"/>
      <c r="AN695" s="50"/>
    </row>
    <row r="696" spans="1:40" x14ac:dyDescent="0.25">
      <c r="A696" s="53"/>
      <c r="D696" s="54"/>
      <c r="E696" s="54"/>
      <c r="F696" s="379"/>
      <c r="H696" s="379"/>
      <c r="I696" s="379"/>
      <c r="J696" s="59"/>
      <c r="K696" s="59"/>
      <c r="L696" s="449"/>
      <c r="M696" s="449"/>
      <c r="N696" s="59"/>
      <c r="O696" s="59"/>
      <c r="P696" s="379"/>
      <c r="Q696" s="379"/>
      <c r="R696" s="379"/>
      <c r="U696" s="54"/>
      <c r="V696" s="379"/>
      <c r="Y696" s="379"/>
      <c r="Z696" s="59"/>
      <c r="AA696" s="449"/>
      <c r="AB696" s="449"/>
      <c r="AC696" s="59"/>
      <c r="AD696" s="59"/>
      <c r="AE696" s="379"/>
      <c r="AF696" s="379"/>
      <c r="AG696" s="156"/>
      <c r="AH696" s="60"/>
      <c r="AI696" s="379"/>
      <c r="AJ696" s="379"/>
      <c r="AK696" s="156"/>
      <c r="AL696" s="379"/>
      <c r="AM696" s="50"/>
      <c r="AN696" s="50"/>
    </row>
    <row r="697" spans="1:40" x14ac:dyDescent="0.25">
      <c r="F697" s="381"/>
      <c r="H697" s="381"/>
      <c r="I697" s="381"/>
      <c r="J697" s="464"/>
      <c r="K697" s="464"/>
      <c r="L697" s="381"/>
      <c r="M697" s="381"/>
      <c r="N697" s="381"/>
      <c r="O697" s="381"/>
      <c r="P697" s="381"/>
      <c r="Q697" s="381"/>
      <c r="R697" s="381"/>
      <c r="V697" s="381"/>
      <c r="Y697" s="381"/>
      <c r="Z697" s="464"/>
      <c r="AA697" s="381"/>
      <c r="AB697" s="381"/>
      <c r="AC697" s="381"/>
      <c r="AD697" s="381"/>
      <c r="AE697" s="381"/>
      <c r="AF697" s="381"/>
      <c r="AI697" s="381"/>
      <c r="AJ697" s="381"/>
      <c r="AK697" s="162"/>
      <c r="AL697" s="381"/>
      <c r="AM697" s="50"/>
      <c r="AN697" s="50"/>
    </row>
    <row r="698" spans="1:40" x14ac:dyDescent="0.25">
      <c r="A698" s="53"/>
      <c r="C698" s="54"/>
      <c r="F698" s="379"/>
      <c r="H698" s="379"/>
      <c r="I698" s="379"/>
      <c r="J698" s="59"/>
      <c r="K698" s="59"/>
      <c r="L698" s="379"/>
      <c r="M698" s="379"/>
      <c r="N698" s="59"/>
      <c r="O698" s="59"/>
      <c r="P698" s="379"/>
      <c r="Q698" s="379"/>
      <c r="R698" s="379"/>
      <c r="T698" s="54"/>
      <c r="V698" s="379"/>
      <c r="Y698" s="379"/>
      <c r="Z698" s="59"/>
      <c r="AA698" s="379"/>
      <c r="AB698" s="379"/>
      <c r="AC698" s="59"/>
      <c r="AD698" s="59"/>
      <c r="AE698" s="379"/>
      <c r="AF698" s="379"/>
      <c r="AG698" s="156"/>
      <c r="AH698" s="60"/>
      <c r="AI698" s="379"/>
      <c r="AJ698" s="379"/>
      <c r="AK698" s="156"/>
      <c r="AL698" s="379"/>
      <c r="AM698" s="50"/>
      <c r="AN698" s="50"/>
    </row>
    <row r="699" spans="1:40" x14ac:dyDescent="0.25">
      <c r="F699" s="379"/>
      <c r="H699" s="379"/>
      <c r="I699" s="379"/>
      <c r="J699" s="59"/>
      <c r="K699" s="59"/>
      <c r="L699" s="379"/>
      <c r="M699" s="379"/>
      <c r="N699" s="59"/>
      <c r="O699" s="59"/>
      <c r="P699" s="379"/>
      <c r="Q699" s="379"/>
      <c r="R699" s="379"/>
      <c r="V699" s="379"/>
      <c r="Y699" s="379"/>
      <c r="Z699" s="59"/>
      <c r="AA699" s="379"/>
      <c r="AB699" s="379"/>
      <c r="AC699" s="59"/>
      <c r="AD699" s="59"/>
      <c r="AG699" s="156"/>
      <c r="AH699" s="60"/>
      <c r="AI699" s="379"/>
      <c r="AJ699" s="379"/>
      <c r="AK699" s="156"/>
      <c r="AL699" s="379"/>
      <c r="AM699" s="50"/>
      <c r="AN699" s="50"/>
    </row>
    <row r="700" spans="1:40" x14ac:dyDescent="0.25">
      <c r="A700" s="53"/>
      <c r="C700" s="54"/>
      <c r="F700" s="379"/>
      <c r="H700" s="379"/>
      <c r="I700" s="379"/>
      <c r="J700" s="59"/>
      <c r="K700" s="59"/>
      <c r="L700" s="379"/>
      <c r="M700" s="379"/>
      <c r="N700" s="59"/>
      <c r="O700" s="59"/>
      <c r="P700" s="379"/>
      <c r="Q700" s="379"/>
      <c r="R700" s="379"/>
      <c r="T700" s="54"/>
      <c r="V700" s="379"/>
      <c r="Y700" s="379"/>
      <c r="Z700" s="59"/>
      <c r="AA700" s="379"/>
      <c r="AB700" s="379"/>
      <c r="AC700" s="59"/>
      <c r="AD700" s="59"/>
      <c r="AE700" s="379"/>
      <c r="AF700" s="379"/>
      <c r="AG700" s="156"/>
      <c r="AH700" s="60"/>
      <c r="AI700" s="379"/>
      <c r="AJ700" s="379"/>
      <c r="AK700" s="156"/>
      <c r="AL700" s="379"/>
      <c r="AM700" s="50"/>
      <c r="AN700" s="50"/>
    </row>
    <row r="701" spans="1:40" x14ac:dyDescent="0.25">
      <c r="F701" s="381"/>
      <c r="H701" s="381"/>
      <c r="I701" s="381"/>
      <c r="J701" s="464"/>
      <c r="K701" s="464"/>
      <c r="L701" s="381"/>
      <c r="M701" s="381"/>
      <c r="N701" s="381"/>
      <c r="O701" s="381"/>
      <c r="P701" s="381"/>
      <c r="Q701" s="381"/>
      <c r="R701" s="381"/>
      <c r="V701" s="381"/>
      <c r="Y701" s="381"/>
      <c r="Z701" s="464"/>
      <c r="AA701" s="381"/>
      <c r="AB701" s="381"/>
      <c r="AC701" s="381"/>
      <c r="AD701" s="381"/>
      <c r="AE701" s="381"/>
      <c r="AF701" s="381"/>
      <c r="AI701" s="381"/>
      <c r="AJ701" s="381"/>
      <c r="AK701" s="162"/>
      <c r="AL701" s="381"/>
    </row>
    <row r="703" spans="1:40" x14ac:dyDescent="0.25">
      <c r="C703" s="54"/>
      <c r="L703" s="379"/>
      <c r="M703" s="379"/>
      <c r="P703" s="379"/>
      <c r="Q703" s="379"/>
      <c r="R703" s="379"/>
      <c r="T703" s="54"/>
    </row>
    <row r="704" spans="1:40" x14ac:dyDescent="0.25">
      <c r="A704" s="54"/>
      <c r="L704" s="379"/>
      <c r="M704" s="379"/>
      <c r="P704" s="379"/>
      <c r="Q704" s="379"/>
      <c r="R704" s="379"/>
    </row>
    <row r="705" spans="12:18" x14ac:dyDescent="0.25">
      <c r="L705" s="379"/>
      <c r="M705" s="379"/>
      <c r="P705" s="379"/>
      <c r="Q705" s="379"/>
      <c r="R705" s="379"/>
    </row>
    <row r="706" spans="12:18" x14ac:dyDescent="0.25">
      <c r="L706" s="379"/>
      <c r="M706" s="379"/>
      <c r="P706" s="379"/>
      <c r="Q706" s="379"/>
      <c r="R706" s="379"/>
    </row>
    <row r="707" spans="12:18" x14ac:dyDescent="0.25">
      <c r="L707" s="379"/>
      <c r="M707" s="379"/>
      <c r="P707" s="379"/>
      <c r="Q707" s="379"/>
      <c r="R707" s="379"/>
    </row>
    <row r="708" spans="12:18" x14ac:dyDescent="0.25">
      <c r="L708" s="379"/>
      <c r="M708" s="379"/>
      <c r="P708" s="379"/>
      <c r="Q708" s="379"/>
      <c r="R708" s="379"/>
    </row>
    <row r="709" spans="12:18" x14ac:dyDescent="0.25">
      <c r="L709" s="379"/>
      <c r="M709" s="379"/>
      <c r="P709" s="379"/>
      <c r="Q709" s="379"/>
      <c r="R709" s="379"/>
    </row>
    <row r="742" spans="49:49" x14ac:dyDescent="0.25">
      <c r="AW742" s="379"/>
    </row>
    <row r="743" spans="49:49" x14ac:dyDescent="0.25">
      <c r="AW743" s="379"/>
    </row>
    <row r="744" spans="49:49" x14ac:dyDescent="0.25">
      <c r="AW744" s="379"/>
    </row>
    <row r="745" spans="49:49" x14ac:dyDescent="0.25">
      <c r="AW745" s="379"/>
    </row>
    <row r="746" spans="49:49" x14ac:dyDescent="0.25">
      <c r="AW746" s="379"/>
    </row>
    <row r="747" spans="49:49" x14ac:dyDescent="0.25">
      <c r="AW747" s="379"/>
    </row>
    <row r="750" spans="49:49" x14ac:dyDescent="0.25">
      <c r="AW750" s="379"/>
    </row>
    <row r="751" spans="49:49" x14ac:dyDescent="0.25">
      <c r="AW751" s="379"/>
    </row>
    <row r="752" spans="49:49" x14ac:dyDescent="0.25">
      <c r="AW752" s="379"/>
    </row>
    <row r="753" spans="49:49" x14ac:dyDescent="0.25">
      <c r="AW753" s="379"/>
    </row>
    <row r="754" spans="49:49" x14ac:dyDescent="0.25">
      <c r="AW754" s="379"/>
    </row>
    <row r="755" spans="49:49" x14ac:dyDescent="0.25">
      <c r="AW755" s="379"/>
    </row>
    <row r="756" spans="49:49" x14ac:dyDescent="0.25">
      <c r="AW756" s="379"/>
    </row>
    <row r="757" spans="49:49" x14ac:dyDescent="0.25">
      <c r="AW757" s="379"/>
    </row>
    <row r="760" spans="49:49" x14ac:dyDescent="0.25">
      <c r="AW760" s="379"/>
    </row>
    <row r="761" spans="49:49" x14ac:dyDescent="0.25">
      <c r="AW761" s="379"/>
    </row>
    <row r="764" spans="49:49" x14ac:dyDescent="0.25">
      <c r="AW764" s="379"/>
    </row>
    <row r="765" spans="49:49" x14ac:dyDescent="0.25">
      <c r="AW765" s="379"/>
    </row>
    <row r="766" spans="49:49" x14ac:dyDescent="0.25">
      <c r="AW766" s="379"/>
    </row>
    <row r="767" spans="49:49" x14ac:dyDescent="0.25">
      <c r="AW767" s="379"/>
    </row>
    <row r="773" spans="45:69" x14ac:dyDescent="0.25">
      <c r="AY773" s="53"/>
    </row>
    <row r="774" spans="45:69" x14ac:dyDescent="0.25">
      <c r="AY774" s="53"/>
    </row>
    <row r="775" spans="45:69" x14ac:dyDescent="0.25">
      <c r="AY775" s="54"/>
    </row>
    <row r="776" spans="45:69" x14ac:dyDescent="0.25">
      <c r="AY776" s="54"/>
    </row>
    <row r="777" spans="45:69" x14ac:dyDescent="0.25">
      <c r="AS777" s="53"/>
      <c r="BD777" s="54"/>
    </row>
    <row r="778" spans="45:69" x14ac:dyDescent="0.25">
      <c r="AS778" s="53"/>
      <c r="BD778" s="54"/>
    </row>
    <row r="779" spans="45:69" x14ac:dyDescent="0.25">
      <c r="AS779" s="54"/>
      <c r="BD779" s="54"/>
    </row>
    <row r="780" spans="45:69" x14ac:dyDescent="0.25">
      <c r="BD780" s="53"/>
    </row>
    <row r="781" spans="45:69" x14ac:dyDescent="0.25"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</row>
    <row r="782" spans="45:69" x14ac:dyDescent="0.25">
      <c r="AX782" s="54"/>
    </row>
    <row r="783" spans="45:69" x14ac:dyDescent="0.25">
      <c r="AX783" s="55"/>
      <c r="AY783" s="55"/>
      <c r="AZ783" s="55"/>
      <c r="BA783" s="55"/>
      <c r="BC783" s="56"/>
      <c r="BD783" s="56"/>
    </row>
    <row r="784" spans="45:69" x14ac:dyDescent="0.25">
      <c r="AV784" s="56"/>
      <c r="AW784" s="56"/>
      <c r="AZ784" s="56"/>
      <c r="BA784" s="56"/>
      <c r="BC784" s="56"/>
      <c r="BD784" s="56"/>
      <c r="BE784" s="56"/>
      <c r="BG784" s="55"/>
      <c r="BH784" s="54"/>
      <c r="BK784" s="55"/>
      <c r="BM784" s="55"/>
      <c r="BN784" s="54"/>
      <c r="BQ784" s="55"/>
    </row>
    <row r="785" spans="45:69" x14ac:dyDescent="0.25"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H785" s="56"/>
      <c r="BI785" s="56"/>
      <c r="BJ785" s="56"/>
      <c r="BN785" s="56"/>
      <c r="BO785" s="56"/>
      <c r="BP785" s="56"/>
    </row>
    <row r="786" spans="45:69" x14ac:dyDescent="0.25">
      <c r="AS786" s="56"/>
      <c r="AU786" s="54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G786" s="56"/>
      <c r="BH786" s="56"/>
      <c r="BI786" s="56"/>
      <c r="BJ786" s="56"/>
      <c r="BK786" s="56"/>
      <c r="BM786" s="56"/>
      <c r="BN786" s="56"/>
      <c r="BO786" s="56"/>
      <c r="BP786" s="56"/>
      <c r="BQ786" s="56"/>
    </row>
    <row r="787" spans="45:69" x14ac:dyDescent="0.25">
      <c r="AS787" s="56"/>
      <c r="AU787" s="54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G787" s="56"/>
      <c r="BH787" s="56"/>
      <c r="BI787" s="56"/>
      <c r="BJ787" s="56"/>
      <c r="BK787" s="56"/>
      <c r="BM787" s="56"/>
      <c r="BN787" s="56"/>
      <c r="BO787" s="56"/>
      <c r="BP787" s="56"/>
      <c r="BQ787" s="56"/>
    </row>
    <row r="788" spans="45:69" x14ac:dyDescent="0.25"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G788" s="55"/>
      <c r="BH788" s="55"/>
      <c r="BI788" s="55"/>
      <c r="BJ788" s="55"/>
      <c r="BK788" s="55"/>
      <c r="BM788" s="55"/>
      <c r="BN788" s="55"/>
      <c r="BO788" s="55"/>
      <c r="BP788" s="55"/>
      <c r="BQ788" s="55"/>
    </row>
    <row r="789" spans="45:69" x14ac:dyDescent="0.25"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</row>
    <row r="790" spans="45:69" x14ac:dyDescent="0.25">
      <c r="AS790" s="53"/>
      <c r="AU790" s="54"/>
      <c r="AV790" s="56"/>
      <c r="AY790" s="59"/>
    </row>
    <row r="791" spans="45:69" x14ac:dyDescent="0.25">
      <c r="AS791" s="53"/>
      <c r="AV791" s="56"/>
      <c r="AW791" s="379"/>
      <c r="AX791" s="65"/>
      <c r="AY791" s="65"/>
      <c r="AZ791" s="65"/>
      <c r="BA791" s="50"/>
      <c r="BB791" s="65"/>
      <c r="BC791" s="59"/>
      <c r="BD791" s="59"/>
      <c r="BE791" s="50"/>
      <c r="BG791" s="65"/>
      <c r="BH791" s="65"/>
      <c r="BI791" s="65"/>
      <c r="BJ791" s="65"/>
      <c r="BK791" s="65"/>
      <c r="BM791" s="65"/>
      <c r="BN791" s="65"/>
      <c r="BO791" s="65"/>
      <c r="BP791" s="65"/>
      <c r="BQ791" s="65"/>
    </row>
    <row r="792" spans="45:69" x14ac:dyDescent="0.25">
      <c r="AS792" s="53"/>
      <c r="AV792" s="56"/>
      <c r="AW792" s="379"/>
      <c r="AX792" s="65"/>
      <c r="AY792" s="65"/>
      <c r="AZ792" s="65"/>
      <c r="BA792" s="50"/>
      <c r="BB792" s="65"/>
      <c r="BC792" s="59"/>
      <c r="BD792" s="59"/>
      <c r="BE792" s="50"/>
      <c r="BG792" s="65"/>
      <c r="BH792" s="65"/>
      <c r="BI792" s="65"/>
      <c r="BJ792" s="65"/>
      <c r="BK792" s="65"/>
      <c r="BM792" s="65"/>
      <c r="BN792" s="65"/>
      <c r="BO792" s="65"/>
      <c r="BP792" s="65"/>
      <c r="BQ792" s="65"/>
    </row>
    <row r="793" spans="45:69" x14ac:dyDescent="0.25">
      <c r="AS793" s="53"/>
      <c r="AV793" s="56"/>
      <c r="AW793" s="379"/>
      <c r="AX793" s="65"/>
      <c r="AY793" s="65"/>
      <c r="AZ793" s="65"/>
      <c r="BA793" s="50"/>
      <c r="BB793" s="65"/>
      <c r="BC793" s="59"/>
      <c r="BD793" s="59"/>
      <c r="BE793" s="50"/>
      <c r="BG793" s="65"/>
      <c r="BH793" s="65"/>
      <c r="BI793" s="65"/>
      <c r="BJ793" s="65"/>
      <c r="BK793" s="65"/>
      <c r="BM793" s="65"/>
      <c r="BN793" s="65"/>
      <c r="BO793" s="65"/>
      <c r="BP793" s="65"/>
      <c r="BQ793" s="65"/>
    </row>
    <row r="794" spans="45:69" x14ac:dyDescent="0.25">
      <c r="AS794" s="53"/>
      <c r="AV794" s="56"/>
      <c r="AW794" s="379"/>
      <c r="AX794" s="65"/>
      <c r="AY794" s="65"/>
      <c r="AZ794" s="65"/>
      <c r="BA794" s="50"/>
      <c r="BB794" s="65"/>
      <c r="BC794" s="59"/>
      <c r="BD794" s="59"/>
      <c r="BE794" s="50"/>
      <c r="BG794" s="65"/>
      <c r="BH794" s="65"/>
      <c r="BI794" s="65"/>
      <c r="BJ794" s="65"/>
      <c r="BK794" s="65"/>
      <c r="BM794" s="65"/>
      <c r="BN794" s="65"/>
      <c r="BO794" s="65"/>
      <c r="BP794" s="65"/>
      <c r="BQ794" s="65"/>
    </row>
    <row r="795" spans="45:69" x14ac:dyDescent="0.25">
      <c r="AS795" s="53"/>
      <c r="AV795" s="56"/>
      <c r="AW795" s="379"/>
      <c r="AX795" s="65"/>
      <c r="AY795" s="65"/>
      <c r="AZ795" s="65"/>
      <c r="BA795" s="50"/>
      <c r="BB795" s="65"/>
      <c r="BC795" s="59"/>
      <c r="BD795" s="59"/>
      <c r="BE795" s="50"/>
      <c r="BG795" s="65"/>
      <c r="BH795" s="65"/>
      <c r="BI795" s="65"/>
      <c r="BJ795" s="65"/>
      <c r="BK795" s="65"/>
      <c r="BM795" s="65"/>
      <c r="BN795" s="65"/>
      <c r="BO795" s="65"/>
      <c r="BP795" s="65"/>
      <c r="BQ795" s="65"/>
    </row>
    <row r="796" spans="45:69" x14ac:dyDescent="0.25">
      <c r="AS796" s="53"/>
      <c r="AV796" s="56"/>
      <c r="AW796" s="379"/>
      <c r="AX796" s="65"/>
      <c r="AY796" s="65"/>
      <c r="AZ796" s="65"/>
      <c r="BA796" s="50"/>
      <c r="BB796" s="65"/>
      <c r="BC796" s="59"/>
      <c r="BD796" s="59"/>
      <c r="BE796" s="50"/>
      <c r="BG796" s="65"/>
      <c r="BH796" s="65"/>
      <c r="BI796" s="65"/>
      <c r="BJ796" s="65"/>
      <c r="BK796" s="65"/>
      <c r="BM796" s="65"/>
      <c r="BN796" s="65"/>
      <c r="BO796" s="65"/>
      <c r="BP796" s="65"/>
      <c r="BQ796" s="65"/>
    </row>
    <row r="797" spans="45:69" x14ac:dyDescent="0.25">
      <c r="AS797" s="53"/>
      <c r="AV797" s="56"/>
      <c r="AW797" s="379"/>
      <c r="AX797" s="65"/>
      <c r="AY797" s="65"/>
      <c r="AZ797" s="65"/>
      <c r="BA797" s="50"/>
      <c r="BB797" s="65"/>
      <c r="BC797" s="59"/>
      <c r="BD797" s="59"/>
      <c r="BE797" s="50"/>
      <c r="BG797" s="65"/>
      <c r="BH797" s="65"/>
      <c r="BI797" s="65"/>
      <c r="BJ797" s="65"/>
      <c r="BK797" s="65"/>
      <c r="BM797" s="65"/>
      <c r="BN797" s="65"/>
      <c r="BO797" s="65"/>
      <c r="BP797" s="65"/>
      <c r="BQ797" s="65"/>
    </row>
    <row r="798" spans="45:69" x14ac:dyDescent="0.25">
      <c r="AY798" s="59"/>
      <c r="AZ798" s="65"/>
      <c r="BA798" s="50"/>
      <c r="BB798" s="65"/>
      <c r="BC798" s="59"/>
      <c r="BD798" s="59"/>
      <c r="BE798" s="50"/>
      <c r="BK798" s="65"/>
      <c r="BQ798" s="65"/>
    </row>
    <row r="799" spans="45:69" x14ac:dyDescent="0.25">
      <c r="AS799" s="53"/>
      <c r="AV799" s="56"/>
      <c r="AY799" s="59"/>
      <c r="AZ799" s="65"/>
      <c r="BA799" s="50"/>
      <c r="BB799" s="65"/>
      <c r="BC799" s="59"/>
      <c r="BD799" s="59"/>
      <c r="BE799" s="50"/>
      <c r="BK799" s="65"/>
      <c r="BQ799" s="65"/>
    </row>
    <row r="800" spans="45:69" x14ac:dyDescent="0.25">
      <c r="AS800" s="53"/>
      <c r="AV800" s="56"/>
      <c r="AW800" s="379"/>
      <c r="AX800" s="65"/>
      <c r="AY800" s="65"/>
      <c r="AZ800" s="65"/>
      <c r="BA800" s="50"/>
      <c r="BB800" s="65"/>
      <c r="BC800" s="59"/>
      <c r="BD800" s="59"/>
      <c r="BE800" s="50"/>
      <c r="BG800" s="65"/>
      <c r="BH800" s="65"/>
      <c r="BI800" s="65"/>
      <c r="BJ800" s="65"/>
      <c r="BK800" s="65"/>
      <c r="BM800" s="65"/>
      <c r="BN800" s="65"/>
      <c r="BO800" s="65"/>
      <c r="BP800" s="65"/>
      <c r="BQ800" s="65"/>
    </row>
    <row r="801" spans="45:69" x14ac:dyDescent="0.25">
      <c r="AS801" s="53"/>
      <c r="AV801" s="56"/>
      <c r="AW801" s="379"/>
      <c r="AX801" s="65"/>
      <c r="AY801" s="65"/>
      <c r="AZ801" s="65"/>
      <c r="BA801" s="50"/>
      <c r="BB801" s="65"/>
      <c r="BC801" s="59"/>
      <c r="BD801" s="59"/>
      <c r="BE801" s="50"/>
      <c r="BG801" s="65"/>
      <c r="BH801" s="65"/>
      <c r="BI801" s="65"/>
      <c r="BJ801" s="65"/>
      <c r="BK801" s="65"/>
      <c r="BM801" s="65"/>
      <c r="BN801" s="65"/>
      <c r="BO801" s="65"/>
      <c r="BP801" s="65"/>
      <c r="BQ801" s="65"/>
    </row>
    <row r="802" spans="45:69" x14ac:dyDescent="0.25">
      <c r="AS802" s="53"/>
      <c r="AV802" s="56"/>
      <c r="AW802" s="379"/>
      <c r="AX802" s="65"/>
      <c r="AY802" s="65"/>
      <c r="AZ802" s="65"/>
      <c r="BA802" s="50"/>
      <c r="BB802" s="65"/>
      <c r="BC802" s="59"/>
      <c r="BD802" s="59"/>
      <c r="BE802" s="50"/>
      <c r="BG802" s="65"/>
      <c r="BH802" s="65"/>
      <c r="BI802" s="65"/>
      <c r="BJ802" s="65"/>
      <c r="BK802" s="65"/>
      <c r="BM802" s="65"/>
      <c r="BN802" s="65"/>
      <c r="BO802" s="65"/>
      <c r="BP802" s="65"/>
      <c r="BQ802" s="65"/>
    </row>
    <row r="803" spans="45:69" x14ac:dyDescent="0.25">
      <c r="AS803" s="53"/>
      <c r="AV803" s="56"/>
      <c r="AW803" s="379"/>
      <c r="AX803" s="65"/>
      <c r="AY803" s="65"/>
      <c r="AZ803" s="65"/>
      <c r="BA803" s="50"/>
      <c r="BB803" s="65"/>
      <c r="BC803" s="59"/>
      <c r="BD803" s="59"/>
      <c r="BE803" s="50"/>
      <c r="BG803" s="65"/>
      <c r="BH803" s="65"/>
      <c r="BI803" s="65"/>
      <c r="BJ803" s="65"/>
      <c r="BK803" s="65"/>
      <c r="BM803" s="65"/>
      <c r="BN803" s="65"/>
      <c r="BO803" s="65"/>
      <c r="BP803" s="65"/>
      <c r="BQ803" s="65"/>
    </row>
    <row r="804" spans="45:69" x14ac:dyDescent="0.25">
      <c r="AS804" s="53"/>
      <c r="AV804" s="56"/>
      <c r="AW804" s="379"/>
      <c r="AX804" s="65"/>
      <c r="AY804" s="65"/>
      <c r="AZ804" s="65"/>
      <c r="BA804" s="50"/>
      <c r="BB804" s="65"/>
      <c r="BC804" s="59"/>
      <c r="BD804" s="59"/>
      <c r="BE804" s="50"/>
      <c r="BG804" s="65"/>
      <c r="BH804" s="65"/>
      <c r="BI804" s="65"/>
      <c r="BJ804" s="65"/>
      <c r="BK804" s="65"/>
      <c r="BM804" s="65"/>
      <c r="BN804" s="65"/>
      <c r="BO804" s="65"/>
      <c r="BP804" s="65"/>
      <c r="BQ804" s="65"/>
    </row>
    <row r="805" spans="45:69" x14ac:dyDescent="0.25">
      <c r="AS805" s="53"/>
      <c r="AV805" s="56"/>
      <c r="AW805" s="379"/>
      <c r="AX805" s="65"/>
      <c r="AY805" s="65"/>
      <c r="AZ805" s="65"/>
      <c r="BA805" s="50"/>
      <c r="BB805" s="65"/>
      <c r="BC805" s="59"/>
      <c r="BD805" s="59"/>
      <c r="BE805" s="50"/>
      <c r="BG805" s="65"/>
      <c r="BH805" s="65"/>
      <c r="BI805" s="65"/>
      <c r="BJ805" s="65"/>
      <c r="BK805" s="65"/>
      <c r="BM805" s="65"/>
      <c r="BN805" s="65"/>
      <c r="BO805" s="65"/>
      <c r="BP805" s="65"/>
      <c r="BQ805" s="65"/>
    </row>
    <row r="806" spans="45:69" x14ac:dyDescent="0.25">
      <c r="AS806" s="53"/>
      <c r="AV806" s="56"/>
      <c r="AW806" s="379"/>
      <c r="AX806" s="65"/>
      <c r="AY806" s="65"/>
      <c r="AZ806" s="65"/>
      <c r="BA806" s="50"/>
      <c r="BB806" s="65"/>
      <c r="BC806" s="59"/>
      <c r="BD806" s="59"/>
      <c r="BE806" s="50"/>
      <c r="BG806" s="65"/>
      <c r="BH806" s="65"/>
      <c r="BI806" s="65"/>
      <c r="BJ806" s="65"/>
      <c r="BK806" s="65"/>
      <c r="BM806" s="65"/>
      <c r="BN806" s="65"/>
      <c r="BO806" s="65"/>
      <c r="BP806" s="65"/>
      <c r="BQ806" s="65"/>
    </row>
    <row r="807" spans="45:69" x14ac:dyDescent="0.25">
      <c r="AS807" s="53"/>
      <c r="AV807" s="56"/>
      <c r="AW807" s="379"/>
      <c r="AX807" s="65"/>
      <c r="AY807" s="65"/>
      <c r="AZ807" s="65"/>
      <c r="BA807" s="50"/>
      <c r="BB807" s="65"/>
      <c r="BC807" s="59"/>
      <c r="BD807" s="59"/>
      <c r="BE807" s="50"/>
      <c r="BG807" s="65"/>
      <c r="BH807" s="65"/>
      <c r="BI807" s="65"/>
      <c r="BJ807" s="65"/>
      <c r="BK807" s="65"/>
      <c r="BM807" s="65"/>
      <c r="BN807" s="65"/>
      <c r="BO807" s="65"/>
      <c r="BP807" s="65"/>
      <c r="BQ807" s="65"/>
    </row>
    <row r="808" spans="45:69" x14ac:dyDescent="0.25">
      <c r="AY808" s="59"/>
      <c r="AZ808" s="65"/>
      <c r="BA808" s="50"/>
      <c r="BB808" s="65"/>
      <c r="BC808" s="59"/>
      <c r="BD808" s="59"/>
      <c r="BE808" s="50"/>
      <c r="BK808" s="65"/>
      <c r="BQ808" s="65"/>
    </row>
    <row r="809" spans="45:69" x14ac:dyDescent="0.25">
      <c r="AU809" s="54"/>
      <c r="AZ809" s="65"/>
      <c r="BB809" s="65"/>
      <c r="BG809" s="65"/>
      <c r="BH809" s="65"/>
      <c r="BJ809" s="65"/>
      <c r="BK809" s="65"/>
    </row>
    <row r="810" spans="45:69" x14ac:dyDescent="0.25">
      <c r="AZ810" s="65"/>
      <c r="BB810" s="65"/>
    </row>
    <row r="811" spans="45:69" x14ac:dyDescent="0.25">
      <c r="AS811" s="54"/>
      <c r="AZ811" s="65"/>
      <c r="BB811" s="65"/>
      <c r="BI811" s="65"/>
    </row>
    <row r="812" spans="45:69" x14ac:dyDescent="0.25">
      <c r="AY812" s="53"/>
      <c r="AZ812" s="65"/>
      <c r="BB812" s="65"/>
    </row>
    <row r="813" spans="45:69" x14ac:dyDescent="0.25">
      <c r="AY813" s="65"/>
      <c r="BB813" s="65"/>
    </row>
    <row r="814" spans="45:69" x14ac:dyDescent="0.25">
      <c r="AY814" s="54"/>
      <c r="AZ814" s="65"/>
      <c r="BB814" s="65"/>
    </row>
    <row r="815" spans="45:69" x14ac:dyDescent="0.25">
      <c r="AY815" s="54"/>
      <c r="AZ815" s="65"/>
      <c r="BB815" s="65"/>
    </row>
    <row r="816" spans="45:69" x14ac:dyDescent="0.25">
      <c r="AS816" s="53"/>
      <c r="AZ816" s="65"/>
      <c r="BB816" s="65"/>
      <c r="BD816" s="54"/>
    </row>
    <row r="817" spans="45:75" x14ac:dyDescent="0.25">
      <c r="AS817" s="53"/>
      <c r="AZ817" s="65"/>
      <c r="BB817" s="65"/>
      <c r="BD817" s="54"/>
    </row>
    <row r="818" spans="45:75" x14ac:dyDescent="0.25">
      <c r="AS818" s="54"/>
      <c r="AZ818" s="65"/>
      <c r="BB818" s="65"/>
      <c r="BD818" s="54"/>
    </row>
    <row r="819" spans="45:75" x14ac:dyDescent="0.25">
      <c r="AZ819" s="65"/>
      <c r="BB819" s="65"/>
      <c r="BD819" s="53"/>
    </row>
    <row r="820" spans="45:75" x14ac:dyDescent="0.25">
      <c r="AS820" s="55"/>
      <c r="AT820" s="55"/>
      <c r="AU820" s="55"/>
      <c r="AV820" s="55"/>
      <c r="AW820" s="55"/>
      <c r="AX820" s="55"/>
      <c r="AY820" s="55"/>
      <c r="AZ820" s="66"/>
      <c r="BA820" s="55"/>
      <c r="BB820" s="66"/>
      <c r="BC820" s="55"/>
      <c r="BD820" s="55"/>
      <c r="BE820" s="55"/>
    </row>
    <row r="821" spans="45:75" x14ac:dyDescent="0.25">
      <c r="AX821" s="54"/>
      <c r="AZ821" s="65"/>
      <c r="BB821" s="65"/>
    </row>
    <row r="822" spans="45:75" x14ac:dyDescent="0.25">
      <c r="AX822" s="55"/>
      <c r="AY822" s="55"/>
      <c r="AZ822" s="66"/>
      <c r="BA822" s="55"/>
      <c r="BB822" s="65"/>
      <c r="BC822" s="56"/>
      <c r="BD822" s="56"/>
    </row>
    <row r="823" spans="45:75" x14ac:dyDescent="0.25">
      <c r="AV823" s="56"/>
      <c r="AW823" s="56"/>
      <c r="AZ823" s="67"/>
      <c r="BA823" s="56"/>
      <c r="BB823" s="65"/>
      <c r="BC823" s="56"/>
      <c r="BD823" s="56"/>
      <c r="BE823" s="56"/>
      <c r="BG823" s="55"/>
      <c r="BH823" s="55"/>
      <c r="BI823" s="54"/>
      <c r="BM823" s="55"/>
      <c r="BN823" s="55"/>
      <c r="BP823" s="55"/>
      <c r="BQ823" s="55"/>
      <c r="BR823" s="54"/>
      <c r="BV823" s="55"/>
      <c r="BW823" s="55"/>
    </row>
    <row r="824" spans="45:75" x14ac:dyDescent="0.25">
      <c r="AV824" s="56"/>
      <c r="AW824" s="56"/>
      <c r="AX824" s="56"/>
      <c r="AY824" s="56"/>
      <c r="AZ824" s="67"/>
      <c r="BA824" s="56"/>
      <c r="BB824" s="67"/>
      <c r="BC824" s="56"/>
      <c r="BD824" s="56"/>
      <c r="BE824" s="56"/>
      <c r="BH824" s="56"/>
      <c r="BI824" s="56"/>
      <c r="BJ824" s="56"/>
      <c r="BK824" s="56"/>
      <c r="BL824" s="56"/>
      <c r="BM824" s="56"/>
      <c r="BQ824" s="56"/>
      <c r="BR824" s="56"/>
      <c r="BS824" s="56"/>
      <c r="BT824" s="56"/>
      <c r="BU824" s="56"/>
      <c r="BV824" s="56"/>
    </row>
    <row r="825" spans="45:75" x14ac:dyDescent="0.25">
      <c r="AS825" s="56"/>
      <c r="AU825" s="54"/>
      <c r="AV825" s="56"/>
      <c r="AW825" s="56"/>
      <c r="AX825" s="56"/>
      <c r="AY825" s="56"/>
      <c r="AZ825" s="67"/>
      <c r="BA825" s="56"/>
      <c r="BB825" s="67"/>
      <c r="BC825" s="56"/>
      <c r="BD825" s="56"/>
      <c r="BE825" s="56"/>
      <c r="BG825" s="56"/>
      <c r="BH825" s="56"/>
      <c r="BI825" s="56"/>
      <c r="BJ825" s="56"/>
      <c r="BK825" s="56"/>
      <c r="BL825" s="56"/>
      <c r="BM825" s="56"/>
      <c r="BN825" s="56"/>
      <c r="BP825" s="56"/>
      <c r="BQ825" s="56"/>
      <c r="BR825" s="56"/>
      <c r="BS825" s="56"/>
      <c r="BT825" s="56"/>
      <c r="BU825" s="56"/>
      <c r="BV825" s="56"/>
      <c r="BW825" s="56"/>
    </row>
    <row r="826" spans="45:75" x14ac:dyDescent="0.25">
      <c r="AS826" s="56"/>
      <c r="AU826" s="54"/>
      <c r="AV826" s="56"/>
      <c r="AW826" s="56"/>
      <c r="AX826" s="56"/>
      <c r="AY826" s="56"/>
      <c r="AZ826" s="67"/>
      <c r="BA826" s="56"/>
      <c r="BB826" s="67"/>
      <c r="BC826" s="56"/>
      <c r="BD826" s="56"/>
      <c r="BE826" s="56"/>
      <c r="BG826" s="56"/>
      <c r="BH826" s="56"/>
      <c r="BI826" s="56"/>
      <c r="BJ826" s="56"/>
      <c r="BK826" s="56"/>
      <c r="BL826" s="56"/>
      <c r="BM826" s="56"/>
      <c r="BN826" s="56"/>
      <c r="BP826" s="56"/>
      <c r="BQ826" s="56"/>
      <c r="BR826" s="56"/>
      <c r="BS826" s="56"/>
      <c r="BT826" s="56"/>
      <c r="BU826" s="56"/>
      <c r="BV826" s="56"/>
      <c r="BW826" s="56"/>
    </row>
    <row r="827" spans="45:75" x14ac:dyDescent="0.25">
      <c r="AS827" s="55"/>
      <c r="AT827" s="55"/>
      <c r="AU827" s="55"/>
      <c r="AV827" s="55"/>
      <c r="AW827" s="55"/>
      <c r="AX827" s="55"/>
      <c r="AY827" s="55"/>
      <c r="AZ827" s="66"/>
      <c r="BA827" s="55"/>
      <c r="BB827" s="66"/>
      <c r="BC827" s="55"/>
      <c r="BD827" s="55"/>
      <c r="BE827" s="55"/>
      <c r="BG827" s="55"/>
      <c r="BH827" s="55"/>
      <c r="BI827" s="55"/>
      <c r="BJ827" s="55"/>
      <c r="BK827" s="55"/>
      <c r="BL827" s="55"/>
      <c r="BM827" s="55"/>
      <c r="BN827" s="55"/>
      <c r="BP827" s="55"/>
      <c r="BQ827" s="55"/>
      <c r="BR827" s="55"/>
      <c r="BS827" s="55"/>
      <c r="BT827" s="55"/>
      <c r="BU827" s="55"/>
      <c r="BV827" s="55"/>
      <c r="BW827" s="55"/>
    </row>
    <row r="828" spans="45:75" x14ac:dyDescent="0.25">
      <c r="AV828" s="56"/>
      <c r="AW828" s="56"/>
      <c r="AX828" s="56"/>
      <c r="AY828" s="56"/>
      <c r="AZ828" s="67"/>
      <c r="BA828" s="56"/>
      <c r="BB828" s="67"/>
      <c r="BC828" s="56"/>
      <c r="BD828" s="56"/>
      <c r="BE828" s="56"/>
      <c r="BG828" s="65"/>
      <c r="BH828" s="65"/>
      <c r="BI828" s="65"/>
      <c r="BJ828" s="65"/>
      <c r="BK828" s="65"/>
      <c r="BL828" s="65"/>
      <c r="BM828" s="65"/>
      <c r="BN828" s="65"/>
      <c r="BO828" s="65"/>
      <c r="BP828" s="65"/>
      <c r="BQ828" s="65"/>
      <c r="BR828" s="65"/>
      <c r="BS828" s="65"/>
      <c r="BT828" s="65"/>
      <c r="BU828" s="65"/>
      <c r="BV828" s="65"/>
      <c r="BW828" s="65"/>
    </row>
    <row r="829" spans="45:75" x14ac:dyDescent="0.25">
      <c r="AS829" s="53"/>
      <c r="AU829" s="54"/>
      <c r="AV829" s="53"/>
      <c r="AW829" s="379"/>
      <c r="AX829" s="65"/>
      <c r="AY829" s="65"/>
      <c r="AZ829" s="65"/>
      <c r="BA829" s="60"/>
      <c r="BB829" s="65"/>
      <c r="BC829" s="65"/>
      <c r="BD829" s="65"/>
      <c r="BE829" s="60"/>
      <c r="BG829" s="65"/>
      <c r="BH829" s="65"/>
      <c r="BI829" s="65"/>
      <c r="BJ829" s="65"/>
      <c r="BK829" s="65"/>
      <c r="BL829" s="65"/>
      <c r="BM829" s="65"/>
      <c r="BN829" s="65"/>
      <c r="BO829" s="65"/>
      <c r="BP829" s="65"/>
      <c r="BQ829" s="65"/>
      <c r="BR829" s="65"/>
      <c r="BS829" s="65"/>
      <c r="BT829" s="65"/>
      <c r="BU829" s="65"/>
      <c r="BV829" s="65"/>
      <c r="BW829" s="65"/>
    </row>
    <row r="830" spans="45:75" x14ac:dyDescent="0.25">
      <c r="AS830" s="53"/>
      <c r="AV830" s="53"/>
      <c r="AW830" s="379"/>
      <c r="AX830" s="65"/>
      <c r="AY830" s="65"/>
      <c r="AZ830" s="65"/>
      <c r="BA830" s="60"/>
      <c r="BB830" s="65"/>
      <c r="BC830" s="65"/>
      <c r="BD830" s="65"/>
      <c r="BE830" s="60"/>
      <c r="BG830" s="65"/>
      <c r="BH830" s="65"/>
      <c r="BI830" s="65"/>
      <c r="BJ830" s="65"/>
      <c r="BK830" s="65"/>
      <c r="BL830" s="65"/>
      <c r="BM830" s="65"/>
      <c r="BN830" s="65"/>
      <c r="BO830" s="65"/>
      <c r="BP830" s="65"/>
      <c r="BQ830" s="65"/>
      <c r="BR830" s="65"/>
      <c r="BS830" s="65"/>
      <c r="BT830" s="65"/>
      <c r="BU830" s="65"/>
      <c r="BV830" s="65"/>
      <c r="BW830" s="65"/>
    </row>
    <row r="831" spans="45:75" x14ac:dyDescent="0.25">
      <c r="AS831" s="53"/>
      <c r="AV831" s="53"/>
      <c r="AW831" s="379"/>
      <c r="AX831" s="65"/>
      <c r="AY831" s="65"/>
      <c r="AZ831" s="65"/>
      <c r="BA831" s="60"/>
      <c r="BB831" s="65"/>
      <c r="BC831" s="65"/>
      <c r="BD831" s="65"/>
      <c r="BE831" s="60"/>
      <c r="BG831" s="65"/>
      <c r="BH831" s="65"/>
      <c r="BI831" s="65"/>
      <c r="BJ831" s="65"/>
      <c r="BK831" s="65"/>
      <c r="BL831" s="65"/>
      <c r="BM831" s="65"/>
      <c r="BN831" s="65"/>
      <c r="BO831" s="65"/>
      <c r="BP831" s="65"/>
      <c r="BQ831" s="65"/>
      <c r="BR831" s="65"/>
      <c r="BS831" s="65"/>
      <c r="BT831" s="65"/>
      <c r="BU831" s="65"/>
      <c r="BV831" s="65"/>
      <c r="BW831" s="65"/>
    </row>
    <row r="832" spans="45:75" x14ac:dyDescent="0.25">
      <c r="AS832" s="53"/>
      <c r="AV832" s="53"/>
      <c r="AW832" s="379"/>
      <c r="AX832" s="65"/>
      <c r="AY832" s="65"/>
      <c r="AZ832" s="65"/>
      <c r="BA832" s="60"/>
      <c r="BB832" s="65"/>
      <c r="BC832" s="65"/>
      <c r="BD832" s="65"/>
      <c r="BE832" s="60"/>
      <c r="BG832" s="65"/>
      <c r="BH832" s="65"/>
      <c r="BI832" s="65"/>
      <c r="BJ832" s="65"/>
      <c r="BK832" s="65"/>
      <c r="BL832" s="65"/>
      <c r="BM832" s="65"/>
      <c r="BN832" s="65"/>
      <c r="BO832" s="65"/>
      <c r="BP832" s="65"/>
      <c r="BQ832" s="65"/>
      <c r="BR832" s="65"/>
      <c r="BS832" s="65"/>
      <c r="BT832" s="65"/>
      <c r="BU832" s="65"/>
      <c r="BV832" s="65"/>
      <c r="BW832" s="65"/>
    </row>
    <row r="833" spans="45:75" x14ac:dyDescent="0.25">
      <c r="AS833" s="53"/>
      <c r="AV833" s="53"/>
      <c r="AW833" s="379"/>
      <c r="AX833" s="65"/>
      <c r="AY833" s="65"/>
      <c r="AZ833" s="65"/>
      <c r="BA833" s="60"/>
      <c r="BB833" s="65"/>
      <c r="BC833" s="65"/>
      <c r="BD833" s="65"/>
      <c r="BE833" s="60"/>
      <c r="BG833" s="65"/>
      <c r="BH833" s="65"/>
      <c r="BI833" s="65"/>
      <c r="BJ833" s="65"/>
      <c r="BK833" s="65"/>
      <c r="BL833" s="65"/>
      <c r="BM833" s="65"/>
      <c r="BN833" s="65"/>
      <c r="BO833" s="65"/>
      <c r="BP833" s="65"/>
      <c r="BQ833" s="65"/>
      <c r="BR833" s="65"/>
      <c r="BS833" s="65"/>
      <c r="BT833" s="65"/>
      <c r="BU833" s="65"/>
      <c r="BV833" s="65"/>
      <c r="BW833" s="65"/>
    </row>
    <row r="834" spans="45:75" x14ac:dyDescent="0.25">
      <c r="AS834" s="53"/>
      <c r="AV834" s="53"/>
      <c r="AW834" s="379"/>
      <c r="AX834" s="65"/>
      <c r="AY834" s="65"/>
      <c r="AZ834" s="65"/>
      <c r="BA834" s="60"/>
      <c r="BB834" s="65"/>
      <c r="BC834" s="65"/>
      <c r="BD834" s="65"/>
      <c r="BE834" s="60"/>
      <c r="BG834" s="65"/>
      <c r="BH834" s="65"/>
      <c r="BI834" s="65"/>
      <c r="BJ834" s="65"/>
      <c r="BK834" s="65"/>
      <c r="BL834" s="65"/>
      <c r="BM834" s="65"/>
      <c r="BN834" s="65"/>
      <c r="BO834" s="65"/>
      <c r="BP834" s="65"/>
      <c r="BQ834" s="65"/>
      <c r="BR834" s="65"/>
      <c r="BS834" s="65"/>
      <c r="BT834" s="65"/>
      <c r="BU834" s="65"/>
      <c r="BV834" s="65"/>
      <c r="BW834" s="65"/>
    </row>
    <row r="835" spans="45:75" x14ac:dyDescent="0.25">
      <c r="AS835" s="53"/>
      <c r="AV835" s="53"/>
      <c r="AW835" s="379"/>
      <c r="AX835" s="65"/>
      <c r="AY835" s="65"/>
      <c r="AZ835" s="65"/>
      <c r="BA835" s="60"/>
      <c r="BB835" s="65"/>
      <c r="BC835" s="65"/>
      <c r="BD835" s="65"/>
      <c r="BE835" s="60"/>
      <c r="BG835" s="65"/>
      <c r="BH835" s="65"/>
      <c r="BI835" s="65"/>
      <c r="BJ835" s="65"/>
      <c r="BK835" s="65"/>
      <c r="BL835" s="65"/>
      <c r="BM835" s="65"/>
      <c r="BN835" s="65"/>
      <c r="BO835" s="65"/>
      <c r="BP835" s="65"/>
      <c r="BQ835" s="65"/>
      <c r="BR835" s="65"/>
      <c r="BS835" s="65"/>
      <c r="BT835" s="65"/>
      <c r="BU835" s="65"/>
      <c r="BV835" s="65"/>
      <c r="BW835" s="65"/>
    </row>
    <row r="836" spans="45:75" x14ac:dyDescent="0.25">
      <c r="AS836" s="53"/>
      <c r="AV836" s="53"/>
      <c r="AW836" s="379"/>
      <c r="AX836" s="65"/>
      <c r="AY836" s="65"/>
      <c r="AZ836" s="65"/>
      <c r="BA836" s="60"/>
      <c r="BB836" s="65"/>
      <c r="BC836" s="65"/>
      <c r="BD836" s="65"/>
      <c r="BE836" s="60"/>
      <c r="BG836" s="65"/>
      <c r="BH836" s="65"/>
      <c r="BI836" s="65"/>
      <c r="BJ836" s="65"/>
      <c r="BK836" s="65"/>
      <c r="BL836" s="65"/>
      <c r="BM836" s="65"/>
      <c r="BN836" s="65"/>
      <c r="BO836" s="65"/>
      <c r="BP836" s="65"/>
      <c r="BQ836" s="65"/>
      <c r="BR836" s="65"/>
      <c r="BS836" s="65"/>
      <c r="BT836" s="65"/>
      <c r="BU836" s="65"/>
      <c r="BV836" s="65"/>
      <c r="BW836" s="65"/>
    </row>
    <row r="837" spans="45:75" x14ac:dyDescent="0.25">
      <c r="AS837" s="53"/>
      <c r="AV837" s="53"/>
      <c r="AW837" s="379"/>
      <c r="AX837" s="65"/>
      <c r="AY837" s="65"/>
      <c r="AZ837" s="65"/>
      <c r="BA837" s="60"/>
      <c r="BB837" s="65"/>
      <c r="BC837" s="65"/>
      <c r="BD837" s="65"/>
      <c r="BE837" s="60"/>
      <c r="BG837" s="65"/>
      <c r="BH837" s="65"/>
      <c r="BI837" s="65"/>
      <c r="BJ837" s="65"/>
      <c r="BK837" s="65"/>
      <c r="BL837" s="65"/>
      <c r="BM837" s="65"/>
      <c r="BN837" s="65"/>
      <c r="BO837" s="65"/>
      <c r="BP837" s="65"/>
      <c r="BQ837" s="65"/>
      <c r="BR837" s="65"/>
      <c r="BS837" s="65"/>
      <c r="BT837" s="65"/>
      <c r="BU837" s="65"/>
      <c r="BV837" s="65"/>
      <c r="BW837" s="65"/>
    </row>
    <row r="838" spans="45:75" x14ac:dyDescent="0.25">
      <c r="AS838" s="53"/>
      <c r="AV838" s="53"/>
      <c r="AW838" s="379"/>
      <c r="AX838" s="65"/>
      <c r="AY838" s="65"/>
      <c r="AZ838" s="65"/>
      <c r="BA838" s="60"/>
      <c r="BB838" s="65"/>
      <c r="BC838" s="65"/>
      <c r="BD838" s="65"/>
      <c r="BE838" s="60"/>
      <c r="BG838" s="65"/>
      <c r="BH838" s="65"/>
      <c r="BI838" s="65"/>
      <c r="BJ838" s="65"/>
      <c r="BK838" s="65"/>
      <c r="BL838" s="65"/>
      <c r="BM838" s="65"/>
      <c r="BN838" s="65"/>
      <c r="BO838" s="65"/>
      <c r="BP838" s="65"/>
      <c r="BQ838" s="65"/>
      <c r="BR838" s="65"/>
      <c r="BS838" s="65"/>
      <c r="BT838" s="65"/>
      <c r="BU838" s="65"/>
      <c r="BV838" s="65"/>
      <c r="BW838" s="65"/>
    </row>
    <row r="839" spans="45:75" x14ac:dyDescent="0.25">
      <c r="AS839" s="53"/>
      <c r="AV839" s="53"/>
      <c r="AW839" s="379"/>
      <c r="AX839" s="65"/>
      <c r="AY839" s="65"/>
      <c r="AZ839" s="65"/>
      <c r="BA839" s="60"/>
      <c r="BB839" s="65"/>
      <c r="BC839" s="65"/>
      <c r="BD839" s="65"/>
      <c r="BE839" s="60"/>
      <c r="BG839" s="65"/>
      <c r="BH839" s="65"/>
      <c r="BI839" s="65"/>
      <c r="BJ839" s="65"/>
      <c r="BK839" s="65"/>
      <c r="BL839" s="65"/>
      <c r="BM839" s="65"/>
      <c r="BN839" s="65"/>
      <c r="BO839" s="65"/>
      <c r="BP839" s="65"/>
      <c r="BQ839" s="65"/>
      <c r="BR839" s="65"/>
      <c r="BS839" s="65"/>
      <c r="BT839" s="65"/>
      <c r="BU839" s="65"/>
      <c r="BV839" s="65"/>
      <c r="BW839" s="65"/>
    </row>
    <row r="840" spans="45:75" x14ac:dyDescent="0.25">
      <c r="AS840" s="53"/>
      <c r="AV840" s="53"/>
      <c r="AW840" s="379"/>
      <c r="AX840" s="65"/>
      <c r="AY840" s="65"/>
      <c r="AZ840" s="65"/>
      <c r="BA840" s="60"/>
      <c r="BB840" s="65"/>
      <c r="BC840" s="65"/>
      <c r="BD840" s="65"/>
      <c r="BE840" s="60"/>
      <c r="BG840" s="65"/>
      <c r="BH840" s="65"/>
      <c r="BI840" s="65"/>
      <c r="BJ840" s="65"/>
      <c r="BK840" s="65"/>
      <c r="BL840" s="65"/>
      <c r="BM840" s="65"/>
      <c r="BN840" s="65"/>
      <c r="BO840" s="65"/>
      <c r="BP840" s="65"/>
      <c r="BQ840" s="65"/>
      <c r="BR840" s="65"/>
      <c r="BS840" s="65"/>
      <c r="BT840" s="65"/>
      <c r="BU840" s="65"/>
      <c r="BV840" s="65"/>
      <c r="BW840" s="65"/>
    </row>
    <row r="841" spans="45:75" x14ac:dyDescent="0.25">
      <c r="AS841" s="53"/>
      <c r="AV841" s="53"/>
      <c r="AW841" s="379"/>
      <c r="AX841" s="65"/>
      <c r="AY841" s="65"/>
      <c r="AZ841" s="65"/>
      <c r="BA841" s="60"/>
      <c r="BB841" s="65"/>
      <c r="BC841" s="65"/>
      <c r="BD841" s="65"/>
      <c r="BE841" s="60"/>
      <c r="BG841" s="65"/>
      <c r="BH841" s="65"/>
      <c r="BI841" s="65"/>
      <c r="BJ841" s="65"/>
      <c r="BK841" s="65"/>
      <c r="BL841" s="65"/>
      <c r="BM841" s="65"/>
      <c r="BN841" s="65"/>
      <c r="BO841" s="65"/>
      <c r="BP841" s="65"/>
      <c r="BQ841" s="65"/>
      <c r="BR841" s="65"/>
      <c r="BS841" s="65"/>
      <c r="BT841" s="65"/>
      <c r="BU841" s="65"/>
      <c r="BV841" s="65"/>
      <c r="BW841" s="65"/>
    </row>
    <row r="842" spans="45:75" x14ac:dyDescent="0.25">
      <c r="AS842" s="53"/>
      <c r="AV842" s="53"/>
      <c r="AW842" s="379"/>
      <c r="AX842" s="65"/>
      <c r="AY842" s="65"/>
      <c r="AZ842" s="65"/>
      <c r="BA842" s="60"/>
      <c r="BB842" s="65"/>
      <c r="BC842" s="65"/>
      <c r="BD842" s="65"/>
      <c r="BE842" s="60"/>
      <c r="BG842" s="65"/>
      <c r="BH842" s="65"/>
      <c r="BI842" s="65"/>
      <c r="BJ842" s="65"/>
      <c r="BK842" s="65"/>
      <c r="BL842" s="65"/>
      <c r="BM842" s="65"/>
      <c r="BN842" s="65"/>
      <c r="BO842" s="65"/>
      <c r="BP842" s="65"/>
      <c r="BQ842" s="65"/>
      <c r="BR842" s="65"/>
      <c r="BS842" s="65"/>
      <c r="BT842" s="65"/>
      <c r="BU842" s="65"/>
      <c r="BV842" s="65"/>
      <c r="BW842" s="65"/>
    </row>
    <row r="843" spans="45:75" x14ac:dyDescent="0.25">
      <c r="AS843" s="53"/>
      <c r="AV843" s="53"/>
      <c r="AW843" s="379"/>
      <c r="AX843" s="65"/>
      <c r="AY843" s="65"/>
      <c r="AZ843" s="65"/>
      <c r="BA843" s="60"/>
      <c r="BB843" s="65"/>
      <c r="BC843" s="65"/>
      <c r="BD843" s="65"/>
      <c r="BE843" s="60"/>
      <c r="BG843" s="65"/>
      <c r="BH843" s="65"/>
      <c r="BI843" s="65"/>
      <c r="BJ843" s="65"/>
      <c r="BK843" s="65"/>
      <c r="BL843" s="65"/>
      <c r="BM843" s="65"/>
      <c r="BN843" s="65"/>
      <c r="BO843" s="65"/>
      <c r="BP843" s="65"/>
      <c r="BQ843" s="65"/>
      <c r="BR843" s="65"/>
      <c r="BS843" s="65"/>
      <c r="BT843" s="65"/>
      <c r="BU843" s="65"/>
      <c r="BV843" s="65"/>
      <c r="BW843" s="65"/>
    </row>
    <row r="844" spans="45:75" x14ac:dyDescent="0.25">
      <c r="AS844" s="53"/>
      <c r="AV844" s="53"/>
      <c r="AW844" s="379"/>
      <c r="AX844" s="65"/>
      <c r="AY844" s="65"/>
      <c r="AZ844" s="65"/>
      <c r="BA844" s="60"/>
      <c r="BB844" s="65"/>
      <c r="BC844" s="65"/>
      <c r="BD844" s="65"/>
      <c r="BE844" s="60"/>
      <c r="BG844" s="65"/>
      <c r="BH844" s="65"/>
      <c r="BI844" s="65"/>
      <c r="BJ844" s="65"/>
      <c r="BK844" s="65"/>
      <c r="BL844" s="65"/>
      <c r="BM844" s="65"/>
      <c r="BN844" s="65"/>
      <c r="BO844" s="65"/>
      <c r="BP844" s="65"/>
      <c r="BQ844" s="65"/>
      <c r="BR844" s="65"/>
      <c r="BS844" s="65"/>
      <c r="BT844" s="65"/>
      <c r="BU844" s="65"/>
      <c r="BV844" s="65"/>
      <c r="BW844" s="65"/>
    </row>
    <row r="845" spans="45:75" x14ac:dyDescent="0.25">
      <c r="AS845" s="53"/>
      <c r="AV845" s="53"/>
      <c r="AW845" s="379"/>
      <c r="AX845" s="65"/>
      <c r="AY845" s="65"/>
      <c r="AZ845" s="65"/>
      <c r="BA845" s="60"/>
      <c r="BB845" s="65"/>
      <c r="BC845" s="65"/>
      <c r="BD845" s="65"/>
      <c r="BE845" s="60"/>
      <c r="BG845" s="65"/>
      <c r="BH845" s="65"/>
      <c r="BI845" s="65"/>
      <c r="BJ845" s="65"/>
      <c r="BK845" s="65"/>
      <c r="BL845" s="65"/>
      <c r="BM845" s="65"/>
      <c r="BN845" s="65"/>
      <c r="BO845" s="65"/>
      <c r="BP845" s="65"/>
      <c r="BQ845" s="65"/>
      <c r="BR845" s="65"/>
      <c r="BS845" s="65"/>
      <c r="BT845" s="65"/>
      <c r="BU845" s="65"/>
      <c r="BV845" s="65"/>
      <c r="BW845" s="65"/>
    </row>
    <row r="846" spans="45:75" x14ac:dyDescent="0.25">
      <c r="AS846" s="53"/>
      <c r="AV846" s="53"/>
      <c r="AW846" s="379"/>
      <c r="AX846" s="65"/>
      <c r="AY846" s="65"/>
      <c r="AZ846" s="65"/>
      <c r="BA846" s="60"/>
      <c r="BB846" s="65"/>
      <c r="BC846" s="65"/>
      <c r="BD846" s="65"/>
      <c r="BE846" s="60"/>
      <c r="BG846" s="65"/>
      <c r="BH846" s="65"/>
      <c r="BI846" s="65"/>
      <c r="BJ846" s="65"/>
      <c r="BK846" s="65"/>
      <c r="BL846" s="65"/>
      <c r="BM846" s="65"/>
      <c r="BN846" s="65"/>
      <c r="BO846" s="65"/>
      <c r="BP846" s="65"/>
      <c r="BQ846" s="65"/>
      <c r="BR846" s="65"/>
      <c r="BS846" s="65"/>
      <c r="BT846" s="65"/>
      <c r="BU846" s="65"/>
      <c r="BV846" s="65"/>
      <c r="BW846" s="65"/>
    </row>
    <row r="847" spans="45:75" x14ac:dyDescent="0.25">
      <c r="AS847" s="53"/>
      <c r="AV847" s="53"/>
      <c r="AW847" s="379"/>
      <c r="AX847" s="65"/>
      <c r="AY847" s="65"/>
      <c r="AZ847" s="65"/>
      <c r="BA847" s="60"/>
      <c r="BB847" s="65"/>
      <c r="BC847" s="65"/>
      <c r="BD847" s="65"/>
      <c r="BE847" s="60"/>
      <c r="BG847" s="65"/>
      <c r="BH847" s="65"/>
      <c r="BI847" s="65"/>
      <c r="BJ847" s="65"/>
      <c r="BK847" s="65"/>
      <c r="BL847" s="65"/>
      <c r="BM847" s="65"/>
      <c r="BN847" s="65"/>
      <c r="BO847" s="65"/>
      <c r="BP847" s="65"/>
      <c r="BQ847" s="65"/>
      <c r="BR847" s="65"/>
      <c r="BS847" s="65"/>
      <c r="BT847" s="65"/>
      <c r="BU847" s="65"/>
      <c r="BV847" s="65"/>
      <c r="BW847" s="65"/>
    </row>
    <row r="848" spans="45:75" x14ac:dyDescent="0.25">
      <c r="AS848" s="53"/>
      <c r="AV848" s="53"/>
      <c r="AW848" s="379"/>
      <c r="AX848" s="65"/>
      <c r="AY848" s="65"/>
      <c r="AZ848" s="65"/>
      <c r="BA848" s="60"/>
      <c r="BB848" s="65"/>
      <c r="BC848" s="65"/>
      <c r="BD848" s="65"/>
      <c r="BE848" s="60"/>
      <c r="BG848" s="65"/>
      <c r="BH848" s="65"/>
      <c r="BI848" s="65"/>
      <c r="BJ848" s="65"/>
      <c r="BK848" s="65"/>
      <c r="BL848" s="65"/>
      <c r="BM848" s="65"/>
      <c r="BN848" s="65"/>
      <c r="BO848" s="65"/>
      <c r="BP848" s="65"/>
      <c r="BQ848" s="65"/>
      <c r="BR848" s="65"/>
      <c r="BS848" s="65"/>
      <c r="BT848" s="65"/>
      <c r="BU848" s="65"/>
      <c r="BV848" s="65"/>
      <c r="BW848" s="65"/>
    </row>
    <row r="849" spans="45:75" x14ac:dyDescent="0.25">
      <c r="AS849" s="53"/>
      <c r="AV849" s="53"/>
      <c r="AW849" s="379"/>
      <c r="AX849" s="65"/>
      <c r="AY849" s="65"/>
      <c r="AZ849" s="65"/>
      <c r="BA849" s="60"/>
      <c r="BB849" s="65"/>
      <c r="BC849" s="65"/>
      <c r="BD849" s="65"/>
      <c r="BE849" s="60"/>
      <c r="BG849" s="65"/>
      <c r="BH849" s="65"/>
      <c r="BI849" s="65"/>
      <c r="BJ849" s="65"/>
      <c r="BK849" s="65"/>
      <c r="BL849" s="65"/>
      <c r="BM849" s="65"/>
      <c r="BN849" s="65"/>
      <c r="BO849" s="65"/>
      <c r="BP849" s="65"/>
      <c r="BQ849" s="65"/>
      <c r="BR849" s="65"/>
      <c r="BS849" s="65"/>
      <c r="BT849" s="65"/>
      <c r="BU849" s="65"/>
      <c r="BV849" s="65"/>
      <c r="BW849" s="65"/>
    </row>
    <row r="850" spans="45:75" x14ac:dyDescent="0.25">
      <c r="AW850" s="379"/>
      <c r="AX850" s="65"/>
      <c r="AY850" s="65"/>
      <c r="AZ850" s="65"/>
      <c r="BA850" s="60"/>
      <c r="BB850" s="65"/>
      <c r="BC850" s="65"/>
      <c r="BD850" s="65"/>
      <c r="BE850" s="60"/>
      <c r="BG850" s="55"/>
      <c r="BH850" s="55"/>
      <c r="BI850" s="54"/>
      <c r="BM850" s="55"/>
      <c r="BN850" s="55"/>
      <c r="BO850" s="65"/>
      <c r="BP850" s="55"/>
      <c r="BQ850" s="55"/>
      <c r="BR850" s="54"/>
      <c r="BV850" s="55"/>
      <c r="BW850" s="55"/>
    </row>
    <row r="851" spans="45:75" x14ac:dyDescent="0.25">
      <c r="AS851" s="53"/>
      <c r="AU851" s="54"/>
      <c r="AV851" s="56"/>
      <c r="AW851" s="379"/>
      <c r="AX851" s="65"/>
      <c r="AY851" s="65"/>
      <c r="AZ851" s="65"/>
      <c r="BA851" s="60"/>
      <c r="BB851" s="65"/>
      <c r="BC851" s="65"/>
      <c r="BD851" s="65"/>
      <c r="BE851" s="60"/>
      <c r="BG851" s="67"/>
      <c r="BH851" s="65"/>
      <c r="BI851" s="65"/>
      <c r="BJ851" s="65"/>
      <c r="BK851" s="67"/>
      <c r="BL851" s="68"/>
      <c r="BM851" s="65"/>
      <c r="BN851" s="67"/>
      <c r="BO851" s="65"/>
      <c r="BP851" s="67"/>
      <c r="BQ851" s="65"/>
      <c r="BR851" s="65"/>
      <c r="BS851" s="65"/>
      <c r="BT851" s="67"/>
      <c r="BU851" s="68"/>
      <c r="BV851" s="65"/>
      <c r="BW851" s="67"/>
    </row>
    <row r="852" spans="45:75" x14ac:dyDescent="0.25">
      <c r="AS852" s="53"/>
      <c r="AV852" s="56"/>
      <c r="AW852" s="379"/>
      <c r="AX852" s="65"/>
      <c r="AY852" s="65"/>
      <c r="AZ852" s="65"/>
      <c r="BA852" s="60"/>
      <c r="BB852" s="65"/>
      <c r="BC852" s="65"/>
      <c r="BD852" s="65"/>
      <c r="BE852" s="60"/>
      <c r="BG852" s="65"/>
      <c r="BH852" s="65"/>
      <c r="BI852" s="65"/>
      <c r="BJ852" s="65"/>
      <c r="BK852" s="65"/>
      <c r="BL852" s="68"/>
      <c r="BM852" s="65"/>
      <c r="BN852" s="65"/>
      <c r="BO852" s="65"/>
      <c r="BP852" s="65"/>
      <c r="BQ852" s="65"/>
      <c r="BR852" s="65"/>
      <c r="BS852" s="65"/>
      <c r="BT852" s="65"/>
      <c r="BU852" s="68"/>
      <c r="BV852" s="65"/>
      <c r="BW852" s="65"/>
    </row>
    <row r="853" spans="45:75" x14ac:dyDescent="0.25">
      <c r="AS853" s="53"/>
      <c r="AV853" s="56"/>
      <c r="AW853" s="379"/>
      <c r="AX853" s="65"/>
      <c r="AY853" s="65"/>
      <c r="AZ853" s="65"/>
      <c r="BA853" s="60"/>
      <c r="BB853" s="65"/>
      <c r="BC853" s="65"/>
      <c r="BD853" s="65"/>
      <c r="BE853" s="60"/>
      <c r="BG853" s="65"/>
      <c r="BH853" s="65"/>
      <c r="BI853" s="65"/>
      <c r="BJ853" s="65"/>
      <c r="BK853" s="65"/>
      <c r="BL853" s="68"/>
      <c r="BM853" s="65"/>
      <c r="BN853" s="65"/>
      <c r="BO853" s="65"/>
      <c r="BP853" s="65"/>
      <c r="BQ853" s="65"/>
      <c r="BR853" s="65"/>
      <c r="BS853" s="65"/>
      <c r="BT853" s="65"/>
      <c r="BU853" s="68"/>
      <c r="BV853" s="65"/>
      <c r="BW853" s="65"/>
    </row>
    <row r="854" spans="45:75" x14ac:dyDescent="0.25">
      <c r="AS854" s="53"/>
      <c r="AV854" s="56"/>
      <c r="AW854" s="379"/>
      <c r="AX854" s="65"/>
      <c r="AY854" s="65"/>
      <c r="AZ854" s="65"/>
      <c r="BA854" s="60"/>
      <c r="BB854" s="65"/>
      <c r="BC854" s="65"/>
      <c r="BD854" s="65"/>
      <c r="BE854" s="60"/>
      <c r="BG854" s="65"/>
      <c r="BH854" s="65"/>
      <c r="BI854" s="65"/>
      <c r="BJ854" s="65"/>
      <c r="BK854" s="65"/>
      <c r="BL854" s="68"/>
      <c r="BM854" s="65"/>
      <c r="BN854" s="65"/>
      <c r="BO854" s="65"/>
      <c r="BP854" s="65"/>
      <c r="BQ854" s="65"/>
      <c r="BR854" s="65"/>
      <c r="BS854" s="65"/>
      <c r="BT854" s="65"/>
      <c r="BU854" s="68"/>
      <c r="BV854" s="65"/>
      <c r="BW854" s="65"/>
    </row>
    <row r="855" spans="45:75" x14ac:dyDescent="0.25">
      <c r="AX855" s="65"/>
      <c r="AY855" s="65"/>
      <c r="AZ855" s="65"/>
      <c r="BA855" s="60"/>
      <c r="BB855" s="65"/>
      <c r="BC855" s="65"/>
      <c r="BD855" s="65"/>
      <c r="BE855" s="60"/>
      <c r="BG855" s="65"/>
      <c r="BH855" s="65"/>
      <c r="BI855" s="65"/>
      <c r="BJ855" s="65"/>
      <c r="BK855" s="65"/>
      <c r="BL855" s="65"/>
      <c r="BM855" s="65"/>
      <c r="BN855" s="65"/>
      <c r="BO855" s="65"/>
      <c r="BP855" s="65"/>
      <c r="BQ855" s="65"/>
      <c r="BR855" s="65"/>
      <c r="BS855" s="65"/>
      <c r="BT855" s="65"/>
      <c r="BU855" s="65"/>
      <c r="BV855" s="65"/>
    </row>
    <row r="856" spans="45:75" x14ac:dyDescent="0.25">
      <c r="AU856" s="54"/>
    </row>
    <row r="857" spans="45:75" x14ac:dyDescent="0.25">
      <c r="AU857" s="54"/>
      <c r="AZ857" s="65"/>
      <c r="BA857" s="60"/>
      <c r="BB857" s="65"/>
      <c r="BC857" s="65"/>
      <c r="BD857" s="65"/>
      <c r="BE857" s="60"/>
      <c r="BG857" s="65"/>
      <c r="BH857" s="65"/>
      <c r="BI857" s="65"/>
      <c r="BJ857" s="65"/>
      <c r="BK857" s="65"/>
      <c r="BL857" s="65"/>
      <c r="BM857" s="65"/>
      <c r="BN857" s="65"/>
      <c r="BO857" s="65"/>
      <c r="BP857" s="65"/>
      <c r="BQ857" s="65"/>
      <c r="BR857" s="65"/>
      <c r="BS857" s="65"/>
      <c r="BT857" s="65"/>
      <c r="BU857" s="65"/>
      <c r="BV857" s="65"/>
    </row>
    <row r="858" spans="45:75" x14ac:dyDescent="0.25">
      <c r="AS858" s="54"/>
      <c r="AZ858" s="65"/>
      <c r="BB858" s="65"/>
    </row>
    <row r="859" spans="45:75" x14ac:dyDescent="0.25">
      <c r="AY859" s="53"/>
      <c r="AZ859" s="65"/>
      <c r="BB859" s="65"/>
      <c r="BO859" s="65"/>
      <c r="BP859" s="65"/>
      <c r="BQ859" s="65"/>
      <c r="BR859" s="65"/>
      <c r="BS859" s="65"/>
      <c r="BT859" s="65"/>
      <c r="BU859" s="65"/>
      <c r="BV859" s="65"/>
    </row>
    <row r="860" spans="45:75" x14ac:dyDescent="0.25">
      <c r="AY860" s="65"/>
      <c r="AZ860" s="65"/>
      <c r="BB860" s="65"/>
      <c r="BO860" s="65"/>
      <c r="BP860" s="65"/>
      <c r="BQ860" s="65"/>
      <c r="BR860" s="65"/>
      <c r="BS860" s="65"/>
      <c r="BT860" s="65"/>
      <c r="BU860" s="65"/>
      <c r="BV860" s="65"/>
    </row>
    <row r="861" spans="45:75" x14ac:dyDescent="0.25">
      <c r="AY861" s="54"/>
      <c r="AZ861" s="65"/>
      <c r="BB861" s="65"/>
      <c r="BO861" s="65"/>
      <c r="BP861" s="65"/>
      <c r="BQ861" s="65"/>
      <c r="BR861" s="65"/>
      <c r="BS861" s="65"/>
      <c r="BT861" s="65"/>
      <c r="BU861" s="65"/>
      <c r="BV861" s="65"/>
    </row>
    <row r="862" spans="45:75" x14ac:dyDescent="0.25">
      <c r="AY862" s="54"/>
      <c r="AZ862" s="65"/>
      <c r="BB862" s="65"/>
      <c r="BO862" s="65"/>
      <c r="BP862" s="65"/>
      <c r="BQ862" s="65"/>
      <c r="BR862" s="65"/>
      <c r="BS862" s="65"/>
      <c r="BT862" s="65"/>
      <c r="BU862" s="65"/>
      <c r="BV862" s="65"/>
    </row>
    <row r="863" spans="45:75" x14ac:dyDescent="0.25">
      <c r="AS863" s="53"/>
      <c r="AZ863" s="65"/>
      <c r="BB863" s="65"/>
      <c r="BD863" s="54"/>
      <c r="BO863" s="65"/>
      <c r="BP863" s="65"/>
      <c r="BQ863" s="65"/>
      <c r="BR863" s="65"/>
      <c r="BS863" s="65"/>
      <c r="BT863" s="65"/>
      <c r="BU863" s="65"/>
      <c r="BV863" s="65"/>
    </row>
    <row r="864" spans="45:75" x14ac:dyDescent="0.25">
      <c r="AS864" s="53"/>
      <c r="AZ864" s="65"/>
      <c r="BB864" s="65"/>
      <c r="BD864" s="54"/>
      <c r="BO864" s="65"/>
      <c r="BP864" s="65"/>
      <c r="BQ864" s="65"/>
      <c r="BR864" s="65"/>
      <c r="BS864" s="65"/>
      <c r="BT864" s="65"/>
      <c r="BU864" s="65"/>
      <c r="BV864" s="65"/>
    </row>
    <row r="865" spans="45:74" x14ac:dyDescent="0.25">
      <c r="AS865" s="54"/>
      <c r="AZ865" s="65"/>
      <c r="BB865" s="65"/>
      <c r="BD865" s="54"/>
      <c r="BO865" s="65"/>
      <c r="BP865" s="65"/>
      <c r="BQ865" s="65"/>
      <c r="BR865" s="65"/>
      <c r="BS865" s="65"/>
      <c r="BT865" s="65"/>
      <c r="BU865" s="65"/>
      <c r="BV865" s="65"/>
    </row>
    <row r="866" spans="45:74" x14ac:dyDescent="0.25">
      <c r="AZ866" s="65"/>
      <c r="BB866" s="65"/>
      <c r="BD866" s="53"/>
      <c r="BO866" s="65"/>
      <c r="BP866" s="65"/>
      <c r="BQ866" s="65"/>
      <c r="BR866" s="65"/>
      <c r="BS866" s="65"/>
      <c r="BT866" s="65"/>
      <c r="BU866" s="65"/>
      <c r="BV866" s="65"/>
    </row>
    <row r="867" spans="45:74" x14ac:dyDescent="0.25">
      <c r="AS867" s="55"/>
      <c r="AT867" s="55"/>
      <c r="AU867" s="55"/>
      <c r="AV867" s="55"/>
      <c r="AW867" s="55"/>
      <c r="AX867" s="55"/>
      <c r="AY867" s="55"/>
      <c r="AZ867" s="66"/>
      <c r="BA867" s="55"/>
      <c r="BB867" s="66"/>
      <c r="BC867" s="55"/>
      <c r="BD867" s="55"/>
      <c r="BE867" s="55"/>
      <c r="BO867" s="65"/>
      <c r="BP867" s="65"/>
      <c r="BQ867" s="65"/>
      <c r="BR867" s="65"/>
      <c r="BS867" s="65"/>
      <c r="BT867" s="65"/>
      <c r="BU867" s="65"/>
      <c r="BV867" s="65"/>
    </row>
    <row r="868" spans="45:74" x14ac:dyDescent="0.25">
      <c r="AX868" s="54"/>
      <c r="AZ868" s="65"/>
      <c r="BB868" s="65"/>
      <c r="BO868" s="65"/>
      <c r="BP868" s="65"/>
      <c r="BQ868" s="65"/>
      <c r="BR868" s="65"/>
      <c r="BS868" s="65"/>
      <c r="BT868" s="65"/>
      <c r="BU868" s="65"/>
      <c r="BV868" s="65"/>
    </row>
    <row r="869" spans="45:74" x14ac:dyDescent="0.25">
      <c r="AX869" s="55"/>
      <c r="AY869" s="55"/>
      <c r="AZ869" s="66"/>
      <c r="BA869" s="55"/>
      <c r="BB869" s="65"/>
      <c r="BC869" s="56"/>
      <c r="BD869" s="56"/>
      <c r="BO869" s="65"/>
      <c r="BP869" s="65"/>
      <c r="BQ869" s="65"/>
      <c r="BR869" s="65"/>
      <c r="BS869" s="65"/>
      <c r="BT869" s="65"/>
      <c r="BU869" s="65"/>
      <c r="BV869" s="65"/>
    </row>
    <row r="870" spans="45:74" x14ac:dyDescent="0.25">
      <c r="AV870" s="56"/>
      <c r="AW870" s="56"/>
      <c r="AZ870" s="67"/>
      <c r="BA870" s="56"/>
      <c r="BB870" s="65"/>
      <c r="BC870" s="56"/>
      <c r="BD870" s="56"/>
      <c r="BE870" s="56"/>
      <c r="BG870" s="55"/>
      <c r="BH870" s="54"/>
      <c r="BK870" s="55"/>
      <c r="BM870" s="55"/>
      <c r="BN870" s="54"/>
      <c r="BQ870" s="55"/>
    </row>
    <row r="871" spans="45:74" x14ac:dyDescent="0.25">
      <c r="AV871" s="56"/>
      <c r="AW871" s="56"/>
      <c r="AX871" s="56"/>
      <c r="AY871" s="56"/>
      <c r="AZ871" s="67"/>
      <c r="BA871" s="56"/>
      <c r="BB871" s="67"/>
      <c r="BC871" s="56"/>
      <c r="BD871" s="56"/>
      <c r="BE871" s="56"/>
      <c r="BH871" s="56"/>
      <c r="BI871" s="56"/>
      <c r="BN871" s="56"/>
      <c r="BO871" s="56"/>
    </row>
    <row r="872" spans="45:74" x14ac:dyDescent="0.25">
      <c r="AS872" s="56"/>
      <c r="AU872" s="54"/>
      <c r="AV872" s="56"/>
      <c r="AW872" s="56"/>
      <c r="AX872" s="56"/>
      <c r="AY872" s="56"/>
      <c r="AZ872" s="67"/>
      <c r="BA872" s="56"/>
      <c r="BB872" s="67"/>
      <c r="BC872" s="56"/>
      <c r="BD872" s="56"/>
      <c r="BE872" s="56"/>
      <c r="BG872" s="56"/>
      <c r="BH872" s="56"/>
      <c r="BI872" s="56"/>
      <c r="BJ872" s="56"/>
      <c r="BK872" s="56"/>
      <c r="BM872" s="56"/>
      <c r="BN872" s="56"/>
      <c r="BO872" s="56"/>
      <c r="BP872" s="56"/>
      <c r="BQ872" s="56"/>
    </row>
    <row r="873" spans="45:74" x14ac:dyDescent="0.25">
      <c r="AS873" s="56"/>
      <c r="AU873" s="54"/>
      <c r="AV873" s="56"/>
      <c r="AW873" s="56"/>
      <c r="AX873" s="56"/>
      <c r="AY873" s="56"/>
      <c r="AZ873" s="67"/>
      <c r="BA873" s="56"/>
      <c r="BB873" s="67"/>
      <c r="BC873" s="56"/>
      <c r="BD873" s="56"/>
      <c r="BE873" s="56"/>
      <c r="BG873" s="56"/>
      <c r="BH873" s="56"/>
      <c r="BI873" s="56"/>
      <c r="BJ873" s="56"/>
      <c r="BK873" s="56"/>
      <c r="BM873" s="56"/>
      <c r="BN873" s="56"/>
      <c r="BO873" s="56"/>
      <c r="BP873" s="56"/>
      <c r="BQ873" s="56"/>
    </row>
    <row r="874" spans="45:74" x14ac:dyDescent="0.25">
      <c r="AS874" s="55"/>
      <c r="AT874" s="55"/>
      <c r="AU874" s="55"/>
      <c r="AV874" s="55"/>
      <c r="AW874" s="55"/>
      <c r="AX874" s="55"/>
      <c r="AY874" s="55"/>
      <c r="AZ874" s="66"/>
      <c r="BA874" s="55"/>
      <c r="BB874" s="66"/>
      <c r="BC874" s="55"/>
      <c r="BD874" s="55"/>
      <c r="BE874" s="55"/>
      <c r="BG874" s="55"/>
      <c r="BH874" s="55"/>
      <c r="BI874" s="55"/>
      <c r="BJ874" s="55"/>
      <c r="BK874" s="55"/>
      <c r="BM874" s="55"/>
      <c r="BN874" s="55"/>
      <c r="BO874" s="55"/>
      <c r="BP874" s="55"/>
      <c r="BQ874" s="55"/>
    </row>
    <row r="875" spans="45:74" x14ac:dyDescent="0.25">
      <c r="AV875" s="56"/>
      <c r="AW875" s="56"/>
      <c r="AX875" s="56"/>
      <c r="AY875" s="56"/>
      <c r="AZ875" s="67"/>
      <c r="BA875" s="56"/>
      <c r="BB875" s="67"/>
      <c r="BC875" s="56"/>
      <c r="BD875" s="56"/>
      <c r="BE875" s="56"/>
      <c r="BG875" s="65"/>
      <c r="BH875" s="65"/>
      <c r="BI875" s="65"/>
      <c r="BJ875" s="65"/>
      <c r="BK875" s="65"/>
      <c r="BL875" s="65"/>
      <c r="BM875" s="65"/>
      <c r="BN875" s="65"/>
      <c r="BO875" s="65"/>
      <c r="BP875" s="65"/>
      <c r="BQ875" s="65"/>
    </row>
    <row r="876" spans="45:74" x14ac:dyDescent="0.25">
      <c r="AS876" s="53"/>
      <c r="AT876" s="54"/>
      <c r="AV876" s="379"/>
      <c r="AW876" s="379"/>
      <c r="AX876" s="65"/>
      <c r="AY876" s="65"/>
      <c r="AZ876" s="65"/>
      <c r="BA876" s="60"/>
      <c r="BB876" s="65"/>
      <c r="BC876" s="65"/>
      <c r="BD876" s="65"/>
      <c r="BE876" s="60"/>
      <c r="BG876" s="65"/>
      <c r="BH876" s="65"/>
      <c r="BI876" s="65"/>
      <c r="BJ876" s="65"/>
      <c r="BK876" s="65"/>
      <c r="BL876" s="65"/>
      <c r="BM876" s="65"/>
      <c r="BN876" s="65"/>
      <c r="BO876" s="65"/>
      <c r="BP876" s="65"/>
      <c r="BQ876" s="65"/>
      <c r="BR876" s="65"/>
      <c r="BS876" s="65"/>
    </row>
    <row r="877" spans="45:74" x14ac:dyDescent="0.25">
      <c r="AS877" s="53"/>
      <c r="AV877" s="379"/>
      <c r="AW877" s="379"/>
      <c r="AX877" s="65"/>
      <c r="AY877" s="65"/>
      <c r="AZ877" s="65"/>
      <c r="BA877" s="60"/>
      <c r="BB877" s="65"/>
      <c r="BC877" s="65"/>
      <c r="BD877" s="65"/>
      <c r="BE877" s="60"/>
      <c r="BG877" s="65"/>
      <c r="BH877" s="65"/>
      <c r="BI877" s="65"/>
      <c r="BJ877" s="65"/>
      <c r="BK877" s="65"/>
      <c r="BL877" s="65"/>
      <c r="BM877" s="65"/>
      <c r="BN877" s="65"/>
      <c r="BO877" s="65"/>
      <c r="BP877" s="65"/>
      <c r="BQ877" s="65"/>
      <c r="BR877" s="65"/>
      <c r="BS877" s="65"/>
    </row>
    <row r="878" spans="45:74" x14ac:dyDescent="0.25">
      <c r="AS878" s="53"/>
      <c r="AV878" s="379"/>
      <c r="AW878" s="379"/>
      <c r="AX878" s="65"/>
      <c r="AY878" s="65"/>
      <c r="AZ878" s="65"/>
      <c r="BA878" s="60"/>
      <c r="BB878" s="65"/>
      <c r="BC878" s="65"/>
      <c r="BD878" s="65"/>
      <c r="BE878" s="60"/>
      <c r="BG878" s="65"/>
      <c r="BH878" s="65"/>
      <c r="BI878" s="65"/>
      <c r="BJ878" s="65"/>
      <c r="BK878" s="65"/>
      <c r="BL878" s="65"/>
      <c r="BM878" s="65"/>
      <c r="BN878" s="65"/>
      <c r="BO878" s="65"/>
      <c r="BP878" s="65"/>
      <c r="BQ878" s="65"/>
      <c r="BR878" s="65"/>
      <c r="BS878" s="65"/>
    </row>
    <row r="879" spans="45:74" x14ac:dyDescent="0.25">
      <c r="AS879" s="53"/>
      <c r="AV879" s="379"/>
      <c r="AW879" s="379"/>
      <c r="AX879" s="65"/>
      <c r="AY879" s="65"/>
      <c r="AZ879" s="65"/>
      <c r="BA879" s="60"/>
      <c r="BB879" s="65"/>
      <c r="BC879" s="65"/>
      <c r="BD879" s="65"/>
      <c r="BE879" s="60"/>
      <c r="BG879" s="65"/>
      <c r="BH879" s="65"/>
      <c r="BI879" s="65"/>
      <c r="BJ879" s="65"/>
      <c r="BK879" s="65"/>
      <c r="BL879" s="65"/>
      <c r="BM879" s="65"/>
      <c r="BN879" s="65"/>
      <c r="BO879" s="65"/>
      <c r="BP879" s="65"/>
      <c r="BQ879" s="65"/>
      <c r="BR879" s="65"/>
      <c r="BS879" s="65"/>
    </row>
    <row r="880" spans="45:74" x14ac:dyDescent="0.25">
      <c r="AS880" s="53"/>
      <c r="AV880" s="379"/>
      <c r="AW880" s="379"/>
      <c r="AX880" s="65"/>
      <c r="AY880" s="65"/>
      <c r="AZ880" s="65"/>
      <c r="BA880" s="60"/>
      <c r="BB880" s="65"/>
      <c r="BC880" s="65"/>
      <c r="BD880" s="65"/>
      <c r="BE880" s="60"/>
      <c r="BG880" s="65"/>
      <c r="BH880" s="65"/>
      <c r="BI880" s="65"/>
      <c r="BJ880" s="65"/>
      <c r="BK880" s="65"/>
      <c r="BL880" s="65"/>
      <c r="BM880" s="65"/>
      <c r="BN880" s="65"/>
      <c r="BO880" s="65"/>
      <c r="BP880" s="65"/>
      <c r="BQ880" s="65"/>
      <c r="BR880" s="65"/>
      <c r="BS880" s="65"/>
    </row>
    <row r="881" spans="45:71" x14ac:dyDescent="0.25">
      <c r="AS881" s="53"/>
      <c r="AV881" s="379"/>
      <c r="AW881" s="379"/>
      <c r="AX881" s="65"/>
      <c r="AY881" s="65"/>
      <c r="AZ881" s="65"/>
      <c r="BA881" s="60"/>
      <c r="BB881" s="65"/>
      <c r="BC881" s="65"/>
      <c r="BD881" s="65"/>
      <c r="BE881" s="60"/>
      <c r="BG881" s="65"/>
      <c r="BH881" s="65"/>
      <c r="BI881" s="65"/>
      <c r="BJ881" s="65"/>
      <c r="BK881" s="65"/>
      <c r="BL881" s="65"/>
      <c r="BM881" s="65"/>
      <c r="BN881" s="65"/>
      <c r="BO881" s="65"/>
      <c r="BP881" s="65"/>
      <c r="BQ881" s="65"/>
      <c r="BR881" s="65"/>
      <c r="BS881" s="65"/>
    </row>
    <row r="882" spans="45:71" x14ac:dyDescent="0.25">
      <c r="AS882" s="53"/>
      <c r="AV882" s="379"/>
      <c r="AW882" s="379"/>
      <c r="AX882" s="65"/>
      <c r="AY882" s="65"/>
      <c r="AZ882" s="65"/>
      <c r="BA882" s="60"/>
      <c r="BB882" s="65"/>
      <c r="BC882" s="65"/>
      <c r="BD882" s="65"/>
      <c r="BE882" s="60"/>
      <c r="BG882" s="65"/>
      <c r="BH882" s="65"/>
      <c r="BI882" s="65"/>
      <c r="BJ882" s="65"/>
      <c r="BK882" s="65"/>
      <c r="BL882" s="65"/>
      <c r="BM882" s="65"/>
      <c r="BN882" s="65"/>
      <c r="BO882" s="65"/>
      <c r="BP882" s="65"/>
      <c r="BQ882" s="65"/>
      <c r="BR882" s="65"/>
      <c r="BS882" s="65"/>
    </row>
    <row r="883" spans="45:71" x14ac:dyDescent="0.25">
      <c r="AS883" s="53"/>
      <c r="AV883" s="379"/>
      <c r="AW883" s="379"/>
      <c r="AX883" s="65"/>
      <c r="AY883" s="65"/>
      <c r="AZ883" s="65"/>
      <c r="BA883" s="60"/>
      <c r="BB883" s="65"/>
      <c r="BC883" s="65"/>
      <c r="BD883" s="65"/>
      <c r="BE883" s="60"/>
      <c r="BG883" s="65"/>
      <c r="BH883" s="65"/>
      <c r="BI883" s="65"/>
      <c r="BJ883" s="65"/>
      <c r="BK883" s="65"/>
      <c r="BL883" s="65"/>
      <c r="BM883" s="65"/>
      <c r="BN883" s="65"/>
      <c r="BO883" s="65"/>
      <c r="BP883" s="65"/>
      <c r="BQ883" s="65"/>
      <c r="BR883" s="65"/>
      <c r="BS883" s="65"/>
    </row>
    <row r="884" spans="45:71" x14ac:dyDescent="0.25">
      <c r="AS884" s="53"/>
      <c r="AV884" s="379"/>
      <c r="AW884" s="379"/>
      <c r="AX884" s="65"/>
      <c r="AY884" s="65"/>
      <c r="AZ884" s="65"/>
      <c r="BA884" s="60"/>
      <c r="BB884" s="65"/>
      <c r="BC884" s="65"/>
      <c r="BD884" s="65"/>
      <c r="BE884" s="60"/>
      <c r="BG884" s="65"/>
      <c r="BH884" s="65"/>
      <c r="BI884" s="65"/>
      <c r="BJ884" s="65"/>
      <c r="BK884" s="65"/>
      <c r="BL884" s="65"/>
      <c r="BM884" s="65"/>
      <c r="BN884" s="65"/>
      <c r="BO884" s="65"/>
      <c r="BP884" s="65"/>
      <c r="BQ884" s="65"/>
      <c r="BR884" s="65"/>
      <c r="BS884" s="65"/>
    </row>
    <row r="885" spans="45:71" x14ac:dyDescent="0.25">
      <c r="AS885" s="53"/>
      <c r="AV885" s="379"/>
      <c r="AW885" s="379"/>
      <c r="AX885" s="65"/>
      <c r="AY885" s="65"/>
      <c r="AZ885" s="65"/>
      <c r="BA885" s="60"/>
      <c r="BB885" s="65"/>
      <c r="BC885" s="65"/>
      <c r="BD885" s="65"/>
      <c r="BE885" s="60"/>
      <c r="BG885" s="65"/>
      <c r="BH885" s="65"/>
      <c r="BI885" s="65"/>
      <c r="BJ885" s="65"/>
      <c r="BK885" s="65"/>
      <c r="BL885" s="65"/>
      <c r="BM885" s="65"/>
      <c r="BN885" s="65"/>
      <c r="BO885" s="65"/>
      <c r="BP885" s="65"/>
      <c r="BQ885" s="65"/>
      <c r="BR885" s="65"/>
      <c r="BS885" s="65"/>
    </row>
    <row r="886" spans="45:71" x14ac:dyDescent="0.25">
      <c r="AS886" s="53"/>
      <c r="AV886" s="379"/>
      <c r="AW886" s="379"/>
      <c r="AX886" s="65"/>
      <c r="AY886" s="65"/>
      <c r="AZ886" s="65"/>
      <c r="BA886" s="60"/>
      <c r="BB886" s="65"/>
      <c r="BC886" s="65"/>
      <c r="BD886" s="65"/>
      <c r="BE886" s="60"/>
      <c r="BG886" s="65"/>
      <c r="BH886" s="65"/>
      <c r="BI886" s="65"/>
      <c r="BJ886" s="65"/>
      <c r="BK886" s="65"/>
      <c r="BL886" s="65"/>
      <c r="BM886" s="65"/>
      <c r="BN886" s="65"/>
      <c r="BO886" s="65"/>
      <c r="BP886" s="65"/>
      <c r="BQ886" s="65"/>
      <c r="BR886" s="65"/>
      <c r="BS886" s="65"/>
    </row>
    <row r="887" spans="45:71" x14ac:dyDescent="0.25">
      <c r="AS887" s="53"/>
      <c r="AV887" s="379"/>
      <c r="AW887" s="379"/>
      <c r="AX887" s="65"/>
      <c r="AY887" s="65"/>
      <c r="AZ887" s="65"/>
      <c r="BA887" s="60"/>
      <c r="BB887" s="65"/>
      <c r="BC887" s="65"/>
      <c r="BD887" s="65"/>
      <c r="BE887" s="60"/>
      <c r="BG887" s="65"/>
      <c r="BH887" s="65"/>
      <c r="BI887" s="65"/>
      <c r="BJ887" s="65"/>
      <c r="BK887" s="65"/>
      <c r="BL887" s="65"/>
      <c r="BM887" s="65"/>
      <c r="BN887" s="65"/>
      <c r="BO887" s="65"/>
      <c r="BP887" s="65"/>
      <c r="BQ887" s="65"/>
      <c r="BR887" s="65"/>
      <c r="BS887" s="65"/>
    </row>
    <row r="888" spans="45:71" x14ac:dyDescent="0.25">
      <c r="AS888" s="53"/>
      <c r="AV888" s="379"/>
      <c r="AW888" s="379"/>
      <c r="AX888" s="65"/>
      <c r="AY888" s="65"/>
      <c r="AZ888" s="65"/>
      <c r="BA888" s="60"/>
      <c r="BB888" s="65"/>
      <c r="BC888" s="65"/>
      <c r="BD888" s="65"/>
      <c r="BE888" s="60"/>
      <c r="BG888" s="65"/>
      <c r="BH888" s="65"/>
      <c r="BI888" s="65"/>
      <c r="BJ888" s="65"/>
      <c r="BK888" s="65"/>
      <c r="BL888" s="65"/>
      <c r="BM888" s="65"/>
      <c r="BN888" s="65"/>
      <c r="BO888" s="65"/>
      <c r="BP888" s="65"/>
      <c r="BQ888" s="65"/>
      <c r="BR888" s="65"/>
      <c r="BS888" s="65"/>
    </row>
    <row r="889" spans="45:71" x14ac:dyDescent="0.25">
      <c r="AS889" s="53"/>
      <c r="AV889" s="379"/>
      <c r="AW889" s="379"/>
      <c r="AX889" s="65"/>
      <c r="AY889" s="65"/>
      <c r="AZ889" s="65"/>
      <c r="BA889" s="60"/>
      <c r="BB889" s="65"/>
      <c r="BC889" s="65"/>
      <c r="BD889" s="65"/>
      <c r="BE889" s="60"/>
      <c r="BG889" s="65"/>
      <c r="BH889" s="65"/>
      <c r="BI889" s="65"/>
      <c r="BJ889" s="65"/>
      <c r="BK889" s="65"/>
      <c r="BL889" s="65"/>
      <c r="BM889" s="65"/>
      <c r="BN889" s="65"/>
      <c r="BO889" s="65"/>
      <c r="BP889" s="65"/>
      <c r="BQ889" s="65"/>
      <c r="BR889" s="65"/>
      <c r="BS889" s="65"/>
    </row>
    <row r="890" spans="45:71" x14ac:dyDescent="0.25">
      <c r="AS890" s="53"/>
      <c r="AV890" s="379"/>
      <c r="AW890" s="379"/>
      <c r="AX890" s="65"/>
      <c r="AY890" s="65"/>
      <c r="AZ890" s="65"/>
      <c r="BA890" s="60"/>
      <c r="BB890" s="65"/>
      <c r="BC890" s="65"/>
      <c r="BD890" s="65"/>
      <c r="BE890" s="60"/>
      <c r="BG890" s="65"/>
      <c r="BH890" s="65"/>
      <c r="BI890" s="65"/>
      <c r="BJ890" s="65"/>
      <c r="BK890" s="65"/>
      <c r="BL890" s="65"/>
      <c r="BM890" s="65"/>
      <c r="BN890" s="65"/>
      <c r="BO890" s="65"/>
      <c r="BP890" s="65"/>
      <c r="BQ890" s="65"/>
      <c r="BR890" s="65"/>
      <c r="BS890" s="65"/>
    </row>
    <row r="891" spans="45:71" x14ac:dyDescent="0.25">
      <c r="AS891" s="53"/>
      <c r="AV891" s="379"/>
      <c r="AW891" s="379"/>
      <c r="AX891" s="65"/>
      <c r="AY891" s="65"/>
      <c r="AZ891" s="65"/>
      <c r="BA891" s="60"/>
      <c r="BB891" s="65"/>
      <c r="BC891" s="65"/>
      <c r="BD891" s="65"/>
      <c r="BE891" s="60"/>
      <c r="BG891" s="65"/>
      <c r="BH891" s="65"/>
      <c r="BI891" s="65"/>
      <c r="BJ891" s="65"/>
      <c r="BK891" s="65"/>
      <c r="BL891" s="65"/>
      <c r="BM891" s="65"/>
      <c r="BN891" s="65"/>
      <c r="BO891" s="65"/>
      <c r="BP891" s="65"/>
      <c r="BQ891" s="65"/>
      <c r="BR891" s="65"/>
      <c r="BS891" s="65"/>
    </row>
    <row r="892" spans="45:71" x14ac:dyDescent="0.25">
      <c r="AS892" s="53"/>
      <c r="AV892" s="379"/>
      <c r="AW892" s="379"/>
      <c r="AX892" s="65"/>
      <c r="AY892" s="65"/>
      <c r="AZ892" s="65"/>
      <c r="BA892" s="60"/>
      <c r="BB892" s="65"/>
      <c r="BC892" s="65"/>
      <c r="BD892" s="65"/>
      <c r="BE892" s="60"/>
      <c r="BG892" s="65"/>
      <c r="BH892" s="65"/>
      <c r="BI892" s="65"/>
      <c r="BJ892" s="65"/>
      <c r="BK892" s="65"/>
      <c r="BL892" s="65"/>
      <c r="BM892" s="65"/>
      <c r="BN892" s="65"/>
      <c r="BO892" s="65"/>
      <c r="BP892" s="65"/>
      <c r="BQ892" s="65"/>
      <c r="BR892" s="65"/>
      <c r="BS892" s="65"/>
    </row>
    <row r="893" spans="45:71" x14ac:dyDescent="0.25">
      <c r="AS893" s="53"/>
      <c r="AV893" s="379"/>
      <c r="AW893" s="379"/>
      <c r="AX893" s="65"/>
      <c r="AY893" s="65"/>
      <c r="AZ893" s="65"/>
      <c r="BA893" s="60"/>
      <c r="BB893" s="65"/>
      <c r="BC893" s="65"/>
      <c r="BD893" s="65"/>
      <c r="BE893" s="60"/>
      <c r="BG893" s="65"/>
      <c r="BH893" s="65"/>
      <c r="BI893" s="65"/>
      <c r="BJ893" s="65"/>
      <c r="BK893" s="65"/>
      <c r="BL893" s="65"/>
      <c r="BM893" s="65"/>
      <c r="BN893" s="65"/>
      <c r="BO893" s="65"/>
      <c r="BP893" s="65"/>
      <c r="BQ893" s="65"/>
      <c r="BR893" s="65"/>
      <c r="BS893" s="65"/>
    </row>
    <row r="894" spans="45:71" x14ac:dyDescent="0.25">
      <c r="AZ894" s="65"/>
      <c r="BB894" s="65"/>
      <c r="BC894" s="65"/>
      <c r="BD894" s="65"/>
      <c r="BG894" s="65"/>
      <c r="BH894" s="65"/>
      <c r="BI894" s="65"/>
      <c r="BJ894" s="65"/>
      <c r="BK894" s="65"/>
      <c r="BL894" s="65"/>
      <c r="BM894" s="65"/>
      <c r="BN894" s="65"/>
      <c r="BO894" s="65"/>
      <c r="BP894" s="65"/>
      <c r="BQ894" s="65"/>
      <c r="BR894" s="65"/>
      <c r="BS894" s="65"/>
    </row>
    <row r="895" spans="45:71" x14ac:dyDescent="0.25">
      <c r="AS895" s="53"/>
      <c r="AT895" s="54"/>
      <c r="AV895" s="379"/>
      <c r="AW895" s="379"/>
      <c r="AX895" s="65"/>
      <c r="AY895" s="65"/>
      <c r="AZ895" s="65"/>
      <c r="BA895" s="60"/>
      <c r="BB895" s="65"/>
      <c r="BC895" s="65"/>
      <c r="BD895" s="65"/>
      <c r="BE895" s="60"/>
    </row>
    <row r="896" spans="45:71" x14ac:dyDescent="0.25">
      <c r="AS896" s="53"/>
      <c r="AV896" s="379"/>
      <c r="AW896" s="379"/>
      <c r="AX896" s="65"/>
      <c r="AY896" s="65"/>
      <c r="AZ896" s="65"/>
      <c r="BA896" s="60"/>
      <c r="BB896" s="65"/>
      <c r="BC896" s="65"/>
      <c r="BD896" s="65"/>
      <c r="BE896" s="60"/>
    </row>
    <row r="897" spans="45:57" x14ac:dyDescent="0.25">
      <c r="AS897" s="53"/>
      <c r="AV897" s="379"/>
      <c r="AW897" s="379"/>
      <c r="AX897" s="65"/>
      <c r="AY897" s="65"/>
      <c r="AZ897" s="65"/>
      <c r="BA897" s="60"/>
      <c r="BB897" s="65"/>
      <c r="BC897" s="65"/>
      <c r="BD897" s="65"/>
      <c r="BE897" s="60"/>
    </row>
    <row r="898" spans="45:57" x14ac:dyDescent="0.25">
      <c r="AS898" s="53"/>
      <c r="AV898" s="379"/>
      <c r="AW898" s="379"/>
      <c r="AX898" s="65"/>
      <c r="AY898" s="65"/>
      <c r="AZ898" s="65"/>
      <c r="BA898" s="60"/>
      <c r="BB898" s="65"/>
      <c r="BC898" s="65"/>
      <c r="BD898" s="65"/>
      <c r="BE898" s="60"/>
    </row>
    <row r="899" spans="45:57" x14ac:dyDescent="0.25">
      <c r="AS899" s="53"/>
      <c r="AV899" s="379"/>
      <c r="AW899" s="379"/>
      <c r="AX899" s="65"/>
      <c r="AY899" s="65"/>
      <c r="AZ899" s="65"/>
      <c r="BA899" s="60"/>
      <c r="BB899" s="65"/>
      <c r="BC899" s="65"/>
      <c r="BD899" s="65"/>
      <c r="BE899" s="60"/>
    </row>
    <row r="900" spans="45:57" x14ac:dyDescent="0.25">
      <c r="AS900" s="53"/>
      <c r="AV900" s="379"/>
      <c r="AW900" s="379"/>
      <c r="AX900" s="65"/>
      <c r="AY900" s="65"/>
      <c r="AZ900" s="65"/>
      <c r="BA900" s="60"/>
      <c r="BB900" s="65"/>
      <c r="BC900" s="65"/>
      <c r="BD900" s="65"/>
      <c r="BE900" s="60"/>
    </row>
    <row r="901" spans="45:57" x14ac:dyDescent="0.25">
      <c r="AS901" s="53"/>
      <c r="AV901" s="379"/>
      <c r="AW901" s="379"/>
      <c r="AX901" s="65"/>
      <c r="AY901" s="65"/>
      <c r="AZ901" s="65"/>
      <c r="BA901" s="60"/>
      <c r="BB901" s="65"/>
      <c r="BC901" s="65"/>
      <c r="BD901" s="65"/>
      <c r="BE901" s="60"/>
    </row>
    <row r="902" spans="45:57" x14ac:dyDescent="0.25">
      <c r="AS902" s="53"/>
      <c r="AV902" s="379"/>
      <c r="AW902" s="379"/>
      <c r="AX902" s="65"/>
      <c r="AY902" s="65"/>
      <c r="AZ902" s="65"/>
      <c r="BA902" s="60"/>
      <c r="BB902" s="65"/>
      <c r="BC902" s="65"/>
      <c r="BD902" s="65"/>
      <c r="BE902" s="60"/>
    </row>
    <row r="903" spans="45:57" x14ac:dyDescent="0.25">
      <c r="AS903" s="53"/>
      <c r="AV903" s="379"/>
      <c r="AW903" s="379"/>
      <c r="AX903" s="65"/>
      <c r="AY903" s="65"/>
      <c r="AZ903" s="65"/>
      <c r="BA903" s="60"/>
      <c r="BB903" s="65"/>
      <c r="BC903" s="65"/>
      <c r="BD903" s="65"/>
      <c r="BE903" s="60"/>
    </row>
    <row r="904" spans="45:57" x14ac:dyDescent="0.25">
      <c r="AS904" s="53"/>
      <c r="AV904" s="379"/>
      <c r="AW904" s="379"/>
      <c r="AX904" s="65"/>
      <c r="AY904" s="65"/>
      <c r="AZ904" s="65"/>
      <c r="BA904" s="60"/>
      <c r="BB904" s="65"/>
      <c r="BC904" s="65"/>
      <c r="BD904" s="65"/>
      <c r="BE904" s="60"/>
    </row>
    <row r="905" spans="45:57" x14ac:dyDescent="0.25">
      <c r="AS905" s="53"/>
      <c r="AV905" s="379"/>
      <c r="AW905" s="379"/>
      <c r="AX905" s="65"/>
      <c r="AY905" s="65"/>
      <c r="AZ905" s="65"/>
      <c r="BA905" s="60"/>
      <c r="BB905" s="65"/>
      <c r="BC905" s="65"/>
      <c r="BD905" s="65"/>
      <c r="BE905" s="60"/>
    </row>
    <row r="906" spans="45:57" x14ac:dyDescent="0.25">
      <c r="AS906" s="53"/>
      <c r="AV906" s="379"/>
      <c r="AW906" s="379"/>
      <c r="AX906" s="65"/>
      <c r="AY906" s="65"/>
      <c r="AZ906" s="65"/>
      <c r="BA906" s="60"/>
      <c r="BB906" s="65"/>
      <c r="BC906" s="65"/>
      <c r="BD906" s="65"/>
      <c r="BE906" s="60"/>
    </row>
    <row r="907" spans="45:57" x14ac:dyDescent="0.25">
      <c r="AS907" s="53"/>
      <c r="AV907" s="379"/>
      <c r="AW907" s="379"/>
      <c r="AX907" s="65"/>
      <c r="AY907" s="65"/>
      <c r="AZ907" s="65"/>
      <c r="BA907" s="60"/>
      <c r="BB907" s="65"/>
      <c r="BC907" s="65"/>
      <c r="BD907" s="65"/>
      <c r="BE907" s="60"/>
    </row>
    <row r="908" spans="45:57" x14ac:dyDescent="0.25">
      <c r="AS908" s="53"/>
      <c r="AV908" s="379"/>
      <c r="AW908" s="379"/>
      <c r="AX908" s="65"/>
      <c r="AY908" s="65"/>
      <c r="AZ908" s="65"/>
      <c r="BA908" s="60"/>
      <c r="BB908" s="65"/>
      <c r="BC908" s="65"/>
      <c r="BD908" s="65"/>
      <c r="BE908" s="60"/>
    </row>
    <row r="909" spans="45:57" x14ac:dyDescent="0.25">
      <c r="AS909" s="53"/>
      <c r="AV909" s="379"/>
      <c r="AW909" s="379"/>
      <c r="AX909" s="65"/>
      <c r="AY909" s="65"/>
      <c r="AZ909" s="65"/>
      <c r="BA909" s="60"/>
      <c r="BB909" s="65"/>
      <c r="BC909" s="65"/>
      <c r="BD909" s="65"/>
      <c r="BE909" s="60"/>
    </row>
    <row r="910" spans="45:57" x14ac:dyDescent="0.25">
      <c r="AS910" s="53"/>
      <c r="AV910" s="379"/>
      <c r="AW910" s="379"/>
      <c r="AX910" s="65"/>
      <c r="AY910" s="65"/>
      <c r="AZ910" s="65"/>
      <c r="BA910" s="60"/>
      <c r="BB910" s="65"/>
      <c r="BC910" s="65"/>
      <c r="BD910" s="65"/>
      <c r="BE910" s="60"/>
    </row>
    <row r="911" spans="45:57" x14ac:dyDescent="0.25">
      <c r="AS911" s="53"/>
      <c r="AV911" s="379"/>
      <c r="AW911" s="379"/>
      <c r="AX911" s="65"/>
      <c r="AY911" s="65"/>
      <c r="AZ911" s="65"/>
      <c r="BA911" s="60"/>
      <c r="BB911" s="65"/>
      <c r="BC911" s="65"/>
      <c r="BD911" s="65"/>
      <c r="BE911" s="60"/>
    </row>
    <row r="912" spans="45:57" x14ac:dyDescent="0.25">
      <c r="AS912" s="53"/>
      <c r="AV912" s="379"/>
      <c r="AW912" s="379"/>
      <c r="AX912" s="65"/>
      <c r="AY912" s="65"/>
      <c r="AZ912" s="65"/>
      <c r="BA912" s="60"/>
      <c r="BB912" s="65"/>
      <c r="BC912" s="65"/>
      <c r="BD912" s="65"/>
      <c r="BE912" s="60"/>
    </row>
    <row r="913" spans="45:57" x14ac:dyDescent="0.25">
      <c r="BB913" s="65"/>
    </row>
    <row r="914" spans="45:57" x14ac:dyDescent="0.25">
      <c r="AU914" s="54"/>
      <c r="BB914" s="65"/>
    </row>
    <row r="915" spans="45:57" x14ac:dyDescent="0.25">
      <c r="AU915" s="54"/>
    </row>
    <row r="916" spans="45:57" x14ac:dyDescent="0.25">
      <c r="AU916" s="54"/>
      <c r="BB916" s="65"/>
    </row>
    <row r="917" spans="45:57" x14ac:dyDescent="0.25">
      <c r="AS917" s="54"/>
      <c r="AZ917" s="65"/>
      <c r="BB917" s="65"/>
    </row>
    <row r="918" spans="45:57" x14ac:dyDescent="0.25">
      <c r="AY918" s="53"/>
      <c r="AZ918" s="65"/>
      <c r="BB918" s="65"/>
    </row>
    <row r="919" spans="45:57" x14ac:dyDescent="0.25">
      <c r="AY919" s="65"/>
      <c r="AZ919" s="65"/>
      <c r="BB919" s="65"/>
    </row>
    <row r="920" spans="45:57" x14ac:dyDescent="0.25">
      <c r="AY920" s="54"/>
      <c r="AZ920" s="65"/>
      <c r="BB920" s="65"/>
    </row>
    <row r="921" spans="45:57" x14ac:dyDescent="0.25">
      <c r="AY921" s="54"/>
      <c r="AZ921" s="65"/>
      <c r="BB921" s="65"/>
    </row>
    <row r="922" spans="45:57" x14ac:dyDescent="0.25">
      <c r="AS922" s="53"/>
      <c r="AZ922" s="65"/>
      <c r="BB922" s="65"/>
      <c r="BD922" s="54"/>
    </row>
    <row r="923" spans="45:57" x14ac:dyDescent="0.25">
      <c r="AS923" s="53"/>
      <c r="AZ923" s="65"/>
      <c r="BB923" s="65"/>
      <c r="BD923" s="54"/>
    </row>
    <row r="924" spans="45:57" x14ac:dyDescent="0.25">
      <c r="AS924" s="54"/>
      <c r="AZ924" s="65"/>
      <c r="BB924" s="65"/>
      <c r="BD924" s="54"/>
    </row>
    <row r="925" spans="45:57" x14ac:dyDescent="0.25">
      <c r="AZ925" s="65"/>
      <c r="BB925" s="65"/>
      <c r="BD925" s="53"/>
    </row>
    <row r="926" spans="45:57" x14ac:dyDescent="0.25">
      <c r="AS926" s="55"/>
      <c r="AT926" s="55"/>
      <c r="AU926" s="55"/>
      <c r="AV926" s="55"/>
      <c r="AW926" s="55"/>
      <c r="AX926" s="55"/>
      <c r="AY926" s="55"/>
      <c r="AZ926" s="66"/>
      <c r="BA926" s="55"/>
      <c r="BB926" s="66"/>
      <c r="BC926" s="55"/>
      <c r="BD926" s="55"/>
      <c r="BE926" s="55"/>
    </row>
    <row r="927" spans="45:57" x14ac:dyDescent="0.25">
      <c r="AX927" s="54"/>
      <c r="AZ927" s="65"/>
      <c r="BB927" s="65"/>
    </row>
    <row r="928" spans="45:57" x14ac:dyDescent="0.25">
      <c r="AX928" s="55"/>
      <c r="AY928" s="55"/>
      <c r="AZ928" s="66"/>
      <c r="BA928" s="55"/>
      <c r="BB928" s="65"/>
      <c r="BC928" s="56"/>
      <c r="BD928" s="56"/>
    </row>
    <row r="929" spans="45:57" x14ac:dyDescent="0.25">
      <c r="AV929" s="56"/>
      <c r="AW929" s="56"/>
      <c r="AZ929" s="67"/>
      <c r="BA929" s="56"/>
      <c r="BB929" s="65"/>
      <c r="BC929" s="56"/>
      <c r="BD929" s="56"/>
      <c r="BE929" s="56"/>
    </row>
    <row r="930" spans="45:57" x14ac:dyDescent="0.25">
      <c r="AV930" s="56"/>
      <c r="AW930" s="56"/>
      <c r="AX930" s="56"/>
      <c r="AY930" s="56"/>
      <c r="AZ930" s="67"/>
      <c r="BA930" s="56"/>
      <c r="BB930" s="67"/>
      <c r="BC930" s="56"/>
      <c r="BD930" s="56"/>
      <c r="BE930" s="56"/>
    </row>
    <row r="931" spans="45:57" x14ac:dyDescent="0.25">
      <c r="AS931" s="56"/>
      <c r="AU931" s="54"/>
      <c r="AV931" s="56"/>
      <c r="AW931" s="56"/>
      <c r="AX931" s="56"/>
      <c r="AY931" s="56"/>
      <c r="AZ931" s="67"/>
      <c r="BA931" s="56"/>
      <c r="BB931" s="67"/>
      <c r="BC931" s="56"/>
      <c r="BD931" s="56"/>
      <c r="BE931" s="56"/>
    </row>
    <row r="932" spans="45:57" x14ac:dyDescent="0.25">
      <c r="AS932" s="56"/>
      <c r="AU932" s="54"/>
      <c r="AV932" s="56"/>
      <c r="AW932" s="56"/>
      <c r="AX932" s="56"/>
      <c r="AY932" s="56"/>
      <c r="AZ932" s="67"/>
      <c r="BA932" s="56"/>
      <c r="BB932" s="67"/>
      <c r="BC932" s="56"/>
      <c r="BD932" s="56"/>
      <c r="BE932" s="56"/>
    </row>
    <row r="933" spans="45:57" x14ac:dyDescent="0.25">
      <c r="AS933" s="55"/>
      <c r="AT933" s="55"/>
      <c r="AU933" s="55"/>
      <c r="AV933" s="55"/>
      <c r="AW933" s="55"/>
      <c r="AX933" s="55"/>
      <c r="AY933" s="55"/>
      <c r="AZ933" s="66"/>
      <c r="BA933" s="55"/>
      <c r="BB933" s="66"/>
      <c r="BC933" s="55"/>
      <c r="BD933" s="55"/>
      <c r="BE933" s="55"/>
    </row>
    <row r="934" spans="45:57" x14ac:dyDescent="0.25">
      <c r="AV934" s="56"/>
      <c r="AW934" s="56"/>
      <c r="AX934" s="56"/>
      <c r="AY934" s="56"/>
      <c r="AZ934" s="67"/>
      <c r="BA934" s="56"/>
      <c r="BB934" s="67"/>
      <c r="BC934" s="56"/>
      <c r="BD934" s="56"/>
      <c r="BE934" s="56"/>
    </row>
    <row r="935" spans="45:57" x14ac:dyDescent="0.25">
      <c r="AS935" s="53"/>
      <c r="AT935" s="54"/>
      <c r="AV935" s="379"/>
      <c r="AW935" s="379"/>
      <c r="AX935" s="65"/>
      <c r="AY935" s="65"/>
      <c r="AZ935" s="65"/>
      <c r="BA935" s="60"/>
      <c r="BB935" s="65"/>
      <c r="BC935" s="65"/>
      <c r="BD935" s="65"/>
      <c r="BE935" s="60"/>
    </row>
    <row r="936" spans="45:57" x14ac:dyDescent="0.25">
      <c r="AS936" s="53"/>
      <c r="AV936" s="379"/>
      <c r="AW936" s="379"/>
      <c r="AX936" s="65"/>
      <c r="AY936" s="65"/>
      <c r="AZ936" s="65"/>
      <c r="BA936" s="60"/>
      <c r="BB936" s="65"/>
      <c r="BC936" s="65"/>
      <c r="BD936" s="65"/>
      <c r="BE936" s="60"/>
    </row>
    <row r="937" spans="45:57" x14ac:dyDescent="0.25">
      <c r="AS937" s="53"/>
      <c r="AV937" s="379"/>
      <c r="AW937" s="379"/>
      <c r="AX937" s="65"/>
      <c r="AY937" s="65"/>
      <c r="AZ937" s="65"/>
      <c r="BA937" s="60"/>
      <c r="BB937" s="65"/>
      <c r="BC937" s="65"/>
      <c r="BD937" s="65"/>
      <c r="BE937" s="60"/>
    </row>
    <row r="938" spans="45:57" x14ac:dyDescent="0.25">
      <c r="AS938" s="53"/>
      <c r="AV938" s="379"/>
      <c r="AW938" s="379"/>
      <c r="AX938" s="65"/>
      <c r="AY938" s="65"/>
      <c r="AZ938" s="65"/>
      <c r="BA938" s="60"/>
      <c r="BB938" s="65"/>
      <c r="BC938" s="65"/>
      <c r="BD938" s="65"/>
      <c r="BE938" s="60"/>
    </row>
    <row r="939" spans="45:57" x14ac:dyDescent="0.25">
      <c r="AS939" s="53"/>
      <c r="AV939" s="379"/>
      <c r="AW939" s="379"/>
      <c r="AX939" s="65"/>
      <c r="AY939" s="65"/>
      <c r="AZ939" s="65"/>
      <c r="BA939" s="60"/>
      <c r="BB939" s="65"/>
      <c r="BC939" s="65"/>
      <c r="BD939" s="65"/>
      <c r="BE939" s="60"/>
    </row>
    <row r="940" spans="45:57" x14ac:dyDescent="0.25">
      <c r="AS940" s="53"/>
      <c r="AV940" s="379"/>
      <c r="AW940" s="379"/>
      <c r="AX940" s="65"/>
      <c r="AY940" s="65"/>
      <c r="AZ940" s="65"/>
      <c r="BA940" s="60"/>
      <c r="BB940" s="65"/>
      <c r="BC940" s="65"/>
      <c r="BD940" s="65"/>
      <c r="BE940" s="60"/>
    </row>
    <row r="941" spans="45:57" x14ac:dyDescent="0.25">
      <c r="AS941" s="53"/>
      <c r="AV941" s="379"/>
      <c r="AW941" s="379"/>
      <c r="AX941" s="65"/>
      <c r="AY941" s="65"/>
      <c r="AZ941" s="65"/>
      <c r="BA941" s="60"/>
      <c r="BB941" s="65"/>
      <c r="BC941" s="65"/>
      <c r="BD941" s="65"/>
      <c r="BE941" s="60"/>
    </row>
    <row r="942" spans="45:57" x14ac:dyDescent="0.25">
      <c r="AS942" s="53"/>
      <c r="AV942" s="379"/>
      <c r="AW942" s="379"/>
      <c r="AX942" s="65"/>
      <c r="AY942" s="65"/>
      <c r="AZ942" s="65"/>
      <c r="BA942" s="60"/>
      <c r="BB942" s="65"/>
      <c r="BC942" s="65"/>
      <c r="BD942" s="65"/>
      <c r="BE942" s="60"/>
    </row>
    <row r="943" spans="45:57" x14ac:dyDescent="0.25">
      <c r="AS943" s="53"/>
      <c r="AV943" s="379"/>
      <c r="AW943" s="379"/>
      <c r="AX943" s="65"/>
      <c r="AY943" s="65"/>
      <c r="AZ943" s="65"/>
      <c r="BA943" s="60"/>
      <c r="BB943" s="65"/>
      <c r="BC943" s="65"/>
      <c r="BD943" s="65"/>
      <c r="BE943" s="60"/>
    </row>
    <row r="944" spans="45:57" x14ac:dyDescent="0.25">
      <c r="AS944" s="53"/>
      <c r="AV944" s="379"/>
      <c r="AW944" s="379"/>
      <c r="AX944" s="65"/>
      <c r="AY944" s="65"/>
      <c r="AZ944" s="65"/>
      <c r="BA944" s="60"/>
      <c r="BB944" s="65"/>
      <c r="BC944" s="65"/>
      <c r="BD944" s="65"/>
      <c r="BE944" s="60"/>
    </row>
    <row r="945" spans="45:57" x14ac:dyDescent="0.25">
      <c r="AV945" s="379"/>
      <c r="AW945" s="379"/>
      <c r="BB945" s="65"/>
    </row>
    <row r="946" spans="45:57" x14ac:dyDescent="0.25">
      <c r="AS946" s="53"/>
      <c r="AT946" s="54"/>
      <c r="AV946" s="379"/>
      <c r="AW946" s="379"/>
      <c r="AX946" s="65"/>
      <c r="AY946" s="65"/>
      <c r="AZ946" s="65"/>
      <c r="BA946" s="60"/>
      <c r="BB946" s="65"/>
      <c r="BC946" s="65"/>
      <c r="BD946" s="65"/>
      <c r="BE946" s="60"/>
    </row>
    <row r="947" spans="45:57" x14ac:dyDescent="0.25">
      <c r="AS947" s="53"/>
      <c r="AV947" s="379"/>
      <c r="AW947" s="379"/>
      <c r="AX947" s="65"/>
      <c r="AY947" s="65"/>
      <c r="AZ947" s="65"/>
      <c r="BA947" s="60"/>
      <c r="BB947" s="65"/>
      <c r="BC947" s="65"/>
      <c r="BD947" s="65"/>
      <c r="BE947" s="60"/>
    </row>
    <row r="948" spans="45:57" x14ac:dyDescent="0.25">
      <c r="AS948" s="53"/>
      <c r="AV948" s="379"/>
      <c r="AW948" s="379"/>
      <c r="AX948" s="65"/>
      <c r="AY948" s="65"/>
      <c r="AZ948" s="65"/>
      <c r="BA948" s="60"/>
      <c r="BB948" s="65"/>
      <c r="BC948" s="65"/>
      <c r="BD948" s="65"/>
      <c r="BE948" s="60"/>
    </row>
    <row r="949" spans="45:57" x14ac:dyDescent="0.25">
      <c r="AS949" s="53"/>
      <c r="AV949" s="379"/>
      <c r="AW949" s="379"/>
      <c r="AX949" s="65"/>
      <c r="AY949" s="65"/>
      <c r="AZ949" s="65"/>
      <c r="BA949" s="60"/>
      <c r="BB949" s="65"/>
      <c r="BC949" s="65"/>
      <c r="BD949" s="65"/>
      <c r="BE949" s="60"/>
    </row>
    <row r="950" spans="45:57" x14ac:dyDescent="0.25">
      <c r="AS950" s="53"/>
      <c r="AV950" s="379"/>
      <c r="AW950" s="379"/>
      <c r="AX950" s="65"/>
      <c r="AY950" s="65"/>
      <c r="AZ950" s="65"/>
      <c r="BA950" s="60"/>
      <c r="BB950" s="65"/>
      <c r="BC950" s="65"/>
      <c r="BD950" s="65"/>
      <c r="BE950" s="60"/>
    </row>
    <row r="951" spans="45:57" x14ac:dyDescent="0.25">
      <c r="AS951" s="53"/>
      <c r="AV951" s="379"/>
      <c r="AW951" s="379"/>
      <c r="AX951" s="65"/>
      <c r="AY951" s="65"/>
      <c r="AZ951" s="65"/>
      <c r="BA951" s="60"/>
      <c r="BB951" s="65"/>
      <c r="BC951" s="65"/>
      <c r="BD951" s="65"/>
      <c r="BE951" s="60"/>
    </row>
    <row r="952" spans="45:57" x14ac:dyDescent="0.25">
      <c r="AS952" s="53"/>
      <c r="AV952" s="379"/>
      <c r="AW952" s="379"/>
      <c r="AX952" s="65"/>
      <c r="AY952" s="65"/>
      <c r="AZ952" s="65"/>
      <c r="BA952" s="60"/>
      <c r="BB952" s="65"/>
      <c r="BC952" s="65"/>
      <c r="BD952" s="65"/>
      <c r="BE952" s="60"/>
    </row>
    <row r="953" spans="45:57" x14ac:dyDescent="0.25">
      <c r="AS953" s="53"/>
      <c r="AV953" s="379"/>
      <c r="AW953" s="379"/>
      <c r="AX953" s="65"/>
      <c r="AY953" s="65"/>
      <c r="AZ953" s="65"/>
      <c r="BA953" s="60"/>
      <c r="BB953" s="65"/>
      <c r="BC953" s="65"/>
      <c r="BD953" s="65"/>
      <c r="BE953" s="60"/>
    </row>
    <row r="954" spans="45:57" x14ac:dyDescent="0.25">
      <c r="AS954" s="53"/>
      <c r="AV954" s="379"/>
      <c r="AW954" s="379"/>
      <c r="AX954" s="65"/>
      <c r="AY954" s="65"/>
      <c r="AZ954" s="65"/>
      <c r="BA954" s="60"/>
      <c r="BB954" s="65"/>
      <c r="BC954" s="65"/>
      <c r="BD954" s="65"/>
      <c r="BE954" s="60"/>
    </row>
    <row r="955" spans="45:57" x14ac:dyDescent="0.25">
      <c r="AS955" s="53"/>
      <c r="AV955" s="379"/>
      <c r="AW955" s="379"/>
      <c r="AX955" s="65"/>
      <c r="AY955" s="65"/>
      <c r="AZ955" s="65"/>
      <c r="BA955" s="60"/>
      <c r="BB955" s="65"/>
      <c r="BC955" s="65"/>
      <c r="BD955" s="65"/>
      <c r="BE955" s="60"/>
    </row>
    <row r="957" spans="45:57" x14ac:dyDescent="0.25">
      <c r="AU957" s="54"/>
    </row>
    <row r="958" spans="45:57" x14ac:dyDescent="0.25">
      <c r="AU958" s="54"/>
    </row>
    <row r="959" spans="45:57" x14ac:dyDescent="0.25">
      <c r="AU959" s="54"/>
    </row>
    <row r="960" spans="45:57" x14ac:dyDescent="0.25">
      <c r="AS960" s="54"/>
    </row>
    <row r="981" spans="52:71" x14ac:dyDescent="0.25">
      <c r="AZ981" s="65"/>
      <c r="BB981" s="65"/>
      <c r="BC981" s="65"/>
      <c r="BD981" s="65"/>
      <c r="BG981" s="65"/>
      <c r="BH981" s="65"/>
      <c r="BI981" s="65"/>
      <c r="BJ981" s="65"/>
      <c r="BK981" s="65"/>
      <c r="BL981" s="65"/>
      <c r="BM981" s="65"/>
      <c r="BN981" s="65"/>
      <c r="BO981" s="65"/>
      <c r="BP981" s="65"/>
      <c r="BQ981" s="65"/>
      <c r="BR981" s="65"/>
      <c r="BS981" s="65"/>
    </row>
    <row r="982" spans="52:71" x14ac:dyDescent="0.25">
      <c r="AZ982" s="65"/>
      <c r="BB982" s="65"/>
      <c r="BC982" s="65"/>
      <c r="BD982" s="65"/>
      <c r="BG982" s="65"/>
      <c r="BH982" s="65"/>
      <c r="BI982" s="65"/>
      <c r="BJ982" s="65"/>
      <c r="BK982" s="65"/>
      <c r="BL982" s="65"/>
      <c r="BM982" s="65"/>
      <c r="BN982" s="65"/>
      <c r="BO982" s="65"/>
      <c r="BP982" s="65"/>
      <c r="BQ982" s="65"/>
      <c r="BR982" s="65"/>
      <c r="BS982" s="65"/>
    </row>
    <row r="983" spans="52:71" x14ac:dyDescent="0.25">
      <c r="AZ983" s="65"/>
      <c r="BB983" s="65"/>
      <c r="BC983" s="65"/>
      <c r="BD983" s="65"/>
      <c r="BG983" s="65"/>
      <c r="BH983" s="65"/>
      <c r="BI983" s="65"/>
      <c r="BJ983" s="65"/>
      <c r="BK983" s="65"/>
      <c r="BL983" s="65"/>
      <c r="BM983" s="65"/>
      <c r="BN983" s="65"/>
      <c r="BO983" s="65"/>
      <c r="BP983" s="65"/>
      <c r="BQ983" s="65"/>
      <c r="BR983" s="65"/>
      <c r="BS983" s="65"/>
    </row>
    <row r="984" spans="52:71" x14ac:dyDescent="0.25">
      <c r="AZ984" s="65"/>
      <c r="BB984" s="65"/>
      <c r="BC984" s="65"/>
      <c r="BD984" s="65"/>
      <c r="BG984" s="65"/>
      <c r="BH984" s="65"/>
      <c r="BI984" s="65"/>
      <c r="BJ984" s="65"/>
      <c r="BK984" s="65"/>
      <c r="BL984" s="65"/>
      <c r="BM984" s="65"/>
      <c r="BN984" s="65"/>
      <c r="BO984" s="65"/>
      <c r="BP984" s="65"/>
      <c r="BQ984" s="65"/>
      <c r="BR984" s="65"/>
      <c r="BS984" s="65"/>
    </row>
    <row r="985" spans="52:71" x14ac:dyDescent="0.25">
      <c r="AZ985" s="65"/>
      <c r="BB985" s="65"/>
      <c r="BC985" s="65"/>
      <c r="BD985" s="65"/>
      <c r="BG985" s="65"/>
      <c r="BH985" s="65"/>
      <c r="BI985" s="65"/>
      <c r="BJ985" s="65"/>
      <c r="BK985" s="65"/>
      <c r="BL985" s="65"/>
      <c r="BM985" s="65"/>
      <c r="BN985" s="65"/>
      <c r="BO985" s="65"/>
      <c r="BP985" s="65"/>
      <c r="BQ985" s="65"/>
      <c r="BR985" s="65"/>
      <c r="BS985" s="65"/>
    </row>
    <row r="986" spans="52:71" x14ac:dyDescent="0.25">
      <c r="AZ986" s="65"/>
      <c r="BB986" s="65"/>
      <c r="BC986" s="65"/>
      <c r="BD986" s="65"/>
      <c r="BG986" s="65"/>
      <c r="BH986" s="65"/>
      <c r="BI986" s="65"/>
      <c r="BJ986" s="65"/>
      <c r="BK986" s="65"/>
      <c r="BL986" s="65"/>
      <c r="BM986" s="65"/>
      <c r="BN986" s="65"/>
      <c r="BO986" s="65"/>
      <c r="BP986" s="65"/>
      <c r="BQ986" s="65"/>
      <c r="BR986" s="65"/>
      <c r="BS986" s="65"/>
    </row>
    <row r="987" spans="52:71" x14ac:dyDescent="0.25">
      <c r="AZ987" s="65"/>
      <c r="BB987" s="65"/>
      <c r="BC987" s="65"/>
      <c r="BD987" s="65"/>
      <c r="BG987" s="65"/>
      <c r="BH987" s="65"/>
      <c r="BI987" s="65"/>
      <c r="BJ987" s="65"/>
      <c r="BK987" s="65"/>
      <c r="BL987" s="65"/>
      <c r="BM987" s="65"/>
      <c r="BN987" s="65"/>
      <c r="BO987" s="65"/>
      <c r="BP987" s="65"/>
      <c r="BQ987" s="65"/>
      <c r="BR987" s="65"/>
      <c r="BS987" s="65"/>
    </row>
    <row r="988" spans="52:71" x14ac:dyDescent="0.25">
      <c r="AZ988" s="65"/>
      <c r="BB988" s="65"/>
      <c r="BC988" s="65"/>
      <c r="BD988" s="65"/>
      <c r="BG988" s="65"/>
      <c r="BH988" s="65"/>
      <c r="BI988" s="65"/>
      <c r="BJ988" s="65"/>
      <c r="BK988" s="65"/>
      <c r="BL988" s="65"/>
      <c r="BM988" s="65"/>
      <c r="BN988" s="65"/>
      <c r="BO988" s="65"/>
      <c r="BP988" s="65"/>
      <c r="BQ988" s="65"/>
      <c r="BR988" s="65"/>
      <c r="BS988" s="65"/>
    </row>
    <row r="989" spans="52:71" x14ac:dyDescent="0.25">
      <c r="AZ989" s="65"/>
      <c r="BB989" s="65"/>
      <c r="BC989" s="65"/>
      <c r="BD989" s="65"/>
      <c r="BG989" s="65"/>
      <c r="BH989" s="65"/>
      <c r="BI989" s="65"/>
      <c r="BJ989" s="65"/>
      <c r="BK989" s="65"/>
      <c r="BL989" s="65"/>
      <c r="BM989" s="65"/>
      <c r="BN989" s="65"/>
      <c r="BO989" s="65"/>
      <c r="BP989" s="65"/>
      <c r="BQ989" s="65"/>
      <c r="BR989" s="65"/>
      <c r="BS989" s="65"/>
    </row>
    <row r="990" spans="52:71" x14ac:dyDescent="0.25">
      <c r="AZ990" s="65"/>
      <c r="BB990" s="65"/>
      <c r="BC990" s="65"/>
      <c r="BD990" s="65"/>
      <c r="BG990" s="65"/>
      <c r="BH990" s="65"/>
      <c r="BI990" s="65"/>
      <c r="BJ990" s="65"/>
      <c r="BK990" s="65"/>
      <c r="BL990" s="65"/>
      <c r="BM990" s="65"/>
      <c r="BN990" s="65"/>
      <c r="BO990" s="65"/>
      <c r="BP990" s="65"/>
      <c r="BQ990" s="65"/>
      <c r="BR990" s="65"/>
      <c r="BS990" s="65"/>
    </row>
    <row r="991" spans="52:71" x14ac:dyDescent="0.25">
      <c r="AZ991" s="65"/>
      <c r="BB991" s="65"/>
      <c r="BC991" s="65"/>
      <c r="BD991" s="65"/>
      <c r="BG991" s="65"/>
      <c r="BH991" s="65"/>
      <c r="BI991" s="65"/>
      <c r="BJ991" s="65"/>
      <c r="BK991" s="65"/>
      <c r="BL991" s="65"/>
      <c r="BM991" s="65"/>
      <c r="BN991" s="65"/>
      <c r="BO991" s="65"/>
      <c r="BP991" s="65"/>
      <c r="BQ991" s="65"/>
      <c r="BR991" s="65"/>
      <c r="BS991" s="65"/>
    </row>
    <row r="992" spans="52:71" x14ac:dyDescent="0.25">
      <c r="AZ992" s="65"/>
      <c r="BB992" s="65"/>
      <c r="BC992" s="65"/>
      <c r="BD992" s="65"/>
      <c r="BG992" s="65"/>
      <c r="BH992" s="65"/>
      <c r="BI992" s="65"/>
      <c r="BJ992" s="65"/>
      <c r="BK992" s="65"/>
      <c r="BL992" s="65"/>
      <c r="BM992" s="65"/>
      <c r="BN992" s="65"/>
      <c r="BO992" s="65"/>
      <c r="BP992" s="65"/>
      <c r="BQ992" s="65"/>
      <c r="BR992" s="65"/>
      <c r="BS992" s="65"/>
    </row>
    <row r="993" spans="52:71" x14ac:dyDescent="0.25">
      <c r="AZ993" s="65"/>
      <c r="BG993" s="65"/>
      <c r="BH993" s="65"/>
      <c r="BI993" s="65"/>
      <c r="BJ993" s="65"/>
      <c r="BK993" s="65"/>
      <c r="BL993" s="65"/>
      <c r="BM993" s="65"/>
      <c r="BN993" s="65"/>
      <c r="BO993" s="65"/>
      <c r="BP993" s="65"/>
      <c r="BQ993" s="65"/>
      <c r="BR993" s="65"/>
      <c r="BS993" s="65"/>
    </row>
    <row r="994" spans="52:71" x14ac:dyDescent="0.25">
      <c r="AZ994" s="65"/>
      <c r="BG994" s="65"/>
      <c r="BH994" s="65"/>
      <c r="BI994" s="65"/>
      <c r="BJ994" s="65"/>
      <c r="BK994" s="65"/>
      <c r="BL994" s="65"/>
      <c r="BM994" s="65"/>
      <c r="BN994" s="65"/>
      <c r="BO994" s="65"/>
      <c r="BP994" s="65"/>
      <c r="BQ994" s="65"/>
      <c r="BR994" s="65"/>
      <c r="BS994" s="65"/>
    </row>
    <row r="995" spans="52:71" x14ac:dyDescent="0.25">
      <c r="AZ995" s="65"/>
      <c r="BG995" s="65"/>
      <c r="BH995" s="65"/>
      <c r="BI995" s="65"/>
      <c r="BJ995" s="65"/>
      <c r="BK995" s="65"/>
      <c r="BL995" s="65"/>
      <c r="BM995" s="65"/>
      <c r="BN995" s="65"/>
      <c r="BO995" s="65"/>
      <c r="BP995" s="65"/>
      <c r="BQ995" s="65"/>
      <c r="BR995" s="65"/>
      <c r="BS995" s="65"/>
    </row>
    <row r="996" spans="52:71" x14ac:dyDescent="0.25">
      <c r="AZ996" s="65"/>
      <c r="BG996" s="65"/>
      <c r="BH996" s="65"/>
      <c r="BI996" s="65"/>
      <c r="BJ996" s="65"/>
      <c r="BK996" s="65"/>
      <c r="BL996" s="65"/>
      <c r="BM996" s="65"/>
      <c r="BN996" s="65"/>
      <c r="BO996" s="65"/>
      <c r="BP996" s="65"/>
      <c r="BQ996" s="65"/>
      <c r="BR996" s="65"/>
      <c r="BS996" s="65"/>
    </row>
    <row r="997" spans="52:71" x14ac:dyDescent="0.25">
      <c r="AZ997" s="65"/>
      <c r="BG997" s="65"/>
      <c r="BH997" s="65"/>
      <c r="BI997" s="65"/>
      <c r="BJ997" s="65"/>
      <c r="BK997" s="65"/>
      <c r="BL997" s="65"/>
      <c r="BM997" s="65"/>
      <c r="BN997" s="65"/>
      <c r="BO997" s="65"/>
      <c r="BP997" s="65"/>
      <c r="BQ997" s="65"/>
      <c r="BR997" s="65"/>
      <c r="BS997" s="65"/>
    </row>
    <row r="998" spans="52:71" x14ac:dyDescent="0.25">
      <c r="AZ998" s="65"/>
      <c r="BG998" s="65"/>
      <c r="BH998" s="65"/>
      <c r="BI998" s="65"/>
      <c r="BJ998" s="65"/>
      <c r="BK998" s="65"/>
      <c r="BL998" s="65"/>
      <c r="BM998" s="65"/>
      <c r="BN998" s="65"/>
      <c r="BO998" s="65"/>
      <c r="BP998" s="65"/>
      <c r="BQ998" s="65"/>
      <c r="BR998" s="65"/>
      <c r="BS998" s="65"/>
    </row>
    <row r="999" spans="52:71" x14ac:dyDescent="0.25">
      <c r="AZ999" s="65"/>
      <c r="BG999" s="65"/>
      <c r="BH999" s="65"/>
      <c r="BI999" s="65"/>
      <c r="BJ999" s="65"/>
      <c r="BK999" s="65"/>
      <c r="BL999" s="65"/>
      <c r="BM999" s="65"/>
      <c r="BN999" s="65"/>
      <c r="BO999" s="65"/>
      <c r="BP999" s="65"/>
      <c r="BQ999" s="65"/>
      <c r="BR999" s="65"/>
      <c r="BS999" s="65"/>
    </row>
    <row r="1000" spans="52:71" x14ac:dyDescent="0.25">
      <c r="AZ1000" s="65"/>
    </row>
    <row r="1001" spans="52:71" x14ac:dyDescent="0.25">
      <c r="AZ1001" s="65"/>
    </row>
    <row r="1015" spans="1:28" x14ac:dyDescent="0.25">
      <c r="A1015" s="54"/>
    </row>
    <row r="1018" spans="1:28" x14ac:dyDescent="0.25">
      <c r="Y1018" s="54"/>
    </row>
    <row r="1019" spans="1:28" x14ac:dyDescent="0.25">
      <c r="A1019" s="54"/>
      <c r="H1019" s="54"/>
      <c r="I1019" s="54"/>
    </row>
    <row r="1020" spans="1:28" x14ac:dyDescent="0.25">
      <c r="A1020" s="54"/>
      <c r="V1020" s="56"/>
      <c r="AA1020" s="56"/>
      <c r="AB1020" s="56"/>
    </row>
    <row r="1021" spans="1:28" x14ac:dyDescent="0.25">
      <c r="A1021" s="54"/>
      <c r="V1021" s="55"/>
      <c r="AA1021" s="55"/>
      <c r="AB1021" s="55"/>
    </row>
    <row r="1022" spans="1:28" x14ac:dyDescent="0.25">
      <c r="A1022" s="54"/>
      <c r="U1022" s="54"/>
      <c r="AA1022" s="56"/>
      <c r="AB1022" s="56"/>
    </row>
    <row r="1023" spans="1:28" x14ac:dyDescent="0.25">
      <c r="A1023" s="54"/>
    </row>
    <row r="1024" spans="1:28" x14ac:dyDescent="0.25">
      <c r="A1024" s="54"/>
      <c r="U1024" s="54"/>
      <c r="AA1024" s="56"/>
      <c r="AB1024" s="56"/>
    </row>
    <row r="1025" spans="1:28" x14ac:dyDescent="0.25">
      <c r="A1025" s="54"/>
    </row>
    <row r="1026" spans="1:28" x14ac:dyDescent="0.25">
      <c r="A1026" s="54"/>
      <c r="U1026" s="54"/>
      <c r="V1026" s="480"/>
      <c r="AA1026" s="56"/>
      <c r="AB1026" s="56"/>
    </row>
    <row r="1027" spans="1:28" x14ac:dyDescent="0.25">
      <c r="A1027" s="54"/>
    </row>
    <row r="1028" spans="1:28" x14ac:dyDescent="0.25">
      <c r="A1028" s="54"/>
      <c r="U1028" s="54"/>
      <c r="AA1028" s="56"/>
      <c r="AB1028" s="56"/>
    </row>
    <row r="1029" spans="1:28" x14ac:dyDescent="0.25">
      <c r="A1029" s="54"/>
    </row>
    <row r="1030" spans="1:28" x14ac:dyDescent="0.25">
      <c r="A1030" s="54"/>
      <c r="U1030" s="54"/>
      <c r="AA1030" s="56"/>
      <c r="AB1030" s="56"/>
    </row>
    <row r="1031" spans="1:28" x14ac:dyDescent="0.25">
      <c r="A1031" s="54"/>
    </row>
    <row r="1032" spans="1:28" x14ac:dyDescent="0.25">
      <c r="A1032" s="54"/>
    </row>
    <row r="1033" spans="1:28" x14ac:dyDescent="0.25">
      <c r="A1033" s="54"/>
    </row>
    <row r="1034" spans="1:28" x14ac:dyDescent="0.25">
      <c r="A1034" s="54"/>
    </row>
    <row r="1035" spans="1:28" x14ac:dyDescent="0.25">
      <c r="A1035" s="54"/>
    </row>
    <row r="1036" spans="1:28" x14ac:dyDescent="0.25">
      <c r="A1036" s="54"/>
    </row>
    <row r="1037" spans="1:28" x14ac:dyDescent="0.25">
      <c r="A1037" s="54"/>
    </row>
    <row r="1038" spans="1:28" x14ac:dyDescent="0.25">
      <c r="A1038" s="54"/>
    </row>
    <row r="1039" spans="1:28" x14ac:dyDescent="0.25">
      <c r="A1039" s="54"/>
    </row>
    <row r="1040" spans="1:28" x14ac:dyDescent="0.25">
      <c r="A1040" s="54"/>
    </row>
    <row r="1041" spans="1:9" x14ac:dyDescent="0.25">
      <c r="A1041" s="54"/>
      <c r="H1041" s="54"/>
      <c r="I1041" s="54"/>
    </row>
    <row r="1044" spans="1:9" x14ac:dyDescent="0.25">
      <c r="A1044" s="54"/>
    </row>
    <row r="1047" spans="1:9" x14ac:dyDescent="0.25">
      <c r="A1047" s="54"/>
    </row>
    <row r="1050" spans="1:9" x14ac:dyDescent="0.25">
      <c r="A1050" s="54"/>
    </row>
    <row r="1051" spans="1:9" x14ac:dyDescent="0.25">
      <c r="A1051" s="54"/>
    </row>
    <row r="1052" spans="1:9" x14ac:dyDescent="0.25">
      <c r="A1052" s="54"/>
    </row>
    <row r="1053" spans="1:9" x14ac:dyDescent="0.25">
      <c r="A1053" s="54"/>
    </row>
    <row r="1054" spans="1:9" x14ac:dyDescent="0.25">
      <c r="A1054" s="54"/>
    </row>
    <row r="1055" spans="1:9" x14ac:dyDescent="0.25">
      <c r="A1055" s="54"/>
    </row>
    <row r="1056" spans="1:9" x14ac:dyDescent="0.25">
      <c r="A1056" s="54"/>
    </row>
    <row r="1057" spans="1:1" x14ac:dyDescent="0.25">
      <c r="A1057" s="54"/>
    </row>
    <row r="1058" spans="1:1" x14ac:dyDescent="0.25">
      <c r="A1058" s="54"/>
    </row>
    <row r="1059" spans="1:1" x14ac:dyDescent="0.25">
      <c r="A1059" s="54"/>
    </row>
    <row r="1060" spans="1:1" x14ac:dyDescent="0.25">
      <c r="A1060" s="54"/>
    </row>
    <row r="1061" spans="1:1" x14ac:dyDescent="0.25">
      <c r="A1061" s="54"/>
    </row>
    <row r="1062" spans="1:1" x14ac:dyDescent="0.25">
      <c r="A1062" s="54"/>
    </row>
    <row r="1063" spans="1:1" x14ac:dyDescent="0.25">
      <c r="A1063" s="54"/>
    </row>
    <row r="1064" spans="1:1" x14ac:dyDescent="0.25">
      <c r="A1064" s="54"/>
    </row>
    <row r="1065" spans="1:1" x14ac:dyDescent="0.25">
      <c r="A1065" s="54"/>
    </row>
    <row r="1066" spans="1:1" x14ac:dyDescent="0.25">
      <c r="A1066" s="54"/>
    </row>
    <row r="1067" spans="1:1" x14ac:dyDescent="0.25">
      <c r="A1067" s="54"/>
    </row>
    <row r="1068" spans="1:1" x14ac:dyDescent="0.25">
      <c r="A1068" s="54"/>
    </row>
    <row r="1069" spans="1:1" x14ac:dyDescent="0.25">
      <c r="A1069" s="54"/>
    </row>
    <row r="1070" spans="1:1" x14ac:dyDescent="0.25">
      <c r="A1070" s="54"/>
    </row>
    <row r="1071" spans="1:1" x14ac:dyDescent="0.25">
      <c r="A1071" s="54"/>
    </row>
    <row r="1072" spans="1:1" x14ac:dyDescent="0.25">
      <c r="A1072" s="54"/>
    </row>
    <row r="1073" spans="1:1" x14ac:dyDescent="0.25">
      <c r="A1073" s="54"/>
    </row>
    <row r="1074" spans="1:1" x14ac:dyDescent="0.25">
      <c r="A1074" s="54"/>
    </row>
    <row r="1075" spans="1:1" x14ac:dyDescent="0.25">
      <c r="A1075" s="54"/>
    </row>
    <row r="1076" spans="1:1" x14ac:dyDescent="0.25">
      <c r="A1076" s="54"/>
    </row>
    <row r="1077" spans="1:1" x14ac:dyDescent="0.25">
      <c r="A1077" s="54"/>
    </row>
    <row r="1078" spans="1:1" x14ac:dyDescent="0.25">
      <c r="A1078" s="54"/>
    </row>
    <row r="1079" spans="1:1" x14ac:dyDescent="0.25">
      <c r="A1079" s="54"/>
    </row>
    <row r="1080" spans="1:1" x14ac:dyDescent="0.25">
      <c r="A1080" s="54"/>
    </row>
    <row r="1081" spans="1:1" x14ac:dyDescent="0.25">
      <c r="A1081" s="54"/>
    </row>
    <row r="1082" spans="1:1" x14ac:dyDescent="0.25">
      <c r="A1082" s="54"/>
    </row>
    <row r="1083" spans="1:1" x14ac:dyDescent="0.25">
      <c r="A1083" s="54"/>
    </row>
    <row r="1084" spans="1:1" x14ac:dyDescent="0.25">
      <c r="A1084" s="54"/>
    </row>
    <row r="1089" spans="1:1" x14ac:dyDescent="0.25">
      <c r="A1089" s="54"/>
    </row>
    <row r="1090" spans="1:1" x14ac:dyDescent="0.25">
      <c r="A1090" s="54"/>
    </row>
    <row r="1093" spans="1:1" x14ac:dyDescent="0.25">
      <c r="A1093" s="54"/>
    </row>
    <row r="1095" spans="1:1" x14ac:dyDescent="0.25">
      <c r="A1095" s="54"/>
    </row>
    <row r="1097" spans="1:1" x14ac:dyDescent="0.25">
      <c r="A1097" s="54"/>
    </row>
    <row r="1099" spans="1:1" x14ac:dyDescent="0.25">
      <c r="A1099" s="54"/>
    </row>
    <row r="1102" spans="1:1" x14ac:dyDescent="0.25">
      <c r="A1102" s="54"/>
    </row>
    <row r="1103" spans="1:1" x14ac:dyDescent="0.25">
      <c r="A1103" s="54"/>
    </row>
    <row r="1104" spans="1:1" x14ac:dyDescent="0.25">
      <c r="A1104" s="54"/>
    </row>
    <row r="1105" spans="1:1" x14ac:dyDescent="0.25">
      <c r="A1105" s="54"/>
    </row>
    <row r="1106" spans="1:1" x14ac:dyDescent="0.25">
      <c r="A1106" s="54"/>
    </row>
    <row r="1107" spans="1:1" x14ac:dyDescent="0.25">
      <c r="A1107" s="54"/>
    </row>
    <row r="1108" spans="1:1" x14ac:dyDescent="0.25">
      <c r="A1108" s="54"/>
    </row>
    <row r="1109" spans="1:1" x14ac:dyDescent="0.25">
      <c r="A1109" s="54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Y50">
      <selection activeCell="Y75" sqref="Y7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3"/>
      <headerFooter alignWithMargins="0"/>
    </customSheetView>
    <customSheetView guid="{2431C9E5-7CC2-4B8D-99C3-962247B1DBF5}" scale="75" fitToPage="1" showRuler="0" topLeftCell="Y50">
      <selection activeCell="Y75" sqref="Y7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4"/>
      <headerFooter alignWithMargins="0"/>
    </customSheetView>
    <customSheetView guid="{2EA35095-1ADC-4CC7-8C3C-B487D65FA247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 topLeftCell="A7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8"/>
      <headerFooter alignWithMargins="0"/>
    </customSheetView>
    <customSheetView guid="{0BC1F393-8A13-47D5-BC6C-0C99615B5AB9}" scale="75" fitToPage="1" showRuler="0" topLeftCell="A7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C5">
      <selection activeCell="J33" sqref="J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C5">
      <selection activeCell="J33" sqref="J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V50">
      <selection activeCell="P35" sqref="P3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3" orientation="landscape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37" transitionEvaluation="1" transitionEntry="1" codeName="Sheet10"/>
  <dimension ref="A1:BX1140"/>
  <sheetViews>
    <sheetView tabSelected="1" view="pageBreakPreview" topLeftCell="A37" zoomScale="60" zoomScaleNormal="75" workbookViewId="0">
      <selection sqref="A1:J1"/>
    </sheetView>
  </sheetViews>
  <sheetFormatPr defaultColWidth="9.77734375" defaultRowHeight="15.75" x14ac:dyDescent="0.25"/>
  <cols>
    <col min="1" max="1" width="5" style="380" customWidth="1"/>
    <col min="2" max="2" width="0.44140625" style="380" customWidth="1"/>
    <col min="3" max="3" width="6.77734375" style="380" customWidth="1"/>
    <col min="4" max="4" width="38.6640625" style="380" customWidth="1"/>
    <col min="5" max="5" width="0.4414062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2.5546875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2.77734375" style="380" customWidth="1"/>
    <col min="15" max="15" width="0.5546875" style="380" customWidth="1"/>
    <col min="16" max="16" width="14.77734375" style="380" customWidth="1"/>
    <col min="17" max="17" width="0.5546875" style="380" customWidth="1"/>
    <col min="18" max="18" width="17.5546875" style="380" customWidth="1"/>
    <col min="19" max="19" width="6.77734375" style="380" customWidth="1"/>
    <col min="20" max="20" width="5.44140625" style="380" customWidth="1"/>
    <col min="21" max="21" width="0.5546875" style="380" customWidth="1"/>
    <col min="22" max="22" width="7.33203125" style="380" customWidth="1"/>
    <col min="23" max="23" width="37.44140625" style="380" customWidth="1"/>
    <col min="24" max="24" width="0.5546875" style="380" customWidth="1"/>
    <col min="25" max="25" width="9.6640625" style="380" customWidth="1"/>
    <col min="26" max="26" width="0.6640625" style="380" customWidth="1"/>
    <col min="27" max="27" width="13.33203125" style="380" customWidth="1"/>
    <col min="28" max="28" width="0.6640625" style="380" customWidth="1"/>
    <col min="29" max="29" width="12.21875" style="380" customWidth="1"/>
    <col min="30" max="30" width="0.88671875" style="380" customWidth="1"/>
    <col min="31" max="31" width="12.88671875" style="380" customWidth="1"/>
    <col min="32" max="32" width="0.77734375" style="380" customWidth="1"/>
    <col min="33" max="33" width="13.6640625" style="153" customWidth="1"/>
    <col min="34" max="34" width="0.6640625" style="380" customWidth="1"/>
    <col min="35" max="35" width="14.33203125" style="380" customWidth="1"/>
    <col min="36" max="36" width="0.77734375" style="380" customWidth="1"/>
    <col min="37" max="37" width="14.5546875" style="153" customWidth="1"/>
    <col min="38" max="38" width="0.5546875" style="380" customWidth="1"/>
    <col min="39" max="39" width="12.109375" style="380" customWidth="1"/>
    <col min="40" max="40" width="0.5546875" style="380" customWidth="1"/>
    <col min="41" max="41" width="13.21875" style="380" customWidth="1"/>
    <col min="42" max="42" width="0.6640625" style="380" customWidth="1"/>
    <col min="43" max="43" width="11.21875" style="153" customWidth="1"/>
    <col min="44" max="44" width="14.77734375" style="380" customWidth="1"/>
    <col min="45" max="45" width="4.77734375" style="380" customWidth="1"/>
    <col min="46" max="46" width="5.77734375" style="380" customWidth="1"/>
    <col min="47" max="47" width="10.77734375" style="380" customWidth="1"/>
    <col min="48" max="48" width="11.77734375" style="380" customWidth="1"/>
    <col min="49" max="49" width="12.77734375" style="380" customWidth="1"/>
    <col min="50" max="52" width="15.77734375" style="380" customWidth="1"/>
    <col min="53" max="53" width="12.77734375" style="380" customWidth="1"/>
    <col min="54" max="56" width="15.77734375" style="380" customWidth="1"/>
    <col min="57" max="57" width="12.77734375" style="380" customWidth="1"/>
    <col min="58" max="59" width="9.77734375" style="380"/>
    <col min="60" max="62" width="12.77734375" style="380" customWidth="1"/>
    <col min="63" max="63" width="14.77734375" style="380" customWidth="1"/>
    <col min="64" max="65" width="9.77734375" style="380"/>
    <col min="66" max="68" width="12.77734375" style="380" customWidth="1"/>
    <col min="69" max="69" width="14.77734375" style="380" customWidth="1"/>
    <col min="70" max="76" width="9.77734375" style="380"/>
    <col min="77" max="77" width="1.77734375" style="380" customWidth="1"/>
    <col min="78" max="79" width="9.77734375" style="380"/>
    <col min="80" max="80" width="10.77734375" style="380" customWidth="1"/>
    <col min="81" max="82" width="9.77734375" style="380"/>
    <col min="83" max="83" width="7.77734375" style="380" customWidth="1"/>
    <col min="84" max="16384" width="9.77734375" style="380"/>
  </cols>
  <sheetData>
    <row r="1" spans="1:40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4"/>
      <c r="K1" s="44"/>
      <c r="L1" s="43"/>
      <c r="M1" s="43"/>
      <c r="N1" s="43"/>
      <c r="O1" s="43"/>
      <c r="P1" s="43"/>
      <c r="Q1" s="43"/>
      <c r="R1" s="43"/>
      <c r="Z1" s="53"/>
    </row>
    <row r="2" spans="1:40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4"/>
      <c r="K2" s="44"/>
      <c r="L2" s="43"/>
      <c r="M2" s="43"/>
      <c r="N2" s="43"/>
      <c r="O2" s="43"/>
      <c r="P2" s="43"/>
      <c r="Q2" s="43"/>
      <c r="R2" s="43"/>
      <c r="Z2" s="53"/>
    </row>
    <row r="3" spans="1:40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Y3" s="54"/>
    </row>
    <row r="4" spans="1:4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4"/>
      <c r="K4" s="44"/>
      <c r="L4" s="43"/>
      <c r="M4" s="43"/>
      <c r="N4" s="43"/>
      <c r="O4" s="43"/>
      <c r="P4" s="43"/>
      <c r="Q4" s="43"/>
      <c r="R4" s="43"/>
      <c r="Z4" s="53"/>
    </row>
    <row r="5" spans="1:4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4"/>
      <c r="M5" s="44"/>
      <c r="N5" s="43"/>
      <c r="O5" s="43"/>
      <c r="P5" s="43"/>
      <c r="Q5" s="43"/>
      <c r="R5" s="43"/>
      <c r="AA5" s="54"/>
      <c r="AB5" s="54"/>
    </row>
    <row r="6" spans="1:40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K6" s="161"/>
      <c r="AL6" s="54"/>
    </row>
    <row r="7" spans="1:40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7 OF "&amp;TEXT(Page_Num_2.3,"00")</f>
        <v>PAGE 7 OF 23</v>
      </c>
      <c r="AK7" s="161"/>
      <c r="AL7" s="54"/>
    </row>
    <row r="8" spans="1:40" x14ac:dyDescent="0.25">
      <c r="A8" s="46" t="s">
        <v>177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K8" s="161"/>
      <c r="AL8" s="54"/>
    </row>
    <row r="9" spans="1:40" x14ac:dyDescent="0.25">
      <c r="A9" s="222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45" t="str">
        <f>WIT</f>
        <v>J. L. Kern</v>
      </c>
      <c r="AK9" s="161"/>
      <c r="AL9" s="54"/>
    </row>
    <row r="10" spans="1:40" x14ac:dyDescent="0.25">
      <c r="A10" s="222" t="str">
        <f>INPUT!B5</f>
        <v>6 Months Actual Ending May 31, 2019</v>
      </c>
      <c r="B10" s="378"/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78"/>
      <c r="P10" s="378"/>
      <c r="Q10" s="378"/>
      <c r="R10" s="45"/>
      <c r="AK10" s="161"/>
      <c r="AL10" s="54"/>
    </row>
    <row r="11" spans="1:40" x14ac:dyDescent="0.25">
      <c r="A11" s="44" t="s">
        <v>136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AA11" s="54"/>
      <c r="AB11" s="54"/>
      <c r="AK11" s="156"/>
      <c r="AL11" s="53"/>
    </row>
    <row r="12" spans="1:40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154"/>
      <c r="AH12" s="55"/>
      <c r="AI12" s="55"/>
      <c r="AJ12" s="55"/>
      <c r="AK12" s="154"/>
      <c r="AL12" s="55"/>
      <c r="AM12" s="55"/>
      <c r="AN12" s="55"/>
    </row>
    <row r="13" spans="1:40" ht="18" customHeight="1" x14ac:dyDescent="0.25">
      <c r="A13" s="378"/>
      <c r="B13" s="378"/>
      <c r="C13" s="378"/>
      <c r="D13" s="378"/>
      <c r="E13" s="378"/>
      <c r="F13" s="378"/>
      <c r="G13" s="378"/>
      <c r="H13" s="378"/>
      <c r="I13" s="378"/>
      <c r="J13" s="378"/>
      <c r="K13" s="378"/>
      <c r="L13" s="426" t="s">
        <v>6</v>
      </c>
      <c r="M13" s="426"/>
      <c r="N13" s="426" t="s">
        <v>7</v>
      </c>
      <c r="O13" s="426"/>
      <c r="P13" s="378"/>
      <c r="Q13" s="378"/>
      <c r="R13" s="426" t="s">
        <v>6</v>
      </c>
      <c r="AA13" s="56"/>
      <c r="AB13" s="56"/>
      <c r="AC13" s="56"/>
      <c r="AD13" s="56"/>
      <c r="AE13" s="56"/>
      <c r="AF13" s="56"/>
      <c r="AG13" s="155"/>
      <c r="AH13" s="56"/>
      <c r="AK13" s="155"/>
      <c r="AL13" s="56"/>
      <c r="AM13" s="56"/>
      <c r="AN13" s="56"/>
    </row>
    <row r="14" spans="1:40" x14ac:dyDescent="0.25">
      <c r="A14" s="378"/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426" t="s">
        <v>12</v>
      </c>
      <c r="M14" s="426"/>
      <c r="N14" s="426" t="s">
        <v>13</v>
      </c>
      <c r="O14" s="426"/>
      <c r="P14" s="378"/>
      <c r="Q14" s="378"/>
      <c r="R14" s="426" t="s">
        <v>11</v>
      </c>
      <c r="Z14" s="56"/>
      <c r="AA14" s="56"/>
      <c r="AB14" s="56"/>
      <c r="AC14" s="56"/>
      <c r="AD14" s="56"/>
      <c r="AE14" s="56"/>
      <c r="AF14" s="56"/>
      <c r="AG14" s="155"/>
      <c r="AH14" s="56"/>
      <c r="AK14" s="155"/>
      <c r="AL14" s="56"/>
      <c r="AM14" s="56"/>
      <c r="AN14" s="56"/>
    </row>
    <row r="15" spans="1:40" x14ac:dyDescent="0.25">
      <c r="A15" s="426" t="s">
        <v>17</v>
      </c>
      <c r="B15" s="378"/>
      <c r="C15" s="426" t="s">
        <v>18</v>
      </c>
      <c r="D15" s="426" t="s">
        <v>19</v>
      </c>
      <c r="E15" s="426"/>
      <c r="F15" s="426" t="s">
        <v>20</v>
      </c>
      <c r="G15" s="378"/>
      <c r="H15" s="378"/>
      <c r="I15" s="378"/>
      <c r="J15" s="426" t="s">
        <v>6</v>
      </c>
      <c r="K15" s="426"/>
      <c r="L15" s="426" t="s">
        <v>21</v>
      </c>
      <c r="M15" s="426"/>
      <c r="N15" s="426" t="s">
        <v>21</v>
      </c>
      <c r="O15" s="426"/>
      <c r="P15" s="426" t="s">
        <v>21</v>
      </c>
      <c r="Q15" s="426"/>
      <c r="R15" s="426" t="s">
        <v>9</v>
      </c>
      <c r="T15" s="56"/>
      <c r="U15" s="56"/>
      <c r="V15" s="56"/>
      <c r="Z15" s="56"/>
      <c r="AA15" s="56"/>
      <c r="AB15" s="56"/>
      <c r="AC15" s="56"/>
      <c r="AD15" s="56"/>
      <c r="AE15" s="56"/>
      <c r="AF15" s="56"/>
      <c r="AG15" s="155"/>
      <c r="AH15" s="56"/>
      <c r="AI15" s="56"/>
      <c r="AJ15" s="56"/>
      <c r="AK15" s="155"/>
      <c r="AL15" s="56"/>
      <c r="AM15" s="56"/>
      <c r="AN15" s="56"/>
    </row>
    <row r="16" spans="1:40" x14ac:dyDescent="0.25">
      <c r="A16" s="426" t="s">
        <v>24</v>
      </c>
      <c r="B16" s="378"/>
      <c r="C16" s="426" t="s">
        <v>25</v>
      </c>
      <c r="D16" s="426" t="s">
        <v>26</v>
      </c>
      <c r="E16" s="426"/>
      <c r="F16" s="426" t="s">
        <v>27</v>
      </c>
      <c r="G16" s="378"/>
      <c r="H16" s="426" t="s">
        <v>28</v>
      </c>
      <c r="I16" s="426"/>
      <c r="J16" s="426" t="s">
        <v>29</v>
      </c>
      <c r="K16" s="426"/>
      <c r="L16" s="426" t="s">
        <v>9</v>
      </c>
      <c r="M16" s="426"/>
      <c r="N16" s="426" t="s">
        <v>9</v>
      </c>
      <c r="O16" s="426"/>
      <c r="P16" s="426" t="s">
        <v>379</v>
      </c>
      <c r="Q16" s="426"/>
      <c r="R16" s="265" t="s">
        <v>30</v>
      </c>
      <c r="T16" s="56"/>
      <c r="U16" s="56"/>
      <c r="V16" s="56"/>
      <c r="Y16" s="56"/>
      <c r="Z16" s="56"/>
      <c r="AA16" s="56"/>
      <c r="AB16" s="56"/>
      <c r="AC16" s="56"/>
      <c r="AD16" s="56"/>
      <c r="AE16" s="56"/>
      <c r="AF16" s="56"/>
      <c r="AG16" s="155"/>
      <c r="AH16" s="56"/>
      <c r="AI16" s="56"/>
      <c r="AJ16" s="56"/>
      <c r="AK16" s="155"/>
      <c r="AL16" s="56"/>
      <c r="AM16" s="56"/>
      <c r="AN16" s="56"/>
    </row>
    <row r="17" spans="1:40" x14ac:dyDescent="0.25">
      <c r="A17" s="378"/>
      <c r="B17" s="378"/>
      <c r="C17" s="265" t="s">
        <v>35</v>
      </c>
      <c r="D17" s="265" t="s">
        <v>36</v>
      </c>
      <c r="E17" s="265"/>
      <c r="F17" s="265" t="s">
        <v>37</v>
      </c>
      <c r="G17" s="218"/>
      <c r="H17" s="265" t="s">
        <v>38</v>
      </c>
      <c r="I17" s="265"/>
      <c r="J17" s="265" t="s">
        <v>39</v>
      </c>
      <c r="K17" s="265"/>
      <c r="L17" s="265" t="s">
        <v>40</v>
      </c>
      <c r="M17" s="265"/>
      <c r="N17" s="265" t="s">
        <v>41</v>
      </c>
      <c r="O17" s="265"/>
      <c r="P17" s="265" t="s">
        <v>42</v>
      </c>
      <c r="Q17" s="265"/>
      <c r="R17" s="265" t="s">
        <v>43</v>
      </c>
      <c r="T17" s="56"/>
      <c r="U17" s="56"/>
      <c r="V17" s="56"/>
      <c r="Y17" s="56"/>
      <c r="Z17" s="56"/>
      <c r="AA17" s="56"/>
      <c r="AB17" s="56"/>
      <c r="AC17" s="56"/>
      <c r="AD17" s="56"/>
      <c r="AE17" s="56"/>
      <c r="AF17" s="56"/>
      <c r="AG17" s="155"/>
      <c r="AH17" s="56"/>
      <c r="AI17" s="56"/>
      <c r="AJ17" s="56"/>
      <c r="AK17" s="155"/>
      <c r="AL17" s="56"/>
      <c r="AM17" s="56"/>
      <c r="AN17" s="56"/>
    </row>
    <row r="18" spans="1:40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154"/>
      <c r="AH18" s="55"/>
      <c r="AI18" s="55"/>
      <c r="AJ18" s="55"/>
      <c r="AK18" s="154"/>
      <c r="AL18" s="55"/>
      <c r="AM18" s="55"/>
      <c r="AN18" s="55"/>
    </row>
    <row r="19" spans="1:40" ht="17.100000000000001" customHeight="1" x14ac:dyDescent="0.25">
      <c r="A19" s="378"/>
      <c r="B19" s="378"/>
      <c r="C19" s="378"/>
      <c r="D19" s="378"/>
      <c r="E19" s="378"/>
      <c r="F19" s="378"/>
      <c r="G19" s="378"/>
      <c r="H19" s="441" t="s">
        <v>51</v>
      </c>
      <c r="I19" s="441"/>
      <c r="J19" s="442" t="s">
        <v>368</v>
      </c>
      <c r="K19" s="441"/>
      <c r="L19" s="441" t="s">
        <v>52</v>
      </c>
      <c r="M19" s="441"/>
      <c r="N19" s="441" t="s">
        <v>53</v>
      </c>
      <c r="O19" s="441"/>
      <c r="P19" s="441" t="s">
        <v>52</v>
      </c>
      <c r="Q19" s="441"/>
      <c r="R19" s="441" t="s">
        <v>52</v>
      </c>
      <c r="Y19" s="56"/>
      <c r="Z19" s="56"/>
      <c r="AA19" s="56"/>
      <c r="AB19" s="56"/>
      <c r="AC19" s="56"/>
      <c r="AD19" s="56"/>
      <c r="AE19" s="56"/>
      <c r="AF19" s="56"/>
      <c r="AG19" s="155"/>
      <c r="AH19" s="56"/>
      <c r="AI19" s="56"/>
      <c r="AJ19" s="56"/>
      <c r="AK19" s="155"/>
      <c r="AL19" s="56"/>
      <c r="AM19" s="56"/>
      <c r="AN19" s="56"/>
    </row>
    <row r="20" spans="1:40" x14ac:dyDescent="0.25">
      <c r="A20" s="378"/>
      <c r="B20" s="378"/>
      <c r="C20" s="378"/>
      <c r="D20" s="378"/>
      <c r="E20" s="378"/>
      <c r="F20" s="378"/>
      <c r="G20" s="378"/>
      <c r="H20" s="426"/>
      <c r="I20" s="426"/>
      <c r="J20" s="70"/>
      <c r="K20" s="426"/>
      <c r="L20" s="426"/>
      <c r="M20" s="426"/>
      <c r="N20" s="426"/>
      <c r="O20" s="426"/>
      <c r="P20" s="426"/>
      <c r="Q20" s="426"/>
      <c r="R20" s="426"/>
      <c r="Y20" s="56"/>
      <c r="Z20" s="56"/>
      <c r="AA20" s="56"/>
      <c r="AB20" s="56"/>
      <c r="AC20" s="56"/>
      <c r="AD20" s="56"/>
      <c r="AE20" s="56"/>
      <c r="AF20" s="56"/>
      <c r="AG20" s="155"/>
      <c r="AH20" s="56"/>
      <c r="AI20" s="56"/>
      <c r="AJ20" s="56"/>
      <c r="AK20" s="155"/>
      <c r="AL20" s="56"/>
      <c r="AM20" s="56"/>
      <c r="AN20" s="56"/>
    </row>
    <row r="21" spans="1:40" x14ac:dyDescent="0.25">
      <c r="A21" s="45">
        <v>1</v>
      </c>
      <c r="B21" s="378"/>
      <c r="C21" s="222" t="s">
        <v>101</v>
      </c>
      <c r="D21" s="222" t="s">
        <v>450</v>
      </c>
      <c r="E21" s="46"/>
      <c r="F21" s="2"/>
      <c r="G21" s="2"/>
      <c r="H21" s="5"/>
      <c r="I21" s="5"/>
      <c r="J21" s="9"/>
      <c r="K21" s="9"/>
      <c r="L21" s="5"/>
      <c r="M21" s="5"/>
      <c r="N21" s="6"/>
      <c r="O21" s="6"/>
      <c r="P21" s="5"/>
      <c r="Q21" s="5"/>
      <c r="R21" s="5"/>
      <c r="S21" s="379"/>
      <c r="T21" s="54"/>
      <c r="V21" s="379"/>
      <c r="Y21" s="379"/>
      <c r="Z21" s="464"/>
      <c r="AA21" s="379"/>
      <c r="AB21" s="379"/>
      <c r="AC21" s="50"/>
      <c r="AD21" s="50"/>
      <c r="AE21" s="379"/>
      <c r="AF21" s="379"/>
      <c r="AG21" s="156"/>
      <c r="AH21" s="50"/>
      <c r="AI21" s="379"/>
      <c r="AJ21" s="379"/>
      <c r="AK21" s="156"/>
      <c r="AL21" s="379"/>
      <c r="AM21" s="50"/>
      <c r="AN21" s="50"/>
    </row>
    <row r="22" spans="1:40" x14ac:dyDescent="0.25">
      <c r="A22" s="378"/>
      <c r="B22" s="378"/>
      <c r="C22" s="378"/>
      <c r="D22" s="378"/>
      <c r="E22" s="378"/>
      <c r="F22" s="2"/>
      <c r="G22" s="2"/>
      <c r="H22" s="5"/>
      <c r="I22" s="5"/>
      <c r="J22" s="9"/>
      <c r="K22" s="9"/>
      <c r="L22" s="5"/>
      <c r="M22" s="5"/>
      <c r="N22" s="6"/>
      <c r="O22" s="6"/>
      <c r="P22" s="5"/>
      <c r="Q22" s="5"/>
      <c r="R22" s="5"/>
      <c r="S22" s="379"/>
      <c r="V22" s="381"/>
      <c r="Y22" s="381"/>
      <c r="Z22" s="464"/>
      <c r="AA22" s="381"/>
      <c r="AB22" s="381"/>
      <c r="AC22" s="381"/>
      <c r="AD22" s="381"/>
      <c r="AE22" s="381"/>
      <c r="AF22" s="381"/>
      <c r="AI22" s="381"/>
      <c r="AJ22" s="381"/>
      <c r="AK22" s="162"/>
      <c r="AL22" s="381"/>
      <c r="AM22" s="50"/>
      <c r="AN22" s="50"/>
    </row>
    <row r="23" spans="1:40" ht="15.95" customHeight="1" x14ac:dyDescent="0.25">
      <c r="A23" s="45">
        <v>2</v>
      </c>
      <c r="B23" s="378"/>
      <c r="C23" s="52" t="s">
        <v>487</v>
      </c>
      <c r="D23" s="378"/>
      <c r="E23" s="378"/>
      <c r="F23" s="392">
        <v>0</v>
      </c>
      <c r="G23" s="2"/>
      <c r="H23" s="86"/>
      <c r="I23" s="86"/>
      <c r="J23" s="106"/>
      <c r="K23" s="106"/>
      <c r="L23" s="86">
        <v>0</v>
      </c>
      <c r="M23" s="86"/>
      <c r="N23" s="6">
        <f>ROUND((L23/L$38)*100,1)</f>
        <v>0</v>
      </c>
      <c r="O23" s="6"/>
      <c r="P23" s="5"/>
      <c r="Q23" s="5"/>
      <c r="R23" s="5">
        <f>L23+P23</f>
        <v>0</v>
      </c>
      <c r="S23" s="379"/>
      <c r="T23" s="54"/>
      <c r="Z23" s="464"/>
      <c r="AA23" s="379"/>
      <c r="AB23" s="379"/>
      <c r="AC23" s="50"/>
      <c r="AD23" s="50"/>
      <c r="AE23" s="379"/>
      <c r="AF23" s="379"/>
      <c r="AG23" s="156"/>
      <c r="AH23" s="50"/>
      <c r="AI23" s="379"/>
      <c r="AJ23" s="379"/>
      <c r="AK23" s="156"/>
      <c r="AL23" s="379"/>
      <c r="AM23" s="50"/>
      <c r="AN23" s="50"/>
    </row>
    <row r="24" spans="1:40" x14ac:dyDescent="0.25">
      <c r="A24" s="378"/>
      <c r="B24" s="378"/>
      <c r="C24" s="378"/>
      <c r="D24" s="378"/>
      <c r="E24" s="378"/>
      <c r="F24" s="392"/>
      <c r="G24" s="2"/>
      <c r="H24" s="451"/>
      <c r="I24" s="451"/>
      <c r="J24" s="451"/>
      <c r="K24" s="451"/>
      <c r="L24" s="2"/>
      <c r="M24" s="2"/>
      <c r="N24" s="2"/>
      <c r="O24" s="2"/>
      <c r="P24" s="2"/>
      <c r="Q24" s="2"/>
      <c r="R24" s="5"/>
      <c r="S24" s="379"/>
      <c r="T24" s="54"/>
      <c r="AA24" s="379"/>
      <c r="AB24" s="379"/>
      <c r="AC24" s="379"/>
      <c r="AD24" s="379"/>
      <c r="AI24" s="379"/>
      <c r="AJ24" s="379"/>
      <c r="AK24" s="156"/>
      <c r="AL24" s="379"/>
    </row>
    <row r="25" spans="1:40" ht="15.75" customHeight="1" x14ac:dyDescent="0.25">
      <c r="A25" s="45">
        <v>3</v>
      </c>
      <c r="B25" s="378"/>
      <c r="C25" s="52" t="s">
        <v>64</v>
      </c>
      <c r="D25" s="378"/>
      <c r="E25" s="378"/>
      <c r="F25" s="392">
        <v>184</v>
      </c>
      <c r="G25" s="2"/>
      <c r="H25" s="86"/>
      <c r="I25" s="86"/>
      <c r="J25" s="450">
        <f>INPUT!D95</f>
        <v>15</v>
      </c>
      <c r="K25" s="96"/>
      <c r="L25" s="5">
        <f>ROUND(F25*J25,0)</f>
        <v>2760</v>
      </c>
      <c r="M25" s="5"/>
      <c r="N25" s="6">
        <f>ROUND((L25/L$38)*100,1)</f>
        <v>7.1</v>
      </c>
      <c r="O25" s="6"/>
      <c r="P25" s="5"/>
      <c r="Q25" s="5"/>
      <c r="R25" s="5">
        <f>L25+P25</f>
        <v>2760</v>
      </c>
      <c r="Z25" s="53"/>
    </row>
    <row r="26" spans="1:40" x14ac:dyDescent="0.25">
      <c r="A26" s="378"/>
      <c r="B26" s="378"/>
      <c r="C26" s="378"/>
      <c r="D26" s="378"/>
      <c r="E26" s="378"/>
      <c r="F26" s="86"/>
      <c r="G26" s="2"/>
      <c r="H26" s="451"/>
      <c r="I26" s="451"/>
      <c r="J26" s="493"/>
      <c r="K26" s="451"/>
      <c r="L26" s="2"/>
      <c r="M26" s="2"/>
      <c r="N26" s="2"/>
      <c r="O26" s="2"/>
      <c r="P26" s="2"/>
      <c r="Q26" s="2"/>
      <c r="R26" s="5"/>
      <c r="Y26" s="54"/>
    </row>
    <row r="27" spans="1:40" x14ac:dyDescent="0.25">
      <c r="A27" s="378">
        <v>4</v>
      </c>
      <c r="B27" s="378"/>
      <c r="C27" s="69" t="s">
        <v>432</v>
      </c>
      <c r="D27" s="378"/>
      <c r="E27" s="378"/>
      <c r="F27" s="86"/>
      <c r="G27" s="2"/>
      <c r="H27" s="451"/>
      <c r="I27" s="451"/>
      <c r="J27" s="493"/>
      <c r="K27" s="451"/>
      <c r="L27" s="2"/>
      <c r="M27" s="2"/>
      <c r="N27" s="2"/>
      <c r="O27" s="2"/>
      <c r="P27" s="2"/>
      <c r="Q27" s="2"/>
      <c r="R27" s="5"/>
      <c r="Y27" s="54"/>
    </row>
    <row r="28" spans="1:40" x14ac:dyDescent="0.25">
      <c r="A28" s="45">
        <v>5</v>
      </c>
      <c r="B28" s="378"/>
      <c r="C28" s="46" t="s">
        <v>160</v>
      </c>
      <c r="D28" s="378"/>
      <c r="E28" s="378"/>
      <c r="F28" s="87"/>
      <c r="G28" s="2"/>
      <c r="H28" s="452">
        <v>276447</v>
      </c>
      <c r="I28" s="86"/>
      <c r="J28" s="453">
        <f>INPUT!D97</f>
        <v>0.111052</v>
      </c>
      <c r="K28" s="454"/>
      <c r="L28" s="81">
        <f>ROUND((H28*(J28)),0)</f>
        <v>30700</v>
      </c>
      <c r="M28" s="5"/>
      <c r="N28" s="88">
        <f>ROUND((L28/L$38)*100,1)</f>
        <v>78.7</v>
      </c>
      <c r="O28" s="6"/>
      <c r="P28" s="87"/>
      <c r="Q28" s="5"/>
      <c r="R28" s="81">
        <f>L28+P28</f>
        <v>30700</v>
      </c>
      <c r="AA28" s="54"/>
      <c r="AB28" s="54"/>
    </row>
    <row r="29" spans="1:40" ht="20.100000000000001" customHeight="1" x14ac:dyDescent="0.25">
      <c r="A29" s="45">
        <v>6</v>
      </c>
      <c r="B29" s="378"/>
      <c r="C29" s="444" t="s">
        <v>520</v>
      </c>
      <c r="D29" s="378"/>
      <c r="E29" s="378"/>
      <c r="F29" s="89">
        <f>F25</f>
        <v>184</v>
      </c>
      <c r="G29" s="2"/>
      <c r="H29" s="89">
        <f>H28</f>
        <v>276447</v>
      </c>
      <c r="I29" s="86"/>
      <c r="J29" s="453"/>
      <c r="K29" s="454"/>
      <c r="L29" s="90">
        <f>L23+L25+L28</f>
        <v>33460</v>
      </c>
      <c r="M29" s="5"/>
      <c r="N29" s="93">
        <f>ROUND((L29/L$38)*100,1)</f>
        <v>85.7</v>
      </c>
      <c r="O29" s="6"/>
      <c r="P29" s="89"/>
      <c r="Q29" s="5"/>
      <c r="R29" s="90">
        <f>R23+R25+R28</f>
        <v>33460</v>
      </c>
      <c r="AA29" s="54"/>
      <c r="AB29" s="54"/>
    </row>
    <row r="30" spans="1:40" x14ac:dyDescent="0.25">
      <c r="A30" s="45"/>
      <c r="B30" s="378"/>
      <c r="C30" s="46"/>
      <c r="D30" s="378"/>
      <c r="E30" s="378"/>
      <c r="F30" s="94"/>
      <c r="G30" s="2"/>
      <c r="H30" s="449"/>
      <c r="I30" s="86"/>
      <c r="J30" s="453"/>
      <c r="K30" s="454"/>
      <c r="L30" s="83"/>
      <c r="M30" s="5"/>
      <c r="N30" s="91"/>
      <c r="O30" s="6"/>
      <c r="P30" s="94"/>
      <c r="Q30" s="5"/>
      <c r="R30" s="83"/>
      <c r="AA30" s="54"/>
      <c r="AB30" s="54"/>
    </row>
    <row r="31" spans="1:40" x14ac:dyDescent="0.25">
      <c r="A31" s="45">
        <v>7</v>
      </c>
      <c r="B31" s="378"/>
      <c r="C31" s="222" t="s">
        <v>504</v>
      </c>
      <c r="D31" s="378"/>
      <c r="E31" s="378"/>
      <c r="F31" s="94"/>
      <c r="G31" s="2"/>
      <c r="H31" s="449"/>
      <c r="I31" s="86"/>
      <c r="J31" s="453"/>
      <c r="K31" s="454"/>
      <c r="L31" s="83"/>
      <c r="M31" s="5"/>
      <c r="N31" s="91"/>
      <c r="O31" s="6"/>
      <c r="P31" s="94"/>
      <c r="Q31" s="5"/>
      <c r="R31" s="83"/>
      <c r="AA31" s="54"/>
      <c r="AB31" s="54"/>
    </row>
    <row r="32" spans="1:40" x14ac:dyDescent="0.25">
      <c r="A32" s="45">
        <v>8</v>
      </c>
      <c r="B32" s="378"/>
      <c r="C32" s="216" t="str">
        <f>DSMR_Name</f>
        <v>DEMAND SIDE MANAGEMENT RIDER (DSMR)</v>
      </c>
      <c r="D32" s="378"/>
      <c r="E32" s="378"/>
      <c r="F32" s="94"/>
      <c r="G32" s="2"/>
      <c r="H32" s="449"/>
      <c r="I32" s="86"/>
      <c r="J32" s="465">
        <f>PRO_DSM_DIST</f>
        <v>5.091E-3</v>
      </c>
      <c r="K32" s="454"/>
      <c r="L32" s="83">
        <f>ROUND($H$29*J32,0)</f>
        <v>1407</v>
      </c>
      <c r="M32" s="5"/>
      <c r="N32" s="149">
        <f>ROUND((L32/L$38)*100,1)</f>
        <v>3.6</v>
      </c>
      <c r="O32" s="6"/>
      <c r="P32" s="94"/>
      <c r="Q32" s="5"/>
      <c r="R32" s="5">
        <f t="shared" ref="R32:R35" si="0">L32+P32</f>
        <v>1407</v>
      </c>
      <c r="AA32" s="54"/>
      <c r="AB32" s="54"/>
    </row>
    <row r="33" spans="1:44" x14ac:dyDescent="0.25">
      <c r="A33" s="45">
        <v>9</v>
      </c>
      <c r="B33" s="378"/>
      <c r="C33" s="216" t="str">
        <f>ESM_Name</f>
        <v>ENVIRONMENTAL SURCHARGE MECHANISM RIDER (ESM)</v>
      </c>
      <c r="D33" s="378"/>
      <c r="E33" s="378"/>
      <c r="F33" s="94"/>
      <c r="G33" s="2"/>
      <c r="H33" s="449"/>
      <c r="I33" s="86"/>
      <c r="J33" s="453"/>
      <c r="K33" s="454"/>
      <c r="L33" s="83">
        <f>AE96</f>
        <v>4202</v>
      </c>
      <c r="M33" s="5"/>
      <c r="N33" s="149">
        <f>ROUND((L33/L$38)*100,1)</f>
        <v>10.8</v>
      </c>
      <c r="O33" s="6"/>
      <c r="P33" s="94"/>
      <c r="Q33" s="5"/>
      <c r="R33" s="5">
        <f t="shared" ref="R33" si="1">L33+P33</f>
        <v>4202</v>
      </c>
      <c r="AA33" s="54"/>
      <c r="AB33" s="54"/>
    </row>
    <row r="34" spans="1:44" x14ac:dyDescent="0.25">
      <c r="A34" s="45">
        <v>10</v>
      </c>
      <c r="B34" s="378"/>
      <c r="C34" s="216" t="str">
        <f>FAC_Name</f>
        <v>FUEL ADJUSTMENT CLAUSE (FAC)</v>
      </c>
      <c r="D34" s="378"/>
      <c r="E34" s="378"/>
      <c r="F34" s="94"/>
      <c r="G34" s="2"/>
      <c r="H34" s="449"/>
      <c r="I34" s="86"/>
      <c r="J34" s="465">
        <f>PRO_FAC</f>
        <v>6.8099999999999996E-4</v>
      </c>
      <c r="K34" s="454"/>
      <c r="L34" s="83"/>
      <c r="M34" s="5"/>
      <c r="N34" s="149"/>
      <c r="O34" s="6"/>
      <c r="P34" s="94">
        <f>ROUND(H29*PRO_FAC,0)</f>
        <v>188</v>
      </c>
      <c r="Q34" s="5"/>
      <c r="R34" s="5">
        <f t="shared" si="0"/>
        <v>188</v>
      </c>
      <c r="AA34" s="54"/>
      <c r="AB34" s="54"/>
    </row>
    <row r="35" spans="1:44" x14ac:dyDescent="0.25">
      <c r="A35" s="45">
        <v>11</v>
      </c>
      <c r="B35" s="378"/>
      <c r="C35" s="216" t="str">
        <f>PSM_Name</f>
        <v>PROFIT SHARING MECHANISM (PSM)</v>
      </c>
      <c r="D35" s="378"/>
      <c r="E35" s="378"/>
      <c r="F35" s="94"/>
      <c r="G35" s="2"/>
      <c r="H35" s="449"/>
      <c r="I35" s="86"/>
      <c r="J35" s="465">
        <f>PRO_PSM</f>
        <v>-1.63E-4</v>
      </c>
      <c r="K35" s="454"/>
      <c r="L35" s="81">
        <f>ROUND(H29*PRO_PSM,0)</f>
        <v>-45</v>
      </c>
      <c r="M35" s="5"/>
      <c r="N35" s="148">
        <f>ROUND((L35/L$38)*100,1)</f>
        <v>-0.1</v>
      </c>
      <c r="O35" s="6"/>
      <c r="P35" s="87"/>
      <c r="Q35" s="5"/>
      <c r="R35" s="81">
        <f t="shared" si="0"/>
        <v>-45</v>
      </c>
      <c r="AA35" s="54"/>
      <c r="AB35" s="54"/>
    </row>
    <row r="36" spans="1:44" ht="20.100000000000001" customHeight="1" x14ac:dyDescent="0.25">
      <c r="A36" s="45">
        <v>12</v>
      </c>
      <c r="B36" s="378"/>
      <c r="C36" s="222" t="s">
        <v>510</v>
      </c>
      <c r="D36" s="378"/>
      <c r="E36" s="378"/>
      <c r="F36" s="87"/>
      <c r="G36" s="2"/>
      <c r="H36" s="452"/>
      <c r="I36" s="86"/>
      <c r="J36" s="455"/>
      <c r="K36" s="454"/>
      <c r="L36" s="90">
        <f>SUM(L32:L35)</f>
        <v>5564</v>
      </c>
      <c r="M36" s="5"/>
      <c r="N36" s="150">
        <f>ROUND((L36/L$38)*100,1)</f>
        <v>14.3</v>
      </c>
      <c r="O36" s="6"/>
      <c r="P36" s="89">
        <f>SUM(P32:P35)</f>
        <v>188</v>
      </c>
      <c r="Q36" s="5"/>
      <c r="R36" s="90">
        <f>SUM(R32:R35)</f>
        <v>5752</v>
      </c>
      <c r="AA36" s="54"/>
      <c r="AB36" s="54"/>
    </row>
    <row r="37" spans="1:44" x14ac:dyDescent="0.25">
      <c r="A37" s="45"/>
      <c r="B37" s="378"/>
      <c r="C37" s="222"/>
      <c r="D37" s="378"/>
      <c r="E37" s="378"/>
      <c r="F37" s="94"/>
      <c r="G37" s="2"/>
      <c r="H37" s="449"/>
      <c r="I37" s="86"/>
      <c r="J37" s="455"/>
      <c r="K37" s="454"/>
      <c r="L37" s="83"/>
      <c r="M37" s="5"/>
      <c r="N37" s="91"/>
      <c r="O37" s="6"/>
      <c r="P37" s="94"/>
      <c r="Q37" s="5"/>
      <c r="R37" s="83"/>
      <c r="AA37" s="54"/>
      <c r="AB37" s="54"/>
    </row>
    <row r="38" spans="1:44" ht="20.100000000000001" customHeight="1" thickBot="1" x14ac:dyDescent="0.3">
      <c r="A38" s="45">
        <v>13</v>
      </c>
      <c r="B38" s="378"/>
      <c r="C38" s="222" t="s">
        <v>523</v>
      </c>
      <c r="E38" s="46"/>
      <c r="F38" s="82">
        <f>F23+F25</f>
        <v>184</v>
      </c>
      <c r="G38" s="2"/>
      <c r="H38" s="82">
        <f>H28</f>
        <v>276447</v>
      </c>
      <c r="I38" s="5"/>
      <c r="J38" s="9"/>
      <c r="K38" s="9"/>
      <c r="L38" s="82">
        <f>L29+L36</f>
        <v>39024</v>
      </c>
      <c r="M38" s="5"/>
      <c r="N38" s="92">
        <v>100</v>
      </c>
      <c r="O38" s="6"/>
      <c r="P38" s="82">
        <f>P36+P29</f>
        <v>188</v>
      </c>
      <c r="Q38" s="86"/>
      <c r="R38" s="82">
        <f>R29+R36</f>
        <v>39212</v>
      </c>
      <c r="T38" s="378"/>
      <c r="U38" s="378"/>
      <c r="V38" s="378"/>
      <c r="W38" s="378"/>
      <c r="X38" s="378"/>
      <c r="Y38" s="378"/>
      <c r="Z38" s="378"/>
      <c r="AA38" s="378"/>
      <c r="AB38" s="378"/>
      <c r="AC38" s="378"/>
      <c r="AD38" s="378"/>
      <c r="AE38" s="378"/>
      <c r="AF38" s="378"/>
      <c r="AG38" s="143"/>
      <c r="AH38" s="378"/>
      <c r="AI38" s="378"/>
      <c r="AJ38" s="378"/>
      <c r="AK38" s="143"/>
      <c r="AL38" s="378"/>
      <c r="AM38" s="378"/>
      <c r="AN38" s="378"/>
      <c r="AO38" s="378"/>
      <c r="AP38" s="378"/>
      <c r="AQ38" s="143"/>
      <c r="AR38" s="378"/>
    </row>
    <row r="39" spans="1:44" ht="16.5" thickTop="1" x14ac:dyDescent="0.25">
      <c r="A39" s="378"/>
      <c r="B39" s="378"/>
      <c r="C39" s="378"/>
      <c r="D39" s="378"/>
      <c r="E39" s="378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5"/>
      <c r="T39" s="378"/>
      <c r="U39" s="378"/>
      <c r="V39" s="378"/>
      <c r="W39" s="378"/>
      <c r="X39" s="378"/>
      <c r="Y39" s="378"/>
      <c r="Z39" s="378"/>
      <c r="AA39" s="378"/>
      <c r="AB39" s="378"/>
      <c r="AC39" s="378"/>
      <c r="AD39" s="378"/>
      <c r="AE39" s="378"/>
      <c r="AF39" s="378"/>
      <c r="AG39" s="143"/>
      <c r="AH39" s="378"/>
      <c r="AI39" s="378"/>
      <c r="AJ39" s="378"/>
      <c r="AK39" s="143"/>
      <c r="AL39" s="378"/>
      <c r="AM39" s="378"/>
      <c r="AN39" s="378"/>
      <c r="AO39" s="378"/>
      <c r="AP39" s="378"/>
      <c r="AQ39" s="143"/>
      <c r="AR39" s="378"/>
    </row>
    <row r="40" spans="1:44" x14ac:dyDescent="0.25">
      <c r="A40" s="378"/>
      <c r="B40" s="378"/>
      <c r="C40" s="378"/>
      <c r="D40" s="378"/>
      <c r="E40" s="378"/>
      <c r="F40" s="491"/>
      <c r="G40" s="491"/>
      <c r="H40" s="491"/>
      <c r="I40" s="491"/>
      <c r="J40" s="491"/>
      <c r="K40" s="4"/>
      <c r="L40" s="4"/>
      <c r="M40" s="4"/>
      <c r="N40" s="4"/>
      <c r="O40" s="4"/>
      <c r="P40" s="4"/>
      <c r="Q40" s="4"/>
      <c r="R40" s="4"/>
      <c r="Y40" s="56"/>
      <c r="Z40" s="56"/>
      <c r="AA40" s="56"/>
      <c r="AB40" s="56"/>
      <c r="AC40" s="56"/>
      <c r="AD40" s="56"/>
      <c r="AE40" s="56"/>
      <c r="AF40" s="56"/>
      <c r="AG40" s="155"/>
      <c r="AH40" s="56"/>
      <c r="AI40" s="56"/>
      <c r="AJ40" s="56"/>
      <c r="AK40" s="155"/>
      <c r="AL40" s="56"/>
      <c r="AM40" s="56"/>
      <c r="AN40" s="56"/>
    </row>
    <row r="41" spans="1:44" x14ac:dyDescent="0.25">
      <c r="A41" s="45">
        <v>14</v>
      </c>
      <c r="B41" s="378"/>
      <c r="C41" s="222" t="s">
        <v>417</v>
      </c>
      <c r="D41" s="222" t="s">
        <v>159</v>
      </c>
      <c r="E41" s="46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T41" s="54"/>
      <c r="U41" s="54"/>
    </row>
    <row r="42" spans="1:44" x14ac:dyDescent="0.25">
      <c r="A42" s="378"/>
      <c r="B42" s="378"/>
      <c r="C42" s="378"/>
      <c r="D42" s="378"/>
      <c r="E42" s="378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T42" s="54"/>
    </row>
    <row r="43" spans="1:44" x14ac:dyDescent="0.25">
      <c r="A43" s="45">
        <v>15</v>
      </c>
      <c r="B43" s="378"/>
      <c r="C43" s="52" t="s">
        <v>205</v>
      </c>
      <c r="D43" s="378"/>
      <c r="E43" s="378"/>
      <c r="F43" s="391">
        <v>540</v>
      </c>
      <c r="G43" s="2"/>
      <c r="H43" s="392"/>
      <c r="I43" s="451"/>
      <c r="J43" s="450">
        <f>INPUT!D103</f>
        <v>3.36</v>
      </c>
      <c r="K43" s="96"/>
      <c r="L43" s="5">
        <f>ROUND(F43*J43,0)</f>
        <v>1814</v>
      </c>
      <c r="M43" s="5"/>
      <c r="N43" s="91">
        <f>ROUND((L43/L$57)*100,1)</f>
        <v>0.2</v>
      </c>
      <c r="O43" s="1"/>
      <c r="P43" s="94"/>
      <c r="Q43" s="1"/>
      <c r="R43" s="5">
        <f>L43+P43</f>
        <v>1814</v>
      </c>
    </row>
    <row r="44" spans="1:44" x14ac:dyDescent="0.25">
      <c r="A44" s="45"/>
      <c r="B44" s="378"/>
      <c r="C44" s="46"/>
      <c r="D44" s="378"/>
      <c r="E44" s="378"/>
      <c r="F44" s="391"/>
      <c r="G44" s="2"/>
      <c r="H44" s="493"/>
      <c r="I44" s="451"/>
      <c r="J44" s="450"/>
      <c r="K44" s="96"/>
      <c r="L44" s="5"/>
      <c r="M44" s="5"/>
      <c r="N44" s="1"/>
      <c r="O44" s="1"/>
      <c r="P44" s="1"/>
      <c r="Q44" s="1"/>
      <c r="R44" s="5"/>
    </row>
    <row r="45" spans="1:44" x14ac:dyDescent="0.25">
      <c r="A45" s="378">
        <v>16</v>
      </c>
      <c r="B45" s="378"/>
      <c r="C45" s="378" t="s">
        <v>433</v>
      </c>
      <c r="D45" s="378"/>
      <c r="E45" s="378"/>
      <c r="F45" s="391"/>
      <c r="G45" s="2"/>
      <c r="H45" s="493"/>
      <c r="I45" s="451"/>
      <c r="J45" s="493"/>
      <c r="K45" s="451"/>
      <c r="L45" s="2"/>
      <c r="M45" s="2"/>
      <c r="N45" s="2"/>
      <c r="O45" s="2"/>
      <c r="P45" s="2"/>
      <c r="Q45" s="2"/>
      <c r="R45" s="5"/>
      <c r="S45" s="379"/>
      <c r="T45" s="54"/>
      <c r="V45" s="379"/>
      <c r="Y45" s="379"/>
      <c r="Z45" s="461"/>
      <c r="AA45" s="379"/>
      <c r="AB45" s="379"/>
      <c r="AC45" s="50"/>
      <c r="AD45" s="50"/>
      <c r="AE45" s="379"/>
      <c r="AF45" s="379"/>
      <c r="AG45" s="156"/>
      <c r="AH45" s="50"/>
      <c r="AI45" s="379"/>
      <c r="AJ45" s="379"/>
      <c r="AK45" s="156"/>
      <c r="AL45" s="379"/>
      <c r="AM45" s="50"/>
      <c r="AN45" s="50"/>
    </row>
    <row r="46" spans="1:44" x14ac:dyDescent="0.25">
      <c r="A46" s="378">
        <v>17</v>
      </c>
      <c r="B46" s="378"/>
      <c r="C46" s="69" t="s">
        <v>206</v>
      </c>
      <c r="D46" s="378"/>
      <c r="E46" s="378"/>
      <c r="F46" s="391"/>
      <c r="G46" s="2"/>
      <c r="H46" s="392">
        <v>11637</v>
      </c>
      <c r="I46" s="451"/>
      <c r="J46" s="453">
        <f>INPUT!D105</f>
        <v>9.3089000000000005E-2</v>
      </c>
      <c r="K46" s="451"/>
      <c r="L46" s="83">
        <f>ROUND((H46*J46),0)</f>
        <v>1083</v>
      </c>
      <c r="M46" s="2"/>
      <c r="N46" s="91">
        <f>ROUND((L46/L$57)*100,1)</f>
        <v>0.1</v>
      </c>
      <c r="O46" s="2"/>
      <c r="P46" s="94"/>
      <c r="Q46" s="2"/>
      <c r="R46" s="83">
        <f>L46+P46</f>
        <v>1083</v>
      </c>
      <c r="S46" s="379"/>
      <c r="T46" s="54"/>
      <c r="V46" s="379"/>
      <c r="Y46" s="379"/>
      <c r="Z46" s="461"/>
      <c r="AA46" s="379"/>
      <c r="AB46" s="379"/>
      <c r="AC46" s="50"/>
      <c r="AD46" s="50"/>
      <c r="AE46" s="379"/>
      <c r="AF46" s="379"/>
      <c r="AG46" s="156"/>
      <c r="AH46" s="50"/>
      <c r="AI46" s="379"/>
      <c r="AJ46" s="379"/>
      <c r="AK46" s="156"/>
      <c r="AL46" s="379"/>
      <c r="AM46" s="50"/>
      <c r="AN46" s="50"/>
    </row>
    <row r="47" spans="1:44" x14ac:dyDescent="0.25">
      <c r="A47" s="45">
        <v>18</v>
      </c>
      <c r="B47" s="378"/>
      <c r="C47" s="69" t="s">
        <v>207</v>
      </c>
      <c r="D47" s="378"/>
      <c r="E47" s="378"/>
      <c r="F47" s="494"/>
      <c r="G47" s="2"/>
      <c r="H47" s="452">
        <v>5946705</v>
      </c>
      <c r="I47" s="86"/>
      <c r="J47" s="453">
        <f>INPUT!D106</f>
        <v>0.107269</v>
      </c>
      <c r="K47" s="454"/>
      <c r="L47" s="81">
        <f>ROUND((H47*J47),0)</f>
        <v>637897</v>
      </c>
      <c r="M47" s="5"/>
      <c r="N47" s="88">
        <f>ROUND((L47/L$57)*100,1)</f>
        <v>85.3</v>
      </c>
      <c r="O47" s="6"/>
      <c r="P47" s="87"/>
      <c r="Q47" s="86"/>
      <c r="R47" s="81">
        <f>L47+P47</f>
        <v>637897</v>
      </c>
      <c r="S47" s="379"/>
      <c r="V47" s="381"/>
      <c r="Y47" s="379"/>
      <c r="Z47" s="449"/>
      <c r="AA47" s="379"/>
      <c r="AB47" s="379"/>
      <c r="AC47" s="50"/>
      <c r="AD47" s="50"/>
      <c r="AE47" s="379"/>
      <c r="AF47" s="379"/>
      <c r="AI47" s="379"/>
      <c r="AJ47" s="379"/>
      <c r="AK47" s="156"/>
      <c r="AL47" s="379"/>
    </row>
    <row r="48" spans="1:44" ht="20.100000000000001" customHeight="1" x14ac:dyDescent="0.25">
      <c r="A48" s="45">
        <v>19</v>
      </c>
      <c r="B48" s="378"/>
      <c r="C48" s="444" t="s">
        <v>521</v>
      </c>
      <c r="D48" s="378"/>
      <c r="E48" s="378"/>
      <c r="F48" s="264">
        <f>SUM(F43:F47)</f>
        <v>540</v>
      </c>
      <c r="G48" s="2"/>
      <c r="H48" s="89">
        <f>SUM(H46:H47)</f>
        <v>5958342</v>
      </c>
      <c r="I48" s="86"/>
      <c r="J48" s="453"/>
      <c r="K48" s="454"/>
      <c r="L48" s="90">
        <f>SUM(L43:L47)</f>
        <v>640794</v>
      </c>
      <c r="M48" s="5"/>
      <c r="N48" s="93">
        <f>ROUND((L48/L$57)*100,1)</f>
        <v>85.7</v>
      </c>
      <c r="O48" s="6"/>
      <c r="P48" s="89"/>
      <c r="Q48" s="86"/>
      <c r="R48" s="90">
        <f>SUM(R43:R47)</f>
        <v>640794</v>
      </c>
      <c r="S48" s="379"/>
      <c r="V48" s="381"/>
      <c r="Y48" s="379"/>
      <c r="Z48" s="449"/>
      <c r="AA48" s="379"/>
      <c r="AB48" s="379"/>
      <c r="AC48" s="50"/>
      <c r="AD48" s="50"/>
      <c r="AE48" s="379"/>
      <c r="AF48" s="379"/>
      <c r="AI48" s="379"/>
      <c r="AJ48" s="379"/>
      <c r="AK48" s="156"/>
      <c r="AL48" s="379"/>
    </row>
    <row r="49" spans="1:44" x14ac:dyDescent="0.25">
      <c r="A49" s="45"/>
      <c r="B49" s="378"/>
      <c r="C49" s="46"/>
      <c r="D49" s="378"/>
      <c r="E49" s="378"/>
      <c r="F49" s="447"/>
      <c r="G49" s="2"/>
      <c r="H49" s="449"/>
      <c r="I49" s="86"/>
      <c r="J49" s="453"/>
      <c r="K49" s="454"/>
      <c r="L49" s="83"/>
      <c r="M49" s="5"/>
      <c r="N49" s="91"/>
      <c r="O49" s="6"/>
      <c r="P49" s="94"/>
      <c r="Q49" s="86"/>
      <c r="R49" s="83"/>
      <c r="S49" s="379"/>
      <c r="V49" s="381"/>
      <c r="Y49" s="379"/>
      <c r="Z49" s="449"/>
      <c r="AA49" s="379"/>
      <c r="AB49" s="379"/>
      <c r="AC49" s="50"/>
      <c r="AD49" s="50"/>
      <c r="AE49" s="379"/>
      <c r="AF49" s="379"/>
      <c r="AI49" s="379"/>
      <c r="AJ49" s="379"/>
      <c r="AK49" s="156"/>
      <c r="AL49" s="379"/>
    </row>
    <row r="50" spans="1:44" x14ac:dyDescent="0.25">
      <c r="A50" s="45">
        <v>20</v>
      </c>
      <c r="B50" s="378"/>
      <c r="C50" s="222" t="s">
        <v>504</v>
      </c>
      <c r="D50" s="378"/>
      <c r="E50" s="378"/>
      <c r="F50" s="447"/>
      <c r="G50" s="2"/>
      <c r="H50" s="449"/>
      <c r="I50" s="86"/>
      <c r="J50" s="453"/>
      <c r="K50" s="454"/>
      <c r="L50" s="83"/>
      <c r="M50" s="5"/>
      <c r="N50" s="91"/>
      <c r="O50" s="6"/>
      <c r="P50" s="94"/>
      <c r="Q50" s="86"/>
      <c r="R50" s="83"/>
      <c r="S50" s="379"/>
      <c r="V50" s="381"/>
      <c r="Y50" s="379"/>
      <c r="Z50" s="449"/>
      <c r="AA50" s="379"/>
      <c r="AB50" s="379"/>
      <c r="AC50" s="50"/>
      <c r="AD50" s="50"/>
      <c r="AE50" s="379"/>
      <c r="AF50" s="379"/>
      <c r="AI50" s="379"/>
      <c r="AJ50" s="379"/>
      <c r="AK50" s="156"/>
      <c r="AL50" s="379"/>
    </row>
    <row r="51" spans="1:44" x14ac:dyDescent="0.25">
      <c r="A51" s="45">
        <v>21</v>
      </c>
      <c r="B51" s="378"/>
      <c r="C51" s="216" t="str">
        <f>DSMR_Name</f>
        <v>DEMAND SIDE MANAGEMENT RIDER (DSMR)</v>
      </c>
      <c r="D51" s="378"/>
      <c r="E51" s="378"/>
      <c r="F51" s="447"/>
      <c r="G51" s="2"/>
      <c r="H51" s="449"/>
      <c r="I51" s="86"/>
      <c r="J51" s="465">
        <f>PRO_DSM_DIST</f>
        <v>5.091E-3</v>
      </c>
      <c r="K51" s="454"/>
      <c r="L51" s="83">
        <f>ROUND($H$48*J51,0)</f>
        <v>30334</v>
      </c>
      <c r="M51" s="5"/>
      <c r="N51" s="383">
        <f>ROUND((L51/L$57)*100,1)</f>
        <v>4.0999999999999996</v>
      </c>
      <c r="O51" s="6"/>
      <c r="P51" s="94"/>
      <c r="Q51" s="86"/>
      <c r="R51" s="5">
        <f t="shared" ref="R51:R54" si="2">L51+P51</f>
        <v>30334</v>
      </c>
      <c r="S51" s="379"/>
      <c r="V51" s="381"/>
      <c r="Y51" s="379"/>
      <c r="Z51" s="449"/>
      <c r="AA51" s="379"/>
      <c r="AB51" s="379"/>
      <c r="AC51" s="50"/>
      <c r="AD51" s="50"/>
      <c r="AE51" s="379"/>
      <c r="AF51" s="379"/>
      <c r="AI51" s="379"/>
      <c r="AJ51" s="379"/>
      <c r="AK51" s="156"/>
      <c r="AL51" s="379"/>
    </row>
    <row r="52" spans="1:44" x14ac:dyDescent="0.25">
      <c r="A52" s="45">
        <v>22</v>
      </c>
      <c r="B52" s="378"/>
      <c r="C52" s="216" t="str">
        <f>ESM_Name</f>
        <v>ENVIRONMENTAL SURCHARGE MECHANISM RIDER (ESM)</v>
      </c>
      <c r="D52" s="378"/>
      <c r="E52" s="378"/>
      <c r="F52" s="447"/>
      <c r="G52" s="2"/>
      <c r="H52" s="449"/>
      <c r="I52" s="86"/>
      <c r="J52" s="453"/>
      <c r="K52" s="454"/>
      <c r="L52" s="83">
        <f>AE115</f>
        <v>77526</v>
      </c>
      <c r="M52" s="5"/>
      <c r="N52" s="383">
        <f>ROUND((L52/L$57)*100,1)</f>
        <v>10.4</v>
      </c>
      <c r="O52" s="6"/>
      <c r="P52" s="94"/>
      <c r="Q52" s="86"/>
      <c r="R52" s="5">
        <f t="shared" ref="R52" si="3">L52+P52</f>
        <v>77526</v>
      </c>
      <c r="S52" s="379"/>
      <c r="V52" s="381"/>
      <c r="Y52" s="379"/>
      <c r="Z52" s="449"/>
      <c r="AA52" s="379"/>
      <c r="AB52" s="379"/>
      <c r="AC52" s="50"/>
      <c r="AD52" s="50"/>
      <c r="AE52" s="379"/>
      <c r="AF52" s="379"/>
      <c r="AI52" s="379"/>
      <c r="AJ52" s="379"/>
      <c r="AK52" s="156"/>
      <c r="AL52" s="379"/>
    </row>
    <row r="53" spans="1:44" x14ac:dyDescent="0.25">
      <c r="A53" s="45">
        <v>23</v>
      </c>
      <c r="B53" s="378"/>
      <c r="C53" s="216" t="str">
        <f>FAC_Name</f>
        <v>FUEL ADJUSTMENT CLAUSE (FAC)</v>
      </c>
      <c r="D53" s="378"/>
      <c r="E53" s="378"/>
      <c r="F53" s="447"/>
      <c r="G53" s="2"/>
      <c r="H53" s="449"/>
      <c r="I53" s="86"/>
      <c r="J53" s="465">
        <f>PRO_FAC</f>
        <v>6.8099999999999996E-4</v>
      </c>
      <c r="K53" s="454"/>
      <c r="L53" s="83"/>
      <c r="M53" s="5"/>
      <c r="N53" s="383"/>
      <c r="O53" s="6"/>
      <c r="P53" s="94">
        <f>ROUND(H48*PRO_FAC,0)</f>
        <v>4058</v>
      </c>
      <c r="Q53" s="86"/>
      <c r="R53" s="5">
        <f t="shared" si="2"/>
        <v>4058</v>
      </c>
      <c r="S53" s="379"/>
      <c r="V53" s="381"/>
      <c r="Y53" s="379"/>
      <c r="Z53" s="449"/>
      <c r="AA53" s="379"/>
      <c r="AB53" s="379"/>
      <c r="AC53" s="50"/>
      <c r="AD53" s="50"/>
      <c r="AE53" s="379"/>
      <c r="AF53" s="379"/>
      <c r="AI53" s="379"/>
      <c r="AJ53" s="379"/>
      <c r="AK53" s="156"/>
      <c r="AL53" s="379"/>
    </row>
    <row r="54" spans="1:44" x14ac:dyDescent="0.25">
      <c r="A54" s="45">
        <v>24</v>
      </c>
      <c r="B54" s="378"/>
      <c r="C54" s="216" t="str">
        <f>PSM_Name</f>
        <v>PROFIT SHARING MECHANISM (PSM)</v>
      </c>
      <c r="D54" s="378"/>
      <c r="E54" s="378"/>
      <c r="F54" s="447"/>
      <c r="G54" s="2"/>
      <c r="H54" s="449"/>
      <c r="I54" s="86"/>
      <c r="J54" s="465">
        <f>PRO_PSM</f>
        <v>-1.63E-4</v>
      </c>
      <c r="K54" s="454"/>
      <c r="L54" s="83">
        <f>ROUND($H$48*J54,0)</f>
        <v>-971</v>
      </c>
      <c r="M54" s="5"/>
      <c r="N54" s="148">
        <f>ROUND((L54/L$57)*100,1)</f>
        <v>-0.1</v>
      </c>
      <c r="O54" s="6"/>
      <c r="P54" s="87"/>
      <c r="Q54" s="86"/>
      <c r="R54" s="81">
        <f t="shared" si="2"/>
        <v>-971</v>
      </c>
      <c r="S54" s="379"/>
      <c r="V54" s="381"/>
      <c r="Y54" s="379"/>
      <c r="Z54" s="449"/>
      <c r="AA54" s="379"/>
      <c r="AB54" s="379"/>
      <c r="AC54" s="50"/>
      <c r="AD54" s="50"/>
      <c r="AE54" s="379"/>
      <c r="AF54" s="379"/>
      <c r="AI54" s="379"/>
      <c r="AJ54" s="379"/>
      <c r="AK54" s="156"/>
      <c r="AL54" s="379"/>
    </row>
    <row r="55" spans="1:44" ht="20.100000000000001" customHeight="1" x14ac:dyDescent="0.25">
      <c r="A55" s="45">
        <v>25</v>
      </c>
      <c r="B55" s="378"/>
      <c r="C55" s="222" t="s">
        <v>510</v>
      </c>
      <c r="D55" s="378"/>
      <c r="E55" s="378"/>
      <c r="F55" s="494"/>
      <c r="G55" s="2"/>
      <c r="H55" s="452"/>
      <c r="I55" s="86"/>
      <c r="J55" s="455"/>
      <c r="K55" s="454"/>
      <c r="L55" s="90">
        <f>SUM(L51:L54)</f>
        <v>106889</v>
      </c>
      <c r="M55" s="5"/>
      <c r="N55" s="150">
        <f>ROUND((L55/L$57)*100,1)</f>
        <v>14.3</v>
      </c>
      <c r="O55" s="6"/>
      <c r="P55" s="90">
        <f>SUM(P51:P54)</f>
        <v>4058</v>
      </c>
      <c r="Q55" s="86"/>
      <c r="R55" s="90">
        <f>SUM(R51:R54)</f>
        <v>110947</v>
      </c>
      <c r="S55" s="379"/>
      <c r="V55" s="381"/>
      <c r="Y55" s="379"/>
      <c r="Z55" s="449"/>
      <c r="AA55" s="379"/>
      <c r="AB55" s="379"/>
      <c r="AC55" s="50"/>
      <c r="AD55" s="50"/>
      <c r="AE55" s="379"/>
      <c r="AF55" s="379"/>
      <c r="AI55" s="379"/>
      <c r="AJ55" s="379"/>
      <c r="AK55" s="156"/>
      <c r="AL55" s="379"/>
    </row>
    <row r="56" spans="1:44" x14ac:dyDescent="0.25">
      <c r="A56" s="45"/>
      <c r="B56" s="378"/>
      <c r="C56" s="69"/>
      <c r="D56" s="378"/>
      <c r="E56" s="378"/>
      <c r="F56" s="447"/>
      <c r="G56" s="2"/>
      <c r="H56" s="449"/>
      <c r="I56" s="86"/>
      <c r="J56" s="455"/>
      <c r="K56" s="454"/>
      <c r="L56" s="83"/>
      <c r="M56" s="5"/>
      <c r="N56" s="91"/>
      <c r="O56" s="6"/>
      <c r="P56" s="94"/>
      <c r="Q56" s="86"/>
      <c r="R56" s="83"/>
      <c r="S56" s="379"/>
      <c r="V56" s="381"/>
      <c r="Y56" s="379"/>
      <c r="Z56" s="449"/>
      <c r="AA56" s="379"/>
      <c r="AB56" s="379"/>
      <c r="AC56" s="50"/>
      <c r="AD56" s="50"/>
      <c r="AE56" s="379"/>
      <c r="AF56" s="379"/>
      <c r="AI56" s="379"/>
      <c r="AJ56" s="379"/>
      <c r="AK56" s="156"/>
      <c r="AL56" s="379"/>
    </row>
    <row r="57" spans="1:44" ht="20.100000000000001" customHeight="1" thickBot="1" x14ac:dyDescent="0.3">
      <c r="A57" s="45">
        <v>26</v>
      </c>
      <c r="B57" s="378"/>
      <c r="C57" s="222" t="s">
        <v>522</v>
      </c>
      <c r="E57" s="46"/>
      <c r="F57" s="82">
        <f>SUM(F43:F47)</f>
        <v>540</v>
      </c>
      <c r="G57" s="2"/>
      <c r="H57" s="82">
        <f>SUM(H43:H47)</f>
        <v>5958342</v>
      </c>
      <c r="I57" s="5"/>
      <c r="J57" s="9"/>
      <c r="K57" s="9"/>
      <c r="L57" s="82">
        <f>L48+L55</f>
        <v>747683</v>
      </c>
      <c r="M57" s="5"/>
      <c r="N57" s="92">
        <v>100</v>
      </c>
      <c r="O57" s="6"/>
      <c r="P57" s="82">
        <f>P48+P55</f>
        <v>4058</v>
      </c>
      <c r="Q57" s="5"/>
      <c r="R57" s="82">
        <f>R48+R55</f>
        <v>751741</v>
      </c>
      <c r="S57" s="379"/>
      <c r="V57" s="381"/>
      <c r="Y57" s="381"/>
      <c r="Z57" s="464"/>
      <c r="AA57" s="381"/>
      <c r="AB57" s="381"/>
      <c r="AC57" s="381"/>
      <c r="AD57" s="381"/>
      <c r="AE57" s="381"/>
      <c r="AF57" s="381"/>
      <c r="AI57" s="381"/>
      <c r="AJ57" s="381"/>
      <c r="AK57" s="162"/>
      <c r="AL57" s="381"/>
      <c r="AM57" s="50"/>
      <c r="AN57" s="50"/>
    </row>
    <row r="58" spans="1:44" ht="16.5" thickTop="1" x14ac:dyDescent="0.25">
      <c r="A58" s="378"/>
      <c r="B58" s="378"/>
      <c r="C58" s="378"/>
      <c r="D58" s="378"/>
      <c r="E58" s="378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5"/>
      <c r="S58" s="379"/>
      <c r="V58" s="449"/>
      <c r="Y58" s="449"/>
      <c r="Z58" s="464"/>
      <c r="AA58" s="379"/>
      <c r="AB58" s="379"/>
      <c r="AC58" s="50"/>
      <c r="AD58" s="50"/>
      <c r="AE58" s="379"/>
      <c r="AF58" s="379"/>
      <c r="AI58" s="379"/>
      <c r="AJ58" s="379"/>
      <c r="AK58" s="156"/>
      <c r="AL58" s="379"/>
      <c r="AM58" s="50"/>
      <c r="AN58" s="50"/>
    </row>
    <row r="59" spans="1:44" x14ac:dyDescent="0.25">
      <c r="A59" s="378"/>
      <c r="B59" s="378"/>
      <c r="C59" s="243" t="s">
        <v>61</v>
      </c>
      <c r="D59" s="378"/>
      <c r="E59" s="378"/>
      <c r="F59" s="48"/>
      <c r="G59" s="378"/>
      <c r="H59" s="48"/>
      <c r="I59" s="48"/>
      <c r="J59" s="51"/>
      <c r="K59" s="51"/>
      <c r="L59" s="48"/>
      <c r="M59" s="48"/>
      <c r="N59" s="48"/>
      <c r="O59" s="48"/>
      <c r="P59" s="48"/>
      <c r="Q59" s="48"/>
      <c r="R59" s="48"/>
      <c r="T59" s="378"/>
      <c r="U59" s="378"/>
      <c r="V59" s="378"/>
      <c r="W59" s="378"/>
      <c r="X59" s="378"/>
      <c r="Y59" s="378"/>
      <c r="Z59" s="378"/>
      <c r="AA59" s="378"/>
      <c r="AB59" s="378"/>
      <c r="AC59" s="378"/>
      <c r="AD59" s="378"/>
      <c r="AE59" s="378"/>
      <c r="AF59" s="378"/>
      <c r="AG59" s="143"/>
      <c r="AH59" s="378"/>
      <c r="AI59" s="378"/>
      <c r="AJ59" s="378"/>
      <c r="AK59" s="143"/>
      <c r="AL59" s="378"/>
      <c r="AM59" s="378"/>
      <c r="AN59" s="378"/>
      <c r="AO59" s="378"/>
      <c r="AP59" s="378"/>
      <c r="AQ59" s="143"/>
      <c r="AR59" s="378"/>
    </row>
    <row r="60" spans="1:44" x14ac:dyDescent="0.25">
      <c r="A60" s="378"/>
      <c r="B60" s="378"/>
      <c r="C60" s="243" t="str">
        <f>"(2) REFLECTS FUEL COMPONENT OF "&amp;TEXT(PRO_FAC,"$0.000000;($0.000000)")&amp;"  PER KWH."</f>
        <v>(2) REFLECTS FUEL COMPONENT OF $0.000681  PER KWH.</v>
      </c>
      <c r="D60" s="378"/>
      <c r="E60" s="378"/>
      <c r="F60" s="48"/>
      <c r="G60" s="378"/>
      <c r="H60" s="48"/>
      <c r="I60" s="48"/>
      <c r="J60" s="51"/>
      <c r="K60" s="51"/>
      <c r="L60" s="48"/>
      <c r="M60" s="48"/>
      <c r="N60" s="48"/>
      <c r="O60" s="48"/>
      <c r="P60" s="48"/>
      <c r="Q60" s="48"/>
      <c r="R60" s="48"/>
      <c r="T60" s="378"/>
      <c r="U60" s="378"/>
      <c r="V60" s="378"/>
      <c r="W60" s="378"/>
      <c r="X60" s="378"/>
      <c r="Y60" s="378"/>
      <c r="Z60" s="378"/>
      <c r="AA60" s="378"/>
      <c r="AB60" s="378"/>
      <c r="AC60" s="378"/>
      <c r="AD60" s="378"/>
      <c r="AE60" s="378"/>
      <c r="AF60" s="378"/>
      <c r="AG60" s="143"/>
      <c r="AH60" s="378"/>
      <c r="AI60" s="378"/>
      <c r="AJ60" s="378"/>
      <c r="AK60" s="143"/>
      <c r="AL60" s="378"/>
      <c r="AM60" s="378"/>
      <c r="AN60" s="378"/>
      <c r="AO60" s="378"/>
      <c r="AP60" s="378"/>
      <c r="AQ60" s="143"/>
      <c r="AR60" s="378"/>
    </row>
    <row r="61" spans="1:44" x14ac:dyDescent="0.25">
      <c r="A61" s="378"/>
      <c r="B61" s="378"/>
      <c r="C61" s="243" t="str">
        <f>"(3) REFLECTS FUEL COST RECOVERY INCLUDED IN BASE RATES OF "&amp;TEXT(PRO_BASE_FUEL,"$0.000000;($0.000000)")&amp;"  PER KWH."</f>
        <v>(3) REFLECTS FUEL COST RECOVERY INCLUDED IN BASE RATES OF $0.023837  PER KWH.</v>
      </c>
      <c r="D61" s="378"/>
      <c r="E61" s="378"/>
      <c r="F61" s="48"/>
      <c r="G61" s="378"/>
      <c r="H61" s="48"/>
      <c r="I61" s="48"/>
      <c r="J61" s="51"/>
      <c r="K61" s="51"/>
      <c r="L61" s="48"/>
      <c r="M61" s="48"/>
      <c r="N61" s="48"/>
      <c r="O61" s="48"/>
      <c r="P61" s="48"/>
      <c r="Q61" s="48"/>
      <c r="R61" s="48"/>
      <c r="T61" s="378"/>
      <c r="U61" s="378"/>
      <c r="V61" s="378"/>
      <c r="W61" s="378"/>
      <c r="X61" s="378"/>
      <c r="Y61" s="378"/>
      <c r="Z61" s="378"/>
      <c r="AA61" s="378"/>
      <c r="AB61" s="378"/>
      <c r="AC61" s="378"/>
      <c r="AD61" s="378"/>
      <c r="AE61" s="378"/>
      <c r="AF61" s="378"/>
      <c r="AG61" s="143"/>
      <c r="AH61" s="378"/>
      <c r="AI61" s="378"/>
      <c r="AJ61" s="378"/>
      <c r="AK61" s="143"/>
      <c r="AL61" s="378"/>
      <c r="AM61" s="378"/>
      <c r="AN61" s="378"/>
      <c r="AO61" s="378"/>
      <c r="AP61" s="378"/>
      <c r="AQ61" s="143"/>
      <c r="AR61" s="378"/>
    </row>
    <row r="62" spans="1:44" x14ac:dyDescent="0.25">
      <c r="A62" s="378"/>
      <c r="B62" s="378"/>
      <c r="C62" s="244" t="s">
        <v>449</v>
      </c>
      <c r="D62" s="378"/>
      <c r="E62" s="378"/>
      <c r="F62" s="378"/>
      <c r="G62" s="378"/>
      <c r="H62" s="378"/>
      <c r="I62" s="378"/>
      <c r="J62" s="378"/>
      <c r="K62" s="378"/>
      <c r="L62" s="378"/>
      <c r="M62" s="378"/>
      <c r="N62" s="378"/>
      <c r="O62" s="378"/>
      <c r="P62" s="378"/>
      <c r="Q62" s="378"/>
      <c r="R62" s="378"/>
      <c r="T62" s="378"/>
      <c r="U62" s="378"/>
      <c r="V62" s="378"/>
      <c r="W62" s="378"/>
      <c r="X62" s="378"/>
      <c r="Y62" s="378"/>
      <c r="Z62" s="378"/>
      <c r="AA62" s="378"/>
      <c r="AB62" s="378"/>
      <c r="AC62" s="378"/>
      <c r="AD62" s="378"/>
      <c r="AE62" s="378"/>
      <c r="AF62" s="378"/>
      <c r="AG62" s="143"/>
      <c r="AH62" s="378"/>
      <c r="AI62" s="378"/>
      <c r="AJ62" s="378"/>
      <c r="AK62" s="143"/>
      <c r="AL62" s="378"/>
      <c r="AM62" s="378"/>
      <c r="AN62" s="378"/>
      <c r="AO62" s="378"/>
      <c r="AP62" s="378"/>
      <c r="AQ62" s="143"/>
      <c r="AR62" s="378"/>
    </row>
    <row r="63" spans="1:44" x14ac:dyDescent="0.25">
      <c r="A63" s="56"/>
      <c r="C63" s="56"/>
      <c r="D63" s="56"/>
      <c r="E63" s="56"/>
      <c r="F63" s="56"/>
      <c r="J63" s="56"/>
      <c r="K63" s="56"/>
      <c r="L63" s="56"/>
      <c r="M63" s="56"/>
      <c r="N63" s="56"/>
      <c r="O63" s="56"/>
      <c r="P63" s="56"/>
      <c r="Q63" s="56"/>
      <c r="R63" s="56"/>
      <c r="T63" s="378"/>
      <c r="U63" s="378"/>
      <c r="V63" s="378"/>
      <c r="W63" s="378"/>
      <c r="X63" s="378"/>
      <c r="Y63" s="378"/>
      <c r="Z63" s="378"/>
      <c r="AA63" s="378"/>
      <c r="AB63" s="378"/>
      <c r="AC63" s="378"/>
      <c r="AD63" s="378"/>
      <c r="AE63" s="378"/>
      <c r="AF63" s="378"/>
      <c r="AG63" s="143"/>
      <c r="AH63" s="378"/>
      <c r="AI63" s="378"/>
      <c r="AJ63" s="378"/>
      <c r="AK63" s="143"/>
      <c r="AL63" s="378"/>
      <c r="AM63" s="378"/>
      <c r="AN63" s="378"/>
      <c r="AO63" s="378"/>
      <c r="AP63" s="378"/>
      <c r="AQ63" s="143"/>
      <c r="AR63" s="378"/>
    </row>
    <row r="64" spans="1:44" x14ac:dyDescent="0.25">
      <c r="A64" s="56"/>
      <c r="C64" s="56"/>
      <c r="D64" s="56"/>
      <c r="E64" s="56"/>
      <c r="F64" s="491"/>
      <c r="G64" s="491"/>
      <c r="H64" s="491"/>
      <c r="J64" s="56"/>
      <c r="K64" s="56"/>
      <c r="L64" s="56"/>
      <c r="M64" s="56"/>
      <c r="N64" s="56"/>
      <c r="O64" s="56"/>
      <c r="P64" s="56"/>
      <c r="Q64" s="56"/>
      <c r="R64" s="56"/>
      <c r="T64" s="378"/>
      <c r="U64" s="378"/>
      <c r="V64" s="378"/>
      <c r="W64" s="378"/>
      <c r="X64" s="378"/>
      <c r="Y64" s="378"/>
      <c r="Z64" s="378"/>
      <c r="AA64" s="378"/>
      <c r="AB64" s="378"/>
      <c r="AC64" s="378"/>
      <c r="AD64" s="378"/>
      <c r="AE64" s="378"/>
      <c r="AF64" s="378"/>
      <c r="AG64" s="143"/>
      <c r="AH64" s="378"/>
      <c r="AI64" s="378"/>
      <c r="AJ64" s="378"/>
      <c r="AK64" s="143"/>
      <c r="AL64" s="378"/>
      <c r="AM64" s="378"/>
      <c r="AN64" s="378"/>
      <c r="AO64" s="378"/>
      <c r="AP64" s="378"/>
      <c r="AQ64" s="143"/>
      <c r="AR64" s="378"/>
    </row>
    <row r="65" spans="1:76" x14ac:dyDescent="0.25">
      <c r="A65" s="56"/>
      <c r="C65" s="56"/>
      <c r="D65" s="56"/>
      <c r="E65" s="56"/>
      <c r="F65" s="491"/>
      <c r="G65" s="491"/>
      <c r="H65" s="491"/>
      <c r="I65" s="56"/>
      <c r="J65" s="56"/>
      <c r="K65" s="56"/>
      <c r="L65" s="56"/>
      <c r="M65" s="56"/>
      <c r="N65" s="56"/>
      <c r="O65" s="56"/>
      <c r="P65" s="56"/>
      <c r="Q65" s="56"/>
      <c r="R65" s="56"/>
      <c r="T65" s="43" t="str">
        <f>NAME</f>
        <v>DUKE ENERGY KENTUCKY, INC.</v>
      </c>
      <c r="U65" s="43"/>
      <c r="V65" s="43"/>
      <c r="W65" s="43"/>
      <c r="X65" s="43"/>
      <c r="Y65" s="43"/>
      <c r="Z65" s="43"/>
      <c r="AA65" s="43"/>
      <c r="AB65" s="43"/>
      <c r="AC65" s="44"/>
      <c r="AD65" s="44"/>
      <c r="AE65" s="43"/>
      <c r="AF65" s="57"/>
      <c r="AG65" s="144"/>
      <c r="AH65" s="57"/>
      <c r="AI65" s="43"/>
      <c r="AJ65" s="43"/>
      <c r="AK65" s="144"/>
      <c r="AL65" s="43"/>
      <c r="AM65" s="43"/>
      <c r="AN65" s="57"/>
      <c r="AO65" s="43"/>
      <c r="AP65" s="43"/>
      <c r="AQ65" s="144"/>
    </row>
    <row r="66" spans="1:76" x14ac:dyDescent="0.25">
      <c r="A66" s="56"/>
      <c r="C66" s="56"/>
      <c r="D66" s="56"/>
      <c r="E66" s="56"/>
      <c r="F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T66" s="43" t="str">
        <f>CASE_NO</f>
        <v>CASE NO.   2019-000271</v>
      </c>
      <c r="U66" s="43"/>
      <c r="V66" s="43"/>
      <c r="W66" s="43"/>
      <c r="X66" s="43"/>
      <c r="Y66" s="43"/>
      <c r="Z66" s="43"/>
      <c r="AA66" s="43"/>
      <c r="AB66" s="43"/>
      <c r="AC66" s="44"/>
      <c r="AD66" s="44"/>
      <c r="AE66" s="43"/>
      <c r="AF66" s="57"/>
      <c r="AG66" s="144"/>
      <c r="AH66" s="57"/>
      <c r="AI66" s="43"/>
      <c r="AJ66" s="43"/>
      <c r="AK66" s="144"/>
      <c r="AL66" s="43"/>
      <c r="AM66" s="43"/>
      <c r="AN66" s="57"/>
      <c r="AO66" s="43"/>
      <c r="AP66" s="43"/>
      <c r="AQ66" s="144"/>
    </row>
    <row r="67" spans="1:76" x14ac:dyDescent="0.25">
      <c r="C67" s="56"/>
      <c r="D67" s="56"/>
      <c r="E67" s="56"/>
      <c r="F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T67" s="44" t="str">
        <f>TITLE</f>
        <v>ANNUALIZED BASE YEAR REVENUES AT PROPOSED VS. MOST CURRENT RATES</v>
      </c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57"/>
      <c r="AG67" s="144"/>
      <c r="AH67" s="57"/>
      <c r="AI67" s="43"/>
      <c r="AJ67" s="43"/>
      <c r="AK67" s="144"/>
      <c r="AL67" s="43"/>
      <c r="AM67" s="43"/>
      <c r="AN67" s="57"/>
      <c r="AO67" s="43"/>
      <c r="AP67" s="43"/>
      <c r="AQ67" s="144"/>
    </row>
    <row r="68" spans="1:76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T68" s="43" t="str">
        <f>DATE</f>
        <v>FOR THE TWELVE MONTHS ENDED November 30, 2019</v>
      </c>
      <c r="U68" s="43"/>
      <c r="V68" s="43"/>
      <c r="W68" s="43"/>
      <c r="X68" s="43"/>
      <c r="Y68" s="43"/>
      <c r="Z68" s="43"/>
      <c r="AA68" s="43"/>
      <c r="AB68" s="43"/>
      <c r="AC68" s="44"/>
      <c r="AD68" s="44"/>
      <c r="AE68" s="43"/>
      <c r="AF68" s="57"/>
      <c r="AG68" s="144"/>
      <c r="AH68" s="57"/>
      <c r="AI68" s="43"/>
      <c r="AJ68" s="43"/>
      <c r="AK68" s="144"/>
      <c r="AL68" s="43"/>
      <c r="AM68" s="43"/>
      <c r="AN68" s="57"/>
      <c r="AO68" s="43"/>
      <c r="AP68" s="43"/>
      <c r="AQ68" s="144"/>
    </row>
    <row r="69" spans="1:76" x14ac:dyDescent="0.25"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T69" s="43" t="str">
        <f>SERVICE</f>
        <v>(ELECTRIC SERVICE)</v>
      </c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4"/>
      <c r="AF69" s="58"/>
      <c r="AG69" s="144"/>
      <c r="AH69" s="57"/>
      <c r="AI69" s="43"/>
      <c r="AJ69" s="43"/>
      <c r="AK69" s="144"/>
      <c r="AL69" s="43"/>
      <c r="AM69" s="43"/>
      <c r="AN69" s="57"/>
      <c r="AO69" s="43"/>
      <c r="AP69" s="43"/>
      <c r="AQ69" s="144"/>
    </row>
    <row r="70" spans="1:76" x14ac:dyDescent="0.25">
      <c r="A70" s="53"/>
      <c r="C70" s="54"/>
      <c r="D70" s="54"/>
      <c r="E70" s="54"/>
      <c r="T70" s="45" t="str">
        <f>DATA_PERIOD</f>
        <v>DATA: __X__ BASE PERIOD   ____FORECASTED PERIOD</v>
      </c>
      <c r="U70" s="378"/>
      <c r="V70" s="378"/>
      <c r="W70" s="378"/>
      <c r="X70" s="378"/>
      <c r="Y70" s="378"/>
      <c r="Z70" s="378"/>
      <c r="AA70" s="378"/>
      <c r="AB70" s="378"/>
      <c r="AC70" s="378"/>
      <c r="AD70" s="378"/>
      <c r="AE70" s="378"/>
      <c r="AG70" s="143"/>
      <c r="AI70" s="378"/>
      <c r="AJ70" s="378"/>
      <c r="AK70" s="143"/>
      <c r="AL70" s="378"/>
      <c r="AM70" s="378"/>
      <c r="AO70" s="46" t="s">
        <v>164</v>
      </c>
      <c r="AP70" s="46"/>
      <c r="AQ70" s="143"/>
    </row>
    <row r="71" spans="1:76" x14ac:dyDescent="0.25">
      <c r="A71" s="53"/>
      <c r="D71" s="54"/>
      <c r="E71" s="54"/>
      <c r="T71" s="45" t="str">
        <f>TYPE</f>
        <v>TYPE OF FILING: _X_ ORIGINAL   ___UPDATED  ___ REVISED</v>
      </c>
      <c r="U71" s="378"/>
      <c r="V71" s="378"/>
      <c r="W71" s="378"/>
      <c r="X71" s="378"/>
      <c r="Y71" s="378"/>
      <c r="Z71" s="378"/>
      <c r="AA71" s="378"/>
      <c r="AB71" s="378"/>
      <c r="AC71" s="378"/>
      <c r="AD71" s="378"/>
      <c r="AE71" s="378"/>
      <c r="AG71" s="143"/>
      <c r="AI71" s="378"/>
      <c r="AJ71" s="378"/>
      <c r="AK71" s="143"/>
      <c r="AL71" s="378"/>
      <c r="AM71" s="378"/>
      <c r="AO71" s="52" t="str">
        <f>"PAGE 7 OF "&amp;TEXT(Page_Num_2.2,"00")</f>
        <v>PAGE 7 OF 22</v>
      </c>
      <c r="AP71" s="46"/>
      <c r="AQ71" s="143"/>
    </row>
    <row r="72" spans="1:76" x14ac:dyDescent="0.25">
      <c r="T72" s="46" t="s">
        <v>177</v>
      </c>
      <c r="U72" s="378"/>
      <c r="V72" s="378"/>
      <c r="W72" s="378"/>
      <c r="X72" s="378"/>
      <c r="Y72" s="378"/>
      <c r="Z72" s="378"/>
      <c r="AA72" s="378"/>
      <c r="AB72" s="378"/>
      <c r="AC72" s="378"/>
      <c r="AD72" s="378"/>
      <c r="AE72" s="378"/>
      <c r="AG72" s="143"/>
      <c r="AI72" s="378"/>
      <c r="AJ72" s="378"/>
      <c r="AK72" s="143"/>
      <c r="AL72" s="378"/>
      <c r="AM72" s="378"/>
      <c r="AO72" s="46" t="s">
        <v>3</v>
      </c>
      <c r="AP72" s="46"/>
      <c r="AQ72" s="143"/>
    </row>
    <row r="73" spans="1:76" x14ac:dyDescent="0.25">
      <c r="A73" s="53"/>
      <c r="C73" s="54"/>
      <c r="T73" s="222" t="str">
        <f>TIME</f>
        <v>6 Months Actual and 6 Months Projected with Riders</v>
      </c>
      <c r="U73" s="378"/>
      <c r="V73" s="378"/>
      <c r="W73" s="378"/>
      <c r="X73" s="378"/>
      <c r="Y73" s="378"/>
      <c r="Z73" s="378"/>
      <c r="AA73" s="378"/>
      <c r="AB73" s="378"/>
      <c r="AC73" s="378"/>
      <c r="AD73" s="378"/>
      <c r="AE73" s="378"/>
      <c r="AG73" s="143"/>
      <c r="AI73" s="378"/>
      <c r="AJ73" s="378"/>
      <c r="AK73" s="143"/>
      <c r="AL73" s="378"/>
      <c r="AM73" s="378"/>
      <c r="AO73" s="45" t="str">
        <f>WIT</f>
        <v>J. L. Kern</v>
      </c>
      <c r="AP73" s="45"/>
      <c r="AQ73" s="143"/>
    </row>
    <row r="74" spans="1:76" x14ac:dyDescent="0.25">
      <c r="A74" s="53"/>
      <c r="C74" s="54"/>
      <c r="T74" s="222" t="str">
        <f>INPUT!B5</f>
        <v>6 Months Actual Ending May 31, 2019</v>
      </c>
      <c r="U74" s="378"/>
      <c r="V74" s="378"/>
      <c r="W74" s="378"/>
      <c r="X74" s="378"/>
      <c r="Y74" s="378"/>
      <c r="Z74" s="378"/>
      <c r="AA74" s="378"/>
      <c r="AB74" s="378"/>
      <c r="AC74" s="378"/>
      <c r="AD74" s="378"/>
      <c r="AE74" s="378"/>
      <c r="AG74" s="143"/>
      <c r="AI74" s="378"/>
      <c r="AJ74" s="378"/>
      <c r="AK74" s="143"/>
      <c r="AL74" s="378"/>
      <c r="AM74" s="378"/>
      <c r="AO74" s="45"/>
      <c r="AP74" s="45"/>
      <c r="AQ74" s="143"/>
    </row>
    <row r="75" spans="1:76" x14ac:dyDescent="0.25">
      <c r="A75" s="53"/>
      <c r="C75" s="54"/>
      <c r="F75" s="449"/>
      <c r="H75" s="449"/>
      <c r="I75" s="449"/>
      <c r="J75" s="461"/>
      <c r="K75" s="461"/>
      <c r="L75" s="379"/>
      <c r="M75" s="379"/>
      <c r="N75" s="50"/>
      <c r="O75" s="50"/>
      <c r="P75" s="53"/>
      <c r="Q75" s="53"/>
      <c r="R75" s="379"/>
      <c r="T75" s="44" t="s">
        <v>137</v>
      </c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57"/>
      <c r="AG75" s="144"/>
      <c r="AH75" s="57"/>
      <c r="AI75" s="43"/>
      <c r="AJ75" s="43"/>
      <c r="AK75" s="144"/>
      <c r="AL75" s="43"/>
      <c r="AM75" s="43"/>
      <c r="AN75" s="57"/>
      <c r="AO75" s="43"/>
      <c r="AP75" s="43"/>
      <c r="AQ75" s="144"/>
    </row>
    <row r="76" spans="1:76" x14ac:dyDescent="0.25">
      <c r="A76" s="53"/>
      <c r="C76" s="54"/>
      <c r="F76" s="449"/>
      <c r="H76" s="449"/>
      <c r="I76" s="449"/>
      <c r="J76" s="461"/>
      <c r="K76" s="461"/>
      <c r="L76" s="379"/>
      <c r="M76" s="379"/>
      <c r="N76" s="50"/>
      <c r="O76" s="50"/>
      <c r="P76" s="53"/>
      <c r="Q76" s="53"/>
      <c r="R76" s="379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145"/>
      <c r="AH76" s="47"/>
      <c r="AI76" s="47"/>
      <c r="AJ76" s="47"/>
      <c r="AK76" s="145"/>
      <c r="AL76" s="47"/>
      <c r="AM76" s="47"/>
      <c r="AN76" s="47"/>
      <c r="AO76" s="47"/>
      <c r="AP76" s="47"/>
      <c r="AQ76" s="145"/>
      <c r="AS76" s="378"/>
      <c r="AT76" s="378"/>
      <c r="AU76" s="378"/>
    </row>
    <row r="77" spans="1:76" ht="18" customHeight="1" x14ac:dyDescent="0.25">
      <c r="F77" s="381"/>
      <c r="H77" s="379"/>
      <c r="I77" s="379"/>
      <c r="J77" s="464"/>
      <c r="K77" s="464"/>
      <c r="L77" s="381"/>
      <c r="M77" s="381"/>
      <c r="N77" s="381"/>
      <c r="O77" s="381"/>
      <c r="P77" s="381"/>
      <c r="Q77" s="381"/>
      <c r="R77" s="381"/>
      <c r="T77" s="378"/>
      <c r="U77" s="378"/>
      <c r="V77" s="378"/>
      <c r="W77" s="378"/>
      <c r="X77" s="378"/>
      <c r="Y77" s="378"/>
      <c r="Z77" s="378"/>
      <c r="AA77" s="378"/>
      <c r="AB77" s="378"/>
      <c r="AC77" s="378"/>
      <c r="AD77" s="378"/>
      <c r="AE77" s="426" t="s">
        <v>8</v>
      </c>
      <c r="AF77" s="56"/>
      <c r="AG77" s="146" t="s">
        <v>7</v>
      </c>
      <c r="AH77" s="56"/>
      <c r="AI77" s="426" t="s">
        <v>9</v>
      </c>
      <c r="AJ77" s="426"/>
      <c r="AK77" s="146" t="s">
        <v>10</v>
      </c>
      <c r="AL77" s="426"/>
      <c r="AM77" s="378"/>
      <c r="AO77" s="426" t="s">
        <v>8</v>
      </c>
      <c r="AP77" s="426"/>
      <c r="AQ77" s="146" t="s">
        <v>11</v>
      </c>
      <c r="AS77" s="378"/>
      <c r="AT77" s="378"/>
      <c r="AU77" s="378"/>
    </row>
    <row r="78" spans="1:76" x14ac:dyDescent="0.25">
      <c r="A78" s="53"/>
      <c r="C78" s="54"/>
      <c r="F78" s="379"/>
      <c r="H78" s="379"/>
      <c r="I78" s="379"/>
      <c r="J78" s="464"/>
      <c r="K78" s="464"/>
      <c r="L78" s="379"/>
      <c r="M78" s="379"/>
      <c r="N78" s="50"/>
      <c r="O78" s="50"/>
      <c r="P78" s="379"/>
      <c r="Q78" s="379"/>
      <c r="R78" s="379"/>
      <c r="T78" s="378"/>
      <c r="U78" s="378"/>
      <c r="V78" s="378"/>
      <c r="W78" s="378"/>
      <c r="X78" s="378"/>
      <c r="Y78" s="378"/>
      <c r="Z78" s="378"/>
      <c r="AA78" s="378"/>
      <c r="AB78" s="378"/>
      <c r="AC78" s="426" t="s">
        <v>14</v>
      </c>
      <c r="AD78" s="426"/>
      <c r="AE78" s="426" t="s">
        <v>12</v>
      </c>
      <c r="AF78" s="56"/>
      <c r="AG78" s="146" t="s">
        <v>13</v>
      </c>
      <c r="AH78" s="56"/>
      <c r="AI78" s="426" t="s">
        <v>15</v>
      </c>
      <c r="AJ78" s="426"/>
      <c r="AK78" s="146" t="s">
        <v>16</v>
      </c>
      <c r="AL78" s="426"/>
      <c r="AM78" s="378"/>
      <c r="AO78" s="426" t="s">
        <v>11</v>
      </c>
      <c r="AP78" s="426"/>
      <c r="AQ78" s="146" t="s">
        <v>9</v>
      </c>
      <c r="AS78" s="378"/>
      <c r="AT78" s="378"/>
      <c r="AU78" s="378"/>
    </row>
    <row r="79" spans="1:76" x14ac:dyDescent="0.25">
      <c r="F79" s="381"/>
      <c r="H79" s="379"/>
      <c r="I79" s="379"/>
      <c r="J79" s="464"/>
      <c r="K79" s="464"/>
      <c r="L79" s="381"/>
      <c r="M79" s="381"/>
      <c r="N79" s="381"/>
      <c r="O79" s="381"/>
      <c r="P79" s="381"/>
      <c r="Q79" s="381"/>
      <c r="R79" s="381"/>
      <c r="T79" s="426" t="s">
        <v>17</v>
      </c>
      <c r="U79" s="378"/>
      <c r="V79" s="426" t="s">
        <v>18</v>
      </c>
      <c r="W79" s="426" t="s">
        <v>19</v>
      </c>
      <c r="X79" s="426"/>
      <c r="Y79" s="426" t="s">
        <v>20</v>
      </c>
      <c r="Z79" s="378"/>
      <c r="AA79" s="378"/>
      <c r="AB79" s="378"/>
      <c r="AC79" s="426" t="s">
        <v>8</v>
      </c>
      <c r="AD79" s="426"/>
      <c r="AE79" s="426" t="s">
        <v>21</v>
      </c>
      <c r="AF79" s="56"/>
      <c r="AG79" s="146" t="s">
        <v>21</v>
      </c>
      <c r="AH79" s="56"/>
      <c r="AI79" s="426" t="s">
        <v>22</v>
      </c>
      <c r="AJ79" s="426"/>
      <c r="AK79" s="146" t="s">
        <v>22</v>
      </c>
      <c r="AL79" s="426"/>
      <c r="AM79" s="426" t="s">
        <v>21</v>
      </c>
      <c r="AN79" s="56"/>
      <c r="AO79" s="426" t="s">
        <v>9</v>
      </c>
      <c r="AP79" s="426"/>
      <c r="AQ79" s="146" t="s">
        <v>23</v>
      </c>
      <c r="AS79" s="48"/>
      <c r="AT79" s="48"/>
      <c r="AU79" s="492"/>
    </row>
    <row r="80" spans="1:76" x14ac:dyDescent="0.25">
      <c r="F80" s="379"/>
      <c r="H80" s="379"/>
      <c r="I80" s="379"/>
      <c r="J80" s="464"/>
      <c r="K80" s="464"/>
      <c r="L80" s="379"/>
      <c r="M80" s="379"/>
      <c r="N80" s="50"/>
      <c r="O80" s="50"/>
      <c r="P80" s="379"/>
      <c r="Q80" s="379"/>
      <c r="R80" s="379"/>
      <c r="T80" s="426" t="s">
        <v>24</v>
      </c>
      <c r="U80" s="378"/>
      <c r="V80" s="426" t="s">
        <v>25</v>
      </c>
      <c r="W80" s="426" t="s">
        <v>26</v>
      </c>
      <c r="X80" s="426"/>
      <c r="Y80" s="426" t="s">
        <v>27</v>
      </c>
      <c r="Z80" s="378"/>
      <c r="AA80" s="426" t="s">
        <v>28</v>
      </c>
      <c r="AB80" s="426"/>
      <c r="AC80" s="426" t="s">
        <v>29</v>
      </c>
      <c r="AD80" s="426"/>
      <c r="AE80" s="426" t="s">
        <v>9</v>
      </c>
      <c r="AF80" s="56"/>
      <c r="AG80" s="146" t="s">
        <v>9</v>
      </c>
      <c r="AH80" s="56"/>
      <c r="AI80" s="265" t="s">
        <v>31</v>
      </c>
      <c r="AJ80" s="265"/>
      <c r="AK80" s="440" t="s">
        <v>32</v>
      </c>
      <c r="AL80" s="426"/>
      <c r="AM80" s="426" t="s">
        <v>379</v>
      </c>
      <c r="AN80" s="56"/>
      <c r="AO80" s="265" t="s">
        <v>33</v>
      </c>
      <c r="AP80" s="265"/>
      <c r="AQ80" s="440" t="s">
        <v>34</v>
      </c>
      <c r="AS80" s="48"/>
      <c r="AT80" s="48"/>
      <c r="AU80" s="49"/>
      <c r="BX80" s="470"/>
    </row>
    <row r="81" spans="1:47" x14ac:dyDescent="0.25">
      <c r="A81" s="53"/>
      <c r="C81" s="54"/>
      <c r="F81" s="449"/>
      <c r="H81" s="449"/>
      <c r="I81" s="449"/>
      <c r="J81" s="461"/>
      <c r="K81" s="461"/>
      <c r="L81" s="379"/>
      <c r="M81" s="379"/>
      <c r="N81" s="50"/>
      <c r="O81" s="50"/>
      <c r="P81" s="379"/>
      <c r="Q81" s="379"/>
      <c r="R81" s="379"/>
      <c r="T81" s="378"/>
      <c r="U81" s="378"/>
      <c r="V81" s="265" t="s">
        <v>35</v>
      </c>
      <c r="W81" s="265" t="s">
        <v>36</v>
      </c>
      <c r="X81" s="265"/>
      <c r="Y81" s="265" t="s">
        <v>37</v>
      </c>
      <c r="Z81" s="218"/>
      <c r="AA81" s="265" t="s">
        <v>38</v>
      </c>
      <c r="AB81" s="265"/>
      <c r="AC81" s="265" t="s">
        <v>44</v>
      </c>
      <c r="AD81" s="265"/>
      <c r="AE81" s="265" t="s">
        <v>45</v>
      </c>
      <c r="AF81" s="466"/>
      <c r="AG81" s="440" t="s">
        <v>46</v>
      </c>
      <c r="AH81" s="466"/>
      <c r="AI81" s="265" t="s">
        <v>47</v>
      </c>
      <c r="AJ81" s="265"/>
      <c r="AK81" s="440" t="s">
        <v>48</v>
      </c>
      <c r="AL81" s="265"/>
      <c r="AM81" s="265" t="s">
        <v>42</v>
      </c>
      <c r="AN81" s="466"/>
      <c r="AO81" s="265" t="s">
        <v>49</v>
      </c>
      <c r="AP81" s="265"/>
      <c r="AQ81" s="440" t="s">
        <v>50</v>
      </c>
      <c r="AS81" s="48"/>
      <c r="AT81" s="48"/>
      <c r="AU81" s="49"/>
    </row>
    <row r="82" spans="1:47" x14ac:dyDescent="0.25">
      <c r="F82" s="379"/>
      <c r="H82" s="381"/>
      <c r="I82" s="381"/>
      <c r="J82" s="464"/>
      <c r="K82" s="464"/>
      <c r="L82" s="381"/>
      <c r="M82" s="381"/>
      <c r="N82" s="381"/>
      <c r="O82" s="381"/>
      <c r="P82" s="381"/>
      <c r="Q82" s="381"/>
      <c r="R82" s="381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145"/>
      <c r="AH82" s="47"/>
      <c r="AI82" s="47"/>
      <c r="AJ82" s="47"/>
      <c r="AK82" s="145"/>
      <c r="AL82" s="47"/>
      <c r="AM82" s="47"/>
      <c r="AN82" s="47"/>
      <c r="AO82" s="47"/>
      <c r="AP82" s="47"/>
      <c r="AQ82" s="145"/>
      <c r="AS82" s="48"/>
      <c r="AT82" s="48"/>
      <c r="AU82" s="49"/>
    </row>
    <row r="83" spans="1:47" ht="17.100000000000001" customHeight="1" x14ac:dyDescent="0.25">
      <c r="A83" s="53"/>
      <c r="C83" s="54"/>
      <c r="F83" s="379"/>
      <c r="H83" s="379"/>
      <c r="I83" s="379"/>
      <c r="J83" s="59"/>
      <c r="K83" s="59"/>
      <c r="L83" s="379"/>
      <c r="M83" s="379"/>
      <c r="N83" s="50"/>
      <c r="O83" s="50"/>
      <c r="P83" s="379"/>
      <c r="Q83" s="379"/>
      <c r="R83" s="379"/>
      <c r="T83" s="378"/>
      <c r="U83" s="378"/>
      <c r="V83" s="378"/>
      <c r="W83" s="378"/>
      <c r="X83" s="378"/>
      <c r="Y83" s="378"/>
      <c r="Z83" s="378"/>
      <c r="AA83" s="441" t="s">
        <v>51</v>
      </c>
      <c r="AB83" s="441"/>
      <c r="AC83" s="442" t="s">
        <v>368</v>
      </c>
      <c r="AD83" s="441"/>
      <c r="AE83" s="441" t="s">
        <v>52</v>
      </c>
      <c r="AF83" s="467"/>
      <c r="AG83" s="443" t="s">
        <v>53</v>
      </c>
      <c r="AH83" s="467"/>
      <c r="AI83" s="441" t="s">
        <v>52</v>
      </c>
      <c r="AJ83" s="441"/>
      <c r="AK83" s="443" t="s">
        <v>53</v>
      </c>
      <c r="AL83" s="441"/>
      <c r="AM83" s="441" t="s">
        <v>52</v>
      </c>
      <c r="AN83" s="467"/>
      <c r="AO83" s="441" t="s">
        <v>52</v>
      </c>
      <c r="AP83" s="441"/>
      <c r="AQ83" s="443" t="s">
        <v>53</v>
      </c>
      <c r="AS83" s="48"/>
      <c r="AT83" s="48"/>
      <c r="AU83" s="492"/>
    </row>
    <row r="84" spans="1:47" x14ac:dyDescent="0.25">
      <c r="J84" s="53"/>
      <c r="K84" s="53"/>
      <c r="T84" s="45">
        <v>1</v>
      </c>
      <c r="U84" s="378"/>
      <c r="V84" s="222" t="s">
        <v>101</v>
      </c>
      <c r="W84" s="222" t="s">
        <v>450</v>
      </c>
      <c r="X84" s="46"/>
      <c r="Y84" s="2"/>
      <c r="Z84" s="2"/>
      <c r="AA84" s="5"/>
      <c r="AB84" s="5"/>
      <c r="AC84" s="9"/>
      <c r="AD84" s="9"/>
      <c r="AE84" s="5"/>
      <c r="AF84" s="5"/>
      <c r="AG84" s="149"/>
      <c r="AH84" s="6"/>
      <c r="AI84" s="2"/>
      <c r="AJ84" s="2"/>
      <c r="AK84" s="147"/>
      <c r="AL84" s="2"/>
      <c r="AM84" s="2"/>
      <c r="AN84" s="2"/>
      <c r="AO84" s="2"/>
      <c r="AP84" s="2"/>
      <c r="AQ84" s="147"/>
      <c r="AR84" s="449"/>
    </row>
    <row r="85" spans="1:47" x14ac:dyDescent="0.25">
      <c r="L85" s="54"/>
      <c r="M85" s="54"/>
      <c r="T85" s="378"/>
      <c r="U85" s="378"/>
      <c r="V85" s="378"/>
      <c r="W85" s="378"/>
      <c r="X85" s="378"/>
      <c r="Y85" s="2"/>
      <c r="Z85" s="2"/>
      <c r="AA85" s="5"/>
      <c r="AB85" s="5"/>
      <c r="AC85" s="9"/>
      <c r="AD85" s="9"/>
      <c r="AE85" s="5"/>
      <c r="AF85" s="5"/>
      <c r="AG85" s="149"/>
      <c r="AH85" s="6"/>
      <c r="AI85" s="2"/>
      <c r="AJ85" s="2"/>
      <c r="AK85" s="147"/>
      <c r="AL85" s="2"/>
      <c r="AM85" s="2"/>
      <c r="AN85" s="2"/>
      <c r="AO85" s="2"/>
      <c r="AP85" s="2"/>
      <c r="AQ85" s="147"/>
      <c r="AR85" s="449"/>
    </row>
    <row r="86" spans="1:47" ht="15.95" customHeight="1" x14ac:dyDescent="0.25">
      <c r="A86" s="53"/>
      <c r="R86" s="54"/>
      <c r="T86" s="45">
        <v>2</v>
      </c>
      <c r="U86" s="378"/>
      <c r="V86" s="52" t="s">
        <v>487</v>
      </c>
      <c r="W86" s="378"/>
      <c r="X86" s="378"/>
      <c r="Y86" s="5">
        <f>F23</f>
        <v>0</v>
      </c>
      <c r="Z86" s="2"/>
      <c r="AA86" s="5"/>
      <c r="AB86" s="5"/>
      <c r="AC86" s="106"/>
      <c r="AD86" s="106"/>
      <c r="AE86" s="5">
        <f>L23</f>
        <v>0</v>
      </c>
      <c r="AF86" s="5"/>
      <c r="AG86" s="149">
        <f>ROUND((AE86/AE$101)*100,1)</f>
        <v>0</v>
      </c>
      <c r="AH86" s="6"/>
      <c r="AI86" s="5">
        <f>L23-AE86</f>
        <v>0</v>
      </c>
      <c r="AJ86" s="5"/>
      <c r="AK86" s="149">
        <v>0</v>
      </c>
      <c r="AL86" s="8"/>
      <c r="AM86" s="5"/>
      <c r="AN86" s="5"/>
      <c r="AO86" s="5">
        <f>AE86+AM86</f>
        <v>0</v>
      </c>
      <c r="AP86" s="5"/>
      <c r="AQ86" s="164" t="str">
        <f>IF(AO86=0,"0.0 ",ROUND((AI86/AO86)*100,1))</f>
        <v xml:space="preserve">0.0 </v>
      </c>
      <c r="AR86" s="449"/>
    </row>
    <row r="87" spans="1:47" x14ac:dyDescent="0.25">
      <c r="A87" s="53"/>
      <c r="R87" s="54"/>
      <c r="T87" s="378"/>
      <c r="U87" s="378"/>
      <c r="V87" s="378"/>
      <c r="W87" s="378"/>
      <c r="X87" s="378"/>
      <c r="Y87" s="5"/>
      <c r="Z87" s="2"/>
      <c r="AA87" s="2"/>
      <c r="AB87" s="2"/>
      <c r="AC87" s="451"/>
      <c r="AD87" s="451"/>
      <c r="AE87" s="2"/>
      <c r="AF87" s="2"/>
      <c r="AG87" s="147"/>
      <c r="AH87" s="2"/>
      <c r="AI87" s="2"/>
      <c r="AJ87" s="2"/>
      <c r="AK87" s="147"/>
      <c r="AL87" s="2"/>
      <c r="AM87" s="2"/>
      <c r="AN87" s="2"/>
      <c r="AO87" s="2"/>
      <c r="AP87" s="2"/>
      <c r="AQ87" s="147"/>
      <c r="AR87" s="379"/>
    </row>
    <row r="88" spans="1:47" x14ac:dyDescent="0.25">
      <c r="A88" s="54"/>
      <c r="R88" s="54"/>
      <c r="T88" s="45">
        <v>3</v>
      </c>
      <c r="U88" s="378"/>
      <c r="V88" s="52" t="s">
        <v>64</v>
      </c>
      <c r="W88" s="378"/>
      <c r="X88" s="378"/>
      <c r="Y88" s="5">
        <f>F25</f>
        <v>184</v>
      </c>
      <c r="Z88" s="2"/>
      <c r="AA88" s="5"/>
      <c r="AB88" s="5"/>
      <c r="AC88" s="450">
        <f>INPUT!C95</f>
        <v>17.14</v>
      </c>
      <c r="AD88" s="96"/>
      <c r="AE88" s="5">
        <f>ROUND(Y88*AC88,0)</f>
        <v>3154</v>
      </c>
      <c r="AF88" s="5"/>
      <c r="AG88" s="149">
        <f>ROUND((AE88/AE$101)*100,1)</f>
        <v>8.9</v>
      </c>
      <c r="AH88" s="6"/>
      <c r="AI88" s="5">
        <f>L25-AE88</f>
        <v>-394</v>
      </c>
      <c r="AJ88" s="5"/>
      <c r="AK88" s="149">
        <f>ROUND((AI88/AE88)*100,1)</f>
        <v>-12.5</v>
      </c>
      <c r="AL88" s="8"/>
      <c r="AM88" s="5"/>
      <c r="AN88" s="5"/>
      <c r="AO88" s="5">
        <f>AE88+AM88</f>
        <v>3154</v>
      </c>
      <c r="AP88" s="5"/>
      <c r="AQ88" s="164">
        <f>IF(AO88=0,"0.0 ",ROUND((AI88/AO88)*100,1))</f>
        <v>-12.5</v>
      </c>
      <c r="AR88" s="379"/>
    </row>
    <row r="89" spans="1:47" x14ac:dyDescent="0.25">
      <c r="L89" s="54"/>
      <c r="M89" s="54"/>
      <c r="R89" s="53"/>
      <c r="T89" s="378"/>
      <c r="U89" s="378"/>
      <c r="V89" s="378"/>
      <c r="W89" s="378"/>
      <c r="X89" s="378"/>
      <c r="Y89" s="5"/>
      <c r="Z89" s="2"/>
      <c r="AA89" s="2"/>
      <c r="AB89" s="2"/>
      <c r="AC89" s="493"/>
      <c r="AD89" s="451"/>
      <c r="AE89" s="2"/>
      <c r="AF89" s="2"/>
      <c r="AG89" s="147"/>
      <c r="AH89" s="2"/>
      <c r="AI89" s="2"/>
      <c r="AJ89" s="2"/>
      <c r="AK89" s="147"/>
      <c r="AL89" s="2"/>
      <c r="AM89" s="2"/>
      <c r="AN89" s="2"/>
      <c r="AO89" s="2"/>
      <c r="AP89" s="2"/>
      <c r="AQ89" s="147"/>
      <c r="AR89" s="379"/>
    </row>
    <row r="90" spans="1:47" x14ac:dyDescent="0.25">
      <c r="L90" s="54"/>
      <c r="M90" s="54"/>
      <c r="R90" s="53"/>
      <c r="T90" s="378">
        <v>4</v>
      </c>
      <c r="U90" s="378"/>
      <c r="V90" s="378" t="s">
        <v>432</v>
      </c>
      <c r="W90" s="378"/>
      <c r="X90" s="378"/>
      <c r="Y90" s="5"/>
      <c r="Z90" s="2"/>
      <c r="AA90" s="2"/>
      <c r="AB90" s="2"/>
      <c r="AC90" s="493"/>
      <c r="AD90" s="451"/>
      <c r="AE90" s="2"/>
      <c r="AF90" s="2"/>
      <c r="AG90" s="147"/>
      <c r="AH90" s="2"/>
      <c r="AI90" s="2"/>
      <c r="AJ90" s="2"/>
      <c r="AK90" s="147"/>
      <c r="AL90" s="2"/>
      <c r="AM90" s="2"/>
      <c r="AN90" s="2"/>
      <c r="AO90" s="2"/>
      <c r="AP90" s="2"/>
      <c r="AQ90" s="147"/>
      <c r="AR90" s="379"/>
    </row>
    <row r="91" spans="1:47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T91" s="45">
        <v>5</v>
      </c>
      <c r="U91" s="378"/>
      <c r="V91" s="52" t="s">
        <v>87</v>
      </c>
      <c r="W91" s="378"/>
      <c r="X91" s="378"/>
      <c r="Y91" s="81"/>
      <c r="Z91" s="2"/>
      <c r="AA91" s="81">
        <f>H28</f>
        <v>276447</v>
      </c>
      <c r="AB91" s="5"/>
      <c r="AC91" s="453">
        <f>INPUT!C97</f>
        <v>9.6129999999999993E-2</v>
      </c>
      <c r="AD91" s="456"/>
      <c r="AE91" s="81">
        <f>ROUND((AA91*AC91),0)</f>
        <v>26575</v>
      </c>
      <c r="AF91" s="5"/>
      <c r="AG91" s="148">
        <f>ROUND((AE91/AE$101)*100,1)</f>
        <v>75.3</v>
      </c>
      <c r="AH91" s="6"/>
      <c r="AI91" s="81">
        <f>L28-AE91</f>
        <v>4125</v>
      </c>
      <c r="AJ91" s="5"/>
      <c r="AK91" s="148">
        <f>ROUND((AI91/AE91)*100,1)</f>
        <v>15.5</v>
      </c>
      <c r="AL91" s="8"/>
      <c r="AM91" s="87"/>
      <c r="AN91" s="5"/>
      <c r="AO91" s="81">
        <f>AE91+AM91</f>
        <v>26575</v>
      </c>
      <c r="AP91" s="5"/>
      <c r="AQ91" s="164">
        <f>IF(AO91=0,"0.0 ",ROUND((AI91/AO91)*100,1))</f>
        <v>15.5</v>
      </c>
    </row>
    <row r="92" spans="1:47" ht="20.100000000000001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T92" s="45">
        <v>6</v>
      </c>
      <c r="U92" s="378"/>
      <c r="V92" s="444" t="s">
        <v>520</v>
      </c>
      <c r="W92" s="378"/>
      <c r="X92" s="378"/>
      <c r="Y92" s="90">
        <f>Y88</f>
        <v>184</v>
      </c>
      <c r="Z92" s="2"/>
      <c r="AA92" s="90">
        <f>AA91</f>
        <v>276447</v>
      </c>
      <c r="AB92" s="5"/>
      <c r="AC92" s="453"/>
      <c r="AD92" s="456"/>
      <c r="AE92" s="90">
        <f>SUM(AE86:AE91)</f>
        <v>29729</v>
      </c>
      <c r="AF92" s="5"/>
      <c r="AG92" s="150">
        <f>ROUND((AE92/AE$101)*100,1)</f>
        <v>84.2</v>
      </c>
      <c r="AH92" s="6"/>
      <c r="AI92" s="90">
        <f>SUM(AI86:AI91)</f>
        <v>3731</v>
      </c>
      <c r="AJ92" s="5"/>
      <c r="AK92" s="150">
        <f>ROUND((AI92/AE92)*100,1)</f>
        <v>12.6</v>
      </c>
      <c r="AL92" s="8"/>
      <c r="AM92" s="89"/>
      <c r="AN92" s="5"/>
      <c r="AO92" s="90">
        <f>SUM(AO86:AO91)</f>
        <v>29729</v>
      </c>
      <c r="AP92" s="5"/>
      <c r="AQ92" s="164">
        <f>IF(AO92=0,"0.0 ",ROUND((AI92/AO92)*100,1))</f>
        <v>12.6</v>
      </c>
    </row>
    <row r="93" spans="1:47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T93" s="45"/>
      <c r="U93" s="378"/>
      <c r="V93" s="46"/>
      <c r="W93" s="378"/>
      <c r="X93" s="378"/>
      <c r="Y93" s="83"/>
      <c r="Z93" s="2"/>
      <c r="AA93" s="83"/>
      <c r="AB93" s="5"/>
      <c r="AC93" s="453"/>
      <c r="AD93" s="456"/>
      <c r="AE93" s="83"/>
      <c r="AF93" s="5"/>
      <c r="AG93" s="383"/>
      <c r="AH93" s="6"/>
      <c r="AI93" s="83"/>
      <c r="AJ93" s="5"/>
      <c r="AK93" s="383"/>
      <c r="AL93" s="8"/>
      <c r="AM93" s="94"/>
      <c r="AN93" s="5"/>
      <c r="AO93" s="83"/>
      <c r="AP93" s="5"/>
      <c r="AQ93" s="164"/>
    </row>
    <row r="94" spans="1:47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T94" s="45">
        <v>7</v>
      </c>
      <c r="U94" s="378"/>
      <c r="V94" s="222" t="s">
        <v>504</v>
      </c>
      <c r="W94" s="378"/>
      <c r="X94" s="378"/>
      <c r="Y94" s="83"/>
      <c r="Z94" s="2"/>
      <c r="AA94" s="83"/>
      <c r="AB94" s="5"/>
      <c r="AC94" s="453"/>
      <c r="AD94" s="456"/>
      <c r="AE94" s="83"/>
      <c r="AF94" s="5"/>
      <c r="AG94" s="383"/>
      <c r="AH94" s="6"/>
      <c r="AI94" s="83"/>
      <c r="AJ94" s="5"/>
      <c r="AK94" s="383"/>
      <c r="AL94" s="8"/>
      <c r="AM94" s="94"/>
      <c r="AN94" s="5"/>
      <c r="AO94" s="83"/>
      <c r="AP94" s="5"/>
      <c r="AQ94" s="164"/>
    </row>
    <row r="95" spans="1:47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T95" s="45">
        <f>A32</f>
        <v>8</v>
      </c>
      <c r="U95" s="378"/>
      <c r="V95" s="216" t="str">
        <f>C32</f>
        <v>DEMAND SIDE MANAGEMENT RIDER (DSMR)</v>
      </c>
      <c r="W95" s="378"/>
      <c r="X95" s="378"/>
      <c r="Y95" s="83"/>
      <c r="Z95" s="2"/>
      <c r="AA95" s="83"/>
      <c r="AB95" s="5"/>
      <c r="AC95" s="465">
        <f>DSM_DIST</f>
        <v>5.091E-3</v>
      </c>
      <c r="AD95" s="456"/>
      <c r="AE95" s="83">
        <f>ROUND(AA92*AC95,0)</f>
        <v>1407</v>
      </c>
      <c r="AF95" s="5"/>
      <c r="AG95" s="149">
        <f>ROUND((AE95/AE$101)*100,1)</f>
        <v>4</v>
      </c>
      <c r="AH95" s="6"/>
      <c r="AI95" s="5">
        <f>L32-AE95</f>
        <v>0</v>
      </c>
      <c r="AJ95" s="5"/>
      <c r="AK95" s="149">
        <f t="shared" ref="AK95:AK98" si="4">ROUND((AI95/AE95)*100,1)</f>
        <v>0</v>
      </c>
      <c r="AL95" s="8"/>
      <c r="AM95" s="94"/>
      <c r="AN95" s="5"/>
      <c r="AO95" s="5">
        <f t="shared" ref="AO95:AO98" si="5">AE95+AM95</f>
        <v>1407</v>
      </c>
      <c r="AP95" s="5"/>
      <c r="AQ95" s="164">
        <f t="shared" ref="AQ95:AQ99" si="6">IF(AO95=0,"0.0 ",ROUND((AI95/AO95)*100,1))</f>
        <v>0</v>
      </c>
    </row>
    <row r="96" spans="1:47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T96" s="45">
        <f>A33</f>
        <v>9</v>
      </c>
      <c r="U96" s="378"/>
      <c r="V96" s="216" t="str">
        <f>C33</f>
        <v>ENVIRONMENTAL SURCHARGE MECHANISM RIDER (ESM)</v>
      </c>
      <c r="W96" s="378"/>
      <c r="X96" s="378"/>
      <c r="Y96" s="83"/>
      <c r="Z96" s="2"/>
      <c r="AA96" s="83"/>
      <c r="AB96" s="5"/>
      <c r="AC96" s="473">
        <f>CUR_ESM_NONRES</f>
        <v>0.18160000000000001</v>
      </c>
      <c r="AD96" s="9"/>
      <c r="AE96" s="83">
        <f>ROUND((AO92-CUR_BASE_FUEL*AA92)*AC96,0)</f>
        <v>4202</v>
      </c>
      <c r="AF96" s="5"/>
      <c r="AG96" s="149">
        <f>ROUND((AE96/AE$101)*100,1)</f>
        <v>11.9</v>
      </c>
      <c r="AH96" s="6"/>
      <c r="AI96" s="5">
        <f>L33-AE96</f>
        <v>0</v>
      </c>
      <c r="AJ96" s="5"/>
      <c r="AK96" s="164">
        <f>IF(AE96=0,0,ROUND((AI96/AE96)*100,1))</f>
        <v>0</v>
      </c>
      <c r="AL96" s="8"/>
      <c r="AM96" s="94"/>
      <c r="AN96" s="5"/>
      <c r="AO96" s="5">
        <f t="shared" ref="AO96" si="7">AE96+AM96</f>
        <v>4202</v>
      </c>
      <c r="AP96" s="5"/>
      <c r="AQ96" s="164">
        <f t="shared" ref="AQ96" si="8">IF(AO96=0,"0.0 ",ROUND((AI96/AO96)*100,1))</f>
        <v>0</v>
      </c>
    </row>
    <row r="97" spans="1:47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T97" s="45">
        <f>A34</f>
        <v>10</v>
      </c>
      <c r="U97" s="378"/>
      <c r="V97" s="216" t="str">
        <f>C34</f>
        <v>FUEL ADJUSTMENT CLAUSE (FAC)</v>
      </c>
      <c r="W97" s="378"/>
      <c r="X97" s="378"/>
      <c r="Y97" s="83"/>
      <c r="Z97" s="2"/>
      <c r="AA97" s="83"/>
      <c r="AB97" s="5"/>
      <c r="AC97" s="465">
        <f>CUR_FAC</f>
        <v>6.8099999999999996E-4</v>
      </c>
      <c r="AD97" s="456"/>
      <c r="AE97" s="83"/>
      <c r="AF97" s="5"/>
      <c r="AG97" s="149"/>
      <c r="AH97" s="6"/>
      <c r="AI97" s="5"/>
      <c r="AJ97" s="5"/>
      <c r="AK97" s="149"/>
      <c r="AL97" s="8"/>
      <c r="AM97" s="94">
        <f>ROUND(AA92*CUR_FAC,0)</f>
        <v>188</v>
      </c>
      <c r="AN97" s="5"/>
      <c r="AO97" s="5">
        <f t="shared" si="5"/>
        <v>188</v>
      </c>
      <c r="AP97" s="5"/>
      <c r="AQ97" s="164">
        <f>IF(AO97=0,0,ROUND(((R34-AO97)/AO97)*100,1))</f>
        <v>0</v>
      </c>
    </row>
    <row r="98" spans="1:47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T98" s="45">
        <f>A35</f>
        <v>11</v>
      </c>
      <c r="U98" s="378"/>
      <c r="V98" s="216" t="str">
        <f>C35</f>
        <v>PROFIT SHARING MECHANISM (PSM)</v>
      </c>
      <c r="W98" s="378"/>
      <c r="X98" s="378"/>
      <c r="Y98" s="83"/>
      <c r="Z98" s="2"/>
      <c r="AA98" s="83"/>
      <c r="AB98" s="5"/>
      <c r="AC98" s="465">
        <f>RS_PSM</f>
        <v>-1.63E-4</v>
      </c>
      <c r="AD98" s="456"/>
      <c r="AE98" s="81">
        <f>ROUND(AA92*AC98,0)</f>
        <v>-45</v>
      </c>
      <c r="AF98" s="5"/>
      <c r="AG98" s="148">
        <f>ROUND((AE98/AE$101)*100,1)</f>
        <v>-0.1</v>
      </c>
      <c r="AH98" s="6"/>
      <c r="AI98" s="5">
        <f>L35-AE98</f>
        <v>0</v>
      </c>
      <c r="AJ98" s="5"/>
      <c r="AK98" s="148">
        <f t="shared" si="4"/>
        <v>0</v>
      </c>
      <c r="AL98" s="8"/>
      <c r="AM98" s="87"/>
      <c r="AN98" s="5"/>
      <c r="AO98" s="81">
        <f t="shared" si="5"/>
        <v>-45</v>
      </c>
      <c r="AP98" s="5"/>
      <c r="AQ98" s="164">
        <f t="shared" si="6"/>
        <v>0</v>
      </c>
    </row>
    <row r="99" spans="1:47" ht="20.100000000000001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T99" s="45">
        <f>A36</f>
        <v>12</v>
      </c>
      <c r="U99" s="378"/>
      <c r="V99" s="222" t="s">
        <v>510</v>
      </c>
      <c r="W99" s="378"/>
      <c r="X99" s="378"/>
      <c r="Y99" s="81"/>
      <c r="Z99" s="2"/>
      <c r="AA99" s="81"/>
      <c r="AB99" s="5"/>
      <c r="AC99" s="455"/>
      <c r="AD99" s="456"/>
      <c r="AE99" s="90">
        <f>SUM(AE95:AE98)</f>
        <v>5564</v>
      </c>
      <c r="AF99" s="5"/>
      <c r="AG99" s="150">
        <f>ROUND((AE99/AE$101)*100,1)</f>
        <v>15.8</v>
      </c>
      <c r="AH99" s="6"/>
      <c r="AI99" s="90">
        <f>SUM(AI95:AI98)</f>
        <v>0</v>
      </c>
      <c r="AJ99" s="5"/>
      <c r="AK99" s="150">
        <f>ROUND((AI99/AE99)*100,1)</f>
        <v>0</v>
      </c>
      <c r="AL99" s="8"/>
      <c r="AM99" s="90">
        <f>SUM(AM95:AM98)</f>
        <v>188</v>
      </c>
      <c r="AN99" s="5"/>
      <c r="AO99" s="90">
        <f>SUM(AO95:AO98)</f>
        <v>5752</v>
      </c>
      <c r="AP99" s="5"/>
      <c r="AQ99" s="164">
        <f t="shared" si="6"/>
        <v>0</v>
      </c>
    </row>
    <row r="100" spans="1:47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T100" s="45"/>
      <c r="U100" s="378"/>
      <c r="V100" s="52"/>
      <c r="W100" s="378"/>
      <c r="X100" s="378"/>
      <c r="Y100" s="83"/>
      <c r="Z100" s="2"/>
      <c r="AA100" s="83"/>
      <c r="AB100" s="5"/>
      <c r="AC100" s="455"/>
      <c r="AD100" s="456"/>
      <c r="AE100" s="83"/>
      <c r="AF100" s="5"/>
      <c r="AG100" s="383"/>
      <c r="AH100" s="6"/>
      <c r="AI100" s="83"/>
      <c r="AJ100" s="5"/>
      <c r="AK100" s="383"/>
      <c r="AL100" s="8"/>
      <c r="AM100" s="94"/>
      <c r="AN100" s="5"/>
      <c r="AO100" s="83"/>
      <c r="AP100" s="5"/>
      <c r="AQ100" s="164"/>
    </row>
    <row r="101" spans="1:47" ht="20.100000000000001" customHeight="1" thickBot="1" x14ac:dyDescent="0.3">
      <c r="L101" s="56"/>
      <c r="M101" s="56"/>
      <c r="N101" s="56"/>
      <c r="O101" s="56"/>
      <c r="R101" s="56"/>
      <c r="T101" s="45">
        <f>A38</f>
        <v>13</v>
      </c>
      <c r="U101" s="378"/>
      <c r="V101" s="222" t="s">
        <v>523</v>
      </c>
      <c r="X101" s="46"/>
      <c r="Y101" s="82">
        <f>F38</f>
        <v>184</v>
      </c>
      <c r="Z101" s="2"/>
      <c r="AA101" s="82">
        <f>H38</f>
        <v>276447</v>
      </c>
      <c r="AB101" s="5"/>
      <c r="AC101" s="9"/>
      <c r="AD101" s="9"/>
      <c r="AE101" s="82">
        <f>AE92+AE99</f>
        <v>35293</v>
      </c>
      <c r="AF101" s="5"/>
      <c r="AG101" s="151">
        <v>100</v>
      </c>
      <c r="AH101" s="6"/>
      <c r="AI101" s="82">
        <f>AI92+AI99</f>
        <v>3731</v>
      </c>
      <c r="AJ101" s="5"/>
      <c r="AK101" s="151">
        <f>ROUND((AI101/AE101)*100,1)</f>
        <v>10.6</v>
      </c>
      <c r="AL101" s="8"/>
      <c r="AM101" s="95">
        <f>AM99+AM92</f>
        <v>188</v>
      </c>
      <c r="AN101" s="86"/>
      <c r="AO101" s="82">
        <f>AO99+AO92</f>
        <v>35481</v>
      </c>
      <c r="AP101" s="5"/>
      <c r="AQ101" s="164">
        <f>IF(AO101=0,"0.0 ",ROUND((AI101/AO101)*100,1))</f>
        <v>10.5</v>
      </c>
    </row>
    <row r="102" spans="1:47" ht="16.5" thickTop="1" x14ac:dyDescent="0.25">
      <c r="A102" s="53"/>
      <c r="C102" s="54"/>
      <c r="F102" s="379"/>
      <c r="H102" s="379"/>
      <c r="I102" s="379"/>
      <c r="J102" s="59"/>
      <c r="K102" s="59"/>
      <c r="L102" s="379"/>
      <c r="M102" s="379"/>
      <c r="N102" s="50"/>
      <c r="O102" s="50"/>
      <c r="P102" s="379"/>
      <c r="Q102" s="379"/>
      <c r="R102" s="379"/>
      <c r="T102" s="378"/>
      <c r="U102" s="378"/>
      <c r="V102" s="378"/>
      <c r="W102" s="378"/>
      <c r="X102" s="378"/>
      <c r="Y102" s="2"/>
      <c r="Z102" s="2"/>
      <c r="AA102" s="4"/>
      <c r="AB102" s="4"/>
      <c r="AC102" s="107"/>
      <c r="AD102" s="4"/>
      <c r="AE102" s="4"/>
      <c r="AF102" s="100"/>
      <c r="AG102" s="157"/>
      <c r="AH102" s="100"/>
      <c r="AI102" s="4"/>
      <c r="AJ102" s="4"/>
      <c r="AK102" s="157"/>
      <c r="AL102" s="4"/>
      <c r="AM102" s="4"/>
      <c r="AN102" s="100"/>
      <c r="AO102" s="4"/>
      <c r="AP102" s="4"/>
      <c r="AQ102" s="157"/>
      <c r="AS102" s="48"/>
      <c r="AT102" s="48"/>
      <c r="AU102" s="492"/>
    </row>
    <row r="103" spans="1:47" x14ac:dyDescent="0.25">
      <c r="A103" s="53"/>
      <c r="C103" s="54"/>
      <c r="F103" s="379"/>
      <c r="H103" s="379"/>
      <c r="I103" s="379"/>
      <c r="J103" s="59"/>
      <c r="K103" s="59"/>
      <c r="L103" s="379"/>
      <c r="M103" s="379"/>
      <c r="N103" s="50"/>
      <c r="O103" s="50"/>
      <c r="P103" s="379"/>
      <c r="Q103" s="379"/>
      <c r="R103" s="379"/>
      <c r="T103" s="378"/>
      <c r="U103" s="378"/>
      <c r="V103" s="378"/>
      <c r="W103" s="378"/>
      <c r="X103" s="378"/>
      <c r="Y103" s="384"/>
      <c r="Z103" s="384"/>
      <c r="AA103" s="385"/>
      <c r="AB103" s="4"/>
      <c r="AC103" s="4"/>
      <c r="AD103" s="4"/>
      <c r="AE103" s="4"/>
      <c r="AF103" s="100"/>
      <c r="AG103" s="157"/>
      <c r="AH103" s="100"/>
      <c r="AI103" s="4"/>
      <c r="AJ103" s="4"/>
      <c r="AK103" s="157"/>
      <c r="AL103" s="4"/>
      <c r="AM103" s="4"/>
      <c r="AN103" s="100"/>
      <c r="AO103" s="4"/>
      <c r="AP103" s="4"/>
      <c r="AQ103" s="157"/>
      <c r="AS103" s="48"/>
      <c r="AT103" s="48"/>
      <c r="AU103" s="492"/>
    </row>
    <row r="104" spans="1:47" x14ac:dyDescent="0.25">
      <c r="A104" s="53"/>
      <c r="C104" s="54"/>
      <c r="F104" s="449"/>
      <c r="H104" s="449"/>
      <c r="I104" s="449"/>
      <c r="J104" s="472"/>
      <c r="K104" s="472"/>
      <c r="L104" s="379"/>
      <c r="M104" s="379"/>
      <c r="N104" s="50"/>
      <c r="O104" s="50"/>
      <c r="P104" s="449"/>
      <c r="Q104" s="449"/>
      <c r="R104" s="379"/>
      <c r="T104" s="45">
        <f>A41</f>
        <v>14</v>
      </c>
      <c r="U104" s="378"/>
      <c r="V104" s="222" t="s">
        <v>417</v>
      </c>
      <c r="W104" s="222" t="s">
        <v>159</v>
      </c>
      <c r="X104" s="46"/>
      <c r="Y104" s="2"/>
      <c r="Z104" s="2"/>
      <c r="AA104" s="2"/>
      <c r="AB104" s="2"/>
      <c r="AC104" s="2"/>
      <c r="AD104" s="2"/>
      <c r="AE104" s="2"/>
      <c r="AF104" s="2"/>
      <c r="AG104" s="147"/>
      <c r="AH104" s="2"/>
      <c r="AI104" s="2"/>
      <c r="AJ104" s="2"/>
      <c r="AK104" s="147"/>
      <c r="AL104" s="2"/>
      <c r="AM104" s="2"/>
      <c r="AN104" s="2"/>
      <c r="AO104" s="2"/>
      <c r="AP104" s="2"/>
      <c r="AQ104" s="147"/>
      <c r="AS104" s="48"/>
      <c r="AT104" s="48"/>
      <c r="AU104" s="49"/>
    </row>
    <row r="105" spans="1:47" x14ac:dyDescent="0.25">
      <c r="A105" s="53"/>
      <c r="C105" s="54"/>
      <c r="H105" s="449"/>
      <c r="I105" s="449"/>
      <c r="J105" s="472"/>
      <c r="K105" s="472"/>
      <c r="L105" s="379"/>
      <c r="M105" s="379"/>
      <c r="N105" s="50"/>
      <c r="O105" s="50"/>
      <c r="P105" s="449"/>
      <c r="Q105" s="449"/>
      <c r="R105" s="379"/>
      <c r="T105" s="378"/>
      <c r="U105" s="378"/>
      <c r="V105" s="378"/>
      <c r="W105" s="378"/>
      <c r="X105" s="378"/>
      <c r="Y105" s="2"/>
      <c r="Z105" s="2"/>
      <c r="AA105" s="2"/>
      <c r="AB105" s="2"/>
      <c r="AC105" s="2"/>
      <c r="AD105" s="2"/>
      <c r="AE105" s="2"/>
      <c r="AF105" s="2"/>
      <c r="AG105" s="147"/>
      <c r="AH105" s="2"/>
      <c r="AI105" s="2"/>
      <c r="AJ105" s="2"/>
      <c r="AK105" s="147"/>
      <c r="AL105" s="2"/>
      <c r="AM105" s="2"/>
      <c r="AN105" s="2"/>
      <c r="AO105" s="2"/>
      <c r="AP105" s="2"/>
      <c r="AQ105" s="147"/>
      <c r="AS105" s="48"/>
      <c r="AT105" s="48"/>
      <c r="AU105" s="49"/>
    </row>
    <row r="106" spans="1:47" x14ac:dyDescent="0.25">
      <c r="A106" s="53"/>
      <c r="C106" s="54"/>
      <c r="F106" s="379"/>
      <c r="H106" s="379"/>
      <c r="I106" s="379"/>
      <c r="J106" s="59"/>
      <c r="K106" s="59"/>
      <c r="L106" s="379"/>
      <c r="M106" s="379"/>
      <c r="N106" s="50"/>
      <c r="O106" s="50"/>
      <c r="P106" s="379"/>
      <c r="Q106" s="379"/>
      <c r="R106" s="379"/>
      <c r="T106" s="45">
        <f>A43</f>
        <v>15</v>
      </c>
      <c r="U106" s="378"/>
      <c r="V106" s="52" t="s">
        <v>205</v>
      </c>
      <c r="W106" s="378"/>
      <c r="X106" s="378"/>
      <c r="Y106" s="5">
        <f>F43</f>
        <v>540</v>
      </c>
      <c r="Z106" s="2"/>
      <c r="AA106" s="5"/>
      <c r="AB106" s="1"/>
      <c r="AC106" s="450">
        <f>INPUT!C103</f>
        <v>2.98</v>
      </c>
      <c r="AD106" s="96"/>
      <c r="AE106" s="5">
        <f>ROUND(Y106*AC106,0)</f>
        <v>1609</v>
      </c>
      <c r="AF106" s="5"/>
      <c r="AG106" s="383">
        <f>ROUND((AE106/AE$120)*100,1)</f>
        <v>0.2</v>
      </c>
      <c r="AH106" s="1"/>
      <c r="AI106" s="5">
        <f>L43-AE106</f>
        <v>205</v>
      </c>
      <c r="AJ106" s="5"/>
      <c r="AK106" s="168">
        <f>IF(AE106=0,"0.0 ",ROUND((AI106/AE106)*100,1))</f>
        <v>12.7</v>
      </c>
      <c r="AL106" s="471"/>
      <c r="AM106" s="94"/>
      <c r="AN106" s="5"/>
      <c r="AO106" s="5">
        <f>AE106+AM106</f>
        <v>1609</v>
      </c>
      <c r="AP106" s="5"/>
      <c r="AQ106" s="164">
        <f>IF(AO106=0,"0.0 ",ROUND((AI106/AO106)*100,1))</f>
        <v>12.7</v>
      </c>
      <c r="AS106" s="48"/>
      <c r="AT106" s="48"/>
      <c r="AU106" s="49"/>
    </row>
    <row r="107" spans="1:47" x14ac:dyDescent="0.25">
      <c r="F107" s="381"/>
      <c r="H107" s="381"/>
      <c r="I107" s="381"/>
      <c r="J107" s="464"/>
      <c r="K107" s="464"/>
      <c r="L107" s="381"/>
      <c r="M107" s="381"/>
      <c r="N107" s="381"/>
      <c r="O107" s="381"/>
      <c r="P107" s="381"/>
      <c r="Q107" s="381"/>
      <c r="R107" s="381"/>
      <c r="T107" s="378"/>
      <c r="U107" s="378"/>
      <c r="V107" s="378"/>
      <c r="W107" s="378"/>
      <c r="X107" s="378"/>
      <c r="Y107" s="5"/>
      <c r="Z107" s="2"/>
      <c r="AA107" s="2"/>
      <c r="AB107" s="2"/>
      <c r="AC107" s="493"/>
      <c r="AD107" s="451"/>
      <c r="AE107" s="2"/>
      <c r="AF107" s="2"/>
      <c r="AG107" s="147"/>
      <c r="AH107" s="2"/>
      <c r="AI107" s="2"/>
      <c r="AJ107" s="2"/>
      <c r="AK107" s="147"/>
      <c r="AL107" s="2"/>
      <c r="AM107" s="2"/>
      <c r="AN107" s="2"/>
      <c r="AO107" s="2"/>
      <c r="AP107" s="2"/>
      <c r="AQ107" s="147"/>
      <c r="AS107" s="48"/>
      <c r="AT107" s="48"/>
      <c r="AU107" s="49"/>
    </row>
    <row r="108" spans="1:47" x14ac:dyDescent="0.25">
      <c r="F108" s="381"/>
      <c r="H108" s="381"/>
      <c r="I108" s="381"/>
      <c r="J108" s="464"/>
      <c r="K108" s="464"/>
      <c r="L108" s="381"/>
      <c r="M108" s="381"/>
      <c r="N108" s="381"/>
      <c r="O108" s="381"/>
      <c r="P108" s="381"/>
      <c r="Q108" s="381"/>
      <c r="R108" s="381"/>
      <c r="T108" s="45">
        <f>A45</f>
        <v>16</v>
      </c>
      <c r="U108" s="378"/>
      <c r="V108" s="378" t="s">
        <v>433</v>
      </c>
      <c r="W108" s="378"/>
      <c r="X108" s="378"/>
      <c r="Y108" s="5"/>
      <c r="Z108" s="2"/>
      <c r="AA108" s="2"/>
      <c r="AB108" s="2"/>
      <c r="AC108" s="493"/>
      <c r="AD108" s="451"/>
      <c r="AE108" s="2"/>
      <c r="AF108" s="2"/>
      <c r="AG108" s="147"/>
      <c r="AH108" s="2"/>
      <c r="AI108" s="2"/>
      <c r="AJ108" s="2"/>
      <c r="AK108" s="147"/>
      <c r="AL108" s="2"/>
      <c r="AM108" s="2"/>
      <c r="AN108" s="2"/>
      <c r="AO108" s="2"/>
      <c r="AP108" s="2"/>
      <c r="AQ108" s="147"/>
      <c r="AS108" s="48"/>
      <c r="AT108" s="48"/>
      <c r="AU108" s="49"/>
    </row>
    <row r="109" spans="1:47" x14ac:dyDescent="0.25">
      <c r="F109" s="381"/>
      <c r="H109" s="381"/>
      <c r="I109" s="381"/>
      <c r="J109" s="464"/>
      <c r="K109" s="464"/>
      <c r="L109" s="381"/>
      <c r="M109" s="381"/>
      <c r="N109" s="381"/>
      <c r="O109" s="381"/>
      <c r="P109" s="381"/>
      <c r="Q109" s="381"/>
      <c r="R109" s="381"/>
      <c r="T109" s="45">
        <f>A46</f>
        <v>17</v>
      </c>
      <c r="U109" s="378"/>
      <c r="V109" s="69" t="s">
        <v>206</v>
      </c>
      <c r="W109" s="378"/>
      <c r="X109" s="378"/>
      <c r="Y109" s="5">
        <f>F46</f>
        <v>0</v>
      </c>
      <c r="Z109" s="2"/>
      <c r="AA109" s="108">
        <f>H46</f>
        <v>11637</v>
      </c>
      <c r="AB109" s="2"/>
      <c r="AC109" s="453">
        <f>INPUT!C105</f>
        <v>8.2708000000000004E-2</v>
      </c>
      <c r="AD109" s="451"/>
      <c r="AE109" s="83">
        <f>ROUND((AA109*AC109),0)</f>
        <v>962</v>
      </c>
      <c r="AF109" s="2"/>
      <c r="AG109" s="383">
        <f>ROUND((AE109/AE$120)*100,1)</f>
        <v>0.1</v>
      </c>
      <c r="AH109" s="2"/>
      <c r="AI109" s="5">
        <f>L46-AE109</f>
        <v>121</v>
      </c>
      <c r="AJ109" s="2"/>
      <c r="AK109" s="168">
        <f>IF(AE109=0,"0.0 ",ROUND((AI109/AE109)*100,1))</f>
        <v>12.6</v>
      </c>
      <c r="AL109" s="2"/>
      <c r="AM109" s="94"/>
      <c r="AN109" s="2"/>
      <c r="AO109" s="83">
        <f>AE109+AM109</f>
        <v>962</v>
      </c>
      <c r="AP109" s="2"/>
      <c r="AQ109" s="164">
        <f>IF(AO109=0,"0.0 ",ROUND((AI109/AO109)*100,1))</f>
        <v>12.6</v>
      </c>
      <c r="AS109" s="48"/>
      <c r="AT109" s="48"/>
      <c r="AU109" s="49"/>
    </row>
    <row r="110" spans="1:47" x14ac:dyDescent="0.25">
      <c r="A110" s="53"/>
      <c r="C110" s="54"/>
      <c r="F110" s="379"/>
      <c r="H110" s="379"/>
      <c r="I110" s="379"/>
      <c r="J110" s="59"/>
      <c r="K110" s="59"/>
      <c r="L110" s="379"/>
      <c r="M110" s="379"/>
      <c r="N110" s="50"/>
      <c r="O110" s="50"/>
      <c r="P110" s="379"/>
      <c r="Q110" s="379"/>
      <c r="R110" s="379"/>
      <c r="T110" s="45">
        <f>A47</f>
        <v>18</v>
      </c>
      <c r="U110" s="378"/>
      <c r="V110" s="69" t="s">
        <v>207</v>
      </c>
      <c r="W110" s="378"/>
      <c r="X110" s="378"/>
      <c r="Y110" s="81">
        <f>F47</f>
        <v>0</v>
      </c>
      <c r="Z110" s="2"/>
      <c r="AA110" s="81">
        <f>H47</f>
        <v>5946705</v>
      </c>
      <c r="AB110" s="5"/>
      <c r="AC110" s="453">
        <f>INPUT!C106</f>
        <v>9.5240000000000005E-2</v>
      </c>
      <c r="AD110" s="456"/>
      <c r="AE110" s="81">
        <f>ROUND((AA110*AC110),0)</f>
        <v>566364</v>
      </c>
      <c r="AF110" s="5"/>
      <c r="AG110" s="148">
        <f>ROUND((AE110/AE$120)*100,1)</f>
        <v>83.8</v>
      </c>
      <c r="AH110" s="6"/>
      <c r="AI110" s="81">
        <f>L47-AE110</f>
        <v>71533</v>
      </c>
      <c r="AJ110" s="5"/>
      <c r="AK110" s="163">
        <f>IF(AE110=0,"0.0 ",ROUND((AI110/AE110)*100,1))</f>
        <v>12.6</v>
      </c>
      <c r="AL110" s="8"/>
      <c r="AM110" s="87"/>
      <c r="AN110" s="86"/>
      <c r="AO110" s="81">
        <f>AE110+AM110</f>
        <v>566364</v>
      </c>
      <c r="AP110" s="5"/>
      <c r="AQ110" s="164">
        <f>IF(AO110=0,"0.0 ",ROUND((AI110/AO110)*100,1))</f>
        <v>12.6</v>
      </c>
      <c r="AR110" s="53"/>
      <c r="AS110" s="48"/>
      <c r="AT110" s="48"/>
      <c r="AU110" s="49"/>
    </row>
    <row r="111" spans="1:47" ht="20.100000000000001" customHeight="1" x14ac:dyDescent="0.25">
      <c r="A111" s="53"/>
      <c r="C111" s="54"/>
      <c r="F111" s="379"/>
      <c r="H111" s="379"/>
      <c r="I111" s="379"/>
      <c r="J111" s="59"/>
      <c r="K111" s="59"/>
      <c r="L111" s="379"/>
      <c r="M111" s="379"/>
      <c r="N111" s="50"/>
      <c r="O111" s="50"/>
      <c r="P111" s="379"/>
      <c r="Q111" s="379"/>
      <c r="R111" s="379"/>
      <c r="T111" s="45">
        <f>A48</f>
        <v>19</v>
      </c>
      <c r="U111" s="378"/>
      <c r="V111" s="444" t="s">
        <v>521</v>
      </c>
      <c r="W111" s="378"/>
      <c r="X111" s="378"/>
      <c r="Y111" s="90">
        <f>SUM(Y106:Y110)</f>
        <v>540</v>
      </c>
      <c r="Z111" s="2"/>
      <c r="AA111" s="90">
        <f>SUM(AA106:AA110)</f>
        <v>5958342</v>
      </c>
      <c r="AB111" s="5"/>
      <c r="AC111" s="453"/>
      <c r="AD111" s="456"/>
      <c r="AE111" s="90">
        <f>SUM(AE106:AE110)</f>
        <v>568935</v>
      </c>
      <c r="AF111" s="5"/>
      <c r="AG111" s="150">
        <f>ROUND((AE111/AE$120)*100,1)</f>
        <v>84.2</v>
      </c>
      <c r="AH111" s="6"/>
      <c r="AI111" s="90">
        <f>SUM(AI106:AI110)</f>
        <v>71859</v>
      </c>
      <c r="AJ111" s="5"/>
      <c r="AK111" s="165">
        <f>IF(AE111=0,"0.0 ",ROUND((AI111/AE111)*100,1))</f>
        <v>12.6</v>
      </c>
      <c r="AL111" s="8"/>
      <c r="AM111" s="89"/>
      <c r="AN111" s="86"/>
      <c r="AO111" s="90">
        <f>SUM(AO106:AO110)</f>
        <v>568935</v>
      </c>
      <c r="AP111" s="5"/>
      <c r="AQ111" s="164">
        <f>IF(AO111=0,"0.0 ",ROUND((AI111/AO111)*100,1))</f>
        <v>12.6</v>
      </c>
      <c r="AR111" s="53"/>
      <c r="AS111" s="48"/>
      <c r="AT111" s="48"/>
      <c r="AU111" s="49"/>
    </row>
    <row r="112" spans="1:47" x14ac:dyDescent="0.25">
      <c r="A112" s="53"/>
      <c r="C112" s="54"/>
      <c r="F112" s="379"/>
      <c r="H112" s="379"/>
      <c r="I112" s="379"/>
      <c r="J112" s="59"/>
      <c r="K112" s="59"/>
      <c r="L112" s="379"/>
      <c r="M112" s="379"/>
      <c r="N112" s="50"/>
      <c r="O112" s="50"/>
      <c r="P112" s="379"/>
      <c r="Q112" s="379"/>
      <c r="R112" s="379"/>
      <c r="T112" s="45"/>
      <c r="U112" s="378"/>
      <c r="V112" s="46"/>
      <c r="W112" s="378"/>
      <c r="X112" s="378"/>
      <c r="Y112" s="83"/>
      <c r="Z112" s="2"/>
      <c r="AA112" s="83"/>
      <c r="AB112" s="5"/>
      <c r="AC112" s="453"/>
      <c r="AD112" s="456"/>
      <c r="AE112" s="83"/>
      <c r="AF112" s="5"/>
      <c r="AG112" s="383"/>
      <c r="AH112" s="6"/>
      <c r="AI112" s="83"/>
      <c r="AJ112" s="5"/>
      <c r="AK112" s="168"/>
      <c r="AL112" s="8"/>
      <c r="AM112" s="94"/>
      <c r="AN112" s="86"/>
      <c r="AO112" s="83"/>
      <c r="AP112" s="5"/>
      <c r="AQ112" s="164"/>
      <c r="AR112" s="53"/>
      <c r="AS112" s="48"/>
      <c r="AT112" s="48"/>
      <c r="AU112" s="49"/>
    </row>
    <row r="113" spans="1:47" x14ac:dyDescent="0.25">
      <c r="A113" s="53"/>
      <c r="C113" s="54"/>
      <c r="F113" s="379"/>
      <c r="H113" s="379"/>
      <c r="I113" s="379"/>
      <c r="J113" s="59"/>
      <c r="K113" s="59"/>
      <c r="L113" s="379"/>
      <c r="M113" s="379"/>
      <c r="N113" s="50"/>
      <c r="O113" s="50"/>
      <c r="P113" s="379"/>
      <c r="Q113" s="379"/>
      <c r="R113" s="379"/>
      <c r="T113" s="45">
        <f t="shared" ref="T113:T118" si="9">A50</f>
        <v>20</v>
      </c>
      <c r="U113" s="378"/>
      <c r="V113" s="222" t="s">
        <v>504</v>
      </c>
      <c r="W113" s="378"/>
      <c r="X113" s="378"/>
      <c r="Y113" s="83"/>
      <c r="Z113" s="2"/>
      <c r="AA113" s="83"/>
      <c r="AB113" s="5"/>
      <c r="AC113" s="453"/>
      <c r="AD113" s="456"/>
      <c r="AE113" s="83"/>
      <c r="AF113" s="5"/>
      <c r="AG113" s="383"/>
      <c r="AH113" s="6"/>
      <c r="AI113" s="83"/>
      <c r="AJ113" s="5"/>
      <c r="AK113" s="168"/>
      <c r="AL113" s="8"/>
      <c r="AM113" s="94"/>
      <c r="AN113" s="86"/>
      <c r="AO113" s="83"/>
      <c r="AP113" s="5"/>
      <c r="AQ113" s="164"/>
      <c r="AR113" s="53"/>
      <c r="AS113" s="48"/>
      <c r="AT113" s="48"/>
      <c r="AU113" s="49"/>
    </row>
    <row r="114" spans="1:47" x14ac:dyDescent="0.25">
      <c r="A114" s="53"/>
      <c r="C114" s="54"/>
      <c r="F114" s="379"/>
      <c r="H114" s="379"/>
      <c r="I114" s="379"/>
      <c r="J114" s="59"/>
      <c r="K114" s="59"/>
      <c r="L114" s="379"/>
      <c r="M114" s="379"/>
      <c r="N114" s="50"/>
      <c r="O114" s="50"/>
      <c r="P114" s="379"/>
      <c r="Q114" s="379"/>
      <c r="R114" s="379"/>
      <c r="T114" s="45">
        <f t="shared" si="9"/>
        <v>21</v>
      </c>
      <c r="U114" s="378"/>
      <c r="V114" s="216" t="str">
        <f>C51</f>
        <v>DEMAND SIDE MANAGEMENT RIDER (DSMR)</v>
      </c>
      <c r="W114" s="378"/>
      <c r="X114" s="378"/>
      <c r="Y114" s="83"/>
      <c r="Z114" s="2"/>
      <c r="AA114" s="83"/>
      <c r="AB114" s="5"/>
      <c r="AC114" s="465">
        <f>DSM_DIST</f>
        <v>5.091E-3</v>
      </c>
      <c r="AD114" s="456"/>
      <c r="AE114" s="83">
        <f>ROUND($AA$111*AC114,0)</f>
        <v>30334</v>
      </c>
      <c r="AF114" s="5"/>
      <c r="AG114" s="383">
        <f>ROUND((AE114/AE$120)*100,1)</f>
        <v>4.5</v>
      </c>
      <c r="AH114" s="6"/>
      <c r="AI114" s="5">
        <f>L51-AE114</f>
        <v>0</v>
      </c>
      <c r="AJ114" s="5"/>
      <c r="AK114" s="168">
        <f t="shared" ref="AK114:AK117" si="10">IF(AE114=0,"0.0 ",ROUND((AI114/AE114)*100,1))</f>
        <v>0</v>
      </c>
      <c r="AL114" s="8"/>
      <c r="AM114" s="94"/>
      <c r="AN114" s="86"/>
      <c r="AO114" s="5">
        <f t="shared" ref="AO114:AO117" si="11">AE114+AM114</f>
        <v>30334</v>
      </c>
      <c r="AP114" s="5"/>
      <c r="AQ114" s="164">
        <f t="shared" ref="AQ114:AQ118" si="12">IF(AO114=0,"0.0 ",ROUND((AI114/AO114)*100,1))</f>
        <v>0</v>
      </c>
      <c r="AR114" s="53"/>
      <c r="AS114" s="48"/>
      <c r="AT114" s="48"/>
      <c r="AU114" s="49"/>
    </row>
    <row r="115" spans="1:47" x14ac:dyDescent="0.25">
      <c r="A115" s="53"/>
      <c r="C115" s="54"/>
      <c r="F115" s="379"/>
      <c r="H115" s="379"/>
      <c r="I115" s="379"/>
      <c r="J115" s="59"/>
      <c r="K115" s="59"/>
      <c r="L115" s="379"/>
      <c r="M115" s="379"/>
      <c r="N115" s="50"/>
      <c r="O115" s="50"/>
      <c r="P115" s="379"/>
      <c r="Q115" s="379"/>
      <c r="R115" s="379"/>
      <c r="T115" s="45">
        <f t="shared" si="9"/>
        <v>22</v>
      </c>
      <c r="U115" s="378"/>
      <c r="V115" s="216" t="str">
        <f>C52</f>
        <v>ENVIRONMENTAL SURCHARGE MECHANISM RIDER (ESM)</v>
      </c>
      <c r="W115" s="378"/>
      <c r="X115" s="378"/>
      <c r="Y115" s="83"/>
      <c r="Z115" s="2"/>
      <c r="AA115" s="83"/>
      <c r="AB115" s="5"/>
      <c r="AC115" s="473">
        <f>CUR_ESM_NONRES</f>
        <v>0.18160000000000001</v>
      </c>
      <c r="AD115" s="9"/>
      <c r="AE115" s="83">
        <f>ROUND((AO111-CUR_BASE_FUEL*AA111)*AC115,0)</f>
        <v>77526</v>
      </c>
      <c r="AF115" s="5"/>
      <c r="AG115" s="383">
        <f>ROUND((AE115/AE$120)*100,1)</f>
        <v>11.5</v>
      </c>
      <c r="AH115" s="6"/>
      <c r="AI115" s="5">
        <f>L52-AE115</f>
        <v>0</v>
      </c>
      <c r="AJ115" s="5"/>
      <c r="AK115" s="168">
        <f t="shared" ref="AK115" si="13">IF(AE115=0,"0.0 ",ROUND((AI115/AE115)*100,1))</f>
        <v>0</v>
      </c>
      <c r="AL115" s="8"/>
      <c r="AM115" s="94"/>
      <c r="AN115" s="86"/>
      <c r="AO115" s="5">
        <f t="shared" ref="AO115" si="14">AE115+AM115</f>
        <v>77526</v>
      </c>
      <c r="AP115" s="5"/>
      <c r="AQ115" s="164">
        <f t="shared" ref="AQ115" si="15">IF(AO115=0,"0.0 ",ROUND((AI115/AO115)*100,1))</f>
        <v>0</v>
      </c>
      <c r="AR115" s="53"/>
      <c r="AS115" s="48"/>
      <c r="AT115" s="48"/>
      <c r="AU115" s="49"/>
    </row>
    <row r="116" spans="1:47" x14ac:dyDescent="0.25">
      <c r="A116" s="53"/>
      <c r="C116" s="54"/>
      <c r="F116" s="379"/>
      <c r="H116" s="379"/>
      <c r="I116" s="379"/>
      <c r="J116" s="59"/>
      <c r="K116" s="59"/>
      <c r="L116" s="379"/>
      <c r="M116" s="379"/>
      <c r="N116" s="50"/>
      <c r="O116" s="50"/>
      <c r="P116" s="379"/>
      <c r="Q116" s="379"/>
      <c r="R116" s="379"/>
      <c r="T116" s="45">
        <f t="shared" si="9"/>
        <v>23</v>
      </c>
      <c r="U116" s="378"/>
      <c r="V116" s="216" t="str">
        <f>C53</f>
        <v>FUEL ADJUSTMENT CLAUSE (FAC)</v>
      </c>
      <c r="W116" s="378"/>
      <c r="X116" s="378"/>
      <c r="Y116" s="83"/>
      <c r="Z116" s="2"/>
      <c r="AA116" s="83"/>
      <c r="AB116" s="5"/>
      <c r="AC116" s="465">
        <f>CUR_FAC</f>
        <v>6.8099999999999996E-4</v>
      </c>
      <c r="AD116" s="456"/>
      <c r="AE116" s="83"/>
      <c r="AF116" s="5"/>
      <c r="AG116" s="383"/>
      <c r="AH116" s="6"/>
      <c r="AI116" s="5"/>
      <c r="AJ116" s="5"/>
      <c r="AK116" s="168"/>
      <c r="AL116" s="8"/>
      <c r="AM116" s="94">
        <f>ROUND(AA111*CUR_FAC,0)</f>
        <v>4058</v>
      </c>
      <c r="AN116" s="86"/>
      <c r="AO116" s="5">
        <f t="shared" si="11"/>
        <v>4058</v>
      </c>
      <c r="AP116" s="5"/>
      <c r="AQ116" s="164">
        <f>IF(AO116=0,0,ROUND(((R53-AO116)/AO116)*100,1))</f>
        <v>0</v>
      </c>
      <c r="AR116" s="53"/>
      <c r="AS116" s="48"/>
      <c r="AT116" s="48"/>
      <c r="AU116" s="49"/>
    </row>
    <row r="117" spans="1:47" x14ac:dyDescent="0.25">
      <c r="A117" s="53"/>
      <c r="C117" s="54"/>
      <c r="F117" s="379"/>
      <c r="H117" s="379"/>
      <c r="I117" s="379"/>
      <c r="J117" s="59"/>
      <c r="K117" s="59"/>
      <c r="L117" s="379"/>
      <c r="M117" s="379"/>
      <c r="N117" s="50"/>
      <c r="O117" s="50"/>
      <c r="P117" s="379"/>
      <c r="Q117" s="379"/>
      <c r="R117" s="379"/>
      <c r="T117" s="45">
        <f t="shared" si="9"/>
        <v>24</v>
      </c>
      <c r="U117" s="378"/>
      <c r="V117" s="216" t="str">
        <f>C54</f>
        <v>PROFIT SHARING MECHANISM (PSM)</v>
      </c>
      <c r="W117" s="378"/>
      <c r="X117" s="378"/>
      <c r="Y117" s="83"/>
      <c r="Z117" s="2"/>
      <c r="AA117" s="83"/>
      <c r="AB117" s="5"/>
      <c r="AC117" s="465">
        <f>RS_PSM</f>
        <v>-1.63E-4</v>
      </c>
      <c r="AD117" s="456"/>
      <c r="AE117" s="81">
        <f>ROUND(AA111*RS_PSM,0)</f>
        <v>-971</v>
      </c>
      <c r="AF117" s="5"/>
      <c r="AG117" s="148">
        <f>ROUND((AE117/AE$120)*100,1)</f>
        <v>-0.1</v>
      </c>
      <c r="AH117" s="6"/>
      <c r="AI117" s="81">
        <f>L54-AE117</f>
        <v>0</v>
      </c>
      <c r="AJ117" s="5"/>
      <c r="AK117" s="163">
        <f t="shared" si="10"/>
        <v>0</v>
      </c>
      <c r="AL117" s="8"/>
      <c r="AM117" s="87"/>
      <c r="AN117" s="86"/>
      <c r="AO117" s="81">
        <f t="shared" si="11"/>
        <v>-971</v>
      </c>
      <c r="AP117" s="5"/>
      <c r="AQ117" s="164">
        <f t="shared" si="12"/>
        <v>0</v>
      </c>
      <c r="AR117" s="53"/>
      <c r="AS117" s="48"/>
      <c r="AT117" s="48"/>
      <c r="AU117" s="49"/>
    </row>
    <row r="118" spans="1:47" x14ac:dyDescent="0.25">
      <c r="A118" s="53"/>
      <c r="C118" s="54"/>
      <c r="F118" s="379"/>
      <c r="H118" s="379"/>
      <c r="I118" s="379"/>
      <c r="J118" s="59"/>
      <c r="K118" s="59"/>
      <c r="L118" s="379"/>
      <c r="M118" s="379"/>
      <c r="N118" s="50"/>
      <c r="O118" s="50"/>
      <c r="P118" s="379"/>
      <c r="Q118" s="379"/>
      <c r="R118" s="379"/>
      <c r="T118" s="45">
        <f t="shared" si="9"/>
        <v>25</v>
      </c>
      <c r="U118" s="378"/>
      <c r="V118" s="222" t="s">
        <v>510</v>
      </c>
      <c r="W118" s="378"/>
      <c r="X118" s="378"/>
      <c r="Y118" s="81"/>
      <c r="Z118" s="2"/>
      <c r="AA118" s="81"/>
      <c r="AB118" s="5"/>
      <c r="AC118" s="455"/>
      <c r="AD118" s="456"/>
      <c r="AE118" s="90">
        <f>SUM(AE114:AE117)</f>
        <v>106889</v>
      </c>
      <c r="AF118" s="5"/>
      <c r="AG118" s="150">
        <f>ROUND((AE118/AE$120)*100,1)</f>
        <v>15.8</v>
      </c>
      <c r="AH118" s="6"/>
      <c r="AI118" s="90">
        <f>SUM(AI114:AI117)</f>
        <v>0</v>
      </c>
      <c r="AJ118" s="5"/>
      <c r="AK118" s="165">
        <f>IF(AE118=0,"0.0 ",ROUND((AI118/AE118)*100,1))</f>
        <v>0</v>
      </c>
      <c r="AL118" s="8"/>
      <c r="AM118" s="89">
        <f>SUM(AM114:AM117)</f>
        <v>4058</v>
      </c>
      <c r="AN118" s="86"/>
      <c r="AO118" s="90">
        <f>SUM(AO114:AO117)</f>
        <v>110947</v>
      </c>
      <c r="AP118" s="5"/>
      <c r="AQ118" s="164">
        <f t="shared" si="12"/>
        <v>0</v>
      </c>
      <c r="AR118" s="53"/>
      <c r="AS118" s="48"/>
      <c r="AT118" s="48"/>
      <c r="AU118" s="49"/>
    </row>
    <row r="119" spans="1:47" x14ac:dyDescent="0.25">
      <c r="A119" s="53"/>
      <c r="C119" s="54"/>
      <c r="F119" s="379"/>
      <c r="H119" s="379"/>
      <c r="I119" s="379"/>
      <c r="J119" s="59"/>
      <c r="K119" s="59"/>
      <c r="L119" s="379"/>
      <c r="M119" s="379"/>
      <c r="N119" s="50"/>
      <c r="O119" s="50"/>
      <c r="P119" s="379"/>
      <c r="Q119" s="379"/>
      <c r="R119" s="379"/>
      <c r="T119" s="45"/>
      <c r="U119" s="378"/>
      <c r="V119" s="69"/>
      <c r="W119" s="378"/>
      <c r="X119" s="378"/>
      <c r="Y119" s="83"/>
      <c r="Z119" s="2"/>
      <c r="AA119" s="83"/>
      <c r="AB119" s="5"/>
      <c r="AC119" s="455"/>
      <c r="AD119" s="456"/>
      <c r="AE119" s="83"/>
      <c r="AF119" s="5"/>
      <c r="AG119" s="383"/>
      <c r="AH119" s="6"/>
      <c r="AI119" s="83"/>
      <c r="AJ119" s="5"/>
      <c r="AK119" s="168"/>
      <c r="AL119" s="8"/>
      <c r="AM119" s="94"/>
      <c r="AN119" s="86"/>
      <c r="AO119" s="83"/>
      <c r="AP119" s="5"/>
      <c r="AQ119" s="164"/>
      <c r="AR119" s="53"/>
      <c r="AS119" s="48"/>
      <c r="AT119" s="48"/>
      <c r="AU119" s="49"/>
    </row>
    <row r="120" spans="1:47" ht="24.75" customHeight="1" thickBot="1" x14ac:dyDescent="0.3">
      <c r="A120" s="54"/>
      <c r="F120" s="379"/>
      <c r="H120" s="379"/>
      <c r="I120" s="379"/>
      <c r="J120" s="59"/>
      <c r="K120" s="59"/>
      <c r="L120" s="379"/>
      <c r="M120" s="379"/>
      <c r="N120" s="379"/>
      <c r="O120" s="379"/>
      <c r="P120" s="379"/>
      <c r="Q120" s="379"/>
      <c r="R120" s="379"/>
      <c r="T120" s="45">
        <f>A57</f>
        <v>26</v>
      </c>
      <c r="U120" s="378"/>
      <c r="V120" s="222" t="s">
        <v>522</v>
      </c>
      <c r="X120" s="46"/>
      <c r="Y120" s="82">
        <f>F57</f>
        <v>540</v>
      </c>
      <c r="Z120" s="2"/>
      <c r="AA120" s="82">
        <f>H57</f>
        <v>5958342</v>
      </c>
      <c r="AB120" s="5"/>
      <c r="AC120" s="9"/>
      <c r="AD120" s="9"/>
      <c r="AE120" s="82">
        <f>AE111+AE118</f>
        <v>675824</v>
      </c>
      <c r="AF120" s="5"/>
      <c r="AG120" s="151">
        <v>100</v>
      </c>
      <c r="AH120" s="6"/>
      <c r="AI120" s="82">
        <f>AI111+AI118</f>
        <v>71859</v>
      </c>
      <c r="AJ120" s="5"/>
      <c r="AK120" s="166">
        <f>IF(AE120=0,"0.0 ",ROUND((AI120/AE120)*100,1))</f>
        <v>10.6</v>
      </c>
      <c r="AL120" s="8"/>
      <c r="AM120" s="82">
        <f>AM111+AM118</f>
        <v>4058</v>
      </c>
      <c r="AN120" s="5"/>
      <c r="AO120" s="82">
        <f>AO111+AO118</f>
        <v>679882</v>
      </c>
      <c r="AP120" s="5"/>
      <c r="AQ120" s="164">
        <f>IF(AO120=0,"0.0 ",ROUND((AI120/AO120)*100,1))</f>
        <v>10.6</v>
      </c>
      <c r="AR120" s="379"/>
      <c r="AS120" s="48"/>
      <c r="AT120" s="48"/>
      <c r="AU120" s="49"/>
    </row>
    <row r="121" spans="1:47" ht="16.5" thickTop="1" x14ac:dyDescent="0.25">
      <c r="L121" s="379"/>
      <c r="M121" s="379"/>
      <c r="N121" s="379"/>
      <c r="O121" s="379"/>
      <c r="P121" s="379"/>
      <c r="Q121" s="379"/>
      <c r="R121" s="379"/>
      <c r="T121" s="378"/>
      <c r="U121" s="378"/>
      <c r="V121" s="378"/>
      <c r="W121" s="378"/>
      <c r="X121" s="378"/>
      <c r="Y121" s="2"/>
      <c r="Z121" s="2"/>
      <c r="AA121" s="2"/>
      <c r="AB121" s="2"/>
      <c r="AC121" s="2"/>
      <c r="AD121" s="2"/>
      <c r="AE121" s="2"/>
      <c r="AF121" s="2"/>
      <c r="AG121" s="147"/>
      <c r="AH121" s="2"/>
      <c r="AI121" s="2"/>
      <c r="AJ121" s="2"/>
      <c r="AK121" s="147"/>
      <c r="AL121" s="2"/>
      <c r="AM121" s="2"/>
      <c r="AN121" s="2"/>
      <c r="AO121" s="2"/>
      <c r="AP121" s="2"/>
      <c r="AQ121" s="147"/>
      <c r="AR121" s="379"/>
      <c r="AS121" s="48"/>
      <c r="AT121" s="48"/>
      <c r="AU121" s="49"/>
    </row>
    <row r="122" spans="1:47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T122" s="378"/>
      <c r="U122" s="378"/>
      <c r="V122" s="243" t="s">
        <v>61</v>
      </c>
      <c r="W122" s="378"/>
      <c r="X122" s="378"/>
      <c r="Y122" s="48"/>
      <c r="Z122" s="378"/>
      <c r="AA122" s="48"/>
      <c r="AB122" s="48"/>
      <c r="AC122" s="51"/>
      <c r="AD122" s="51"/>
      <c r="AE122" s="48"/>
      <c r="AF122" s="48"/>
      <c r="AG122" s="152"/>
      <c r="AH122" s="48"/>
      <c r="AI122" s="378"/>
      <c r="AJ122" s="378"/>
      <c r="AK122" s="143"/>
      <c r="AL122" s="378"/>
      <c r="AM122" s="378"/>
      <c r="AN122" s="378"/>
      <c r="AO122" s="378"/>
      <c r="AP122" s="378"/>
      <c r="AQ122" s="143"/>
    </row>
    <row r="123" spans="1:47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T123" s="378"/>
      <c r="U123" s="378"/>
      <c r="V123" s="243" t="str">
        <f>"(2) REFLECTS FUEL COMPONENT OF "&amp;TEXT(CUR_FAC,"$0.000000;($0.000000)")&amp;"  PER KWH."</f>
        <v>(2) REFLECTS FUEL COMPONENT OF $0.000681  PER KWH.</v>
      </c>
      <c r="W123" s="378"/>
      <c r="X123" s="378"/>
      <c r="Y123" s="48"/>
      <c r="Z123" s="378"/>
      <c r="AA123" s="48"/>
      <c r="AB123" s="48"/>
      <c r="AC123" s="51"/>
      <c r="AD123" s="51"/>
      <c r="AE123" s="48"/>
      <c r="AF123" s="48"/>
      <c r="AG123" s="152"/>
      <c r="AH123" s="48"/>
      <c r="AI123" s="378"/>
      <c r="AJ123" s="378"/>
      <c r="AK123" s="143"/>
      <c r="AL123" s="378"/>
      <c r="AM123" s="378"/>
      <c r="AN123" s="378"/>
      <c r="AO123" s="378"/>
      <c r="AP123" s="378"/>
      <c r="AQ123" s="143"/>
    </row>
    <row r="124" spans="1:47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T124" s="378"/>
      <c r="U124" s="378"/>
      <c r="V124" s="243" t="str">
        <f>"(3) REFLECTS FUEL COST RECOVERY INCLUDED IN BASE RATES OF "&amp;TEXT(CUR_BASE_FUEL,"$0.000000;($0.000000)")&amp;"  PER KWH."</f>
        <v>(3) REFLECTS FUEL COST RECOVERY INCLUDED IN BASE RATES OF $0.023837  PER KWH.</v>
      </c>
      <c r="W124" s="378"/>
      <c r="X124" s="378"/>
      <c r="Y124" s="48"/>
      <c r="Z124" s="378"/>
      <c r="AA124" s="48"/>
      <c r="AB124" s="48"/>
      <c r="AC124" s="51"/>
      <c r="AD124" s="51"/>
      <c r="AE124" s="48"/>
      <c r="AF124" s="48"/>
      <c r="AG124" s="152"/>
      <c r="AH124" s="48"/>
      <c r="AI124" s="378"/>
      <c r="AJ124" s="378"/>
      <c r="AK124" s="143"/>
      <c r="AL124" s="378"/>
      <c r="AM124" s="378"/>
      <c r="AN124" s="378"/>
      <c r="AO124" s="378"/>
      <c r="AP124" s="378"/>
      <c r="AQ124" s="143"/>
    </row>
    <row r="125" spans="1:47" x14ac:dyDescent="0.25"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T125" s="378"/>
      <c r="U125" s="378"/>
      <c r="V125" s="244" t="s">
        <v>449</v>
      </c>
      <c r="W125" s="378"/>
      <c r="X125" s="378"/>
      <c r="Y125" s="378"/>
      <c r="Z125" s="378"/>
      <c r="AA125" s="378"/>
      <c r="AB125" s="378"/>
      <c r="AC125" s="378"/>
      <c r="AD125" s="378"/>
      <c r="AE125" s="378"/>
      <c r="AF125" s="378"/>
      <c r="AG125" s="143"/>
      <c r="AH125" s="378"/>
      <c r="AI125" s="378"/>
      <c r="AJ125" s="378"/>
      <c r="AK125" s="143"/>
      <c r="AL125" s="378"/>
      <c r="AM125" s="378"/>
      <c r="AN125" s="378"/>
      <c r="AO125" s="378"/>
      <c r="AP125" s="378"/>
      <c r="AQ125" s="143"/>
    </row>
    <row r="126" spans="1:47" x14ac:dyDescent="0.25">
      <c r="A126" s="53"/>
      <c r="C126" s="54"/>
      <c r="D126" s="54"/>
      <c r="E126" s="54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154"/>
      <c r="AH126" s="55"/>
      <c r="AI126" s="55"/>
      <c r="AJ126" s="55"/>
      <c r="AK126" s="154"/>
      <c r="AL126" s="55"/>
      <c r="AM126" s="55"/>
      <c r="AN126" s="55"/>
    </row>
    <row r="127" spans="1:47" x14ac:dyDescent="0.25">
      <c r="A127" s="53"/>
      <c r="C127" s="54"/>
      <c r="AA127" s="56"/>
      <c r="AB127" s="56"/>
      <c r="AC127" s="56"/>
      <c r="AD127" s="56"/>
      <c r="AE127" s="56"/>
      <c r="AF127" s="56"/>
      <c r="AG127" s="155"/>
      <c r="AH127" s="56"/>
      <c r="AK127" s="155"/>
      <c r="AL127" s="56"/>
      <c r="AM127" s="56"/>
      <c r="AN127" s="56"/>
    </row>
    <row r="128" spans="1:47" x14ac:dyDescent="0.25">
      <c r="Z128" s="56"/>
      <c r="AA128" s="56"/>
      <c r="AB128" s="56"/>
      <c r="AC128" s="56"/>
      <c r="AD128" s="56"/>
      <c r="AE128" s="56"/>
      <c r="AF128" s="56"/>
      <c r="AG128" s="155"/>
      <c r="AH128" s="56"/>
      <c r="AK128" s="155"/>
      <c r="AL128" s="56"/>
      <c r="AM128" s="56"/>
      <c r="AN128" s="56"/>
    </row>
    <row r="129" spans="1:40" x14ac:dyDescent="0.25">
      <c r="A129" s="53"/>
      <c r="C129" s="54"/>
      <c r="T129" s="56"/>
      <c r="U129" s="56"/>
      <c r="V129" s="56"/>
      <c r="Z129" s="56"/>
      <c r="AA129" s="56"/>
      <c r="AB129" s="56"/>
      <c r="AC129" s="56"/>
      <c r="AD129" s="56"/>
      <c r="AE129" s="56"/>
      <c r="AF129" s="56"/>
      <c r="AG129" s="155"/>
      <c r="AH129" s="56"/>
      <c r="AI129" s="56"/>
      <c r="AJ129" s="56"/>
      <c r="AK129" s="155"/>
      <c r="AL129" s="56"/>
      <c r="AM129" s="56"/>
      <c r="AN129" s="56"/>
    </row>
    <row r="130" spans="1:40" x14ac:dyDescent="0.25">
      <c r="A130" s="53"/>
      <c r="C130" s="54"/>
      <c r="F130" s="449"/>
      <c r="H130" s="449"/>
      <c r="I130" s="449"/>
      <c r="J130" s="461"/>
      <c r="K130" s="461"/>
      <c r="L130" s="379"/>
      <c r="M130" s="379"/>
      <c r="N130" s="50"/>
      <c r="O130" s="50"/>
      <c r="P130" s="53"/>
      <c r="Q130" s="53"/>
      <c r="R130" s="379"/>
      <c r="T130" s="56"/>
      <c r="U130" s="56"/>
      <c r="V130" s="56"/>
      <c r="Y130" s="56"/>
      <c r="Z130" s="56"/>
      <c r="AA130" s="56"/>
      <c r="AB130" s="56"/>
      <c r="AC130" s="56"/>
      <c r="AD130" s="56"/>
      <c r="AE130" s="56"/>
      <c r="AF130" s="56"/>
      <c r="AG130" s="155"/>
      <c r="AH130" s="56"/>
      <c r="AI130" s="56"/>
      <c r="AJ130" s="56"/>
      <c r="AK130" s="155"/>
      <c r="AL130" s="56"/>
      <c r="AM130" s="56"/>
      <c r="AN130" s="56"/>
    </row>
    <row r="131" spans="1:40" x14ac:dyDescent="0.25">
      <c r="A131" s="53"/>
      <c r="C131" s="54"/>
      <c r="F131" s="449"/>
      <c r="H131" s="449"/>
      <c r="I131" s="449"/>
      <c r="J131" s="461"/>
      <c r="K131" s="461"/>
      <c r="L131" s="379"/>
      <c r="M131" s="379"/>
      <c r="N131" s="50"/>
      <c r="O131" s="50"/>
      <c r="P131" s="53"/>
      <c r="Q131" s="53"/>
      <c r="R131" s="379"/>
      <c r="T131" s="56"/>
      <c r="U131" s="56"/>
      <c r="V131" s="56"/>
      <c r="Y131" s="56"/>
      <c r="Z131" s="56"/>
      <c r="AA131" s="56"/>
      <c r="AB131" s="56"/>
      <c r="AC131" s="56"/>
      <c r="AD131" s="56"/>
      <c r="AE131" s="56"/>
      <c r="AF131" s="56"/>
      <c r="AG131" s="155"/>
      <c r="AH131" s="56"/>
      <c r="AI131" s="56"/>
      <c r="AJ131" s="56"/>
      <c r="AK131" s="155"/>
      <c r="AL131" s="56"/>
      <c r="AM131" s="56"/>
      <c r="AN131" s="56"/>
    </row>
    <row r="132" spans="1:40" x14ac:dyDescent="0.25">
      <c r="A132" s="53"/>
      <c r="C132" s="54"/>
      <c r="F132" s="449"/>
      <c r="H132" s="449"/>
      <c r="I132" s="449"/>
      <c r="J132" s="461"/>
      <c r="K132" s="461"/>
      <c r="L132" s="379"/>
      <c r="M132" s="379"/>
      <c r="N132" s="50"/>
      <c r="O132" s="50"/>
      <c r="P132" s="53"/>
      <c r="Q132" s="53"/>
      <c r="R132" s="379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154"/>
      <c r="AH132" s="55"/>
      <c r="AI132" s="55"/>
      <c r="AJ132" s="55"/>
      <c r="AK132" s="154"/>
      <c r="AL132" s="55"/>
      <c r="AM132" s="55"/>
      <c r="AN132" s="55"/>
    </row>
    <row r="133" spans="1:40" x14ac:dyDescent="0.25">
      <c r="F133" s="381"/>
      <c r="H133" s="379"/>
      <c r="I133" s="379"/>
      <c r="J133" s="464"/>
      <c r="K133" s="464"/>
      <c r="L133" s="381"/>
      <c r="M133" s="381"/>
      <c r="N133" s="381"/>
      <c r="O133" s="381"/>
      <c r="P133" s="381"/>
      <c r="Q133" s="381"/>
      <c r="R133" s="381"/>
      <c r="Y133" s="56"/>
      <c r="Z133" s="56"/>
      <c r="AA133" s="56"/>
      <c r="AB133" s="56"/>
      <c r="AC133" s="56"/>
      <c r="AD133" s="56"/>
      <c r="AE133" s="56"/>
      <c r="AF133" s="56"/>
      <c r="AG133" s="155"/>
      <c r="AH133" s="56"/>
      <c r="AI133" s="56"/>
      <c r="AJ133" s="56"/>
      <c r="AK133" s="155"/>
      <c r="AL133" s="56"/>
      <c r="AM133" s="56"/>
      <c r="AN133" s="56"/>
    </row>
    <row r="134" spans="1:40" x14ac:dyDescent="0.25">
      <c r="A134" s="53"/>
      <c r="C134" s="54"/>
      <c r="F134" s="379"/>
      <c r="H134" s="379"/>
      <c r="I134" s="379"/>
      <c r="J134" s="464"/>
      <c r="K134" s="464"/>
      <c r="L134" s="379"/>
      <c r="M134" s="379"/>
      <c r="N134" s="50"/>
      <c r="O134" s="50"/>
      <c r="P134" s="379"/>
      <c r="Q134" s="379"/>
      <c r="R134" s="379"/>
      <c r="T134" s="54"/>
      <c r="U134" s="54"/>
    </row>
    <row r="135" spans="1:40" x14ac:dyDescent="0.25">
      <c r="F135" s="381"/>
      <c r="H135" s="379"/>
      <c r="I135" s="379"/>
      <c r="J135" s="464"/>
      <c r="K135" s="464"/>
      <c r="L135" s="381"/>
      <c r="M135" s="381"/>
      <c r="N135" s="381"/>
      <c r="O135" s="381"/>
      <c r="P135" s="381"/>
      <c r="Q135" s="381"/>
      <c r="R135" s="381"/>
      <c r="T135" s="54"/>
    </row>
    <row r="136" spans="1:40" x14ac:dyDescent="0.25">
      <c r="A136" s="53"/>
      <c r="C136" s="54"/>
      <c r="F136" s="449"/>
      <c r="H136" s="449"/>
      <c r="I136" s="449"/>
      <c r="J136" s="477"/>
      <c r="K136" s="477"/>
      <c r="L136" s="379"/>
      <c r="M136" s="379"/>
      <c r="N136" s="50"/>
      <c r="O136" s="50"/>
      <c r="P136" s="379"/>
      <c r="Q136" s="379"/>
      <c r="R136" s="379"/>
      <c r="S136" s="379"/>
    </row>
    <row r="137" spans="1:40" x14ac:dyDescent="0.25">
      <c r="A137" s="53"/>
      <c r="C137" s="54"/>
      <c r="F137" s="449"/>
      <c r="H137" s="449"/>
      <c r="I137" s="449"/>
      <c r="J137" s="461"/>
      <c r="K137" s="461"/>
      <c r="L137" s="379"/>
      <c r="M137" s="379"/>
      <c r="N137" s="50"/>
      <c r="O137" s="50"/>
      <c r="P137" s="379"/>
      <c r="Q137" s="379"/>
      <c r="R137" s="379"/>
      <c r="T137" s="54"/>
    </row>
    <row r="138" spans="1:40" x14ac:dyDescent="0.25">
      <c r="A138" s="53"/>
      <c r="C138" s="54"/>
      <c r="F138" s="449"/>
      <c r="H138" s="449"/>
      <c r="I138" s="449"/>
      <c r="J138" s="461"/>
      <c r="K138" s="461"/>
      <c r="L138" s="379"/>
      <c r="M138" s="379"/>
      <c r="N138" s="50"/>
      <c r="O138" s="50"/>
      <c r="P138" s="379"/>
      <c r="Q138" s="379"/>
      <c r="R138" s="379"/>
      <c r="T138" s="54"/>
      <c r="V138" s="379"/>
      <c r="Y138" s="449"/>
      <c r="Z138" s="461"/>
      <c r="AA138" s="379"/>
      <c r="AB138" s="379"/>
      <c r="AC138" s="50"/>
      <c r="AD138" s="50"/>
      <c r="AE138" s="379"/>
      <c r="AF138" s="379"/>
      <c r="AG138" s="474"/>
      <c r="AH138" s="475"/>
      <c r="AI138" s="53"/>
      <c r="AJ138" s="53"/>
      <c r="AK138" s="156"/>
      <c r="AL138" s="379"/>
      <c r="AM138" s="476"/>
      <c r="AN138" s="476"/>
    </row>
    <row r="139" spans="1:40" x14ac:dyDescent="0.25">
      <c r="F139" s="379"/>
      <c r="H139" s="381"/>
      <c r="I139" s="381"/>
      <c r="J139" s="464"/>
      <c r="K139" s="464"/>
      <c r="L139" s="381"/>
      <c r="M139" s="381"/>
      <c r="N139" s="381"/>
      <c r="O139" s="381"/>
      <c r="P139" s="381"/>
      <c r="Q139" s="381"/>
      <c r="R139" s="381"/>
      <c r="T139" s="54"/>
      <c r="V139" s="379"/>
      <c r="Y139" s="449"/>
      <c r="Z139" s="461"/>
      <c r="AA139" s="379"/>
      <c r="AB139" s="379"/>
      <c r="AC139" s="50"/>
      <c r="AD139" s="50"/>
      <c r="AE139" s="379"/>
      <c r="AF139" s="379"/>
      <c r="AG139" s="156"/>
      <c r="AH139" s="60"/>
      <c r="AI139" s="53"/>
      <c r="AJ139" s="53"/>
      <c r="AK139" s="156"/>
      <c r="AL139" s="379"/>
      <c r="AM139" s="50"/>
      <c r="AN139" s="50"/>
    </row>
    <row r="140" spans="1:40" x14ac:dyDescent="0.25">
      <c r="A140" s="53"/>
      <c r="C140" s="54"/>
      <c r="F140" s="379"/>
      <c r="H140" s="379"/>
      <c r="I140" s="379"/>
      <c r="J140" s="464"/>
      <c r="K140" s="464"/>
      <c r="L140" s="379"/>
      <c r="M140" s="379"/>
      <c r="N140" s="50"/>
      <c r="O140" s="50"/>
      <c r="P140" s="379"/>
      <c r="Q140" s="379"/>
      <c r="R140" s="379"/>
      <c r="T140" s="54"/>
      <c r="V140" s="379"/>
      <c r="Y140" s="449"/>
      <c r="Z140" s="461"/>
      <c r="AA140" s="379"/>
      <c r="AB140" s="379"/>
      <c r="AC140" s="50"/>
      <c r="AD140" s="50"/>
      <c r="AE140" s="379"/>
      <c r="AF140" s="379"/>
      <c r="AG140" s="156"/>
      <c r="AH140" s="60"/>
      <c r="AI140" s="53"/>
      <c r="AJ140" s="53"/>
      <c r="AK140" s="156"/>
      <c r="AL140" s="379"/>
      <c r="AM140" s="50"/>
      <c r="AN140" s="50"/>
    </row>
    <row r="141" spans="1:40" x14ac:dyDescent="0.25">
      <c r="F141" s="379"/>
      <c r="H141" s="381"/>
      <c r="I141" s="381"/>
      <c r="J141" s="464"/>
      <c r="K141" s="464"/>
      <c r="L141" s="381"/>
      <c r="M141" s="381"/>
      <c r="N141" s="381"/>
      <c r="O141" s="381"/>
      <c r="P141" s="381"/>
      <c r="Q141" s="381"/>
      <c r="R141" s="381"/>
      <c r="V141" s="381"/>
      <c r="Y141" s="379"/>
      <c r="Z141" s="464"/>
      <c r="AA141" s="381"/>
      <c r="AB141" s="381"/>
      <c r="AC141" s="381"/>
      <c r="AD141" s="381"/>
      <c r="AE141" s="381"/>
      <c r="AF141" s="381"/>
      <c r="AI141" s="381"/>
      <c r="AJ141" s="381"/>
      <c r="AK141" s="162"/>
      <c r="AL141" s="381"/>
      <c r="AM141" s="50"/>
      <c r="AN141" s="50"/>
    </row>
    <row r="142" spans="1:40" x14ac:dyDescent="0.25">
      <c r="A142" s="53"/>
      <c r="C142" s="54"/>
      <c r="F142" s="379"/>
      <c r="H142" s="379"/>
      <c r="I142" s="379"/>
      <c r="J142" s="464"/>
      <c r="K142" s="464"/>
      <c r="L142" s="379"/>
      <c r="M142" s="379"/>
      <c r="N142" s="379"/>
      <c r="O142" s="379"/>
      <c r="P142" s="379"/>
      <c r="Q142" s="379"/>
      <c r="R142" s="379"/>
      <c r="T142" s="54"/>
      <c r="V142" s="379"/>
      <c r="Y142" s="379"/>
      <c r="Z142" s="59"/>
      <c r="AA142" s="379"/>
      <c r="AB142" s="379"/>
      <c r="AC142" s="50"/>
      <c r="AD142" s="50"/>
      <c r="AE142" s="379"/>
      <c r="AF142" s="379"/>
      <c r="AG142" s="156"/>
      <c r="AH142" s="60"/>
      <c r="AI142" s="379"/>
      <c r="AJ142" s="379"/>
      <c r="AK142" s="156"/>
      <c r="AL142" s="379"/>
      <c r="AM142" s="50"/>
      <c r="AN142" s="50"/>
    </row>
    <row r="143" spans="1:40" x14ac:dyDescent="0.25">
      <c r="A143" s="53"/>
      <c r="C143" s="54"/>
      <c r="F143" s="379"/>
      <c r="H143" s="449"/>
      <c r="I143" s="449"/>
      <c r="J143" s="221"/>
      <c r="K143" s="221"/>
      <c r="L143" s="379"/>
      <c r="M143" s="379"/>
      <c r="N143" s="50"/>
      <c r="O143" s="50"/>
      <c r="P143" s="379"/>
      <c r="Q143" s="379"/>
      <c r="R143" s="379"/>
      <c r="V143" s="381"/>
      <c r="Y143" s="379"/>
      <c r="Z143" s="464"/>
      <c r="AA143" s="381"/>
      <c r="AB143" s="381"/>
      <c r="AC143" s="381"/>
      <c r="AD143" s="381"/>
      <c r="AE143" s="381"/>
      <c r="AF143" s="381"/>
      <c r="AI143" s="381"/>
      <c r="AJ143" s="381"/>
      <c r="AK143" s="162"/>
      <c r="AL143" s="381"/>
      <c r="AM143" s="50"/>
      <c r="AN143" s="50"/>
    </row>
    <row r="144" spans="1:40" x14ac:dyDescent="0.25">
      <c r="A144" s="53"/>
      <c r="C144" s="54"/>
      <c r="H144" s="449"/>
      <c r="I144" s="449"/>
      <c r="J144" s="221"/>
      <c r="K144" s="221"/>
      <c r="L144" s="379"/>
      <c r="M144" s="379"/>
      <c r="N144" s="50"/>
      <c r="O144" s="50"/>
      <c r="P144" s="379"/>
      <c r="Q144" s="379"/>
      <c r="R144" s="379"/>
      <c r="T144" s="54"/>
      <c r="V144" s="449"/>
      <c r="Y144" s="449"/>
      <c r="Z144" s="477"/>
      <c r="AA144" s="379"/>
      <c r="AB144" s="379"/>
      <c r="AC144" s="50"/>
      <c r="AD144" s="50"/>
      <c r="AE144" s="379"/>
      <c r="AF144" s="379"/>
      <c r="AG144" s="156"/>
      <c r="AH144" s="50"/>
      <c r="AI144" s="379"/>
      <c r="AJ144" s="379"/>
      <c r="AK144" s="156"/>
      <c r="AL144" s="379"/>
      <c r="AM144" s="50"/>
      <c r="AN144" s="50"/>
    </row>
    <row r="145" spans="1:40" x14ac:dyDescent="0.25">
      <c r="F145" s="379"/>
      <c r="H145" s="379"/>
      <c r="I145" s="379"/>
      <c r="J145" s="464"/>
      <c r="K145" s="464"/>
      <c r="L145" s="381"/>
      <c r="M145" s="381"/>
      <c r="N145" s="381"/>
      <c r="O145" s="381"/>
      <c r="P145" s="381"/>
      <c r="Q145" s="381"/>
      <c r="R145" s="381"/>
      <c r="T145" s="54"/>
      <c r="V145" s="449"/>
      <c r="Y145" s="379"/>
      <c r="Z145" s="461"/>
      <c r="AA145" s="379"/>
      <c r="AB145" s="379"/>
      <c r="AC145" s="50"/>
      <c r="AD145" s="50"/>
      <c r="AE145" s="379"/>
      <c r="AF145" s="379"/>
      <c r="AG145" s="156"/>
      <c r="AH145" s="60"/>
      <c r="AI145" s="379"/>
      <c r="AJ145" s="379"/>
      <c r="AK145" s="156"/>
      <c r="AL145" s="379"/>
      <c r="AM145" s="50"/>
      <c r="AN145" s="50"/>
    </row>
    <row r="146" spans="1:40" x14ac:dyDescent="0.25">
      <c r="A146" s="53"/>
      <c r="C146" s="54"/>
      <c r="F146" s="379"/>
      <c r="H146" s="379"/>
      <c r="I146" s="379"/>
      <c r="J146" s="59"/>
      <c r="K146" s="59"/>
      <c r="L146" s="379"/>
      <c r="M146" s="379"/>
      <c r="N146" s="50"/>
      <c r="O146" s="50"/>
      <c r="P146" s="379"/>
      <c r="Q146" s="379"/>
      <c r="R146" s="379"/>
      <c r="T146" s="54"/>
      <c r="V146" s="449"/>
      <c r="Y146" s="379"/>
      <c r="Z146" s="461"/>
      <c r="AA146" s="379"/>
      <c r="AB146" s="379"/>
      <c r="AC146" s="50"/>
      <c r="AD146" s="50"/>
      <c r="AE146" s="379"/>
      <c r="AF146" s="379"/>
      <c r="AG146" s="156"/>
      <c r="AH146" s="60"/>
      <c r="AI146" s="379"/>
      <c r="AJ146" s="379"/>
      <c r="AK146" s="156"/>
      <c r="AL146" s="379"/>
      <c r="AM146" s="50"/>
      <c r="AN146" s="50"/>
    </row>
    <row r="147" spans="1:40" x14ac:dyDescent="0.25">
      <c r="F147" s="379"/>
      <c r="H147" s="379"/>
      <c r="I147" s="379"/>
      <c r="J147" s="464"/>
      <c r="K147" s="464"/>
      <c r="L147" s="381"/>
      <c r="M147" s="381"/>
      <c r="N147" s="381"/>
      <c r="O147" s="381"/>
      <c r="P147" s="381"/>
      <c r="Q147" s="381"/>
      <c r="R147" s="381"/>
      <c r="V147" s="379"/>
      <c r="Y147" s="381"/>
      <c r="Z147" s="464"/>
      <c r="AA147" s="381"/>
      <c r="AB147" s="381"/>
      <c r="AC147" s="381"/>
      <c r="AD147" s="381"/>
      <c r="AE147" s="381"/>
      <c r="AF147" s="381"/>
      <c r="AI147" s="381"/>
      <c r="AJ147" s="381"/>
      <c r="AK147" s="162"/>
      <c r="AL147" s="381"/>
      <c r="AM147" s="50"/>
      <c r="AN147" s="50"/>
    </row>
    <row r="148" spans="1:40" x14ac:dyDescent="0.25">
      <c r="A148" s="53"/>
      <c r="C148" s="54"/>
      <c r="F148" s="379"/>
      <c r="H148" s="379"/>
      <c r="I148" s="379"/>
      <c r="J148" s="59"/>
      <c r="K148" s="59"/>
      <c r="L148" s="379"/>
      <c r="M148" s="379"/>
      <c r="N148" s="50"/>
      <c r="O148" s="50"/>
      <c r="P148" s="379"/>
      <c r="Q148" s="379"/>
      <c r="R148" s="379"/>
      <c r="T148" s="54"/>
      <c r="V148" s="379"/>
      <c r="Y148" s="379"/>
      <c r="Z148" s="464"/>
      <c r="AA148" s="379"/>
      <c r="AB148" s="379"/>
      <c r="AC148" s="50"/>
      <c r="AD148" s="50"/>
      <c r="AE148" s="379"/>
      <c r="AF148" s="379"/>
      <c r="AG148" s="156"/>
      <c r="AH148" s="60"/>
      <c r="AI148" s="379"/>
      <c r="AJ148" s="379"/>
      <c r="AK148" s="156"/>
      <c r="AL148" s="379"/>
      <c r="AM148" s="50"/>
      <c r="AN148" s="50"/>
    </row>
    <row r="149" spans="1:40" x14ac:dyDescent="0.25">
      <c r="A149" s="53"/>
      <c r="C149" s="54"/>
      <c r="F149" s="379"/>
      <c r="H149" s="449"/>
      <c r="I149" s="449"/>
      <c r="J149" s="472"/>
      <c r="K149" s="472"/>
      <c r="L149" s="379"/>
      <c r="M149" s="379"/>
      <c r="N149" s="50"/>
      <c r="O149" s="50"/>
      <c r="P149" s="379"/>
      <c r="Q149" s="379"/>
      <c r="R149" s="379"/>
      <c r="V149" s="379"/>
      <c r="Y149" s="381"/>
      <c r="Z149" s="464"/>
      <c r="AA149" s="381"/>
      <c r="AB149" s="381"/>
      <c r="AC149" s="381"/>
      <c r="AD149" s="381"/>
      <c r="AE149" s="381"/>
      <c r="AF149" s="381"/>
      <c r="AI149" s="381"/>
      <c r="AJ149" s="381"/>
      <c r="AK149" s="162"/>
      <c r="AL149" s="381"/>
      <c r="AM149" s="50"/>
      <c r="AN149" s="50"/>
    </row>
    <row r="150" spans="1:40" x14ac:dyDescent="0.25">
      <c r="F150" s="381"/>
      <c r="H150" s="381"/>
      <c r="I150" s="381"/>
      <c r="J150" s="464"/>
      <c r="K150" s="464"/>
      <c r="L150" s="381"/>
      <c r="M150" s="381"/>
      <c r="N150" s="381"/>
      <c r="O150" s="381"/>
      <c r="P150" s="381"/>
      <c r="Q150" s="381"/>
      <c r="R150" s="381"/>
      <c r="T150" s="54"/>
      <c r="V150" s="379"/>
      <c r="Y150" s="379"/>
      <c r="Z150" s="464"/>
      <c r="AA150" s="379"/>
      <c r="AB150" s="379"/>
      <c r="AC150" s="379"/>
      <c r="AD150" s="379"/>
      <c r="AE150" s="379"/>
      <c r="AF150" s="379"/>
      <c r="AG150" s="156"/>
      <c r="AH150" s="60"/>
      <c r="AI150" s="379"/>
      <c r="AJ150" s="379"/>
      <c r="AK150" s="156"/>
      <c r="AL150" s="379"/>
      <c r="AM150" s="50"/>
      <c r="AN150" s="50"/>
    </row>
    <row r="151" spans="1:40" x14ac:dyDescent="0.25">
      <c r="A151" s="53"/>
      <c r="C151" s="54"/>
      <c r="F151" s="379"/>
      <c r="H151" s="379"/>
      <c r="I151" s="379"/>
      <c r="J151" s="464"/>
      <c r="K151" s="464"/>
      <c r="L151" s="379"/>
      <c r="M151" s="379"/>
      <c r="N151" s="50"/>
      <c r="O151" s="50"/>
      <c r="P151" s="379"/>
      <c r="Q151" s="379"/>
      <c r="R151" s="379"/>
      <c r="S151" s="379"/>
      <c r="T151" s="54"/>
      <c r="V151" s="379"/>
      <c r="Y151" s="379"/>
      <c r="Z151" s="221"/>
      <c r="AA151" s="379"/>
      <c r="AB151" s="379"/>
      <c r="AC151" s="50"/>
      <c r="AD151" s="50"/>
      <c r="AE151" s="379"/>
      <c r="AF151" s="379"/>
      <c r="AG151" s="156"/>
      <c r="AH151" s="60"/>
      <c r="AI151" s="379"/>
      <c r="AJ151" s="379"/>
      <c r="AK151" s="156"/>
      <c r="AL151" s="379"/>
      <c r="AM151" s="50"/>
      <c r="AN151" s="50"/>
    </row>
    <row r="152" spans="1:40" x14ac:dyDescent="0.25">
      <c r="F152" s="381"/>
      <c r="H152" s="381"/>
      <c r="I152" s="381"/>
      <c r="J152" s="464"/>
      <c r="K152" s="464"/>
      <c r="L152" s="381"/>
      <c r="M152" s="381"/>
      <c r="N152" s="381"/>
      <c r="O152" s="381"/>
      <c r="P152" s="381"/>
      <c r="Q152" s="381"/>
      <c r="R152" s="381"/>
      <c r="S152" s="379"/>
      <c r="T152" s="54"/>
      <c r="Y152" s="379"/>
      <c r="Z152" s="221"/>
      <c r="AA152" s="379"/>
      <c r="AB152" s="379"/>
      <c r="AC152" s="50"/>
      <c r="AD152" s="50"/>
      <c r="AE152" s="379"/>
      <c r="AF152" s="379"/>
      <c r="AG152" s="156"/>
      <c r="AH152" s="60"/>
      <c r="AI152" s="379"/>
      <c r="AJ152" s="379"/>
      <c r="AK152" s="156"/>
      <c r="AL152" s="379"/>
      <c r="AM152" s="50"/>
      <c r="AN152" s="50"/>
    </row>
    <row r="153" spans="1:40" x14ac:dyDescent="0.25">
      <c r="A153" s="53"/>
      <c r="C153" s="54"/>
      <c r="F153" s="449"/>
      <c r="H153" s="478"/>
      <c r="I153" s="478"/>
      <c r="J153" s="464"/>
      <c r="K153" s="464"/>
      <c r="L153" s="379"/>
      <c r="M153" s="379"/>
      <c r="N153" s="50"/>
      <c r="O153" s="50"/>
      <c r="P153" s="379"/>
      <c r="Q153" s="379"/>
      <c r="R153" s="379"/>
      <c r="S153" s="379"/>
      <c r="V153" s="379"/>
      <c r="Y153" s="379"/>
      <c r="Z153" s="464"/>
      <c r="AA153" s="381"/>
      <c r="AB153" s="381"/>
      <c r="AC153" s="381"/>
      <c r="AD153" s="381"/>
      <c r="AE153" s="381"/>
      <c r="AF153" s="381"/>
      <c r="AI153" s="381"/>
      <c r="AJ153" s="381"/>
      <c r="AK153" s="162"/>
      <c r="AL153" s="381"/>
      <c r="AM153" s="50"/>
      <c r="AN153" s="50"/>
    </row>
    <row r="154" spans="1:40" x14ac:dyDescent="0.25">
      <c r="T154" s="54"/>
      <c r="V154" s="379"/>
      <c r="Y154" s="379"/>
      <c r="Z154" s="59"/>
      <c r="AA154" s="379"/>
      <c r="AB154" s="379"/>
      <c r="AC154" s="50"/>
      <c r="AD154" s="50"/>
      <c r="AE154" s="379"/>
      <c r="AF154" s="379"/>
      <c r="AG154" s="156"/>
      <c r="AH154" s="60"/>
      <c r="AI154" s="379"/>
      <c r="AJ154" s="379"/>
      <c r="AK154" s="156"/>
      <c r="AL154" s="379"/>
      <c r="AM154" s="50"/>
      <c r="AN154" s="50"/>
    </row>
    <row r="155" spans="1:40" x14ac:dyDescent="0.25">
      <c r="A155" s="53"/>
      <c r="C155" s="54"/>
      <c r="V155" s="379"/>
      <c r="Y155" s="379"/>
      <c r="Z155" s="464"/>
      <c r="AA155" s="381"/>
      <c r="AB155" s="381"/>
      <c r="AC155" s="381"/>
      <c r="AD155" s="381"/>
      <c r="AE155" s="381"/>
      <c r="AF155" s="381"/>
      <c r="AI155" s="381"/>
      <c r="AJ155" s="381"/>
      <c r="AK155" s="162"/>
      <c r="AL155" s="381"/>
      <c r="AM155" s="50"/>
      <c r="AN155" s="50"/>
    </row>
    <row r="156" spans="1:40" x14ac:dyDescent="0.25">
      <c r="A156" s="53"/>
      <c r="C156" s="54"/>
      <c r="F156" s="449"/>
      <c r="H156" s="449"/>
      <c r="I156" s="449"/>
      <c r="J156" s="461"/>
      <c r="K156" s="461"/>
      <c r="L156" s="379"/>
      <c r="M156" s="379"/>
      <c r="N156" s="50"/>
      <c r="O156" s="50"/>
      <c r="P156" s="53"/>
      <c r="Q156" s="53"/>
      <c r="R156" s="379"/>
      <c r="T156" s="54"/>
      <c r="V156" s="379"/>
      <c r="Y156" s="379"/>
      <c r="Z156" s="59"/>
      <c r="AA156" s="379"/>
      <c r="AB156" s="379"/>
      <c r="AC156" s="50"/>
      <c r="AD156" s="50"/>
      <c r="AE156" s="379"/>
      <c r="AF156" s="379"/>
      <c r="AG156" s="156"/>
      <c r="AH156" s="60"/>
      <c r="AI156" s="379"/>
      <c r="AJ156" s="379"/>
      <c r="AK156" s="156"/>
      <c r="AL156" s="379"/>
      <c r="AM156" s="50"/>
      <c r="AN156" s="50"/>
    </row>
    <row r="157" spans="1:40" x14ac:dyDescent="0.25">
      <c r="A157" s="53"/>
      <c r="C157" s="54"/>
      <c r="F157" s="449"/>
      <c r="H157" s="449"/>
      <c r="I157" s="449"/>
      <c r="J157" s="461"/>
      <c r="K157" s="461"/>
      <c r="L157" s="379"/>
      <c r="M157" s="379"/>
      <c r="N157" s="50"/>
      <c r="O157" s="50"/>
      <c r="P157" s="53"/>
      <c r="Q157" s="53"/>
      <c r="R157" s="379"/>
      <c r="T157" s="54"/>
      <c r="V157" s="449"/>
      <c r="Y157" s="379"/>
      <c r="Z157" s="472"/>
      <c r="AA157" s="379"/>
      <c r="AB157" s="379"/>
      <c r="AC157" s="50"/>
      <c r="AD157" s="50"/>
      <c r="AE157" s="379"/>
      <c r="AF157" s="379"/>
      <c r="AG157" s="156"/>
      <c r="AH157" s="60"/>
      <c r="AI157" s="379"/>
      <c r="AJ157" s="379"/>
      <c r="AK157" s="156"/>
      <c r="AL157" s="379"/>
      <c r="AM157" s="50"/>
      <c r="AN157" s="50"/>
    </row>
    <row r="158" spans="1:40" x14ac:dyDescent="0.25">
      <c r="A158" s="53"/>
      <c r="C158" s="54"/>
      <c r="F158" s="449"/>
      <c r="H158" s="449"/>
      <c r="I158" s="449"/>
      <c r="J158" s="461"/>
      <c r="K158" s="461"/>
      <c r="L158" s="379"/>
      <c r="M158" s="379"/>
      <c r="N158" s="50"/>
      <c r="O158" s="50"/>
      <c r="P158" s="53"/>
      <c r="Q158" s="53"/>
      <c r="R158" s="379"/>
      <c r="V158" s="381"/>
      <c r="Y158" s="381"/>
      <c r="Z158" s="464"/>
      <c r="AA158" s="381"/>
      <c r="AB158" s="381"/>
      <c r="AC158" s="381"/>
      <c r="AD158" s="381"/>
      <c r="AE158" s="381"/>
      <c r="AF158" s="381"/>
      <c r="AI158" s="381"/>
      <c r="AJ158" s="381"/>
      <c r="AK158" s="162"/>
      <c r="AL158" s="381"/>
      <c r="AM158" s="50"/>
      <c r="AN158" s="50"/>
    </row>
    <row r="159" spans="1:40" x14ac:dyDescent="0.25">
      <c r="F159" s="381"/>
      <c r="H159" s="379"/>
      <c r="I159" s="379"/>
      <c r="J159" s="464"/>
      <c r="K159" s="464"/>
      <c r="L159" s="381"/>
      <c r="M159" s="381"/>
      <c r="N159" s="381"/>
      <c r="O159" s="381"/>
      <c r="P159" s="381"/>
      <c r="Q159" s="381"/>
      <c r="R159" s="381"/>
      <c r="T159" s="54"/>
      <c r="V159" s="379"/>
      <c r="Y159" s="379"/>
      <c r="Z159" s="464"/>
      <c r="AA159" s="379"/>
      <c r="AB159" s="379"/>
      <c r="AC159" s="50"/>
      <c r="AD159" s="50"/>
      <c r="AE159" s="379"/>
      <c r="AF159" s="379"/>
      <c r="AG159" s="156"/>
      <c r="AH159" s="50"/>
      <c r="AI159" s="379"/>
      <c r="AJ159" s="379"/>
      <c r="AK159" s="156"/>
      <c r="AL159" s="379"/>
      <c r="AM159" s="50"/>
      <c r="AN159" s="50"/>
    </row>
    <row r="160" spans="1:40" x14ac:dyDescent="0.25">
      <c r="A160" s="53"/>
      <c r="C160" s="54"/>
      <c r="F160" s="379"/>
      <c r="H160" s="379"/>
      <c r="I160" s="379"/>
      <c r="J160" s="464"/>
      <c r="K160" s="464"/>
      <c r="L160" s="379"/>
      <c r="M160" s="379"/>
      <c r="N160" s="50"/>
      <c r="O160" s="50"/>
      <c r="P160" s="379"/>
      <c r="Q160" s="379"/>
      <c r="R160" s="379"/>
      <c r="V160" s="381"/>
      <c r="Y160" s="381"/>
      <c r="Z160" s="464"/>
      <c r="AA160" s="381"/>
      <c r="AB160" s="381"/>
      <c r="AC160" s="381"/>
      <c r="AD160" s="381"/>
      <c r="AE160" s="381"/>
      <c r="AF160" s="381"/>
      <c r="AI160" s="381"/>
      <c r="AJ160" s="381"/>
      <c r="AK160" s="162"/>
      <c r="AL160" s="381"/>
      <c r="AM160" s="50"/>
      <c r="AN160" s="50"/>
    </row>
    <row r="161" spans="1:40" x14ac:dyDescent="0.25">
      <c r="F161" s="381"/>
      <c r="H161" s="379"/>
      <c r="I161" s="379"/>
      <c r="J161" s="464"/>
      <c r="K161" s="464"/>
      <c r="L161" s="381"/>
      <c r="M161" s="381"/>
      <c r="N161" s="381"/>
      <c r="O161" s="381"/>
      <c r="P161" s="381"/>
      <c r="Q161" s="381"/>
      <c r="R161" s="381"/>
      <c r="T161" s="54"/>
      <c r="V161" s="449"/>
      <c r="Y161" s="449"/>
      <c r="Z161" s="464"/>
      <c r="AA161" s="379"/>
      <c r="AB161" s="379"/>
      <c r="AC161" s="50"/>
      <c r="AD161" s="50"/>
      <c r="AE161" s="379"/>
      <c r="AF161" s="379"/>
      <c r="AI161" s="379"/>
      <c r="AJ161" s="379"/>
      <c r="AK161" s="156"/>
      <c r="AL161" s="379"/>
      <c r="AM161" s="50"/>
      <c r="AN161" s="50"/>
    </row>
    <row r="162" spans="1:40" x14ac:dyDescent="0.25">
      <c r="A162" s="53"/>
      <c r="C162" s="54"/>
      <c r="F162" s="449"/>
      <c r="H162" s="449"/>
      <c r="I162" s="449"/>
      <c r="J162" s="477"/>
      <c r="K162" s="477"/>
      <c r="L162" s="379"/>
      <c r="M162" s="379"/>
      <c r="N162" s="50"/>
      <c r="O162" s="50"/>
      <c r="P162" s="379"/>
      <c r="Q162" s="379"/>
      <c r="R162" s="379"/>
      <c r="S162" s="379"/>
    </row>
    <row r="163" spans="1:40" x14ac:dyDescent="0.25">
      <c r="A163" s="53"/>
      <c r="C163" s="54"/>
      <c r="F163" s="449"/>
      <c r="H163" s="449"/>
      <c r="I163" s="449"/>
      <c r="J163" s="461"/>
      <c r="K163" s="461"/>
      <c r="L163" s="379"/>
      <c r="M163" s="379"/>
      <c r="N163" s="50"/>
      <c r="O163" s="50"/>
      <c r="P163" s="379"/>
      <c r="Q163" s="379"/>
      <c r="R163" s="379"/>
      <c r="T163" s="54"/>
    </row>
    <row r="164" spans="1:40" x14ac:dyDescent="0.25">
      <c r="A164" s="53"/>
      <c r="C164" s="54"/>
      <c r="F164" s="449"/>
      <c r="H164" s="449"/>
      <c r="I164" s="449"/>
      <c r="J164" s="461"/>
      <c r="K164" s="461"/>
      <c r="L164" s="379"/>
      <c r="M164" s="379"/>
      <c r="N164" s="50"/>
      <c r="O164" s="50"/>
      <c r="P164" s="379"/>
      <c r="Q164" s="379"/>
      <c r="R164" s="379"/>
      <c r="T164" s="54"/>
      <c r="V164" s="379"/>
      <c r="Y164" s="449"/>
      <c r="Z164" s="461"/>
      <c r="AA164" s="379"/>
      <c r="AB164" s="379"/>
      <c r="AC164" s="50"/>
      <c r="AD164" s="50"/>
      <c r="AE164" s="379"/>
      <c r="AF164" s="379"/>
      <c r="AG164" s="474"/>
      <c r="AH164" s="475"/>
      <c r="AI164" s="53"/>
      <c r="AJ164" s="53"/>
      <c r="AK164" s="156"/>
      <c r="AL164" s="379"/>
      <c r="AM164" s="476"/>
      <c r="AN164" s="476"/>
    </row>
    <row r="165" spans="1:40" x14ac:dyDescent="0.25">
      <c r="F165" s="379"/>
      <c r="H165" s="381"/>
      <c r="I165" s="381"/>
      <c r="J165" s="464"/>
      <c r="K165" s="464"/>
      <c r="L165" s="381"/>
      <c r="M165" s="381"/>
      <c r="N165" s="381"/>
      <c r="O165" s="381"/>
      <c r="P165" s="381"/>
      <c r="Q165" s="381"/>
      <c r="R165" s="381"/>
      <c r="T165" s="54"/>
      <c r="V165" s="379"/>
      <c r="Y165" s="449"/>
      <c r="Z165" s="461"/>
      <c r="AA165" s="379"/>
      <c r="AB165" s="379"/>
      <c r="AC165" s="50"/>
      <c r="AD165" s="50"/>
      <c r="AE165" s="379"/>
      <c r="AF165" s="379"/>
      <c r="AG165" s="156"/>
      <c r="AH165" s="60"/>
      <c r="AI165" s="53"/>
      <c r="AJ165" s="53"/>
      <c r="AK165" s="156"/>
      <c r="AL165" s="379"/>
      <c r="AM165" s="50"/>
      <c r="AN165" s="50"/>
    </row>
    <row r="166" spans="1:40" x14ac:dyDescent="0.25">
      <c r="A166" s="53"/>
      <c r="C166" s="54"/>
      <c r="F166" s="379"/>
      <c r="H166" s="379"/>
      <c r="I166" s="379"/>
      <c r="J166" s="464"/>
      <c r="K166" s="464"/>
      <c r="L166" s="379"/>
      <c r="M166" s="379"/>
      <c r="N166" s="50"/>
      <c r="O166" s="50"/>
      <c r="P166" s="379"/>
      <c r="Q166" s="379"/>
      <c r="R166" s="379"/>
      <c r="T166" s="54"/>
      <c r="V166" s="379"/>
      <c r="Y166" s="449"/>
      <c r="Z166" s="461"/>
      <c r="AA166" s="379"/>
      <c r="AB166" s="379"/>
      <c r="AC166" s="50"/>
      <c r="AD166" s="50"/>
      <c r="AE166" s="379"/>
      <c r="AF166" s="379"/>
      <c r="AG166" s="156"/>
      <c r="AH166" s="60"/>
      <c r="AI166" s="53"/>
      <c r="AJ166" s="53"/>
      <c r="AK166" s="156"/>
      <c r="AL166" s="379"/>
      <c r="AM166" s="50"/>
      <c r="AN166" s="50"/>
    </row>
    <row r="167" spans="1:40" x14ac:dyDescent="0.25">
      <c r="F167" s="379"/>
      <c r="H167" s="381"/>
      <c r="I167" s="381"/>
      <c r="J167" s="464"/>
      <c r="K167" s="464"/>
      <c r="L167" s="381"/>
      <c r="M167" s="381"/>
      <c r="N167" s="381"/>
      <c r="O167" s="381"/>
      <c r="P167" s="381"/>
      <c r="Q167" s="381"/>
      <c r="R167" s="381"/>
      <c r="V167" s="381"/>
      <c r="Y167" s="379"/>
      <c r="Z167" s="464"/>
      <c r="AA167" s="381"/>
      <c r="AB167" s="381"/>
      <c r="AC167" s="381"/>
      <c r="AD167" s="381"/>
      <c r="AE167" s="381"/>
      <c r="AF167" s="381"/>
      <c r="AI167" s="381"/>
      <c r="AJ167" s="381"/>
      <c r="AK167" s="162"/>
      <c r="AL167" s="381"/>
      <c r="AM167" s="50"/>
      <c r="AN167" s="50"/>
    </row>
    <row r="168" spans="1:40" x14ac:dyDescent="0.25">
      <c r="A168" s="53"/>
      <c r="C168" s="54"/>
      <c r="F168" s="379"/>
      <c r="H168" s="379"/>
      <c r="I168" s="379"/>
      <c r="J168" s="464"/>
      <c r="K168" s="464"/>
      <c r="L168" s="379"/>
      <c r="M168" s="379"/>
      <c r="N168" s="379"/>
      <c r="O168" s="379"/>
      <c r="P168" s="379"/>
      <c r="Q168" s="379"/>
      <c r="R168" s="379"/>
      <c r="T168" s="54"/>
      <c r="V168" s="379"/>
      <c r="Y168" s="379"/>
      <c r="Z168" s="464"/>
      <c r="AA168" s="379"/>
      <c r="AB168" s="379"/>
      <c r="AC168" s="50"/>
      <c r="AD168" s="50"/>
      <c r="AE168" s="379"/>
      <c r="AF168" s="379"/>
      <c r="AG168" s="156"/>
      <c r="AH168" s="60"/>
      <c r="AI168" s="379"/>
      <c r="AJ168" s="379"/>
      <c r="AK168" s="156"/>
      <c r="AL168" s="379"/>
      <c r="AM168" s="50"/>
      <c r="AN168" s="50"/>
    </row>
    <row r="169" spans="1:40" x14ac:dyDescent="0.25">
      <c r="A169" s="53"/>
      <c r="C169" s="54"/>
      <c r="F169" s="379"/>
      <c r="H169" s="449"/>
      <c r="I169" s="449"/>
      <c r="J169" s="221"/>
      <c r="K169" s="221"/>
      <c r="L169" s="379"/>
      <c r="M169" s="379"/>
      <c r="N169" s="50"/>
      <c r="O169" s="50"/>
      <c r="P169" s="379"/>
      <c r="Q169" s="379"/>
      <c r="R169" s="379"/>
      <c r="V169" s="381"/>
      <c r="Y169" s="379"/>
      <c r="Z169" s="464"/>
      <c r="AA169" s="381"/>
      <c r="AB169" s="381"/>
      <c r="AC169" s="381"/>
      <c r="AD169" s="381"/>
      <c r="AE169" s="381"/>
      <c r="AF169" s="381"/>
      <c r="AI169" s="381"/>
      <c r="AJ169" s="381"/>
      <c r="AK169" s="162"/>
      <c r="AL169" s="381"/>
      <c r="AM169" s="50"/>
      <c r="AN169" s="50"/>
    </row>
    <row r="170" spans="1:40" x14ac:dyDescent="0.25">
      <c r="A170" s="53"/>
      <c r="C170" s="54"/>
      <c r="H170" s="449"/>
      <c r="I170" s="449"/>
      <c r="J170" s="221"/>
      <c r="K170" s="221"/>
      <c r="L170" s="379"/>
      <c r="M170" s="379"/>
      <c r="N170" s="50"/>
      <c r="O170" s="50"/>
      <c r="P170" s="379"/>
      <c r="Q170" s="379"/>
      <c r="R170" s="379"/>
      <c r="T170" s="54"/>
      <c r="V170" s="449"/>
      <c r="Y170" s="449"/>
      <c r="Z170" s="477"/>
      <c r="AA170" s="379"/>
      <c r="AB170" s="379"/>
      <c r="AC170" s="50"/>
      <c r="AD170" s="50"/>
      <c r="AE170" s="379"/>
      <c r="AF170" s="379"/>
      <c r="AG170" s="156"/>
      <c r="AH170" s="50"/>
      <c r="AI170" s="379"/>
      <c r="AJ170" s="379"/>
      <c r="AK170" s="156"/>
      <c r="AL170" s="379"/>
      <c r="AM170" s="50"/>
      <c r="AN170" s="50"/>
    </row>
    <row r="171" spans="1:40" x14ac:dyDescent="0.25">
      <c r="F171" s="379"/>
      <c r="H171" s="379"/>
      <c r="I171" s="379"/>
      <c r="J171" s="464"/>
      <c r="K171" s="464"/>
      <c r="L171" s="381"/>
      <c r="M171" s="381"/>
      <c r="N171" s="381"/>
      <c r="O171" s="381"/>
      <c r="P171" s="381"/>
      <c r="Q171" s="381"/>
      <c r="R171" s="381"/>
      <c r="T171" s="54"/>
      <c r="V171" s="449"/>
      <c r="Y171" s="379"/>
      <c r="Z171" s="461"/>
      <c r="AA171" s="379"/>
      <c r="AB171" s="379"/>
      <c r="AC171" s="50"/>
      <c r="AD171" s="50"/>
      <c r="AE171" s="379"/>
      <c r="AF171" s="379"/>
      <c r="AG171" s="156"/>
      <c r="AH171" s="60"/>
      <c r="AI171" s="379"/>
      <c r="AJ171" s="379"/>
      <c r="AK171" s="156"/>
      <c r="AL171" s="379"/>
      <c r="AM171" s="50"/>
      <c r="AN171" s="50"/>
    </row>
    <row r="172" spans="1:40" x14ac:dyDescent="0.25">
      <c r="A172" s="53"/>
      <c r="C172" s="54"/>
      <c r="F172" s="379"/>
      <c r="H172" s="379"/>
      <c r="I172" s="379"/>
      <c r="J172" s="59"/>
      <c r="K172" s="59"/>
      <c r="L172" s="379"/>
      <c r="M172" s="379"/>
      <c r="N172" s="50"/>
      <c r="O172" s="50"/>
      <c r="P172" s="379"/>
      <c r="Q172" s="379"/>
      <c r="R172" s="379"/>
      <c r="T172" s="54"/>
      <c r="V172" s="449"/>
      <c r="Y172" s="379"/>
      <c r="Z172" s="461"/>
      <c r="AA172" s="379"/>
      <c r="AB172" s="379"/>
      <c r="AC172" s="50"/>
      <c r="AD172" s="50"/>
      <c r="AE172" s="379"/>
      <c r="AF172" s="379"/>
      <c r="AG172" s="156"/>
      <c r="AH172" s="60"/>
      <c r="AI172" s="379"/>
      <c r="AJ172" s="379"/>
      <c r="AK172" s="156"/>
      <c r="AL172" s="379"/>
      <c r="AM172" s="50"/>
      <c r="AN172" s="50"/>
    </row>
    <row r="173" spans="1:40" x14ac:dyDescent="0.25">
      <c r="F173" s="379"/>
      <c r="H173" s="379"/>
      <c r="I173" s="379"/>
      <c r="J173" s="464"/>
      <c r="K173" s="464"/>
      <c r="L173" s="381"/>
      <c r="M173" s="381"/>
      <c r="N173" s="381"/>
      <c r="O173" s="381"/>
      <c r="P173" s="381"/>
      <c r="Q173" s="381"/>
      <c r="R173" s="381"/>
      <c r="V173" s="379"/>
      <c r="Y173" s="381"/>
      <c r="Z173" s="464"/>
      <c r="AA173" s="381"/>
      <c r="AB173" s="381"/>
      <c r="AC173" s="381"/>
      <c r="AD173" s="381"/>
      <c r="AE173" s="381"/>
      <c r="AF173" s="381"/>
      <c r="AI173" s="381"/>
      <c r="AJ173" s="381"/>
      <c r="AK173" s="162"/>
      <c r="AL173" s="381"/>
      <c r="AM173" s="50"/>
      <c r="AN173" s="50"/>
    </row>
    <row r="174" spans="1:40" x14ac:dyDescent="0.25">
      <c r="A174" s="53"/>
      <c r="C174" s="54"/>
      <c r="F174" s="379"/>
      <c r="H174" s="379"/>
      <c r="I174" s="379"/>
      <c r="J174" s="59"/>
      <c r="K174" s="59"/>
      <c r="L174" s="379"/>
      <c r="M174" s="379"/>
      <c r="N174" s="50"/>
      <c r="O174" s="50"/>
      <c r="P174" s="379"/>
      <c r="Q174" s="379"/>
      <c r="R174" s="379"/>
      <c r="T174" s="54"/>
      <c r="V174" s="379"/>
      <c r="Y174" s="379"/>
      <c r="Z174" s="464"/>
      <c r="AA174" s="379"/>
      <c r="AB174" s="379"/>
      <c r="AC174" s="50"/>
      <c r="AD174" s="50"/>
      <c r="AE174" s="379"/>
      <c r="AF174" s="379"/>
      <c r="AG174" s="156"/>
      <c r="AH174" s="60"/>
      <c r="AI174" s="379"/>
      <c r="AJ174" s="379"/>
      <c r="AK174" s="156"/>
      <c r="AL174" s="379"/>
      <c r="AM174" s="50"/>
      <c r="AN174" s="50"/>
    </row>
    <row r="175" spans="1:40" x14ac:dyDescent="0.25">
      <c r="A175" s="53"/>
      <c r="C175" s="54"/>
      <c r="F175" s="449"/>
      <c r="H175" s="449"/>
      <c r="I175" s="449"/>
      <c r="J175" s="472"/>
      <c r="K175" s="472"/>
      <c r="L175" s="379"/>
      <c r="M175" s="379"/>
      <c r="N175" s="50"/>
      <c r="O175" s="50"/>
      <c r="P175" s="379"/>
      <c r="Q175" s="379"/>
      <c r="R175" s="379"/>
      <c r="V175" s="379"/>
      <c r="Y175" s="381"/>
      <c r="Z175" s="464"/>
      <c r="AA175" s="381"/>
      <c r="AB175" s="381"/>
      <c r="AC175" s="381"/>
      <c r="AD175" s="381"/>
      <c r="AE175" s="381"/>
      <c r="AF175" s="381"/>
      <c r="AI175" s="381"/>
      <c r="AJ175" s="381"/>
      <c r="AK175" s="162"/>
      <c r="AL175" s="381"/>
      <c r="AM175" s="50"/>
      <c r="AN175" s="50"/>
    </row>
    <row r="176" spans="1:40" x14ac:dyDescent="0.25">
      <c r="F176" s="381"/>
      <c r="H176" s="381"/>
      <c r="I176" s="381"/>
      <c r="J176" s="464"/>
      <c r="K176" s="464"/>
      <c r="L176" s="381"/>
      <c r="M176" s="381"/>
      <c r="N176" s="381"/>
      <c r="O176" s="381"/>
      <c r="P176" s="381"/>
      <c r="Q176" s="381"/>
      <c r="R176" s="381"/>
      <c r="T176" s="54"/>
      <c r="V176" s="379"/>
      <c r="Y176" s="379"/>
      <c r="Z176" s="464"/>
      <c r="AA176" s="379"/>
      <c r="AB176" s="379"/>
      <c r="AC176" s="379"/>
      <c r="AD176" s="379"/>
      <c r="AE176" s="379"/>
      <c r="AF176" s="379"/>
      <c r="AG176" s="156"/>
      <c r="AH176" s="60"/>
      <c r="AI176" s="379"/>
      <c r="AJ176" s="379"/>
      <c r="AK176" s="156"/>
      <c r="AL176" s="379"/>
      <c r="AM176" s="50"/>
      <c r="AN176" s="50"/>
    </row>
    <row r="177" spans="1:40" x14ac:dyDescent="0.25">
      <c r="A177" s="53"/>
      <c r="C177" s="54"/>
      <c r="F177" s="379"/>
      <c r="H177" s="379"/>
      <c r="I177" s="379"/>
      <c r="J177" s="464"/>
      <c r="K177" s="464"/>
      <c r="L177" s="379"/>
      <c r="M177" s="379"/>
      <c r="N177" s="50"/>
      <c r="O177" s="50"/>
      <c r="P177" s="379"/>
      <c r="Q177" s="379"/>
      <c r="R177" s="379"/>
      <c r="S177" s="379"/>
      <c r="T177" s="54"/>
      <c r="V177" s="379"/>
      <c r="Y177" s="379"/>
      <c r="Z177" s="221"/>
      <c r="AA177" s="379"/>
      <c r="AB177" s="379"/>
      <c r="AC177" s="50"/>
      <c r="AD177" s="50"/>
      <c r="AE177" s="379"/>
      <c r="AF177" s="379"/>
      <c r="AG177" s="156"/>
      <c r="AH177" s="60"/>
      <c r="AI177" s="379"/>
      <c r="AJ177" s="379"/>
      <c r="AK177" s="156"/>
      <c r="AL177" s="379"/>
      <c r="AM177" s="50"/>
      <c r="AN177" s="50"/>
    </row>
    <row r="178" spans="1:40" x14ac:dyDescent="0.25">
      <c r="F178" s="381"/>
      <c r="H178" s="381"/>
      <c r="I178" s="381"/>
      <c r="J178" s="464"/>
      <c r="K178" s="464"/>
      <c r="L178" s="381"/>
      <c r="M178" s="381"/>
      <c r="N178" s="381"/>
      <c r="O178" s="381"/>
      <c r="P178" s="381"/>
      <c r="Q178" s="381"/>
      <c r="R178" s="381"/>
      <c r="S178" s="379"/>
      <c r="T178" s="54"/>
      <c r="Y178" s="379"/>
      <c r="Z178" s="221"/>
      <c r="AA178" s="379"/>
      <c r="AB178" s="379"/>
      <c r="AC178" s="50"/>
      <c r="AD178" s="50"/>
      <c r="AE178" s="379"/>
      <c r="AF178" s="379"/>
      <c r="AG178" s="156"/>
      <c r="AH178" s="60"/>
      <c r="AI178" s="379"/>
      <c r="AJ178" s="379"/>
      <c r="AK178" s="156"/>
      <c r="AL178" s="379"/>
      <c r="AM178" s="50"/>
      <c r="AN178" s="50"/>
    </row>
    <row r="179" spans="1:40" x14ac:dyDescent="0.25">
      <c r="A179" s="53"/>
      <c r="C179" s="54"/>
      <c r="V179" s="379"/>
      <c r="Y179" s="379"/>
      <c r="Z179" s="464"/>
      <c r="AA179" s="381"/>
      <c r="AB179" s="381"/>
      <c r="AC179" s="381"/>
      <c r="AD179" s="381"/>
      <c r="AE179" s="381"/>
      <c r="AF179" s="381"/>
      <c r="AI179" s="381"/>
      <c r="AJ179" s="381"/>
      <c r="AK179" s="162"/>
      <c r="AL179" s="381"/>
      <c r="AM179" s="50"/>
      <c r="AN179" s="50"/>
    </row>
    <row r="180" spans="1:40" x14ac:dyDescent="0.25">
      <c r="A180" s="53"/>
      <c r="C180" s="54"/>
      <c r="F180" s="379"/>
      <c r="H180" s="379"/>
      <c r="I180" s="379"/>
      <c r="L180" s="379"/>
      <c r="M180" s="379"/>
      <c r="N180" s="50"/>
      <c r="O180" s="50"/>
      <c r="P180" s="449"/>
      <c r="Q180" s="449"/>
      <c r="R180" s="379"/>
      <c r="T180" s="54"/>
      <c r="V180" s="379"/>
      <c r="Y180" s="379"/>
      <c r="Z180" s="59"/>
      <c r="AA180" s="379"/>
      <c r="AB180" s="379"/>
      <c r="AC180" s="50"/>
      <c r="AD180" s="50"/>
      <c r="AE180" s="379"/>
      <c r="AF180" s="379"/>
      <c r="AG180" s="156"/>
      <c r="AH180" s="60"/>
      <c r="AI180" s="379"/>
      <c r="AJ180" s="379"/>
      <c r="AK180" s="156"/>
      <c r="AL180" s="379"/>
      <c r="AM180" s="50"/>
      <c r="AN180" s="50"/>
    </row>
    <row r="181" spans="1:40" x14ac:dyDescent="0.25">
      <c r="F181" s="381"/>
      <c r="H181" s="381"/>
      <c r="I181" s="381"/>
      <c r="J181" s="464"/>
      <c r="K181" s="464"/>
      <c r="L181" s="381"/>
      <c r="M181" s="381"/>
      <c r="N181" s="381"/>
      <c r="O181" s="381"/>
      <c r="P181" s="381"/>
      <c r="Q181" s="381"/>
      <c r="R181" s="381"/>
      <c r="V181" s="379"/>
      <c r="Y181" s="379"/>
      <c r="Z181" s="464"/>
      <c r="AA181" s="381"/>
      <c r="AB181" s="381"/>
      <c r="AC181" s="381"/>
      <c r="AD181" s="381"/>
      <c r="AE181" s="381"/>
      <c r="AF181" s="381"/>
      <c r="AI181" s="381"/>
      <c r="AJ181" s="381"/>
      <c r="AK181" s="162"/>
      <c r="AL181" s="381"/>
      <c r="AM181" s="50"/>
      <c r="AN181" s="50"/>
    </row>
    <row r="182" spans="1:40" x14ac:dyDescent="0.25">
      <c r="T182" s="54"/>
      <c r="V182" s="379"/>
      <c r="Y182" s="379"/>
      <c r="Z182" s="59"/>
      <c r="AA182" s="379"/>
      <c r="AB182" s="379"/>
      <c r="AC182" s="50"/>
      <c r="AD182" s="50"/>
      <c r="AE182" s="379"/>
      <c r="AF182" s="379"/>
      <c r="AG182" s="156"/>
      <c r="AH182" s="60"/>
      <c r="AI182" s="379"/>
      <c r="AJ182" s="379"/>
      <c r="AK182" s="156"/>
      <c r="AL182" s="379"/>
      <c r="AM182" s="50"/>
      <c r="AN182" s="50"/>
    </row>
    <row r="183" spans="1:40" x14ac:dyDescent="0.25">
      <c r="C183" s="54"/>
      <c r="L183" s="379"/>
      <c r="M183" s="379"/>
      <c r="N183" s="379"/>
      <c r="O183" s="379"/>
      <c r="P183" s="379"/>
      <c r="Q183" s="379"/>
      <c r="R183" s="379"/>
      <c r="S183" s="379"/>
      <c r="T183" s="54"/>
      <c r="V183" s="449"/>
      <c r="Y183" s="379"/>
      <c r="Z183" s="472"/>
      <c r="AA183" s="379"/>
      <c r="AB183" s="379"/>
      <c r="AC183" s="50"/>
      <c r="AD183" s="50"/>
      <c r="AE183" s="379"/>
      <c r="AF183" s="379"/>
      <c r="AG183" s="156"/>
      <c r="AH183" s="60"/>
      <c r="AI183" s="379"/>
      <c r="AJ183" s="379"/>
      <c r="AK183" s="156"/>
      <c r="AL183" s="379"/>
      <c r="AM183" s="50"/>
      <c r="AN183" s="50"/>
    </row>
    <row r="184" spans="1:40" x14ac:dyDescent="0.25">
      <c r="A184" s="54"/>
      <c r="V184" s="381"/>
      <c r="Y184" s="381"/>
      <c r="Z184" s="464"/>
      <c r="AA184" s="381"/>
      <c r="AB184" s="381"/>
      <c r="AC184" s="381"/>
      <c r="AD184" s="381"/>
      <c r="AE184" s="381"/>
      <c r="AF184" s="381"/>
      <c r="AI184" s="381"/>
      <c r="AJ184" s="381"/>
      <c r="AK184" s="162"/>
      <c r="AL184" s="381"/>
      <c r="AM184" s="50"/>
      <c r="AN184" s="50"/>
    </row>
    <row r="185" spans="1:40" x14ac:dyDescent="0.25">
      <c r="J185" s="53"/>
      <c r="K185" s="53"/>
      <c r="T185" s="54"/>
      <c r="V185" s="379"/>
      <c r="Y185" s="379"/>
      <c r="Z185" s="464"/>
      <c r="AA185" s="379"/>
      <c r="AB185" s="379"/>
      <c r="AC185" s="50"/>
      <c r="AD185" s="50"/>
      <c r="AE185" s="379"/>
      <c r="AF185" s="379"/>
      <c r="AG185" s="156"/>
      <c r="AH185" s="50"/>
      <c r="AI185" s="379"/>
      <c r="AJ185" s="379"/>
      <c r="AK185" s="156"/>
      <c r="AL185" s="379"/>
      <c r="AM185" s="50"/>
      <c r="AN185" s="50"/>
    </row>
    <row r="186" spans="1:40" x14ac:dyDescent="0.25">
      <c r="H186" s="54"/>
      <c r="I186" s="54"/>
      <c r="V186" s="381"/>
      <c r="Y186" s="381"/>
      <c r="Z186" s="464"/>
      <c r="AA186" s="381"/>
      <c r="AB186" s="381"/>
      <c r="AC186" s="381"/>
      <c r="AD186" s="381"/>
      <c r="AE186" s="381"/>
      <c r="AF186" s="381"/>
      <c r="AI186" s="381"/>
      <c r="AJ186" s="381"/>
      <c r="AK186" s="162"/>
      <c r="AL186" s="381"/>
      <c r="AM186" s="50"/>
      <c r="AN186" s="50"/>
    </row>
    <row r="187" spans="1:40" x14ac:dyDescent="0.25">
      <c r="J187" s="53"/>
      <c r="K187" s="53"/>
      <c r="T187" s="54"/>
    </row>
    <row r="188" spans="1:40" x14ac:dyDescent="0.25">
      <c r="L188" s="54"/>
      <c r="M188" s="54"/>
      <c r="AA188" s="54"/>
      <c r="AB188" s="54"/>
    </row>
    <row r="189" spans="1:40" x14ac:dyDescent="0.25">
      <c r="A189" s="53"/>
      <c r="R189" s="54"/>
      <c r="AK189" s="161"/>
      <c r="AL189" s="54"/>
    </row>
    <row r="190" spans="1:40" x14ac:dyDescent="0.25">
      <c r="A190" s="53"/>
      <c r="R190" s="54"/>
      <c r="AK190" s="161"/>
      <c r="AL190" s="54"/>
    </row>
    <row r="191" spans="1:40" x14ac:dyDescent="0.25">
      <c r="A191" s="54"/>
      <c r="R191" s="54"/>
      <c r="AK191" s="161"/>
      <c r="AL191" s="54"/>
    </row>
    <row r="192" spans="1:40" x14ac:dyDescent="0.25">
      <c r="L192" s="54"/>
      <c r="M192" s="54"/>
      <c r="R192" s="53"/>
      <c r="AA192" s="54"/>
      <c r="AB192" s="54"/>
      <c r="AK192" s="156"/>
      <c r="AL192" s="53"/>
    </row>
    <row r="193" spans="1:40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154"/>
      <c r="AH193" s="55"/>
      <c r="AI193" s="55"/>
      <c r="AJ193" s="55"/>
      <c r="AK193" s="154"/>
      <c r="AL193" s="55"/>
      <c r="AM193" s="55"/>
      <c r="AN193" s="55"/>
    </row>
    <row r="194" spans="1:40" x14ac:dyDescent="0.25">
      <c r="L194" s="56"/>
      <c r="M194" s="56"/>
      <c r="N194" s="56"/>
      <c r="O194" s="56"/>
      <c r="R194" s="56"/>
      <c r="AA194" s="56"/>
      <c r="AB194" s="56"/>
      <c r="AC194" s="56"/>
      <c r="AD194" s="56"/>
      <c r="AE194" s="56"/>
      <c r="AF194" s="56"/>
      <c r="AG194" s="155"/>
      <c r="AH194" s="56"/>
      <c r="AK194" s="155"/>
      <c r="AL194" s="56"/>
      <c r="AM194" s="56"/>
      <c r="AN194" s="56"/>
    </row>
    <row r="195" spans="1:40" x14ac:dyDescent="0.25">
      <c r="L195" s="56"/>
      <c r="M195" s="56"/>
      <c r="N195" s="56"/>
      <c r="O195" s="56"/>
      <c r="R195" s="56"/>
      <c r="Z195" s="56"/>
      <c r="AA195" s="56"/>
      <c r="AB195" s="56"/>
      <c r="AC195" s="56"/>
      <c r="AD195" s="56"/>
      <c r="AE195" s="56"/>
      <c r="AF195" s="56"/>
      <c r="AG195" s="155"/>
      <c r="AH195" s="56"/>
      <c r="AK195" s="155"/>
      <c r="AL195" s="56"/>
      <c r="AM195" s="56"/>
      <c r="AN195" s="56"/>
    </row>
    <row r="196" spans="1:40" x14ac:dyDescent="0.25">
      <c r="A196" s="56"/>
      <c r="C196" s="56"/>
      <c r="D196" s="56"/>
      <c r="E196" s="56"/>
      <c r="F196" s="56"/>
      <c r="J196" s="56"/>
      <c r="K196" s="56"/>
      <c r="L196" s="56"/>
      <c r="M196" s="56"/>
      <c r="N196" s="56"/>
      <c r="O196" s="56"/>
      <c r="P196" s="56"/>
      <c r="Q196" s="56"/>
      <c r="R196" s="56"/>
      <c r="T196" s="56"/>
      <c r="U196" s="56"/>
      <c r="V196" s="56"/>
      <c r="Z196" s="56"/>
      <c r="AA196" s="56"/>
      <c r="AB196" s="56"/>
      <c r="AC196" s="56"/>
      <c r="AD196" s="56"/>
      <c r="AE196" s="56"/>
      <c r="AF196" s="56"/>
      <c r="AG196" s="155"/>
      <c r="AH196" s="56"/>
      <c r="AI196" s="56"/>
      <c r="AJ196" s="56"/>
      <c r="AK196" s="155"/>
      <c r="AL196" s="56"/>
      <c r="AM196" s="56"/>
      <c r="AN196" s="56"/>
    </row>
    <row r="197" spans="1:40" x14ac:dyDescent="0.25">
      <c r="A197" s="56"/>
      <c r="C197" s="56"/>
      <c r="D197" s="56"/>
      <c r="E197" s="56"/>
      <c r="F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T197" s="56"/>
      <c r="U197" s="56"/>
      <c r="V197" s="56"/>
      <c r="Y197" s="56"/>
      <c r="Z197" s="56"/>
      <c r="AA197" s="56"/>
      <c r="AB197" s="56"/>
      <c r="AC197" s="56"/>
      <c r="AD197" s="56"/>
      <c r="AE197" s="56"/>
      <c r="AF197" s="56"/>
      <c r="AG197" s="155"/>
      <c r="AH197" s="56"/>
      <c r="AI197" s="56"/>
      <c r="AJ197" s="56"/>
      <c r="AK197" s="155"/>
      <c r="AL197" s="56"/>
      <c r="AM197" s="56"/>
      <c r="AN197" s="56"/>
    </row>
    <row r="198" spans="1:40" x14ac:dyDescent="0.25">
      <c r="C198" s="56"/>
      <c r="D198" s="56"/>
      <c r="E198" s="56"/>
      <c r="F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T198" s="56"/>
      <c r="U198" s="56"/>
      <c r="V198" s="56"/>
      <c r="Y198" s="56"/>
      <c r="Z198" s="56"/>
      <c r="AA198" s="56"/>
      <c r="AB198" s="56"/>
      <c r="AC198" s="56"/>
      <c r="AD198" s="56"/>
      <c r="AE198" s="56"/>
      <c r="AF198" s="56"/>
      <c r="AG198" s="155"/>
      <c r="AH198" s="56"/>
      <c r="AI198" s="56"/>
      <c r="AJ198" s="56"/>
      <c r="AK198" s="155"/>
      <c r="AL198" s="56"/>
      <c r="AM198" s="56"/>
      <c r="AN198" s="56"/>
    </row>
    <row r="199" spans="1:40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154"/>
      <c r="AH199" s="55"/>
      <c r="AI199" s="55"/>
      <c r="AJ199" s="55"/>
      <c r="AK199" s="154"/>
      <c r="AL199" s="55"/>
      <c r="AM199" s="55"/>
      <c r="AN199" s="55"/>
    </row>
    <row r="200" spans="1:40" x14ac:dyDescent="0.25"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Y200" s="56"/>
      <c r="Z200" s="56"/>
      <c r="AA200" s="56"/>
      <c r="AB200" s="56"/>
      <c r="AC200" s="56"/>
      <c r="AD200" s="56"/>
      <c r="AE200" s="56"/>
      <c r="AF200" s="56"/>
      <c r="AG200" s="155"/>
      <c r="AH200" s="56"/>
      <c r="AI200" s="56"/>
      <c r="AJ200" s="56"/>
      <c r="AK200" s="155"/>
      <c r="AL200" s="56"/>
      <c r="AM200" s="56"/>
      <c r="AN200" s="56"/>
    </row>
    <row r="201" spans="1:40" x14ac:dyDescent="0.25">
      <c r="A201" s="53"/>
      <c r="C201" s="54"/>
      <c r="D201" s="54"/>
      <c r="E201" s="54"/>
      <c r="T201" s="54"/>
      <c r="U201" s="54"/>
    </row>
    <row r="202" spans="1:40" x14ac:dyDescent="0.25">
      <c r="A202" s="53"/>
      <c r="D202" s="54"/>
      <c r="E202" s="54"/>
      <c r="U202" s="54"/>
    </row>
    <row r="204" spans="1:40" x14ac:dyDescent="0.25">
      <c r="A204" s="53"/>
      <c r="C204" s="54"/>
      <c r="F204" s="449"/>
      <c r="H204" s="449"/>
      <c r="I204" s="449"/>
      <c r="J204" s="461"/>
      <c r="K204" s="461"/>
      <c r="L204" s="379"/>
      <c r="M204" s="379"/>
      <c r="N204" s="50"/>
      <c r="O204" s="50"/>
      <c r="R204" s="379"/>
      <c r="T204" s="54"/>
      <c r="V204" s="379"/>
      <c r="Y204" s="449"/>
      <c r="Z204" s="461"/>
      <c r="AA204" s="379"/>
      <c r="AB204" s="379"/>
      <c r="AC204" s="50"/>
      <c r="AD204" s="50"/>
      <c r="AE204" s="379"/>
      <c r="AF204" s="379"/>
      <c r="AG204" s="474"/>
      <c r="AH204" s="475"/>
      <c r="AK204" s="156"/>
      <c r="AL204" s="379"/>
      <c r="AM204" s="476"/>
      <c r="AN204" s="476"/>
    </row>
    <row r="205" spans="1:40" x14ac:dyDescent="0.25">
      <c r="A205" s="53"/>
      <c r="C205" s="54"/>
      <c r="F205" s="449"/>
      <c r="H205" s="449"/>
      <c r="I205" s="449"/>
      <c r="J205" s="461"/>
      <c r="K205" s="461"/>
      <c r="L205" s="379"/>
      <c r="M205" s="379"/>
      <c r="N205" s="50"/>
      <c r="O205" s="50"/>
      <c r="P205" s="53"/>
      <c r="Q205" s="53"/>
      <c r="R205" s="379"/>
      <c r="T205" s="54"/>
      <c r="V205" s="379"/>
      <c r="Y205" s="449"/>
      <c r="Z205" s="461"/>
      <c r="AA205" s="379"/>
      <c r="AB205" s="379"/>
      <c r="AC205" s="50"/>
      <c r="AD205" s="50"/>
      <c r="AE205" s="379"/>
      <c r="AF205" s="379"/>
      <c r="AG205" s="156"/>
      <c r="AH205" s="60"/>
      <c r="AI205" s="53"/>
      <c r="AJ205" s="53"/>
      <c r="AK205" s="156"/>
      <c r="AL205" s="379"/>
      <c r="AM205" s="50"/>
      <c r="AN205" s="50"/>
    </row>
    <row r="206" spans="1:40" x14ac:dyDescent="0.25">
      <c r="F206" s="381"/>
      <c r="H206" s="379"/>
      <c r="I206" s="379"/>
      <c r="J206" s="464"/>
      <c r="K206" s="464"/>
      <c r="L206" s="381"/>
      <c r="M206" s="381"/>
      <c r="N206" s="381"/>
      <c r="O206" s="381"/>
      <c r="P206" s="381"/>
      <c r="Q206" s="381"/>
      <c r="R206" s="381"/>
      <c r="V206" s="381"/>
      <c r="Y206" s="379"/>
      <c r="Z206" s="464"/>
      <c r="AA206" s="381"/>
      <c r="AB206" s="381"/>
      <c r="AC206" s="381"/>
      <c r="AD206" s="381"/>
      <c r="AE206" s="381"/>
      <c r="AF206" s="381"/>
      <c r="AI206" s="381"/>
      <c r="AJ206" s="381"/>
      <c r="AK206" s="162"/>
      <c r="AL206" s="381"/>
      <c r="AM206" s="50"/>
      <c r="AN206" s="50"/>
    </row>
    <row r="207" spans="1:40" x14ac:dyDescent="0.25">
      <c r="A207" s="53"/>
      <c r="C207" s="54"/>
      <c r="F207" s="379"/>
      <c r="H207" s="379"/>
      <c r="I207" s="379"/>
      <c r="J207" s="464"/>
      <c r="K207" s="464"/>
      <c r="L207" s="379"/>
      <c r="M207" s="379"/>
      <c r="N207" s="50"/>
      <c r="O207" s="50"/>
      <c r="P207" s="379"/>
      <c r="Q207" s="379"/>
      <c r="R207" s="379"/>
      <c r="T207" s="54"/>
      <c r="V207" s="379"/>
      <c r="Y207" s="379"/>
      <c r="Z207" s="59"/>
      <c r="AA207" s="379"/>
      <c r="AB207" s="379"/>
      <c r="AC207" s="50"/>
      <c r="AD207" s="50"/>
      <c r="AE207" s="379"/>
      <c r="AF207" s="379"/>
      <c r="AG207" s="156"/>
      <c r="AH207" s="60"/>
      <c r="AI207" s="379"/>
      <c r="AJ207" s="379"/>
      <c r="AK207" s="156"/>
      <c r="AL207" s="379"/>
      <c r="AM207" s="50"/>
      <c r="AN207" s="50"/>
    </row>
    <row r="208" spans="1:40" x14ac:dyDescent="0.25">
      <c r="F208" s="381"/>
      <c r="H208" s="379"/>
      <c r="I208" s="379"/>
      <c r="J208" s="464"/>
      <c r="K208" s="464"/>
      <c r="L208" s="381"/>
      <c r="M208" s="381"/>
      <c r="N208" s="381"/>
      <c r="O208" s="381"/>
      <c r="P208" s="381"/>
      <c r="Q208" s="381"/>
      <c r="R208" s="381"/>
      <c r="V208" s="381"/>
      <c r="Y208" s="379"/>
      <c r="Z208" s="464"/>
      <c r="AA208" s="381"/>
      <c r="AB208" s="381"/>
      <c r="AC208" s="381"/>
      <c r="AD208" s="381"/>
      <c r="AE208" s="381"/>
      <c r="AF208" s="381"/>
      <c r="AI208" s="381"/>
      <c r="AJ208" s="381"/>
      <c r="AK208" s="162"/>
      <c r="AL208" s="381"/>
      <c r="AM208" s="50"/>
      <c r="AN208" s="50"/>
    </row>
    <row r="209" spans="1:40" x14ac:dyDescent="0.25">
      <c r="F209" s="379"/>
      <c r="H209" s="379"/>
      <c r="I209" s="379"/>
      <c r="J209" s="464"/>
      <c r="K209" s="464"/>
      <c r="L209" s="379"/>
      <c r="M209" s="379"/>
      <c r="N209" s="50"/>
      <c r="O209" s="50"/>
      <c r="P209" s="379"/>
      <c r="Q209" s="379"/>
      <c r="R209" s="379"/>
      <c r="V209" s="379"/>
      <c r="Y209" s="379"/>
      <c r="Z209" s="59"/>
      <c r="AA209" s="379"/>
      <c r="AB209" s="379"/>
      <c r="AC209" s="50"/>
      <c r="AD209" s="50"/>
      <c r="AE209" s="379"/>
      <c r="AF209" s="379"/>
      <c r="AG209" s="156"/>
      <c r="AH209" s="60"/>
      <c r="AI209" s="379"/>
      <c r="AJ209" s="379"/>
      <c r="AK209" s="156"/>
      <c r="AL209" s="379"/>
      <c r="AM209" s="50"/>
      <c r="AN209" s="50"/>
    </row>
    <row r="210" spans="1:40" x14ac:dyDescent="0.25">
      <c r="A210" s="53"/>
      <c r="C210" s="54"/>
      <c r="F210" s="449"/>
      <c r="H210" s="449"/>
      <c r="I210" s="449"/>
      <c r="J210" s="461"/>
      <c r="K210" s="461"/>
      <c r="L210" s="379"/>
      <c r="M210" s="379"/>
      <c r="N210" s="50"/>
      <c r="O210" s="50"/>
      <c r="P210" s="379"/>
      <c r="Q210" s="379"/>
      <c r="R210" s="379"/>
      <c r="T210" s="54"/>
      <c r="V210" s="449"/>
      <c r="Y210" s="379"/>
      <c r="Z210" s="461"/>
      <c r="AA210" s="379"/>
      <c r="AB210" s="379"/>
      <c r="AC210" s="50"/>
      <c r="AD210" s="50"/>
      <c r="AE210" s="379"/>
      <c r="AF210" s="379"/>
      <c r="AG210" s="474"/>
      <c r="AH210" s="475"/>
      <c r="AI210" s="379"/>
      <c r="AJ210" s="379"/>
      <c r="AK210" s="156"/>
      <c r="AL210" s="379"/>
      <c r="AM210" s="476"/>
      <c r="AN210" s="476"/>
    </row>
    <row r="211" spans="1:40" x14ac:dyDescent="0.25">
      <c r="A211" s="53"/>
      <c r="C211" s="54"/>
      <c r="F211" s="449"/>
      <c r="H211" s="449"/>
      <c r="I211" s="449"/>
      <c r="J211" s="461"/>
      <c r="K211" s="461"/>
      <c r="L211" s="379"/>
      <c r="M211" s="379"/>
      <c r="N211" s="50"/>
      <c r="O211" s="50"/>
      <c r="P211" s="379"/>
      <c r="Q211" s="379"/>
      <c r="R211" s="379"/>
      <c r="T211" s="54"/>
      <c r="V211" s="449"/>
      <c r="Y211" s="379"/>
      <c r="Z211" s="461"/>
      <c r="AA211" s="379"/>
      <c r="AB211" s="379"/>
      <c r="AC211" s="50"/>
      <c r="AD211" s="50"/>
      <c r="AE211" s="379"/>
      <c r="AF211" s="379"/>
      <c r="AG211" s="156"/>
      <c r="AH211" s="60"/>
      <c r="AI211" s="379"/>
      <c r="AJ211" s="379"/>
      <c r="AK211" s="156"/>
      <c r="AL211" s="379"/>
      <c r="AM211" s="50"/>
      <c r="AN211" s="50"/>
    </row>
    <row r="212" spans="1:40" x14ac:dyDescent="0.25">
      <c r="F212" s="379"/>
      <c r="H212" s="381"/>
      <c r="I212" s="381"/>
      <c r="J212" s="464"/>
      <c r="K212" s="464"/>
      <c r="L212" s="381"/>
      <c r="M212" s="381"/>
      <c r="N212" s="381"/>
      <c r="O212" s="381"/>
      <c r="P212" s="381"/>
      <c r="Q212" s="381"/>
      <c r="R212" s="381"/>
      <c r="V212" s="379"/>
      <c r="Y212" s="381"/>
      <c r="Z212" s="464"/>
      <c r="AA212" s="381"/>
      <c r="AB212" s="381"/>
      <c r="AC212" s="381"/>
      <c r="AD212" s="381"/>
      <c r="AE212" s="381"/>
      <c r="AF212" s="381"/>
      <c r="AI212" s="381"/>
      <c r="AJ212" s="381"/>
      <c r="AK212" s="162"/>
      <c r="AL212" s="381"/>
      <c r="AM212" s="50"/>
      <c r="AN212" s="50"/>
    </row>
    <row r="213" spans="1:40" x14ac:dyDescent="0.25">
      <c r="A213" s="53"/>
      <c r="C213" s="54"/>
      <c r="F213" s="379"/>
      <c r="H213" s="379"/>
      <c r="I213" s="379"/>
      <c r="J213" s="464"/>
      <c r="K213" s="464"/>
      <c r="L213" s="379"/>
      <c r="M213" s="379"/>
      <c r="N213" s="50"/>
      <c r="O213" s="50"/>
      <c r="P213" s="379"/>
      <c r="Q213" s="379"/>
      <c r="R213" s="379"/>
      <c r="T213" s="54"/>
      <c r="V213" s="379"/>
      <c r="Y213" s="379"/>
      <c r="Z213" s="464"/>
      <c r="AA213" s="379"/>
      <c r="AB213" s="379"/>
      <c r="AC213" s="50"/>
      <c r="AD213" s="50"/>
      <c r="AE213" s="379"/>
      <c r="AF213" s="379"/>
      <c r="AG213" s="156"/>
      <c r="AH213" s="60"/>
      <c r="AI213" s="379"/>
      <c r="AJ213" s="379"/>
      <c r="AK213" s="156"/>
      <c r="AL213" s="379"/>
      <c r="AM213" s="50"/>
      <c r="AN213" s="50"/>
    </row>
    <row r="214" spans="1:40" x14ac:dyDescent="0.25">
      <c r="F214" s="379"/>
      <c r="H214" s="381"/>
      <c r="I214" s="381"/>
      <c r="J214" s="464"/>
      <c r="K214" s="464"/>
      <c r="L214" s="381"/>
      <c r="M214" s="381"/>
      <c r="N214" s="381"/>
      <c r="O214" s="381"/>
      <c r="P214" s="381"/>
      <c r="Q214" s="381"/>
      <c r="R214" s="381"/>
      <c r="V214" s="379"/>
      <c r="Y214" s="381"/>
      <c r="Z214" s="464"/>
      <c r="AA214" s="381"/>
      <c r="AB214" s="381"/>
      <c r="AC214" s="381"/>
      <c r="AD214" s="381"/>
      <c r="AE214" s="381"/>
      <c r="AF214" s="381"/>
      <c r="AI214" s="381"/>
      <c r="AJ214" s="381"/>
      <c r="AK214" s="162"/>
      <c r="AL214" s="381"/>
      <c r="AM214" s="50"/>
      <c r="AN214" s="50"/>
    </row>
    <row r="215" spans="1:40" x14ac:dyDescent="0.25">
      <c r="F215" s="379"/>
      <c r="H215" s="379"/>
      <c r="I215" s="379"/>
      <c r="J215" s="464"/>
      <c r="K215" s="464"/>
      <c r="L215" s="379"/>
      <c r="M215" s="379"/>
      <c r="N215" s="379"/>
      <c r="O215" s="379"/>
      <c r="P215" s="379"/>
      <c r="Q215" s="379"/>
      <c r="R215" s="379"/>
      <c r="V215" s="379"/>
      <c r="Y215" s="379"/>
      <c r="Z215" s="464"/>
      <c r="AA215" s="379"/>
      <c r="AB215" s="379"/>
      <c r="AC215" s="379"/>
      <c r="AD215" s="379"/>
      <c r="AE215" s="379"/>
      <c r="AF215" s="379"/>
      <c r="AG215" s="156"/>
      <c r="AH215" s="60"/>
      <c r="AI215" s="379"/>
      <c r="AJ215" s="379"/>
      <c r="AK215" s="156"/>
      <c r="AL215" s="379"/>
      <c r="AM215" s="50"/>
      <c r="AN215" s="50"/>
    </row>
    <row r="216" spans="1:40" x14ac:dyDescent="0.25">
      <c r="A216" s="53"/>
      <c r="C216" s="54"/>
      <c r="F216" s="449"/>
      <c r="H216" s="449"/>
      <c r="I216" s="449"/>
      <c r="J216" s="472"/>
      <c r="K216" s="472"/>
      <c r="L216" s="379"/>
      <c r="M216" s="379"/>
      <c r="N216" s="50"/>
      <c r="O216" s="50"/>
      <c r="P216" s="449"/>
      <c r="Q216" s="449"/>
      <c r="R216" s="379"/>
      <c r="T216" s="54"/>
      <c r="V216" s="449"/>
      <c r="Y216" s="449"/>
      <c r="Z216" s="477"/>
      <c r="AA216" s="379"/>
      <c r="AB216" s="379"/>
      <c r="AC216" s="50"/>
      <c r="AD216" s="50"/>
      <c r="AE216" s="379"/>
      <c r="AF216" s="379"/>
      <c r="AG216" s="156"/>
      <c r="AH216" s="60"/>
      <c r="AI216" s="449"/>
      <c r="AJ216" s="449"/>
      <c r="AK216" s="156"/>
      <c r="AL216" s="379"/>
      <c r="AM216" s="50"/>
      <c r="AN216" s="50"/>
    </row>
    <row r="217" spans="1:40" x14ac:dyDescent="0.25">
      <c r="A217" s="53"/>
      <c r="C217" s="54"/>
      <c r="F217" s="449"/>
      <c r="H217" s="449"/>
      <c r="I217" s="449"/>
      <c r="J217" s="472"/>
      <c r="K217" s="472"/>
      <c r="L217" s="379"/>
      <c r="M217" s="379"/>
      <c r="N217" s="50"/>
      <c r="O217" s="50"/>
      <c r="P217" s="449"/>
      <c r="Q217" s="449"/>
      <c r="R217" s="379"/>
      <c r="T217" s="54"/>
      <c r="V217" s="449"/>
      <c r="Y217" s="379"/>
      <c r="Z217" s="463"/>
      <c r="AA217" s="379"/>
      <c r="AB217" s="379"/>
      <c r="AC217" s="50"/>
      <c r="AD217" s="50"/>
      <c r="AE217" s="379"/>
      <c r="AF217" s="379"/>
      <c r="AG217" s="156"/>
      <c r="AH217" s="60"/>
      <c r="AI217" s="449"/>
      <c r="AJ217" s="449"/>
      <c r="AK217" s="156"/>
      <c r="AL217" s="379"/>
      <c r="AM217" s="50"/>
      <c r="AN217" s="50"/>
    </row>
    <row r="218" spans="1:40" x14ac:dyDescent="0.25">
      <c r="A218" s="53"/>
      <c r="C218" s="54"/>
      <c r="F218" s="449"/>
      <c r="H218" s="449"/>
      <c r="I218" s="449"/>
      <c r="J218" s="472"/>
      <c r="K218" s="472"/>
      <c r="L218" s="379"/>
      <c r="M218" s="379"/>
      <c r="N218" s="50"/>
      <c r="O218" s="50"/>
      <c r="P218" s="449"/>
      <c r="Q218" s="449"/>
      <c r="R218" s="379"/>
      <c r="T218" s="54"/>
      <c r="V218" s="449"/>
      <c r="Y218" s="379"/>
      <c r="Z218" s="463"/>
      <c r="AA218" s="379"/>
      <c r="AB218" s="379"/>
      <c r="AC218" s="50"/>
      <c r="AD218" s="50"/>
      <c r="AE218" s="379"/>
      <c r="AF218" s="379"/>
      <c r="AG218" s="156"/>
      <c r="AH218" s="60"/>
      <c r="AI218" s="449"/>
      <c r="AJ218" s="449"/>
      <c r="AK218" s="156"/>
      <c r="AL218" s="379"/>
      <c r="AM218" s="50"/>
      <c r="AN218" s="50"/>
    </row>
    <row r="219" spans="1:40" x14ac:dyDescent="0.25">
      <c r="F219" s="381"/>
      <c r="H219" s="381"/>
      <c r="I219" s="381"/>
      <c r="J219" s="464"/>
      <c r="K219" s="464"/>
      <c r="L219" s="381"/>
      <c r="M219" s="381"/>
      <c r="N219" s="381"/>
      <c r="O219" s="381"/>
      <c r="P219" s="381"/>
      <c r="Q219" s="381"/>
      <c r="R219" s="381"/>
      <c r="V219" s="381"/>
      <c r="Y219" s="381"/>
      <c r="Z219" s="464"/>
      <c r="AA219" s="381"/>
      <c r="AB219" s="381"/>
      <c r="AC219" s="381"/>
      <c r="AD219" s="381"/>
      <c r="AE219" s="381"/>
      <c r="AF219" s="381"/>
      <c r="AI219" s="381"/>
      <c r="AJ219" s="381"/>
      <c r="AK219" s="162"/>
      <c r="AL219" s="381"/>
      <c r="AM219" s="50"/>
      <c r="AN219" s="50"/>
    </row>
    <row r="220" spans="1:40" x14ac:dyDescent="0.25">
      <c r="A220" s="53"/>
      <c r="C220" s="54"/>
      <c r="F220" s="379"/>
      <c r="H220" s="379"/>
      <c r="I220" s="379"/>
      <c r="J220" s="59"/>
      <c r="K220" s="59"/>
      <c r="L220" s="379"/>
      <c r="M220" s="379"/>
      <c r="N220" s="50"/>
      <c r="O220" s="50"/>
      <c r="P220" s="379"/>
      <c r="Q220" s="379"/>
      <c r="R220" s="379"/>
      <c r="T220" s="54"/>
      <c r="V220" s="379"/>
      <c r="Y220" s="379"/>
      <c r="Z220" s="59"/>
      <c r="AA220" s="379"/>
      <c r="AB220" s="379"/>
      <c r="AC220" s="50"/>
      <c r="AD220" s="50"/>
      <c r="AE220" s="379"/>
      <c r="AF220" s="379"/>
      <c r="AG220" s="156"/>
      <c r="AH220" s="60"/>
      <c r="AI220" s="379"/>
      <c r="AJ220" s="379"/>
      <c r="AK220" s="156"/>
      <c r="AL220" s="379"/>
      <c r="AM220" s="50"/>
      <c r="AN220" s="50"/>
    </row>
    <row r="221" spans="1:40" x14ac:dyDescent="0.25">
      <c r="F221" s="381"/>
      <c r="H221" s="381"/>
      <c r="I221" s="381"/>
      <c r="J221" s="464"/>
      <c r="K221" s="464"/>
      <c r="L221" s="381"/>
      <c r="M221" s="381"/>
      <c r="N221" s="381"/>
      <c r="O221" s="381"/>
      <c r="P221" s="381"/>
      <c r="Q221" s="381"/>
      <c r="R221" s="381"/>
      <c r="V221" s="381"/>
      <c r="Y221" s="381"/>
      <c r="Z221" s="464"/>
      <c r="AA221" s="381"/>
      <c r="AB221" s="381"/>
      <c r="AC221" s="381"/>
      <c r="AD221" s="381"/>
      <c r="AE221" s="381"/>
      <c r="AF221" s="381"/>
      <c r="AI221" s="381"/>
      <c r="AJ221" s="381"/>
      <c r="AK221" s="162"/>
      <c r="AL221" s="381"/>
      <c r="AM221" s="50"/>
      <c r="AN221" s="50"/>
    </row>
    <row r="222" spans="1:40" x14ac:dyDescent="0.25">
      <c r="A222" s="53"/>
      <c r="C222" s="54"/>
      <c r="F222" s="379"/>
      <c r="H222" s="379"/>
      <c r="I222" s="379"/>
      <c r="J222" s="59"/>
      <c r="K222" s="59"/>
      <c r="L222" s="379"/>
      <c r="M222" s="379"/>
      <c r="N222" s="50"/>
      <c r="O222" s="50"/>
      <c r="P222" s="379"/>
      <c r="Q222" s="379"/>
      <c r="R222" s="379"/>
      <c r="T222" s="54"/>
      <c r="V222" s="379"/>
      <c r="Y222" s="379"/>
      <c r="Z222" s="59"/>
      <c r="AA222" s="379"/>
      <c r="AB222" s="379"/>
      <c r="AC222" s="50"/>
      <c r="AD222" s="50"/>
      <c r="AE222" s="379"/>
      <c r="AF222" s="379"/>
      <c r="AG222" s="156"/>
      <c r="AH222" s="60"/>
      <c r="AI222" s="379"/>
      <c r="AJ222" s="379"/>
      <c r="AK222" s="156"/>
      <c r="AL222" s="379"/>
      <c r="AM222" s="50"/>
      <c r="AN222" s="50"/>
    </row>
    <row r="223" spans="1:40" x14ac:dyDescent="0.25">
      <c r="A223" s="53"/>
      <c r="C223" s="54"/>
      <c r="F223" s="379"/>
      <c r="H223" s="379"/>
      <c r="I223" s="379"/>
      <c r="J223" s="59"/>
      <c r="K223" s="59"/>
      <c r="L223" s="379"/>
      <c r="M223" s="379"/>
      <c r="N223" s="50"/>
      <c r="O223" s="50"/>
      <c r="P223" s="379"/>
      <c r="Q223" s="379"/>
      <c r="R223" s="379"/>
      <c r="T223" s="54"/>
      <c r="V223" s="379"/>
      <c r="Y223" s="379"/>
      <c r="Z223" s="59"/>
      <c r="AA223" s="379"/>
      <c r="AB223" s="379"/>
      <c r="AC223" s="50"/>
      <c r="AD223" s="50"/>
      <c r="AE223" s="379"/>
      <c r="AF223" s="379"/>
      <c r="AG223" s="156"/>
      <c r="AH223" s="60"/>
      <c r="AI223" s="379"/>
      <c r="AJ223" s="379"/>
      <c r="AK223" s="156"/>
      <c r="AL223" s="379"/>
      <c r="AM223" s="50"/>
      <c r="AN223" s="50"/>
    </row>
    <row r="224" spans="1:40" x14ac:dyDescent="0.25">
      <c r="F224" s="381"/>
      <c r="H224" s="381"/>
      <c r="I224" s="381"/>
      <c r="J224" s="464"/>
      <c r="K224" s="464"/>
      <c r="L224" s="381"/>
      <c r="M224" s="381"/>
      <c r="N224" s="381"/>
      <c r="O224" s="381"/>
      <c r="P224" s="381"/>
      <c r="Q224" s="381"/>
      <c r="R224" s="381"/>
      <c r="V224" s="381"/>
      <c r="Y224" s="381"/>
      <c r="Z224" s="464"/>
      <c r="AA224" s="381"/>
      <c r="AB224" s="381"/>
      <c r="AC224" s="381"/>
      <c r="AD224" s="381"/>
      <c r="AE224" s="381"/>
      <c r="AF224" s="381"/>
      <c r="AI224" s="381"/>
      <c r="AJ224" s="381"/>
      <c r="AK224" s="162"/>
      <c r="AL224" s="381"/>
      <c r="AM224" s="379"/>
      <c r="AN224" s="379"/>
    </row>
    <row r="225" spans="1:40" x14ac:dyDescent="0.25">
      <c r="F225" s="379"/>
      <c r="H225" s="379"/>
      <c r="I225" s="379"/>
      <c r="J225" s="59"/>
      <c r="K225" s="59"/>
      <c r="L225" s="379"/>
      <c r="M225" s="379"/>
      <c r="N225" s="379"/>
      <c r="O225" s="379"/>
      <c r="P225" s="379"/>
      <c r="Q225" s="379"/>
      <c r="R225" s="379"/>
      <c r="V225" s="379"/>
      <c r="Y225" s="379"/>
      <c r="Z225" s="59"/>
      <c r="AA225" s="379"/>
      <c r="AB225" s="379"/>
      <c r="AC225" s="379"/>
      <c r="AD225" s="379"/>
    </row>
    <row r="226" spans="1:40" x14ac:dyDescent="0.25">
      <c r="C226" s="54"/>
      <c r="F226" s="379"/>
      <c r="H226" s="379"/>
      <c r="I226" s="379"/>
      <c r="J226" s="59"/>
      <c r="K226" s="59"/>
      <c r="L226" s="379"/>
      <c r="M226" s="379"/>
      <c r="N226" s="379"/>
      <c r="O226" s="379"/>
      <c r="P226" s="379"/>
      <c r="Q226" s="379"/>
      <c r="R226" s="379"/>
      <c r="T226" s="54"/>
      <c r="V226" s="379"/>
      <c r="Y226" s="379"/>
      <c r="Z226" s="59"/>
      <c r="AA226" s="379"/>
      <c r="AB226" s="379"/>
      <c r="AC226" s="379"/>
      <c r="AD226" s="379"/>
    </row>
    <row r="227" spans="1:40" x14ac:dyDescent="0.25">
      <c r="A227" s="54"/>
    </row>
    <row r="228" spans="1:40" x14ac:dyDescent="0.25">
      <c r="J228" s="53"/>
      <c r="K228" s="53"/>
      <c r="Z228" s="53"/>
    </row>
    <row r="229" spans="1:40" x14ac:dyDescent="0.25">
      <c r="H229" s="54"/>
      <c r="I229" s="54"/>
      <c r="Y229" s="54"/>
    </row>
    <row r="230" spans="1:40" x14ac:dyDescent="0.25">
      <c r="J230" s="53"/>
      <c r="K230" s="53"/>
      <c r="Z230" s="53"/>
    </row>
    <row r="231" spans="1:40" x14ac:dyDescent="0.25">
      <c r="L231" s="54"/>
      <c r="M231" s="54"/>
      <c r="AA231" s="54"/>
      <c r="AB231" s="54"/>
    </row>
    <row r="232" spans="1:40" x14ac:dyDescent="0.25">
      <c r="A232" s="53"/>
      <c r="R232" s="54"/>
      <c r="AK232" s="161"/>
      <c r="AL232" s="54"/>
    </row>
    <row r="233" spans="1:40" x14ac:dyDescent="0.25">
      <c r="A233" s="53"/>
      <c r="R233" s="54"/>
      <c r="AK233" s="161"/>
      <c r="AL233" s="54"/>
    </row>
    <row r="234" spans="1:40" x14ac:dyDescent="0.25">
      <c r="A234" s="54"/>
      <c r="R234" s="54"/>
      <c r="AK234" s="161"/>
      <c r="AL234" s="54"/>
    </row>
    <row r="235" spans="1:40" x14ac:dyDescent="0.25">
      <c r="L235" s="54"/>
      <c r="M235" s="54"/>
      <c r="R235" s="53"/>
      <c r="AA235" s="54"/>
      <c r="AB235" s="54"/>
      <c r="AK235" s="156"/>
      <c r="AL235" s="53"/>
    </row>
    <row r="236" spans="1:40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154"/>
      <c r="AH236" s="55"/>
      <c r="AI236" s="55"/>
      <c r="AJ236" s="55"/>
      <c r="AK236" s="154"/>
      <c r="AL236" s="55"/>
      <c r="AM236" s="55"/>
      <c r="AN236" s="55"/>
    </row>
    <row r="237" spans="1:40" x14ac:dyDescent="0.25">
      <c r="L237" s="56"/>
      <c r="M237" s="56"/>
      <c r="N237" s="56"/>
      <c r="O237" s="56"/>
      <c r="R237" s="56"/>
      <c r="AA237" s="56"/>
      <c r="AB237" s="56"/>
      <c r="AC237" s="56"/>
      <c r="AD237" s="56"/>
      <c r="AE237" s="56"/>
      <c r="AF237" s="56"/>
      <c r="AG237" s="155"/>
      <c r="AH237" s="56"/>
      <c r="AK237" s="155"/>
      <c r="AL237" s="56"/>
      <c r="AM237" s="56"/>
      <c r="AN237" s="56"/>
    </row>
    <row r="238" spans="1:40" x14ac:dyDescent="0.25">
      <c r="L238" s="56"/>
      <c r="M238" s="56"/>
      <c r="N238" s="56"/>
      <c r="O238" s="56"/>
      <c r="R238" s="56"/>
      <c r="Z238" s="56"/>
      <c r="AA238" s="56"/>
      <c r="AB238" s="56"/>
      <c r="AC238" s="56"/>
      <c r="AD238" s="56"/>
      <c r="AE238" s="56"/>
      <c r="AF238" s="56"/>
      <c r="AG238" s="155"/>
      <c r="AH238" s="56"/>
      <c r="AK238" s="155"/>
      <c r="AL238" s="56"/>
      <c r="AM238" s="56"/>
      <c r="AN238" s="56"/>
    </row>
    <row r="239" spans="1:40" x14ac:dyDescent="0.25">
      <c r="A239" s="56"/>
      <c r="C239" s="56"/>
      <c r="D239" s="56"/>
      <c r="E239" s="56"/>
      <c r="F239" s="56"/>
      <c r="J239" s="56"/>
      <c r="K239" s="56"/>
      <c r="L239" s="56"/>
      <c r="M239" s="56"/>
      <c r="N239" s="56"/>
      <c r="O239" s="56"/>
      <c r="P239" s="56"/>
      <c r="Q239" s="56"/>
      <c r="R239" s="56"/>
      <c r="T239" s="56"/>
      <c r="U239" s="56"/>
      <c r="V239" s="56"/>
      <c r="Z239" s="56"/>
      <c r="AA239" s="56"/>
      <c r="AB239" s="56"/>
      <c r="AC239" s="56"/>
      <c r="AD239" s="56"/>
      <c r="AE239" s="56"/>
      <c r="AF239" s="56"/>
      <c r="AG239" s="155"/>
      <c r="AH239" s="56"/>
      <c r="AI239" s="56"/>
      <c r="AJ239" s="56"/>
      <c r="AK239" s="155"/>
      <c r="AL239" s="56"/>
      <c r="AM239" s="56"/>
      <c r="AN239" s="56"/>
    </row>
    <row r="240" spans="1:40" x14ac:dyDescent="0.25">
      <c r="A240" s="56"/>
      <c r="C240" s="56"/>
      <c r="D240" s="56"/>
      <c r="E240" s="56"/>
      <c r="F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T240" s="56"/>
      <c r="U240" s="56"/>
      <c r="V240" s="56"/>
      <c r="Y240" s="56"/>
      <c r="Z240" s="56"/>
      <c r="AA240" s="56"/>
      <c r="AB240" s="56"/>
      <c r="AC240" s="56"/>
      <c r="AD240" s="56"/>
      <c r="AE240" s="56"/>
      <c r="AF240" s="56"/>
      <c r="AG240" s="155"/>
      <c r="AH240" s="56"/>
      <c r="AI240" s="56"/>
      <c r="AJ240" s="56"/>
      <c r="AK240" s="155"/>
      <c r="AL240" s="56"/>
      <c r="AM240" s="56"/>
      <c r="AN240" s="56"/>
    </row>
    <row r="241" spans="1:40" x14ac:dyDescent="0.25">
      <c r="C241" s="56"/>
      <c r="D241" s="56"/>
      <c r="E241" s="56"/>
      <c r="F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T241" s="56"/>
      <c r="U241" s="56"/>
      <c r="V241" s="56"/>
      <c r="Y241" s="56"/>
      <c r="Z241" s="56"/>
      <c r="AA241" s="56"/>
      <c r="AB241" s="56"/>
      <c r="AC241" s="56"/>
      <c r="AD241" s="56"/>
      <c r="AE241" s="56"/>
      <c r="AF241" s="56"/>
      <c r="AG241" s="155"/>
      <c r="AH241" s="56"/>
      <c r="AI241" s="56"/>
      <c r="AJ241" s="56"/>
      <c r="AK241" s="155"/>
      <c r="AL241" s="56"/>
      <c r="AM241" s="56"/>
      <c r="AN241" s="56"/>
    </row>
    <row r="242" spans="1:40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154"/>
      <c r="AH242" s="55"/>
      <c r="AI242" s="55"/>
      <c r="AJ242" s="55"/>
      <c r="AK242" s="154"/>
      <c r="AL242" s="55"/>
      <c r="AM242" s="55"/>
      <c r="AN242" s="55"/>
    </row>
    <row r="243" spans="1:40" x14ac:dyDescent="0.25"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Y243" s="56"/>
      <c r="Z243" s="56"/>
      <c r="AA243" s="56"/>
      <c r="AB243" s="56"/>
      <c r="AC243" s="56"/>
      <c r="AD243" s="56"/>
      <c r="AE243" s="56"/>
      <c r="AF243" s="56"/>
      <c r="AG243" s="155"/>
      <c r="AH243" s="56"/>
      <c r="AI243" s="56"/>
      <c r="AJ243" s="56"/>
      <c r="AK243" s="155"/>
      <c r="AL243" s="56"/>
      <c r="AM243" s="56"/>
      <c r="AN243" s="56"/>
    </row>
    <row r="244" spans="1:40" x14ac:dyDescent="0.25">
      <c r="A244" s="53"/>
      <c r="C244" s="54"/>
      <c r="D244" s="54"/>
      <c r="E244" s="54"/>
      <c r="T244" s="54"/>
      <c r="U244" s="54"/>
    </row>
    <row r="246" spans="1:40" x14ac:dyDescent="0.25">
      <c r="A246" s="53"/>
      <c r="C246" s="54"/>
      <c r="F246" s="449"/>
      <c r="H246" s="470"/>
      <c r="I246" s="470"/>
      <c r="J246" s="461"/>
      <c r="K246" s="461"/>
      <c r="L246" s="379"/>
      <c r="M246" s="379"/>
      <c r="N246" s="53"/>
      <c r="O246" s="53"/>
      <c r="P246" s="53"/>
      <c r="Q246" s="53"/>
      <c r="R246" s="379"/>
      <c r="T246" s="54"/>
      <c r="V246" s="379"/>
      <c r="Y246" s="53"/>
      <c r="Z246" s="461"/>
      <c r="AA246" s="379"/>
      <c r="AB246" s="379"/>
      <c r="AC246" s="53"/>
      <c r="AD246" s="53"/>
      <c r="AE246" s="379"/>
      <c r="AF246" s="379"/>
      <c r="AG246" s="474"/>
      <c r="AH246" s="475"/>
      <c r="AI246" s="379"/>
      <c r="AJ246" s="379"/>
      <c r="AK246" s="156"/>
      <c r="AL246" s="379"/>
      <c r="AM246" s="476"/>
      <c r="AN246" s="476"/>
    </row>
    <row r="247" spans="1:40" x14ac:dyDescent="0.25">
      <c r="F247" s="449"/>
      <c r="H247" s="470"/>
      <c r="I247" s="470"/>
      <c r="J247" s="470"/>
      <c r="K247" s="470"/>
      <c r="R247" s="379"/>
      <c r="V247" s="379"/>
      <c r="Z247" s="470"/>
    </row>
    <row r="248" spans="1:40" x14ac:dyDescent="0.25">
      <c r="A248" s="53"/>
      <c r="C248" s="54"/>
      <c r="F248" s="449"/>
      <c r="H248" s="449"/>
      <c r="I248" s="449"/>
      <c r="J248" s="472"/>
      <c r="K248" s="472"/>
      <c r="L248" s="379"/>
      <c r="M248" s="379"/>
      <c r="N248" s="50"/>
      <c r="O248" s="50"/>
      <c r="P248" s="449"/>
      <c r="Q248" s="449"/>
      <c r="R248" s="379"/>
      <c r="T248" s="54"/>
      <c r="V248" s="379"/>
      <c r="Y248" s="379"/>
      <c r="Z248" s="463"/>
      <c r="AA248" s="379"/>
      <c r="AB248" s="379"/>
      <c r="AC248" s="50"/>
      <c r="AD248" s="50"/>
      <c r="AE248" s="379"/>
      <c r="AF248" s="379"/>
      <c r="AG248" s="156"/>
      <c r="AH248" s="60"/>
      <c r="AI248" s="449"/>
      <c r="AJ248" s="449"/>
      <c r="AK248" s="156"/>
      <c r="AL248" s="379"/>
      <c r="AM248" s="50"/>
      <c r="AN248" s="50"/>
    </row>
    <row r="249" spans="1:40" x14ac:dyDescent="0.25">
      <c r="F249" s="381"/>
      <c r="H249" s="381"/>
      <c r="I249" s="381"/>
      <c r="J249" s="464"/>
      <c r="K249" s="464"/>
      <c r="L249" s="381"/>
      <c r="M249" s="381"/>
      <c r="N249" s="381"/>
      <c r="O249" s="381"/>
      <c r="P249" s="381"/>
      <c r="Q249" s="381"/>
      <c r="R249" s="381"/>
      <c r="V249" s="381"/>
      <c r="Y249" s="381"/>
      <c r="Z249" s="464"/>
      <c r="AA249" s="381"/>
      <c r="AB249" s="381"/>
      <c r="AC249" s="381"/>
      <c r="AD249" s="381"/>
      <c r="AE249" s="381"/>
      <c r="AF249" s="381"/>
      <c r="AI249" s="381"/>
      <c r="AJ249" s="381"/>
      <c r="AK249" s="162"/>
      <c r="AL249" s="381"/>
    </row>
    <row r="250" spans="1:40" x14ac:dyDescent="0.25">
      <c r="A250" s="53"/>
      <c r="D250" s="54"/>
      <c r="E250" s="54"/>
      <c r="F250" s="379"/>
      <c r="H250" s="379"/>
      <c r="I250" s="379"/>
      <c r="J250" s="59"/>
      <c r="K250" s="59"/>
      <c r="L250" s="379"/>
      <c r="M250" s="379"/>
      <c r="N250" s="50"/>
      <c r="O250" s="50"/>
      <c r="P250" s="379"/>
      <c r="Q250" s="379"/>
      <c r="R250" s="379"/>
      <c r="U250" s="54"/>
      <c r="V250" s="379"/>
      <c r="Y250" s="379"/>
      <c r="Z250" s="59"/>
      <c r="AA250" s="379"/>
      <c r="AB250" s="379"/>
      <c r="AC250" s="50"/>
      <c r="AD250" s="50"/>
      <c r="AE250" s="379"/>
      <c r="AF250" s="379"/>
      <c r="AG250" s="156"/>
      <c r="AH250" s="60"/>
      <c r="AI250" s="379"/>
      <c r="AJ250" s="379"/>
      <c r="AK250" s="156"/>
      <c r="AL250" s="379"/>
      <c r="AM250" s="50"/>
      <c r="AN250" s="50"/>
    </row>
    <row r="251" spans="1:40" x14ac:dyDescent="0.25">
      <c r="F251" s="381"/>
      <c r="H251" s="381"/>
      <c r="I251" s="381"/>
      <c r="J251" s="464"/>
      <c r="K251" s="464"/>
      <c r="L251" s="381"/>
      <c r="M251" s="381"/>
      <c r="N251" s="381"/>
      <c r="O251" s="381"/>
      <c r="P251" s="381"/>
      <c r="Q251" s="381"/>
      <c r="R251" s="381"/>
      <c r="V251" s="381"/>
      <c r="Y251" s="381"/>
      <c r="Z251" s="464"/>
      <c r="AA251" s="381"/>
      <c r="AB251" s="381"/>
      <c r="AC251" s="381"/>
      <c r="AD251" s="381"/>
      <c r="AE251" s="381"/>
      <c r="AF251" s="381"/>
      <c r="AI251" s="381"/>
      <c r="AJ251" s="381"/>
      <c r="AK251" s="162"/>
      <c r="AL251" s="381"/>
    </row>
    <row r="252" spans="1:40" x14ac:dyDescent="0.25">
      <c r="R252" s="379"/>
    </row>
    <row r="253" spans="1:40" x14ac:dyDescent="0.25">
      <c r="R253" s="379"/>
    </row>
    <row r="254" spans="1:40" x14ac:dyDescent="0.25">
      <c r="R254" s="379"/>
    </row>
    <row r="255" spans="1:40" x14ac:dyDescent="0.25">
      <c r="A255" s="53"/>
      <c r="C255" s="54"/>
      <c r="D255" s="54"/>
      <c r="E255" s="54"/>
      <c r="H255" s="379"/>
      <c r="I255" s="379"/>
      <c r="J255" s="59"/>
      <c r="K255" s="59"/>
      <c r="L255" s="379"/>
      <c r="M255" s="379"/>
      <c r="N255" s="50"/>
      <c r="O255" s="50"/>
      <c r="P255" s="379"/>
      <c r="Q255" s="379"/>
      <c r="R255" s="379"/>
      <c r="T255" s="54"/>
      <c r="U255" s="54"/>
      <c r="Y255" s="379"/>
      <c r="Z255" s="59"/>
      <c r="AA255" s="379"/>
      <c r="AB255" s="379"/>
      <c r="AC255" s="50"/>
      <c r="AD255" s="50"/>
    </row>
    <row r="256" spans="1:40" x14ac:dyDescent="0.25">
      <c r="H256" s="379"/>
      <c r="I256" s="379"/>
      <c r="J256" s="59"/>
      <c r="K256" s="59"/>
      <c r="L256" s="379"/>
      <c r="M256" s="379"/>
      <c r="N256" s="50"/>
      <c r="O256" s="50"/>
      <c r="P256" s="379"/>
      <c r="Q256" s="379"/>
      <c r="R256" s="379"/>
      <c r="Y256" s="379"/>
      <c r="Z256" s="59"/>
      <c r="AA256" s="379"/>
      <c r="AB256" s="379"/>
      <c r="AC256" s="50"/>
      <c r="AD256" s="50"/>
    </row>
    <row r="257" spans="1:40" x14ac:dyDescent="0.25">
      <c r="A257" s="53"/>
      <c r="C257" s="54"/>
      <c r="F257" s="449"/>
      <c r="H257" s="449"/>
      <c r="I257" s="449"/>
      <c r="J257" s="61"/>
      <c r="K257" s="61"/>
      <c r="L257" s="449"/>
      <c r="M257" s="449"/>
      <c r="N257" s="50"/>
      <c r="O257" s="50"/>
      <c r="P257" s="379"/>
      <c r="Q257" s="379"/>
      <c r="R257" s="379"/>
      <c r="T257" s="54"/>
      <c r="V257" s="379"/>
      <c r="Y257" s="379"/>
      <c r="Z257" s="61"/>
      <c r="AA257" s="379"/>
      <c r="AB257" s="379"/>
      <c r="AC257" s="50"/>
      <c r="AD257" s="50"/>
      <c r="AE257" s="379"/>
      <c r="AF257" s="379"/>
      <c r="AG257" s="156"/>
      <c r="AH257" s="60"/>
      <c r="AI257" s="379"/>
      <c r="AJ257" s="379"/>
      <c r="AK257" s="156"/>
      <c r="AL257" s="379"/>
      <c r="AM257" s="50"/>
      <c r="AN257" s="50"/>
    </row>
    <row r="258" spans="1:40" x14ac:dyDescent="0.25">
      <c r="F258" s="449"/>
      <c r="H258" s="470"/>
      <c r="I258" s="470"/>
      <c r="J258" s="470"/>
      <c r="K258" s="470"/>
      <c r="R258" s="379"/>
      <c r="V258" s="379"/>
      <c r="Z258" s="470"/>
    </row>
    <row r="259" spans="1:40" x14ac:dyDescent="0.25">
      <c r="A259" s="53"/>
      <c r="C259" s="54"/>
      <c r="F259" s="449"/>
      <c r="H259" s="449"/>
      <c r="I259" s="449"/>
      <c r="J259" s="461"/>
      <c r="K259" s="461"/>
      <c r="L259" s="379"/>
      <c r="M259" s="379"/>
      <c r="N259" s="50"/>
      <c r="O259" s="50"/>
      <c r="P259" s="379"/>
      <c r="Q259" s="379"/>
      <c r="R259" s="379"/>
      <c r="T259" s="54"/>
      <c r="V259" s="379"/>
      <c r="Y259" s="379"/>
      <c r="Z259" s="461"/>
      <c r="AA259" s="379"/>
      <c r="AB259" s="379"/>
      <c r="AC259" s="50"/>
      <c r="AD259" s="50"/>
      <c r="AE259" s="379"/>
      <c r="AF259" s="379"/>
      <c r="AG259" s="156"/>
      <c r="AH259" s="60"/>
      <c r="AI259" s="379"/>
      <c r="AJ259" s="379"/>
      <c r="AK259" s="156"/>
      <c r="AL259" s="379"/>
      <c r="AM259" s="50"/>
      <c r="AN259" s="50"/>
    </row>
    <row r="260" spans="1:40" x14ac:dyDescent="0.25">
      <c r="F260" s="449"/>
      <c r="H260" s="470"/>
      <c r="I260" s="470"/>
      <c r="J260" s="470"/>
      <c r="K260" s="470"/>
      <c r="R260" s="379"/>
      <c r="V260" s="379"/>
      <c r="Z260" s="470"/>
    </row>
    <row r="261" spans="1:40" x14ac:dyDescent="0.25">
      <c r="A261" s="53"/>
      <c r="C261" s="54"/>
      <c r="F261" s="449"/>
      <c r="H261" s="449"/>
      <c r="I261" s="449"/>
      <c r="J261" s="472"/>
      <c r="K261" s="472"/>
      <c r="L261" s="379"/>
      <c r="M261" s="379"/>
      <c r="N261" s="50"/>
      <c r="O261" s="50"/>
      <c r="P261" s="379"/>
      <c r="Q261" s="379"/>
      <c r="R261" s="379"/>
      <c r="T261" s="54"/>
      <c r="V261" s="379"/>
      <c r="Y261" s="379"/>
      <c r="Z261" s="463"/>
      <c r="AA261" s="379"/>
      <c r="AB261" s="379"/>
      <c r="AC261" s="50"/>
      <c r="AD261" s="50"/>
      <c r="AE261" s="379"/>
      <c r="AF261" s="379"/>
      <c r="AG261" s="156"/>
      <c r="AH261" s="60"/>
      <c r="AI261" s="379"/>
      <c r="AJ261" s="379"/>
      <c r="AK261" s="156"/>
      <c r="AL261" s="379"/>
      <c r="AM261" s="50"/>
      <c r="AN261" s="50"/>
    </row>
    <row r="262" spans="1:40" x14ac:dyDescent="0.25">
      <c r="F262" s="381"/>
      <c r="H262" s="381"/>
      <c r="I262" s="381"/>
      <c r="J262" s="464"/>
      <c r="K262" s="464"/>
      <c r="L262" s="381"/>
      <c r="M262" s="381"/>
      <c r="N262" s="381"/>
      <c r="O262" s="381"/>
      <c r="P262" s="381"/>
      <c r="Q262" s="381"/>
      <c r="R262" s="381"/>
      <c r="S262" s="379"/>
      <c r="V262" s="381"/>
      <c r="Y262" s="381"/>
      <c r="Z262" s="464"/>
      <c r="AA262" s="381"/>
      <c r="AB262" s="381"/>
      <c r="AC262" s="381"/>
      <c r="AD262" s="381"/>
      <c r="AE262" s="381"/>
      <c r="AF262" s="381"/>
      <c r="AI262" s="381"/>
      <c r="AJ262" s="381"/>
      <c r="AK262" s="162"/>
      <c r="AL262" s="381"/>
    </row>
    <row r="263" spans="1:40" x14ac:dyDescent="0.25">
      <c r="A263" s="53"/>
      <c r="D263" s="54"/>
      <c r="E263" s="54"/>
      <c r="F263" s="379"/>
      <c r="H263" s="379"/>
      <c r="I263" s="379"/>
      <c r="J263" s="59"/>
      <c r="K263" s="59"/>
      <c r="L263" s="379"/>
      <c r="M263" s="379"/>
      <c r="N263" s="50"/>
      <c r="O263" s="50"/>
      <c r="P263" s="449"/>
      <c r="Q263" s="449"/>
      <c r="R263" s="379"/>
      <c r="S263" s="379"/>
      <c r="U263" s="54"/>
      <c r="V263" s="379"/>
      <c r="Y263" s="379"/>
      <c r="Z263" s="59"/>
      <c r="AA263" s="379"/>
      <c r="AB263" s="379"/>
      <c r="AC263" s="50"/>
      <c r="AD263" s="50"/>
      <c r="AE263" s="379"/>
      <c r="AF263" s="379"/>
      <c r="AG263" s="156"/>
      <c r="AH263" s="60"/>
      <c r="AI263" s="449"/>
      <c r="AJ263" s="449"/>
      <c r="AK263" s="156"/>
      <c r="AL263" s="379"/>
      <c r="AM263" s="50"/>
      <c r="AN263" s="50"/>
    </row>
    <row r="264" spans="1:40" x14ac:dyDescent="0.25">
      <c r="F264" s="381"/>
      <c r="H264" s="381"/>
      <c r="I264" s="381"/>
      <c r="J264" s="464"/>
      <c r="K264" s="464"/>
      <c r="L264" s="381"/>
      <c r="M264" s="381"/>
      <c r="N264" s="381"/>
      <c r="O264" s="381"/>
      <c r="P264" s="381"/>
      <c r="Q264" s="381"/>
      <c r="R264" s="381"/>
      <c r="S264" s="379"/>
      <c r="V264" s="381"/>
      <c r="Y264" s="381"/>
      <c r="Z264" s="464"/>
      <c r="AA264" s="381"/>
      <c r="AB264" s="381"/>
      <c r="AC264" s="381"/>
      <c r="AD264" s="381"/>
      <c r="AE264" s="381"/>
      <c r="AF264" s="381"/>
      <c r="AI264" s="381"/>
      <c r="AJ264" s="381"/>
      <c r="AK264" s="162"/>
      <c r="AL264" s="381"/>
    </row>
    <row r="265" spans="1:40" x14ac:dyDescent="0.25">
      <c r="R265" s="379"/>
    </row>
    <row r="266" spans="1:40" x14ac:dyDescent="0.25">
      <c r="F266" s="379"/>
      <c r="H266" s="379"/>
      <c r="I266" s="379"/>
      <c r="J266" s="59"/>
      <c r="K266" s="59"/>
      <c r="L266" s="379"/>
      <c r="M266" s="379"/>
      <c r="N266" s="379"/>
      <c r="O266" s="379"/>
      <c r="P266" s="379"/>
      <c r="Q266" s="379"/>
      <c r="R266" s="379"/>
      <c r="V266" s="379"/>
      <c r="Y266" s="379"/>
      <c r="Z266" s="59"/>
      <c r="AA266" s="379"/>
      <c r="AB266" s="379"/>
      <c r="AC266" s="379"/>
      <c r="AD266" s="379"/>
    </row>
    <row r="267" spans="1:40" x14ac:dyDescent="0.25">
      <c r="C267" s="54"/>
      <c r="F267" s="379"/>
      <c r="H267" s="379"/>
      <c r="I267" s="379"/>
      <c r="J267" s="59"/>
      <c r="K267" s="59"/>
      <c r="L267" s="379"/>
      <c r="M267" s="379"/>
      <c r="N267" s="379"/>
      <c r="O267" s="379"/>
      <c r="P267" s="379"/>
      <c r="Q267" s="379"/>
      <c r="R267" s="379"/>
      <c r="T267" s="54"/>
      <c r="V267" s="379"/>
      <c r="Y267" s="379"/>
      <c r="Z267" s="59"/>
      <c r="AA267" s="379"/>
      <c r="AB267" s="379"/>
      <c r="AC267" s="379"/>
      <c r="AD267" s="379"/>
    </row>
    <row r="268" spans="1:40" x14ac:dyDescent="0.25">
      <c r="C268" s="54"/>
      <c r="T268" s="54"/>
    </row>
    <row r="269" spans="1:40" x14ac:dyDescent="0.25">
      <c r="A269" s="54"/>
    </row>
    <row r="271" spans="1:40" x14ac:dyDescent="0.25">
      <c r="J271" s="53"/>
      <c r="K271" s="53"/>
      <c r="Z271" s="53"/>
    </row>
    <row r="272" spans="1:40" x14ac:dyDescent="0.25">
      <c r="H272" s="54"/>
      <c r="I272" s="54"/>
      <c r="Y272" s="54"/>
    </row>
    <row r="273" spans="1:40" x14ac:dyDescent="0.25">
      <c r="J273" s="53"/>
      <c r="K273" s="53"/>
      <c r="Z273" s="53"/>
    </row>
    <row r="274" spans="1:40" x14ac:dyDescent="0.25">
      <c r="L274" s="54"/>
      <c r="M274" s="54"/>
      <c r="AA274" s="54"/>
      <c r="AB274" s="54"/>
    </row>
    <row r="275" spans="1:40" x14ac:dyDescent="0.25">
      <c r="A275" s="53"/>
      <c r="R275" s="54"/>
      <c r="AK275" s="161"/>
      <c r="AL275" s="54"/>
    </row>
    <row r="276" spans="1:40" x14ac:dyDescent="0.25">
      <c r="A276" s="53"/>
      <c r="R276" s="54"/>
      <c r="AK276" s="161"/>
      <c r="AL276" s="54"/>
    </row>
    <row r="277" spans="1:40" x14ac:dyDescent="0.25">
      <c r="A277" s="54"/>
      <c r="R277" s="54"/>
      <c r="AK277" s="161"/>
      <c r="AL277" s="54"/>
    </row>
    <row r="278" spans="1:40" x14ac:dyDescent="0.25">
      <c r="L278" s="54"/>
      <c r="M278" s="54"/>
      <c r="R278" s="53"/>
      <c r="AA278" s="54"/>
      <c r="AB278" s="54"/>
      <c r="AK278" s="156"/>
      <c r="AL278" s="53"/>
    </row>
    <row r="279" spans="1:40" x14ac:dyDescent="0.25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154"/>
      <c r="AH279" s="55"/>
      <c r="AI279" s="55"/>
      <c r="AJ279" s="55"/>
      <c r="AK279" s="154"/>
      <c r="AL279" s="55"/>
      <c r="AM279" s="55"/>
      <c r="AN279" s="55"/>
    </row>
    <row r="280" spans="1:40" x14ac:dyDescent="0.25">
      <c r="L280" s="56"/>
      <c r="M280" s="56"/>
      <c r="N280" s="56"/>
      <c r="O280" s="56"/>
      <c r="R280" s="56"/>
      <c r="AA280" s="56"/>
      <c r="AB280" s="56"/>
      <c r="AC280" s="56"/>
      <c r="AD280" s="56"/>
      <c r="AE280" s="56"/>
      <c r="AF280" s="56"/>
      <c r="AG280" s="155"/>
      <c r="AH280" s="56"/>
      <c r="AK280" s="155"/>
      <c r="AL280" s="56"/>
      <c r="AM280" s="56"/>
      <c r="AN280" s="56"/>
    </row>
    <row r="281" spans="1:40" x14ac:dyDescent="0.25">
      <c r="L281" s="56"/>
      <c r="M281" s="56"/>
      <c r="N281" s="56"/>
      <c r="O281" s="56"/>
      <c r="R281" s="56"/>
      <c r="Z281" s="56"/>
      <c r="AA281" s="56"/>
      <c r="AB281" s="56"/>
      <c r="AC281" s="56"/>
      <c r="AD281" s="56"/>
      <c r="AE281" s="56"/>
      <c r="AF281" s="56"/>
      <c r="AG281" s="155"/>
      <c r="AH281" s="56"/>
      <c r="AK281" s="155"/>
      <c r="AL281" s="56"/>
      <c r="AM281" s="56"/>
      <c r="AN281" s="56"/>
    </row>
    <row r="282" spans="1:40" x14ac:dyDescent="0.25">
      <c r="A282" s="56"/>
      <c r="C282" s="56"/>
      <c r="D282" s="56"/>
      <c r="E282" s="56"/>
      <c r="F282" s="56"/>
      <c r="J282" s="56"/>
      <c r="K282" s="56"/>
      <c r="L282" s="56"/>
      <c r="M282" s="56"/>
      <c r="N282" s="56"/>
      <c r="O282" s="56"/>
      <c r="P282" s="56"/>
      <c r="Q282" s="56"/>
      <c r="R282" s="56"/>
      <c r="T282" s="56"/>
      <c r="U282" s="56"/>
      <c r="V282" s="56"/>
      <c r="Z282" s="56"/>
      <c r="AA282" s="56"/>
      <c r="AB282" s="56"/>
      <c r="AC282" s="56"/>
      <c r="AD282" s="56"/>
      <c r="AE282" s="56"/>
      <c r="AF282" s="56"/>
      <c r="AG282" s="155"/>
      <c r="AH282" s="56"/>
      <c r="AI282" s="56"/>
      <c r="AJ282" s="56"/>
      <c r="AK282" s="155"/>
      <c r="AL282" s="56"/>
      <c r="AM282" s="56"/>
      <c r="AN282" s="56"/>
    </row>
    <row r="283" spans="1:40" x14ac:dyDescent="0.25">
      <c r="A283" s="56"/>
      <c r="C283" s="56"/>
      <c r="D283" s="56"/>
      <c r="E283" s="56"/>
      <c r="F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T283" s="56"/>
      <c r="U283" s="56"/>
      <c r="V283" s="56"/>
      <c r="Y283" s="56"/>
      <c r="Z283" s="56"/>
      <c r="AA283" s="56"/>
      <c r="AB283" s="56"/>
      <c r="AC283" s="56"/>
      <c r="AD283" s="56"/>
      <c r="AE283" s="56"/>
      <c r="AF283" s="56"/>
      <c r="AG283" s="155"/>
      <c r="AH283" s="56"/>
      <c r="AI283" s="56"/>
      <c r="AJ283" s="56"/>
      <c r="AK283" s="155"/>
      <c r="AL283" s="56"/>
      <c r="AM283" s="56"/>
      <c r="AN283" s="56"/>
    </row>
    <row r="284" spans="1:40" x14ac:dyDescent="0.25">
      <c r="C284" s="56"/>
      <c r="D284" s="56"/>
      <c r="E284" s="56"/>
      <c r="F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T284" s="56"/>
      <c r="U284" s="56"/>
      <c r="V284" s="56"/>
      <c r="Y284" s="56"/>
      <c r="Z284" s="56"/>
      <c r="AA284" s="56"/>
      <c r="AB284" s="56"/>
      <c r="AC284" s="56"/>
      <c r="AD284" s="56"/>
      <c r="AE284" s="56"/>
      <c r="AF284" s="56"/>
      <c r="AG284" s="155"/>
      <c r="AH284" s="56"/>
      <c r="AI284" s="56"/>
      <c r="AJ284" s="56"/>
      <c r="AK284" s="155"/>
      <c r="AL284" s="56"/>
      <c r="AM284" s="56"/>
      <c r="AN284" s="56"/>
    </row>
    <row r="285" spans="1:40" x14ac:dyDescent="0.25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154"/>
      <c r="AH285" s="55"/>
      <c r="AI285" s="55"/>
      <c r="AJ285" s="55"/>
      <c r="AK285" s="154"/>
      <c r="AL285" s="55"/>
      <c r="AM285" s="55"/>
      <c r="AN285" s="55"/>
    </row>
    <row r="286" spans="1:40" x14ac:dyDescent="0.25"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Y286" s="56"/>
      <c r="Z286" s="56"/>
      <c r="AA286" s="56"/>
      <c r="AB286" s="56"/>
      <c r="AC286" s="56"/>
      <c r="AD286" s="56"/>
      <c r="AE286" s="56"/>
      <c r="AF286" s="56"/>
      <c r="AG286" s="155"/>
      <c r="AH286" s="56"/>
      <c r="AI286" s="56"/>
      <c r="AJ286" s="56"/>
      <c r="AK286" s="155"/>
      <c r="AL286" s="56"/>
      <c r="AM286" s="56"/>
      <c r="AN286" s="56"/>
    </row>
    <row r="287" spans="1:40" x14ac:dyDescent="0.25">
      <c r="A287" s="53"/>
      <c r="C287" s="54"/>
      <c r="D287" s="54"/>
      <c r="E287" s="54"/>
      <c r="T287" s="54"/>
      <c r="U287" s="54"/>
    </row>
    <row r="288" spans="1:40" x14ac:dyDescent="0.25">
      <c r="A288" s="53"/>
      <c r="D288" s="54"/>
      <c r="E288" s="54"/>
      <c r="U288" s="54"/>
    </row>
    <row r="290" spans="1:40" x14ac:dyDescent="0.25">
      <c r="A290" s="53"/>
      <c r="C290" s="54"/>
      <c r="F290" s="379"/>
      <c r="J290" s="62"/>
      <c r="K290" s="62"/>
      <c r="L290" s="379"/>
      <c r="M290" s="379"/>
      <c r="R290" s="379"/>
      <c r="T290" s="54"/>
      <c r="V290" s="379"/>
      <c r="Z290" s="62"/>
      <c r="AA290" s="379"/>
      <c r="AB290" s="379"/>
      <c r="AK290" s="156"/>
      <c r="AL290" s="379"/>
    </row>
    <row r="291" spans="1:40" x14ac:dyDescent="0.25">
      <c r="F291" s="379"/>
      <c r="R291" s="379"/>
      <c r="V291" s="379"/>
      <c r="AK291" s="156"/>
      <c r="AL291" s="379"/>
    </row>
    <row r="292" spans="1:40" x14ac:dyDescent="0.25">
      <c r="A292" s="53"/>
      <c r="C292" s="54"/>
      <c r="F292" s="449"/>
      <c r="H292" s="449"/>
      <c r="I292" s="449"/>
      <c r="J292" s="461"/>
      <c r="K292" s="461"/>
      <c r="L292" s="379"/>
      <c r="M292" s="379"/>
      <c r="N292" s="50"/>
      <c r="O292" s="50"/>
      <c r="P292" s="379"/>
      <c r="Q292" s="379"/>
      <c r="R292" s="379"/>
      <c r="T292" s="54"/>
      <c r="V292" s="379"/>
      <c r="Y292" s="379"/>
      <c r="Z292" s="461"/>
      <c r="AA292" s="379"/>
      <c r="AB292" s="379"/>
      <c r="AC292" s="50"/>
      <c r="AD292" s="50"/>
      <c r="AE292" s="379"/>
      <c r="AF292" s="379"/>
      <c r="AG292" s="156"/>
      <c r="AH292" s="60"/>
      <c r="AI292" s="379"/>
      <c r="AJ292" s="379"/>
      <c r="AK292" s="156"/>
      <c r="AL292" s="379"/>
      <c r="AM292" s="50"/>
      <c r="AN292" s="50"/>
    </row>
    <row r="293" spans="1:40" x14ac:dyDescent="0.25">
      <c r="A293" s="53"/>
      <c r="C293" s="54"/>
      <c r="F293" s="449"/>
      <c r="H293" s="470"/>
      <c r="I293" s="470"/>
      <c r="J293" s="461"/>
      <c r="K293" s="461"/>
      <c r="L293" s="379"/>
      <c r="M293" s="379"/>
      <c r="N293" s="50"/>
      <c r="O293" s="50"/>
      <c r="P293" s="379"/>
      <c r="Q293" s="379"/>
      <c r="R293" s="379"/>
      <c r="T293" s="54"/>
      <c r="V293" s="379"/>
      <c r="Y293" s="379"/>
      <c r="Z293" s="461"/>
      <c r="AA293" s="379"/>
      <c r="AB293" s="379"/>
      <c r="AC293" s="50"/>
      <c r="AD293" s="50"/>
      <c r="AE293" s="379"/>
      <c r="AF293" s="379"/>
      <c r="AG293" s="156"/>
      <c r="AH293" s="60"/>
      <c r="AI293" s="379"/>
      <c r="AJ293" s="379"/>
      <c r="AK293" s="156"/>
      <c r="AL293" s="379"/>
      <c r="AM293" s="50"/>
      <c r="AN293" s="50"/>
    </row>
    <row r="294" spans="1:40" x14ac:dyDescent="0.25">
      <c r="F294" s="381"/>
      <c r="H294" s="379"/>
      <c r="I294" s="379"/>
      <c r="J294" s="464"/>
      <c r="K294" s="464"/>
      <c r="L294" s="381"/>
      <c r="M294" s="381"/>
      <c r="N294" s="381"/>
      <c r="O294" s="381"/>
      <c r="P294" s="381"/>
      <c r="Q294" s="381"/>
      <c r="R294" s="381"/>
      <c r="V294" s="381"/>
      <c r="Y294" s="379"/>
      <c r="Z294" s="464"/>
      <c r="AA294" s="381"/>
      <c r="AB294" s="381"/>
      <c r="AC294" s="381"/>
      <c r="AD294" s="381"/>
      <c r="AE294" s="381"/>
      <c r="AF294" s="381"/>
      <c r="AI294" s="381"/>
      <c r="AJ294" s="381"/>
      <c r="AK294" s="162"/>
      <c r="AL294" s="381"/>
    </row>
    <row r="295" spans="1:40" x14ac:dyDescent="0.25">
      <c r="A295" s="53"/>
      <c r="C295" s="54"/>
      <c r="F295" s="379"/>
      <c r="H295" s="379"/>
      <c r="I295" s="379"/>
      <c r="J295" s="59"/>
      <c r="K295" s="59"/>
      <c r="L295" s="379"/>
      <c r="M295" s="379"/>
      <c r="N295" s="50"/>
      <c r="O295" s="50"/>
      <c r="P295" s="379"/>
      <c r="Q295" s="379"/>
      <c r="R295" s="379"/>
      <c r="T295" s="54"/>
      <c r="V295" s="379"/>
      <c r="Y295" s="379"/>
      <c r="Z295" s="59"/>
      <c r="AA295" s="379"/>
      <c r="AB295" s="379"/>
      <c r="AC295" s="50"/>
      <c r="AD295" s="50"/>
      <c r="AE295" s="379"/>
      <c r="AF295" s="379"/>
      <c r="AG295" s="156"/>
      <c r="AH295" s="60"/>
      <c r="AI295" s="379"/>
      <c r="AJ295" s="379"/>
      <c r="AK295" s="156"/>
      <c r="AL295" s="379"/>
      <c r="AM295" s="50"/>
      <c r="AN295" s="50"/>
    </row>
    <row r="296" spans="1:40" x14ac:dyDescent="0.25">
      <c r="F296" s="381"/>
      <c r="H296" s="379"/>
      <c r="I296" s="379"/>
      <c r="J296" s="464"/>
      <c r="K296" s="464"/>
      <c r="L296" s="381"/>
      <c r="M296" s="381"/>
      <c r="N296" s="381"/>
      <c r="O296" s="381"/>
      <c r="P296" s="381"/>
      <c r="Q296" s="381"/>
      <c r="R296" s="381"/>
      <c r="V296" s="381"/>
      <c r="Y296" s="379"/>
      <c r="Z296" s="464"/>
      <c r="AA296" s="381"/>
      <c r="AB296" s="381"/>
      <c r="AC296" s="381"/>
      <c r="AD296" s="381"/>
      <c r="AE296" s="381"/>
      <c r="AF296" s="381"/>
      <c r="AI296" s="381"/>
      <c r="AJ296" s="381"/>
      <c r="AK296" s="162"/>
      <c r="AL296" s="381"/>
    </row>
    <row r="297" spans="1:40" x14ac:dyDescent="0.25">
      <c r="F297" s="379"/>
      <c r="R297" s="379"/>
      <c r="V297" s="379"/>
      <c r="AK297" s="156"/>
      <c r="AL297" s="379"/>
    </row>
    <row r="298" spans="1:40" x14ac:dyDescent="0.25">
      <c r="A298" s="53"/>
      <c r="C298" s="54"/>
      <c r="F298" s="379"/>
      <c r="R298" s="379"/>
      <c r="T298" s="54"/>
      <c r="V298" s="379"/>
      <c r="AK298" s="156"/>
      <c r="AL298" s="379"/>
    </row>
    <row r="299" spans="1:40" x14ac:dyDescent="0.25">
      <c r="F299" s="379"/>
      <c r="R299" s="379"/>
      <c r="V299" s="379"/>
      <c r="AK299" s="156"/>
      <c r="AL299" s="379"/>
    </row>
    <row r="300" spans="1:40" x14ac:dyDescent="0.25">
      <c r="A300" s="53"/>
      <c r="C300" s="54"/>
      <c r="F300" s="379"/>
      <c r="H300" s="449"/>
      <c r="I300" s="449"/>
      <c r="J300" s="472"/>
      <c r="K300" s="472"/>
      <c r="L300" s="379"/>
      <c r="M300" s="379"/>
      <c r="N300" s="50"/>
      <c r="O300" s="50"/>
      <c r="P300" s="449"/>
      <c r="Q300" s="449"/>
      <c r="R300" s="379"/>
      <c r="T300" s="54"/>
      <c r="V300" s="379"/>
      <c r="Y300" s="379"/>
      <c r="Z300" s="463"/>
      <c r="AA300" s="379"/>
      <c r="AB300" s="379"/>
      <c r="AC300" s="50"/>
      <c r="AD300" s="50"/>
      <c r="AE300" s="379"/>
      <c r="AF300" s="379"/>
      <c r="AG300" s="156"/>
      <c r="AH300" s="60"/>
      <c r="AI300" s="449"/>
      <c r="AJ300" s="449"/>
      <c r="AK300" s="156"/>
      <c r="AL300" s="379"/>
      <c r="AM300" s="50"/>
      <c r="AN300" s="50"/>
    </row>
    <row r="301" spans="1:40" x14ac:dyDescent="0.25">
      <c r="F301" s="381"/>
      <c r="H301" s="381"/>
      <c r="I301" s="381"/>
      <c r="J301" s="464"/>
      <c r="K301" s="464"/>
      <c r="L301" s="381"/>
      <c r="M301" s="381"/>
      <c r="N301" s="381"/>
      <c r="O301" s="381"/>
      <c r="P301" s="381"/>
      <c r="Q301" s="381"/>
      <c r="R301" s="381"/>
      <c r="V301" s="381"/>
      <c r="Y301" s="381"/>
      <c r="Z301" s="464"/>
      <c r="AA301" s="381"/>
      <c r="AB301" s="381"/>
      <c r="AC301" s="381"/>
      <c r="AD301" s="381"/>
      <c r="AE301" s="381"/>
      <c r="AF301" s="381"/>
      <c r="AI301" s="381"/>
      <c r="AJ301" s="381"/>
      <c r="AK301" s="162"/>
      <c r="AL301" s="381"/>
    </row>
    <row r="303" spans="1:40" x14ac:dyDescent="0.25">
      <c r="A303" s="53"/>
      <c r="C303" s="54"/>
      <c r="F303" s="379"/>
      <c r="H303" s="379"/>
      <c r="I303" s="379"/>
      <c r="J303" s="62"/>
      <c r="K303" s="62"/>
      <c r="L303" s="379"/>
      <c r="M303" s="379"/>
      <c r="N303" s="50"/>
      <c r="O303" s="50"/>
      <c r="P303" s="379"/>
      <c r="Q303" s="379"/>
      <c r="R303" s="379"/>
      <c r="T303" s="54"/>
      <c r="V303" s="379"/>
      <c r="Y303" s="379"/>
      <c r="Z303" s="62"/>
      <c r="AA303" s="379"/>
      <c r="AB303" s="379"/>
      <c r="AC303" s="50"/>
      <c r="AD303" s="50"/>
      <c r="AE303" s="379"/>
      <c r="AF303" s="379"/>
      <c r="AG303" s="156"/>
      <c r="AH303" s="60"/>
      <c r="AI303" s="379"/>
      <c r="AJ303" s="379"/>
      <c r="AK303" s="156"/>
      <c r="AL303" s="379"/>
      <c r="AM303" s="50"/>
      <c r="AN303" s="50"/>
    </row>
    <row r="304" spans="1:40" x14ac:dyDescent="0.25">
      <c r="F304" s="381"/>
      <c r="H304" s="381"/>
      <c r="I304" s="381"/>
      <c r="J304" s="464"/>
      <c r="K304" s="464"/>
      <c r="L304" s="381"/>
      <c r="M304" s="381"/>
      <c r="N304" s="381"/>
      <c r="O304" s="381"/>
      <c r="P304" s="381"/>
      <c r="Q304" s="381"/>
      <c r="R304" s="381"/>
      <c r="V304" s="381"/>
      <c r="Y304" s="381"/>
      <c r="Z304" s="464"/>
      <c r="AA304" s="381"/>
      <c r="AB304" s="381"/>
      <c r="AC304" s="381"/>
      <c r="AD304" s="381"/>
      <c r="AE304" s="381"/>
      <c r="AF304" s="381"/>
      <c r="AI304" s="381"/>
      <c r="AJ304" s="381"/>
      <c r="AK304" s="162"/>
      <c r="AL304" s="381"/>
    </row>
    <row r="305" spans="1:40" x14ac:dyDescent="0.25">
      <c r="R305" s="379"/>
      <c r="AG305" s="156"/>
      <c r="AH305" s="379"/>
    </row>
    <row r="306" spans="1:40" x14ac:dyDescent="0.25">
      <c r="F306" s="379"/>
      <c r="H306" s="379"/>
      <c r="I306" s="379"/>
      <c r="J306" s="59"/>
      <c r="K306" s="59"/>
      <c r="L306" s="379"/>
      <c r="M306" s="379"/>
      <c r="N306" s="379"/>
      <c r="O306" s="379"/>
      <c r="P306" s="379"/>
      <c r="Q306" s="379"/>
      <c r="R306" s="379"/>
      <c r="V306" s="379"/>
      <c r="Y306" s="379"/>
      <c r="Z306" s="59"/>
      <c r="AA306" s="379"/>
      <c r="AB306" s="379"/>
      <c r="AC306" s="379"/>
      <c r="AD306" s="379"/>
      <c r="AE306" s="379"/>
      <c r="AF306" s="379"/>
      <c r="AG306" s="156"/>
      <c r="AH306" s="379"/>
    </row>
    <row r="307" spans="1:40" x14ac:dyDescent="0.25">
      <c r="C307" s="54"/>
      <c r="F307" s="379"/>
      <c r="H307" s="379"/>
      <c r="I307" s="379"/>
      <c r="J307" s="59"/>
      <c r="K307" s="59"/>
      <c r="L307" s="379"/>
      <c r="M307" s="379"/>
      <c r="N307" s="379"/>
      <c r="O307" s="379"/>
      <c r="P307" s="379"/>
      <c r="Q307" s="379"/>
      <c r="R307" s="379"/>
      <c r="T307" s="54"/>
      <c r="V307" s="379"/>
      <c r="Y307" s="379"/>
      <c r="Z307" s="59"/>
      <c r="AA307" s="379"/>
      <c r="AB307" s="379"/>
      <c r="AC307" s="379"/>
      <c r="AD307" s="379"/>
      <c r="AE307" s="379"/>
      <c r="AF307" s="379"/>
      <c r="AG307" s="156"/>
      <c r="AH307" s="379"/>
    </row>
    <row r="308" spans="1:40" x14ac:dyDescent="0.25">
      <c r="A308" s="54"/>
    </row>
    <row r="310" spans="1:40" x14ac:dyDescent="0.25">
      <c r="J310" s="53"/>
      <c r="K310" s="53"/>
      <c r="Z310" s="53"/>
    </row>
    <row r="311" spans="1:40" x14ac:dyDescent="0.25">
      <c r="H311" s="54"/>
      <c r="I311" s="54"/>
      <c r="Y311" s="54"/>
    </row>
    <row r="312" spans="1:40" x14ac:dyDescent="0.25">
      <c r="J312" s="53"/>
      <c r="K312" s="53"/>
      <c r="Z312" s="53"/>
    </row>
    <row r="313" spans="1:40" x14ac:dyDescent="0.25">
      <c r="L313" s="54"/>
      <c r="M313" s="54"/>
      <c r="AA313" s="54"/>
      <c r="AB313" s="54"/>
    </row>
    <row r="314" spans="1:40" x14ac:dyDescent="0.25">
      <c r="A314" s="53"/>
      <c r="R314" s="54"/>
      <c r="AK314" s="161"/>
      <c r="AL314" s="54"/>
    </row>
    <row r="315" spans="1:40" x14ac:dyDescent="0.25">
      <c r="A315" s="53"/>
      <c r="R315" s="54"/>
      <c r="AK315" s="161"/>
      <c r="AL315" s="54"/>
    </row>
    <row r="316" spans="1:40" x14ac:dyDescent="0.25">
      <c r="A316" s="54"/>
      <c r="R316" s="54"/>
      <c r="AK316" s="161"/>
      <c r="AL316" s="54"/>
    </row>
    <row r="317" spans="1:40" x14ac:dyDescent="0.25">
      <c r="L317" s="54"/>
      <c r="M317" s="54"/>
      <c r="R317" s="53"/>
      <c r="AA317" s="54"/>
      <c r="AB317" s="54"/>
      <c r="AK317" s="156"/>
      <c r="AL317" s="53"/>
    </row>
    <row r="318" spans="1:40" x14ac:dyDescent="0.25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154"/>
      <c r="AH318" s="55"/>
      <c r="AI318" s="55"/>
      <c r="AJ318" s="55"/>
      <c r="AK318" s="154"/>
      <c r="AL318" s="55"/>
      <c r="AM318" s="55"/>
      <c r="AN318" s="55"/>
    </row>
    <row r="319" spans="1:40" x14ac:dyDescent="0.25">
      <c r="L319" s="56"/>
      <c r="M319" s="56"/>
      <c r="N319" s="56"/>
      <c r="O319" s="56"/>
      <c r="R319" s="56"/>
      <c r="AA319" s="56"/>
      <c r="AB319" s="56"/>
      <c r="AC319" s="56"/>
      <c r="AD319" s="56"/>
      <c r="AE319" s="56"/>
      <c r="AF319" s="56"/>
      <c r="AG319" s="155"/>
      <c r="AH319" s="56"/>
      <c r="AK319" s="155"/>
      <c r="AL319" s="56"/>
      <c r="AM319" s="56"/>
      <c r="AN319" s="56"/>
    </row>
    <row r="320" spans="1:40" x14ac:dyDescent="0.25">
      <c r="L320" s="56"/>
      <c r="M320" s="56"/>
      <c r="N320" s="56"/>
      <c r="O320" s="56"/>
      <c r="R320" s="56"/>
      <c r="Z320" s="56"/>
      <c r="AA320" s="56"/>
      <c r="AB320" s="56"/>
      <c r="AC320" s="56"/>
      <c r="AD320" s="56"/>
      <c r="AE320" s="56"/>
      <c r="AF320" s="56"/>
      <c r="AG320" s="155"/>
      <c r="AH320" s="56"/>
      <c r="AK320" s="155"/>
      <c r="AL320" s="56"/>
      <c r="AM320" s="56"/>
      <c r="AN320" s="56"/>
    </row>
    <row r="321" spans="1:40" x14ac:dyDescent="0.25">
      <c r="A321" s="56"/>
      <c r="C321" s="56"/>
      <c r="D321" s="56"/>
      <c r="E321" s="56"/>
      <c r="F321" s="56"/>
      <c r="J321" s="56"/>
      <c r="K321" s="56"/>
      <c r="L321" s="56"/>
      <c r="M321" s="56"/>
      <c r="N321" s="56"/>
      <c r="O321" s="56"/>
      <c r="P321" s="56"/>
      <c r="Q321" s="56"/>
      <c r="R321" s="56"/>
      <c r="T321" s="56"/>
      <c r="U321" s="56"/>
      <c r="V321" s="56"/>
      <c r="Z321" s="56"/>
      <c r="AA321" s="56"/>
      <c r="AB321" s="56"/>
      <c r="AC321" s="56"/>
      <c r="AD321" s="56"/>
      <c r="AE321" s="56"/>
      <c r="AF321" s="56"/>
      <c r="AG321" s="155"/>
      <c r="AH321" s="56"/>
      <c r="AI321" s="56"/>
      <c r="AJ321" s="56"/>
      <c r="AK321" s="155"/>
      <c r="AL321" s="56"/>
      <c r="AM321" s="56"/>
      <c r="AN321" s="56"/>
    </row>
    <row r="322" spans="1:40" x14ac:dyDescent="0.25">
      <c r="A322" s="56"/>
      <c r="C322" s="56"/>
      <c r="D322" s="56"/>
      <c r="E322" s="56"/>
      <c r="F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T322" s="56"/>
      <c r="U322" s="56"/>
      <c r="V322" s="56"/>
      <c r="Y322" s="56"/>
      <c r="Z322" s="56"/>
      <c r="AA322" s="56"/>
      <c r="AB322" s="56"/>
      <c r="AC322" s="56"/>
      <c r="AD322" s="56"/>
      <c r="AE322" s="56"/>
      <c r="AF322" s="56"/>
      <c r="AG322" s="155"/>
      <c r="AH322" s="56"/>
      <c r="AI322" s="56"/>
      <c r="AJ322" s="56"/>
      <c r="AK322" s="155"/>
      <c r="AL322" s="56"/>
      <c r="AM322" s="56"/>
      <c r="AN322" s="56"/>
    </row>
    <row r="323" spans="1:40" x14ac:dyDescent="0.25">
      <c r="C323" s="56"/>
      <c r="D323" s="56"/>
      <c r="E323" s="56"/>
      <c r="F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T323" s="56"/>
      <c r="U323" s="56"/>
      <c r="V323" s="56"/>
      <c r="Y323" s="56"/>
      <c r="Z323" s="56"/>
      <c r="AA323" s="56"/>
      <c r="AB323" s="56"/>
      <c r="AC323" s="56"/>
      <c r="AD323" s="56"/>
      <c r="AE323" s="56"/>
      <c r="AF323" s="56"/>
      <c r="AG323" s="155"/>
      <c r="AH323" s="56"/>
      <c r="AI323" s="56"/>
      <c r="AJ323" s="56"/>
      <c r="AK323" s="155"/>
      <c r="AL323" s="56"/>
      <c r="AM323" s="56"/>
      <c r="AN323" s="56"/>
    </row>
    <row r="324" spans="1:40" x14ac:dyDescent="0.25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154"/>
      <c r="AH324" s="55"/>
      <c r="AI324" s="55"/>
      <c r="AJ324" s="55"/>
      <c r="AK324" s="154"/>
      <c r="AL324" s="55"/>
      <c r="AM324" s="55"/>
      <c r="AN324" s="55"/>
    </row>
    <row r="325" spans="1:40" x14ac:dyDescent="0.25"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Y325" s="56"/>
      <c r="Z325" s="56"/>
      <c r="AA325" s="56"/>
      <c r="AB325" s="56"/>
      <c r="AC325" s="56"/>
      <c r="AD325" s="56"/>
      <c r="AE325" s="56"/>
      <c r="AF325" s="56"/>
      <c r="AG325" s="155"/>
      <c r="AH325" s="56"/>
      <c r="AI325" s="56"/>
      <c r="AJ325" s="56"/>
      <c r="AK325" s="155"/>
      <c r="AL325" s="56"/>
      <c r="AM325" s="56"/>
      <c r="AN325" s="56"/>
    </row>
    <row r="326" spans="1:40" x14ac:dyDescent="0.25">
      <c r="A326" s="53"/>
      <c r="C326" s="54"/>
      <c r="D326" s="54"/>
      <c r="E326" s="54"/>
      <c r="T326" s="54"/>
      <c r="U326" s="54"/>
    </row>
    <row r="327" spans="1:40" x14ac:dyDescent="0.25">
      <c r="A327" s="53"/>
      <c r="C327" s="54"/>
      <c r="T327" s="54"/>
    </row>
    <row r="329" spans="1:40" x14ac:dyDescent="0.25">
      <c r="A329" s="53"/>
      <c r="C329" s="54"/>
      <c r="F329" s="449"/>
      <c r="H329" s="449"/>
      <c r="I329" s="449"/>
      <c r="J329" s="461"/>
      <c r="K329" s="461"/>
      <c r="L329" s="379"/>
      <c r="M329" s="379"/>
      <c r="N329" s="50"/>
      <c r="O329" s="50"/>
      <c r="P329" s="53"/>
      <c r="Q329" s="53"/>
      <c r="R329" s="379"/>
      <c r="T329" s="54"/>
      <c r="V329" s="379"/>
      <c r="Y329" s="449"/>
      <c r="Z329" s="461"/>
      <c r="AA329" s="379"/>
      <c r="AB329" s="379"/>
      <c r="AC329" s="50"/>
      <c r="AD329" s="50"/>
      <c r="AE329" s="379"/>
      <c r="AF329" s="379"/>
      <c r="AG329" s="156"/>
      <c r="AH329" s="60"/>
      <c r="AI329" s="53"/>
      <c r="AJ329" s="53"/>
      <c r="AK329" s="156"/>
      <c r="AL329" s="379"/>
      <c r="AM329" s="50"/>
      <c r="AN329" s="50"/>
    </row>
    <row r="330" spans="1:40" x14ac:dyDescent="0.25">
      <c r="F330" s="381"/>
      <c r="H330" s="379"/>
      <c r="I330" s="379"/>
      <c r="J330" s="464"/>
      <c r="K330" s="464"/>
      <c r="L330" s="381"/>
      <c r="M330" s="381"/>
      <c r="N330" s="381"/>
      <c r="O330" s="381"/>
      <c r="P330" s="381"/>
      <c r="Q330" s="381"/>
      <c r="R330" s="381"/>
      <c r="V330" s="381"/>
      <c r="Y330" s="379"/>
      <c r="Z330" s="464"/>
      <c r="AA330" s="381"/>
      <c r="AB330" s="381"/>
      <c r="AC330" s="381"/>
      <c r="AD330" s="381"/>
      <c r="AE330" s="381"/>
      <c r="AF330" s="381"/>
      <c r="AI330" s="381"/>
      <c r="AJ330" s="381"/>
      <c r="AK330" s="162"/>
      <c r="AL330" s="381"/>
      <c r="AM330" s="50"/>
      <c r="AN330" s="50"/>
    </row>
    <row r="331" spans="1:40" x14ac:dyDescent="0.25">
      <c r="A331" s="53"/>
      <c r="C331" s="54"/>
      <c r="F331" s="449"/>
      <c r="H331" s="449"/>
      <c r="I331" s="449"/>
      <c r="J331" s="477"/>
      <c r="K331" s="477"/>
      <c r="L331" s="379"/>
      <c r="M331" s="379"/>
      <c r="N331" s="50"/>
      <c r="O331" s="50"/>
      <c r="P331" s="379"/>
      <c r="Q331" s="379"/>
      <c r="R331" s="379"/>
      <c r="S331" s="379"/>
      <c r="T331" s="54"/>
      <c r="V331" s="449"/>
      <c r="Y331" s="449"/>
      <c r="Z331" s="477"/>
      <c r="AA331" s="379"/>
      <c r="AB331" s="379"/>
      <c r="AC331" s="50"/>
      <c r="AD331" s="50"/>
      <c r="AE331" s="379"/>
      <c r="AF331" s="379"/>
      <c r="AG331" s="156"/>
      <c r="AH331" s="50"/>
      <c r="AI331" s="379"/>
      <c r="AJ331" s="379"/>
      <c r="AK331" s="156"/>
      <c r="AL331" s="379"/>
      <c r="AM331" s="50"/>
      <c r="AN331" s="50"/>
    </row>
    <row r="332" spans="1:40" x14ac:dyDescent="0.25">
      <c r="A332" s="53"/>
      <c r="C332" s="54"/>
      <c r="F332" s="449"/>
      <c r="H332" s="449"/>
      <c r="I332" s="449"/>
      <c r="J332" s="461"/>
      <c r="K332" s="461"/>
      <c r="L332" s="379"/>
      <c r="M332" s="379"/>
      <c r="N332" s="50"/>
      <c r="O332" s="50"/>
      <c r="P332" s="379"/>
      <c r="Q332" s="379"/>
      <c r="R332" s="379"/>
      <c r="T332" s="54"/>
      <c r="V332" s="449"/>
      <c r="Y332" s="379"/>
      <c r="Z332" s="461"/>
      <c r="AA332" s="379"/>
      <c r="AB332" s="379"/>
      <c r="AC332" s="50"/>
      <c r="AD332" s="50"/>
      <c r="AE332" s="379"/>
      <c r="AF332" s="379"/>
      <c r="AG332" s="156"/>
      <c r="AH332" s="60"/>
      <c r="AI332" s="379"/>
      <c r="AJ332" s="379"/>
      <c r="AK332" s="156"/>
      <c r="AL332" s="379"/>
      <c r="AM332" s="50"/>
      <c r="AN332" s="50"/>
    </row>
    <row r="333" spans="1:40" x14ac:dyDescent="0.25">
      <c r="A333" s="53"/>
      <c r="C333" s="54"/>
      <c r="F333" s="449"/>
      <c r="H333" s="449"/>
      <c r="I333" s="449"/>
      <c r="J333" s="461"/>
      <c r="K333" s="461"/>
      <c r="L333" s="379"/>
      <c r="M333" s="379"/>
      <c r="N333" s="50"/>
      <c r="O333" s="50"/>
      <c r="P333" s="379"/>
      <c r="Q333" s="379"/>
      <c r="R333" s="379"/>
      <c r="T333" s="54"/>
      <c r="V333" s="449"/>
      <c r="Y333" s="379"/>
      <c r="Z333" s="461"/>
      <c r="AA333" s="379"/>
      <c r="AB333" s="379"/>
      <c r="AC333" s="50"/>
      <c r="AD333" s="50"/>
      <c r="AE333" s="379"/>
      <c r="AF333" s="379"/>
      <c r="AG333" s="156"/>
      <c r="AH333" s="60"/>
      <c r="AI333" s="379"/>
      <c r="AJ333" s="379"/>
      <c r="AK333" s="156"/>
      <c r="AL333" s="379"/>
      <c r="AM333" s="50"/>
      <c r="AN333" s="50"/>
    </row>
    <row r="334" spans="1:40" x14ac:dyDescent="0.25">
      <c r="F334" s="381"/>
      <c r="H334" s="381"/>
      <c r="I334" s="381"/>
      <c r="J334" s="464"/>
      <c r="K334" s="464"/>
      <c r="L334" s="381"/>
      <c r="M334" s="381"/>
      <c r="N334" s="381"/>
      <c r="O334" s="381"/>
      <c r="P334" s="381"/>
      <c r="Q334" s="381"/>
      <c r="R334" s="381"/>
      <c r="V334" s="381"/>
      <c r="Y334" s="381"/>
      <c r="Z334" s="464"/>
      <c r="AA334" s="381"/>
      <c r="AB334" s="381"/>
      <c r="AC334" s="381"/>
      <c r="AD334" s="381"/>
      <c r="AE334" s="381"/>
      <c r="AF334" s="381"/>
      <c r="AI334" s="381"/>
      <c r="AJ334" s="381"/>
      <c r="AK334" s="162"/>
      <c r="AL334" s="381"/>
      <c r="AM334" s="50"/>
      <c r="AN334" s="50"/>
    </row>
    <row r="335" spans="1:40" x14ac:dyDescent="0.25">
      <c r="A335" s="53"/>
      <c r="C335" s="54"/>
      <c r="F335" s="379"/>
      <c r="H335" s="379"/>
      <c r="I335" s="379"/>
      <c r="J335" s="59"/>
      <c r="K335" s="59"/>
      <c r="L335" s="379"/>
      <c r="M335" s="379"/>
      <c r="N335" s="50"/>
      <c r="O335" s="50"/>
      <c r="P335" s="379"/>
      <c r="Q335" s="379"/>
      <c r="R335" s="379"/>
      <c r="T335" s="54"/>
      <c r="V335" s="379"/>
      <c r="Y335" s="379"/>
      <c r="Z335" s="59"/>
      <c r="AA335" s="379"/>
      <c r="AB335" s="379"/>
      <c r="AC335" s="50"/>
      <c r="AD335" s="50"/>
      <c r="AE335" s="379"/>
      <c r="AF335" s="379"/>
      <c r="AG335" s="156"/>
      <c r="AH335" s="60"/>
      <c r="AI335" s="379"/>
      <c r="AJ335" s="379"/>
      <c r="AK335" s="156"/>
      <c r="AL335" s="379"/>
      <c r="AM335" s="50"/>
      <c r="AN335" s="50"/>
    </row>
    <row r="336" spans="1:40" x14ac:dyDescent="0.25">
      <c r="F336" s="381"/>
      <c r="H336" s="381"/>
      <c r="I336" s="381"/>
      <c r="J336" s="464"/>
      <c r="K336" s="464"/>
      <c r="L336" s="381"/>
      <c r="M336" s="381"/>
      <c r="N336" s="381"/>
      <c r="O336" s="381"/>
      <c r="P336" s="381"/>
      <c r="Q336" s="381"/>
      <c r="R336" s="381"/>
      <c r="V336" s="381"/>
      <c r="Y336" s="381"/>
      <c r="Z336" s="464"/>
      <c r="AA336" s="381"/>
      <c r="AB336" s="381"/>
      <c r="AC336" s="381"/>
      <c r="AD336" s="381"/>
      <c r="AE336" s="381"/>
      <c r="AF336" s="381"/>
      <c r="AI336" s="381"/>
      <c r="AJ336" s="381"/>
      <c r="AK336" s="162"/>
      <c r="AL336" s="381"/>
      <c r="AM336" s="50"/>
      <c r="AN336" s="50"/>
    </row>
    <row r="337" spans="1:40" x14ac:dyDescent="0.25">
      <c r="A337" s="53"/>
      <c r="C337" s="54"/>
      <c r="F337" s="379"/>
      <c r="H337" s="379"/>
      <c r="I337" s="379"/>
      <c r="J337" s="59"/>
      <c r="K337" s="59"/>
      <c r="L337" s="379"/>
      <c r="M337" s="379"/>
      <c r="N337" s="50"/>
      <c r="O337" s="50"/>
      <c r="P337" s="379"/>
      <c r="Q337" s="379"/>
      <c r="R337" s="379"/>
      <c r="T337" s="54"/>
      <c r="V337" s="379"/>
      <c r="Y337" s="379"/>
      <c r="Z337" s="59"/>
      <c r="AA337" s="379"/>
      <c r="AB337" s="379"/>
      <c r="AC337" s="50"/>
      <c r="AD337" s="50"/>
      <c r="AE337" s="379"/>
      <c r="AF337" s="379"/>
      <c r="AG337" s="156"/>
      <c r="AH337" s="60"/>
      <c r="AI337" s="379"/>
      <c r="AJ337" s="379"/>
      <c r="AK337" s="156"/>
      <c r="AL337" s="379"/>
      <c r="AM337" s="50"/>
      <c r="AN337" s="50"/>
    </row>
    <row r="338" spans="1:40" x14ac:dyDescent="0.25">
      <c r="A338" s="53"/>
      <c r="C338" s="54"/>
      <c r="F338" s="379"/>
      <c r="H338" s="449"/>
      <c r="I338" s="449"/>
      <c r="J338" s="472"/>
      <c r="K338" s="472"/>
      <c r="L338" s="379"/>
      <c r="M338" s="379"/>
      <c r="N338" s="50"/>
      <c r="O338" s="50"/>
      <c r="P338" s="379"/>
      <c r="Q338" s="379"/>
      <c r="R338" s="379"/>
      <c r="T338" s="54"/>
      <c r="V338" s="379"/>
      <c r="Y338" s="379"/>
      <c r="Z338" s="463"/>
      <c r="AA338" s="379"/>
      <c r="AB338" s="379"/>
      <c r="AC338" s="50"/>
      <c r="AD338" s="50"/>
      <c r="AE338" s="379"/>
      <c r="AF338" s="379"/>
      <c r="AG338" s="156"/>
      <c r="AH338" s="60"/>
      <c r="AI338" s="379"/>
      <c r="AJ338" s="379"/>
      <c r="AK338" s="156"/>
      <c r="AL338" s="379"/>
      <c r="AM338" s="50"/>
      <c r="AN338" s="50"/>
    </row>
    <row r="339" spans="1:40" x14ac:dyDescent="0.25">
      <c r="F339" s="381"/>
      <c r="H339" s="381"/>
      <c r="I339" s="381"/>
      <c r="J339" s="464"/>
      <c r="K339" s="464"/>
      <c r="L339" s="381"/>
      <c r="M339" s="381"/>
      <c r="N339" s="381"/>
      <c r="O339" s="381"/>
      <c r="P339" s="381"/>
      <c r="Q339" s="381"/>
      <c r="R339" s="381"/>
      <c r="V339" s="381"/>
      <c r="Y339" s="381"/>
      <c r="Z339" s="464"/>
      <c r="AA339" s="381"/>
      <c r="AB339" s="381"/>
      <c r="AC339" s="381"/>
      <c r="AD339" s="381"/>
      <c r="AE339" s="381"/>
      <c r="AF339" s="381"/>
      <c r="AI339" s="381"/>
      <c r="AJ339" s="381"/>
      <c r="AK339" s="162"/>
      <c r="AL339" s="381"/>
      <c r="AM339" s="50"/>
      <c r="AN339" s="50"/>
    </row>
    <row r="341" spans="1:40" x14ac:dyDescent="0.25">
      <c r="A341" s="53"/>
      <c r="C341" s="54"/>
      <c r="F341" s="379"/>
      <c r="H341" s="379"/>
      <c r="I341" s="379"/>
      <c r="J341" s="464"/>
      <c r="K341" s="464"/>
      <c r="L341" s="379"/>
      <c r="M341" s="379"/>
      <c r="N341" s="50"/>
      <c r="O341" s="50"/>
      <c r="P341" s="379"/>
      <c r="Q341" s="379"/>
      <c r="R341" s="379"/>
      <c r="S341" s="379"/>
      <c r="T341" s="54"/>
      <c r="V341" s="379"/>
      <c r="Y341" s="379"/>
      <c r="Z341" s="464"/>
      <c r="AA341" s="379"/>
      <c r="AB341" s="379"/>
      <c r="AC341" s="50"/>
      <c r="AD341" s="50"/>
      <c r="AE341" s="379"/>
      <c r="AF341" s="379"/>
      <c r="AG341" s="156"/>
      <c r="AH341" s="50"/>
      <c r="AI341" s="379"/>
      <c r="AJ341" s="379"/>
      <c r="AK341" s="156"/>
      <c r="AL341" s="379"/>
      <c r="AM341" s="50"/>
      <c r="AN341" s="50"/>
    </row>
    <row r="342" spans="1:40" x14ac:dyDescent="0.25">
      <c r="F342" s="381"/>
      <c r="H342" s="381"/>
      <c r="I342" s="381"/>
      <c r="J342" s="464"/>
      <c r="K342" s="464"/>
      <c r="L342" s="381"/>
      <c r="M342" s="381"/>
      <c r="N342" s="381"/>
      <c r="O342" s="381"/>
      <c r="P342" s="381"/>
      <c r="Q342" s="381"/>
      <c r="R342" s="381"/>
      <c r="S342" s="379"/>
      <c r="V342" s="381"/>
      <c r="Y342" s="381"/>
      <c r="Z342" s="464"/>
      <c r="AA342" s="381"/>
      <c r="AB342" s="381"/>
      <c r="AC342" s="381"/>
      <c r="AD342" s="381"/>
      <c r="AE342" s="381"/>
      <c r="AF342" s="381"/>
      <c r="AI342" s="381"/>
      <c r="AJ342" s="381"/>
      <c r="AK342" s="162"/>
      <c r="AL342" s="381"/>
      <c r="AM342" s="50"/>
      <c r="AN342" s="50"/>
    </row>
    <row r="343" spans="1:40" x14ac:dyDescent="0.25">
      <c r="A343" s="53"/>
      <c r="C343" s="54"/>
      <c r="F343" s="449"/>
      <c r="H343" s="449"/>
      <c r="I343" s="449"/>
      <c r="J343" s="464"/>
      <c r="K343" s="464"/>
      <c r="L343" s="379"/>
      <c r="M343" s="379"/>
      <c r="N343" s="50"/>
      <c r="O343" s="50"/>
      <c r="P343" s="379"/>
      <c r="Q343" s="379"/>
      <c r="R343" s="379"/>
      <c r="S343" s="379"/>
      <c r="T343" s="54"/>
      <c r="V343" s="449"/>
      <c r="Y343" s="449"/>
      <c r="Z343" s="464"/>
      <c r="AA343" s="379"/>
      <c r="AB343" s="379"/>
      <c r="AC343" s="50"/>
      <c r="AD343" s="50"/>
      <c r="AE343" s="379"/>
      <c r="AF343" s="379"/>
      <c r="AI343" s="379"/>
      <c r="AJ343" s="379"/>
      <c r="AK343" s="156"/>
      <c r="AL343" s="379"/>
      <c r="AM343" s="50"/>
      <c r="AN343" s="50"/>
    </row>
    <row r="345" spans="1:40" x14ac:dyDescent="0.25">
      <c r="A345" s="53"/>
      <c r="C345" s="54"/>
      <c r="F345" s="449"/>
      <c r="H345" s="449"/>
      <c r="I345" s="449"/>
      <c r="J345" s="461"/>
      <c r="K345" s="461"/>
      <c r="L345" s="379"/>
      <c r="M345" s="379"/>
      <c r="N345" s="50"/>
      <c r="O345" s="50"/>
      <c r="P345" s="53"/>
      <c r="Q345" s="53"/>
      <c r="R345" s="379"/>
      <c r="T345" s="54"/>
      <c r="V345" s="379"/>
      <c r="Y345" s="449"/>
      <c r="Z345" s="461"/>
      <c r="AA345" s="379"/>
      <c r="AB345" s="379"/>
      <c r="AC345" s="50"/>
      <c r="AD345" s="50"/>
      <c r="AE345" s="379"/>
      <c r="AF345" s="379"/>
      <c r="AG345" s="156"/>
      <c r="AH345" s="60"/>
      <c r="AI345" s="53"/>
      <c r="AJ345" s="53"/>
      <c r="AK345" s="156"/>
      <c r="AL345" s="379"/>
      <c r="AM345" s="50"/>
      <c r="AN345" s="50"/>
    </row>
    <row r="346" spans="1:40" x14ac:dyDescent="0.25">
      <c r="F346" s="381"/>
      <c r="H346" s="379"/>
      <c r="I346" s="379"/>
      <c r="J346" s="464"/>
      <c r="K346" s="464"/>
      <c r="L346" s="381"/>
      <c r="M346" s="381"/>
      <c r="N346" s="381"/>
      <c r="O346" s="381"/>
      <c r="P346" s="381"/>
      <c r="Q346" s="381"/>
      <c r="R346" s="381"/>
      <c r="V346" s="381"/>
      <c r="Y346" s="379"/>
      <c r="Z346" s="464"/>
      <c r="AA346" s="381"/>
      <c r="AB346" s="381"/>
      <c r="AC346" s="381"/>
      <c r="AD346" s="381"/>
      <c r="AE346" s="381"/>
      <c r="AF346" s="381"/>
      <c r="AI346" s="381"/>
      <c r="AJ346" s="381"/>
      <c r="AK346" s="162"/>
      <c r="AL346" s="381"/>
      <c r="AM346" s="50"/>
      <c r="AN346" s="50"/>
    </row>
    <row r="347" spans="1:40" x14ac:dyDescent="0.25">
      <c r="A347" s="53"/>
      <c r="C347" s="54"/>
      <c r="F347" s="449"/>
      <c r="H347" s="449"/>
      <c r="I347" s="449"/>
      <c r="J347" s="477"/>
      <c r="K347" s="477"/>
      <c r="L347" s="379"/>
      <c r="M347" s="379"/>
      <c r="N347" s="50"/>
      <c r="O347" s="50"/>
      <c r="P347" s="379"/>
      <c r="Q347" s="379"/>
      <c r="R347" s="379"/>
      <c r="S347" s="379"/>
      <c r="T347" s="54"/>
      <c r="V347" s="449"/>
      <c r="Y347" s="449"/>
      <c r="Z347" s="477"/>
      <c r="AA347" s="379"/>
      <c r="AB347" s="379"/>
      <c r="AC347" s="50"/>
      <c r="AD347" s="50"/>
      <c r="AE347" s="379"/>
      <c r="AF347" s="379"/>
      <c r="AG347" s="156"/>
      <c r="AH347" s="50"/>
      <c r="AI347" s="379"/>
      <c r="AJ347" s="379"/>
      <c r="AK347" s="156"/>
      <c r="AL347" s="379"/>
      <c r="AM347" s="50"/>
      <c r="AN347" s="50"/>
    </row>
    <row r="348" spans="1:40" x14ac:dyDescent="0.25">
      <c r="A348" s="53"/>
      <c r="C348" s="54"/>
      <c r="F348" s="449"/>
      <c r="H348" s="449"/>
      <c r="I348" s="449"/>
      <c r="J348" s="461"/>
      <c r="K348" s="461"/>
      <c r="L348" s="379"/>
      <c r="M348" s="379"/>
      <c r="N348" s="50"/>
      <c r="O348" s="50"/>
      <c r="P348" s="379"/>
      <c r="Q348" s="379"/>
      <c r="R348" s="379"/>
      <c r="T348" s="54"/>
      <c r="V348" s="449"/>
      <c r="Y348" s="379"/>
      <c r="Z348" s="461"/>
      <c r="AA348" s="379"/>
      <c r="AB348" s="379"/>
      <c r="AC348" s="50"/>
      <c r="AD348" s="50"/>
      <c r="AE348" s="379"/>
      <c r="AF348" s="379"/>
      <c r="AG348" s="156"/>
      <c r="AH348" s="60"/>
      <c r="AI348" s="379"/>
      <c r="AJ348" s="379"/>
      <c r="AK348" s="156"/>
      <c r="AL348" s="379"/>
      <c r="AM348" s="50"/>
      <c r="AN348" s="50"/>
    </row>
    <row r="349" spans="1:40" x14ac:dyDescent="0.25">
      <c r="A349" s="53"/>
      <c r="C349" s="54"/>
      <c r="F349" s="449"/>
      <c r="H349" s="449"/>
      <c r="I349" s="449"/>
      <c r="J349" s="461"/>
      <c r="K349" s="461"/>
      <c r="L349" s="379"/>
      <c r="M349" s="379"/>
      <c r="N349" s="50"/>
      <c r="O349" s="50"/>
      <c r="P349" s="379"/>
      <c r="Q349" s="379"/>
      <c r="R349" s="379"/>
      <c r="T349" s="54"/>
      <c r="V349" s="449"/>
      <c r="Y349" s="379"/>
      <c r="Z349" s="461"/>
      <c r="AA349" s="379"/>
      <c r="AB349" s="379"/>
      <c r="AC349" s="50"/>
      <c r="AD349" s="50"/>
      <c r="AE349" s="379"/>
      <c r="AF349" s="379"/>
      <c r="AG349" s="156"/>
      <c r="AH349" s="60"/>
      <c r="AI349" s="379"/>
      <c r="AJ349" s="379"/>
      <c r="AK349" s="156"/>
      <c r="AL349" s="379"/>
      <c r="AM349" s="50"/>
      <c r="AN349" s="50"/>
    </row>
    <row r="350" spans="1:40" x14ac:dyDescent="0.25">
      <c r="F350" s="381"/>
      <c r="H350" s="381"/>
      <c r="I350" s="381"/>
      <c r="J350" s="464"/>
      <c r="K350" s="464"/>
      <c r="L350" s="381"/>
      <c r="M350" s="381"/>
      <c r="N350" s="381"/>
      <c r="O350" s="381"/>
      <c r="P350" s="381"/>
      <c r="Q350" s="381"/>
      <c r="R350" s="381"/>
      <c r="V350" s="381"/>
      <c r="Y350" s="381"/>
      <c r="Z350" s="464"/>
      <c r="AA350" s="381"/>
      <c r="AB350" s="381"/>
      <c r="AC350" s="381"/>
      <c r="AD350" s="381"/>
      <c r="AE350" s="381"/>
      <c r="AF350" s="381"/>
      <c r="AI350" s="381"/>
      <c r="AJ350" s="381"/>
      <c r="AK350" s="162"/>
      <c r="AL350" s="381"/>
      <c r="AM350" s="50"/>
      <c r="AN350" s="50"/>
    </row>
    <row r="351" spans="1:40" x14ac:dyDescent="0.25">
      <c r="A351" s="53"/>
      <c r="C351" s="54"/>
      <c r="F351" s="379"/>
      <c r="H351" s="379"/>
      <c r="I351" s="379"/>
      <c r="J351" s="59"/>
      <c r="K351" s="59"/>
      <c r="L351" s="379"/>
      <c r="M351" s="379"/>
      <c r="N351" s="50"/>
      <c r="O351" s="50"/>
      <c r="P351" s="379"/>
      <c r="Q351" s="379"/>
      <c r="R351" s="379"/>
      <c r="T351" s="54"/>
      <c r="V351" s="379"/>
      <c r="Y351" s="379"/>
      <c r="Z351" s="59"/>
      <c r="AA351" s="379"/>
      <c r="AB351" s="379"/>
      <c r="AC351" s="50"/>
      <c r="AD351" s="50"/>
      <c r="AE351" s="379"/>
      <c r="AF351" s="379"/>
      <c r="AG351" s="156"/>
      <c r="AH351" s="60"/>
      <c r="AI351" s="379"/>
      <c r="AJ351" s="379"/>
      <c r="AK351" s="156"/>
      <c r="AL351" s="379"/>
      <c r="AM351" s="50"/>
      <c r="AN351" s="50"/>
    </row>
    <row r="352" spans="1:40" x14ac:dyDescent="0.25">
      <c r="F352" s="381"/>
      <c r="H352" s="381"/>
      <c r="I352" s="381"/>
      <c r="J352" s="464"/>
      <c r="K352" s="464"/>
      <c r="L352" s="381"/>
      <c r="M352" s="381"/>
      <c r="N352" s="381"/>
      <c r="O352" s="381"/>
      <c r="P352" s="381"/>
      <c r="Q352" s="381"/>
      <c r="R352" s="381"/>
      <c r="V352" s="381"/>
      <c r="Y352" s="381"/>
      <c r="Z352" s="464"/>
      <c r="AA352" s="381"/>
      <c r="AB352" s="381"/>
      <c r="AC352" s="381"/>
      <c r="AD352" s="381"/>
      <c r="AE352" s="381"/>
      <c r="AF352" s="381"/>
      <c r="AI352" s="381"/>
      <c r="AJ352" s="381"/>
      <c r="AK352" s="162"/>
      <c r="AL352" s="381"/>
      <c r="AM352" s="50"/>
      <c r="AN352" s="50"/>
    </row>
    <row r="353" spans="1:40" x14ac:dyDescent="0.25">
      <c r="A353" s="53"/>
      <c r="C353" s="54"/>
      <c r="F353" s="379"/>
      <c r="H353" s="379"/>
      <c r="I353" s="379"/>
      <c r="J353" s="59"/>
      <c r="K353" s="59"/>
      <c r="L353" s="379"/>
      <c r="M353" s="379"/>
      <c r="N353" s="50"/>
      <c r="O353" s="50"/>
      <c r="P353" s="379"/>
      <c r="Q353" s="379"/>
      <c r="R353" s="379"/>
      <c r="T353" s="54"/>
      <c r="V353" s="379"/>
      <c r="Y353" s="379"/>
      <c r="Z353" s="59"/>
      <c r="AA353" s="379"/>
      <c r="AB353" s="379"/>
      <c r="AC353" s="50"/>
      <c r="AD353" s="50"/>
      <c r="AE353" s="379"/>
      <c r="AF353" s="379"/>
      <c r="AG353" s="156"/>
      <c r="AH353" s="60"/>
      <c r="AI353" s="379"/>
      <c r="AJ353" s="379"/>
      <c r="AK353" s="156"/>
      <c r="AL353" s="379"/>
      <c r="AM353" s="50"/>
      <c r="AN353" s="50"/>
    </row>
    <row r="354" spans="1:40" x14ac:dyDescent="0.25">
      <c r="A354" s="53"/>
      <c r="C354" s="54"/>
      <c r="F354" s="379"/>
      <c r="H354" s="449"/>
      <c r="I354" s="449"/>
      <c r="J354" s="472"/>
      <c r="K354" s="472"/>
      <c r="L354" s="379"/>
      <c r="M354" s="379"/>
      <c r="N354" s="50"/>
      <c r="O354" s="50"/>
      <c r="P354" s="379"/>
      <c r="Q354" s="379"/>
      <c r="R354" s="379"/>
      <c r="T354" s="54"/>
      <c r="V354" s="379"/>
      <c r="Y354" s="379"/>
      <c r="Z354" s="463"/>
      <c r="AA354" s="379"/>
      <c r="AB354" s="379"/>
      <c r="AC354" s="50"/>
      <c r="AD354" s="50"/>
      <c r="AE354" s="379"/>
      <c r="AF354" s="379"/>
      <c r="AG354" s="156"/>
      <c r="AH354" s="60"/>
      <c r="AI354" s="379"/>
      <c r="AJ354" s="379"/>
      <c r="AK354" s="156"/>
      <c r="AL354" s="379"/>
      <c r="AM354" s="50"/>
      <c r="AN354" s="50"/>
    </row>
    <row r="355" spans="1:40" x14ac:dyDescent="0.25">
      <c r="F355" s="381"/>
      <c r="H355" s="381"/>
      <c r="I355" s="381"/>
      <c r="J355" s="464"/>
      <c r="K355" s="464"/>
      <c r="L355" s="381"/>
      <c r="M355" s="381"/>
      <c r="N355" s="381"/>
      <c r="O355" s="381"/>
      <c r="P355" s="381"/>
      <c r="Q355" s="381"/>
      <c r="R355" s="381"/>
      <c r="V355" s="381"/>
      <c r="Y355" s="381"/>
      <c r="Z355" s="464"/>
      <c r="AA355" s="381"/>
      <c r="AB355" s="381"/>
      <c r="AC355" s="381"/>
      <c r="AD355" s="381"/>
      <c r="AE355" s="381"/>
      <c r="AF355" s="381"/>
      <c r="AI355" s="381"/>
      <c r="AJ355" s="381"/>
      <c r="AK355" s="162"/>
      <c r="AL355" s="381"/>
      <c r="AM355" s="50"/>
      <c r="AN355" s="50"/>
    </row>
    <row r="357" spans="1:40" x14ac:dyDescent="0.25">
      <c r="A357" s="53"/>
      <c r="C357" s="54"/>
      <c r="F357" s="379"/>
      <c r="H357" s="379"/>
      <c r="I357" s="379"/>
      <c r="J357" s="464"/>
      <c r="K357" s="464"/>
      <c r="L357" s="379"/>
      <c r="M357" s="379"/>
      <c r="N357" s="50"/>
      <c r="O357" s="50"/>
      <c r="P357" s="379"/>
      <c r="Q357" s="379"/>
      <c r="R357" s="379"/>
      <c r="S357" s="379"/>
      <c r="T357" s="54"/>
      <c r="V357" s="379"/>
      <c r="Y357" s="379"/>
      <c r="Z357" s="464"/>
      <c r="AA357" s="379"/>
      <c r="AB357" s="379"/>
      <c r="AC357" s="50"/>
      <c r="AD357" s="50"/>
      <c r="AE357" s="379"/>
      <c r="AF357" s="379"/>
      <c r="AG357" s="156"/>
      <c r="AH357" s="50"/>
      <c r="AI357" s="379"/>
      <c r="AJ357" s="379"/>
      <c r="AK357" s="156"/>
      <c r="AL357" s="379"/>
      <c r="AM357" s="50"/>
      <c r="AN357" s="50"/>
    </row>
    <row r="358" spans="1:40" x14ac:dyDescent="0.25">
      <c r="F358" s="381"/>
      <c r="H358" s="381"/>
      <c r="I358" s="381"/>
      <c r="J358" s="464"/>
      <c r="K358" s="464"/>
      <c r="L358" s="381"/>
      <c r="M358" s="381"/>
      <c r="N358" s="381"/>
      <c r="O358" s="381"/>
      <c r="P358" s="381"/>
      <c r="Q358" s="381"/>
      <c r="R358" s="381"/>
      <c r="S358" s="379"/>
      <c r="V358" s="381"/>
      <c r="Y358" s="381"/>
      <c r="Z358" s="464"/>
      <c r="AA358" s="381"/>
      <c r="AB358" s="381"/>
      <c r="AC358" s="381"/>
      <c r="AD358" s="381"/>
      <c r="AE358" s="381"/>
      <c r="AF358" s="381"/>
      <c r="AI358" s="381"/>
      <c r="AJ358" s="381"/>
      <c r="AK358" s="162"/>
      <c r="AL358" s="381"/>
      <c r="AM358" s="50"/>
      <c r="AN358" s="50"/>
    </row>
    <row r="359" spans="1:40" x14ac:dyDescent="0.25">
      <c r="A359" s="53"/>
      <c r="C359" s="54"/>
      <c r="T359" s="54"/>
    </row>
    <row r="360" spans="1:40" x14ac:dyDescent="0.25">
      <c r="A360" s="53"/>
      <c r="C360" s="54"/>
      <c r="F360" s="379"/>
      <c r="H360" s="379"/>
      <c r="I360" s="379"/>
      <c r="L360" s="379"/>
      <c r="M360" s="379"/>
      <c r="N360" s="50"/>
      <c r="O360" s="50"/>
      <c r="P360" s="449"/>
      <c r="Q360" s="449"/>
      <c r="R360" s="379"/>
      <c r="T360" s="54"/>
      <c r="V360" s="379"/>
      <c r="Y360" s="379"/>
      <c r="AA360" s="379"/>
      <c r="AB360" s="379"/>
      <c r="AC360" s="50"/>
      <c r="AD360" s="50"/>
      <c r="AE360" s="379"/>
      <c r="AF360" s="379"/>
      <c r="AG360" s="156"/>
      <c r="AH360" s="50"/>
      <c r="AI360" s="449"/>
      <c r="AJ360" s="449"/>
      <c r="AK360" s="156"/>
      <c r="AL360" s="379"/>
      <c r="AM360" s="50"/>
      <c r="AN360" s="50"/>
    </row>
    <row r="361" spans="1:40" x14ac:dyDescent="0.25">
      <c r="F361" s="381"/>
      <c r="H361" s="381"/>
      <c r="I361" s="381"/>
      <c r="J361" s="464"/>
      <c r="K361" s="464"/>
      <c r="L361" s="381"/>
      <c r="M361" s="381"/>
      <c r="N361" s="381"/>
      <c r="O361" s="381"/>
      <c r="P361" s="381"/>
      <c r="Q361" s="381"/>
      <c r="R361" s="381"/>
      <c r="V361" s="381"/>
      <c r="Y361" s="381"/>
      <c r="Z361" s="464"/>
      <c r="AA361" s="381"/>
      <c r="AB361" s="381"/>
      <c r="AC361" s="381"/>
      <c r="AD361" s="381"/>
      <c r="AE361" s="381"/>
      <c r="AF361" s="381"/>
      <c r="AI361" s="381"/>
      <c r="AJ361" s="381"/>
      <c r="AK361" s="162"/>
      <c r="AL361" s="381"/>
    </row>
    <row r="363" spans="1:40" x14ac:dyDescent="0.25">
      <c r="C363" s="54"/>
      <c r="L363" s="379"/>
      <c r="M363" s="379"/>
      <c r="N363" s="379"/>
      <c r="O363" s="379"/>
      <c r="P363" s="379"/>
      <c r="Q363" s="379"/>
      <c r="R363" s="379"/>
      <c r="S363" s="379"/>
      <c r="T363" s="54"/>
      <c r="AA363" s="379"/>
      <c r="AB363" s="379"/>
      <c r="AC363" s="379"/>
      <c r="AD363" s="379"/>
      <c r="AI363" s="379"/>
      <c r="AJ363" s="379"/>
      <c r="AK363" s="156"/>
      <c r="AL363" s="379"/>
    </row>
    <row r="364" spans="1:40" x14ac:dyDescent="0.25">
      <c r="A364" s="54"/>
    </row>
    <row r="365" spans="1:40" x14ac:dyDescent="0.25">
      <c r="J365" s="53"/>
      <c r="K365" s="53"/>
      <c r="Z365" s="53"/>
    </row>
    <row r="366" spans="1:40" x14ac:dyDescent="0.25">
      <c r="H366" s="54"/>
      <c r="I366" s="54"/>
      <c r="Y366" s="54"/>
    </row>
    <row r="367" spans="1:40" x14ac:dyDescent="0.25">
      <c r="J367" s="53"/>
      <c r="K367" s="53"/>
      <c r="Z367" s="53"/>
    </row>
    <row r="368" spans="1:40" x14ac:dyDescent="0.25">
      <c r="L368" s="54"/>
      <c r="M368" s="54"/>
      <c r="AA368" s="54"/>
      <c r="AB368" s="54"/>
    </row>
    <row r="369" spans="1:40" x14ac:dyDescent="0.25">
      <c r="A369" s="53"/>
      <c r="R369" s="54"/>
      <c r="AK369" s="161"/>
      <c r="AL369" s="54"/>
    </row>
    <row r="370" spans="1:40" x14ac:dyDescent="0.25">
      <c r="A370" s="53"/>
      <c r="R370" s="54"/>
      <c r="AK370" s="161"/>
      <c r="AL370" s="54"/>
    </row>
    <row r="371" spans="1:40" x14ac:dyDescent="0.25">
      <c r="A371" s="54"/>
      <c r="R371" s="54"/>
      <c r="AK371" s="161"/>
      <c r="AL371" s="54"/>
    </row>
    <row r="372" spans="1:40" x14ac:dyDescent="0.25">
      <c r="L372" s="54"/>
      <c r="M372" s="54"/>
      <c r="R372" s="53"/>
      <c r="AA372" s="54"/>
      <c r="AB372" s="54"/>
      <c r="AK372" s="156"/>
      <c r="AL372" s="53"/>
    </row>
    <row r="373" spans="1:40" x14ac:dyDescent="0.25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154"/>
      <c r="AH373" s="55"/>
      <c r="AI373" s="55"/>
      <c r="AJ373" s="55"/>
      <c r="AK373" s="154"/>
      <c r="AL373" s="55"/>
      <c r="AM373" s="55"/>
      <c r="AN373" s="55"/>
    </row>
    <row r="374" spans="1:40" x14ac:dyDescent="0.25">
      <c r="L374" s="56"/>
      <c r="M374" s="56"/>
      <c r="N374" s="56"/>
      <c r="O374" s="56"/>
      <c r="R374" s="56"/>
      <c r="AA374" s="56"/>
      <c r="AB374" s="56"/>
      <c r="AC374" s="56"/>
      <c r="AD374" s="56"/>
      <c r="AE374" s="56"/>
      <c r="AF374" s="56"/>
      <c r="AG374" s="155"/>
      <c r="AH374" s="56"/>
      <c r="AK374" s="155"/>
      <c r="AL374" s="56"/>
      <c r="AM374" s="56"/>
      <c r="AN374" s="56"/>
    </row>
    <row r="375" spans="1:40" x14ac:dyDescent="0.25">
      <c r="L375" s="56"/>
      <c r="M375" s="56"/>
      <c r="N375" s="56"/>
      <c r="O375" s="56"/>
      <c r="R375" s="56"/>
      <c r="Z375" s="56"/>
      <c r="AA375" s="56"/>
      <c r="AB375" s="56"/>
      <c r="AC375" s="56"/>
      <c r="AD375" s="56"/>
      <c r="AE375" s="56"/>
      <c r="AF375" s="56"/>
      <c r="AG375" s="155"/>
      <c r="AH375" s="56"/>
      <c r="AK375" s="155"/>
      <c r="AL375" s="56"/>
      <c r="AM375" s="56"/>
      <c r="AN375" s="56"/>
    </row>
    <row r="376" spans="1:40" x14ac:dyDescent="0.25">
      <c r="A376" s="56"/>
      <c r="C376" s="56"/>
      <c r="D376" s="56"/>
      <c r="E376" s="56"/>
      <c r="F376" s="56"/>
      <c r="J376" s="56"/>
      <c r="K376" s="56"/>
      <c r="L376" s="56"/>
      <c r="M376" s="56"/>
      <c r="N376" s="56"/>
      <c r="O376" s="56"/>
      <c r="P376" s="56"/>
      <c r="Q376" s="56"/>
      <c r="R376" s="56"/>
      <c r="T376" s="56"/>
      <c r="U376" s="56"/>
      <c r="V376" s="56"/>
      <c r="Z376" s="56"/>
      <c r="AA376" s="56"/>
      <c r="AB376" s="56"/>
      <c r="AC376" s="56"/>
      <c r="AD376" s="56"/>
      <c r="AE376" s="56"/>
      <c r="AF376" s="56"/>
      <c r="AG376" s="155"/>
      <c r="AH376" s="56"/>
      <c r="AI376" s="56"/>
      <c r="AJ376" s="56"/>
      <c r="AK376" s="155"/>
      <c r="AL376" s="56"/>
      <c r="AM376" s="56"/>
      <c r="AN376" s="56"/>
    </row>
    <row r="377" spans="1:40" x14ac:dyDescent="0.25">
      <c r="A377" s="56"/>
      <c r="C377" s="56"/>
      <c r="D377" s="56"/>
      <c r="E377" s="56"/>
      <c r="F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T377" s="56"/>
      <c r="U377" s="56"/>
      <c r="V377" s="56"/>
      <c r="Y377" s="56"/>
      <c r="Z377" s="56"/>
      <c r="AA377" s="56"/>
      <c r="AB377" s="56"/>
      <c r="AC377" s="56"/>
      <c r="AD377" s="56"/>
      <c r="AE377" s="56"/>
      <c r="AF377" s="56"/>
      <c r="AG377" s="155"/>
      <c r="AH377" s="56"/>
      <c r="AI377" s="56"/>
      <c r="AJ377" s="56"/>
      <c r="AK377" s="155"/>
      <c r="AL377" s="56"/>
      <c r="AM377" s="56"/>
      <c r="AN377" s="56"/>
    </row>
    <row r="378" spans="1:40" x14ac:dyDescent="0.25">
      <c r="C378" s="56"/>
      <c r="D378" s="56"/>
      <c r="E378" s="56"/>
      <c r="F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T378" s="56"/>
      <c r="U378" s="56"/>
      <c r="V378" s="56"/>
      <c r="Y378" s="56"/>
      <c r="Z378" s="56"/>
      <c r="AA378" s="56"/>
      <c r="AB378" s="56"/>
      <c r="AC378" s="56"/>
      <c r="AD378" s="56"/>
      <c r="AE378" s="56"/>
      <c r="AF378" s="56"/>
      <c r="AG378" s="155"/>
      <c r="AH378" s="56"/>
      <c r="AI378" s="56"/>
      <c r="AJ378" s="56"/>
      <c r="AK378" s="155"/>
      <c r="AL378" s="56"/>
      <c r="AM378" s="56"/>
      <c r="AN378" s="56"/>
    </row>
    <row r="379" spans="1:40" x14ac:dyDescent="0.25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154"/>
      <c r="AH379" s="55"/>
      <c r="AI379" s="55"/>
      <c r="AJ379" s="55"/>
      <c r="AK379" s="154"/>
      <c r="AL379" s="55"/>
      <c r="AM379" s="55"/>
      <c r="AN379" s="55"/>
    </row>
    <row r="380" spans="1:40" x14ac:dyDescent="0.25"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Y380" s="56"/>
      <c r="Z380" s="56"/>
      <c r="AA380" s="56"/>
      <c r="AB380" s="56"/>
      <c r="AC380" s="56"/>
      <c r="AD380" s="56"/>
      <c r="AE380" s="56"/>
      <c r="AF380" s="56"/>
      <c r="AG380" s="155"/>
      <c r="AH380" s="56"/>
      <c r="AI380" s="56"/>
      <c r="AJ380" s="56"/>
      <c r="AK380" s="155"/>
      <c r="AL380" s="56"/>
      <c r="AM380" s="56"/>
      <c r="AN380" s="56"/>
    </row>
    <row r="381" spans="1:40" x14ac:dyDescent="0.25">
      <c r="A381" s="53"/>
      <c r="C381" s="54"/>
      <c r="D381" s="54"/>
      <c r="E381" s="54"/>
      <c r="T381" s="54"/>
      <c r="U381" s="54"/>
    </row>
    <row r="382" spans="1:40" x14ac:dyDescent="0.25">
      <c r="D382" s="54"/>
      <c r="E382" s="54"/>
      <c r="U382" s="54"/>
    </row>
    <row r="384" spans="1:40" x14ac:dyDescent="0.25">
      <c r="A384" s="53"/>
      <c r="C384" s="54"/>
      <c r="T384" s="54"/>
    </row>
    <row r="385" spans="1:40" x14ac:dyDescent="0.25">
      <c r="A385" s="53"/>
      <c r="C385" s="54"/>
      <c r="F385" s="449"/>
      <c r="H385" s="449"/>
      <c r="I385" s="449"/>
      <c r="J385" s="221"/>
      <c r="K385" s="221"/>
      <c r="L385" s="379"/>
      <c r="M385" s="379"/>
      <c r="N385" s="50"/>
      <c r="O385" s="50"/>
      <c r="P385" s="379"/>
      <c r="Q385" s="379"/>
      <c r="R385" s="379"/>
      <c r="T385" s="54"/>
      <c r="V385" s="449"/>
      <c r="W385" s="379"/>
      <c r="X385" s="379"/>
      <c r="Y385" s="449"/>
      <c r="Z385" s="221"/>
      <c r="AA385" s="379"/>
      <c r="AB385" s="379"/>
      <c r="AC385" s="50"/>
      <c r="AD385" s="50"/>
      <c r="AE385" s="379"/>
      <c r="AF385" s="379"/>
      <c r="AG385" s="156"/>
      <c r="AH385" s="60"/>
      <c r="AI385" s="379"/>
      <c r="AJ385" s="379"/>
      <c r="AK385" s="156"/>
      <c r="AL385" s="379"/>
      <c r="AM385" s="50"/>
      <c r="AN385" s="50"/>
    </row>
    <row r="386" spans="1:40" x14ac:dyDescent="0.25">
      <c r="A386" s="53"/>
      <c r="C386" s="54"/>
      <c r="F386" s="379"/>
      <c r="H386" s="379"/>
      <c r="I386" s="379"/>
      <c r="J386" s="464"/>
      <c r="K386" s="464"/>
      <c r="L386" s="379"/>
      <c r="M386" s="379"/>
      <c r="N386" s="50"/>
      <c r="O386" s="50"/>
      <c r="P386" s="379"/>
      <c r="Q386" s="379"/>
      <c r="R386" s="379"/>
      <c r="T386" s="54"/>
      <c r="V386" s="449"/>
      <c r="W386" s="379"/>
      <c r="X386" s="379"/>
      <c r="Y386" s="449"/>
      <c r="Z386" s="464"/>
      <c r="AA386" s="379"/>
      <c r="AB386" s="379"/>
      <c r="AC386" s="50"/>
      <c r="AD386" s="50"/>
      <c r="AE386" s="379"/>
      <c r="AF386" s="379"/>
      <c r="AG386" s="156"/>
      <c r="AH386" s="60"/>
      <c r="AI386" s="379"/>
      <c r="AJ386" s="379"/>
      <c r="AK386" s="156"/>
      <c r="AL386" s="379"/>
      <c r="AM386" s="50"/>
      <c r="AN386" s="50"/>
    </row>
    <row r="387" spans="1:40" x14ac:dyDescent="0.25">
      <c r="A387" s="53"/>
      <c r="C387" s="54"/>
      <c r="F387" s="449"/>
      <c r="H387" s="449"/>
      <c r="I387" s="449"/>
      <c r="J387" s="221"/>
      <c r="K387" s="221"/>
      <c r="L387" s="379"/>
      <c r="M387" s="379"/>
      <c r="N387" s="50"/>
      <c r="O387" s="50"/>
      <c r="P387" s="379"/>
      <c r="Q387" s="379"/>
      <c r="R387" s="379"/>
      <c r="T387" s="54"/>
      <c r="V387" s="449"/>
      <c r="W387" s="379"/>
      <c r="X387" s="379"/>
      <c r="Y387" s="449"/>
      <c r="Z387" s="221"/>
      <c r="AA387" s="379"/>
      <c r="AB387" s="379"/>
      <c r="AC387" s="50"/>
      <c r="AD387" s="50"/>
      <c r="AE387" s="379"/>
      <c r="AF387" s="379"/>
      <c r="AG387" s="156"/>
      <c r="AH387" s="60"/>
      <c r="AI387" s="379"/>
      <c r="AJ387" s="379"/>
      <c r="AK387" s="156"/>
      <c r="AL387" s="379"/>
      <c r="AM387" s="50"/>
      <c r="AN387" s="50"/>
    </row>
    <row r="388" spans="1:40" x14ac:dyDescent="0.25">
      <c r="A388" s="53"/>
      <c r="C388" s="54"/>
      <c r="F388" s="449"/>
      <c r="H388" s="449"/>
      <c r="I388" s="449"/>
      <c r="J388" s="221"/>
      <c r="K388" s="221"/>
      <c r="L388" s="379"/>
      <c r="M388" s="379"/>
      <c r="N388" s="50"/>
      <c r="O388" s="50"/>
      <c r="P388" s="379"/>
      <c r="Q388" s="379"/>
      <c r="R388" s="379"/>
      <c r="T388" s="54"/>
      <c r="V388" s="449"/>
      <c r="W388" s="379"/>
      <c r="X388" s="379"/>
      <c r="Y388" s="449"/>
      <c r="Z388" s="221"/>
      <c r="AA388" s="379"/>
      <c r="AB388" s="379"/>
      <c r="AC388" s="50"/>
      <c r="AD388" s="50"/>
      <c r="AE388" s="379"/>
      <c r="AF388" s="379"/>
      <c r="AG388" s="156"/>
      <c r="AH388" s="60"/>
      <c r="AI388" s="379"/>
      <c r="AJ388" s="379"/>
      <c r="AK388" s="156"/>
      <c r="AL388" s="379"/>
      <c r="AM388" s="50"/>
      <c r="AN388" s="50"/>
    </row>
    <row r="389" spans="1:40" x14ac:dyDescent="0.25">
      <c r="A389" s="53"/>
      <c r="C389" s="54"/>
      <c r="F389" s="449"/>
      <c r="H389" s="449"/>
      <c r="I389" s="449"/>
      <c r="J389" s="221"/>
      <c r="K389" s="221"/>
      <c r="L389" s="379"/>
      <c r="M389" s="379"/>
      <c r="N389" s="50"/>
      <c r="O389" s="50"/>
      <c r="P389" s="379"/>
      <c r="Q389" s="379"/>
      <c r="R389" s="379"/>
      <c r="T389" s="54"/>
      <c r="V389" s="449"/>
      <c r="W389" s="379"/>
      <c r="X389" s="379"/>
      <c r="Y389" s="449"/>
      <c r="Z389" s="221"/>
      <c r="AA389" s="379"/>
      <c r="AB389" s="379"/>
      <c r="AC389" s="50"/>
      <c r="AD389" s="50"/>
      <c r="AE389" s="379"/>
      <c r="AF389" s="379"/>
      <c r="AG389" s="156"/>
      <c r="AH389" s="60"/>
      <c r="AI389" s="379"/>
      <c r="AJ389" s="379"/>
      <c r="AK389" s="156"/>
      <c r="AL389" s="379"/>
      <c r="AM389" s="50"/>
      <c r="AN389" s="50"/>
    </row>
    <row r="390" spans="1:40" x14ac:dyDescent="0.25">
      <c r="A390" s="53"/>
      <c r="C390" s="54"/>
      <c r="F390" s="379"/>
      <c r="H390" s="379"/>
      <c r="I390" s="379"/>
      <c r="J390" s="221"/>
      <c r="K390" s="221"/>
      <c r="L390" s="379"/>
      <c r="M390" s="379"/>
      <c r="N390" s="50"/>
      <c r="O390" s="50"/>
      <c r="P390" s="379"/>
      <c r="Q390" s="379"/>
      <c r="R390" s="379"/>
      <c r="T390" s="54"/>
      <c r="V390" s="449"/>
      <c r="W390" s="379"/>
      <c r="X390" s="379"/>
      <c r="Y390" s="449"/>
      <c r="Z390" s="221"/>
      <c r="AA390" s="379"/>
      <c r="AB390" s="379"/>
      <c r="AC390" s="50"/>
      <c r="AD390" s="50"/>
      <c r="AE390" s="379"/>
      <c r="AF390" s="379"/>
      <c r="AG390" s="156"/>
      <c r="AH390" s="60"/>
      <c r="AI390" s="379"/>
      <c r="AJ390" s="379"/>
      <c r="AK390" s="156"/>
      <c r="AL390" s="379"/>
      <c r="AM390" s="50"/>
      <c r="AN390" s="50"/>
    </row>
    <row r="391" spans="1:40" x14ac:dyDescent="0.25">
      <c r="A391" s="53"/>
      <c r="C391" s="54"/>
      <c r="F391" s="379"/>
      <c r="H391" s="379"/>
      <c r="I391" s="379"/>
      <c r="J391" s="221"/>
      <c r="K391" s="221"/>
      <c r="L391" s="379"/>
      <c r="M391" s="379"/>
      <c r="N391" s="50"/>
      <c r="O391" s="50"/>
      <c r="P391" s="379"/>
      <c r="Q391" s="379"/>
      <c r="R391" s="379"/>
      <c r="T391" s="54"/>
      <c r="V391" s="449"/>
      <c r="W391" s="379"/>
      <c r="X391" s="379"/>
      <c r="Y391" s="449"/>
      <c r="Z391" s="221"/>
      <c r="AA391" s="379"/>
      <c r="AB391" s="379"/>
      <c r="AC391" s="50"/>
      <c r="AD391" s="50"/>
      <c r="AE391" s="379"/>
      <c r="AF391" s="379"/>
      <c r="AG391" s="156"/>
      <c r="AH391" s="60"/>
      <c r="AI391" s="379"/>
      <c r="AJ391" s="379"/>
      <c r="AK391" s="156"/>
      <c r="AL391" s="379"/>
      <c r="AM391" s="50"/>
      <c r="AN391" s="50"/>
    </row>
    <row r="392" spans="1:40" x14ac:dyDescent="0.25">
      <c r="F392" s="63"/>
      <c r="H392" s="479"/>
      <c r="I392" s="479"/>
      <c r="J392" s="221"/>
      <c r="K392" s="221"/>
      <c r="L392" s="63"/>
      <c r="M392" s="63"/>
      <c r="N392" s="381"/>
      <c r="O392" s="381"/>
      <c r="P392" s="63"/>
      <c r="Q392" s="63"/>
      <c r="R392" s="63"/>
      <c r="V392" s="63"/>
      <c r="W392" s="379"/>
      <c r="X392" s="379"/>
      <c r="Y392" s="63"/>
      <c r="Z392" s="221"/>
      <c r="AA392" s="63"/>
      <c r="AB392" s="63"/>
      <c r="AC392" s="64"/>
      <c r="AD392" s="64"/>
      <c r="AE392" s="63"/>
      <c r="AF392" s="63"/>
      <c r="AG392" s="156"/>
      <c r="AH392" s="60"/>
      <c r="AI392" s="63"/>
      <c r="AJ392" s="63"/>
      <c r="AK392" s="154"/>
      <c r="AL392" s="63"/>
      <c r="AM392" s="50"/>
      <c r="AN392" s="50"/>
    </row>
    <row r="393" spans="1:40" x14ac:dyDescent="0.25">
      <c r="A393" s="53"/>
      <c r="C393" s="54"/>
      <c r="F393" s="379"/>
      <c r="H393" s="379"/>
      <c r="I393" s="379"/>
      <c r="J393" s="221"/>
      <c r="K393" s="221"/>
      <c r="L393" s="379"/>
      <c r="M393" s="379"/>
      <c r="N393" s="60"/>
      <c r="O393" s="60"/>
      <c r="P393" s="379"/>
      <c r="Q393" s="379"/>
      <c r="R393" s="379"/>
      <c r="T393" s="56"/>
      <c r="V393" s="379"/>
      <c r="W393" s="379"/>
      <c r="X393" s="379"/>
      <c r="Y393" s="379"/>
      <c r="Z393" s="221"/>
      <c r="AA393" s="379"/>
      <c r="AB393" s="379"/>
      <c r="AC393" s="60"/>
      <c r="AD393" s="60"/>
      <c r="AE393" s="379"/>
      <c r="AF393" s="379"/>
      <c r="AG393" s="156"/>
      <c r="AH393" s="60"/>
      <c r="AI393" s="379"/>
      <c r="AJ393" s="379"/>
      <c r="AK393" s="156"/>
      <c r="AL393" s="379"/>
      <c r="AM393" s="50"/>
      <c r="AN393" s="50"/>
    </row>
    <row r="394" spans="1:40" x14ac:dyDescent="0.25">
      <c r="F394" s="55"/>
      <c r="H394" s="55"/>
      <c r="I394" s="55"/>
      <c r="L394" s="55"/>
      <c r="M394" s="55"/>
      <c r="N394" s="64"/>
      <c r="O394" s="64"/>
      <c r="P394" s="63"/>
      <c r="Q394" s="63"/>
      <c r="R394" s="63"/>
      <c r="V394" s="63"/>
      <c r="Y394" s="63"/>
      <c r="Z394" s="464"/>
      <c r="AA394" s="63"/>
      <c r="AB394" s="63"/>
      <c r="AC394" s="63"/>
      <c r="AD394" s="63"/>
      <c r="AE394" s="63"/>
      <c r="AF394" s="63"/>
      <c r="AI394" s="63"/>
      <c r="AJ394" s="63"/>
      <c r="AK394" s="154"/>
      <c r="AL394" s="63"/>
      <c r="AM394" s="64"/>
      <c r="AN394" s="64"/>
    </row>
    <row r="395" spans="1:40" x14ac:dyDescent="0.25">
      <c r="AI395" s="53"/>
      <c r="AJ395" s="53"/>
    </row>
    <row r="399" spans="1:40" x14ac:dyDescent="0.25">
      <c r="N399" s="379"/>
      <c r="O399" s="379"/>
      <c r="P399" s="379"/>
      <c r="Q399" s="379"/>
      <c r="R399" s="379"/>
      <c r="V399" s="379"/>
      <c r="Y399" s="379"/>
      <c r="Z399" s="59"/>
      <c r="AA399" s="379"/>
      <c r="AB399" s="379"/>
      <c r="AC399" s="50"/>
      <c r="AD399" s="50"/>
      <c r="AE399" s="379"/>
      <c r="AF399" s="379"/>
      <c r="AG399" s="156"/>
      <c r="AH399" s="60"/>
      <c r="AI399" s="379"/>
      <c r="AJ399" s="379"/>
      <c r="AK399" s="156"/>
      <c r="AL399" s="379"/>
      <c r="AM399" s="50"/>
      <c r="AN399" s="50"/>
    </row>
    <row r="400" spans="1:40" x14ac:dyDescent="0.25">
      <c r="A400" s="53"/>
      <c r="C400" s="54"/>
      <c r="D400" s="54"/>
      <c r="E400" s="54"/>
      <c r="J400" s="65"/>
      <c r="K400" s="65"/>
      <c r="T400" s="54"/>
      <c r="U400" s="54"/>
      <c r="Z400" s="65"/>
      <c r="AE400" s="379"/>
      <c r="AF400" s="379"/>
      <c r="AI400" s="379"/>
      <c r="AJ400" s="379"/>
      <c r="AK400" s="156"/>
      <c r="AL400" s="379"/>
      <c r="AM400" s="50"/>
      <c r="AN400" s="50"/>
    </row>
    <row r="401" spans="1:40" x14ac:dyDescent="0.25">
      <c r="D401" s="54"/>
      <c r="E401" s="54"/>
      <c r="F401" s="379"/>
      <c r="H401" s="379"/>
      <c r="I401" s="379"/>
      <c r="J401" s="221"/>
      <c r="K401" s="221"/>
      <c r="L401" s="379"/>
      <c r="M401" s="379"/>
      <c r="N401" s="50"/>
      <c r="O401" s="50"/>
      <c r="P401" s="379"/>
      <c r="Q401" s="379"/>
      <c r="R401" s="379"/>
      <c r="U401" s="54"/>
      <c r="V401" s="379"/>
      <c r="Y401" s="379"/>
      <c r="Z401" s="221"/>
      <c r="AA401" s="379"/>
      <c r="AB401" s="379"/>
      <c r="AC401" s="50"/>
      <c r="AD401" s="50"/>
      <c r="AE401" s="379"/>
      <c r="AF401" s="379"/>
      <c r="AG401" s="156"/>
      <c r="AH401" s="60"/>
      <c r="AI401" s="379"/>
      <c r="AJ401" s="379"/>
      <c r="AK401" s="156"/>
      <c r="AL401" s="379"/>
      <c r="AM401" s="50"/>
      <c r="AN401" s="50"/>
    </row>
    <row r="402" spans="1:40" x14ac:dyDescent="0.25">
      <c r="F402" s="379"/>
      <c r="H402" s="379"/>
      <c r="I402" s="379"/>
      <c r="J402" s="464"/>
      <c r="K402" s="464"/>
      <c r="L402" s="379"/>
      <c r="M402" s="379"/>
      <c r="N402" s="379"/>
      <c r="O402" s="379"/>
      <c r="P402" s="379"/>
      <c r="Q402" s="379"/>
      <c r="R402" s="379"/>
      <c r="V402" s="379"/>
      <c r="Y402" s="379"/>
      <c r="Z402" s="464"/>
      <c r="AA402" s="379"/>
      <c r="AB402" s="379"/>
      <c r="AC402" s="379"/>
      <c r="AD402" s="379"/>
      <c r="AE402" s="379"/>
      <c r="AF402" s="379"/>
      <c r="AG402" s="156"/>
      <c r="AH402" s="60"/>
      <c r="AI402" s="449"/>
      <c r="AJ402" s="449"/>
      <c r="AK402" s="156"/>
      <c r="AL402" s="379"/>
      <c r="AM402" s="50"/>
      <c r="AN402" s="50"/>
    </row>
    <row r="403" spans="1:40" x14ac:dyDescent="0.25">
      <c r="A403" s="53"/>
      <c r="C403" s="54"/>
      <c r="F403" s="449"/>
      <c r="H403" s="449"/>
      <c r="I403" s="449"/>
      <c r="J403" s="463"/>
      <c r="K403" s="463"/>
      <c r="L403" s="379"/>
      <c r="M403" s="379"/>
      <c r="N403" s="50"/>
      <c r="O403" s="50"/>
      <c r="P403" s="379"/>
      <c r="Q403" s="379"/>
      <c r="R403" s="379"/>
      <c r="T403" s="54"/>
      <c r="V403" s="449"/>
      <c r="Y403" s="449"/>
      <c r="Z403" s="463"/>
      <c r="AA403" s="379"/>
      <c r="AB403" s="379"/>
      <c r="AC403" s="50"/>
      <c r="AD403" s="50"/>
      <c r="AE403" s="379"/>
      <c r="AF403" s="379"/>
      <c r="AG403" s="156"/>
      <c r="AH403" s="60"/>
      <c r="AI403" s="379"/>
      <c r="AJ403" s="379"/>
      <c r="AK403" s="156"/>
      <c r="AL403" s="379"/>
      <c r="AM403" s="50"/>
      <c r="AN403" s="50"/>
    </row>
    <row r="404" spans="1:40" x14ac:dyDescent="0.25">
      <c r="F404" s="55"/>
      <c r="H404" s="55"/>
      <c r="I404" s="55"/>
      <c r="L404" s="55"/>
      <c r="M404" s="55"/>
      <c r="N404" s="55"/>
      <c r="O404" s="55"/>
      <c r="P404" s="55"/>
      <c r="Q404" s="55"/>
      <c r="R404" s="55"/>
      <c r="V404" s="55"/>
      <c r="Y404" s="55"/>
      <c r="AA404" s="55"/>
      <c r="AB404" s="55"/>
      <c r="AC404" s="55"/>
      <c r="AD404" s="55"/>
      <c r="AE404" s="55"/>
      <c r="AF404" s="55"/>
      <c r="AG404" s="154"/>
      <c r="AH404" s="55"/>
      <c r="AI404" s="55"/>
      <c r="AJ404" s="55"/>
      <c r="AK404" s="154"/>
      <c r="AL404" s="55"/>
      <c r="AM404" s="55"/>
      <c r="AN404" s="55"/>
    </row>
    <row r="405" spans="1:40" x14ac:dyDescent="0.25">
      <c r="A405" s="53"/>
      <c r="C405" s="56"/>
      <c r="F405" s="449"/>
      <c r="H405" s="449"/>
      <c r="I405" s="449"/>
      <c r="J405" s="461"/>
      <c r="K405" s="461"/>
      <c r="L405" s="449"/>
      <c r="M405" s="449"/>
      <c r="N405" s="50"/>
      <c r="O405" s="50"/>
      <c r="P405" s="449"/>
      <c r="Q405" s="449"/>
      <c r="R405" s="449"/>
      <c r="T405" s="56"/>
      <c r="V405" s="379"/>
      <c r="Y405" s="379"/>
      <c r="Z405" s="59"/>
      <c r="AA405" s="379"/>
      <c r="AB405" s="379"/>
      <c r="AC405" s="50"/>
      <c r="AD405" s="50"/>
      <c r="AE405" s="53"/>
      <c r="AF405" s="53"/>
      <c r="AG405" s="156"/>
      <c r="AH405" s="60"/>
      <c r="AI405" s="379"/>
      <c r="AJ405" s="379"/>
      <c r="AK405" s="156"/>
      <c r="AL405" s="379"/>
      <c r="AM405" s="50"/>
      <c r="AN405" s="50"/>
    </row>
    <row r="406" spans="1:40" x14ac:dyDescent="0.25">
      <c r="F406" s="63"/>
      <c r="H406" s="63"/>
      <c r="I406" s="63"/>
      <c r="J406" s="464"/>
      <c r="K406" s="464"/>
      <c r="L406" s="63"/>
      <c r="M406" s="63"/>
      <c r="N406" s="63"/>
      <c r="O406" s="63"/>
      <c r="P406" s="63"/>
      <c r="Q406" s="63"/>
      <c r="R406" s="63"/>
      <c r="V406" s="55"/>
      <c r="Y406" s="55"/>
      <c r="AA406" s="55"/>
      <c r="AB406" s="55"/>
      <c r="AC406" s="55"/>
      <c r="AD406" s="55"/>
      <c r="AE406" s="55"/>
      <c r="AF406" s="55"/>
      <c r="AG406" s="154"/>
      <c r="AH406" s="55"/>
      <c r="AI406" s="55"/>
      <c r="AJ406" s="55"/>
      <c r="AK406" s="154"/>
      <c r="AL406" s="55"/>
      <c r="AM406" s="55"/>
      <c r="AN406" s="55"/>
    </row>
    <row r="407" spans="1:40" x14ac:dyDescent="0.25">
      <c r="F407" s="449"/>
      <c r="H407" s="449"/>
      <c r="I407" s="449"/>
      <c r="J407" s="477"/>
      <c r="K407" s="477"/>
      <c r="L407" s="379"/>
      <c r="M407" s="379"/>
      <c r="N407" s="50"/>
      <c r="O407" s="50"/>
      <c r="P407" s="379"/>
      <c r="Q407" s="379"/>
      <c r="R407" s="379"/>
    </row>
    <row r="408" spans="1:40" x14ac:dyDescent="0.25">
      <c r="A408" s="54"/>
      <c r="F408" s="449"/>
      <c r="H408" s="449"/>
      <c r="I408" s="449"/>
      <c r="J408" s="461"/>
      <c r="K408" s="461"/>
      <c r="L408" s="379"/>
      <c r="M408" s="379"/>
      <c r="N408" s="50"/>
      <c r="O408" s="50"/>
      <c r="P408" s="379"/>
      <c r="Q408" s="379"/>
      <c r="R408" s="379"/>
    </row>
    <row r="409" spans="1:40" x14ac:dyDescent="0.25">
      <c r="F409" s="449"/>
      <c r="H409" s="449"/>
      <c r="I409" s="449"/>
      <c r="J409" s="461"/>
      <c r="K409" s="461"/>
      <c r="L409" s="379"/>
      <c r="M409" s="379"/>
      <c r="N409" s="50"/>
      <c r="O409" s="50"/>
      <c r="P409" s="379"/>
      <c r="Q409" s="379"/>
      <c r="R409" s="379"/>
    </row>
    <row r="410" spans="1:40" x14ac:dyDescent="0.25">
      <c r="A410" s="54"/>
    </row>
    <row r="412" spans="1:40" x14ac:dyDescent="0.25">
      <c r="J412" s="53"/>
      <c r="K412" s="53"/>
      <c r="Z412" s="53"/>
    </row>
    <row r="413" spans="1:40" x14ac:dyDescent="0.25">
      <c r="H413" s="54"/>
      <c r="I413" s="54"/>
      <c r="Y413" s="54"/>
    </row>
    <row r="414" spans="1:40" x14ac:dyDescent="0.25">
      <c r="J414" s="53"/>
      <c r="K414" s="53"/>
      <c r="Z414" s="53"/>
    </row>
    <row r="415" spans="1:40" x14ac:dyDescent="0.25">
      <c r="L415" s="54"/>
      <c r="M415" s="54"/>
      <c r="AA415" s="54"/>
      <c r="AB415" s="54"/>
    </row>
    <row r="416" spans="1:40" x14ac:dyDescent="0.25">
      <c r="A416" s="53"/>
      <c r="R416" s="54"/>
      <c r="AK416" s="161"/>
      <c r="AL416" s="54"/>
    </row>
    <row r="417" spans="1:40" x14ac:dyDescent="0.25">
      <c r="A417" s="53"/>
      <c r="R417" s="54"/>
      <c r="AK417" s="161"/>
      <c r="AL417" s="54"/>
    </row>
    <row r="418" spans="1:40" x14ac:dyDescent="0.25">
      <c r="A418" s="54"/>
      <c r="R418" s="54"/>
      <c r="AK418" s="161"/>
      <c r="AL418" s="54"/>
    </row>
    <row r="419" spans="1:40" x14ac:dyDescent="0.25">
      <c r="L419" s="54"/>
      <c r="M419" s="54"/>
      <c r="R419" s="53"/>
      <c r="AA419" s="54"/>
      <c r="AB419" s="54"/>
      <c r="AK419" s="156"/>
      <c r="AL419" s="53"/>
    </row>
    <row r="420" spans="1:40" x14ac:dyDescent="0.25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154"/>
      <c r="AH420" s="55"/>
      <c r="AI420" s="55"/>
      <c r="AJ420" s="55"/>
      <c r="AK420" s="154"/>
      <c r="AL420" s="55"/>
      <c r="AM420" s="55"/>
      <c r="AN420" s="55"/>
    </row>
    <row r="421" spans="1:40" x14ac:dyDescent="0.25">
      <c r="L421" s="56"/>
      <c r="M421" s="56"/>
      <c r="N421" s="56"/>
      <c r="O421" s="56"/>
      <c r="R421" s="56"/>
      <c r="AA421" s="56"/>
      <c r="AB421" s="56"/>
      <c r="AC421" s="56"/>
      <c r="AD421" s="56"/>
      <c r="AE421" s="56"/>
      <c r="AF421" s="56"/>
      <c r="AG421" s="155"/>
      <c r="AH421" s="56"/>
      <c r="AK421" s="155"/>
      <c r="AL421" s="56"/>
      <c r="AM421" s="56"/>
      <c r="AN421" s="56"/>
    </row>
    <row r="422" spans="1:40" x14ac:dyDescent="0.25">
      <c r="L422" s="56"/>
      <c r="M422" s="56"/>
      <c r="N422" s="56"/>
      <c r="O422" s="56"/>
      <c r="R422" s="56"/>
      <c r="Z422" s="56"/>
      <c r="AA422" s="56"/>
      <c r="AB422" s="56"/>
      <c r="AC422" s="56"/>
      <c r="AD422" s="56"/>
      <c r="AE422" s="56"/>
      <c r="AF422" s="56"/>
      <c r="AG422" s="155"/>
      <c r="AH422" s="56"/>
      <c r="AK422" s="155"/>
      <c r="AL422" s="56"/>
      <c r="AM422" s="56"/>
      <c r="AN422" s="56"/>
    </row>
    <row r="423" spans="1:40" x14ac:dyDescent="0.25">
      <c r="A423" s="56"/>
      <c r="C423" s="56"/>
      <c r="D423" s="56"/>
      <c r="E423" s="56"/>
      <c r="F423" s="56"/>
      <c r="J423" s="56"/>
      <c r="K423" s="56"/>
      <c r="L423" s="56"/>
      <c r="M423" s="56"/>
      <c r="N423" s="56"/>
      <c r="O423" s="56"/>
      <c r="P423" s="56"/>
      <c r="Q423" s="56"/>
      <c r="R423" s="56"/>
      <c r="T423" s="56"/>
      <c r="U423" s="56"/>
      <c r="V423" s="56"/>
      <c r="Z423" s="56"/>
      <c r="AA423" s="56"/>
      <c r="AB423" s="56"/>
      <c r="AC423" s="56"/>
      <c r="AD423" s="56"/>
      <c r="AE423" s="56"/>
      <c r="AF423" s="56"/>
      <c r="AG423" s="155"/>
      <c r="AH423" s="56"/>
      <c r="AI423" s="56"/>
      <c r="AJ423" s="56"/>
      <c r="AK423" s="155"/>
      <c r="AL423" s="56"/>
      <c r="AM423" s="56"/>
      <c r="AN423" s="56"/>
    </row>
    <row r="424" spans="1:40" x14ac:dyDescent="0.25">
      <c r="A424" s="56"/>
      <c r="C424" s="56"/>
      <c r="D424" s="56"/>
      <c r="E424" s="56"/>
      <c r="F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T424" s="56"/>
      <c r="U424" s="56"/>
      <c r="V424" s="56"/>
      <c r="Y424" s="56"/>
      <c r="Z424" s="56"/>
      <c r="AA424" s="56"/>
      <c r="AB424" s="56"/>
      <c r="AC424" s="56"/>
      <c r="AD424" s="56"/>
      <c r="AE424" s="56"/>
      <c r="AF424" s="56"/>
      <c r="AG424" s="155"/>
      <c r="AH424" s="56"/>
      <c r="AI424" s="56"/>
      <c r="AJ424" s="56"/>
      <c r="AK424" s="155"/>
      <c r="AL424" s="56"/>
      <c r="AM424" s="56"/>
      <c r="AN424" s="56"/>
    </row>
    <row r="425" spans="1:40" x14ac:dyDescent="0.25">
      <c r="C425" s="56"/>
      <c r="D425" s="56"/>
      <c r="E425" s="56"/>
      <c r="F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T425" s="56"/>
      <c r="U425" s="56"/>
      <c r="V425" s="56"/>
      <c r="Y425" s="56"/>
      <c r="Z425" s="56"/>
      <c r="AA425" s="56"/>
      <c r="AB425" s="56"/>
      <c r="AC425" s="56"/>
      <c r="AD425" s="56"/>
      <c r="AE425" s="56"/>
      <c r="AF425" s="56"/>
      <c r="AG425" s="155"/>
      <c r="AH425" s="56"/>
      <c r="AI425" s="56"/>
      <c r="AJ425" s="56"/>
      <c r="AK425" s="155"/>
      <c r="AL425" s="56"/>
      <c r="AM425" s="56"/>
      <c r="AN425" s="56"/>
    </row>
    <row r="426" spans="1:40" x14ac:dyDescent="0.25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154"/>
      <c r="AH426" s="55"/>
      <c r="AI426" s="55"/>
      <c r="AJ426" s="55"/>
      <c r="AK426" s="154"/>
      <c r="AL426" s="55"/>
      <c r="AM426" s="55"/>
      <c r="AN426" s="55"/>
    </row>
    <row r="427" spans="1:40" x14ac:dyDescent="0.25"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Y427" s="56"/>
      <c r="Z427" s="56"/>
      <c r="AA427" s="56"/>
      <c r="AB427" s="56"/>
      <c r="AC427" s="56"/>
      <c r="AD427" s="56"/>
      <c r="AE427" s="56"/>
      <c r="AF427" s="56"/>
      <c r="AG427" s="155"/>
      <c r="AH427" s="56"/>
      <c r="AI427" s="56"/>
      <c r="AJ427" s="56"/>
      <c r="AK427" s="155"/>
      <c r="AL427" s="56"/>
      <c r="AM427" s="56"/>
      <c r="AN427" s="56"/>
    </row>
    <row r="428" spans="1:40" x14ac:dyDescent="0.25">
      <c r="A428" s="53"/>
      <c r="C428" s="54"/>
      <c r="D428" s="54"/>
      <c r="E428" s="54"/>
      <c r="T428" s="54"/>
      <c r="U428" s="54"/>
    </row>
    <row r="430" spans="1:40" x14ac:dyDescent="0.25">
      <c r="A430" s="53"/>
      <c r="C430" s="54"/>
      <c r="T430" s="54"/>
    </row>
    <row r="431" spans="1:40" x14ac:dyDescent="0.25">
      <c r="A431" s="53"/>
      <c r="C431" s="54"/>
      <c r="F431" s="449"/>
      <c r="H431" s="449"/>
      <c r="I431" s="449"/>
      <c r="J431" s="464"/>
      <c r="K431" s="464"/>
      <c r="L431" s="379"/>
      <c r="M431" s="379"/>
      <c r="N431" s="50"/>
      <c r="O431" s="50"/>
      <c r="P431" s="379"/>
      <c r="Q431" s="379"/>
      <c r="R431" s="379"/>
      <c r="T431" s="54"/>
      <c r="V431" s="449"/>
      <c r="Y431" s="449"/>
      <c r="Z431" s="464"/>
      <c r="AA431" s="379"/>
      <c r="AB431" s="379"/>
      <c r="AC431" s="50"/>
      <c r="AD431" s="50"/>
      <c r="AE431" s="379"/>
      <c r="AF431" s="379"/>
      <c r="AG431" s="156"/>
      <c r="AH431" s="60"/>
      <c r="AI431" s="379"/>
      <c r="AJ431" s="379"/>
      <c r="AK431" s="156"/>
      <c r="AL431" s="379"/>
      <c r="AM431" s="50"/>
      <c r="AN431" s="50"/>
    </row>
    <row r="432" spans="1:40" x14ac:dyDescent="0.25">
      <c r="A432" s="53"/>
      <c r="C432" s="54"/>
      <c r="T432" s="54"/>
    </row>
    <row r="433" spans="1:40" x14ac:dyDescent="0.25">
      <c r="A433" s="53"/>
      <c r="C433" s="54"/>
      <c r="F433" s="449"/>
      <c r="H433" s="449"/>
      <c r="I433" s="449"/>
      <c r="J433" s="221"/>
      <c r="K433" s="221"/>
      <c r="L433" s="379"/>
      <c r="M433" s="379"/>
      <c r="N433" s="50"/>
      <c r="O433" s="50"/>
      <c r="P433" s="379"/>
      <c r="Q433" s="379"/>
      <c r="R433" s="379"/>
      <c r="T433" s="54"/>
      <c r="V433" s="379"/>
      <c r="Y433" s="379"/>
      <c r="Z433" s="221"/>
      <c r="AA433" s="379"/>
      <c r="AB433" s="379"/>
      <c r="AC433" s="50"/>
      <c r="AD433" s="50"/>
      <c r="AE433" s="379"/>
      <c r="AF433" s="379"/>
      <c r="AG433" s="156"/>
      <c r="AH433" s="60"/>
      <c r="AI433" s="379"/>
      <c r="AJ433" s="379"/>
      <c r="AK433" s="156"/>
      <c r="AL433" s="379"/>
      <c r="AM433" s="50"/>
      <c r="AN433" s="50"/>
    </row>
    <row r="434" spans="1:40" x14ac:dyDescent="0.25">
      <c r="A434" s="53"/>
      <c r="C434" s="54"/>
      <c r="F434" s="449"/>
      <c r="H434" s="449"/>
      <c r="I434" s="449"/>
      <c r="J434" s="221"/>
      <c r="K434" s="221"/>
      <c r="L434" s="379"/>
      <c r="M434" s="379"/>
      <c r="N434" s="50"/>
      <c r="O434" s="50"/>
      <c r="P434" s="379"/>
      <c r="Q434" s="379"/>
      <c r="R434" s="379"/>
      <c r="T434" s="54"/>
      <c r="V434" s="379"/>
      <c r="Y434" s="379"/>
      <c r="Z434" s="221"/>
      <c r="AA434" s="379"/>
      <c r="AB434" s="379"/>
      <c r="AC434" s="50"/>
      <c r="AD434" s="50"/>
      <c r="AE434" s="379"/>
      <c r="AF434" s="379"/>
      <c r="AG434" s="156"/>
      <c r="AH434" s="60"/>
      <c r="AI434" s="379"/>
      <c r="AJ434" s="379"/>
      <c r="AK434" s="156"/>
      <c r="AL434" s="379"/>
      <c r="AM434" s="50"/>
      <c r="AN434" s="50"/>
    </row>
    <row r="435" spans="1:40" x14ac:dyDescent="0.25">
      <c r="A435" s="53"/>
      <c r="C435" s="54"/>
      <c r="F435" s="449"/>
      <c r="H435" s="449"/>
      <c r="I435" s="449"/>
      <c r="J435" s="221"/>
      <c r="K435" s="221"/>
      <c r="L435" s="379"/>
      <c r="M435" s="379"/>
      <c r="N435" s="50"/>
      <c r="O435" s="50"/>
      <c r="P435" s="379"/>
      <c r="Q435" s="379"/>
      <c r="R435" s="379"/>
      <c r="T435" s="54"/>
      <c r="V435" s="379"/>
      <c r="Y435" s="379"/>
      <c r="Z435" s="221"/>
      <c r="AA435" s="379"/>
      <c r="AB435" s="379"/>
      <c r="AC435" s="50"/>
      <c r="AD435" s="50"/>
      <c r="AE435" s="379"/>
      <c r="AF435" s="379"/>
      <c r="AG435" s="156"/>
      <c r="AH435" s="60"/>
      <c r="AI435" s="379"/>
      <c r="AJ435" s="379"/>
      <c r="AK435" s="156"/>
      <c r="AL435" s="379"/>
      <c r="AM435" s="50"/>
      <c r="AN435" s="50"/>
    </row>
    <row r="436" spans="1:40" x14ac:dyDescent="0.25">
      <c r="A436" s="53"/>
      <c r="C436" s="54"/>
      <c r="F436" s="449"/>
      <c r="H436" s="449"/>
      <c r="I436" s="449"/>
      <c r="J436" s="221"/>
      <c r="K436" s="221"/>
      <c r="L436" s="379"/>
      <c r="M436" s="379"/>
      <c r="N436" s="50"/>
      <c r="O436" s="50"/>
      <c r="P436" s="379"/>
      <c r="Q436" s="379"/>
      <c r="R436" s="379"/>
      <c r="T436" s="54"/>
      <c r="V436" s="379"/>
      <c r="Y436" s="379"/>
      <c r="Z436" s="221"/>
      <c r="AA436" s="379"/>
      <c r="AB436" s="379"/>
      <c r="AC436" s="50"/>
      <c r="AD436" s="50"/>
      <c r="AE436" s="379"/>
      <c r="AF436" s="379"/>
      <c r="AG436" s="156"/>
      <c r="AH436" s="60"/>
      <c r="AI436" s="379"/>
      <c r="AJ436" s="379"/>
      <c r="AK436" s="156"/>
      <c r="AL436" s="379"/>
      <c r="AM436" s="50"/>
      <c r="AN436" s="50"/>
    </row>
    <row r="437" spans="1:40" x14ac:dyDescent="0.25">
      <c r="A437" s="53"/>
      <c r="C437" s="54"/>
      <c r="J437" s="65"/>
      <c r="K437" s="65"/>
      <c r="T437" s="54"/>
      <c r="Z437" s="65"/>
    </row>
    <row r="438" spans="1:40" x14ac:dyDescent="0.25">
      <c r="A438" s="53"/>
      <c r="C438" s="54"/>
      <c r="F438" s="449"/>
      <c r="H438" s="449"/>
      <c r="I438" s="449"/>
      <c r="J438" s="221"/>
      <c r="K438" s="221"/>
      <c r="L438" s="379"/>
      <c r="M438" s="379"/>
      <c r="N438" s="50"/>
      <c r="O438" s="50"/>
      <c r="P438" s="379"/>
      <c r="Q438" s="379"/>
      <c r="R438" s="379"/>
      <c r="T438" s="54"/>
      <c r="V438" s="379"/>
      <c r="Y438" s="379"/>
      <c r="Z438" s="221"/>
      <c r="AA438" s="379"/>
      <c r="AB438" s="379"/>
      <c r="AC438" s="50"/>
      <c r="AD438" s="50"/>
      <c r="AE438" s="379"/>
      <c r="AF438" s="379"/>
      <c r="AG438" s="156"/>
      <c r="AH438" s="60"/>
      <c r="AI438" s="379"/>
      <c r="AJ438" s="379"/>
      <c r="AK438" s="156"/>
      <c r="AL438" s="379"/>
      <c r="AM438" s="50"/>
      <c r="AN438" s="50"/>
    </row>
    <row r="439" spans="1:40" x14ac:dyDescent="0.25">
      <c r="A439" s="53"/>
      <c r="C439" s="54"/>
      <c r="F439" s="449"/>
      <c r="H439" s="449"/>
      <c r="I439" s="449"/>
      <c r="J439" s="221"/>
      <c r="K439" s="221"/>
      <c r="L439" s="379"/>
      <c r="M439" s="379"/>
      <c r="N439" s="50"/>
      <c r="O439" s="50"/>
      <c r="P439" s="379"/>
      <c r="Q439" s="379"/>
      <c r="R439" s="379"/>
      <c r="T439" s="54"/>
      <c r="V439" s="379"/>
      <c r="Y439" s="379"/>
      <c r="Z439" s="221"/>
      <c r="AA439" s="379"/>
      <c r="AB439" s="379"/>
      <c r="AC439" s="50"/>
      <c r="AD439" s="50"/>
      <c r="AE439" s="379"/>
      <c r="AF439" s="379"/>
      <c r="AG439" s="156"/>
      <c r="AH439" s="60"/>
      <c r="AI439" s="379"/>
      <c r="AJ439" s="379"/>
      <c r="AK439" s="156"/>
      <c r="AL439" s="379"/>
      <c r="AM439" s="50"/>
      <c r="AN439" s="50"/>
    </row>
    <row r="440" spans="1:40" x14ac:dyDescent="0.25">
      <c r="A440" s="53"/>
      <c r="C440" s="54"/>
      <c r="F440" s="449"/>
      <c r="H440" s="449"/>
      <c r="I440" s="449"/>
      <c r="J440" s="221"/>
      <c r="K440" s="221"/>
      <c r="L440" s="379"/>
      <c r="M440" s="379"/>
      <c r="N440" s="50"/>
      <c r="O440" s="50"/>
      <c r="P440" s="379"/>
      <c r="Q440" s="379"/>
      <c r="R440" s="379"/>
      <c r="T440" s="54"/>
      <c r="V440" s="379"/>
      <c r="Y440" s="379"/>
      <c r="Z440" s="221"/>
      <c r="AA440" s="379"/>
      <c r="AB440" s="379"/>
      <c r="AC440" s="50"/>
      <c r="AD440" s="50"/>
      <c r="AE440" s="379"/>
      <c r="AF440" s="379"/>
      <c r="AG440" s="156"/>
      <c r="AH440" s="60"/>
      <c r="AI440" s="379"/>
      <c r="AJ440" s="379"/>
      <c r="AK440" s="156"/>
      <c r="AL440" s="379"/>
      <c r="AM440" s="50"/>
      <c r="AN440" s="50"/>
    </row>
    <row r="441" spans="1:40" x14ac:dyDescent="0.25">
      <c r="A441" s="53"/>
      <c r="C441" s="54"/>
      <c r="J441" s="65"/>
      <c r="K441" s="65"/>
      <c r="T441" s="54"/>
      <c r="Z441" s="65"/>
    </row>
    <row r="442" spans="1:40" x14ac:dyDescent="0.25">
      <c r="A442" s="53"/>
      <c r="C442" s="54"/>
      <c r="F442" s="449"/>
      <c r="H442" s="449"/>
      <c r="I442" s="449"/>
      <c r="J442" s="221"/>
      <c r="K442" s="221"/>
      <c r="L442" s="379"/>
      <c r="M442" s="379"/>
      <c r="N442" s="50"/>
      <c r="O442" s="50"/>
      <c r="P442" s="379"/>
      <c r="Q442" s="379"/>
      <c r="R442" s="379"/>
      <c r="T442" s="54"/>
      <c r="V442" s="379"/>
      <c r="Y442" s="379"/>
      <c r="Z442" s="221"/>
      <c r="AA442" s="379"/>
      <c r="AB442" s="379"/>
      <c r="AC442" s="50"/>
      <c r="AD442" s="50"/>
      <c r="AE442" s="379"/>
      <c r="AF442" s="379"/>
      <c r="AG442" s="156"/>
      <c r="AH442" s="60"/>
      <c r="AI442" s="379"/>
      <c r="AJ442" s="379"/>
      <c r="AK442" s="156"/>
      <c r="AL442" s="379"/>
      <c r="AM442" s="50"/>
      <c r="AN442" s="50"/>
    </row>
    <row r="443" spans="1:40" x14ac:dyDescent="0.25">
      <c r="A443" s="53"/>
      <c r="C443" s="54"/>
      <c r="F443" s="449"/>
      <c r="H443" s="449"/>
      <c r="I443" s="449"/>
      <c r="J443" s="221"/>
      <c r="K443" s="221"/>
      <c r="L443" s="379"/>
      <c r="M443" s="379"/>
      <c r="N443" s="50"/>
      <c r="O443" s="50"/>
      <c r="P443" s="379"/>
      <c r="Q443" s="379"/>
      <c r="R443" s="379"/>
      <c r="T443" s="54"/>
      <c r="V443" s="379"/>
      <c r="Y443" s="379"/>
      <c r="Z443" s="221"/>
      <c r="AA443" s="379"/>
      <c r="AB443" s="379"/>
      <c r="AC443" s="50"/>
      <c r="AD443" s="50"/>
      <c r="AE443" s="379"/>
      <c r="AF443" s="379"/>
      <c r="AG443" s="156"/>
      <c r="AH443" s="60"/>
      <c r="AI443" s="379"/>
      <c r="AJ443" s="379"/>
      <c r="AK443" s="156"/>
      <c r="AL443" s="379"/>
      <c r="AM443" s="50"/>
      <c r="AN443" s="50"/>
    </row>
    <row r="444" spans="1:40" x14ac:dyDescent="0.25">
      <c r="A444" s="53"/>
      <c r="C444" s="54"/>
      <c r="J444" s="65"/>
      <c r="K444" s="65"/>
      <c r="T444" s="54"/>
      <c r="Z444" s="65"/>
    </row>
    <row r="445" spans="1:40" x14ac:dyDescent="0.25">
      <c r="A445" s="53"/>
      <c r="C445" s="54"/>
      <c r="F445" s="449"/>
      <c r="H445" s="449"/>
      <c r="I445" s="449"/>
      <c r="J445" s="221"/>
      <c r="K445" s="221"/>
      <c r="L445" s="379"/>
      <c r="M445" s="379"/>
      <c r="N445" s="50"/>
      <c r="O445" s="50"/>
      <c r="P445" s="379"/>
      <c r="Q445" s="379"/>
      <c r="R445" s="379"/>
      <c r="T445" s="54"/>
      <c r="V445" s="379"/>
      <c r="Y445" s="379"/>
      <c r="Z445" s="221"/>
      <c r="AA445" s="379"/>
      <c r="AB445" s="379"/>
      <c r="AC445" s="50"/>
      <c r="AD445" s="50"/>
      <c r="AE445" s="379"/>
      <c r="AF445" s="379"/>
      <c r="AG445" s="156"/>
      <c r="AH445" s="60"/>
      <c r="AI445" s="379"/>
      <c r="AJ445" s="379"/>
      <c r="AK445" s="156"/>
      <c r="AL445" s="379"/>
      <c r="AM445" s="50"/>
      <c r="AN445" s="50"/>
    </row>
    <row r="446" spans="1:40" x14ac:dyDescent="0.25">
      <c r="A446" s="53"/>
      <c r="C446" s="54"/>
      <c r="F446" s="449"/>
      <c r="H446" s="449"/>
      <c r="I446" s="449"/>
      <c r="J446" s="221"/>
      <c r="K446" s="221"/>
      <c r="L446" s="379"/>
      <c r="M446" s="379"/>
      <c r="N446" s="50"/>
      <c r="O446" s="50"/>
      <c r="P446" s="379"/>
      <c r="Q446" s="379"/>
      <c r="R446" s="379"/>
      <c r="T446" s="54"/>
      <c r="V446" s="379"/>
      <c r="Y446" s="379"/>
      <c r="Z446" s="221"/>
      <c r="AA446" s="379"/>
      <c r="AB446" s="379"/>
      <c r="AC446" s="50"/>
      <c r="AD446" s="50"/>
      <c r="AE446" s="379"/>
      <c r="AF446" s="379"/>
      <c r="AG446" s="156"/>
      <c r="AH446" s="60"/>
      <c r="AI446" s="379"/>
      <c r="AJ446" s="379"/>
      <c r="AK446" s="156"/>
      <c r="AL446" s="379"/>
      <c r="AM446" s="50"/>
      <c r="AN446" s="50"/>
    </row>
    <row r="447" spans="1:40" x14ac:dyDescent="0.25">
      <c r="A447" s="53"/>
      <c r="C447" s="54"/>
      <c r="F447" s="449"/>
      <c r="H447" s="449"/>
      <c r="I447" s="449"/>
      <c r="J447" s="221"/>
      <c r="K447" s="221"/>
      <c r="L447" s="379"/>
      <c r="M447" s="379"/>
      <c r="N447" s="50"/>
      <c r="O447" s="50"/>
      <c r="P447" s="379"/>
      <c r="Q447" s="379"/>
      <c r="R447" s="379"/>
      <c r="T447" s="54"/>
      <c r="V447" s="379"/>
      <c r="Y447" s="379"/>
      <c r="Z447" s="221"/>
      <c r="AA447" s="379"/>
      <c r="AB447" s="379"/>
      <c r="AC447" s="50"/>
      <c r="AD447" s="50"/>
      <c r="AE447" s="379"/>
      <c r="AF447" s="379"/>
      <c r="AG447" s="156"/>
      <c r="AH447" s="60"/>
      <c r="AI447" s="379"/>
      <c r="AJ447" s="379"/>
      <c r="AK447" s="156"/>
      <c r="AL447" s="379"/>
      <c r="AM447" s="50"/>
      <c r="AN447" s="50"/>
    </row>
    <row r="448" spans="1:40" x14ac:dyDescent="0.25">
      <c r="F448" s="381"/>
      <c r="H448" s="381"/>
      <c r="I448" s="381"/>
      <c r="J448" s="221"/>
      <c r="K448" s="221"/>
      <c r="L448" s="381"/>
      <c r="M448" s="381"/>
      <c r="N448" s="381"/>
      <c r="O448" s="381"/>
      <c r="P448" s="381"/>
      <c r="Q448" s="381"/>
      <c r="R448" s="381"/>
      <c r="V448" s="381"/>
      <c r="Y448" s="381"/>
      <c r="Z448" s="221"/>
      <c r="AA448" s="381"/>
      <c r="AB448" s="381"/>
      <c r="AC448" s="381"/>
      <c r="AD448" s="381"/>
      <c r="AE448" s="381"/>
      <c r="AF448" s="381"/>
      <c r="AI448" s="381"/>
      <c r="AJ448" s="381"/>
      <c r="AK448" s="162"/>
      <c r="AL448" s="381"/>
    </row>
    <row r="449" spans="1:40" x14ac:dyDescent="0.25">
      <c r="A449" s="53"/>
      <c r="C449" s="56"/>
      <c r="F449" s="379"/>
      <c r="H449" s="379"/>
      <c r="I449" s="379"/>
      <c r="J449" s="65"/>
      <c r="K449" s="65"/>
      <c r="L449" s="379"/>
      <c r="M449" s="379"/>
      <c r="N449" s="60"/>
      <c r="O449" s="60"/>
      <c r="P449" s="379"/>
      <c r="Q449" s="379"/>
      <c r="R449" s="379"/>
      <c r="T449" s="56"/>
      <c r="V449" s="379"/>
      <c r="Y449" s="379"/>
      <c r="Z449" s="65"/>
      <c r="AA449" s="379"/>
      <c r="AB449" s="379"/>
      <c r="AC449" s="379"/>
      <c r="AD449" s="379"/>
      <c r="AE449" s="379"/>
      <c r="AF449" s="379"/>
      <c r="AG449" s="156"/>
      <c r="AH449" s="60"/>
      <c r="AI449" s="379"/>
      <c r="AJ449" s="379"/>
      <c r="AK449" s="156"/>
      <c r="AL449" s="379"/>
      <c r="AM449" s="50"/>
      <c r="AN449" s="50"/>
    </row>
    <row r="450" spans="1:40" x14ac:dyDescent="0.25">
      <c r="F450" s="381"/>
      <c r="H450" s="381"/>
      <c r="I450" s="381"/>
      <c r="J450" s="221"/>
      <c r="K450" s="221"/>
      <c r="L450" s="381"/>
      <c r="M450" s="381"/>
      <c r="N450" s="381"/>
      <c r="O450" s="381"/>
      <c r="P450" s="381"/>
      <c r="Q450" s="381"/>
      <c r="R450" s="381"/>
      <c r="V450" s="381"/>
      <c r="Y450" s="381"/>
      <c r="Z450" s="221"/>
      <c r="AA450" s="381"/>
      <c r="AB450" s="381"/>
      <c r="AC450" s="381"/>
      <c r="AD450" s="381"/>
      <c r="AE450" s="381"/>
      <c r="AF450" s="381"/>
      <c r="AI450" s="381"/>
      <c r="AJ450" s="381"/>
      <c r="AK450" s="162"/>
      <c r="AL450" s="381"/>
    </row>
    <row r="451" spans="1:40" x14ac:dyDescent="0.25">
      <c r="A451" s="53"/>
      <c r="C451" s="54"/>
      <c r="J451" s="65"/>
      <c r="K451" s="65"/>
      <c r="T451" s="54"/>
      <c r="Z451" s="65"/>
    </row>
    <row r="452" spans="1:40" x14ac:dyDescent="0.25">
      <c r="A452" s="53"/>
      <c r="C452" s="54"/>
      <c r="J452" s="65"/>
      <c r="K452" s="65"/>
      <c r="T452" s="54"/>
      <c r="Z452" s="65"/>
    </row>
    <row r="453" spans="1:40" x14ac:dyDescent="0.25">
      <c r="A453" s="53"/>
      <c r="C453" s="54"/>
      <c r="F453" s="449"/>
      <c r="H453" s="449"/>
      <c r="I453" s="449"/>
      <c r="J453" s="221"/>
      <c r="K453" s="221"/>
      <c r="L453" s="379"/>
      <c r="M453" s="379"/>
      <c r="N453" s="50"/>
      <c r="O453" s="50"/>
      <c r="P453" s="379"/>
      <c r="Q453" s="379"/>
      <c r="R453" s="379"/>
      <c r="T453" s="54"/>
      <c r="V453" s="379"/>
      <c r="Y453" s="379"/>
      <c r="Z453" s="221"/>
      <c r="AA453" s="379"/>
      <c r="AB453" s="379"/>
      <c r="AC453" s="50"/>
      <c r="AD453" s="50"/>
      <c r="AE453" s="379"/>
      <c r="AF453" s="379"/>
      <c r="AG453" s="156"/>
      <c r="AH453" s="60"/>
      <c r="AI453" s="379"/>
      <c r="AJ453" s="379"/>
      <c r="AK453" s="156"/>
      <c r="AL453" s="379"/>
      <c r="AM453" s="50"/>
      <c r="AN453" s="50"/>
    </row>
    <row r="454" spans="1:40" x14ac:dyDescent="0.25">
      <c r="A454" s="53"/>
      <c r="C454" s="54"/>
      <c r="F454" s="449"/>
      <c r="H454" s="449"/>
      <c r="I454" s="449"/>
      <c r="J454" s="221"/>
      <c r="K454" s="221"/>
      <c r="L454" s="379"/>
      <c r="M454" s="379"/>
      <c r="N454" s="50"/>
      <c r="O454" s="50"/>
      <c r="P454" s="379"/>
      <c r="Q454" s="379"/>
      <c r="R454" s="379"/>
      <c r="T454" s="54"/>
      <c r="V454" s="379"/>
      <c r="Y454" s="379"/>
      <c r="Z454" s="221"/>
      <c r="AA454" s="379"/>
      <c r="AB454" s="379"/>
      <c r="AC454" s="50"/>
      <c r="AD454" s="50"/>
      <c r="AE454" s="379"/>
      <c r="AF454" s="379"/>
      <c r="AG454" s="156"/>
      <c r="AH454" s="60"/>
      <c r="AI454" s="379"/>
      <c r="AJ454" s="379"/>
      <c r="AK454" s="156"/>
      <c r="AL454" s="379"/>
      <c r="AM454" s="50"/>
      <c r="AN454" s="50"/>
    </row>
    <row r="455" spans="1:40" x14ac:dyDescent="0.25">
      <c r="A455" s="53"/>
      <c r="C455" s="54"/>
      <c r="F455" s="449"/>
      <c r="H455" s="449"/>
      <c r="I455" s="449"/>
      <c r="J455" s="221"/>
      <c r="K455" s="221"/>
      <c r="L455" s="379"/>
      <c r="M455" s="379"/>
      <c r="N455" s="50"/>
      <c r="O455" s="50"/>
      <c r="P455" s="379"/>
      <c r="Q455" s="379"/>
      <c r="R455" s="379"/>
      <c r="T455" s="54"/>
      <c r="V455" s="379"/>
      <c r="Y455" s="379"/>
      <c r="Z455" s="221"/>
      <c r="AA455" s="379"/>
      <c r="AB455" s="379"/>
      <c r="AC455" s="50"/>
      <c r="AD455" s="50"/>
      <c r="AE455" s="379"/>
      <c r="AF455" s="379"/>
      <c r="AG455" s="156"/>
      <c r="AH455" s="60"/>
      <c r="AI455" s="379"/>
      <c r="AJ455" s="379"/>
      <c r="AK455" s="156"/>
      <c r="AL455" s="379"/>
      <c r="AM455" s="50"/>
      <c r="AN455" s="50"/>
    </row>
    <row r="456" spans="1:40" x14ac:dyDescent="0.25">
      <c r="A456" s="53"/>
      <c r="C456" s="54"/>
      <c r="F456" s="449"/>
      <c r="H456" s="449"/>
      <c r="I456" s="449"/>
      <c r="J456" s="221"/>
      <c r="K456" s="221"/>
      <c r="L456" s="379"/>
      <c r="M456" s="379"/>
      <c r="N456" s="50"/>
      <c r="O456" s="50"/>
      <c r="P456" s="379"/>
      <c r="Q456" s="379"/>
      <c r="R456" s="379"/>
      <c r="T456" s="54"/>
      <c r="V456" s="379"/>
      <c r="Y456" s="379"/>
      <c r="Z456" s="221"/>
      <c r="AA456" s="379"/>
      <c r="AB456" s="379"/>
      <c r="AC456" s="50"/>
      <c r="AD456" s="50"/>
      <c r="AE456" s="379"/>
      <c r="AF456" s="379"/>
      <c r="AG456" s="156"/>
      <c r="AH456" s="60"/>
      <c r="AI456" s="379"/>
      <c r="AJ456" s="379"/>
      <c r="AK456" s="156"/>
      <c r="AL456" s="379"/>
      <c r="AM456" s="50"/>
      <c r="AN456" s="50"/>
    </row>
    <row r="457" spans="1:40" x14ac:dyDescent="0.25">
      <c r="A457" s="53"/>
      <c r="C457" s="54"/>
      <c r="F457" s="449"/>
      <c r="H457" s="449"/>
      <c r="I457" s="449"/>
      <c r="J457" s="221"/>
      <c r="K457" s="221"/>
      <c r="L457" s="379"/>
      <c r="M457" s="379"/>
      <c r="N457" s="50"/>
      <c r="O457" s="50"/>
      <c r="P457" s="379"/>
      <c r="Q457" s="379"/>
      <c r="R457" s="379"/>
      <c r="T457" s="54"/>
      <c r="V457" s="379"/>
      <c r="Y457" s="379"/>
      <c r="Z457" s="221"/>
      <c r="AA457" s="379"/>
      <c r="AB457" s="379"/>
      <c r="AC457" s="50"/>
      <c r="AD457" s="50"/>
      <c r="AE457" s="379"/>
      <c r="AF457" s="379"/>
      <c r="AG457" s="156"/>
      <c r="AH457" s="60"/>
      <c r="AI457" s="379"/>
      <c r="AJ457" s="379"/>
      <c r="AK457" s="156"/>
      <c r="AL457" s="379"/>
      <c r="AM457" s="50"/>
      <c r="AN457" s="50"/>
    </row>
    <row r="458" spans="1:40" x14ac:dyDescent="0.25">
      <c r="A458" s="53"/>
      <c r="C458" s="54"/>
      <c r="F458" s="449"/>
      <c r="H458" s="449"/>
      <c r="I458" s="449"/>
      <c r="J458" s="221"/>
      <c r="K458" s="221"/>
      <c r="L458" s="379"/>
      <c r="M458" s="379"/>
      <c r="N458" s="50"/>
      <c r="O458" s="50"/>
      <c r="P458" s="379"/>
      <c r="Q458" s="379"/>
      <c r="R458" s="379"/>
      <c r="T458" s="54"/>
      <c r="V458" s="379"/>
      <c r="Y458" s="379"/>
      <c r="Z458" s="221"/>
      <c r="AA458" s="379"/>
      <c r="AB458" s="379"/>
      <c r="AC458" s="50"/>
      <c r="AD458" s="50"/>
      <c r="AE458" s="379"/>
      <c r="AF458" s="379"/>
      <c r="AG458" s="156"/>
      <c r="AH458" s="60"/>
      <c r="AI458" s="379"/>
      <c r="AJ458" s="379"/>
      <c r="AK458" s="156"/>
      <c r="AL458" s="379"/>
      <c r="AM458" s="50"/>
      <c r="AN458" s="50"/>
    </row>
    <row r="459" spans="1:40" x14ac:dyDescent="0.25">
      <c r="A459" s="53"/>
      <c r="C459" s="54"/>
      <c r="F459" s="449"/>
      <c r="H459" s="449"/>
      <c r="I459" s="449"/>
      <c r="J459" s="221"/>
      <c r="K459" s="221"/>
      <c r="L459" s="379"/>
      <c r="M459" s="379"/>
      <c r="N459" s="50"/>
      <c r="O459" s="50"/>
      <c r="P459" s="379"/>
      <c r="Q459" s="379"/>
      <c r="R459" s="379"/>
      <c r="T459" s="54"/>
      <c r="V459" s="379"/>
      <c r="Y459" s="379"/>
      <c r="Z459" s="221"/>
      <c r="AA459" s="379"/>
      <c r="AB459" s="379"/>
      <c r="AC459" s="50"/>
      <c r="AD459" s="50"/>
      <c r="AE459" s="379"/>
      <c r="AF459" s="379"/>
      <c r="AG459" s="156"/>
      <c r="AH459" s="60"/>
      <c r="AI459" s="379"/>
      <c r="AJ459" s="379"/>
      <c r="AK459" s="156"/>
      <c r="AL459" s="379"/>
      <c r="AM459" s="50"/>
      <c r="AN459" s="50"/>
    </row>
    <row r="460" spans="1:40" x14ac:dyDescent="0.25">
      <c r="A460" s="53"/>
      <c r="C460" s="54"/>
      <c r="J460" s="65"/>
      <c r="K460" s="65"/>
      <c r="T460" s="54"/>
      <c r="Z460" s="65"/>
    </row>
    <row r="461" spans="1:40" x14ac:dyDescent="0.25">
      <c r="A461" s="53"/>
      <c r="C461" s="54"/>
      <c r="F461" s="449"/>
      <c r="H461" s="449"/>
      <c r="I461" s="449"/>
      <c r="J461" s="221"/>
      <c r="K461" s="221"/>
      <c r="L461" s="379"/>
      <c r="M461" s="379"/>
      <c r="N461" s="50"/>
      <c r="O461" s="50"/>
      <c r="P461" s="379"/>
      <c r="Q461" s="379"/>
      <c r="R461" s="379"/>
      <c r="T461" s="54"/>
      <c r="V461" s="379"/>
      <c r="Y461" s="379"/>
      <c r="Z461" s="221"/>
      <c r="AA461" s="379"/>
      <c r="AB461" s="379"/>
      <c r="AC461" s="50"/>
      <c r="AD461" s="50"/>
      <c r="AE461" s="379"/>
      <c r="AF461" s="379"/>
      <c r="AG461" s="156"/>
      <c r="AH461" s="60"/>
      <c r="AI461" s="379"/>
      <c r="AJ461" s="379"/>
      <c r="AK461" s="156"/>
      <c r="AL461" s="379"/>
      <c r="AM461" s="50"/>
      <c r="AN461" s="50"/>
    </row>
    <row r="462" spans="1:40" x14ac:dyDescent="0.25">
      <c r="A462" s="53"/>
      <c r="C462" s="54"/>
      <c r="F462" s="449"/>
      <c r="H462" s="449"/>
      <c r="I462" s="449"/>
      <c r="J462" s="221"/>
      <c r="K462" s="221"/>
      <c r="L462" s="379"/>
      <c r="M462" s="379"/>
      <c r="N462" s="50"/>
      <c r="O462" s="50"/>
      <c r="P462" s="379"/>
      <c r="Q462" s="379"/>
      <c r="R462" s="379"/>
      <c r="T462" s="54"/>
      <c r="V462" s="379"/>
      <c r="Y462" s="379"/>
      <c r="Z462" s="221"/>
      <c r="AA462" s="379"/>
      <c r="AB462" s="379"/>
      <c r="AC462" s="50"/>
      <c r="AD462" s="50"/>
      <c r="AE462" s="379"/>
      <c r="AF462" s="379"/>
      <c r="AG462" s="156"/>
      <c r="AH462" s="60"/>
      <c r="AI462" s="379"/>
      <c r="AJ462" s="379"/>
      <c r="AK462" s="156"/>
      <c r="AL462" s="379"/>
      <c r="AM462" s="50"/>
      <c r="AN462" s="50"/>
    </row>
    <row r="463" spans="1:40" x14ac:dyDescent="0.25">
      <c r="A463" s="53"/>
      <c r="C463" s="54"/>
      <c r="F463" s="449"/>
      <c r="H463" s="449"/>
      <c r="I463" s="449"/>
      <c r="J463" s="221"/>
      <c r="K463" s="221"/>
      <c r="L463" s="379"/>
      <c r="M463" s="379"/>
      <c r="N463" s="50"/>
      <c r="O463" s="50"/>
      <c r="P463" s="379"/>
      <c r="Q463" s="379"/>
      <c r="R463" s="379"/>
      <c r="T463" s="54"/>
      <c r="V463" s="379"/>
      <c r="Y463" s="379"/>
      <c r="Z463" s="221"/>
      <c r="AA463" s="379"/>
      <c r="AB463" s="379"/>
      <c r="AC463" s="50"/>
      <c r="AD463" s="50"/>
      <c r="AE463" s="379"/>
      <c r="AF463" s="379"/>
      <c r="AG463" s="156"/>
      <c r="AH463" s="60"/>
      <c r="AI463" s="379"/>
      <c r="AJ463" s="379"/>
      <c r="AK463" s="156"/>
      <c r="AL463" s="379"/>
      <c r="AM463" s="50"/>
      <c r="AN463" s="50"/>
    </row>
    <row r="464" spans="1:40" x14ac:dyDescent="0.25">
      <c r="A464" s="53"/>
      <c r="C464" s="54"/>
      <c r="F464" s="449"/>
      <c r="H464" s="449"/>
      <c r="I464" s="449"/>
      <c r="J464" s="221"/>
      <c r="K464" s="221"/>
      <c r="L464" s="379"/>
      <c r="M464" s="379"/>
      <c r="N464" s="50"/>
      <c r="O464" s="50"/>
      <c r="P464" s="379"/>
      <c r="Q464" s="379"/>
      <c r="R464" s="379"/>
      <c r="T464" s="54"/>
      <c r="V464" s="379"/>
      <c r="Y464" s="379"/>
      <c r="Z464" s="221"/>
      <c r="AA464" s="379"/>
      <c r="AB464" s="379"/>
      <c r="AC464" s="50"/>
      <c r="AD464" s="50"/>
      <c r="AE464" s="379"/>
      <c r="AF464" s="379"/>
      <c r="AG464" s="156"/>
      <c r="AH464" s="60"/>
      <c r="AI464" s="379"/>
      <c r="AJ464" s="379"/>
      <c r="AK464" s="156"/>
      <c r="AL464" s="379"/>
      <c r="AM464" s="50"/>
      <c r="AN464" s="50"/>
    </row>
    <row r="465" spans="1:40" x14ac:dyDescent="0.25">
      <c r="A465" s="53"/>
      <c r="C465" s="54"/>
      <c r="J465" s="65"/>
      <c r="K465" s="65"/>
      <c r="T465" s="54"/>
      <c r="Z465" s="65"/>
    </row>
    <row r="466" spans="1:40" x14ac:dyDescent="0.25">
      <c r="A466" s="53"/>
      <c r="C466" s="54"/>
      <c r="F466" s="449"/>
      <c r="H466" s="449"/>
      <c r="I466" s="449"/>
      <c r="J466" s="221"/>
      <c r="K466" s="221"/>
      <c r="L466" s="379"/>
      <c r="M466" s="379"/>
      <c r="N466" s="50"/>
      <c r="O466" s="50"/>
      <c r="P466" s="379"/>
      <c r="Q466" s="379"/>
      <c r="R466" s="379"/>
      <c r="T466" s="54"/>
      <c r="V466" s="379"/>
      <c r="Y466" s="379"/>
      <c r="Z466" s="221"/>
      <c r="AA466" s="379"/>
      <c r="AB466" s="379"/>
      <c r="AC466" s="50"/>
      <c r="AD466" s="50"/>
      <c r="AE466" s="379"/>
      <c r="AF466" s="379"/>
      <c r="AG466" s="156"/>
      <c r="AH466" s="60"/>
      <c r="AI466" s="379"/>
      <c r="AJ466" s="379"/>
      <c r="AK466" s="156"/>
      <c r="AL466" s="379"/>
      <c r="AM466" s="50"/>
      <c r="AN466" s="50"/>
    </row>
    <row r="467" spans="1:40" x14ac:dyDescent="0.25">
      <c r="A467" s="53"/>
      <c r="C467" s="54"/>
      <c r="F467" s="449"/>
      <c r="H467" s="449"/>
      <c r="I467" s="449"/>
      <c r="J467" s="221"/>
      <c r="K467" s="221"/>
      <c r="L467" s="379"/>
      <c r="M467" s="379"/>
      <c r="N467" s="50"/>
      <c r="O467" s="50"/>
      <c r="P467" s="379"/>
      <c r="Q467" s="379"/>
      <c r="R467" s="379"/>
      <c r="T467" s="54"/>
      <c r="V467" s="379"/>
      <c r="Y467" s="379"/>
      <c r="Z467" s="221"/>
      <c r="AA467" s="379"/>
      <c r="AB467" s="379"/>
      <c r="AC467" s="50"/>
      <c r="AD467" s="50"/>
      <c r="AE467" s="379"/>
      <c r="AF467" s="379"/>
      <c r="AG467" s="156"/>
      <c r="AH467" s="60"/>
      <c r="AI467" s="379"/>
      <c r="AJ467" s="379"/>
      <c r="AK467" s="156"/>
      <c r="AL467" s="379"/>
      <c r="AM467" s="50"/>
      <c r="AN467" s="50"/>
    </row>
    <row r="468" spans="1:40" x14ac:dyDescent="0.25">
      <c r="A468" s="53"/>
      <c r="C468" s="54"/>
      <c r="F468" s="449"/>
      <c r="H468" s="449"/>
      <c r="I468" s="449"/>
      <c r="J468" s="221"/>
      <c r="K468" s="221"/>
      <c r="L468" s="379"/>
      <c r="M468" s="379"/>
      <c r="N468" s="50"/>
      <c r="O468" s="50"/>
      <c r="P468" s="379"/>
      <c r="Q468" s="379"/>
      <c r="R468" s="379"/>
      <c r="T468" s="54"/>
      <c r="V468" s="379"/>
      <c r="Y468" s="379"/>
      <c r="Z468" s="221"/>
      <c r="AA468" s="379"/>
      <c r="AB468" s="379"/>
      <c r="AC468" s="50"/>
      <c r="AD468" s="50"/>
      <c r="AE468" s="379"/>
      <c r="AF468" s="379"/>
      <c r="AG468" s="156"/>
      <c r="AH468" s="60"/>
      <c r="AI468" s="379"/>
      <c r="AJ468" s="379"/>
      <c r="AK468" s="156"/>
      <c r="AL468" s="379"/>
      <c r="AM468" s="50"/>
      <c r="AN468" s="50"/>
    </row>
    <row r="469" spans="1:40" x14ac:dyDescent="0.25">
      <c r="A469" s="53"/>
      <c r="C469" s="54"/>
      <c r="F469" s="449"/>
      <c r="H469" s="449"/>
      <c r="I469" s="449"/>
      <c r="J469" s="221"/>
      <c r="K469" s="221"/>
      <c r="L469" s="379"/>
      <c r="M469" s="379"/>
      <c r="N469" s="50"/>
      <c r="O469" s="50"/>
      <c r="P469" s="379"/>
      <c r="Q469" s="379"/>
      <c r="R469" s="379"/>
      <c r="T469" s="54"/>
      <c r="V469" s="379"/>
      <c r="Y469" s="379"/>
      <c r="Z469" s="221"/>
      <c r="AA469" s="379"/>
      <c r="AB469" s="379"/>
      <c r="AC469" s="50"/>
      <c r="AD469" s="50"/>
      <c r="AE469" s="379"/>
      <c r="AF469" s="379"/>
      <c r="AG469" s="156"/>
      <c r="AH469" s="60"/>
      <c r="AI469" s="379"/>
      <c r="AJ469" s="379"/>
      <c r="AK469" s="156"/>
      <c r="AL469" s="379"/>
      <c r="AM469" s="50"/>
      <c r="AN469" s="50"/>
    </row>
    <row r="470" spans="1:40" x14ac:dyDescent="0.25">
      <c r="A470" s="53"/>
      <c r="C470" s="54"/>
      <c r="F470" s="449"/>
      <c r="H470" s="449"/>
      <c r="I470" s="449"/>
      <c r="J470" s="221"/>
      <c r="K470" s="221"/>
      <c r="L470" s="379"/>
      <c r="M470" s="379"/>
      <c r="N470" s="50"/>
      <c r="O470" s="50"/>
      <c r="P470" s="379"/>
      <c r="Q470" s="379"/>
      <c r="R470" s="379"/>
      <c r="T470" s="54"/>
      <c r="V470" s="379"/>
      <c r="Y470" s="379"/>
      <c r="Z470" s="221"/>
      <c r="AA470" s="379"/>
      <c r="AB470" s="379"/>
      <c r="AC470" s="50"/>
      <c r="AD470" s="50"/>
      <c r="AE470" s="379"/>
      <c r="AF470" s="379"/>
      <c r="AG470" s="156"/>
      <c r="AH470" s="60"/>
      <c r="AI470" s="379"/>
      <c r="AJ470" s="379"/>
      <c r="AK470" s="156"/>
      <c r="AL470" s="379"/>
      <c r="AM470" s="50"/>
      <c r="AN470" s="50"/>
    </row>
    <row r="471" spans="1:40" x14ac:dyDescent="0.25">
      <c r="F471" s="381"/>
      <c r="H471" s="381"/>
      <c r="I471" s="381"/>
      <c r="J471" s="464"/>
      <c r="K471" s="464"/>
      <c r="L471" s="381"/>
      <c r="M471" s="381"/>
      <c r="N471" s="381"/>
      <c r="O471" s="381"/>
      <c r="P471" s="381"/>
      <c r="Q471" s="381"/>
      <c r="R471" s="381"/>
      <c r="V471" s="381"/>
      <c r="Y471" s="381"/>
      <c r="Z471" s="221"/>
      <c r="AA471" s="381"/>
      <c r="AB471" s="381"/>
      <c r="AC471" s="381"/>
      <c r="AD471" s="381"/>
      <c r="AE471" s="381"/>
      <c r="AF471" s="381"/>
      <c r="AI471" s="381"/>
      <c r="AJ471" s="381"/>
      <c r="AK471" s="162"/>
      <c r="AL471" s="381"/>
    </row>
    <row r="472" spans="1:40" x14ac:dyDescent="0.25">
      <c r="A472" s="53"/>
      <c r="C472" s="54"/>
      <c r="F472" s="379"/>
      <c r="H472" s="379"/>
      <c r="I472" s="379"/>
      <c r="L472" s="379"/>
      <c r="M472" s="379"/>
      <c r="N472" s="60"/>
      <c r="O472" s="60"/>
      <c r="P472" s="379"/>
      <c r="Q472" s="379"/>
      <c r="R472" s="379"/>
      <c r="T472" s="54"/>
      <c r="V472" s="379"/>
      <c r="Y472" s="379"/>
      <c r="AA472" s="379"/>
      <c r="AB472" s="379"/>
      <c r="AC472" s="50"/>
      <c r="AD472" s="50"/>
      <c r="AE472" s="379"/>
      <c r="AF472" s="379"/>
      <c r="AG472" s="156"/>
      <c r="AH472" s="60"/>
      <c r="AI472" s="379"/>
      <c r="AJ472" s="379"/>
      <c r="AK472" s="156"/>
      <c r="AL472" s="379"/>
      <c r="AM472" s="50"/>
      <c r="AN472" s="50"/>
    </row>
    <row r="473" spans="1:40" x14ac:dyDescent="0.25">
      <c r="F473" s="381"/>
      <c r="H473" s="381"/>
      <c r="I473" s="381"/>
      <c r="J473" s="464"/>
      <c r="K473" s="464"/>
      <c r="L473" s="381"/>
      <c r="M473" s="381"/>
      <c r="N473" s="381"/>
      <c r="O473" s="381"/>
      <c r="P473" s="381"/>
      <c r="Q473" s="381"/>
      <c r="R473" s="381"/>
      <c r="V473" s="381"/>
      <c r="Y473" s="381"/>
      <c r="Z473" s="464"/>
      <c r="AA473" s="381"/>
      <c r="AB473" s="381"/>
      <c r="AC473" s="381"/>
      <c r="AD473" s="381"/>
      <c r="AE473" s="381"/>
      <c r="AF473" s="381"/>
      <c r="AI473" s="381"/>
      <c r="AJ473" s="381"/>
      <c r="AK473" s="162"/>
      <c r="AL473" s="381"/>
    </row>
    <row r="474" spans="1:40" x14ac:dyDescent="0.25">
      <c r="A474" s="53"/>
      <c r="C474" s="54"/>
      <c r="T474" s="54"/>
    </row>
    <row r="475" spans="1:40" x14ac:dyDescent="0.25">
      <c r="A475" s="53"/>
      <c r="C475" s="54"/>
      <c r="F475" s="449"/>
      <c r="H475" s="449"/>
      <c r="I475" s="449"/>
      <c r="J475" s="461"/>
      <c r="K475" s="461"/>
      <c r="L475" s="379"/>
      <c r="M475" s="379"/>
      <c r="N475" s="50"/>
      <c r="O475" s="50"/>
      <c r="P475" s="379"/>
      <c r="Q475" s="379"/>
      <c r="R475" s="379"/>
      <c r="T475" s="54"/>
      <c r="V475" s="379"/>
      <c r="Y475" s="379"/>
      <c r="Z475" s="461"/>
      <c r="AA475" s="379"/>
      <c r="AB475" s="379"/>
      <c r="AC475" s="50"/>
      <c r="AD475" s="50"/>
      <c r="AE475" s="379"/>
      <c r="AF475" s="379"/>
      <c r="AG475" s="156"/>
      <c r="AH475" s="60"/>
      <c r="AI475" s="379"/>
      <c r="AJ475" s="379"/>
      <c r="AK475" s="156"/>
      <c r="AL475" s="379"/>
      <c r="AM475" s="50"/>
      <c r="AN475" s="50"/>
    </row>
    <row r="476" spans="1:40" x14ac:dyDescent="0.25">
      <c r="A476" s="53"/>
      <c r="C476" s="54"/>
      <c r="F476" s="449"/>
      <c r="H476" s="449"/>
      <c r="I476" s="449"/>
      <c r="J476" s="461"/>
      <c r="K476" s="461"/>
      <c r="L476" s="379"/>
      <c r="M476" s="379"/>
      <c r="N476" s="50"/>
      <c r="O476" s="50"/>
      <c r="P476" s="379"/>
      <c r="Q476" s="379"/>
      <c r="R476" s="379"/>
      <c r="T476" s="54"/>
      <c r="V476" s="379"/>
      <c r="Y476" s="379"/>
      <c r="Z476" s="461"/>
      <c r="AA476" s="379"/>
      <c r="AB476" s="379"/>
      <c r="AC476" s="50"/>
      <c r="AD476" s="50"/>
      <c r="AE476" s="379"/>
      <c r="AF476" s="379"/>
      <c r="AG476" s="156"/>
      <c r="AH476" s="60"/>
      <c r="AI476" s="379"/>
      <c r="AJ476" s="379"/>
      <c r="AK476" s="156"/>
      <c r="AL476" s="379"/>
      <c r="AM476" s="50"/>
      <c r="AN476" s="50"/>
    </row>
    <row r="477" spans="1:40" x14ac:dyDescent="0.25">
      <c r="F477" s="381"/>
      <c r="H477" s="379"/>
      <c r="I477" s="379"/>
      <c r="J477" s="464"/>
      <c r="K477" s="464"/>
      <c r="L477" s="381"/>
      <c r="M477" s="381"/>
      <c r="N477" s="381"/>
      <c r="O477" s="381"/>
      <c r="P477" s="381"/>
      <c r="Q477" s="381"/>
      <c r="R477" s="381"/>
      <c r="V477" s="381"/>
      <c r="Y477" s="379"/>
      <c r="Z477" s="464"/>
      <c r="AA477" s="381"/>
      <c r="AB477" s="381"/>
      <c r="AC477" s="381"/>
      <c r="AD477" s="381"/>
      <c r="AE477" s="381"/>
      <c r="AF477" s="381"/>
      <c r="AI477" s="381"/>
      <c r="AJ477" s="381"/>
      <c r="AK477" s="162"/>
      <c r="AL477" s="381"/>
    </row>
    <row r="478" spans="1:40" x14ac:dyDescent="0.25">
      <c r="F478" s="379"/>
      <c r="H478" s="379"/>
      <c r="I478" s="379"/>
      <c r="J478" s="464"/>
      <c r="K478" s="464"/>
      <c r="L478" s="379"/>
      <c r="M478" s="379"/>
      <c r="N478" s="379"/>
      <c r="O478" s="379"/>
      <c r="P478" s="379"/>
      <c r="Q478" s="379"/>
      <c r="R478" s="379"/>
      <c r="V478" s="379"/>
      <c r="Y478" s="379"/>
      <c r="Z478" s="464"/>
      <c r="AA478" s="379"/>
      <c r="AB478" s="379"/>
      <c r="AC478" s="379"/>
      <c r="AD478" s="379"/>
      <c r="AE478" s="379"/>
      <c r="AF478" s="379"/>
      <c r="AI478" s="379"/>
      <c r="AJ478" s="379"/>
      <c r="AK478" s="156"/>
      <c r="AL478" s="379"/>
    </row>
    <row r="479" spans="1:40" x14ac:dyDescent="0.25">
      <c r="A479" s="53"/>
      <c r="C479" s="54"/>
      <c r="F479" s="379"/>
      <c r="H479" s="379"/>
      <c r="I479" s="379"/>
      <c r="L479" s="379"/>
      <c r="M479" s="379"/>
      <c r="N479" s="50"/>
      <c r="O479" s="50"/>
      <c r="P479" s="379"/>
      <c r="Q479" s="379"/>
      <c r="R479" s="379"/>
      <c r="T479" s="54"/>
      <c r="V479" s="379"/>
      <c r="Y479" s="379"/>
      <c r="AA479" s="379"/>
      <c r="AB479" s="379"/>
      <c r="AC479" s="50"/>
      <c r="AD479" s="50"/>
      <c r="AE479" s="379"/>
      <c r="AF479" s="379"/>
      <c r="AG479" s="156"/>
      <c r="AH479" s="60"/>
      <c r="AI479" s="449"/>
      <c r="AJ479" s="449"/>
      <c r="AK479" s="156"/>
      <c r="AL479" s="379"/>
      <c r="AM479" s="50"/>
      <c r="AN479" s="50"/>
    </row>
    <row r="480" spans="1:40" x14ac:dyDescent="0.25">
      <c r="F480" s="381"/>
      <c r="H480" s="381"/>
      <c r="I480" s="381"/>
      <c r="J480" s="464"/>
      <c r="K480" s="464"/>
      <c r="L480" s="381"/>
      <c r="M480" s="381"/>
      <c r="N480" s="381"/>
      <c r="O480" s="381"/>
      <c r="P480" s="381"/>
      <c r="Q480" s="381"/>
      <c r="R480" s="381"/>
      <c r="V480" s="381"/>
      <c r="Y480" s="381"/>
      <c r="Z480" s="464"/>
      <c r="AA480" s="381"/>
      <c r="AB480" s="381"/>
      <c r="AC480" s="381"/>
      <c r="AD480" s="381"/>
      <c r="AE480" s="381"/>
      <c r="AF480" s="381"/>
      <c r="AI480" s="381"/>
      <c r="AJ480" s="381"/>
      <c r="AK480" s="162"/>
      <c r="AL480" s="381"/>
    </row>
    <row r="482" spans="1:28" x14ac:dyDescent="0.25">
      <c r="A482" s="54"/>
      <c r="T482" s="54"/>
    </row>
    <row r="483" spans="1:28" x14ac:dyDescent="0.25">
      <c r="A483" s="54"/>
      <c r="T483" s="54"/>
    </row>
    <row r="484" spans="1:28" x14ac:dyDescent="0.25">
      <c r="A484" s="54"/>
      <c r="T484" s="54"/>
    </row>
    <row r="485" spans="1:28" x14ac:dyDescent="0.25">
      <c r="A485" s="54"/>
      <c r="T485" s="54"/>
    </row>
    <row r="486" spans="1:28" x14ac:dyDescent="0.25">
      <c r="A486" s="54"/>
      <c r="T486" s="54"/>
    </row>
    <row r="487" spans="1:28" x14ac:dyDescent="0.25">
      <c r="A487" s="54"/>
      <c r="T487" s="54"/>
    </row>
    <row r="488" spans="1:28" x14ac:dyDescent="0.25">
      <c r="A488" s="54"/>
      <c r="T488" s="54"/>
    </row>
    <row r="489" spans="1:28" x14ac:dyDescent="0.25">
      <c r="A489" s="54"/>
      <c r="T489" s="54"/>
    </row>
    <row r="490" spans="1:28" x14ac:dyDescent="0.25">
      <c r="A490" s="54"/>
      <c r="T490" s="54"/>
    </row>
    <row r="492" spans="1:28" x14ac:dyDescent="0.25">
      <c r="A492" s="54"/>
    </row>
    <row r="493" spans="1:28" x14ac:dyDescent="0.25">
      <c r="J493" s="53"/>
      <c r="K493" s="53"/>
      <c r="Z493" s="53"/>
    </row>
    <row r="494" spans="1:28" x14ac:dyDescent="0.25">
      <c r="H494" s="54"/>
      <c r="I494" s="54"/>
      <c r="Y494" s="54"/>
    </row>
    <row r="495" spans="1:28" x14ac:dyDescent="0.25">
      <c r="J495" s="53"/>
      <c r="K495" s="53"/>
      <c r="Z495" s="53"/>
    </row>
    <row r="496" spans="1:28" x14ac:dyDescent="0.25">
      <c r="L496" s="54"/>
      <c r="M496" s="54"/>
      <c r="AA496" s="54"/>
      <c r="AB496" s="54"/>
    </row>
    <row r="497" spans="1:40" x14ac:dyDescent="0.25">
      <c r="A497" s="53"/>
      <c r="R497" s="54"/>
      <c r="AK497" s="161"/>
      <c r="AL497" s="54"/>
    </row>
    <row r="498" spans="1:40" x14ac:dyDescent="0.25">
      <c r="A498" s="53"/>
      <c r="R498" s="54"/>
      <c r="AK498" s="161"/>
      <c r="AL498" s="54"/>
    </row>
    <row r="499" spans="1:40" x14ac:dyDescent="0.25">
      <c r="A499" s="54"/>
      <c r="R499" s="54"/>
      <c r="AK499" s="161"/>
      <c r="AL499" s="54"/>
    </row>
    <row r="500" spans="1:40" x14ac:dyDescent="0.25">
      <c r="L500" s="54"/>
      <c r="M500" s="54"/>
      <c r="R500" s="53"/>
      <c r="AA500" s="54"/>
      <c r="AB500" s="54"/>
      <c r="AK500" s="156"/>
      <c r="AL500" s="53"/>
    </row>
    <row r="501" spans="1:40" x14ac:dyDescent="0.25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154"/>
      <c r="AH501" s="55"/>
      <c r="AI501" s="55"/>
      <c r="AJ501" s="55"/>
      <c r="AK501" s="154"/>
      <c r="AL501" s="55"/>
      <c r="AM501" s="55"/>
      <c r="AN501" s="55"/>
    </row>
    <row r="502" spans="1:40" x14ac:dyDescent="0.25">
      <c r="L502" s="56"/>
      <c r="M502" s="56"/>
      <c r="N502" s="56"/>
      <c r="O502" s="56"/>
      <c r="R502" s="56"/>
      <c r="AA502" s="56"/>
      <c r="AB502" s="56"/>
      <c r="AC502" s="56"/>
      <c r="AD502" s="56"/>
      <c r="AE502" s="56"/>
      <c r="AF502" s="56"/>
      <c r="AG502" s="155"/>
      <c r="AH502" s="56"/>
      <c r="AK502" s="155"/>
      <c r="AL502" s="56"/>
      <c r="AM502" s="56"/>
      <c r="AN502" s="56"/>
    </row>
    <row r="503" spans="1:40" x14ac:dyDescent="0.25">
      <c r="L503" s="56"/>
      <c r="M503" s="56"/>
      <c r="N503" s="56"/>
      <c r="O503" s="56"/>
      <c r="R503" s="56"/>
      <c r="Z503" s="56"/>
      <c r="AA503" s="56"/>
      <c r="AB503" s="56"/>
      <c r="AC503" s="56"/>
      <c r="AD503" s="56"/>
      <c r="AE503" s="56"/>
      <c r="AF503" s="56"/>
      <c r="AG503" s="155"/>
      <c r="AH503" s="56"/>
      <c r="AK503" s="155"/>
      <c r="AL503" s="56"/>
      <c r="AM503" s="56"/>
      <c r="AN503" s="56"/>
    </row>
    <row r="504" spans="1:40" x14ac:dyDescent="0.25">
      <c r="A504" s="56"/>
      <c r="C504" s="56"/>
      <c r="D504" s="56"/>
      <c r="E504" s="56"/>
      <c r="F504" s="56"/>
      <c r="J504" s="56"/>
      <c r="K504" s="56"/>
      <c r="L504" s="56"/>
      <c r="M504" s="56"/>
      <c r="N504" s="56"/>
      <c r="O504" s="56"/>
      <c r="P504" s="56"/>
      <c r="Q504" s="56"/>
      <c r="R504" s="56"/>
      <c r="T504" s="56"/>
      <c r="U504" s="56"/>
      <c r="V504" s="56"/>
      <c r="Z504" s="56"/>
      <c r="AA504" s="56"/>
      <c r="AB504" s="56"/>
      <c r="AC504" s="56"/>
      <c r="AD504" s="56"/>
      <c r="AE504" s="56"/>
      <c r="AF504" s="56"/>
      <c r="AG504" s="155"/>
      <c r="AH504" s="56"/>
      <c r="AI504" s="56"/>
      <c r="AJ504" s="56"/>
      <c r="AK504" s="155"/>
      <c r="AL504" s="56"/>
      <c r="AM504" s="56"/>
      <c r="AN504" s="56"/>
    </row>
    <row r="505" spans="1:40" x14ac:dyDescent="0.25">
      <c r="A505" s="56"/>
      <c r="C505" s="56"/>
      <c r="D505" s="56"/>
      <c r="E505" s="56"/>
      <c r="F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T505" s="56"/>
      <c r="U505" s="56"/>
      <c r="V505" s="56"/>
      <c r="Y505" s="56"/>
      <c r="Z505" s="56"/>
      <c r="AA505" s="56"/>
      <c r="AB505" s="56"/>
      <c r="AC505" s="56"/>
      <c r="AD505" s="56"/>
      <c r="AE505" s="56"/>
      <c r="AF505" s="56"/>
      <c r="AG505" s="155"/>
      <c r="AH505" s="56"/>
      <c r="AI505" s="56"/>
      <c r="AJ505" s="56"/>
      <c r="AK505" s="155"/>
      <c r="AL505" s="56"/>
      <c r="AM505" s="56"/>
      <c r="AN505" s="56"/>
    </row>
    <row r="506" spans="1:40" x14ac:dyDescent="0.25">
      <c r="C506" s="56"/>
      <c r="D506" s="56"/>
      <c r="E506" s="56"/>
      <c r="F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T506" s="56"/>
      <c r="U506" s="56"/>
      <c r="V506" s="56"/>
      <c r="Y506" s="56"/>
      <c r="Z506" s="56"/>
      <c r="AA506" s="56"/>
      <c r="AB506" s="56"/>
      <c r="AC506" s="56"/>
      <c r="AD506" s="56"/>
      <c r="AE506" s="56"/>
      <c r="AF506" s="56"/>
      <c r="AG506" s="155"/>
      <c r="AH506" s="56"/>
      <c r="AI506" s="56"/>
      <c r="AJ506" s="56"/>
      <c r="AK506" s="155"/>
      <c r="AL506" s="56"/>
      <c r="AM506" s="56"/>
      <c r="AN506" s="56"/>
    </row>
    <row r="507" spans="1:40" x14ac:dyDescent="0.25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154"/>
      <c r="AH507" s="55"/>
      <c r="AI507" s="55"/>
      <c r="AJ507" s="55"/>
      <c r="AK507" s="154"/>
      <c r="AL507" s="55"/>
      <c r="AM507" s="55"/>
      <c r="AN507" s="55"/>
    </row>
    <row r="508" spans="1:40" x14ac:dyDescent="0.25"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Y508" s="56"/>
      <c r="Z508" s="56"/>
      <c r="AA508" s="56"/>
      <c r="AB508" s="56"/>
      <c r="AC508" s="56"/>
      <c r="AD508" s="56"/>
      <c r="AE508" s="56"/>
      <c r="AF508" s="56"/>
      <c r="AG508" s="155"/>
      <c r="AH508" s="56"/>
      <c r="AI508" s="56"/>
      <c r="AJ508" s="56"/>
      <c r="AK508" s="155"/>
      <c r="AL508" s="56"/>
      <c r="AM508" s="56"/>
      <c r="AN508" s="56"/>
    </row>
    <row r="509" spans="1:40" x14ac:dyDescent="0.25">
      <c r="A509" s="53"/>
      <c r="C509" s="54"/>
      <c r="D509" s="54"/>
      <c r="E509" s="54"/>
      <c r="T509" s="54"/>
      <c r="U509" s="54"/>
    </row>
    <row r="510" spans="1:40" x14ac:dyDescent="0.25">
      <c r="A510" s="53"/>
      <c r="D510" s="54"/>
      <c r="E510" s="54"/>
      <c r="U510" s="54"/>
    </row>
    <row r="512" spans="1:40" x14ac:dyDescent="0.25">
      <c r="A512" s="53"/>
      <c r="C512" s="54"/>
      <c r="F512" s="379"/>
      <c r="J512" s="62"/>
      <c r="K512" s="62"/>
      <c r="L512" s="379"/>
      <c r="M512" s="379"/>
      <c r="R512" s="379"/>
      <c r="T512" s="54"/>
      <c r="V512" s="379"/>
      <c r="Z512" s="62"/>
      <c r="AA512" s="379"/>
      <c r="AB512" s="379"/>
      <c r="AG512" s="156"/>
      <c r="AH512" s="379"/>
      <c r="AK512" s="156"/>
      <c r="AL512" s="379"/>
    </row>
    <row r="513" spans="1:40" x14ac:dyDescent="0.25">
      <c r="A513" s="53"/>
      <c r="C513" s="54"/>
      <c r="F513" s="379"/>
      <c r="R513" s="379"/>
      <c r="T513" s="54"/>
      <c r="V513" s="379"/>
      <c r="AG513" s="156"/>
      <c r="AH513" s="379"/>
      <c r="AK513" s="156"/>
      <c r="AL513" s="379"/>
    </row>
    <row r="514" spans="1:40" x14ac:dyDescent="0.25">
      <c r="AI514" s="379"/>
      <c r="AJ514" s="379"/>
      <c r="AK514" s="156"/>
      <c r="AL514" s="379"/>
      <c r="AM514" s="50"/>
      <c r="AN514" s="50"/>
    </row>
    <row r="515" spans="1:40" x14ac:dyDescent="0.25">
      <c r="A515" s="53"/>
      <c r="C515" s="54"/>
      <c r="F515" s="449"/>
      <c r="H515" s="449"/>
      <c r="I515" s="449"/>
      <c r="J515" s="477"/>
      <c r="K515" s="477"/>
      <c r="L515" s="379"/>
      <c r="M515" s="379"/>
      <c r="N515" s="50"/>
      <c r="O515" s="50"/>
      <c r="P515" s="379"/>
      <c r="Q515" s="379"/>
      <c r="R515" s="379"/>
      <c r="T515" s="54"/>
      <c r="V515" s="379"/>
      <c r="Y515" s="379"/>
      <c r="Z515" s="477"/>
      <c r="AA515" s="379"/>
      <c r="AB515" s="379"/>
      <c r="AC515" s="50"/>
      <c r="AD515" s="50"/>
      <c r="AE515" s="379"/>
      <c r="AF515" s="379"/>
      <c r="AG515" s="156"/>
      <c r="AH515" s="60"/>
      <c r="AI515" s="379"/>
      <c r="AJ515" s="379"/>
      <c r="AK515" s="156"/>
      <c r="AL515" s="379"/>
      <c r="AM515" s="50"/>
      <c r="AN515" s="50"/>
    </row>
    <row r="516" spans="1:40" x14ac:dyDescent="0.25">
      <c r="F516" s="379"/>
      <c r="H516" s="379"/>
      <c r="I516" s="379"/>
      <c r="J516" s="59"/>
      <c r="K516" s="59"/>
      <c r="L516" s="379"/>
      <c r="M516" s="379"/>
      <c r="P516" s="379"/>
      <c r="Q516" s="379"/>
      <c r="R516" s="379"/>
      <c r="V516" s="379"/>
      <c r="Y516" s="379"/>
      <c r="Z516" s="59"/>
      <c r="AA516" s="379"/>
      <c r="AB516" s="379"/>
      <c r="AI516" s="379"/>
      <c r="AJ516" s="379"/>
      <c r="AK516" s="156"/>
      <c r="AL516" s="379"/>
      <c r="AM516" s="50"/>
      <c r="AN516" s="50"/>
    </row>
    <row r="517" spans="1:40" x14ac:dyDescent="0.25">
      <c r="F517" s="379"/>
      <c r="R517" s="379"/>
      <c r="V517" s="379"/>
      <c r="AK517" s="156"/>
      <c r="AL517" s="379"/>
      <c r="AM517" s="50"/>
      <c r="AN517" s="50"/>
    </row>
    <row r="518" spans="1:40" x14ac:dyDescent="0.25">
      <c r="A518" s="53"/>
      <c r="C518" s="54"/>
      <c r="F518" s="379"/>
      <c r="J518" s="62"/>
      <c r="K518" s="62"/>
      <c r="L518" s="379"/>
      <c r="M518" s="379"/>
      <c r="N518" s="50"/>
      <c r="O518" s="50"/>
      <c r="R518" s="379"/>
      <c r="T518" s="54"/>
      <c r="V518" s="379"/>
      <c r="Z518" s="62"/>
      <c r="AA518" s="379"/>
      <c r="AB518" s="379"/>
      <c r="AC518" s="50"/>
      <c r="AD518" s="50"/>
      <c r="AK518" s="156"/>
      <c r="AL518" s="379"/>
      <c r="AM518" s="50"/>
      <c r="AN518" s="50"/>
    </row>
    <row r="519" spans="1:40" x14ac:dyDescent="0.25">
      <c r="A519" s="53"/>
      <c r="C519" s="54"/>
      <c r="F519" s="379"/>
      <c r="H519" s="379"/>
      <c r="I519" s="379"/>
      <c r="J519" s="62"/>
      <c r="K519" s="62"/>
      <c r="L519" s="379"/>
      <c r="M519" s="379"/>
      <c r="N519" s="50"/>
      <c r="O519" s="50"/>
      <c r="P519" s="379"/>
      <c r="Q519" s="379"/>
      <c r="R519" s="379"/>
      <c r="T519" s="54"/>
      <c r="V519" s="379"/>
      <c r="Y519" s="379"/>
      <c r="Z519" s="62"/>
      <c r="AA519" s="379"/>
      <c r="AB519" s="379"/>
      <c r="AC519" s="50"/>
      <c r="AD519" s="50"/>
      <c r="AI519" s="379"/>
      <c r="AJ519" s="379"/>
      <c r="AK519" s="156"/>
      <c r="AL519" s="379"/>
      <c r="AM519" s="50"/>
      <c r="AN519" s="50"/>
    </row>
    <row r="520" spans="1:40" x14ac:dyDescent="0.25">
      <c r="A520" s="53"/>
      <c r="C520" s="54"/>
      <c r="T520" s="54"/>
      <c r="AM520" s="50"/>
      <c r="AN520" s="50"/>
    </row>
    <row r="521" spans="1:40" x14ac:dyDescent="0.25">
      <c r="A521" s="53"/>
      <c r="C521" s="54"/>
      <c r="T521" s="54"/>
      <c r="AM521" s="50"/>
      <c r="AN521" s="50"/>
    </row>
    <row r="522" spans="1:40" x14ac:dyDescent="0.25">
      <c r="AM522" s="50"/>
      <c r="AN522" s="50"/>
    </row>
    <row r="523" spans="1:40" x14ac:dyDescent="0.25">
      <c r="A523" s="53"/>
      <c r="C523" s="54"/>
      <c r="F523" s="449"/>
      <c r="H523" s="449"/>
      <c r="I523" s="449"/>
      <c r="J523" s="477"/>
      <c r="K523" s="477"/>
      <c r="L523" s="379"/>
      <c r="M523" s="379"/>
      <c r="N523" s="50"/>
      <c r="O523" s="50"/>
      <c r="P523" s="379"/>
      <c r="Q523" s="379"/>
      <c r="R523" s="379"/>
      <c r="T523" s="54"/>
      <c r="V523" s="379"/>
      <c r="Y523" s="379"/>
      <c r="Z523" s="477"/>
      <c r="AA523" s="379"/>
      <c r="AB523" s="379"/>
      <c r="AC523" s="50"/>
      <c r="AD523" s="50"/>
      <c r="AE523" s="379"/>
      <c r="AF523" s="379"/>
      <c r="AG523" s="156"/>
      <c r="AH523" s="60"/>
      <c r="AI523" s="379"/>
      <c r="AJ523" s="379"/>
      <c r="AK523" s="156"/>
      <c r="AL523" s="379"/>
      <c r="AM523" s="50"/>
      <c r="AN523" s="50"/>
    </row>
    <row r="524" spans="1:40" x14ac:dyDescent="0.25">
      <c r="F524" s="381"/>
      <c r="H524" s="381"/>
      <c r="I524" s="381"/>
      <c r="J524" s="464"/>
      <c r="K524" s="464"/>
      <c r="L524" s="381"/>
      <c r="M524" s="381"/>
      <c r="N524" s="381"/>
      <c r="O524" s="381"/>
      <c r="P524" s="381"/>
      <c r="Q524" s="381"/>
      <c r="R524" s="381"/>
      <c r="V524" s="381"/>
      <c r="Y524" s="381"/>
      <c r="Z524" s="464"/>
      <c r="AA524" s="381"/>
      <c r="AB524" s="381"/>
      <c r="AC524" s="381"/>
      <c r="AD524" s="381"/>
      <c r="AE524" s="381"/>
      <c r="AF524" s="381"/>
      <c r="AI524" s="381"/>
      <c r="AJ524" s="381"/>
      <c r="AK524" s="162"/>
      <c r="AL524" s="381"/>
      <c r="AM524" s="50"/>
      <c r="AN524" s="50"/>
    </row>
    <row r="525" spans="1:40" x14ac:dyDescent="0.25">
      <c r="H525" s="379"/>
      <c r="I525" s="379"/>
      <c r="Y525" s="379"/>
      <c r="AM525" s="50"/>
      <c r="AN525" s="50"/>
    </row>
    <row r="526" spans="1:40" x14ac:dyDescent="0.25">
      <c r="A526" s="53"/>
      <c r="C526" s="54"/>
      <c r="F526" s="379"/>
      <c r="H526" s="379"/>
      <c r="I526" s="379"/>
      <c r="L526" s="379"/>
      <c r="M526" s="379"/>
      <c r="N526" s="50"/>
      <c r="O526" s="50"/>
      <c r="P526" s="449"/>
      <c r="Q526" s="449"/>
      <c r="R526" s="379"/>
      <c r="T526" s="54"/>
      <c r="V526" s="379"/>
      <c r="Y526" s="379"/>
      <c r="AA526" s="379"/>
      <c r="AB526" s="379"/>
      <c r="AC526" s="50"/>
      <c r="AD526" s="50"/>
      <c r="AE526" s="379"/>
      <c r="AF526" s="379"/>
      <c r="AG526" s="156"/>
      <c r="AH526" s="60"/>
      <c r="AI526" s="449"/>
      <c r="AJ526" s="449"/>
      <c r="AK526" s="156"/>
      <c r="AL526" s="379"/>
      <c r="AM526" s="50"/>
      <c r="AN526" s="50"/>
    </row>
    <row r="527" spans="1:40" x14ac:dyDescent="0.25">
      <c r="F527" s="381"/>
      <c r="H527" s="381"/>
      <c r="I527" s="381"/>
      <c r="J527" s="464"/>
      <c r="K527" s="464"/>
      <c r="L527" s="381"/>
      <c r="M527" s="381"/>
      <c r="N527" s="381"/>
      <c r="O527" s="381"/>
      <c r="P527" s="381"/>
      <c r="Q527" s="381"/>
      <c r="R527" s="381"/>
      <c r="V527" s="381"/>
      <c r="Y527" s="381"/>
      <c r="Z527" s="464"/>
      <c r="AA527" s="381"/>
      <c r="AB527" s="381"/>
      <c r="AC527" s="381"/>
      <c r="AD527" s="381"/>
      <c r="AE527" s="381"/>
      <c r="AF527" s="381"/>
      <c r="AI527" s="381"/>
      <c r="AJ527" s="381"/>
      <c r="AK527" s="162"/>
      <c r="AL527" s="381"/>
      <c r="AM527" s="50"/>
      <c r="AN527" s="50"/>
    </row>
    <row r="529" spans="1:40" x14ac:dyDescent="0.25">
      <c r="F529" s="379"/>
      <c r="H529" s="379"/>
      <c r="I529" s="379"/>
      <c r="J529" s="59"/>
      <c r="K529" s="59"/>
      <c r="L529" s="379"/>
      <c r="M529" s="379"/>
      <c r="N529" s="379"/>
      <c r="O529" s="379"/>
      <c r="P529" s="379"/>
      <c r="Q529" s="379"/>
      <c r="R529" s="379"/>
      <c r="V529" s="379"/>
      <c r="Y529" s="379"/>
      <c r="Z529" s="59"/>
      <c r="AA529" s="379"/>
      <c r="AB529" s="379"/>
      <c r="AC529" s="379"/>
      <c r="AD529" s="379"/>
      <c r="AE529" s="379"/>
      <c r="AF529" s="379"/>
      <c r="AG529" s="156"/>
      <c r="AH529" s="379"/>
      <c r="AI529" s="379"/>
      <c r="AJ529" s="379"/>
      <c r="AK529" s="156"/>
      <c r="AL529" s="379"/>
    </row>
    <row r="530" spans="1:40" x14ac:dyDescent="0.25">
      <c r="A530" s="54"/>
    </row>
    <row r="531" spans="1:40" x14ac:dyDescent="0.25">
      <c r="J531" s="53"/>
      <c r="K531" s="53"/>
      <c r="Z531" s="53"/>
    </row>
    <row r="532" spans="1:40" x14ac:dyDescent="0.25">
      <c r="H532" s="54"/>
      <c r="I532" s="54"/>
      <c r="Y532" s="54"/>
    </row>
    <row r="533" spans="1:40" x14ac:dyDescent="0.25">
      <c r="J533" s="53"/>
      <c r="K533" s="53"/>
      <c r="Z533" s="53"/>
    </row>
    <row r="534" spans="1:40" x14ac:dyDescent="0.25">
      <c r="L534" s="54"/>
      <c r="M534" s="54"/>
      <c r="AA534" s="54"/>
      <c r="AB534" s="54"/>
    </row>
    <row r="535" spans="1:40" x14ac:dyDescent="0.25">
      <c r="A535" s="53"/>
      <c r="R535" s="54"/>
      <c r="AK535" s="161"/>
      <c r="AL535" s="54"/>
    </row>
    <row r="536" spans="1:40" x14ac:dyDescent="0.25">
      <c r="A536" s="53"/>
      <c r="R536" s="54"/>
      <c r="AK536" s="161"/>
      <c r="AL536" s="54"/>
    </row>
    <row r="537" spans="1:40" x14ac:dyDescent="0.25">
      <c r="A537" s="54"/>
      <c r="R537" s="54"/>
      <c r="AK537" s="161"/>
      <c r="AL537" s="54"/>
    </row>
    <row r="538" spans="1:40" x14ac:dyDescent="0.25">
      <c r="L538" s="54"/>
      <c r="M538" s="54"/>
      <c r="R538" s="53"/>
      <c r="AA538" s="54"/>
      <c r="AB538" s="54"/>
      <c r="AK538" s="156"/>
      <c r="AL538" s="53"/>
    </row>
    <row r="539" spans="1:40" x14ac:dyDescent="0.25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154"/>
      <c r="AH539" s="55"/>
      <c r="AI539" s="55"/>
      <c r="AJ539" s="55"/>
      <c r="AK539" s="154"/>
      <c r="AL539" s="55"/>
      <c r="AM539" s="55"/>
      <c r="AN539" s="55"/>
    </row>
    <row r="540" spans="1:40" x14ac:dyDescent="0.25">
      <c r="L540" s="56"/>
      <c r="M540" s="56"/>
      <c r="N540" s="56"/>
      <c r="O540" s="56"/>
      <c r="R540" s="56"/>
      <c r="AA540" s="56"/>
      <c r="AB540" s="56"/>
      <c r="AC540" s="56"/>
      <c r="AD540" s="56"/>
      <c r="AE540" s="56"/>
      <c r="AF540" s="56"/>
      <c r="AG540" s="155"/>
      <c r="AH540" s="56"/>
      <c r="AK540" s="155"/>
      <c r="AL540" s="56"/>
      <c r="AM540" s="56"/>
      <c r="AN540" s="56"/>
    </row>
    <row r="541" spans="1:40" x14ac:dyDescent="0.25">
      <c r="L541" s="56"/>
      <c r="M541" s="56"/>
      <c r="N541" s="56"/>
      <c r="O541" s="56"/>
      <c r="R541" s="56"/>
      <c r="Z541" s="56"/>
      <c r="AA541" s="56"/>
      <c r="AB541" s="56"/>
      <c r="AC541" s="56"/>
      <c r="AD541" s="56"/>
      <c r="AE541" s="56"/>
      <c r="AF541" s="56"/>
      <c r="AG541" s="155"/>
      <c r="AH541" s="56"/>
      <c r="AK541" s="155"/>
      <c r="AL541" s="56"/>
      <c r="AM541" s="56"/>
      <c r="AN541" s="56"/>
    </row>
    <row r="542" spans="1:40" x14ac:dyDescent="0.25">
      <c r="A542" s="56"/>
      <c r="C542" s="56"/>
      <c r="D542" s="56"/>
      <c r="E542" s="56"/>
      <c r="F542" s="56"/>
      <c r="J542" s="56"/>
      <c r="K542" s="56"/>
      <c r="L542" s="56"/>
      <c r="M542" s="56"/>
      <c r="N542" s="56"/>
      <c r="O542" s="56"/>
      <c r="P542" s="56"/>
      <c r="Q542" s="56"/>
      <c r="R542" s="56"/>
      <c r="T542" s="56"/>
      <c r="U542" s="56"/>
      <c r="V542" s="56"/>
      <c r="Z542" s="56"/>
      <c r="AA542" s="56"/>
      <c r="AB542" s="56"/>
      <c r="AC542" s="56"/>
      <c r="AD542" s="56"/>
      <c r="AE542" s="56"/>
      <c r="AF542" s="56"/>
      <c r="AG542" s="155"/>
      <c r="AH542" s="56"/>
      <c r="AI542" s="56"/>
      <c r="AJ542" s="56"/>
      <c r="AK542" s="155"/>
      <c r="AL542" s="56"/>
      <c r="AM542" s="56"/>
      <c r="AN542" s="56"/>
    </row>
    <row r="543" spans="1:40" x14ac:dyDescent="0.25">
      <c r="A543" s="56"/>
      <c r="C543" s="56"/>
      <c r="D543" s="56"/>
      <c r="E543" s="56"/>
      <c r="F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T543" s="56"/>
      <c r="U543" s="56"/>
      <c r="V543" s="56"/>
      <c r="Y543" s="56"/>
      <c r="Z543" s="56"/>
      <c r="AA543" s="56"/>
      <c r="AB543" s="56"/>
      <c r="AC543" s="56"/>
      <c r="AD543" s="56"/>
      <c r="AE543" s="56"/>
      <c r="AF543" s="56"/>
      <c r="AG543" s="155"/>
      <c r="AH543" s="56"/>
      <c r="AI543" s="56"/>
      <c r="AJ543" s="56"/>
      <c r="AK543" s="155"/>
      <c r="AL543" s="56"/>
      <c r="AM543" s="56"/>
      <c r="AN543" s="56"/>
    </row>
    <row r="544" spans="1:40" x14ac:dyDescent="0.25">
      <c r="C544" s="56"/>
      <c r="D544" s="56"/>
      <c r="E544" s="56"/>
      <c r="F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T544" s="56"/>
      <c r="U544" s="56"/>
      <c r="V544" s="56"/>
      <c r="Y544" s="56"/>
      <c r="Z544" s="56"/>
      <c r="AA544" s="56"/>
      <c r="AB544" s="56"/>
      <c r="AC544" s="56"/>
      <c r="AD544" s="56"/>
      <c r="AE544" s="56"/>
      <c r="AF544" s="56"/>
      <c r="AG544" s="155"/>
      <c r="AH544" s="56"/>
      <c r="AI544" s="56"/>
      <c r="AJ544" s="56"/>
      <c r="AK544" s="155"/>
      <c r="AL544" s="56"/>
      <c r="AM544" s="56"/>
      <c r="AN544" s="56"/>
    </row>
    <row r="545" spans="1:40" x14ac:dyDescent="0.25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154"/>
      <c r="AH545" s="55"/>
      <c r="AI545" s="55"/>
      <c r="AJ545" s="55"/>
      <c r="AK545" s="154"/>
      <c r="AL545" s="55"/>
      <c r="AM545" s="55"/>
      <c r="AN545" s="55"/>
    </row>
    <row r="546" spans="1:40" x14ac:dyDescent="0.25"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Y546" s="56"/>
      <c r="Z546" s="56"/>
      <c r="AA546" s="56"/>
      <c r="AB546" s="56"/>
      <c r="AC546" s="56"/>
      <c r="AD546" s="56"/>
      <c r="AE546" s="56"/>
      <c r="AF546" s="56"/>
      <c r="AG546" s="155"/>
      <c r="AH546" s="56"/>
      <c r="AI546" s="56"/>
      <c r="AJ546" s="56"/>
      <c r="AK546" s="155"/>
      <c r="AL546" s="56"/>
      <c r="AM546" s="56"/>
      <c r="AN546" s="56"/>
    </row>
    <row r="547" spans="1:40" x14ac:dyDescent="0.25">
      <c r="A547" s="53"/>
      <c r="C547" s="54"/>
      <c r="D547" s="54"/>
      <c r="E547" s="54"/>
      <c r="T547" s="54"/>
      <c r="U547" s="54"/>
      <c r="V547" s="379"/>
      <c r="W547" s="379"/>
      <c r="X547" s="379"/>
      <c r="Y547" s="379"/>
      <c r="Z547" s="477"/>
    </row>
    <row r="549" spans="1:40" x14ac:dyDescent="0.25">
      <c r="A549" s="53"/>
      <c r="C549" s="54"/>
      <c r="T549" s="54"/>
      <c r="V549" s="379"/>
      <c r="W549" s="379"/>
      <c r="X549" s="379"/>
      <c r="Y549" s="379"/>
      <c r="Z549" s="477"/>
    </row>
    <row r="550" spans="1:40" x14ac:dyDescent="0.25">
      <c r="A550" s="53"/>
      <c r="C550" s="54"/>
      <c r="F550" s="449"/>
      <c r="H550" s="449"/>
      <c r="I550" s="449"/>
      <c r="J550" s="221"/>
      <c r="K550" s="221"/>
      <c r="L550" s="379"/>
      <c r="M550" s="379"/>
      <c r="N550" s="50"/>
      <c r="O550" s="50"/>
      <c r="P550" s="379"/>
      <c r="Q550" s="379"/>
      <c r="R550" s="379"/>
      <c r="T550" s="54"/>
      <c r="V550" s="379"/>
      <c r="W550" s="379"/>
      <c r="X550" s="379"/>
      <c r="Y550" s="379"/>
      <c r="Z550" s="221"/>
      <c r="AA550" s="379"/>
      <c r="AB550" s="379"/>
      <c r="AC550" s="50"/>
      <c r="AD550" s="50"/>
      <c r="AE550" s="379"/>
      <c r="AF550" s="379"/>
      <c r="AG550" s="156"/>
      <c r="AH550" s="60"/>
      <c r="AI550" s="379"/>
      <c r="AJ550" s="379"/>
      <c r="AK550" s="156"/>
      <c r="AL550" s="379"/>
      <c r="AM550" s="50"/>
      <c r="AN550" s="50"/>
    </row>
    <row r="551" spans="1:40" x14ac:dyDescent="0.25">
      <c r="A551" s="53"/>
      <c r="C551" s="54"/>
      <c r="F551" s="449"/>
      <c r="H551" s="449"/>
      <c r="I551" s="449"/>
      <c r="J551" s="221"/>
      <c r="K551" s="221"/>
      <c r="L551" s="379"/>
      <c r="M551" s="379"/>
      <c r="N551" s="50"/>
      <c r="O551" s="50"/>
      <c r="P551" s="379"/>
      <c r="Q551" s="379"/>
      <c r="R551" s="379"/>
      <c r="T551" s="54"/>
      <c r="V551" s="379"/>
      <c r="W551" s="379"/>
      <c r="X551" s="379"/>
      <c r="Y551" s="379"/>
      <c r="Z551" s="221"/>
      <c r="AA551" s="379"/>
      <c r="AB551" s="379"/>
      <c r="AC551" s="50"/>
      <c r="AD551" s="50"/>
      <c r="AE551" s="379"/>
      <c r="AF551" s="379"/>
      <c r="AG551" s="156"/>
      <c r="AH551" s="60"/>
      <c r="AI551" s="379"/>
      <c r="AJ551" s="379"/>
      <c r="AK551" s="156"/>
      <c r="AL551" s="379"/>
      <c r="AM551" s="50"/>
      <c r="AN551" s="50"/>
    </row>
    <row r="552" spans="1:40" x14ac:dyDescent="0.25">
      <c r="A552" s="53"/>
      <c r="C552" s="54"/>
      <c r="F552" s="449"/>
      <c r="H552" s="449"/>
      <c r="I552" s="449"/>
      <c r="J552" s="221"/>
      <c r="K552" s="221"/>
      <c r="L552" s="379"/>
      <c r="M552" s="379"/>
      <c r="N552" s="50"/>
      <c r="O552" s="50"/>
      <c r="P552" s="379"/>
      <c r="Q552" s="379"/>
      <c r="R552" s="379"/>
      <c r="T552" s="54"/>
      <c r="V552" s="379"/>
      <c r="W552" s="379"/>
      <c r="X552" s="379"/>
      <c r="Y552" s="379"/>
      <c r="Z552" s="221"/>
      <c r="AA552" s="379"/>
      <c r="AB552" s="379"/>
      <c r="AC552" s="50"/>
      <c r="AD552" s="50"/>
      <c r="AE552" s="379"/>
      <c r="AF552" s="379"/>
      <c r="AG552" s="156"/>
      <c r="AH552" s="60"/>
      <c r="AI552" s="379"/>
      <c r="AJ552" s="379"/>
      <c r="AK552" s="156"/>
      <c r="AL552" s="379"/>
      <c r="AM552" s="50"/>
      <c r="AN552" s="50"/>
    </row>
    <row r="553" spans="1:40" x14ac:dyDescent="0.25">
      <c r="A553" s="53"/>
      <c r="C553" s="54"/>
      <c r="F553" s="449"/>
      <c r="H553" s="449"/>
      <c r="I553" s="449"/>
      <c r="J553" s="221"/>
      <c r="K553" s="221"/>
      <c r="L553" s="379"/>
      <c r="M553" s="379"/>
      <c r="N553" s="50"/>
      <c r="O553" s="50"/>
      <c r="P553" s="379"/>
      <c r="Q553" s="379"/>
      <c r="R553" s="379"/>
      <c r="T553" s="54"/>
      <c r="V553" s="379"/>
      <c r="W553" s="379"/>
      <c r="X553" s="379"/>
      <c r="Y553" s="379"/>
      <c r="Z553" s="221"/>
      <c r="AA553" s="379"/>
      <c r="AB553" s="379"/>
      <c r="AC553" s="50"/>
      <c r="AD553" s="50"/>
      <c r="AE553" s="379"/>
      <c r="AF553" s="379"/>
      <c r="AG553" s="156"/>
      <c r="AH553" s="60"/>
      <c r="AI553" s="379"/>
      <c r="AJ553" s="379"/>
      <c r="AK553" s="156"/>
      <c r="AL553" s="379"/>
      <c r="AM553" s="50"/>
      <c r="AN553" s="50"/>
    </row>
    <row r="554" spans="1:40" x14ac:dyDescent="0.25">
      <c r="J554" s="65"/>
      <c r="K554" s="65"/>
      <c r="V554" s="379"/>
      <c r="W554" s="379"/>
      <c r="X554" s="379"/>
      <c r="Y554" s="379"/>
      <c r="Z554" s="221"/>
    </row>
    <row r="555" spans="1:40" x14ac:dyDescent="0.25">
      <c r="A555" s="53"/>
      <c r="C555" s="54"/>
      <c r="F555" s="449"/>
      <c r="H555" s="449"/>
      <c r="I555" s="449"/>
      <c r="J555" s="221"/>
      <c r="K555" s="221"/>
      <c r="L555" s="379"/>
      <c r="M555" s="379"/>
      <c r="N555" s="50"/>
      <c r="O555" s="50"/>
      <c r="P555" s="379"/>
      <c r="Q555" s="379"/>
      <c r="R555" s="379"/>
      <c r="T555" s="54"/>
      <c r="V555" s="379"/>
      <c r="W555" s="379"/>
      <c r="X555" s="379"/>
      <c r="Y555" s="379"/>
      <c r="Z555" s="221"/>
      <c r="AA555" s="379"/>
      <c r="AB555" s="379"/>
      <c r="AC555" s="50"/>
      <c r="AD555" s="50"/>
      <c r="AE555" s="379"/>
      <c r="AF555" s="379"/>
      <c r="AG555" s="156"/>
      <c r="AH555" s="60"/>
      <c r="AI555" s="379"/>
      <c r="AJ555" s="379"/>
      <c r="AK555" s="156"/>
      <c r="AL555" s="379"/>
      <c r="AM555" s="60"/>
      <c r="AN555" s="60"/>
    </row>
    <row r="556" spans="1:40" x14ac:dyDescent="0.25">
      <c r="A556" s="53"/>
      <c r="C556" s="54"/>
      <c r="J556" s="65"/>
      <c r="K556" s="65"/>
      <c r="T556" s="54"/>
      <c r="V556" s="379"/>
      <c r="W556" s="379"/>
      <c r="X556" s="379"/>
      <c r="Y556" s="379"/>
      <c r="Z556" s="221"/>
    </row>
    <row r="557" spans="1:40" x14ac:dyDescent="0.25">
      <c r="A557" s="53"/>
      <c r="C557" s="54"/>
      <c r="F557" s="449"/>
      <c r="H557" s="449"/>
      <c r="I557" s="449"/>
      <c r="J557" s="221"/>
      <c r="K557" s="221"/>
      <c r="L557" s="379"/>
      <c r="M557" s="379"/>
      <c r="N557" s="50"/>
      <c r="O557" s="50"/>
      <c r="P557" s="379"/>
      <c r="Q557" s="379"/>
      <c r="R557" s="379"/>
      <c r="T557" s="54"/>
      <c r="V557" s="379"/>
      <c r="W557" s="379"/>
      <c r="X557" s="379"/>
      <c r="Y557" s="379"/>
      <c r="Z557" s="221"/>
      <c r="AA557" s="379"/>
      <c r="AB557" s="379"/>
      <c r="AC557" s="50"/>
      <c r="AD557" s="50"/>
      <c r="AE557" s="379"/>
      <c r="AF557" s="379"/>
      <c r="AG557" s="156"/>
      <c r="AH557" s="60"/>
      <c r="AI557" s="379"/>
      <c r="AJ557" s="379"/>
      <c r="AK557" s="156"/>
      <c r="AL557" s="379"/>
      <c r="AM557" s="60"/>
      <c r="AN557" s="60"/>
    </row>
    <row r="558" spans="1:40" x14ac:dyDescent="0.25">
      <c r="J558" s="65"/>
      <c r="K558" s="65"/>
      <c r="Z558" s="65"/>
    </row>
    <row r="559" spans="1:40" x14ac:dyDescent="0.25">
      <c r="A559" s="53"/>
      <c r="C559" s="54"/>
      <c r="J559" s="65"/>
      <c r="K559" s="65"/>
      <c r="T559" s="54"/>
      <c r="V559" s="379"/>
      <c r="W559" s="379"/>
      <c r="X559" s="379"/>
      <c r="Y559" s="379"/>
      <c r="Z559" s="221"/>
    </row>
    <row r="560" spans="1:40" x14ac:dyDescent="0.25">
      <c r="A560" s="53"/>
      <c r="C560" s="54"/>
      <c r="F560" s="449"/>
      <c r="H560" s="449"/>
      <c r="I560" s="449"/>
      <c r="J560" s="221"/>
      <c r="K560" s="221"/>
      <c r="L560" s="379"/>
      <c r="M560" s="379"/>
      <c r="N560" s="50"/>
      <c r="O560" s="50"/>
      <c r="P560" s="379"/>
      <c r="Q560" s="379"/>
      <c r="R560" s="379"/>
      <c r="T560" s="54"/>
      <c r="V560" s="379"/>
      <c r="W560" s="379"/>
      <c r="X560" s="379"/>
      <c r="Y560" s="379"/>
      <c r="Z560" s="221"/>
      <c r="AA560" s="379"/>
      <c r="AB560" s="379"/>
      <c r="AC560" s="50"/>
      <c r="AD560" s="50"/>
      <c r="AE560" s="379"/>
      <c r="AF560" s="379"/>
      <c r="AG560" s="156"/>
      <c r="AH560" s="60"/>
      <c r="AI560" s="379"/>
      <c r="AJ560" s="379"/>
      <c r="AK560" s="156"/>
      <c r="AL560" s="379"/>
      <c r="AM560" s="60"/>
      <c r="AN560" s="60"/>
    </row>
    <row r="561" spans="1:40" x14ac:dyDescent="0.25">
      <c r="A561" s="53"/>
      <c r="C561" s="54"/>
      <c r="F561" s="449"/>
      <c r="H561" s="449"/>
      <c r="I561" s="449"/>
      <c r="J561" s="221"/>
      <c r="K561" s="221"/>
      <c r="L561" s="379"/>
      <c r="M561" s="379"/>
      <c r="N561" s="50"/>
      <c r="O561" s="50"/>
      <c r="P561" s="379"/>
      <c r="Q561" s="379"/>
      <c r="R561" s="379"/>
      <c r="T561" s="54"/>
      <c r="V561" s="379"/>
      <c r="W561" s="379"/>
      <c r="X561" s="379"/>
      <c r="Y561" s="379"/>
      <c r="Z561" s="221"/>
      <c r="AA561" s="379"/>
      <c r="AB561" s="379"/>
      <c r="AC561" s="50"/>
      <c r="AD561" s="50"/>
      <c r="AE561" s="379"/>
      <c r="AF561" s="379"/>
      <c r="AG561" s="156"/>
      <c r="AH561" s="60"/>
      <c r="AI561" s="379"/>
      <c r="AJ561" s="379"/>
      <c r="AK561" s="156"/>
      <c r="AL561" s="379"/>
      <c r="AM561" s="60"/>
      <c r="AN561" s="60"/>
    </row>
    <row r="562" spans="1:40" x14ac:dyDescent="0.25">
      <c r="F562" s="381"/>
      <c r="H562" s="381"/>
      <c r="I562" s="381"/>
      <c r="J562" s="221"/>
      <c r="K562" s="221"/>
      <c r="L562" s="381"/>
      <c r="M562" s="381"/>
      <c r="N562" s="381"/>
      <c r="O562" s="381"/>
      <c r="P562" s="381"/>
      <c r="Q562" s="381"/>
      <c r="R562" s="381"/>
      <c r="V562" s="381"/>
      <c r="Y562" s="381"/>
      <c r="Z562" s="464"/>
      <c r="AA562" s="381"/>
      <c r="AB562" s="381"/>
      <c r="AC562" s="381"/>
      <c r="AD562" s="381"/>
      <c r="AE562" s="381"/>
      <c r="AF562" s="381"/>
      <c r="AI562" s="381"/>
      <c r="AJ562" s="381"/>
      <c r="AK562" s="162"/>
      <c r="AL562" s="381"/>
    </row>
    <row r="563" spans="1:40" x14ac:dyDescent="0.25">
      <c r="A563" s="53"/>
      <c r="C563" s="54"/>
      <c r="F563" s="379"/>
      <c r="H563" s="379"/>
      <c r="I563" s="379"/>
      <c r="L563" s="379"/>
      <c r="M563" s="379"/>
      <c r="N563" s="50"/>
      <c r="O563" s="50"/>
      <c r="P563" s="449"/>
      <c r="Q563" s="449"/>
      <c r="R563" s="379"/>
      <c r="T563" s="54"/>
      <c r="V563" s="379"/>
      <c r="W563" s="379"/>
      <c r="X563" s="379"/>
      <c r="Y563" s="379"/>
      <c r="Z563" s="477"/>
      <c r="AA563" s="379"/>
      <c r="AB563" s="379"/>
      <c r="AC563" s="50"/>
      <c r="AD563" s="50"/>
      <c r="AE563" s="379"/>
      <c r="AF563" s="379"/>
      <c r="AG563" s="156"/>
      <c r="AH563" s="60"/>
      <c r="AI563" s="449"/>
      <c r="AJ563" s="449"/>
      <c r="AK563" s="156"/>
      <c r="AL563" s="379"/>
      <c r="AM563" s="60"/>
      <c r="AN563" s="60"/>
    </row>
    <row r="564" spans="1:40" x14ac:dyDescent="0.25">
      <c r="F564" s="381"/>
      <c r="H564" s="381"/>
      <c r="I564" s="381"/>
      <c r="J564" s="464"/>
      <c r="K564" s="464"/>
      <c r="L564" s="381"/>
      <c r="M564" s="381"/>
      <c r="N564" s="381"/>
      <c r="O564" s="381"/>
      <c r="P564" s="381"/>
      <c r="Q564" s="381"/>
      <c r="R564" s="381"/>
      <c r="V564" s="381"/>
      <c r="Y564" s="381"/>
      <c r="Z564" s="464"/>
      <c r="AA564" s="381"/>
      <c r="AB564" s="381"/>
      <c r="AC564" s="381"/>
      <c r="AD564" s="381"/>
      <c r="AE564" s="381"/>
      <c r="AF564" s="381"/>
      <c r="AI564" s="381"/>
      <c r="AJ564" s="381"/>
      <c r="AK564" s="162"/>
      <c r="AL564" s="381"/>
    </row>
    <row r="566" spans="1:40" x14ac:dyDescent="0.25">
      <c r="C566" s="53"/>
      <c r="T566" s="53"/>
    </row>
    <row r="567" spans="1:40" x14ac:dyDescent="0.25">
      <c r="A567" s="54"/>
    </row>
    <row r="568" spans="1:40" x14ac:dyDescent="0.25">
      <c r="J568" s="53"/>
      <c r="K568" s="53"/>
      <c r="Z568" s="53"/>
    </row>
    <row r="569" spans="1:40" x14ac:dyDescent="0.25">
      <c r="H569" s="54"/>
      <c r="I569" s="54"/>
      <c r="Y569" s="54"/>
    </row>
    <row r="570" spans="1:40" x14ac:dyDescent="0.25">
      <c r="J570" s="53"/>
      <c r="K570" s="53"/>
      <c r="Z570" s="53"/>
    </row>
    <row r="571" spans="1:40" x14ac:dyDescent="0.25">
      <c r="L571" s="54"/>
      <c r="M571" s="54"/>
      <c r="AA571" s="54"/>
      <c r="AB571" s="54"/>
    </row>
    <row r="572" spans="1:40" x14ac:dyDescent="0.25">
      <c r="A572" s="53"/>
      <c r="R572" s="54"/>
      <c r="AK572" s="161"/>
      <c r="AL572" s="54"/>
    </row>
    <row r="573" spans="1:40" x14ac:dyDescent="0.25">
      <c r="A573" s="53"/>
      <c r="R573" s="54"/>
      <c r="AK573" s="161"/>
      <c r="AL573" s="54"/>
    </row>
    <row r="574" spans="1:40" x14ac:dyDescent="0.25">
      <c r="A574" s="54"/>
      <c r="R574" s="54"/>
      <c r="AK574" s="161"/>
      <c r="AL574" s="54"/>
    </row>
    <row r="575" spans="1:40" x14ac:dyDescent="0.25">
      <c r="L575" s="54"/>
      <c r="M575" s="54"/>
      <c r="R575" s="53"/>
      <c r="AA575" s="54"/>
      <c r="AB575" s="54"/>
      <c r="AK575" s="156"/>
      <c r="AL575" s="53"/>
    </row>
    <row r="576" spans="1:40" x14ac:dyDescent="0.25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154"/>
      <c r="AH576" s="55"/>
      <c r="AI576" s="55"/>
      <c r="AJ576" s="55"/>
      <c r="AK576" s="154"/>
      <c r="AL576" s="55"/>
      <c r="AM576" s="55"/>
      <c r="AN576" s="55"/>
    </row>
    <row r="577" spans="1:40" x14ac:dyDescent="0.25">
      <c r="L577" s="56"/>
      <c r="M577" s="56"/>
      <c r="N577" s="56"/>
      <c r="O577" s="56"/>
      <c r="R577" s="56"/>
      <c r="AA577" s="56"/>
      <c r="AB577" s="56"/>
      <c r="AC577" s="56"/>
      <c r="AD577" s="56"/>
      <c r="AE577" s="56"/>
      <c r="AF577" s="56"/>
      <c r="AG577" s="155"/>
      <c r="AH577" s="56"/>
      <c r="AK577" s="155"/>
      <c r="AL577" s="56"/>
      <c r="AM577" s="56"/>
      <c r="AN577" s="56"/>
    </row>
    <row r="578" spans="1:40" x14ac:dyDescent="0.25">
      <c r="L578" s="56"/>
      <c r="M578" s="56"/>
      <c r="N578" s="56"/>
      <c r="O578" s="56"/>
      <c r="R578" s="56"/>
      <c r="Z578" s="56"/>
      <c r="AA578" s="56"/>
      <c r="AB578" s="56"/>
      <c r="AC578" s="56"/>
      <c r="AD578" s="56"/>
      <c r="AE578" s="56"/>
      <c r="AF578" s="56"/>
      <c r="AG578" s="155"/>
      <c r="AH578" s="56"/>
      <c r="AK578" s="155"/>
      <c r="AL578" s="56"/>
      <c r="AM578" s="56"/>
      <c r="AN578" s="56"/>
    </row>
    <row r="579" spans="1:40" x14ac:dyDescent="0.25">
      <c r="A579" s="56"/>
      <c r="C579" s="56"/>
      <c r="D579" s="56"/>
      <c r="E579" s="56"/>
      <c r="F579" s="56"/>
      <c r="J579" s="56"/>
      <c r="K579" s="56"/>
      <c r="L579" s="56"/>
      <c r="M579" s="56"/>
      <c r="N579" s="56"/>
      <c r="O579" s="56"/>
      <c r="P579" s="56"/>
      <c r="Q579" s="56"/>
      <c r="R579" s="56"/>
      <c r="T579" s="56"/>
      <c r="U579" s="56"/>
      <c r="V579" s="56"/>
      <c r="Z579" s="56"/>
      <c r="AA579" s="56"/>
      <c r="AB579" s="56"/>
      <c r="AC579" s="56"/>
      <c r="AD579" s="56"/>
      <c r="AE579" s="56"/>
      <c r="AF579" s="56"/>
      <c r="AG579" s="155"/>
      <c r="AH579" s="56"/>
      <c r="AI579" s="56"/>
      <c r="AJ579" s="56"/>
      <c r="AK579" s="155"/>
      <c r="AL579" s="56"/>
      <c r="AM579" s="56"/>
      <c r="AN579" s="56"/>
    </row>
    <row r="580" spans="1:40" x14ac:dyDescent="0.25">
      <c r="A580" s="56"/>
      <c r="C580" s="56"/>
      <c r="D580" s="56"/>
      <c r="E580" s="56"/>
      <c r="F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T580" s="56"/>
      <c r="U580" s="56"/>
      <c r="V580" s="56"/>
      <c r="Y580" s="56"/>
      <c r="Z580" s="56"/>
      <c r="AA580" s="56"/>
      <c r="AB580" s="56"/>
      <c r="AC580" s="56"/>
      <c r="AD580" s="56"/>
      <c r="AE580" s="56"/>
      <c r="AF580" s="56"/>
      <c r="AG580" s="155"/>
      <c r="AH580" s="56"/>
      <c r="AI580" s="56"/>
      <c r="AJ580" s="56"/>
      <c r="AK580" s="155"/>
      <c r="AL580" s="56"/>
      <c r="AM580" s="56"/>
      <c r="AN580" s="56"/>
    </row>
    <row r="581" spans="1:40" x14ac:dyDescent="0.25">
      <c r="C581" s="56"/>
      <c r="D581" s="56"/>
      <c r="E581" s="56"/>
      <c r="F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T581" s="56"/>
      <c r="U581" s="56"/>
      <c r="V581" s="56"/>
      <c r="Y581" s="56"/>
      <c r="Z581" s="56"/>
      <c r="AA581" s="56"/>
      <c r="AB581" s="56"/>
      <c r="AC581" s="56"/>
      <c r="AD581" s="56"/>
      <c r="AE581" s="56"/>
      <c r="AF581" s="56"/>
      <c r="AG581" s="155"/>
      <c r="AH581" s="56"/>
      <c r="AI581" s="56"/>
      <c r="AJ581" s="56"/>
      <c r="AK581" s="155"/>
      <c r="AL581" s="56"/>
      <c r="AM581" s="56"/>
      <c r="AN581" s="56"/>
    </row>
    <row r="582" spans="1:40" x14ac:dyDescent="0.25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154"/>
      <c r="AH582" s="55"/>
      <c r="AI582" s="55"/>
      <c r="AJ582" s="55"/>
      <c r="AK582" s="154"/>
      <c r="AL582" s="55"/>
      <c r="AM582" s="55"/>
      <c r="AN582" s="55"/>
    </row>
    <row r="583" spans="1:40" x14ac:dyDescent="0.25"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Y583" s="56"/>
      <c r="Z583" s="56"/>
      <c r="AA583" s="56"/>
      <c r="AB583" s="56"/>
      <c r="AC583" s="56"/>
      <c r="AD583" s="56"/>
      <c r="AE583" s="56"/>
      <c r="AF583" s="56"/>
      <c r="AG583" s="155"/>
      <c r="AH583" s="56"/>
      <c r="AI583" s="56"/>
      <c r="AJ583" s="56"/>
      <c r="AK583" s="155"/>
      <c r="AL583" s="56"/>
      <c r="AM583" s="56"/>
      <c r="AN583" s="56"/>
    </row>
    <row r="584" spans="1:40" x14ac:dyDescent="0.25">
      <c r="A584" s="53"/>
      <c r="C584" s="54"/>
      <c r="D584" s="54"/>
      <c r="E584" s="54"/>
      <c r="T584" s="54"/>
      <c r="U584" s="54"/>
    </row>
    <row r="586" spans="1:40" x14ac:dyDescent="0.25">
      <c r="A586" s="53"/>
      <c r="C586" s="54"/>
      <c r="T586" s="54"/>
    </row>
    <row r="587" spans="1:40" x14ac:dyDescent="0.25">
      <c r="A587" s="53"/>
      <c r="C587" s="54"/>
      <c r="T587" s="54"/>
    </row>
    <row r="588" spans="1:40" x14ac:dyDescent="0.25">
      <c r="A588" s="53"/>
      <c r="C588" s="54"/>
      <c r="F588" s="449"/>
      <c r="H588" s="449"/>
      <c r="I588" s="449"/>
      <c r="J588" s="221"/>
      <c r="K588" s="221"/>
      <c r="L588" s="379"/>
      <c r="M588" s="379"/>
      <c r="N588" s="50"/>
      <c r="O588" s="50"/>
      <c r="P588" s="379"/>
      <c r="Q588" s="379"/>
      <c r="R588" s="379"/>
      <c r="T588" s="54"/>
      <c r="V588" s="379"/>
      <c r="W588" s="379"/>
      <c r="X588" s="379"/>
      <c r="Y588" s="379"/>
      <c r="Z588" s="221"/>
      <c r="AA588" s="379"/>
      <c r="AB588" s="379"/>
      <c r="AC588" s="50"/>
      <c r="AD588" s="50"/>
      <c r="AE588" s="379"/>
      <c r="AF588" s="379"/>
      <c r="AG588" s="156"/>
      <c r="AH588" s="60"/>
      <c r="AI588" s="379"/>
      <c r="AJ588" s="379"/>
      <c r="AK588" s="156"/>
      <c r="AL588" s="379"/>
      <c r="AM588" s="60"/>
      <c r="AN588" s="60"/>
    </row>
    <row r="589" spans="1:40" x14ac:dyDescent="0.25">
      <c r="A589" s="53"/>
      <c r="C589" s="54"/>
      <c r="F589" s="379"/>
      <c r="H589" s="379"/>
      <c r="I589" s="379"/>
      <c r="J589" s="65"/>
      <c r="K589" s="65"/>
      <c r="L589" s="379"/>
      <c r="M589" s="379"/>
      <c r="N589" s="50"/>
      <c r="O589" s="50"/>
      <c r="P589" s="379"/>
      <c r="Q589" s="379"/>
      <c r="R589" s="379"/>
      <c r="T589" s="54"/>
      <c r="V589" s="379"/>
      <c r="W589" s="379"/>
      <c r="X589" s="379"/>
      <c r="Y589" s="379"/>
      <c r="Z589" s="65"/>
      <c r="AA589" s="379"/>
      <c r="AB589" s="379"/>
      <c r="AC589" s="50"/>
      <c r="AD589" s="50"/>
      <c r="AE589" s="379"/>
      <c r="AF589" s="379"/>
      <c r="AG589" s="156"/>
      <c r="AH589" s="60"/>
      <c r="AI589" s="379"/>
      <c r="AJ589" s="379"/>
      <c r="AK589" s="156"/>
      <c r="AL589" s="379"/>
      <c r="AM589" s="60"/>
      <c r="AN589" s="60"/>
    </row>
    <row r="590" spans="1:40" x14ac:dyDescent="0.25">
      <c r="A590" s="53"/>
      <c r="C590" s="54"/>
      <c r="F590" s="379"/>
      <c r="H590" s="379"/>
      <c r="I590" s="379"/>
      <c r="J590" s="65"/>
      <c r="K590" s="65"/>
      <c r="L590" s="379"/>
      <c r="M590" s="379"/>
      <c r="N590" s="50"/>
      <c r="O590" s="50"/>
      <c r="P590" s="379"/>
      <c r="Q590" s="379"/>
      <c r="R590" s="379"/>
      <c r="T590" s="54"/>
      <c r="V590" s="379"/>
      <c r="W590" s="379"/>
      <c r="X590" s="379"/>
      <c r="Y590" s="379"/>
      <c r="Z590" s="65"/>
      <c r="AA590" s="379"/>
      <c r="AB590" s="379"/>
      <c r="AC590" s="50"/>
      <c r="AD590" s="50"/>
      <c r="AE590" s="379"/>
      <c r="AF590" s="379"/>
      <c r="AG590" s="156"/>
      <c r="AH590" s="60"/>
      <c r="AI590" s="379"/>
      <c r="AJ590" s="379"/>
      <c r="AK590" s="156"/>
      <c r="AL590" s="379"/>
      <c r="AM590" s="60"/>
      <c r="AN590" s="60"/>
    </row>
    <row r="591" spans="1:40" x14ac:dyDescent="0.25">
      <c r="A591" s="53"/>
      <c r="C591" s="54"/>
      <c r="F591" s="379"/>
      <c r="H591" s="379"/>
      <c r="I591" s="379"/>
      <c r="J591" s="65"/>
      <c r="K591" s="65"/>
      <c r="T591" s="54"/>
      <c r="V591" s="379"/>
      <c r="Z591" s="65"/>
    </row>
    <row r="592" spans="1:40" x14ac:dyDescent="0.25">
      <c r="A592" s="53"/>
      <c r="C592" s="54"/>
      <c r="F592" s="449"/>
      <c r="H592" s="449"/>
      <c r="I592" s="449"/>
      <c r="J592" s="221"/>
      <c r="K592" s="221"/>
      <c r="L592" s="379"/>
      <c r="M592" s="379"/>
      <c r="N592" s="50"/>
      <c r="O592" s="50"/>
      <c r="P592" s="379"/>
      <c r="Q592" s="379"/>
      <c r="R592" s="379"/>
      <c r="T592" s="54"/>
      <c r="V592" s="379"/>
      <c r="W592" s="379"/>
      <c r="X592" s="379"/>
      <c r="Y592" s="379"/>
      <c r="Z592" s="221"/>
      <c r="AA592" s="379"/>
      <c r="AB592" s="379"/>
      <c r="AC592" s="50"/>
      <c r="AD592" s="50"/>
      <c r="AE592" s="379"/>
      <c r="AF592" s="379"/>
      <c r="AG592" s="156"/>
      <c r="AH592" s="60"/>
      <c r="AI592" s="379"/>
      <c r="AJ592" s="379"/>
      <c r="AK592" s="156"/>
      <c r="AL592" s="379"/>
      <c r="AM592" s="60"/>
      <c r="AN592" s="60"/>
    </row>
    <row r="593" spans="1:40" x14ac:dyDescent="0.25">
      <c r="A593" s="53"/>
      <c r="C593" s="54"/>
      <c r="F593" s="379"/>
      <c r="H593" s="379"/>
      <c r="I593" s="379"/>
      <c r="J593" s="65"/>
      <c r="K593" s="65"/>
      <c r="T593" s="54"/>
      <c r="V593" s="379"/>
      <c r="W593" s="379"/>
      <c r="X593" s="379"/>
      <c r="Y593" s="379"/>
      <c r="Z593" s="65"/>
      <c r="AC593" s="50"/>
      <c r="AD593" s="50"/>
      <c r="AE593" s="379"/>
      <c r="AF593" s="379"/>
      <c r="AG593" s="156"/>
      <c r="AH593" s="60"/>
      <c r="AI593" s="379"/>
      <c r="AJ593" s="379"/>
      <c r="AK593" s="156"/>
      <c r="AL593" s="379"/>
      <c r="AM593" s="60"/>
      <c r="AN593" s="60"/>
    </row>
    <row r="594" spans="1:40" x14ac:dyDescent="0.25">
      <c r="A594" s="53"/>
      <c r="C594" s="54"/>
      <c r="F594" s="449"/>
      <c r="H594" s="449"/>
      <c r="I594" s="449"/>
      <c r="J594" s="221"/>
      <c r="K594" s="221"/>
      <c r="L594" s="379"/>
      <c r="M594" s="379"/>
      <c r="N594" s="50"/>
      <c r="O594" s="50"/>
      <c r="P594" s="379"/>
      <c r="Q594" s="379"/>
      <c r="R594" s="379"/>
      <c r="T594" s="54"/>
      <c r="V594" s="379"/>
      <c r="W594" s="379"/>
      <c r="X594" s="379"/>
      <c r="Y594" s="379"/>
      <c r="Z594" s="221"/>
      <c r="AA594" s="379"/>
      <c r="AB594" s="379"/>
      <c r="AC594" s="50"/>
      <c r="AD594" s="50"/>
      <c r="AE594" s="379"/>
      <c r="AF594" s="379"/>
      <c r="AG594" s="156"/>
      <c r="AH594" s="60"/>
      <c r="AI594" s="379"/>
      <c r="AJ594" s="379"/>
      <c r="AK594" s="156"/>
      <c r="AL594" s="379"/>
      <c r="AM594" s="60"/>
      <c r="AN594" s="60"/>
    </row>
    <row r="595" spans="1:40" x14ac:dyDescent="0.25">
      <c r="A595" s="53"/>
      <c r="C595" s="54"/>
      <c r="F595" s="379"/>
      <c r="H595" s="379"/>
      <c r="I595" s="379"/>
      <c r="J595" s="65"/>
      <c r="K595" s="65"/>
      <c r="L595" s="379"/>
      <c r="M595" s="379"/>
      <c r="N595" s="50"/>
      <c r="O595" s="50"/>
      <c r="P595" s="379"/>
      <c r="Q595" s="379"/>
      <c r="R595" s="379"/>
      <c r="T595" s="54"/>
      <c r="V595" s="379"/>
      <c r="W595" s="379"/>
      <c r="X595" s="379"/>
      <c r="Y595" s="379"/>
      <c r="Z595" s="65"/>
      <c r="AA595" s="379"/>
      <c r="AB595" s="379"/>
      <c r="AC595" s="50"/>
      <c r="AD595" s="50"/>
      <c r="AE595" s="379"/>
      <c r="AF595" s="379"/>
      <c r="AG595" s="156"/>
      <c r="AH595" s="60"/>
      <c r="AI595" s="379"/>
      <c r="AJ595" s="379"/>
      <c r="AK595" s="156"/>
      <c r="AL595" s="379"/>
      <c r="AM595" s="60"/>
      <c r="AN595" s="60"/>
    </row>
    <row r="596" spans="1:40" x14ac:dyDescent="0.25">
      <c r="F596" s="379"/>
      <c r="H596" s="379"/>
      <c r="I596" s="379"/>
      <c r="J596" s="65"/>
      <c r="K596" s="65"/>
      <c r="Z596" s="65"/>
    </row>
    <row r="597" spans="1:40" x14ac:dyDescent="0.25">
      <c r="A597" s="53"/>
      <c r="C597" s="54"/>
      <c r="F597" s="379"/>
      <c r="H597" s="449"/>
      <c r="I597" s="449"/>
      <c r="J597" s="221"/>
      <c r="K597" s="221"/>
      <c r="L597" s="379"/>
      <c r="M597" s="379"/>
      <c r="N597" s="50"/>
      <c r="O597" s="50"/>
      <c r="P597" s="379"/>
      <c r="Q597" s="379"/>
      <c r="R597" s="379"/>
      <c r="T597" s="54"/>
      <c r="V597" s="379"/>
      <c r="W597" s="379"/>
      <c r="X597" s="379"/>
      <c r="Y597" s="379"/>
      <c r="Z597" s="221"/>
      <c r="AA597" s="379"/>
      <c r="AB597" s="379"/>
      <c r="AC597" s="50"/>
      <c r="AD597" s="50"/>
      <c r="AE597" s="379"/>
      <c r="AF597" s="379"/>
      <c r="AG597" s="156"/>
      <c r="AH597" s="60"/>
      <c r="AI597" s="379"/>
      <c r="AJ597" s="379"/>
      <c r="AK597" s="156"/>
      <c r="AL597" s="379"/>
      <c r="AM597" s="60"/>
      <c r="AN597" s="60"/>
    </row>
    <row r="598" spans="1:40" x14ac:dyDescent="0.25">
      <c r="F598" s="381"/>
      <c r="H598" s="381"/>
      <c r="I598" s="381"/>
      <c r="J598" s="221"/>
      <c r="K598" s="221"/>
      <c r="L598" s="381"/>
      <c r="M598" s="381"/>
      <c r="N598" s="381"/>
      <c r="O598" s="381"/>
      <c r="P598" s="381"/>
      <c r="Q598" s="381"/>
      <c r="R598" s="381"/>
      <c r="V598" s="381"/>
      <c r="Y598" s="381"/>
      <c r="Z598" s="221"/>
      <c r="AA598" s="381"/>
      <c r="AB598" s="381"/>
      <c r="AC598" s="381"/>
      <c r="AD598" s="381"/>
      <c r="AE598" s="381"/>
      <c r="AF598" s="381"/>
      <c r="AI598" s="381"/>
      <c r="AJ598" s="381"/>
      <c r="AK598" s="162"/>
      <c r="AL598" s="381"/>
    </row>
    <row r="599" spans="1:40" x14ac:dyDescent="0.25">
      <c r="A599" s="53"/>
      <c r="C599" s="54"/>
      <c r="F599" s="379"/>
      <c r="H599" s="379"/>
      <c r="I599" s="379"/>
      <c r="J599" s="65"/>
      <c r="K599" s="65"/>
      <c r="L599" s="379"/>
      <c r="M599" s="379"/>
      <c r="N599" s="53"/>
      <c r="O599" s="53"/>
      <c r="P599" s="379"/>
      <c r="Q599" s="379"/>
      <c r="R599" s="379"/>
      <c r="T599" s="54"/>
      <c r="V599" s="379"/>
      <c r="Y599" s="379"/>
      <c r="Z599" s="65"/>
      <c r="AA599" s="379"/>
      <c r="AB599" s="379"/>
      <c r="AC599" s="60"/>
      <c r="AD599" s="60"/>
      <c r="AE599" s="379"/>
      <c r="AF599" s="379"/>
      <c r="AG599" s="156"/>
      <c r="AH599" s="60"/>
      <c r="AI599" s="379"/>
      <c r="AJ599" s="379"/>
      <c r="AK599" s="156"/>
      <c r="AL599" s="379"/>
      <c r="AM599" s="60"/>
      <c r="AN599" s="60"/>
    </row>
    <row r="600" spans="1:40" x14ac:dyDescent="0.25">
      <c r="F600" s="381"/>
      <c r="H600" s="381"/>
      <c r="I600" s="381"/>
      <c r="J600" s="221"/>
      <c r="K600" s="221"/>
      <c r="L600" s="381"/>
      <c r="M600" s="381"/>
      <c r="N600" s="381"/>
      <c r="O600" s="381"/>
      <c r="P600" s="381"/>
      <c r="Q600" s="381"/>
      <c r="R600" s="381"/>
      <c r="V600" s="381"/>
      <c r="Y600" s="381"/>
      <c r="Z600" s="221"/>
      <c r="AA600" s="381"/>
      <c r="AB600" s="381"/>
      <c r="AC600" s="381"/>
      <c r="AD600" s="381"/>
      <c r="AE600" s="381"/>
      <c r="AF600" s="381"/>
      <c r="AI600" s="381"/>
      <c r="AJ600" s="381"/>
      <c r="AK600" s="162"/>
      <c r="AL600" s="381"/>
    </row>
    <row r="601" spans="1:40" x14ac:dyDescent="0.25">
      <c r="J601" s="65"/>
      <c r="K601" s="65"/>
      <c r="Z601" s="65"/>
    </row>
    <row r="602" spans="1:40" x14ac:dyDescent="0.25">
      <c r="A602" s="53"/>
      <c r="C602" s="54"/>
      <c r="J602" s="65"/>
      <c r="K602" s="65"/>
      <c r="T602" s="54"/>
      <c r="Z602" s="65"/>
    </row>
    <row r="603" spans="1:40" x14ac:dyDescent="0.25">
      <c r="A603" s="53"/>
      <c r="C603" s="54"/>
      <c r="J603" s="65"/>
      <c r="K603" s="65"/>
      <c r="T603" s="54"/>
      <c r="Z603" s="65"/>
    </row>
    <row r="604" spans="1:40" x14ac:dyDescent="0.25">
      <c r="A604" s="53"/>
      <c r="C604" s="54"/>
      <c r="F604" s="449"/>
      <c r="H604" s="449"/>
      <c r="I604" s="449"/>
      <c r="J604" s="221"/>
      <c r="K604" s="221"/>
      <c r="L604" s="379"/>
      <c r="M604" s="379"/>
      <c r="N604" s="50"/>
      <c r="O604" s="50"/>
      <c r="P604" s="379"/>
      <c r="Q604" s="379"/>
      <c r="R604" s="379"/>
      <c r="T604" s="54"/>
      <c r="V604" s="379"/>
      <c r="W604" s="379"/>
      <c r="X604" s="379"/>
      <c r="Y604" s="379"/>
      <c r="Z604" s="221"/>
      <c r="AA604" s="379"/>
      <c r="AB604" s="379"/>
      <c r="AC604" s="50"/>
      <c r="AD604" s="50"/>
      <c r="AE604" s="379"/>
      <c r="AF604" s="379"/>
      <c r="AG604" s="156"/>
      <c r="AH604" s="60"/>
      <c r="AI604" s="379"/>
      <c r="AJ604" s="379"/>
      <c r="AK604" s="156"/>
      <c r="AL604" s="379"/>
      <c r="AM604" s="60"/>
      <c r="AN604" s="60"/>
    </row>
    <row r="605" spans="1:40" x14ac:dyDescent="0.25">
      <c r="A605" s="53"/>
      <c r="C605" s="54"/>
      <c r="J605" s="65"/>
      <c r="K605" s="65"/>
      <c r="T605" s="54"/>
      <c r="Z605" s="65"/>
    </row>
    <row r="606" spans="1:40" x14ac:dyDescent="0.25">
      <c r="A606" s="53"/>
      <c r="C606" s="54"/>
      <c r="F606" s="449"/>
      <c r="H606" s="449"/>
      <c r="I606" s="449"/>
      <c r="J606" s="221"/>
      <c r="K606" s="221"/>
      <c r="L606" s="379"/>
      <c r="M606" s="379"/>
      <c r="N606" s="50"/>
      <c r="O606" s="50"/>
      <c r="P606" s="379"/>
      <c r="Q606" s="379"/>
      <c r="R606" s="379"/>
      <c r="T606" s="54"/>
      <c r="V606" s="379"/>
      <c r="W606" s="379"/>
      <c r="X606" s="379"/>
      <c r="Y606" s="379"/>
      <c r="Z606" s="221"/>
      <c r="AA606" s="379"/>
      <c r="AB606" s="379"/>
      <c r="AC606" s="50"/>
      <c r="AD606" s="50"/>
      <c r="AE606" s="379"/>
      <c r="AF606" s="379"/>
      <c r="AG606" s="156"/>
      <c r="AH606" s="60"/>
      <c r="AI606" s="379"/>
      <c r="AJ606" s="379"/>
      <c r="AK606" s="156"/>
      <c r="AL606" s="379"/>
      <c r="AM606" s="60"/>
      <c r="AN606" s="60"/>
    </row>
    <row r="607" spans="1:40" x14ac:dyDescent="0.25">
      <c r="F607" s="381"/>
      <c r="H607" s="381"/>
      <c r="I607" s="381"/>
      <c r="J607" s="221"/>
      <c r="K607" s="221"/>
      <c r="L607" s="381"/>
      <c r="M607" s="381"/>
      <c r="N607" s="381"/>
      <c r="O607" s="381"/>
      <c r="P607" s="381"/>
      <c r="Q607" s="381"/>
      <c r="R607" s="381"/>
      <c r="V607" s="381"/>
      <c r="Y607" s="381"/>
      <c r="Z607" s="221"/>
      <c r="AA607" s="381"/>
      <c r="AB607" s="381"/>
      <c r="AC607" s="381"/>
      <c r="AD607" s="381"/>
      <c r="AE607" s="381"/>
      <c r="AF607" s="381"/>
      <c r="AI607" s="381"/>
      <c r="AJ607" s="381"/>
      <c r="AK607" s="162"/>
      <c r="AL607" s="381"/>
    </row>
    <row r="608" spans="1:40" x14ac:dyDescent="0.25">
      <c r="A608" s="53"/>
      <c r="C608" s="54"/>
      <c r="F608" s="379"/>
      <c r="H608" s="379"/>
      <c r="I608" s="379"/>
      <c r="J608" s="65"/>
      <c r="K608" s="65"/>
      <c r="L608" s="379"/>
      <c r="M608" s="379"/>
      <c r="N608" s="60"/>
      <c r="O608" s="60"/>
      <c r="P608" s="379"/>
      <c r="Q608" s="379"/>
      <c r="R608" s="379"/>
      <c r="T608" s="54"/>
      <c r="V608" s="379"/>
      <c r="Y608" s="379"/>
      <c r="Z608" s="65"/>
      <c r="AA608" s="379"/>
      <c r="AB608" s="379"/>
      <c r="AC608" s="60"/>
      <c r="AD608" s="60"/>
      <c r="AE608" s="379"/>
      <c r="AF608" s="379"/>
      <c r="AG608" s="156"/>
      <c r="AH608" s="60"/>
      <c r="AI608" s="379"/>
      <c r="AJ608" s="379"/>
      <c r="AK608" s="156"/>
      <c r="AL608" s="379"/>
      <c r="AM608" s="60"/>
      <c r="AN608" s="60"/>
    </row>
    <row r="609" spans="1:40" x14ac:dyDescent="0.25">
      <c r="F609" s="381"/>
      <c r="H609" s="381"/>
      <c r="I609" s="381"/>
      <c r="J609" s="221"/>
      <c r="K609" s="221"/>
      <c r="L609" s="381"/>
      <c r="M609" s="381"/>
      <c r="N609" s="381"/>
      <c r="O609" s="381"/>
      <c r="P609" s="381"/>
      <c r="Q609" s="381"/>
      <c r="R609" s="381"/>
      <c r="V609" s="381"/>
      <c r="Y609" s="381"/>
      <c r="Z609" s="464"/>
      <c r="AA609" s="381"/>
      <c r="AB609" s="381"/>
      <c r="AC609" s="381"/>
      <c r="AD609" s="381"/>
      <c r="AE609" s="381"/>
      <c r="AF609" s="381"/>
      <c r="AI609" s="381"/>
      <c r="AJ609" s="381"/>
      <c r="AK609" s="162"/>
      <c r="AL609" s="381"/>
    </row>
    <row r="610" spans="1:40" x14ac:dyDescent="0.25">
      <c r="J610" s="65"/>
      <c r="K610" s="65"/>
    </row>
    <row r="611" spans="1:40" x14ac:dyDescent="0.25">
      <c r="A611" s="53"/>
      <c r="C611" s="54"/>
      <c r="F611" s="379"/>
      <c r="H611" s="379"/>
      <c r="I611" s="379"/>
      <c r="J611" s="65"/>
      <c r="K611" s="65"/>
      <c r="L611" s="379"/>
      <c r="M611" s="379"/>
      <c r="N611" s="50"/>
      <c r="O611" s="50"/>
      <c r="P611" s="449"/>
      <c r="Q611" s="449"/>
      <c r="R611" s="379"/>
      <c r="T611" s="54"/>
      <c r="V611" s="379"/>
      <c r="Y611" s="379"/>
      <c r="AA611" s="379"/>
      <c r="AB611" s="379"/>
      <c r="AC611" s="60"/>
      <c r="AD611" s="60"/>
      <c r="AE611" s="379"/>
      <c r="AF611" s="379"/>
      <c r="AG611" s="156"/>
      <c r="AH611" s="60"/>
      <c r="AI611" s="449"/>
      <c r="AJ611" s="449"/>
      <c r="AK611" s="156"/>
      <c r="AL611" s="379"/>
      <c r="AM611" s="60"/>
      <c r="AN611" s="60"/>
    </row>
    <row r="612" spans="1:40" x14ac:dyDescent="0.25">
      <c r="F612" s="381"/>
      <c r="H612" s="381"/>
      <c r="I612" s="381"/>
      <c r="J612" s="221"/>
      <c r="K612" s="221"/>
      <c r="L612" s="381"/>
      <c r="M612" s="381"/>
      <c r="N612" s="381"/>
      <c r="O612" s="381"/>
      <c r="P612" s="381"/>
      <c r="Q612" s="381"/>
      <c r="R612" s="381"/>
      <c r="V612" s="381"/>
      <c r="Y612" s="381"/>
      <c r="Z612" s="464"/>
      <c r="AA612" s="381"/>
      <c r="AB612" s="381"/>
      <c r="AC612" s="381"/>
      <c r="AD612" s="381"/>
      <c r="AE612" s="381"/>
      <c r="AF612" s="381"/>
      <c r="AI612" s="381"/>
      <c r="AJ612" s="381"/>
      <c r="AK612" s="162"/>
      <c r="AL612" s="381"/>
    </row>
    <row r="614" spans="1:40" x14ac:dyDescent="0.25">
      <c r="C614" s="53"/>
      <c r="T614" s="53"/>
    </row>
    <row r="615" spans="1:40" x14ac:dyDescent="0.25">
      <c r="A615" s="54"/>
    </row>
    <row r="616" spans="1:40" x14ac:dyDescent="0.25">
      <c r="J616" s="53"/>
      <c r="K616" s="53"/>
      <c r="Z616" s="53"/>
    </row>
    <row r="617" spans="1:40" x14ac:dyDescent="0.25">
      <c r="H617" s="54"/>
      <c r="I617" s="54"/>
      <c r="Y617" s="54"/>
    </row>
    <row r="618" spans="1:40" x14ac:dyDescent="0.25">
      <c r="J618" s="53"/>
      <c r="K618" s="53"/>
      <c r="Z618" s="53"/>
    </row>
    <row r="619" spans="1:40" x14ac:dyDescent="0.25">
      <c r="L619" s="54"/>
      <c r="M619" s="54"/>
      <c r="AA619" s="54"/>
      <c r="AB619" s="54"/>
    </row>
    <row r="620" spans="1:40" x14ac:dyDescent="0.25">
      <c r="A620" s="53"/>
      <c r="R620" s="54"/>
      <c r="AK620" s="161"/>
      <c r="AL620" s="54"/>
    </row>
    <row r="621" spans="1:40" x14ac:dyDescent="0.25">
      <c r="A621" s="53"/>
      <c r="R621" s="54"/>
      <c r="AK621" s="161"/>
      <c r="AL621" s="54"/>
    </row>
    <row r="622" spans="1:40" x14ac:dyDescent="0.25">
      <c r="A622" s="54"/>
      <c r="R622" s="54"/>
      <c r="AK622" s="161"/>
      <c r="AL622" s="54"/>
    </row>
    <row r="623" spans="1:40" x14ac:dyDescent="0.25">
      <c r="L623" s="54"/>
      <c r="M623" s="54"/>
      <c r="R623" s="53"/>
      <c r="AA623" s="54"/>
      <c r="AB623" s="54"/>
      <c r="AK623" s="156"/>
      <c r="AL623" s="53"/>
    </row>
    <row r="624" spans="1:40" x14ac:dyDescent="0.25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154"/>
      <c r="AH624" s="55"/>
      <c r="AI624" s="55"/>
      <c r="AJ624" s="55"/>
      <c r="AK624" s="154"/>
      <c r="AL624" s="55"/>
      <c r="AM624" s="55"/>
      <c r="AN624" s="55"/>
    </row>
    <row r="625" spans="1:40" x14ac:dyDescent="0.25">
      <c r="L625" s="56"/>
      <c r="M625" s="56"/>
      <c r="N625" s="56"/>
      <c r="O625" s="56"/>
      <c r="R625" s="56"/>
      <c r="AA625" s="56"/>
      <c r="AB625" s="56"/>
      <c r="AC625" s="56"/>
      <c r="AD625" s="56"/>
      <c r="AE625" s="56"/>
      <c r="AF625" s="56"/>
      <c r="AG625" s="155"/>
      <c r="AH625" s="56"/>
      <c r="AK625" s="155"/>
      <c r="AL625" s="56"/>
      <c r="AM625" s="56"/>
      <c r="AN625" s="56"/>
    </row>
    <row r="626" spans="1:40" x14ac:dyDescent="0.25">
      <c r="L626" s="56"/>
      <c r="M626" s="56"/>
      <c r="N626" s="56"/>
      <c r="O626" s="56"/>
      <c r="R626" s="56"/>
      <c r="Z626" s="56"/>
      <c r="AA626" s="56"/>
      <c r="AB626" s="56"/>
      <c r="AC626" s="56"/>
      <c r="AD626" s="56"/>
      <c r="AE626" s="56"/>
      <c r="AF626" s="56"/>
      <c r="AG626" s="155"/>
      <c r="AH626" s="56"/>
      <c r="AK626" s="155"/>
      <c r="AL626" s="56"/>
      <c r="AM626" s="56"/>
      <c r="AN626" s="56"/>
    </row>
    <row r="627" spans="1:40" x14ac:dyDescent="0.25">
      <c r="A627" s="56"/>
      <c r="C627" s="56"/>
      <c r="D627" s="56"/>
      <c r="E627" s="56"/>
      <c r="F627" s="56"/>
      <c r="J627" s="56"/>
      <c r="K627" s="56"/>
      <c r="L627" s="56"/>
      <c r="M627" s="56"/>
      <c r="N627" s="56"/>
      <c r="O627" s="56"/>
      <c r="P627" s="56"/>
      <c r="Q627" s="56"/>
      <c r="R627" s="56"/>
      <c r="T627" s="56"/>
      <c r="U627" s="56"/>
      <c r="V627" s="56"/>
      <c r="Z627" s="56"/>
      <c r="AA627" s="56"/>
      <c r="AB627" s="56"/>
      <c r="AC627" s="56"/>
      <c r="AD627" s="56"/>
      <c r="AE627" s="56"/>
      <c r="AF627" s="56"/>
      <c r="AG627" s="155"/>
      <c r="AH627" s="56"/>
      <c r="AI627" s="56"/>
      <c r="AJ627" s="56"/>
      <c r="AK627" s="155"/>
      <c r="AL627" s="56"/>
      <c r="AM627" s="56"/>
      <c r="AN627" s="56"/>
    </row>
    <row r="628" spans="1:40" x14ac:dyDescent="0.25">
      <c r="A628" s="56"/>
      <c r="C628" s="56"/>
      <c r="D628" s="56"/>
      <c r="E628" s="56"/>
      <c r="F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T628" s="56"/>
      <c r="U628" s="56"/>
      <c r="V628" s="56"/>
      <c r="Y628" s="56"/>
      <c r="Z628" s="56"/>
      <c r="AA628" s="56"/>
      <c r="AB628" s="56"/>
      <c r="AC628" s="56"/>
      <c r="AD628" s="56"/>
      <c r="AE628" s="56"/>
      <c r="AF628" s="56"/>
      <c r="AG628" s="155"/>
      <c r="AH628" s="56"/>
      <c r="AI628" s="56"/>
      <c r="AJ628" s="56"/>
      <c r="AK628" s="155"/>
      <c r="AL628" s="56"/>
      <c r="AM628" s="56"/>
      <c r="AN628" s="56"/>
    </row>
    <row r="629" spans="1:40" x14ac:dyDescent="0.25">
      <c r="C629" s="56"/>
      <c r="D629" s="56"/>
      <c r="E629" s="56"/>
      <c r="F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T629" s="56"/>
      <c r="U629" s="56"/>
      <c r="V629" s="56"/>
      <c r="Y629" s="56"/>
      <c r="Z629" s="56"/>
      <c r="AA629" s="56"/>
      <c r="AB629" s="56"/>
      <c r="AC629" s="56"/>
      <c r="AD629" s="56"/>
      <c r="AE629" s="56"/>
      <c r="AF629" s="56"/>
      <c r="AG629" s="155"/>
      <c r="AH629" s="56"/>
      <c r="AI629" s="56"/>
      <c r="AJ629" s="56"/>
      <c r="AK629" s="155"/>
      <c r="AL629" s="56"/>
      <c r="AM629" s="56"/>
      <c r="AN629" s="56"/>
    </row>
    <row r="630" spans="1:40" x14ac:dyDescent="0.25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154"/>
      <c r="AH630" s="55"/>
      <c r="AI630" s="55"/>
      <c r="AJ630" s="55"/>
      <c r="AK630" s="154"/>
      <c r="AL630" s="55"/>
      <c r="AM630" s="55"/>
      <c r="AN630" s="55"/>
    </row>
    <row r="631" spans="1:40" x14ac:dyDescent="0.25"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Y631" s="56"/>
      <c r="Z631" s="56"/>
      <c r="AA631" s="56"/>
      <c r="AB631" s="56"/>
      <c r="AC631" s="56"/>
      <c r="AD631" s="56"/>
      <c r="AE631" s="56"/>
      <c r="AF631" s="56"/>
      <c r="AG631" s="155"/>
      <c r="AH631" s="56"/>
      <c r="AI631" s="56"/>
      <c r="AJ631" s="56"/>
      <c r="AK631" s="155"/>
      <c r="AL631" s="56"/>
      <c r="AM631" s="56"/>
      <c r="AN631" s="56"/>
    </row>
    <row r="632" spans="1:40" x14ac:dyDescent="0.25">
      <c r="A632" s="53"/>
      <c r="C632" s="54"/>
      <c r="D632" s="54"/>
      <c r="E632" s="54"/>
      <c r="T632" s="54"/>
      <c r="U632" s="54"/>
    </row>
    <row r="634" spans="1:40" x14ac:dyDescent="0.25">
      <c r="A634" s="53"/>
      <c r="C634" s="54"/>
      <c r="D634" s="54"/>
      <c r="E634" s="54"/>
      <c r="T634" s="54"/>
      <c r="U634" s="54"/>
    </row>
    <row r="635" spans="1:40" x14ac:dyDescent="0.25">
      <c r="A635" s="53"/>
      <c r="C635" s="54"/>
      <c r="T635" s="54"/>
    </row>
    <row r="636" spans="1:40" x14ac:dyDescent="0.25">
      <c r="A636" s="53"/>
      <c r="C636" s="54"/>
      <c r="T636" s="54"/>
    </row>
    <row r="637" spans="1:40" x14ac:dyDescent="0.25">
      <c r="A637" s="53"/>
      <c r="C637" s="54"/>
      <c r="F637" s="449"/>
      <c r="H637" s="449"/>
      <c r="I637" s="449"/>
      <c r="J637" s="221"/>
      <c r="K637" s="221"/>
      <c r="L637" s="379"/>
      <c r="M637" s="379"/>
      <c r="N637" s="50"/>
      <c r="O637" s="50"/>
      <c r="P637" s="379"/>
      <c r="Q637" s="379"/>
      <c r="R637" s="379"/>
      <c r="T637" s="54"/>
      <c r="V637" s="379"/>
      <c r="W637" s="379"/>
      <c r="X637" s="379"/>
      <c r="Y637" s="379"/>
      <c r="Z637" s="221"/>
      <c r="AA637" s="379"/>
      <c r="AB637" s="379"/>
      <c r="AC637" s="50"/>
      <c r="AD637" s="50"/>
      <c r="AE637" s="379"/>
      <c r="AF637" s="379"/>
      <c r="AG637" s="156"/>
      <c r="AH637" s="60"/>
      <c r="AI637" s="379"/>
      <c r="AJ637" s="379"/>
      <c r="AK637" s="156"/>
      <c r="AL637" s="379"/>
      <c r="AM637" s="50"/>
      <c r="AN637" s="50"/>
    </row>
    <row r="638" spans="1:40" x14ac:dyDescent="0.25">
      <c r="A638" s="53"/>
      <c r="C638" s="54"/>
      <c r="J638" s="65"/>
      <c r="K638" s="65"/>
      <c r="T638" s="54"/>
      <c r="V638" s="379"/>
      <c r="W638" s="379"/>
      <c r="X638" s="379"/>
      <c r="Y638" s="379"/>
      <c r="Z638" s="221"/>
    </row>
    <row r="639" spans="1:40" x14ac:dyDescent="0.25">
      <c r="A639" s="53"/>
      <c r="C639" s="54"/>
      <c r="F639" s="449"/>
      <c r="H639" s="449"/>
      <c r="I639" s="449"/>
      <c r="J639" s="221"/>
      <c r="K639" s="221"/>
      <c r="L639" s="379"/>
      <c r="M639" s="379"/>
      <c r="N639" s="50"/>
      <c r="O639" s="50"/>
      <c r="P639" s="379"/>
      <c r="Q639" s="379"/>
      <c r="R639" s="379"/>
      <c r="T639" s="54"/>
      <c r="V639" s="379"/>
      <c r="W639" s="379"/>
      <c r="X639" s="379"/>
      <c r="Y639" s="379"/>
      <c r="Z639" s="221"/>
      <c r="AA639" s="379"/>
      <c r="AB639" s="379"/>
      <c r="AC639" s="50"/>
      <c r="AD639" s="50"/>
      <c r="AE639" s="379"/>
      <c r="AF639" s="379"/>
      <c r="AG639" s="156"/>
      <c r="AH639" s="60"/>
      <c r="AI639" s="379"/>
      <c r="AJ639" s="379"/>
      <c r="AK639" s="156"/>
      <c r="AL639" s="379"/>
      <c r="AM639" s="50"/>
      <c r="AN639" s="50"/>
    </row>
    <row r="640" spans="1:40" x14ac:dyDescent="0.25">
      <c r="A640" s="53"/>
      <c r="C640" s="54"/>
      <c r="J640" s="65"/>
      <c r="K640" s="65"/>
      <c r="T640" s="54"/>
      <c r="V640" s="379"/>
      <c r="W640" s="379"/>
      <c r="X640" s="379"/>
      <c r="Y640" s="379"/>
      <c r="Z640" s="221"/>
    </row>
    <row r="641" spans="1:40" x14ac:dyDescent="0.25">
      <c r="A641" s="53"/>
      <c r="C641" s="54"/>
      <c r="F641" s="449"/>
      <c r="H641" s="449"/>
      <c r="I641" s="449"/>
      <c r="J641" s="221"/>
      <c r="K641" s="221"/>
      <c r="L641" s="379"/>
      <c r="M641" s="379"/>
      <c r="N641" s="50"/>
      <c r="O641" s="50"/>
      <c r="P641" s="379"/>
      <c r="Q641" s="379"/>
      <c r="R641" s="379"/>
      <c r="T641" s="54"/>
      <c r="V641" s="379"/>
      <c r="W641" s="379"/>
      <c r="X641" s="379"/>
      <c r="Y641" s="379"/>
      <c r="Z641" s="221"/>
      <c r="AA641" s="379"/>
      <c r="AB641" s="379"/>
      <c r="AC641" s="50"/>
      <c r="AD641" s="50"/>
      <c r="AE641" s="379"/>
      <c r="AF641" s="379"/>
      <c r="AG641" s="156"/>
      <c r="AH641" s="60"/>
      <c r="AI641" s="379"/>
      <c r="AJ641" s="379"/>
      <c r="AK641" s="156"/>
      <c r="AL641" s="379"/>
      <c r="AM641" s="50"/>
      <c r="AN641" s="50"/>
    </row>
    <row r="642" spans="1:40" x14ac:dyDescent="0.25">
      <c r="A642" s="53"/>
      <c r="C642" s="54"/>
      <c r="J642" s="65"/>
      <c r="K642" s="65"/>
      <c r="T642" s="54"/>
      <c r="V642" s="379"/>
      <c r="W642" s="379"/>
      <c r="X642" s="379"/>
      <c r="Y642" s="379"/>
      <c r="Z642" s="221"/>
    </row>
    <row r="643" spans="1:40" x14ac:dyDescent="0.25">
      <c r="A643" s="53"/>
      <c r="C643" s="54"/>
      <c r="F643" s="449"/>
      <c r="H643" s="449"/>
      <c r="I643" s="449"/>
      <c r="J643" s="221"/>
      <c r="K643" s="221"/>
      <c r="L643" s="379"/>
      <c r="M643" s="379"/>
      <c r="N643" s="50"/>
      <c r="O643" s="50"/>
      <c r="P643" s="379"/>
      <c r="Q643" s="379"/>
      <c r="R643" s="379"/>
      <c r="T643" s="54"/>
      <c r="V643" s="379"/>
      <c r="W643" s="379"/>
      <c r="X643" s="379"/>
      <c r="Y643" s="379"/>
      <c r="Z643" s="221"/>
      <c r="AA643" s="379"/>
      <c r="AB643" s="379"/>
      <c r="AC643" s="50"/>
      <c r="AD643" s="50"/>
      <c r="AE643" s="379"/>
      <c r="AF643" s="379"/>
      <c r="AG643" s="156"/>
      <c r="AH643" s="60"/>
      <c r="AI643" s="379"/>
      <c r="AJ643" s="379"/>
      <c r="AK643" s="156"/>
      <c r="AL643" s="379"/>
      <c r="AM643" s="50"/>
      <c r="AN643" s="50"/>
    </row>
    <row r="644" spans="1:40" x14ac:dyDescent="0.25">
      <c r="A644" s="53"/>
      <c r="C644" s="54"/>
      <c r="J644" s="65"/>
      <c r="K644" s="65"/>
      <c r="T644" s="54"/>
      <c r="V644" s="379"/>
      <c r="W644" s="379"/>
      <c r="X644" s="379"/>
      <c r="Y644" s="379"/>
      <c r="Z644" s="221"/>
    </row>
    <row r="645" spans="1:40" x14ac:dyDescent="0.25">
      <c r="A645" s="53"/>
      <c r="C645" s="54"/>
      <c r="F645" s="449"/>
      <c r="H645" s="449"/>
      <c r="I645" s="449"/>
      <c r="J645" s="221"/>
      <c r="K645" s="221"/>
      <c r="L645" s="379"/>
      <c r="M645" s="379"/>
      <c r="N645" s="50"/>
      <c r="O645" s="50"/>
      <c r="P645" s="379"/>
      <c r="Q645" s="379"/>
      <c r="R645" s="379"/>
      <c r="T645" s="54"/>
      <c r="V645" s="379"/>
      <c r="W645" s="379"/>
      <c r="X645" s="379"/>
      <c r="Y645" s="379"/>
      <c r="Z645" s="221"/>
      <c r="AA645" s="379"/>
      <c r="AB645" s="379"/>
      <c r="AC645" s="50"/>
      <c r="AD645" s="50"/>
      <c r="AE645" s="379"/>
      <c r="AF645" s="379"/>
      <c r="AG645" s="156"/>
      <c r="AH645" s="60"/>
      <c r="AI645" s="379"/>
      <c r="AJ645" s="379"/>
      <c r="AK645" s="156"/>
      <c r="AL645" s="379"/>
      <c r="AM645" s="50"/>
      <c r="AN645" s="50"/>
    </row>
    <row r="646" spans="1:40" x14ac:dyDescent="0.25">
      <c r="A646" s="53"/>
      <c r="C646" s="54"/>
      <c r="J646" s="65"/>
      <c r="K646" s="65"/>
      <c r="T646" s="54"/>
      <c r="V646" s="379"/>
      <c r="W646" s="379"/>
      <c r="X646" s="379"/>
      <c r="Y646" s="379"/>
      <c r="Z646" s="221"/>
    </row>
    <row r="647" spans="1:40" x14ac:dyDescent="0.25">
      <c r="A647" s="53"/>
      <c r="C647" s="54"/>
      <c r="F647" s="449"/>
      <c r="H647" s="449"/>
      <c r="I647" s="449"/>
      <c r="J647" s="221"/>
      <c r="K647" s="221"/>
      <c r="L647" s="379"/>
      <c r="M647" s="379"/>
      <c r="N647" s="50"/>
      <c r="O647" s="50"/>
      <c r="P647" s="379"/>
      <c r="Q647" s="379"/>
      <c r="R647" s="379"/>
      <c r="T647" s="54"/>
      <c r="V647" s="379"/>
      <c r="W647" s="379"/>
      <c r="X647" s="379"/>
      <c r="Y647" s="379"/>
      <c r="Z647" s="221"/>
      <c r="AA647" s="379"/>
      <c r="AB647" s="379"/>
      <c r="AC647" s="50"/>
      <c r="AD647" s="50"/>
      <c r="AE647" s="379"/>
      <c r="AF647" s="379"/>
      <c r="AG647" s="156"/>
      <c r="AH647" s="60"/>
      <c r="AI647" s="379"/>
      <c r="AJ647" s="379"/>
      <c r="AK647" s="156"/>
      <c r="AL647" s="379"/>
      <c r="AM647" s="50"/>
      <c r="AN647" s="50"/>
    </row>
    <row r="648" spans="1:40" x14ac:dyDescent="0.25">
      <c r="F648" s="381"/>
      <c r="H648" s="381"/>
      <c r="I648" s="381"/>
      <c r="J648" s="221"/>
      <c r="K648" s="221"/>
      <c r="L648" s="381"/>
      <c r="M648" s="381"/>
      <c r="N648" s="381"/>
      <c r="O648" s="381"/>
      <c r="P648" s="381"/>
      <c r="Q648" s="381"/>
      <c r="R648" s="381"/>
      <c r="V648" s="381"/>
      <c r="Y648" s="381"/>
      <c r="Z648" s="221"/>
      <c r="AA648" s="381"/>
      <c r="AB648" s="381"/>
      <c r="AC648" s="381"/>
      <c r="AD648" s="381"/>
      <c r="AE648" s="381"/>
      <c r="AF648" s="381"/>
      <c r="AI648" s="381"/>
      <c r="AJ648" s="381"/>
      <c r="AK648" s="162"/>
      <c r="AL648" s="381"/>
      <c r="AM648" s="50"/>
      <c r="AN648" s="50"/>
    </row>
    <row r="649" spans="1:40" x14ac:dyDescent="0.25">
      <c r="A649" s="53"/>
      <c r="C649" s="54"/>
      <c r="F649" s="379"/>
      <c r="H649" s="379"/>
      <c r="I649" s="379"/>
      <c r="J649" s="65"/>
      <c r="K649" s="65"/>
      <c r="L649" s="379"/>
      <c r="M649" s="379"/>
      <c r="N649" s="50"/>
      <c r="O649" s="50"/>
      <c r="P649" s="449"/>
      <c r="Q649" s="449"/>
      <c r="R649" s="379"/>
      <c r="T649" s="54"/>
      <c r="V649" s="379"/>
      <c r="W649" s="379"/>
      <c r="X649" s="379"/>
      <c r="Y649" s="379"/>
      <c r="Z649" s="221"/>
      <c r="AA649" s="379"/>
      <c r="AB649" s="379"/>
      <c r="AC649" s="50"/>
      <c r="AD649" s="50"/>
      <c r="AE649" s="379"/>
      <c r="AF649" s="379"/>
      <c r="AG649" s="156"/>
      <c r="AH649" s="60"/>
      <c r="AI649" s="449"/>
      <c r="AJ649" s="449"/>
      <c r="AK649" s="156"/>
      <c r="AL649" s="379"/>
      <c r="AM649" s="50"/>
      <c r="AN649" s="50"/>
    </row>
    <row r="650" spans="1:40" x14ac:dyDescent="0.25">
      <c r="F650" s="381"/>
      <c r="H650" s="381"/>
      <c r="I650" s="381"/>
      <c r="J650" s="221"/>
      <c r="K650" s="221"/>
      <c r="L650" s="381"/>
      <c r="M650" s="381"/>
      <c r="N650" s="381"/>
      <c r="O650" s="381"/>
      <c r="P650" s="381"/>
      <c r="Q650" s="381"/>
      <c r="R650" s="381"/>
      <c r="V650" s="381"/>
      <c r="Y650" s="381"/>
      <c r="Z650" s="221"/>
      <c r="AA650" s="381"/>
      <c r="AB650" s="381"/>
      <c r="AC650" s="381"/>
      <c r="AD650" s="381"/>
      <c r="AE650" s="381"/>
      <c r="AF650" s="381"/>
      <c r="AI650" s="381"/>
      <c r="AJ650" s="381"/>
      <c r="AK650" s="162"/>
      <c r="AL650" s="381"/>
    </row>
    <row r="651" spans="1:40" x14ac:dyDescent="0.25">
      <c r="A651" s="53"/>
      <c r="C651" s="54"/>
      <c r="D651" s="54"/>
      <c r="E651" s="54"/>
      <c r="J651" s="65"/>
      <c r="K651" s="65"/>
      <c r="T651" s="54"/>
      <c r="U651" s="54"/>
      <c r="V651" s="379"/>
      <c r="W651" s="379"/>
      <c r="X651" s="379"/>
      <c r="Y651" s="379"/>
      <c r="Z651" s="221"/>
    </row>
    <row r="652" spans="1:40" x14ac:dyDescent="0.25">
      <c r="A652" s="53"/>
      <c r="C652" s="54"/>
      <c r="J652" s="65"/>
      <c r="K652" s="65"/>
      <c r="T652" s="54"/>
      <c r="V652" s="379"/>
      <c r="W652" s="379"/>
      <c r="X652" s="379"/>
      <c r="Y652" s="379"/>
      <c r="Z652" s="221"/>
    </row>
    <row r="653" spans="1:40" x14ac:dyDescent="0.25">
      <c r="A653" s="53"/>
      <c r="C653" s="54"/>
      <c r="J653" s="65"/>
      <c r="K653" s="65"/>
      <c r="T653" s="54"/>
      <c r="V653" s="379"/>
      <c r="W653" s="379"/>
      <c r="X653" s="379"/>
      <c r="Y653" s="379"/>
      <c r="Z653" s="221"/>
    </row>
    <row r="654" spans="1:40" x14ac:dyDescent="0.25">
      <c r="A654" s="53"/>
      <c r="C654" s="54"/>
      <c r="F654" s="449"/>
      <c r="H654" s="449"/>
      <c r="I654" s="449"/>
      <c r="J654" s="221"/>
      <c r="K654" s="221"/>
      <c r="L654" s="379"/>
      <c r="M654" s="379"/>
      <c r="N654" s="50"/>
      <c r="O654" s="50"/>
      <c r="P654" s="379"/>
      <c r="Q654" s="379"/>
      <c r="R654" s="379"/>
      <c r="T654" s="54"/>
      <c r="V654" s="379"/>
      <c r="W654" s="379"/>
      <c r="X654" s="379"/>
      <c r="Y654" s="379"/>
      <c r="Z654" s="221"/>
      <c r="AA654" s="379"/>
      <c r="AB654" s="379"/>
      <c r="AC654" s="50"/>
      <c r="AD654" s="50"/>
      <c r="AE654" s="379"/>
      <c r="AF654" s="379"/>
      <c r="AG654" s="156"/>
      <c r="AH654" s="60"/>
      <c r="AI654" s="379"/>
      <c r="AJ654" s="379"/>
      <c r="AK654" s="156"/>
      <c r="AL654" s="379"/>
      <c r="AM654" s="50"/>
      <c r="AN654" s="50"/>
    </row>
    <row r="655" spans="1:40" x14ac:dyDescent="0.25">
      <c r="A655" s="53"/>
      <c r="C655" s="54"/>
      <c r="J655" s="65"/>
      <c r="K655" s="65"/>
      <c r="T655" s="54"/>
      <c r="V655" s="379"/>
      <c r="W655" s="379"/>
      <c r="X655" s="379"/>
      <c r="Y655" s="379"/>
      <c r="Z655" s="221"/>
    </row>
    <row r="656" spans="1:40" x14ac:dyDescent="0.25">
      <c r="A656" s="53"/>
      <c r="C656" s="54"/>
      <c r="F656" s="449"/>
      <c r="H656" s="449"/>
      <c r="I656" s="449"/>
      <c r="J656" s="221"/>
      <c r="K656" s="221"/>
      <c r="L656" s="379"/>
      <c r="M656" s="379"/>
      <c r="N656" s="50"/>
      <c r="O656" s="50"/>
      <c r="P656" s="379"/>
      <c r="Q656" s="379"/>
      <c r="R656" s="379"/>
      <c r="T656" s="54"/>
      <c r="V656" s="379"/>
      <c r="W656" s="379"/>
      <c r="X656" s="379"/>
      <c r="Y656" s="379"/>
      <c r="Z656" s="221"/>
      <c r="AA656" s="379"/>
      <c r="AB656" s="379"/>
      <c r="AC656" s="50"/>
      <c r="AD656" s="50"/>
      <c r="AE656" s="379"/>
      <c r="AF656" s="379"/>
      <c r="AG656" s="156"/>
      <c r="AH656" s="60"/>
      <c r="AI656" s="379"/>
      <c r="AJ656" s="379"/>
      <c r="AK656" s="156"/>
      <c r="AL656" s="379"/>
      <c r="AM656" s="50"/>
      <c r="AN656" s="50"/>
    </row>
    <row r="657" spans="1:40" x14ac:dyDescent="0.25">
      <c r="F657" s="381"/>
      <c r="H657" s="381"/>
      <c r="I657" s="381"/>
      <c r="J657" s="221"/>
      <c r="K657" s="221"/>
      <c r="L657" s="381"/>
      <c r="M657" s="381"/>
      <c r="N657" s="381"/>
      <c r="O657" s="381"/>
      <c r="P657" s="381"/>
      <c r="Q657" s="381"/>
      <c r="R657" s="381"/>
      <c r="V657" s="381"/>
      <c r="Y657" s="381"/>
      <c r="Z657" s="464"/>
      <c r="AA657" s="381"/>
      <c r="AB657" s="381"/>
      <c r="AC657" s="381"/>
      <c r="AD657" s="381"/>
      <c r="AE657" s="381"/>
      <c r="AF657" s="381"/>
      <c r="AI657" s="381"/>
      <c r="AJ657" s="381"/>
      <c r="AK657" s="162"/>
      <c r="AL657" s="381"/>
    </row>
    <row r="658" spans="1:40" x14ac:dyDescent="0.25">
      <c r="A658" s="53"/>
      <c r="C658" s="54"/>
      <c r="F658" s="379"/>
      <c r="H658" s="379"/>
      <c r="I658" s="379"/>
      <c r="L658" s="379"/>
      <c r="M658" s="379"/>
      <c r="N658" s="50"/>
      <c r="O658" s="50"/>
      <c r="P658" s="449"/>
      <c r="Q658" s="449"/>
      <c r="R658" s="379"/>
      <c r="T658" s="54"/>
      <c r="V658" s="379"/>
      <c r="W658" s="379"/>
      <c r="X658" s="379"/>
      <c r="Y658" s="379"/>
      <c r="Z658" s="477"/>
      <c r="AA658" s="379"/>
      <c r="AB658" s="379"/>
      <c r="AC658" s="50"/>
      <c r="AD658" s="50"/>
      <c r="AE658" s="379"/>
      <c r="AF658" s="379"/>
      <c r="AG658" s="156"/>
      <c r="AH658" s="60"/>
      <c r="AI658" s="449"/>
      <c r="AJ658" s="449"/>
      <c r="AK658" s="156"/>
      <c r="AL658" s="379"/>
      <c r="AM658" s="50"/>
      <c r="AN658" s="50"/>
    </row>
    <row r="659" spans="1:40" x14ac:dyDescent="0.25">
      <c r="F659" s="381"/>
      <c r="H659" s="381"/>
      <c r="I659" s="381"/>
      <c r="J659" s="464"/>
      <c r="K659" s="464"/>
      <c r="L659" s="381"/>
      <c r="M659" s="381"/>
      <c r="N659" s="381"/>
      <c r="O659" s="381"/>
      <c r="P659" s="381"/>
      <c r="Q659" s="381"/>
      <c r="R659" s="381"/>
      <c r="V659" s="381"/>
      <c r="Y659" s="381"/>
      <c r="Z659" s="464"/>
      <c r="AA659" s="381"/>
      <c r="AB659" s="381"/>
      <c r="AC659" s="381"/>
      <c r="AD659" s="381"/>
      <c r="AE659" s="381"/>
      <c r="AF659" s="381"/>
      <c r="AI659" s="381"/>
      <c r="AJ659" s="381"/>
      <c r="AK659" s="162"/>
      <c r="AL659" s="381"/>
    </row>
    <row r="660" spans="1:40" x14ac:dyDescent="0.25">
      <c r="A660" s="53"/>
      <c r="C660" s="54"/>
      <c r="D660" s="54"/>
      <c r="E660" s="54"/>
      <c r="T660" s="54"/>
      <c r="U660" s="54"/>
      <c r="V660" s="379"/>
      <c r="W660" s="379"/>
      <c r="X660" s="379"/>
      <c r="Y660" s="379"/>
      <c r="Z660" s="477"/>
    </row>
    <row r="661" spans="1:40" x14ac:dyDescent="0.25">
      <c r="A661" s="53"/>
      <c r="C661" s="54"/>
      <c r="T661" s="54"/>
      <c r="V661" s="379"/>
      <c r="W661" s="379"/>
      <c r="X661" s="379"/>
      <c r="Y661" s="379"/>
      <c r="Z661" s="477"/>
    </row>
    <row r="662" spans="1:40" x14ac:dyDescent="0.25">
      <c r="A662" s="53"/>
      <c r="C662" s="54"/>
      <c r="F662" s="449"/>
      <c r="H662" s="449"/>
      <c r="I662" s="449"/>
      <c r="J662" s="477"/>
      <c r="K662" s="477"/>
      <c r="L662" s="379"/>
      <c r="M662" s="379"/>
      <c r="N662" s="50"/>
      <c r="O662" s="50"/>
      <c r="P662" s="379"/>
      <c r="Q662" s="379"/>
      <c r="R662" s="379"/>
      <c r="T662" s="54"/>
      <c r="V662" s="379"/>
      <c r="W662" s="379"/>
      <c r="X662" s="379"/>
      <c r="Y662" s="379"/>
      <c r="Z662" s="477"/>
      <c r="AA662" s="379"/>
      <c r="AB662" s="379"/>
      <c r="AC662" s="50"/>
      <c r="AD662" s="50"/>
      <c r="AE662" s="379"/>
      <c r="AF662" s="379"/>
      <c r="AG662" s="156"/>
      <c r="AH662" s="60"/>
      <c r="AI662" s="379"/>
      <c r="AJ662" s="379"/>
      <c r="AK662" s="156"/>
      <c r="AL662" s="379"/>
      <c r="AM662" s="50"/>
      <c r="AN662" s="50"/>
    </row>
    <row r="663" spans="1:40" x14ac:dyDescent="0.25">
      <c r="A663" s="53"/>
      <c r="C663" s="54"/>
      <c r="T663" s="54"/>
      <c r="V663" s="379"/>
      <c r="W663" s="379"/>
      <c r="X663" s="379"/>
      <c r="Y663" s="379"/>
      <c r="Z663" s="477"/>
    </row>
    <row r="664" spans="1:40" x14ac:dyDescent="0.25">
      <c r="A664" s="53"/>
      <c r="C664" s="54"/>
      <c r="F664" s="449"/>
      <c r="H664" s="449"/>
      <c r="I664" s="449"/>
      <c r="J664" s="477"/>
      <c r="K664" s="477"/>
      <c r="L664" s="379"/>
      <c r="M664" s="379"/>
      <c r="N664" s="50"/>
      <c r="O664" s="50"/>
      <c r="P664" s="379"/>
      <c r="Q664" s="379"/>
      <c r="R664" s="379"/>
      <c r="T664" s="54"/>
      <c r="V664" s="379"/>
      <c r="W664" s="379"/>
      <c r="X664" s="379"/>
      <c r="Y664" s="379"/>
      <c r="Z664" s="477"/>
      <c r="AA664" s="379"/>
      <c r="AB664" s="379"/>
      <c r="AC664" s="50"/>
      <c r="AD664" s="50"/>
      <c r="AE664" s="379"/>
      <c r="AF664" s="379"/>
      <c r="AG664" s="156"/>
      <c r="AH664" s="60"/>
      <c r="AI664" s="379"/>
      <c r="AJ664" s="379"/>
      <c r="AK664" s="156"/>
      <c r="AL664" s="379"/>
      <c r="AM664" s="50"/>
      <c r="AN664" s="50"/>
    </row>
    <row r="665" spans="1:40" x14ac:dyDescent="0.25">
      <c r="A665" s="53"/>
      <c r="C665" s="54"/>
      <c r="T665" s="54"/>
      <c r="V665" s="379"/>
      <c r="W665" s="379"/>
      <c r="X665" s="379"/>
      <c r="Y665" s="379"/>
      <c r="Z665" s="477"/>
    </row>
    <row r="666" spans="1:40" x14ac:dyDescent="0.25">
      <c r="A666" s="53"/>
      <c r="C666" s="54"/>
      <c r="F666" s="449"/>
      <c r="H666" s="449"/>
      <c r="I666" s="449"/>
      <c r="J666" s="477"/>
      <c r="K666" s="477"/>
      <c r="L666" s="379"/>
      <c r="M666" s="379"/>
      <c r="N666" s="50"/>
      <c r="O666" s="50"/>
      <c r="P666" s="379"/>
      <c r="Q666" s="379"/>
      <c r="R666" s="379"/>
      <c r="T666" s="54"/>
      <c r="V666" s="379"/>
      <c r="W666" s="379"/>
      <c r="X666" s="379"/>
      <c r="Y666" s="379"/>
      <c r="Z666" s="477"/>
      <c r="AA666" s="379"/>
      <c r="AB666" s="379"/>
      <c r="AC666" s="50"/>
      <c r="AD666" s="50"/>
      <c r="AE666" s="379"/>
      <c r="AF666" s="379"/>
      <c r="AG666" s="156"/>
      <c r="AH666" s="60"/>
      <c r="AI666" s="379"/>
      <c r="AJ666" s="379"/>
      <c r="AK666" s="156"/>
      <c r="AL666" s="379"/>
      <c r="AM666" s="50"/>
      <c r="AN666" s="50"/>
    </row>
    <row r="667" spans="1:40" x14ac:dyDescent="0.25">
      <c r="A667" s="53"/>
      <c r="C667" s="54"/>
      <c r="T667" s="54"/>
      <c r="V667" s="379"/>
      <c r="W667" s="379"/>
      <c r="X667" s="379"/>
      <c r="Y667" s="379"/>
      <c r="Z667" s="477"/>
    </row>
    <row r="668" spans="1:40" x14ac:dyDescent="0.25">
      <c r="A668" s="53"/>
      <c r="C668" s="54"/>
      <c r="F668" s="449"/>
      <c r="H668" s="449"/>
      <c r="I668" s="449"/>
      <c r="J668" s="477"/>
      <c r="K668" s="477"/>
      <c r="L668" s="379"/>
      <c r="M668" s="379"/>
      <c r="N668" s="50"/>
      <c r="O668" s="50"/>
      <c r="P668" s="379"/>
      <c r="Q668" s="379"/>
      <c r="R668" s="379"/>
      <c r="T668" s="54"/>
      <c r="V668" s="379"/>
      <c r="W668" s="379"/>
      <c r="X668" s="379"/>
      <c r="Y668" s="379"/>
      <c r="Z668" s="477"/>
      <c r="AA668" s="379"/>
      <c r="AB668" s="379"/>
      <c r="AC668" s="50"/>
      <c r="AD668" s="50"/>
      <c r="AE668" s="379"/>
      <c r="AF668" s="379"/>
      <c r="AG668" s="156"/>
      <c r="AH668" s="60"/>
      <c r="AI668" s="379"/>
      <c r="AJ668" s="379"/>
      <c r="AK668" s="156"/>
      <c r="AL668" s="379"/>
      <c r="AM668" s="50"/>
      <c r="AN668" s="50"/>
    </row>
    <row r="669" spans="1:40" x14ac:dyDescent="0.25">
      <c r="F669" s="381"/>
      <c r="H669" s="381"/>
      <c r="I669" s="381"/>
      <c r="J669" s="464"/>
      <c r="K669" s="464"/>
      <c r="L669" s="381"/>
      <c r="M669" s="381"/>
      <c r="N669" s="381"/>
      <c r="O669" s="381"/>
      <c r="P669" s="381"/>
      <c r="Q669" s="381"/>
      <c r="R669" s="381"/>
      <c r="V669" s="381"/>
      <c r="Y669" s="381"/>
      <c r="Z669" s="464"/>
      <c r="AA669" s="381"/>
      <c r="AB669" s="381"/>
      <c r="AC669" s="381"/>
      <c r="AD669" s="381"/>
      <c r="AE669" s="381"/>
      <c r="AF669" s="381"/>
      <c r="AI669" s="381"/>
      <c r="AJ669" s="381"/>
      <c r="AK669" s="162"/>
      <c r="AL669" s="381"/>
    </row>
    <row r="670" spans="1:40" x14ac:dyDescent="0.25">
      <c r="A670" s="53"/>
      <c r="C670" s="54"/>
      <c r="F670" s="379"/>
      <c r="H670" s="379"/>
      <c r="I670" s="379"/>
      <c r="L670" s="379"/>
      <c r="M670" s="379"/>
      <c r="N670" s="50"/>
      <c r="O670" s="50"/>
      <c r="P670" s="449"/>
      <c r="Q670" s="449"/>
      <c r="R670" s="379"/>
      <c r="T670" s="54"/>
      <c r="V670" s="379"/>
      <c r="W670" s="379"/>
      <c r="X670" s="379"/>
      <c r="Y670" s="379"/>
      <c r="Z670" s="477"/>
      <c r="AA670" s="379"/>
      <c r="AB670" s="379"/>
      <c r="AC670" s="50"/>
      <c r="AD670" s="50"/>
      <c r="AE670" s="379"/>
      <c r="AF670" s="379"/>
      <c r="AG670" s="156"/>
      <c r="AH670" s="60"/>
      <c r="AI670" s="449"/>
      <c r="AJ670" s="449"/>
      <c r="AK670" s="156"/>
      <c r="AL670" s="379"/>
      <c r="AM670" s="50"/>
      <c r="AN670" s="50"/>
    </row>
    <row r="671" spans="1:40" x14ac:dyDescent="0.25">
      <c r="F671" s="381"/>
      <c r="H671" s="381"/>
      <c r="I671" s="381"/>
      <c r="J671" s="464"/>
      <c r="K671" s="464"/>
      <c r="L671" s="381"/>
      <c r="M671" s="381"/>
      <c r="N671" s="381"/>
      <c r="O671" s="381"/>
      <c r="P671" s="381"/>
      <c r="Q671" s="381"/>
      <c r="R671" s="381"/>
      <c r="V671" s="381"/>
      <c r="Y671" s="381"/>
      <c r="Z671" s="464"/>
      <c r="AA671" s="381"/>
      <c r="AB671" s="381"/>
      <c r="AC671" s="381"/>
      <c r="AD671" s="381"/>
      <c r="AE671" s="381"/>
      <c r="AF671" s="381"/>
      <c r="AI671" s="381"/>
      <c r="AJ671" s="381"/>
      <c r="AK671" s="162"/>
      <c r="AL671" s="381"/>
    </row>
    <row r="672" spans="1:40" x14ac:dyDescent="0.25">
      <c r="A672" s="53"/>
      <c r="C672" s="54"/>
      <c r="F672" s="379"/>
      <c r="H672" s="379"/>
      <c r="I672" s="379"/>
      <c r="L672" s="379"/>
      <c r="M672" s="379"/>
      <c r="N672" s="50"/>
      <c r="O672" s="50"/>
      <c r="P672" s="379"/>
      <c r="Q672" s="379"/>
      <c r="R672" s="379"/>
      <c r="T672" s="54"/>
      <c r="V672" s="379"/>
      <c r="W672" s="379"/>
      <c r="X672" s="379"/>
      <c r="Y672" s="379"/>
      <c r="AA672" s="379"/>
      <c r="AB672" s="379"/>
      <c r="AC672" s="50"/>
      <c r="AD672" s="50"/>
      <c r="AE672" s="379"/>
      <c r="AF672" s="379"/>
      <c r="AG672" s="156"/>
      <c r="AH672" s="60"/>
      <c r="AI672" s="379"/>
      <c r="AJ672" s="379"/>
      <c r="AK672" s="156"/>
      <c r="AL672" s="379"/>
      <c r="AM672" s="60"/>
      <c r="AN672" s="60"/>
    </row>
    <row r="673" spans="1:40" x14ac:dyDescent="0.25">
      <c r="F673" s="381"/>
      <c r="H673" s="381"/>
      <c r="I673" s="381"/>
      <c r="J673" s="464"/>
      <c r="K673" s="464"/>
      <c r="L673" s="381"/>
      <c r="M673" s="381"/>
      <c r="N673" s="381"/>
      <c r="O673" s="381"/>
      <c r="P673" s="381"/>
      <c r="Q673" s="381"/>
      <c r="R673" s="381"/>
      <c r="V673" s="381"/>
      <c r="Y673" s="381"/>
      <c r="Z673" s="464"/>
      <c r="AA673" s="381"/>
      <c r="AB673" s="381"/>
      <c r="AC673" s="381"/>
      <c r="AD673" s="381"/>
      <c r="AE673" s="381"/>
      <c r="AF673" s="381"/>
      <c r="AI673" s="381"/>
      <c r="AJ673" s="381"/>
      <c r="AK673" s="162"/>
      <c r="AL673" s="381"/>
    </row>
    <row r="675" spans="1:40" x14ac:dyDescent="0.25">
      <c r="C675" s="53"/>
      <c r="T675" s="53"/>
    </row>
    <row r="676" spans="1:40" x14ac:dyDescent="0.25">
      <c r="A676" s="54"/>
    </row>
    <row r="677" spans="1:40" x14ac:dyDescent="0.25">
      <c r="J677" s="53"/>
      <c r="K677" s="53"/>
      <c r="Z677" s="53"/>
    </row>
    <row r="678" spans="1:40" x14ac:dyDescent="0.25">
      <c r="H678" s="54"/>
      <c r="I678" s="54"/>
      <c r="Y678" s="54"/>
    </row>
    <row r="679" spans="1:40" x14ac:dyDescent="0.25">
      <c r="J679" s="53"/>
      <c r="K679" s="53"/>
      <c r="Z679" s="53"/>
    </row>
    <row r="680" spans="1:40" x14ac:dyDescent="0.25">
      <c r="L680" s="54"/>
      <c r="M680" s="54"/>
      <c r="AA680" s="54"/>
      <c r="AB680" s="54"/>
    </row>
    <row r="681" spans="1:40" x14ac:dyDescent="0.25">
      <c r="A681" s="53"/>
      <c r="R681" s="54"/>
      <c r="AK681" s="161"/>
      <c r="AL681" s="54"/>
    </row>
    <row r="682" spans="1:40" x14ac:dyDescent="0.25">
      <c r="A682" s="53"/>
      <c r="R682" s="54"/>
      <c r="AK682" s="161"/>
      <c r="AL682" s="54"/>
    </row>
    <row r="683" spans="1:40" x14ac:dyDescent="0.25">
      <c r="A683" s="54"/>
      <c r="R683" s="54"/>
      <c r="AK683" s="161"/>
      <c r="AL683" s="54"/>
    </row>
    <row r="684" spans="1:40" x14ac:dyDescent="0.25">
      <c r="L684" s="54"/>
      <c r="M684" s="54"/>
      <c r="R684" s="53"/>
      <c r="AA684" s="54"/>
      <c r="AB684" s="54"/>
      <c r="AK684" s="156"/>
      <c r="AL684" s="53"/>
    </row>
    <row r="685" spans="1:40" x14ac:dyDescent="0.25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154"/>
      <c r="AH685" s="55"/>
      <c r="AI685" s="55"/>
      <c r="AJ685" s="55"/>
      <c r="AK685" s="154"/>
      <c r="AL685" s="55"/>
      <c r="AM685" s="55"/>
      <c r="AN685" s="55"/>
    </row>
    <row r="686" spans="1:40" x14ac:dyDescent="0.25">
      <c r="L686" s="56"/>
      <c r="M686" s="56"/>
      <c r="N686" s="56"/>
      <c r="O686" s="56"/>
      <c r="R686" s="56"/>
      <c r="AA686" s="56"/>
      <c r="AB686" s="56"/>
      <c r="AC686" s="56"/>
      <c r="AD686" s="56"/>
      <c r="AE686" s="56"/>
      <c r="AF686" s="56"/>
      <c r="AG686" s="155"/>
      <c r="AH686" s="56"/>
      <c r="AK686" s="155"/>
      <c r="AL686" s="56"/>
      <c r="AM686" s="56"/>
      <c r="AN686" s="56"/>
    </row>
    <row r="687" spans="1:40" x14ac:dyDescent="0.25">
      <c r="L687" s="56"/>
      <c r="M687" s="56"/>
      <c r="N687" s="56"/>
      <c r="O687" s="56"/>
      <c r="R687" s="56"/>
      <c r="Z687" s="56"/>
      <c r="AA687" s="56"/>
      <c r="AB687" s="56"/>
      <c r="AC687" s="56"/>
      <c r="AD687" s="56"/>
      <c r="AE687" s="56"/>
      <c r="AF687" s="56"/>
      <c r="AG687" s="155"/>
      <c r="AH687" s="56"/>
      <c r="AK687" s="155"/>
      <c r="AL687" s="56"/>
      <c r="AM687" s="56"/>
      <c r="AN687" s="56"/>
    </row>
    <row r="688" spans="1:40" x14ac:dyDescent="0.25">
      <c r="A688" s="56"/>
      <c r="C688" s="56"/>
      <c r="D688" s="56"/>
      <c r="E688" s="56"/>
      <c r="F688" s="56"/>
      <c r="J688" s="56"/>
      <c r="K688" s="56"/>
      <c r="L688" s="56"/>
      <c r="M688" s="56"/>
      <c r="N688" s="56"/>
      <c r="O688" s="56"/>
      <c r="P688" s="56"/>
      <c r="Q688" s="56"/>
      <c r="R688" s="56"/>
      <c r="T688" s="56"/>
      <c r="U688" s="56"/>
      <c r="V688" s="56"/>
      <c r="Z688" s="56"/>
      <c r="AA688" s="56"/>
      <c r="AB688" s="56"/>
      <c r="AC688" s="56"/>
      <c r="AD688" s="56"/>
      <c r="AE688" s="56"/>
      <c r="AF688" s="56"/>
      <c r="AG688" s="155"/>
      <c r="AH688" s="56"/>
      <c r="AI688" s="56"/>
      <c r="AJ688" s="56"/>
      <c r="AK688" s="155"/>
      <c r="AL688" s="56"/>
      <c r="AM688" s="56"/>
      <c r="AN688" s="56"/>
    </row>
    <row r="689" spans="1:40" x14ac:dyDescent="0.25">
      <c r="A689" s="56"/>
      <c r="C689" s="56"/>
      <c r="D689" s="56"/>
      <c r="E689" s="56"/>
      <c r="F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T689" s="56"/>
      <c r="U689" s="56"/>
      <c r="V689" s="56"/>
      <c r="Y689" s="56"/>
      <c r="Z689" s="56"/>
      <c r="AA689" s="56"/>
      <c r="AB689" s="56"/>
      <c r="AC689" s="56"/>
      <c r="AD689" s="56"/>
      <c r="AE689" s="56"/>
      <c r="AF689" s="56"/>
      <c r="AG689" s="155"/>
      <c r="AH689" s="56"/>
      <c r="AI689" s="56"/>
      <c r="AJ689" s="56"/>
      <c r="AK689" s="155"/>
      <c r="AL689" s="56"/>
      <c r="AM689" s="56"/>
      <c r="AN689" s="56"/>
    </row>
    <row r="690" spans="1:40" x14ac:dyDescent="0.25">
      <c r="C690" s="56"/>
      <c r="D690" s="56"/>
      <c r="E690" s="56"/>
      <c r="F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T690" s="56"/>
      <c r="U690" s="56"/>
      <c r="V690" s="56"/>
      <c r="Y690" s="56"/>
      <c r="Z690" s="56"/>
      <c r="AA690" s="56"/>
      <c r="AB690" s="56"/>
      <c r="AC690" s="56"/>
      <c r="AD690" s="56"/>
      <c r="AE690" s="56"/>
      <c r="AF690" s="56"/>
      <c r="AG690" s="155"/>
      <c r="AH690" s="56"/>
      <c r="AI690" s="56"/>
      <c r="AJ690" s="56"/>
      <c r="AK690" s="155"/>
      <c r="AL690" s="56"/>
      <c r="AM690" s="56"/>
      <c r="AN690" s="56"/>
    </row>
    <row r="691" spans="1:40" x14ac:dyDescent="0.25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154"/>
      <c r="AH691" s="55"/>
      <c r="AI691" s="55"/>
      <c r="AJ691" s="55"/>
      <c r="AK691" s="154"/>
      <c r="AL691" s="55"/>
      <c r="AM691" s="55"/>
      <c r="AN691" s="55"/>
    </row>
    <row r="692" spans="1:40" x14ac:dyDescent="0.25"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Y692" s="56"/>
      <c r="Z692" s="56"/>
      <c r="AA692" s="56"/>
      <c r="AB692" s="56"/>
      <c r="AC692" s="56"/>
      <c r="AD692" s="56"/>
      <c r="AE692" s="56"/>
      <c r="AF692" s="56"/>
      <c r="AG692" s="155"/>
      <c r="AH692" s="56"/>
      <c r="AI692" s="56"/>
      <c r="AJ692" s="56"/>
      <c r="AK692" s="155"/>
      <c r="AL692" s="56"/>
      <c r="AM692" s="56"/>
      <c r="AN692" s="56"/>
    </row>
    <row r="693" spans="1:40" x14ac:dyDescent="0.25">
      <c r="A693" s="53"/>
      <c r="C693" s="54"/>
      <c r="D693" s="54"/>
      <c r="E693" s="54"/>
      <c r="F693" s="379"/>
      <c r="H693" s="379"/>
      <c r="I693" s="379"/>
      <c r="J693" s="59"/>
      <c r="K693" s="59"/>
      <c r="L693" s="379"/>
      <c r="M693" s="379"/>
      <c r="N693" s="59"/>
      <c r="O693" s="59"/>
      <c r="P693" s="379"/>
      <c r="Q693" s="379"/>
      <c r="R693" s="379"/>
      <c r="T693" s="54"/>
      <c r="U693" s="54"/>
      <c r="V693" s="379"/>
      <c r="Y693" s="379"/>
      <c r="Z693" s="59"/>
      <c r="AA693" s="379"/>
      <c r="AB693" s="379"/>
      <c r="AC693" s="59"/>
      <c r="AD693" s="59"/>
      <c r="AE693" s="379"/>
      <c r="AF693" s="379"/>
      <c r="AG693" s="156"/>
      <c r="AH693" s="60"/>
      <c r="AI693" s="379"/>
      <c r="AJ693" s="379"/>
      <c r="AK693" s="156"/>
      <c r="AL693" s="379"/>
      <c r="AM693" s="50"/>
      <c r="AN693" s="50"/>
    </row>
    <row r="694" spans="1:40" x14ac:dyDescent="0.25">
      <c r="F694" s="381"/>
      <c r="H694" s="381"/>
      <c r="I694" s="381"/>
      <c r="J694" s="464"/>
      <c r="K694" s="464"/>
      <c r="L694" s="381"/>
      <c r="M694" s="381"/>
      <c r="N694" s="381"/>
      <c r="O694" s="381"/>
      <c r="P694" s="381"/>
      <c r="Q694" s="381"/>
      <c r="R694" s="381"/>
      <c r="V694" s="381"/>
      <c r="Y694" s="381"/>
      <c r="Z694" s="464"/>
      <c r="AA694" s="381"/>
      <c r="AB694" s="381"/>
      <c r="AC694" s="381"/>
      <c r="AD694" s="381"/>
      <c r="AE694" s="381"/>
      <c r="AF694" s="381"/>
      <c r="AI694" s="381"/>
      <c r="AJ694" s="381"/>
      <c r="AK694" s="162"/>
      <c r="AL694" s="381"/>
      <c r="AM694" s="50"/>
      <c r="AN694" s="50"/>
    </row>
    <row r="695" spans="1:40" x14ac:dyDescent="0.25">
      <c r="A695" s="53"/>
      <c r="C695" s="54"/>
      <c r="F695" s="379"/>
      <c r="H695" s="379"/>
      <c r="I695" s="379"/>
      <c r="J695" s="59"/>
      <c r="K695" s="59"/>
      <c r="L695" s="379"/>
      <c r="M695" s="379"/>
      <c r="N695" s="59"/>
      <c r="O695" s="59"/>
      <c r="P695" s="379"/>
      <c r="Q695" s="379"/>
      <c r="R695" s="379"/>
      <c r="T695" s="54"/>
      <c r="V695" s="379"/>
      <c r="Y695" s="379"/>
      <c r="Z695" s="59"/>
      <c r="AA695" s="379"/>
      <c r="AB695" s="379"/>
      <c r="AC695" s="59"/>
      <c r="AD695" s="59"/>
      <c r="AE695" s="379"/>
      <c r="AF695" s="379"/>
      <c r="AG695" s="156"/>
      <c r="AH695" s="60"/>
      <c r="AI695" s="379"/>
      <c r="AJ695" s="379"/>
      <c r="AK695" s="156"/>
      <c r="AL695" s="379"/>
      <c r="AM695" s="50"/>
      <c r="AN695" s="50"/>
    </row>
    <row r="696" spans="1:40" x14ac:dyDescent="0.25">
      <c r="F696" s="379"/>
      <c r="H696" s="379"/>
      <c r="I696" s="379"/>
      <c r="J696" s="59"/>
      <c r="K696" s="59"/>
      <c r="L696" s="379"/>
      <c r="M696" s="379"/>
      <c r="N696" s="59"/>
      <c r="O696" s="59"/>
      <c r="P696" s="379"/>
      <c r="Q696" s="379"/>
      <c r="R696" s="379"/>
      <c r="V696" s="379"/>
      <c r="Y696" s="379"/>
      <c r="Z696" s="59"/>
      <c r="AA696" s="379"/>
      <c r="AB696" s="379"/>
      <c r="AC696" s="59"/>
      <c r="AD696" s="59"/>
      <c r="AG696" s="156"/>
      <c r="AH696" s="60"/>
      <c r="AI696" s="379"/>
      <c r="AJ696" s="379"/>
      <c r="AK696" s="156"/>
      <c r="AL696" s="379"/>
      <c r="AM696" s="50"/>
      <c r="AN696" s="50"/>
    </row>
    <row r="697" spans="1:40" x14ac:dyDescent="0.25">
      <c r="A697" s="53"/>
      <c r="C697" s="54"/>
      <c r="D697" s="54"/>
      <c r="E697" s="54"/>
      <c r="F697" s="379"/>
      <c r="H697" s="379"/>
      <c r="I697" s="379"/>
      <c r="J697" s="59"/>
      <c r="K697" s="59"/>
      <c r="L697" s="379"/>
      <c r="M697" s="379"/>
      <c r="N697" s="59"/>
      <c r="O697" s="59"/>
      <c r="P697" s="379"/>
      <c r="Q697" s="379"/>
      <c r="R697" s="379"/>
      <c r="T697" s="54"/>
      <c r="U697" s="54"/>
      <c r="V697" s="379"/>
      <c r="Y697" s="379"/>
      <c r="Z697" s="59"/>
      <c r="AA697" s="379"/>
      <c r="AB697" s="379"/>
      <c r="AC697" s="59"/>
      <c r="AD697" s="59"/>
      <c r="AE697" s="379"/>
      <c r="AF697" s="379"/>
      <c r="AG697" s="156"/>
      <c r="AH697" s="60"/>
      <c r="AI697" s="379"/>
      <c r="AJ697" s="379"/>
      <c r="AK697" s="156"/>
      <c r="AL697" s="379"/>
      <c r="AM697" s="50"/>
      <c r="AN697" s="50"/>
    </row>
    <row r="698" spans="1:40" x14ac:dyDescent="0.25">
      <c r="A698" s="53"/>
      <c r="C698" s="54"/>
      <c r="D698" s="54"/>
      <c r="E698" s="54"/>
      <c r="F698" s="379"/>
      <c r="H698" s="379"/>
      <c r="I698" s="379"/>
      <c r="J698" s="59"/>
      <c r="K698" s="59"/>
      <c r="L698" s="379"/>
      <c r="M698" s="379"/>
      <c r="N698" s="59"/>
      <c r="O698" s="59"/>
      <c r="P698" s="379"/>
      <c r="Q698" s="379"/>
      <c r="R698" s="379"/>
      <c r="T698" s="54"/>
      <c r="U698" s="54"/>
      <c r="V698" s="379"/>
      <c r="Y698" s="379"/>
      <c r="Z698" s="59"/>
      <c r="AA698" s="379"/>
      <c r="AB698" s="379"/>
      <c r="AC698" s="59"/>
      <c r="AD698" s="59"/>
      <c r="AE698" s="379"/>
      <c r="AF698" s="379"/>
      <c r="AG698" s="156"/>
      <c r="AH698" s="60"/>
      <c r="AI698" s="379"/>
      <c r="AJ698" s="379"/>
      <c r="AK698" s="156"/>
      <c r="AL698" s="379"/>
      <c r="AM698" s="50"/>
      <c r="AN698" s="50"/>
    </row>
    <row r="699" spans="1:40" x14ac:dyDescent="0.25">
      <c r="A699" s="53"/>
      <c r="C699" s="54"/>
      <c r="D699" s="54"/>
      <c r="E699" s="54"/>
      <c r="F699" s="379"/>
      <c r="H699" s="379"/>
      <c r="I699" s="379"/>
      <c r="J699" s="59"/>
      <c r="K699" s="59"/>
      <c r="L699" s="379"/>
      <c r="M699" s="379"/>
      <c r="N699" s="59"/>
      <c r="O699" s="59"/>
      <c r="P699" s="379"/>
      <c r="Q699" s="379"/>
      <c r="R699" s="379"/>
      <c r="T699" s="54"/>
      <c r="U699" s="54"/>
      <c r="V699" s="379"/>
      <c r="Y699" s="379"/>
      <c r="Z699" s="59"/>
      <c r="AA699" s="379"/>
      <c r="AB699" s="379"/>
      <c r="AC699" s="59"/>
      <c r="AD699" s="59"/>
      <c r="AE699" s="379"/>
      <c r="AF699" s="379"/>
      <c r="AG699" s="156"/>
      <c r="AH699" s="60"/>
      <c r="AI699" s="379"/>
      <c r="AJ699" s="379"/>
      <c r="AK699" s="156"/>
      <c r="AL699" s="379"/>
      <c r="AM699" s="50"/>
      <c r="AN699" s="50"/>
    </row>
    <row r="700" spans="1:40" x14ac:dyDescent="0.25">
      <c r="A700" s="53"/>
      <c r="C700" s="54"/>
      <c r="D700" s="54"/>
      <c r="E700" s="54"/>
      <c r="F700" s="379"/>
      <c r="H700" s="379"/>
      <c r="I700" s="379"/>
      <c r="J700" s="59"/>
      <c r="K700" s="59"/>
      <c r="L700" s="379"/>
      <c r="M700" s="379"/>
      <c r="N700" s="59"/>
      <c r="O700" s="59"/>
      <c r="P700" s="379"/>
      <c r="Q700" s="379"/>
      <c r="R700" s="379"/>
      <c r="T700" s="54"/>
      <c r="U700" s="54"/>
      <c r="V700" s="379"/>
      <c r="Y700" s="379"/>
      <c r="Z700" s="59"/>
      <c r="AA700" s="379"/>
      <c r="AB700" s="379"/>
      <c r="AC700" s="59"/>
      <c r="AD700" s="59"/>
      <c r="AE700" s="379"/>
      <c r="AF700" s="379"/>
      <c r="AG700" s="156"/>
      <c r="AH700" s="60"/>
      <c r="AI700" s="379"/>
      <c r="AJ700" s="379"/>
      <c r="AK700" s="156"/>
      <c r="AL700" s="379"/>
      <c r="AM700" s="50"/>
      <c r="AN700" s="50"/>
    </row>
    <row r="701" spans="1:40" x14ac:dyDescent="0.25">
      <c r="A701" s="53"/>
      <c r="C701" s="54"/>
      <c r="D701" s="54"/>
      <c r="E701" s="54"/>
      <c r="F701" s="379"/>
      <c r="H701" s="379"/>
      <c r="I701" s="379"/>
      <c r="J701" s="59"/>
      <c r="K701" s="59"/>
      <c r="L701" s="379"/>
      <c r="M701" s="379"/>
      <c r="N701" s="59"/>
      <c r="O701" s="59"/>
      <c r="P701" s="379"/>
      <c r="Q701" s="379"/>
      <c r="R701" s="379"/>
      <c r="T701" s="54"/>
      <c r="U701" s="54"/>
      <c r="V701" s="379"/>
      <c r="Y701" s="379"/>
      <c r="Z701" s="59"/>
      <c r="AA701" s="379"/>
      <c r="AB701" s="379"/>
      <c r="AC701" s="59"/>
      <c r="AD701" s="59"/>
      <c r="AE701" s="379"/>
      <c r="AF701" s="379"/>
      <c r="AG701" s="156"/>
      <c r="AH701" s="60"/>
      <c r="AI701" s="379"/>
      <c r="AJ701" s="379"/>
      <c r="AK701" s="156"/>
      <c r="AL701" s="379"/>
      <c r="AM701" s="50"/>
      <c r="AN701" s="50"/>
    </row>
    <row r="702" spans="1:40" x14ac:dyDescent="0.25">
      <c r="A702" s="53"/>
      <c r="C702" s="54"/>
      <c r="D702" s="54"/>
      <c r="E702" s="54"/>
      <c r="F702" s="379"/>
      <c r="H702" s="379"/>
      <c r="I702" s="379"/>
      <c r="J702" s="59"/>
      <c r="K702" s="59"/>
      <c r="L702" s="379"/>
      <c r="M702" s="379"/>
      <c r="N702" s="59"/>
      <c r="O702" s="59"/>
      <c r="P702" s="379"/>
      <c r="Q702" s="379"/>
      <c r="R702" s="379"/>
      <c r="T702" s="54"/>
      <c r="U702" s="54"/>
      <c r="V702" s="379"/>
      <c r="Y702" s="379"/>
      <c r="Z702" s="59"/>
      <c r="AA702" s="379"/>
      <c r="AB702" s="379"/>
      <c r="AC702" s="59"/>
      <c r="AD702" s="59"/>
      <c r="AE702" s="379"/>
      <c r="AF702" s="379"/>
      <c r="AG702" s="156"/>
      <c r="AH702" s="60"/>
      <c r="AI702" s="379"/>
      <c r="AJ702" s="379"/>
      <c r="AK702" s="156"/>
      <c r="AL702" s="379"/>
      <c r="AM702" s="50"/>
      <c r="AN702" s="50"/>
    </row>
    <row r="703" spans="1:40" x14ac:dyDescent="0.25">
      <c r="F703" s="381"/>
      <c r="H703" s="381"/>
      <c r="I703" s="381"/>
      <c r="J703" s="464"/>
      <c r="K703" s="464"/>
      <c r="L703" s="381"/>
      <c r="M703" s="381"/>
      <c r="N703" s="381"/>
      <c r="O703" s="381"/>
      <c r="P703" s="381"/>
      <c r="Q703" s="381"/>
      <c r="R703" s="381"/>
      <c r="V703" s="381"/>
      <c r="Y703" s="381"/>
      <c r="Z703" s="464"/>
      <c r="AA703" s="381"/>
      <c r="AB703" s="381"/>
      <c r="AC703" s="381"/>
      <c r="AD703" s="381"/>
      <c r="AE703" s="381"/>
      <c r="AF703" s="381"/>
      <c r="AI703" s="381"/>
      <c r="AJ703" s="381"/>
      <c r="AK703" s="162"/>
      <c r="AL703" s="381"/>
      <c r="AM703" s="50"/>
      <c r="AN703" s="50"/>
    </row>
    <row r="704" spans="1:40" x14ac:dyDescent="0.25">
      <c r="A704" s="53"/>
      <c r="C704" s="54"/>
      <c r="F704" s="379"/>
      <c r="H704" s="379"/>
      <c r="I704" s="379"/>
      <c r="J704" s="59"/>
      <c r="K704" s="59"/>
      <c r="L704" s="379"/>
      <c r="M704" s="379"/>
      <c r="N704" s="59"/>
      <c r="O704" s="59"/>
      <c r="P704" s="379"/>
      <c r="Q704" s="379"/>
      <c r="R704" s="379"/>
      <c r="T704" s="54"/>
      <c r="V704" s="379"/>
      <c r="Y704" s="379"/>
      <c r="Z704" s="59"/>
      <c r="AA704" s="379"/>
      <c r="AB704" s="379"/>
      <c r="AC704" s="59"/>
      <c r="AD704" s="59"/>
      <c r="AE704" s="379"/>
      <c r="AF704" s="379"/>
      <c r="AG704" s="156"/>
      <c r="AH704" s="60"/>
      <c r="AI704" s="379"/>
      <c r="AJ704" s="379"/>
      <c r="AK704" s="156"/>
      <c r="AL704" s="379"/>
      <c r="AM704" s="50"/>
      <c r="AN704" s="50"/>
    </row>
    <row r="705" spans="1:40" x14ac:dyDescent="0.25">
      <c r="F705" s="379"/>
      <c r="H705" s="379"/>
      <c r="I705" s="379"/>
      <c r="J705" s="59"/>
      <c r="K705" s="59"/>
      <c r="L705" s="379"/>
      <c r="M705" s="379"/>
      <c r="N705" s="59"/>
      <c r="O705" s="59"/>
      <c r="P705" s="379"/>
      <c r="Q705" s="379"/>
      <c r="R705" s="379"/>
      <c r="V705" s="379"/>
      <c r="Y705" s="379"/>
      <c r="Z705" s="59"/>
      <c r="AA705" s="379"/>
      <c r="AB705" s="379"/>
      <c r="AC705" s="59"/>
      <c r="AD705" s="59"/>
      <c r="AG705" s="156"/>
      <c r="AH705" s="60"/>
      <c r="AI705" s="379"/>
      <c r="AJ705" s="379"/>
      <c r="AK705" s="156"/>
      <c r="AL705" s="379"/>
      <c r="AM705" s="50"/>
      <c r="AN705" s="50"/>
    </row>
    <row r="706" spans="1:40" x14ac:dyDescent="0.25">
      <c r="A706" s="53"/>
      <c r="C706" s="54"/>
      <c r="D706" s="54"/>
      <c r="E706" s="54"/>
      <c r="F706" s="379"/>
      <c r="H706" s="379"/>
      <c r="I706" s="379"/>
      <c r="J706" s="59"/>
      <c r="K706" s="59"/>
      <c r="L706" s="379"/>
      <c r="M706" s="379"/>
      <c r="N706" s="59"/>
      <c r="O706" s="59"/>
      <c r="P706" s="379"/>
      <c r="Q706" s="379"/>
      <c r="R706" s="379"/>
      <c r="T706" s="54"/>
      <c r="U706" s="54"/>
      <c r="V706" s="379"/>
      <c r="Y706" s="379"/>
      <c r="Z706" s="59"/>
      <c r="AA706" s="379"/>
      <c r="AB706" s="379"/>
      <c r="AC706" s="59"/>
      <c r="AD706" s="59"/>
      <c r="AE706" s="379"/>
      <c r="AF706" s="379"/>
      <c r="AG706" s="156"/>
      <c r="AH706" s="60"/>
      <c r="AI706" s="379"/>
      <c r="AJ706" s="379"/>
      <c r="AK706" s="156"/>
      <c r="AL706" s="379"/>
      <c r="AM706" s="50"/>
      <c r="AN706" s="50"/>
    </row>
    <row r="707" spans="1:40" x14ac:dyDescent="0.25">
      <c r="F707" s="381"/>
      <c r="H707" s="381"/>
      <c r="I707" s="381"/>
      <c r="J707" s="464"/>
      <c r="K707" s="464"/>
      <c r="L707" s="381"/>
      <c r="M707" s="381"/>
      <c r="N707" s="381"/>
      <c r="O707" s="381"/>
      <c r="P707" s="381"/>
      <c r="Q707" s="381"/>
      <c r="R707" s="381"/>
      <c r="V707" s="381"/>
      <c r="Y707" s="381"/>
      <c r="Z707" s="464"/>
      <c r="AA707" s="381"/>
      <c r="AB707" s="381"/>
      <c r="AC707" s="381"/>
      <c r="AD707" s="381"/>
      <c r="AE707" s="381"/>
      <c r="AF707" s="381"/>
      <c r="AI707" s="381"/>
      <c r="AJ707" s="381"/>
      <c r="AK707" s="162"/>
      <c r="AL707" s="381"/>
      <c r="AM707" s="50"/>
      <c r="AN707" s="50"/>
    </row>
    <row r="708" spans="1:40" x14ac:dyDescent="0.25">
      <c r="A708" s="53"/>
      <c r="C708" s="54"/>
      <c r="F708" s="379"/>
      <c r="H708" s="379"/>
      <c r="I708" s="379"/>
      <c r="J708" s="59"/>
      <c r="K708" s="59"/>
      <c r="L708" s="379"/>
      <c r="M708" s="379"/>
      <c r="N708" s="59"/>
      <c r="O708" s="59"/>
      <c r="P708" s="379"/>
      <c r="Q708" s="379"/>
      <c r="R708" s="379"/>
      <c r="T708" s="54"/>
      <c r="V708" s="379"/>
      <c r="Y708" s="379"/>
      <c r="Z708" s="59"/>
      <c r="AA708" s="379"/>
      <c r="AB708" s="379"/>
      <c r="AC708" s="59"/>
      <c r="AD708" s="59"/>
      <c r="AE708" s="379"/>
      <c r="AF708" s="379"/>
      <c r="AG708" s="156"/>
      <c r="AH708" s="60"/>
      <c r="AI708" s="379"/>
      <c r="AJ708" s="379"/>
      <c r="AK708" s="156"/>
      <c r="AL708" s="379"/>
      <c r="AM708" s="50"/>
      <c r="AN708" s="50"/>
    </row>
    <row r="709" spans="1:40" x14ac:dyDescent="0.25">
      <c r="F709" s="379"/>
      <c r="H709" s="379"/>
      <c r="I709" s="379"/>
      <c r="J709" s="59"/>
      <c r="K709" s="59"/>
      <c r="L709" s="379"/>
      <c r="M709" s="379"/>
      <c r="N709" s="59"/>
      <c r="O709" s="59"/>
      <c r="P709" s="379"/>
      <c r="Q709" s="379"/>
      <c r="R709" s="379"/>
      <c r="V709" s="379"/>
      <c r="Y709" s="379"/>
      <c r="Z709" s="59"/>
      <c r="AA709" s="379"/>
      <c r="AB709" s="379"/>
      <c r="AC709" s="59"/>
      <c r="AD709" s="59"/>
      <c r="AG709" s="156"/>
      <c r="AH709" s="60"/>
      <c r="AI709" s="379"/>
      <c r="AJ709" s="379"/>
      <c r="AK709" s="156"/>
      <c r="AL709" s="379"/>
      <c r="AM709" s="50"/>
      <c r="AN709" s="50"/>
    </row>
    <row r="710" spans="1:40" x14ac:dyDescent="0.25">
      <c r="A710" s="53"/>
      <c r="C710" s="54"/>
      <c r="D710" s="54"/>
      <c r="E710" s="54"/>
      <c r="F710" s="379"/>
      <c r="H710" s="379"/>
      <c r="I710" s="379"/>
      <c r="J710" s="59"/>
      <c r="K710" s="59"/>
      <c r="L710" s="379"/>
      <c r="M710" s="379"/>
      <c r="N710" s="59"/>
      <c r="O710" s="59"/>
      <c r="P710" s="379"/>
      <c r="Q710" s="379"/>
      <c r="R710" s="379"/>
      <c r="T710" s="54"/>
      <c r="U710" s="54"/>
      <c r="V710" s="379"/>
      <c r="Y710" s="379"/>
      <c r="Z710" s="59"/>
      <c r="AA710" s="379"/>
      <c r="AB710" s="379"/>
      <c r="AC710" s="59"/>
      <c r="AD710" s="59"/>
      <c r="AE710" s="379"/>
      <c r="AF710" s="379"/>
      <c r="AG710" s="156"/>
      <c r="AH710" s="60"/>
      <c r="AI710" s="379"/>
      <c r="AJ710" s="379"/>
      <c r="AK710" s="156"/>
      <c r="AL710" s="379"/>
      <c r="AM710" s="50"/>
      <c r="AN710" s="50"/>
    </row>
    <row r="711" spans="1:40" x14ac:dyDescent="0.25">
      <c r="A711" s="53"/>
      <c r="C711" s="54"/>
      <c r="D711" s="54"/>
      <c r="E711" s="54"/>
      <c r="F711" s="379"/>
      <c r="G711" s="379"/>
      <c r="H711" s="379"/>
      <c r="I711" s="379"/>
      <c r="J711" s="59"/>
      <c r="K711" s="59"/>
      <c r="L711" s="379"/>
      <c r="M711" s="379"/>
      <c r="N711" s="59"/>
      <c r="O711" s="59"/>
      <c r="P711" s="379"/>
      <c r="Q711" s="379"/>
      <c r="R711" s="379"/>
      <c r="T711" s="54"/>
      <c r="U711" s="54"/>
      <c r="V711" s="379"/>
      <c r="W711" s="379"/>
      <c r="X711" s="379"/>
      <c r="Y711" s="379"/>
      <c r="Z711" s="59"/>
      <c r="AA711" s="379"/>
      <c r="AB711" s="379"/>
      <c r="AC711" s="59"/>
      <c r="AD711" s="59"/>
      <c r="AE711" s="379"/>
      <c r="AF711" s="379"/>
      <c r="AG711" s="156"/>
      <c r="AH711" s="60"/>
      <c r="AI711" s="379"/>
      <c r="AJ711" s="379"/>
      <c r="AK711" s="156"/>
      <c r="AL711" s="379"/>
      <c r="AM711" s="50"/>
      <c r="AN711" s="50"/>
    </row>
    <row r="712" spans="1:40" x14ac:dyDescent="0.25">
      <c r="A712" s="53"/>
      <c r="C712" s="54"/>
      <c r="D712" s="54"/>
      <c r="E712" s="54"/>
      <c r="F712" s="379"/>
      <c r="G712" s="379"/>
      <c r="H712" s="379"/>
      <c r="I712" s="379"/>
      <c r="J712" s="59"/>
      <c r="K712" s="59"/>
      <c r="L712" s="379"/>
      <c r="M712" s="379"/>
      <c r="N712" s="59"/>
      <c r="O712" s="59"/>
      <c r="P712" s="379"/>
      <c r="Q712" s="379"/>
      <c r="R712" s="379"/>
      <c r="T712" s="54"/>
      <c r="U712" s="54"/>
      <c r="V712" s="379"/>
      <c r="W712" s="379"/>
      <c r="X712" s="379"/>
      <c r="Y712" s="379"/>
      <c r="Z712" s="59"/>
      <c r="AA712" s="379"/>
      <c r="AB712" s="379"/>
      <c r="AC712" s="59"/>
      <c r="AD712" s="59"/>
      <c r="AE712" s="379"/>
      <c r="AF712" s="379"/>
      <c r="AG712" s="156"/>
      <c r="AH712" s="60"/>
      <c r="AI712" s="379"/>
      <c r="AJ712" s="379"/>
      <c r="AK712" s="156"/>
      <c r="AL712" s="379"/>
      <c r="AM712" s="50"/>
      <c r="AN712" s="50"/>
    </row>
    <row r="713" spans="1:40" x14ac:dyDescent="0.25">
      <c r="A713" s="53"/>
      <c r="C713" s="54"/>
      <c r="D713" s="54"/>
      <c r="E713" s="54"/>
      <c r="F713" s="379"/>
      <c r="H713" s="379"/>
      <c r="I713" s="379"/>
      <c r="J713" s="59"/>
      <c r="K713" s="59"/>
      <c r="L713" s="379"/>
      <c r="M713" s="379"/>
      <c r="N713" s="59"/>
      <c r="O713" s="59"/>
      <c r="P713" s="379"/>
      <c r="Q713" s="379"/>
      <c r="R713" s="379"/>
      <c r="T713" s="54"/>
      <c r="U713" s="54"/>
      <c r="V713" s="379"/>
      <c r="Y713" s="379"/>
      <c r="Z713" s="59"/>
      <c r="AA713" s="379"/>
      <c r="AB713" s="379"/>
      <c r="AC713" s="59"/>
      <c r="AD713" s="59"/>
      <c r="AE713" s="379"/>
      <c r="AF713" s="379"/>
      <c r="AG713" s="156"/>
      <c r="AH713" s="60"/>
      <c r="AI713" s="379"/>
      <c r="AJ713" s="379"/>
      <c r="AK713" s="156"/>
      <c r="AL713" s="379"/>
      <c r="AM713" s="50"/>
      <c r="AN713" s="50"/>
    </row>
    <row r="714" spans="1:40" x14ac:dyDescent="0.25">
      <c r="A714" s="53"/>
      <c r="C714" s="54"/>
      <c r="D714" s="54"/>
      <c r="E714" s="54"/>
      <c r="F714" s="379"/>
      <c r="H714" s="379"/>
      <c r="I714" s="379"/>
      <c r="J714" s="59"/>
      <c r="K714" s="59"/>
      <c r="L714" s="379"/>
      <c r="M714" s="379"/>
      <c r="N714" s="59"/>
      <c r="O714" s="59"/>
      <c r="P714" s="379"/>
      <c r="Q714" s="379"/>
      <c r="R714" s="379"/>
      <c r="T714" s="54"/>
      <c r="U714" s="54"/>
      <c r="V714" s="379"/>
      <c r="Y714" s="379"/>
      <c r="Z714" s="59"/>
      <c r="AA714" s="379"/>
      <c r="AB714" s="379"/>
      <c r="AC714" s="59"/>
      <c r="AD714" s="59"/>
      <c r="AE714" s="379"/>
      <c r="AF714" s="379"/>
      <c r="AG714" s="156"/>
      <c r="AH714" s="60"/>
      <c r="AI714" s="379"/>
      <c r="AJ714" s="379"/>
      <c r="AK714" s="156"/>
      <c r="AL714" s="379"/>
      <c r="AM714" s="50"/>
      <c r="AN714" s="50"/>
    </row>
    <row r="715" spans="1:40" x14ac:dyDescent="0.25">
      <c r="A715" s="53"/>
      <c r="C715" s="54"/>
      <c r="D715" s="54"/>
      <c r="E715" s="54"/>
      <c r="F715" s="379"/>
      <c r="H715" s="379"/>
      <c r="I715" s="379"/>
      <c r="J715" s="59"/>
      <c r="K715" s="59"/>
      <c r="L715" s="379"/>
      <c r="M715" s="379"/>
      <c r="N715" s="59"/>
      <c r="O715" s="59"/>
      <c r="P715" s="379"/>
      <c r="Q715" s="379"/>
      <c r="R715" s="379"/>
      <c r="T715" s="54"/>
      <c r="U715" s="54"/>
      <c r="V715" s="379"/>
      <c r="Y715" s="379"/>
      <c r="Z715" s="59"/>
      <c r="AA715" s="379"/>
      <c r="AB715" s="379"/>
      <c r="AC715" s="59"/>
      <c r="AD715" s="59"/>
      <c r="AE715" s="379"/>
      <c r="AF715" s="379"/>
      <c r="AG715" s="156"/>
      <c r="AH715" s="60"/>
      <c r="AI715" s="379"/>
      <c r="AJ715" s="379"/>
      <c r="AK715" s="156"/>
      <c r="AL715" s="379"/>
      <c r="AM715" s="50"/>
      <c r="AN715" s="50"/>
    </row>
    <row r="716" spans="1:40" x14ac:dyDescent="0.25">
      <c r="A716" s="53"/>
      <c r="C716" s="54"/>
      <c r="D716" s="54"/>
      <c r="E716" s="54"/>
      <c r="F716" s="379"/>
      <c r="H716" s="379"/>
      <c r="I716" s="379"/>
      <c r="J716" s="59"/>
      <c r="K716" s="59"/>
      <c r="L716" s="379"/>
      <c r="M716" s="379"/>
      <c r="N716" s="59"/>
      <c r="O716" s="59"/>
      <c r="P716" s="379"/>
      <c r="Q716" s="379"/>
      <c r="R716" s="379"/>
      <c r="T716" s="54"/>
      <c r="U716" s="54"/>
      <c r="V716" s="379"/>
      <c r="Y716" s="379"/>
      <c r="Z716" s="59"/>
      <c r="AA716" s="379"/>
      <c r="AB716" s="379"/>
      <c r="AC716" s="59"/>
      <c r="AD716" s="59"/>
      <c r="AE716" s="379"/>
      <c r="AF716" s="379"/>
      <c r="AG716" s="156"/>
      <c r="AH716" s="60"/>
      <c r="AI716" s="379"/>
      <c r="AJ716" s="379"/>
      <c r="AK716" s="156"/>
      <c r="AL716" s="379"/>
      <c r="AM716" s="50"/>
      <c r="AN716" s="50"/>
    </row>
    <row r="717" spans="1:40" x14ac:dyDescent="0.25">
      <c r="F717" s="381"/>
      <c r="H717" s="381"/>
      <c r="I717" s="381"/>
      <c r="J717" s="464"/>
      <c r="K717" s="464"/>
      <c r="L717" s="381"/>
      <c r="M717" s="381"/>
      <c r="N717" s="381"/>
      <c r="O717" s="381"/>
      <c r="P717" s="381"/>
      <c r="Q717" s="381"/>
      <c r="R717" s="381"/>
      <c r="V717" s="381"/>
      <c r="Y717" s="381"/>
      <c r="Z717" s="464"/>
      <c r="AA717" s="381"/>
      <c r="AB717" s="381"/>
      <c r="AC717" s="381"/>
      <c r="AD717" s="381"/>
      <c r="AE717" s="381"/>
      <c r="AF717" s="381"/>
      <c r="AI717" s="381"/>
      <c r="AJ717" s="381"/>
      <c r="AK717" s="162"/>
      <c r="AL717" s="381"/>
      <c r="AM717" s="50"/>
      <c r="AN717" s="50"/>
    </row>
    <row r="718" spans="1:40" x14ac:dyDescent="0.25">
      <c r="A718" s="53"/>
      <c r="C718" s="54"/>
      <c r="F718" s="379"/>
      <c r="H718" s="379"/>
      <c r="I718" s="379"/>
      <c r="J718" s="59"/>
      <c r="K718" s="59"/>
      <c r="L718" s="379"/>
      <c r="M718" s="379"/>
      <c r="N718" s="59"/>
      <c r="O718" s="59"/>
      <c r="P718" s="379"/>
      <c r="Q718" s="379"/>
      <c r="R718" s="379"/>
      <c r="T718" s="54"/>
      <c r="V718" s="379"/>
      <c r="Y718" s="379"/>
      <c r="Z718" s="59"/>
      <c r="AA718" s="379"/>
      <c r="AB718" s="379"/>
      <c r="AC718" s="59"/>
      <c r="AD718" s="59"/>
      <c r="AE718" s="379"/>
      <c r="AF718" s="379"/>
      <c r="AG718" s="156"/>
      <c r="AH718" s="60"/>
      <c r="AI718" s="379"/>
      <c r="AJ718" s="379"/>
      <c r="AK718" s="156"/>
      <c r="AL718" s="379"/>
      <c r="AM718" s="50"/>
      <c r="AN718" s="50"/>
    </row>
    <row r="719" spans="1:40" x14ac:dyDescent="0.25">
      <c r="V719" s="379"/>
      <c r="Y719" s="379"/>
      <c r="Z719" s="464"/>
      <c r="AA719" s="379"/>
      <c r="AB719" s="379"/>
      <c r="AC719" s="379"/>
      <c r="AD719" s="379"/>
      <c r="AE719" s="379"/>
      <c r="AF719" s="379"/>
      <c r="AI719" s="379"/>
      <c r="AJ719" s="379"/>
      <c r="AK719" s="156"/>
      <c r="AL719" s="379"/>
      <c r="AM719" s="50"/>
      <c r="AN719" s="50"/>
    </row>
    <row r="720" spans="1:40" x14ac:dyDescent="0.25">
      <c r="A720" s="53"/>
      <c r="C720" s="54"/>
      <c r="D720" s="54"/>
      <c r="E720" s="54"/>
      <c r="L720" s="379"/>
      <c r="M720" s="379"/>
      <c r="N720" s="59"/>
      <c r="O720" s="59"/>
      <c r="P720" s="53"/>
      <c r="Q720" s="53"/>
      <c r="R720" s="379"/>
      <c r="T720" s="54"/>
      <c r="U720" s="54"/>
      <c r="AA720" s="379"/>
      <c r="AB720" s="379"/>
      <c r="AC720" s="59"/>
      <c r="AD720" s="59"/>
      <c r="AE720" s="379"/>
      <c r="AF720" s="379"/>
      <c r="AG720" s="156"/>
      <c r="AH720" s="60"/>
      <c r="AI720" s="53"/>
      <c r="AJ720" s="53"/>
      <c r="AK720" s="156"/>
      <c r="AL720" s="379"/>
      <c r="AM720" s="50"/>
      <c r="AN720" s="50"/>
    </row>
    <row r="721" spans="1:40" x14ac:dyDescent="0.25">
      <c r="A721" s="53"/>
      <c r="D721" s="54"/>
      <c r="E721" s="54"/>
      <c r="F721" s="449"/>
      <c r="H721" s="449"/>
      <c r="I721" s="449"/>
      <c r="J721" s="59"/>
      <c r="K721" s="59"/>
      <c r="L721" s="379"/>
      <c r="M721" s="379"/>
      <c r="N721" s="59"/>
      <c r="O721" s="59"/>
      <c r="P721" s="449"/>
      <c r="Q721" s="449"/>
      <c r="R721" s="379"/>
      <c r="U721" s="54"/>
      <c r="V721" s="379"/>
      <c r="Y721" s="379"/>
      <c r="Z721" s="59"/>
      <c r="AA721" s="379"/>
      <c r="AB721" s="379"/>
      <c r="AC721" s="59"/>
      <c r="AD721" s="59"/>
      <c r="AE721" s="379"/>
      <c r="AF721" s="379"/>
      <c r="AG721" s="156"/>
      <c r="AH721" s="60"/>
      <c r="AI721" s="379"/>
      <c r="AJ721" s="379"/>
      <c r="AK721" s="156"/>
      <c r="AL721" s="379"/>
      <c r="AM721" s="50"/>
      <c r="AN721" s="50"/>
    </row>
    <row r="722" spans="1:40" x14ac:dyDescent="0.25">
      <c r="F722" s="381"/>
      <c r="H722" s="381"/>
      <c r="I722" s="381"/>
      <c r="J722" s="464"/>
      <c r="K722" s="464"/>
      <c r="L722" s="381"/>
      <c r="M722" s="381"/>
      <c r="N722" s="381"/>
      <c r="O722" s="381"/>
      <c r="P722" s="381"/>
      <c r="Q722" s="381"/>
      <c r="R722" s="381"/>
      <c r="V722" s="381"/>
      <c r="Y722" s="381"/>
      <c r="Z722" s="464"/>
      <c r="AA722" s="381"/>
      <c r="AB722" s="381"/>
      <c r="AC722" s="381"/>
      <c r="AD722" s="381"/>
      <c r="AE722" s="381"/>
      <c r="AF722" s="381"/>
      <c r="AI722" s="381"/>
      <c r="AJ722" s="381"/>
      <c r="AK722" s="162"/>
      <c r="AL722" s="381"/>
      <c r="AM722" s="50"/>
      <c r="AN722" s="50"/>
    </row>
    <row r="723" spans="1:40" x14ac:dyDescent="0.25">
      <c r="A723" s="53"/>
      <c r="C723" s="54"/>
      <c r="F723" s="379"/>
      <c r="H723" s="379"/>
      <c r="I723" s="379"/>
      <c r="J723" s="59"/>
      <c r="K723" s="59"/>
      <c r="L723" s="379"/>
      <c r="M723" s="379"/>
      <c r="N723" s="59"/>
      <c r="O723" s="59"/>
      <c r="P723" s="379"/>
      <c r="Q723" s="379"/>
      <c r="R723" s="379"/>
      <c r="T723" s="54"/>
      <c r="V723" s="379"/>
      <c r="Y723" s="379"/>
      <c r="Z723" s="59"/>
      <c r="AA723" s="379"/>
      <c r="AB723" s="379"/>
      <c r="AC723" s="59"/>
      <c r="AD723" s="59"/>
      <c r="AE723" s="379"/>
      <c r="AF723" s="379"/>
      <c r="AG723" s="156"/>
      <c r="AH723" s="60"/>
      <c r="AI723" s="379"/>
      <c r="AJ723" s="379"/>
      <c r="AK723" s="156"/>
      <c r="AL723" s="379"/>
      <c r="AM723" s="50"/>
      <c r="AN723" s="50"/>
    </row>
    <row r="724" spans="1:40" x14ac:dyDescent="0.25">
      <c r="F724" s="379"/>
      <c r="H724" s="379"/>
      <c r="I724" s="379"/>
      <c r="J724" s="59"/>
      <c r="K724" s="59"/>
      <c r="L724" s="379"/>
      <c r="M724" s="379"/>
      <c r="N724" s="59"/>
      <c r="O724" s="59"/>
      <c r="P724" s="379"/>
      <c r="Q724" s="379"/>
      <c r="R724" s="379"/>
      <c r="V724" s="379"/>
      <c r="Y724" s="379"/>
      <c r="Z724" s="59"/>
      <c r="AA724" s="379"/>
      <c r="AB724" s="379"/>
      <c r="AC724" s="59"/>
      <c r="AD724" s="59"/>
      <c r="AG724" s="156"/>
      <c r="AH724" s="60"/>
      <c r="AI724" s="379"/>
      <c r="AJ724" s="379"/>
      <c r="AK724" s="156"/>
      <c r="AL724" s="379"/>
      <c r="AM724" s="50"/>
      <c r="AN724" s="50"/>
    </row>
    <row r="725" spans="1:40" x14ac:dyDescent="0.25">
      <c r="A725" s="53"/>
      <c r="D725" s="54"/>
      <c r="E725" s="54"/>
      <c r="F725" s="379"/>
      <c r="H725" s="379"/>
      <c r="I725" s="379"/>
      <c r="J725" s="59"/>
      <c r="K725" s="59"/>
      <c r="L725" s="449"/>
      <c r="M725" s="449"/>
      <c r="N725" s="59"/>
      <c r="O725" s="59"/>
      <c r="P725" s="379"/>
      <c r="Q725" s="379"/>
      <c r="R725" s="379"/>
      <c r="U725" s="54"/>
      <c r="V725" s="379"/>
      <c r="Y725" s="379"/>
      <c r="Z725" s="59"/>
      <c r="AA725" s="449"/>
      <c r="AB725" s="449"/>
      <c r="AC725" s="59"/>
      <c r="AD725" s="59"/>
      <c r="AE725" s="379"/>
      <c r="AF725" s="379"/>
      <c r="AG725" s="156"/>
      <c r="AH725" s="60"/>
      <c r="AI725" s="379"/>
      <c r="AJ725" s="379"/>
      <c r="AK725" s="156"/>
      <c r="AL725" s="379"/>
      <c r="AM725" s="50"/>
      <c r="AN725" s="50"/>
    </row>
    <row r="726" spans="1:40" x14ac:dyDescent="0.25">
      <c r="A726" s="53"/>
      <c r="D726" s="54"/>
      <c r="E726" s="54"/>
      <c r="F726" s="379"/>
      <c r="H726" s="379"/>
      <c r="I726" s="379"/>
      <c r="J726" s="59"/>
      <c r="K726" s="59"/>
      <c r="L726" s="449"/>
      <c r="M726" s="449"/>
      <c r="N726" s="59"/>
      <c r="O726" s="59"/>
      <c r="P726" s="379"/>
      <c r="Q726" s="379"/>
      <c r="R726" s="379"/>
      <c r="U726" s="54"/>
      <c r="V726" s="379"/>
      <c r="Y726" s="379"/>
      <c r="Z726" s="59"/>
      <c r="AA726" s="449"/>
      <c r="AB726" s="449"/>
      <c r="AC726" s="59"/>
      <c r="AD726" s="59"/>
      <c r="AE726" s="379"/>
      <c r="AF726" s="379"/>
      <c r="AG726" s="156"/>
      <c r="AH726" s="60"/>
      <c r="AI726" s="379"/>
      <c r="AJ726" s="379"/>
      <c r="AK726" s="156"/>
      <c r="AL726" s="379"/>
      <c r="AM726" s="50"/>
      <c r="AN726" s="50"/>
    </row>
    <row r="727" spans="1:40" x14ac:dyDescent="0.25">
      <c r="A727" s="53"/>
      <c r="D727" s="54"/>
      <c r="E727" s="54"/>
      <c r="F727" s="379"/>
      <c r="H727" s="379"/>
      <c r="I727" s="379"/>
      <c r="J727" s="59"/>
      <c r="K727" s="59"/>
      <c r="L727" s="449"/>
      <c r="M727" s="449"/>
      <c r="N727" s="59"/>
      <c r="O727" s="59"/>
      <c r="P727" s="379"/>
      <c r="Q727" s="379"/>
      <c r="R727" s="379"/>
      <c r="U727" s="54"/>
      <c r="V727" s="379"/>
      <c r="Y727" s="379"/>
      <c r="Z727" s="59"/>
      <c r="AA727" s="449"/>
      <c r="AB727" s="449"/>
      <c r="AC727" s="59"/>
      <c r="AD727" s="59"/>
      <c r="AE727" s="379"/>
      <c r="AF727" s="379"/>
      <c r="AG727" s="156"/>
      <c r="AH727" s="60"/>
      <c r="AI727" s="379"/>
      <c r="AJ727" s="379"/>
      <c r="AK727" s="156"/>
      <c r="AL727" s="379"/>
      <c r="AM727" s="50"/>
      <c r="AN727" s="50"/>
    </row>
    <row r="728" spans="1:40" x14ac:dyDescent="0.25">
      <c r="F728" s="381"/>
      <c r="H728" s="381"/>
      <c r="I728" s="381"/>
      <c r="J728" s="464"/>
      <c r="K728" s="464"/>
      <c r="L728" s="381"/>
      <c r="M728" s="381"/>
      <c r="N728" s="381"/>
      <c r="O728" s="381"/>
      <c r="P728" s="381"/>
      <c r="Q728" s="381"/>
      <c r="R728" s="381"/>
      <c r="V728" s="381"/>
      <c r="Y728" s="381"/>
      <c r="Z728" s="464"/>
      <c r="AA728" s="381"/>
      <c r="AB728" s="381"/>
      <c r="AC728" s="381"/>
      <c r="AD728" s="381"/>
      <c r="AE728" s="381"/>
      <c r="AF728" s="381"/>
      <c r="AI728" s="381"/>
      <c r="AJ728" s="381"/>
      <c r="AK728" s="162"/>
      <c r="AL728" s="381"/>
      <c r="AM728" s="50"/>
      <c r="AN728" s="50"/>
    </row>
    <row r="729" spans="1:40" x14ac:dyDescent="0.25">
      <c r="A729" s="53"/>
      <c r="C729" s="54"/>
      <c r="F729" s="379"/>
      <c r="H729" s="379"/>
      <c r="I729" s="379"/>
      <c r="J729" s="59"/>
      <c r="K729" s="59"/>
      <c r="L729" s="379"/>
      <c r="M729" s="379"/>
      <c r="N729" s="59"/>
      <c r="O729" s="59"/>
      <c r="P729" s="379"/>
      <c r="Q729" s="379"/>
      <c r="R729" s="379"/>
      <c r="T729" s="54"/>
      <c r="V729" s="379"/>
      <c r="Y729" s="379"/>
      <c r="Z729" s="59"/>
      <c r="AA729" s="379"/>
      <c r="AB729" s="379"/>
      <c r="AC729" s="59"/>
      <c r="AD729" s="59"/>
      <c r="AE729" s="379"/>
      <c r="AF729" s="379"/>
      <c r="AG729" s="156"/>
      <c r="AH729" s="60"/>
      <c r="AI729" s="379"/>
      <c r="AJ729" s="379"/>
      <c r="AK729" s="156"/>
      <c r="AL729" s="379"/>
      <c r="AM729" s="50"/>
      <c r="AN729" s="50"/>
    </row>
    <row r="730" spans="1:40" x14ac:dyDescent="0.25">
      <c r="F730" s="379"/>
      <c r="H730" s="379"/>
      <c r="I730" s="379"/>
      <c r="J730" s="59"/>
      <c r="K730" s="59"/>
      <c r="L730" s="379"/>
      <c r="M730" s="379"/>
      <c r="N730" s="59"/>
      <c r="O730" s="59"/>
      <c r="P730" s="379"/>
      <c r="Q730" s="379"/>
      <c r="R730" s="379"/>
      <c r="V730" s="379"/>
      <c r="Y730" s="379"/>
      <c r="Z730" s="59"/>
      <c r="AA730" s="379"/>
      <c r="AB730" s="379"/>
      <c r="AC730" s="59"/>
      <c r="AD730" s="59"/>
      <c r="AG730" s="156"/>
      <c r="AH730" s="60"/>
      <c r="AI730" s="379"/>
      <c r="AJ730" s="379"/>
      <c r="AK730" s="156"/>
      <c r="AL730" s="379"/>
      <c r="AM730" s="50"/>
      <c r="AN730" s="50"/>
    </row>
    <row r="731" spans="1:40" x14ac:dyDescent="0.25">
      <c r="A731" s="53"/>
      <c r="C731" s="54"/>
      <c r="F731" s="379"/>
      <c r="H731" s="379"/>
      <c r="I731" s="379"/>
      <c r="J731" s="59"/>
      <c r="K731" s="59"/>
      <c r="L731" s="379"/>
      <c r="M731" s="379"/>
      <c r="N731" s="59"/>
      <c r="O731" s="59"/>
      <c r="P731" s="379"/>
      <c r="Q731" s="379"/>
      <c r="R731" s="379"/>
      <c r="T731" s="54"/>
      <c r="V731" s="379"/>
      <c r="Y731" s="379"/>
      <c r="Z731" s="59"/>
      <c r="AA731" s="379"/>
      <c r="AB731" s="379"/>
      <c r="AC731" s="59"/>
      <c r="AD731" s="59"/>
      <c r="AE731" s="379"/>
      <c r="AF731" s="379"/>
      <c r="AG731" s="156"/>
      <c r="AH731" s="60"/>
      <c r="AI731" s="379"/>
      <c r="AJ731" s="379"/>
      <c r="AK731" s="156"/>
      <c r="AL731" s="379"/>
      <c r="AM731" s="50"/>
      <c r="AN731" s="50"/>
    </row>
    <row r="732" spans="1:40" x14ac:dyDescent="0.25">
      <c r="F732" s="381"/>
      <c r="H732" s="381"/>
      <c r="I732" s="381"/>
      <c r="J732" s="464"/>
      <c r="K732" s="464"/>
      <c r="L732" s="381"/>
      <c r="M732" s="381"/>
      <c r="N732" s="381"/>
      <c r="O732" s="381"/>
      <c r="P732" s="381"/>
      <c r="Q732" s="381"/>
      <c r="R732" s="381"/>
      <c r="V732" s="381"/>
      <c r="Y732" s="381"/>
      <c r="Z732" s="464"/>
      <c r="AA732" s="381"/>
      <c r="AB732" s="381"/>
      <c r="AC732" s="381"/>
      <c r="AD732" s="381"/>
      <c r="AE732" s="381"/>
      <c r="AF732" s="381"/>
      <c r="AI732" s="381"/>
      <c r="AJ732" s="381"/>
      <c r="AK732" s="162"/>
      <c r="AL732" s="381"/>
    </row>
    <row r="734" spans="1:40" x14ac:dyDescent="0.25">
      <c r="C734" s="54"/>
      <c r="L734" s="379"/>
      <c r="M734" s="379"/>
      <c r="P734" s="379"/>
      <c r="Q734" s="379"/>
      <c r="R734" s="379"/>
      <c r="T734" s="54"/>
    </row>
    <row r="735" spans="1:40" x14ac:dyDescent="0.25">
      <c r="A735" s="54"/>
      <c r="L735" s="379"/>
      <c r="M735" s="379"/>
      <c r="P735" s="379"/>
      <c r="Q735" s="379"/>
      <c r="R735" s="379"/>
    </row>
    <row r="736" spans="1:40" x14ac:dyDescent="0.25">
      <c r="L736" s="379"/>
      <c r="M736" s="379"/>
      <c r="P736" s="379"/>
      <c r="Q736" s="379"/>
      <c r="R736" s="379"/>
    </row>
    <row r="737" spans="12:18" x14ac:dyDescent="0.25">
      <c r="L737" s="379"/>
      <c r="M737" s="379"/>
      <c r="P737" s="379"/>
      <c r="Q737" s="379"/>
      <c r="R737" s="379"/>
    </row>
    <row r="738" spans="12:18" x14ac:dyDescent="0.25">
      <c r="L738" s="379"/>
      <c r="M738" s="379"/>
      <c r="P738" s="379"/>
      <c r="Q738" s="379"/>
      <c r="R738" s="379"/>
    </row>
    <row r="739" spans="12:18" x14ac:dyDescent="0.25">
      <c r="L739" s="379"/>
      <c r="M739" s="379"/>
      <c r="P739" s="379"/>
      <c r="Q739" s="379"/>
      <c r="R739" s="379"/>
    </row>
    <row r="740" spans="12:18" x14ac:dyDescent="0.25">
      <c r="L740" s="379"/>
      <c r="M740" s="379"/>
      <c r="P740" s="379"/>
      <c r="Q740" s="379"/>
      <c r="R740" s="379"/>
    </row>
    <row r="773" spans="49:49" x14ac:dyDescent="0.25">
      <c r="AW773" s="379"/>
    </row>
    <row r="774" spans="49:49" x14ac:dyDescent="0.25">
      <c r="AW774" s="379"/>
    </row>
    <row r="775" spans="49:49" x14ac:dyDescent="0.25">
      <c r="AW775" s="379"/>
    </row>
    <row r="776" spans="49:49" x14ac:dyDescent="0.25">
      <c r="AW776" s="379"/>
    </row>
    <row r="777" spans="49:49" x14ac:dyDescent="0.25">
      <c r="AW777" s="379"/>
    </row>
    <row r="778" spans="49:49" x14ac:dyDescent="0.25">
      <c r="AW778" s="379"/>
    </row>
    <row r="781" spans="49:49" x14ac:dyDescent="0.25">
      <c r="AW781" s="379"/>
    </row>
    <row r="782" spans="49:49" x14ac:dyDescent="0.25">
      <c r="AW782" s="379"/>
    </row>
    <row r="783" spans="49:49" x14ac:dyDescent="0.25">
      <c r="AW783" s="379"/>
    </row>
    <row r="784" spans="49:49" x14ac:dyDescent="0.25">
      <c r="AW784" s="379"/>
    </row>
    <row r="785" spans="49:49" x14ac:dyDescent="0.25">
      <c r="AW785" s="379"/>
    </row>
    <row r="786" spans="49:49" x14ac:dyDescent="0.25">
      <c r="AW786" s="379"/>
    </row>
    <row r="787" spans="49:49" x14ac:dyDescent="0.25">
      <c r="AW787" s="379"/>
    </row>
    <row r="788" spans="49:49" x14ac:dyDescent="0.25">
      <c r="AW788" s="379"/>
    </row>
    <row r="791" spans="49:49" x14ac:dyDescent="0.25">
      <c r="AW791" s="379"/>
    </row>
    <row r="792" spans="49:49" x14ac:dyDescent="0.25">
      <c r="AW792" s="379"/>
    </row>
    <row r="795" spans="49:49" x14ac:dyDescent="0.25">
      <c r="AW795" s="379"/>
    </row>
    <row r="796" spans="49:49" x14ac:dyDescent="0.25">
      <c r="AW796" s="379"/>
    </row>
    <row r="797" spans="49:49" x14ac:dyDescent="0.25">
      <c r="AW797" s="379"/>
    </row>
    <row r="798" spans="49:49" x14ac:dyDescent="0.25">
      <c r="AW798" s="379"/>
    </row>
    <row r="804" spans="45:69" x14ac:dyDescent="0.25">
      <c r="AY804" s="53"/>
    </row>
    <row r="805" spans="45:69" x14ac:dyDescent="0.25">
      <c r="AY805" s="53"/>
    </row>
    <row r="806" spans="45:69" x14ac:dyDescent="0.25">
      <c r="AY806" s="54"/>
    </row>
    <row r="807" spans="45:69" x14ac:dyDescent="0.25">
      <c r="AY807" s="54"/>
    </row>
    <row r="808" spans="45:69" x14ac:dyDescent="0.25">
      <c r="AS808" s="53"/>
      <c r="BD808" s="54"/>
    </row>
    <row r="809" spans="45:69" x14ac:dyDescent="0.25">
      <c r="AS809" s="53"/>
      <c r="BD809" s="54"/>
    </row>
    <row r="810" spans="45:69" x14ac:dyDescent="0.25">
      <c r="AS810" s="54"/>
      <c r="BD810" s="54"/>
    </row>
    <row r="811" spans="45:69" x14ac:dyDescent="0.25">
      <c r="BD811" s="53"/>
    </row>
    <row r="812" spans="45:69" x14ac:dyDescent="0.25"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</row>
    <row r="813" spans="45:69" x14ac:dyDescent="0.25">
      <c r="AX813" s="54"/>
    </row>
    <row r="814" spans="45:69" x14ac:dyDescent="0.25">
      <c r="AX814" s="55"/>
      <c r="AY814" s="55"/>
      <c r="AZ814" s="55"/>
      <c r="BA814" s="55"/>
      <c r="BC814" s="56"/>
      <c r="BD814" s="56"/>
    </row>
    <row r="815" spans="45:69" x14ac:dyDescent="0.25">
      <c r="AV815" s="56"/>
      <c r="AW815" s="56"/>
      <c r="AZ815" s="56"/>
      <c r="BA815" s="56"/>
      <c r="BC815" s="56"/>
      <c r="BD815" s="56"/>
      <c r="BE815" s="56"/>
      <c r="BG815" s="55"/>
      <c r="BH815" s="54"/>
      <c r="BK815" s="55"/>
      <c r="BM815" s="55"/>
      <c r="BN815" s="54"/>
      <c r="BQ815" s="55"/>
    </row>
    <row r="816" spans="45:69" x14ac:dyDescent="0.25"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H816" s="56"/>
      <c r="BI816" s="56"/>
      <c r="BJ816" s="56"/>
      <c r="BN816" s="56"/>
      <c r="BO816" s="56"/>
      <c r="BP816" s="56"/>
    </row>
    <row r="817" spans="45:69" x14ac:dyDescent="0.25">
      <c r="AS817" s="56"/>
      <c r="AU817" s="54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G817" s="56"/>
      <c r="BH817" s="56"/>
      <c r="BI817" s="56"/>
      <c r="BJ817" s="56"/>
      <c r="BK817" s="56"/>
      <c r="BM817" s="56"/>
      <c r="BN817" s="56"/>
      <c r="BO817" s="56"/>
      <c r="BP817" s="56"/>
      <c r="BQ817" s="56"/>
    </row>
    <row r="818" spans="45:69" x14ac:dyDescent="0.25">
      <c r="AS818" s="56"/>
      <c r="AU818" s="54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G818" s="56"/>
      <c r="BH818" s="56"/>
      <c r="BI818" s="56"/>
      <c r="BJ818" s="56"/>
      <c r="BK818" s="56"/>
      <c r="BM818" s="56"/>
      <c r="BN818" s="56"/>
      <c r="BO818" s="56"/>
      <c r="BP818" s="56"/>
      <c r="BQ818" s="56"/>
    </row>
    <row r="819" spans="45:69" x14ac:dyDescent="0.25"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G819" s="55"/>
      <c r="BH819" s="55"/>
      <c r="BI819" s="55"/>
      <c r="BJ819" s="55"/>
      <c r="BK819" s="55"/>
      <c r="BM819" s="55"/>
      <c r="BN819" s="55"/>
      <c r="BO819" s="55"/>
      <c r="BP819" s="55"/>
      <c r="BQ819" s="55"/>
    </row>
    <row r="820" spans="45:69" x14ac:dyDescent="0.25"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</row>
    <row r="821" spans="45:69" x14ac:dyDescent="0.25">
      <c r="AS821" s="53"/>
      <c r="AU821" s="54"/>
      <c r="AV821" s="56"/>
      <c r="AY821" s="59"/>
    </row>
    <row r="822" spans="45:69" x14ac:dyDescent="0.25">
      <c r="AS822" s="53"/>
      <c r="AV822" s="56"/>
      <c r="AW822" s="379"/>
      <c r="AX822" s="65"/>
      <c r="AY822" s="65"/>
      <c r="AZ822" s="65"/>
      <c r="BA822" s="50"/>
      <c r="BB822" s="65"/>
      <c r="BC822" s="59"/>
      <c r="BD822" s="59"/>
      <c r="BE822" s="50"/>
      <c r="BG822" s="65"/>
      <c r="BH822" s="65"/>
      <c r="BI822" s="65"/>
      <c r="BJ822" s="65"/>
      <c r="BK822" s="65"/>
      <c r="BM822" s="65"/>
      <c r="BN822" s="65"/>
      <c r="BO822" s="65"/>
      <c r="BP822" s="65"/>
      <c r="BQ822" s="65"/>
    </row>
    <row r="823" spans="45:69" x14ac:dyDescent="0.25">
      <c r="AS823" s="53"/>
      <c r="AV823" s="56"/>
      <c r="AW823" s="379"/>
      <c r="AX823" s="65"/>
      <c r="AY823" s="65"/>
      <c r="AZ823" s="65"/>
      <c r="BA823" s="50"/>
      <c r="BB823" s="65"/>
      <c r="BC823" s="59"/>
      <c r="BD823" s="59"/>
      <c r="BE823" s="50"/>
      <c r="BG823" s="65"/>
      <c r="BH823" s="65"/>
      <c r="BI823" s="65"/>
      <c r="BJ823" s="65"/>
      <c r="BK823" s="65"/>
      <c r="BM823" s="65"/>
      <c r="BN823" s="65"/>
      <c r="BO823" s="65"/>
      <c r="BP823" s="65"/>
      <c r="BQ823" s="65"/>
    </row>
    <row r="824" spans="45:69" x14ac:dyDescent="0.25">
      <c r="AS824" s="53"/>
      <c r="AV824" s="56"/>
      <c r="AW824" s="379"/>
      <c r="AX824" s="65"/>
      <c r="AY824" s="65"/>
      <c r="AZ824" s="65"/>
      <c r="BA824" s="50"/>
      <c r="BB824" s="65"/>
      <c r="BC824" s="59"/>
      <c r="BD824" s="59"/>
      <c r="BE824" s="50"/>
      <c r="BG824" s="65"/>
      <c r="BH824" s="65"/>
      <c r="BI824" s="65"/>
      <c r="BJ824" s="65"/>
      <c r="BK824" s="65"/>
      <c r="BM824" s="65"/>
      <c r="BN824" s="65"/>
      <c r="BO824" s="65"/>
      <c r="BP824" s="65"/>
      <c r="BQ824" s="65"/>
    </row>
    <row r="825" spans="45:69" x14ac:dyDescent="0.25">
      <c r="AS825" s="53"/>
      <c r="AV825" s="56"/>
      <c r="AW825" s="379"/>
      <c r="AX825" s="65"/>
      <c r="AY825" s="65"/>
      <c r="AZ825" s="65"/>
      <c r="BA825" s="50"/>
      <c r="BB825" s="65"/>
      <c r="BC825" s="59"/>
      <c r="BD825" s="59"/>
      <c r="BE825" s="50"/>
      <c r="BG825" s="65"/>
      <c r="BH825" s="65"/>
      <c r="BI825" s="65"/>
      <c r="BJ825" s="65"/>
      <c r="BK825" s="65"/>
      <c r="BM825" s="65"/>
      <c r="BN825" s="65"/>
      <c r="BO825" s="65"/>
      <c r="BP825" s="65"/>
      <c r="BQ825" s="65"/>
    </row>
    <row r="826" spans="45:69" x14ac:dyDescent="0.25">
      <c r="AS826" s="53"/>
      <c r="AV826" s="56"/>
      <c r="AW826" s="379"/>
      <c r="AX826" s="65"/>
      <c r="AY826" s="65"/>
      <c r="AZ826" s="65"/>
      <c r="BA826" s="50"/>
      <c r="BB826" s="65"/>
      <c r="BC826" s="59"/>
      <c r="BD826" s="59"/>
      <c r="BE826" s="50"/>
      <c r="BG826" s="65"/>
      <c r="BH826" s="65"/>
      <c r="BI826" s="65"/>
      <c r="BJ826" s="65"/>
      <c r="BK826" s="65"/>
      <c r="BM826" s="65"/>
      <c r="BN826" s="65"/>
      <c r="BO826" s="65"/>
      <c r="BP826" s="65"/>
      <c r="BQ826" s="65"/>
    </row>
    <row r="827" spans="45:69" x14ac:dyDescent="0.25">
      <c r="AS827" s="53"/>
      <c r="AV827" s="56"/>
      <c r="AW827" s="379"/>
      <c r="AX827" s="65"/>
      <c r="AY827" s="65"/>
      <c r="AZ827" s="65"/>
      <c r="BA827" s="50"/>
      <c r="BB827" s="65"/>
      <c r="BC827" s="59"/>
      <c r="BD827" s="59"/>
      <c r="BE827" s="50"/>
      <c r="BG827" s="65"/>
      <c r="BH827" s="65"/>
      <c r="BI827" s="65"/>
      <c r="BJ827" s="65"/>
      <c r="BK827" s="65"/>
      <c r="BM827" s="65"/>
      <c r="BN827" s="65"/>
      <c r="BO827" s="65"/>
      <c r="BP827" s="65"/>
      <c r="BQ827" s="65"/>
    </row>
    <row r="828" spans="45:69" x14ac:dyDescent="0.25">
      <c r="AS828" s="53"/>
      <c r="AV828" s="56"/>
      <c r="AW828" s="379"/>
      <c r="AX828" s="65"/>
      <c r="AY828" s="65"/>
      <c r="AZ828" s="65"/>
      <c r="BA828" s="50"/>
      <c r="BB828" s="65"/>
      <c r="BC828" s="59"/>
      <c r="BD828" s="59"/>
      <c r="BE828" s="50"/>
      <c r="BG828" s="65"/>
      <c r="BH828" s="65"/>
      <c r="BI828" s="65"/>
      <c r="BJ828" s="65"/>
      <c r="BK828" s="65"/>
      <c r="BM828" s="65"/>
      <c r="BN828" s="65"/>
      <c r="BO828" s="65"/>
      <c r="BP828" s="65"/>
      <c r="BQ828" s="65"/>
    </row>
    <row r="829" spans="45:69" x14ac:dyDescent="0.25">
      <c r="AY829" s="59"/>
      <c r="AZ829" s="65"/>
      <c r="BA829" s="50"/>
      <c r="BB829" s="65"/>
      <c r="BC829" s="59"/>
      <c r="BD829" s="59"/>
      <c r="BE829" s="50"/>
      <c r="BK829" s="65"/>
      <c r="BQ829" s="65"/>
    </row>
    <row r="830" spans="45:69" x14ac:dyDescent="0.25">
      <c r="AS830" s="53"/>
      <c r="AV830" s="56"/>
      <c r="AY830" s="59"/>
      <c r="AZ830" s="65"/>
      <c r="BA830" s="50"/>
      <c r="BB830" s="65"/>
      <c r="BC830" s="59"/>
      <c r="BD830" s="59"/>
      <c r="BE830" s="50"/>
      <c r="BK830" s="65"/>
      <c r="BQ830" s="65"/>
    </row>
    <row r="831" spans="45:69" x14ac:dyDescent="0.25">
      <c r="AS831" s="53"/>
      <c r="AV831" s="56"/>
      <c r="AW831" s="379"/>
      <c r="AX831" s="65"/>
      <c r="AY831" s="65"/>
      <c r="AZ831" s="65"/>
      <c r="BA831" s="50"/>
      <c r="BB831" s="65"/>
      <c r="BC831" s="59"/>
      <c r="BD831" s="59"/>
      <c r="BE831" s="50"/>
      <c r="BG831" s="65"/>
      <c r="BH831" s="65"/>
      <c r="BI831" s="65"/>
      <c r="BJ831" s="65"/>
      <c r="BK831" s="65"/>
      <c r="BM831" s="65"/>
      <c r="BN831" s="65"/>
      <c r="BO831" s="65"/>
      <c r="BP831" s="65"/>
      <c r="BQ831" s="65"/>
    </row>
    <row r="832" spans="45:69" x14ac:dyDescent="0.25">
      <c r="AS832" s="53"/>
      <c r="AV832" s="56"/>
      <c r="AW832" s="379"/>
      <c r="AX832" s="65"/>
      <c r="AY832" s="65"/>
      <c r="AZ832" s="65"/>
      <c r="BA832" s="50"/>
      <c r="BB832" s="65"/>
      <c r="BC832" s="59"/>
      <c r="BD832" s="59"/>
      <c r="BE832" s="50"/>
      <c r="BG832" s="65"/>
      <c r="BH832" s="65"/>
      <c r="BI832" s="65"/>
      <c r="BJ832" s="65"/>
      <c r="BK832" s="65"/>
      <c r="BM832" s="65"/>
      <c r="BN832" s="65"/>
      <c r="BO832" s="65"/>
      <c r="BP832" s="65"/>
      <c r="BQ832" s="65"/>
    </row>
    <row r="833" spans="45:69" x14ac:dyDescent="0.25">
      <c r="AS833" s="53"/>
      <c r="AV833" s="56"/>
      <c r="AW833" s="379"/>
      <c r="AX833" s="65"/>
      <c r="AY833" s="65"/>
      <c r="AZ833" s="65"/>
      <c r="BA833" s="50"/>
      <c r="BB833" s="65"/>
      <c r="BC833" s="59"/>
      <c r="BD833" s="59"/>
      <c r="BE833" s="50"/>
      <c r="BG833" s="65"/>
      <c r="BH833" s="65"/>
      <c r="BI833" s="65"/>
      <c r="BJ833" s="65"/>
      <c r="BK833" s="65"/>
      <c r="BM833" s="65"/>
      <c r="BN833" s="65"/>
      <c r="BO833" s="65"/>
      <c r="BP833" s="65"/>
      <c r="BQ833" s="65"/>
    </row>
    <row r="834" spans="45:69" x14ac:dyDescent="0.25">
      <c r="AS834" s="53"/>
      <c r="AV834" s="56"/>
      <c r="AW834" s="379"/>
      <c r="AX834" s="65"/>
      <c r="AY834" s="65"/>
      <c r="AZ834" s="65"/>
      <c r="BA834" s="50"/>
      <c r="BB834" s="65"/>
      <c r="BC834" s="59"/>
      <c r="BD834" s="59"/>
      <c r="BE834" s="50"/>
      <c r="BG834" s="65"/>
      <c r="BH834" s="65"/>
      <c r="BI834" s="65"/>
      <c r="BJ834" s="65"/>
      <c r="BK834" s="65"/>
      <c r="BM834" s="65"/>
      <c r="BN834" s="65"/>
      <c r="BO834" s="65"/>
      <c r="BP834" s="65"/>
      <c r="BQ834" s="65"/>
    </row>
    <row r="835" spans="45:69" x14ac:dyDescent="0.25">
      <c r="AS835" s="53"/>
      <c r="AV835" s="56"/>
      <c r="AW835" s="379"/>
      <c r="AX835" s="65"/>
      <c r="AY835" s="65"/>
      <c r="AZ835" s="65"/>
      <c r="BA835" s="50"/>
      <c r="BB835" s="65"/>
      <c r="BC835" s="59"/>
      <c r="BD835" s="59"/>
      <c r="BE835" s="50"/>
      <c r="BG835" s="65"/>
      <c r="BH835" s="65"/>
      <c r="BI835" s="65"/>
      <c r="BJ835" s="65"/>
      <c r="BK835" s="65"/>
      <c r="BM835" s="65"/>
      <c r="BN835" s="65"/>
      <c r="BO835" s="65"/>
      <c r="BP835" s="65"/>
      <c r="BQ835" s="65"/>
    </row>
    <row r="836" spans="45:69" x14ac:dyDescent="0.25">
      <c r="AS836" s="53"/>
      <c r="AV836" s="56"/>
      <c r="AW836" s="379"/>
      <c r="AX836" s="65"/>
      <c r="AY836" s="65"/>
      <c r="AZ836" s="65"/>
      <c r="BA836" s="50"/>
      <c r="BB836" s="65"/>
      <c r="BC836" s="59"/>
      <c r="BD836" s="59"/>
      <c r="BE836" s="50"/>
      <c r="BG836" s="65"/>
      <c r="BH836" s="65"/>
      <c r="BI836" s="65"/>
      <c r="BJ836" s="65"/>
      <c r="BK836" s="65"/>
      <c r="BM836" s="65"/>
      <c r="BN836" s="65"/>
      <c r="BO836" s="65"/>
      <c r="BP836" s="65"/>
      <c r="BQ836" s="65"/>
    </row>
    <row r="837" spans="45:69" x14ac:dyDescent="0.25">
      <c r="AS837" s="53"/>
      <c r="AV837" s="56"/>
      <c r="AW837" s="379"/>
      <c r="AX837" s="65"/>
      <c r="AY837" s="65"/>
      <c r="AZ837" s="65"/>
      <c r="BA837" s="50"/>
      <c r="BB837" s="65"/>
      <c r="BC837" s="59"/>
      <c r="BD837" s="59"/>
      <c r="BE837" s="50"/>
      <c r="BG837" s="65"/>
      <c r="BH837" s="65"/>
      <c r="BI837" s="65"/>
      <c r="BJ837" s="65"/>
      <c r="BK837" s="65"/>
      <c r="BM837" s="65"/>
      <c r="BN837" s="65"/>
      <c r="BO837" s="65"/>
      <c r="BP837" s="65"/>
      <c r="BQ837" s="65"/>
    </row>
    <row r="838" spans="45:69" x14ac:dyDescent="0.25">
      <c r="AS838" s="53"/>
      <c r="AV838" s="56"/>
      <c r="AW838" s="379"/>
      <c r="AX838" s="65"/>
      <c r="AY838" s="65"/>
      <c r="AZ838" s="65"/>
      <c r="BA838" s="50"/>
      <c r="BB838" s="65"/>
      <c r="BC838" s="59"/>
      <c r="BD838" s="59"/>
      <c r="BE838" s="50"/>
      <c r="BG838" s="65"/>
      <c r="BH838" s="65"/>
      <c r="BI838" s="65"/>
      <c r="BJ838" s="65"/>
      <c r="BK838" s="65"/>
      <c r="BM838" s="65"/>
      <c r="BN838" s="65"/>
      <c r="BO838" s="65"/>
      <c r="BP838" s="65"/>
      <c r="BQ838" s="65"/>
    </row>
    <row r="839" spans="45:69" x14ac:dyDescent="0.25">
      <c r="AY839" s="59"/>
      <c r="AZ839" s="65"/>
      <c r="BA839" s="50"/>
      <c r="BB839" s="65"/>
      <c r="BC839" s="59"/>
      <c r="BD839" s="59"/>
      <c r="BE839" s="50"/>
      <c r="BK839" s="65"/>
      <c r="BQ839" s="65"/>
    </row>
    <row r="840" spans="45:69" x14ac:dyDescent="0.25">
      <c r="AU840" s="54"/>
      <c r="AZ840" s="65"/>
      <c r="BB840" s="65"/>
      <c r="BG840" s="65"/>
      <c r="BH840" s="65"/>
      <c r="BJ840" s="65"/>
      <c r="BK840" s="65"/>
    </row>
    <row r="841" spans="45:69" x14ac:dyDescent="0.25">
      <c r="AZ841" s="65"/>
      <c r="BB841" s="65"/>
    </row>
    <row r="842" spans="45:69" x14ac:dyDescent="0.25">
      <c r="AS842" s="54"/>
      <c r="AZ842" s="65"/>
      <c r="BB842" s="65"/>
      <c r="BI842" s="65"/>
    </row>
    <row r="843" spans="45:69" x14ac:dyDescent="0.25">
      <c r="AY843" s="53"/>
      <c r="AZ843" s="65"/>
      <c r="BB843" s="65"/>
    </row>
    <row r="844" spans="45:69" x14ac:dyDescent="0.25">
      <c r="AY844" s="65"/>
      <c r="BB844" s="65"/>
    </row>
    <row r="845" spans="45:69" x14ac:dyDescent="0.25">
      <c r="AY845" s="54"/>
      <c r="AZ845" s="65"/>
      <c r="BB845" s="65"/>
    </row>
    <row r="846" spans="45:69" x14ac:dyDescent="0.25">
      <c r="AY846" s="54"/>
      <c r="AZ846" s="65"/>
      <c r="BB846" s="65"/>
    </row>
    <row r="847" spans="45:69" x14ac:dyDescent="0.25">
      <c r="AS847" s="53"/>
      <c r="AZ847" s="65"/>
      <c r="BB847" s="65"/>
      <c r="BD847" s="54"/>
    </row>
    <row r="848" spans="45:69" x14ac:dyDescent="0.25">
      <c r="AS848" s="53"/>
      <c r="AZ848" s="65"/>
      <c r="BB848" s="65"/>
      <c r="BD848" s="54"/>
    </row>
    <row r="849" spans="45:75" x14ac:dyDescent="0.25">
      <c r="AS849" s="54"/>
      <c r="AZ849" s="65"/>
      <c r="BB849" s="65"/>
      <c r="BD849" s="54"/>
    </row>
    <row r="850" spans="45:75" x14ac:dyDescent="0.25">
      <c r="AZ850" s="65"/>
      <c r="BB850" s="65"/>
      <c r="BD850" s="53"/>
    </row>
    <row r="851" spans="45:75" x14ac:dyDescent="0.25">
      <c r="AS851" s="55"/>
      <c r="AT851" s="55"/>
      <c r="AU851" s="55"/>
      <c r="AV851" s="55"/>
      <c r="AW851" s="55"/>
      <c r="AX851" s="55"/>
      <c r="AY851" s="55"/>
      <c r="AZ851" s="66"/>
      <c r="BA851" s="55"/>
      <c r="BB851" s="66"/>
      <c r="BC851" s="55"/>
      <c r="BD851" s="55"/>
      <c r="BE851" s="55"/>
    </row>
    <row r="852" spans="45:75" x14ac:dyDescent="0.25">
      <c r="AX852" s="54"/>
      <c r="AZ852" s="65"/>
      <c r="BB852" s="65"/>
    </row>
    <row r="853" spans="45:75" x14ac:dyDescent="0.25">
      <c r="AX853" s="55"/>
      <c r="AY853" s="55"/>
      <c r="AZ853" s="66"/>
      <c r="BA853" s="55"/>
      <c r="BB853" s="65"/>
      <c r="BC853" s="56"/>
      <c r="BD853" s="56"/>
    </row>
    <row r="854" spans="45:75" x14ac:dyDescent="0.25">
      <c r="AV854" s="56"/>
      <c r="AW854" s="56"/>
      <c r="AZ854" s="67"/>
      <c r="BA854" s="56"/>
      <c r="BB854" s="65"/>
      <c r="BC854" s="56"/>
      <c r="BD854" s="56"/>
      <c r="BE854" s="56"/>
      <c r="BG854" s="55"/>
      <c r="BH854" s="55"/>
      <c r="BI854" s="54"/>
      <c r="BM854" s="55"/>
      <c r="BN854" s="55"/>
      <c r="BP854" s="55"/>
      <c r="BQ854" s="55"/>
      <c r="BR854" s="54"/>
      <c r="BV854" s="55"/>
      <c r="BW854" s="55"/>
    </row>
    <row r="855" spans="45:75" x14ac:dyDescent="0.25">
      <c r="AV855" s="56"/>
      <c r="AW855" s="56"/>
      <c r="AX855" s="56"/>
      <c r="AY855" s="56"/>
      <c r="AZ855" s="67"/>
      <c r="BA855" s="56"/>
      <c r="BB855" s="67"/>
      <c r="BC855" s="56"/>
      <c r="BD855" s="56"/>
      <c r="BE855" s="56"/>
      <c r="BH855" s="56"/>
      <c r="BI855" s="56"/>
      <c r="BJ855" s="56"/>
      <c r="BK855" s="56"/>
      <c r="BL855" s="56"/>
      <c r="BM855" s="56"/>
      <c r="BQ855" s="56"/>
      <c r="BR855" s="56"/>
      <c r="BS855" s="56"/>
      <c r="BT855" s="56"/>
      <c r="BU855" s="56"/>
      <c r="BV855" s="56"/>
    </row>
    <row r="856" spans="45:75" x14ac:dyDescent="0.25">
      <c r="AS856" s="56"/>
      <c r="AU856" s="54"/>
      <c r="AV856" s="56"/>
      <c r="AW856" s="56"/>
      <c r="AX856" s="56"/>
      <c r="AY856" s="56"/>
      <c r="AZ856" s="67"/>
      <c r="BA856" s="56"/>
      <c r="BB856" s="67"/>
      <c r="BC856" s="56"/>
      <c r="BD856" s="56"/>
      <c r="BE856" s="56"/>
      <c r="BG856" s="56"/>
      <c r="BH856" s="56"/>
      <c r="BI856" s="56"/>
      <c r="BJ856" s="56"/>
      <c r="BK856" s="56"/>
      <c r="BL856" s="56"/>
      <c r="BM856" s="56"/>
      <c r="BN856" s="56"/>
      <c r="BP856" s="56"/>
      <c r="BQ856" s="56"/>
      <c r="BR856" s="56"/>
      <c r="BS856" s="56"/>
      <c r="BT856" s="56"/>
      <c r="BU856" s="56"/>
      <c r="BV856" s="56"/>
      <c r="BW856" s="56"/>
    </row>
    <row r="857" spans="45:75" x14ac:dyDescent="0.25">
      <c r="AS857" s="56"/>
      <c r="AU857" s="54"/>
      <c r="AV857" s="56"/>
      <c r="AW857" s="56"/>
      <c r="AX857" s="56"/>
      <c r="AY857" s="56"/>
      <c r="AZ857" s="67"/>
      <c r="BA857" s="56"/>
      <c r="BB857" s="67"/>
      <c r="BC857" s="56"/>
      <c r="BD857" s="56"/>
      <c r="BE857" s="56"/>
      <c r="BG857" s="56"/>
      <c r="BH857" s="56"/>
      <c r="BI857" s="56"/>
      <c r="BJ857" s="56"/>
      <c r="BK857" s="56"/>
      <c r="BL857" s="56"/>
      <c r="BM857" s="56"/>
      <c r="BN857" s="56"/>
      <c r="BP857" s="56"/>
      <c r="BQ857" s="56"/>
      <c r="BR857" s="56"/>
      <c r="BS857" s="56"/>
      <c r="BT857" s="56"/>
      <c r="BU857" s="56"/>
      <c r="BV857" s="56"/>
      <c r="BW857" s="56"/>
    </row>
    <row r="858" spans="45:75" x14ac:dyDescent="0.25">
      <c r="AS858" s="55"/>
      <c r="AT858" s="55"/>
      <c r="AU858" s="55"/>
      <c r="AV858" s="55"/>
      <c r="AW858" s="55"/>
      <c r="AX858" s="55"/>
      <c r="AY858" s="55"/>
      <c r="AZ858" s="66"/>
      <c r="BA858" s="55"/>
      <c r="BB858" s="66"/>
      <c r="BC858" s="55"/>
      <c r="BD858" s="55"/>
      <c r="BE858" s="55"/>
      <c r="BG858" s="55"/>
      <c r="BH858" s="55"/>
      <c r="BI858" s="55"/>
      <c r="BJ858" s="55"/>
      <c r="BK858" s="55"/>
      <c r="BL858" s="55"/>
      <c r="BM858" s="55"/>
      <c r="BN858" s="55"/>
      <c r="BP858" s="55"/>
      <c r="BQ858" s="55"/>
      <c r="BR858" s="55"/>
      <c r="BS858" s="55"/>
      <c r="BT858" s="55"/>
      <c r="BU858" s="55"/>
      <c r="BV858" s="55"/>
      <c r="BW858" s="55"/>
    </row>
    <row r="859" spans="45:75" x14ac:dyDescent="0.25">
      <c r="AV859" s="56"/>
      <c r="AW859" s="56"/>
      <c r="AX859" s="56"/>
      <c r="AY859" s="56"/>
      <c r="AZ859" s="67"/>
      <c r="BA859" s="56"/>
      <c r="BB859" s="67"/>
      <c r="BC859" s="56"/>
      <c r="BD859" s="56"/>
      <c r="BE859" s="56"/>
      <c r="BG859" s="65"/>
      <c r="BH859" s="65"/>
      <c r="BI859" s="65"/>
      <c r="BJ859" s="65"/>
      <c r="BK859" s="65"/>
      <c r="BL859" s="65"/>
      <c r="BM859" s="65"/>
      <c r="BN859" s="65"/>
      <c r="BO859" s="65"/>
      <c r="BP859" s="65"/>
      <c r="BQ859" s="65"/>
      <c r="BR859" s="65"/>
      <c r="BS859" s="65"/>
      <c r="BT859" s="65"/>
      <c r="BU859" s="65"/>
      <c r="BV859" s="65"/>
      <c r="BW859" s="65"/>
    </row>
    <row r="860" spans="45:75" x14ac:dyDescent="0.25">
      <c r="AS860" s="53"/>
      <c r="AU860" s="54"/>
      <c r="AV860" s="53"/>
      <c r="AW860" s="379"/>
      <c r="AX860" s="65"/>
      <c r="AY860" s="65"/>
      <c r="AZ860" s="65"/>
      <c r="BA860" s="60"/>
      <c r="BB860" s="65"/>
      <c r="BC860" s="65"/>
      <c r="BD860" s="65"/>
      <c r="BE860" s="60"/>
      <c r="BG860" s="65"/>
      <c r="BH860" s="65"/>
      <c r="BI860" s="65"/>
      <c r="BJ860" s="65"/>
      <c r="BK860" s="65"/>
      <c r="BL860" s="65"/>
      <c r="BM860" s="65"/>
      <c r="BN860" s="65"/>
      <c r="BO860" s="65"/>
      <c r="BP860" s="65"/>
      <c r="BQ860" s="65"/>
      <c r="BR860" s="65"/>
      <c r="BS860" s="65"/>
      <c r="BT860" s="65"/>
      <c r="BU860" s="65"/>
      <c r="BV860" s="65"/>
      <c r="BW860" s="65"/>
    </row>
    <row r="861" spans="45:75" x14ac:dyDescent="0.25">
      <c r="AS861" s="53"/>
      <c r="AV861" s="53"/>
      <c r="AW861" s="379"/>
      <c r="AX861" s="65"/>
      <c r="AY861" s="65"/>
      <c r="AZ861" s="65"/>
      <c r="BA861" s="60"/>
      <c r="BB861" s="65"/>
      <c r="BC861" s="65"/>
      <c r="BD861" s="65"/>
      <c r="BE861" s="60"/>
      <c r="BG861" s="65"/>
      <c r="BH861" s="65"/>
      <c r="BI861" s="65"/>
      <c r="BJ861" s="65"/>
      <c r="BK861" s="65"/>
      <c r="BL861" s="65"/>
      <c r="BM861" s="65"/>
      <c r="BN861" s="65"/>
      <c r="BO861" s="65"/>
      <c r="BP861" s="65"/>
      <c r="BQ861" s="65"/>
      <c r="BR861" s="65"/>
      <c r="BS861" s="65"/>
      <c r="BT861" s="65"/>
      <c r="BU861" s="65"/>
      <c r="BV861" s="65"/>
      <c r="BW861" s="65"/>
    </row>
    <row r="862" spans="45:75" x14ac:dyDescent="0.25">
      <c r="AS862" s="53"/>
      <c r="AV862" s="53"/>
      <c r="AW862" s="379"/>
      <c r="AX862" s="65"/>
      <c r="AY862" s="65"/>
      <c r="AZ862" s="65"/>
      <c r="BA862" s="60"/>
      <c r="BB862" s="65"/>
      <c r="BC862" s="65"/>
      <c r="BD862" s="65"/>
      <c r="BE862" s="60"/>
      <c r="BG862" s="65"/>
      <c r="BH862" s="65"/>
      <c r="BI862" s="65"/>
      <c r="BJ862" s="65"/>
      <c r="BK862" s="65"/>
      <c r="BL862" s="65"/>
      <c r="BM862" s="65"/>
      <c r="BN862" s="65"/>
      <c r="BO862" s="65"/>
      <c r="BP862" s="65"/>
      <c r="BQ862" s="65"/>
      <c r="BR862" s="65"/>
      <c r="BS862" s="65"/>
      <c r="BT862" s="65"/>
      <c r="BU862" s="65"/>
      <c r="BV862" s="65"/>
      <c r="BW862" s="65"/>
    </row>
    <row r="863" spans="45:75" x14ac:dyDescent="0.25">
      <c r="AS863" s="53"/>
      <c r="AV863" s="53"/>
      <c r="AW863" s="379"/>
      <c r="AX863" s="65"/>
      <c r="AY863" s="65"/>
      <c r="AZ863" s="65"/>
      <c r="BA863" s="60"/>
      <c r="BB863" s="65"/>
      <c r="BC863" s="65"/>
      <c r="BD863" s="65"/>
      <c r="BE863" s="60"/>
      <c r="BG863" s="65"/>
      <c r="BH863" s="65"/>
      <c r="BI863" s="65"/>
      <c r="BJ863" s="65"/>
      <c r="BK863" s="65"/>
      <c r="BL863" s="65"/>
      <c r="BM863" s="65"/>
      <c r="BN863" s="65"/>
      <c r="BO863" s="65"/>
      <c r="BP863" s="65"/>
      <c r="BQ863" s="65"/>
      <c r="BR863" s="65"/>
      <c r="BS863" s="65"/>
      <c r="BT863" s="65"/>
      <c r="BU863" s="65"/>
      <c r="BV863" s="65"/>
      <c r="BW863" s="65"/>
    </row>
    <row r="864" spans="45:75" x14ac:dyDescent="0.25">
      <c r="AS864" s="53"/>
      <c r="AV864" s="53"/>
      <c r="AW864" s="379"/>
      <c r="AX864" s="65"/>
      <c r="AY864" s="65"/>
      <c r="AZ864" s="65"/>
      <c r="BA864" s="60"/>
      <c r="BB864" s="65"/>
      <c r="BC864" s="65"/>
      <c r="BD864" s="65"/>
      <c r="BE864" s="60"/>
      <c r="BG864" s="65"/>
      <c r="BH864" s="65"/>
      <c r="BI864" s="65"/>
      <c r="BJ864" s="65"/>
      <c r="BK864" s="65"/>
      <c r="BL864" s="65"/>
      <c r="BM864" s="65"/>
      <c r="BN864" s="65"/>
      <c r="BO864" s="65"/>
      <c r="BP864" s="65"/>
      <c r="BQ864" s="65"/>
      <c r="BR864" s="65"/>
      <c r="BS864" s="65"/>
      <c r="BT864" s="65"/>
      <c r="BU864" s="65"/>
      <c r="BV864" s="65"/>
      <c r="BW864" s="65"/>
    </row>
    <row r="865" spans="45:75" x14ac:dyDescent="0.25">
      <c r="AS865" s="53"/>
      <c r="AV865" s="53"/>
      <c r="AW865" s="379"/>
      <c r="AX865" s="65"/>
      <c r="AY865" s="65"/>
      <c r="AZ865" s="65"/>
      <c r="BA865" s="60"/>
      <c r="BB865" s="65"/>
      <c r="BC865" s="65"/>
      <c r="BD865" s="65"/>
      <c r="BE865" s="60"/>
      <c r="BG865" s="65"/>
      <c r="BH865" s="65"/>
      <c r="BI865" s="65"/>
      <c r="BJ865" s="65"/>
      <c r="BK865" s="65"/>
      <c r="BL865" s="65"/>
      <c r="BM865" s="65"/>
      <c r="BN865" s="65"/>
      <c r="BO865" s="65"/>
      <c r="BP865" s="65"/>
      <c r="BQ865" s="65"/>
      <c r="BR865" s="65"/>
      <c r="BS865" s="65"/>
      <c r="BT865" s="65"/>
      <c r="BU865" s="65"/>
      <c r="BV865" s="65"/>
      <c r="BW865" s="65"/>
    </row>
    <row r="866" spans="45:75" x14ac:dyDescent="0.25">
      <c r="AS866" s="53"/>
      <c r="AV866" s="53"/>
      <c r="AW866" s="379"/>
      <c r="AX866" s="65"/>
      <c r="AY866" s="65"/>
      <c r="AZ866" s="65"/>
      <c r="BA866" s="60"/>
      <c r="BB866" s="65"/>
      <c r="BC866" s="65"/>
      <c r="BD866" s="65"/>
      <c r="BE866" s="60"/>
      <c r="BG866" s="65"/>
      <c r="BH866" s="65"/>
      <c r="BI866" s="65"/>
      <c r="BJ866" s="65"/>
      <c r="BK866" s="65"/>
      <c r="BL866" s="65"/>
      <c r="BM866" s="65"/>
      <c r="BN866" s="65"/>
      <c r="BO866" s="65"/>
      <c r="BP866" s="65"/>
      <c r="BQ866" s="65"/>
      <c r="BR866" s="65"/>
      <c r="BS866" s="65"/>
      <c r="BT866" s="65"/>
      <c r="BU866" s="65"/>
      <c r="BV866" s="65"/>
      <c r="BW866" s="65"/>
    </row>
    <row r="867" spans="45:75" x14ac:dyDescent="0.25">
      <c r="AS867" s="53"/>
      <c r="AV867" s="53"/>
      <c r="AW867" s="379"/>
      <c r="AX867" s="65"/>
      <c r="AY867" s="65"/>
      <c r="AZ867" s="65"/>
      <c r="BA867" s="60"/>
      <c r="BB867" s="65"/>
      <c r="BC867" s="65"/>
      <c r="BD867" s="65"/>
      <c r="BE867" s="60"/>
      <c r="BG867" s="65"/>
      <c r="BH867" s="65"/>
      <c r="BI867" s="65"/>
      <c r="BJ867" s="65"/>
      <c r="BK867" s="65"/>
      <c r="BL867" s="65"/>
      <c r="BM867" s="65"/>
      <c r="BN867" s="65"/>
      <c r="BO867" s="65"/>
      <c r="BP867" s="65"/>
      <c r="BQ867" s="65"/>
      <c r="BR867" s="65"/>
      <c r="BS867" s="65"/>
      <c r="BT867" s="65"/>
      <c r="BU867" s="65"/>
      <c r="BV867" s="65"/>
      <c r="BW867" s="65"/>
    </row>
    <row r="868" spans="45:75" x14ac:dyDescent="0.25">
      <c r="AS868" s="53"/>
      <c r="AV868" s="53"/>
      <c r="AW868" s="379"/>
      <c r="AX868" s="65"/>
      <c r="AY868" s="65"/>
      <c r="AZ868" s="65"/>
      <c r="BA868" s="60"/>
      <c r="BB868" s="65"/>
      <c r="BC868" s="65"/>
      <c r="BD868" s="65"/>
      <c r="BE868" s="60"/>
      <c r="BG868" s="65"/>
      <c r="BH868" s="65"/>
      <c r="BI868" s="65"/>
      <c r="BJ868" s="65"/>
      <c r="BK868" s="65"/>
      <c r="BL868" s="65"/>
      <c r="BM868" s="65"/>
      <c r="BN868" s="65"/>
      <c r="BO868" s="65"/>
      <c r="BP868" s="65"/>
      <c r="BQ868" s="65"/>
      <c r="BR868" s="65"/>
      <c r="BS868" s="65"/>
      <c r="BT868" s="65"/>
      <c r="BU868" s="65"/>
      <c r="BV868" s="65"/>
      <c r="BW868" s="65"/>
    </row>
    <row r="869" spans="45:75" x14ac:dyDescent="0.25">
      <c r="AS869" s="53"/>
      <c r="AV869" s="53"/>
      <c r="AW869" s="379"/>
      <c r="AX869" s="65"/>
      <c r="AY869" s="65"/>
      <c r="AZ869" s="65"/>
      <c r="BA869" s="60"/>
      <c r="BB869" s="65"/>
      <c r="BC869" s="65"/>
      <c r="BD869" s="65"/>
      <c r="BE869" s="60"/>
      <c r="BG869" s="65"/>
      <c r="BH869" s="65"/>
      <c r="BI869" s="65"/>
      <c r="BJ869" s="65"/>
      <c r="BK869" s="65"/>
      <c r="BL869" s="65"/>
      <c r="BM869" s="65"/>
      <c r="BN869" s="65"/>
      <c r="BO869" s="65"/>
      <c r="BP869" s="65"/>
      <c r="BQ869" s="65"/>
      <c r="BR869" s="65"/>
      <c r="BS869" s="65"/>
      <c r="BT869" s="65"/>
      <c r="BU869" s="65"/>
      <c r="BV869" s="65"/>
      <c r="BW869" s="65"/>
    </row>
    <row r="870" spans="45:75" x14ac:dyDescent="0.25">
      <c r="AS870" s="53"/>
      <c r="AV870" s="53"/>
      <c r="AW870" s="379"/>
      <c r="AX870" s="65"/>
      <c r="AY870" s="65"/>
      <c r="AZ870" s="65"/>
      <c r="BA870" s="60"/>
      <c r="BB870" s="65"/>
      <c r="BC870" s="65"/>
      <c r="BD870" s="65"/>
      <c r="BE870" s="60"/>
      <c r="BG870" s="65"/>
      <c r="BH870" s="65"/>
      <c r="BI870" s="65"/>
      <c r="BJ870" s="65"/>
      <c r="BK870" s="65"/>
      <c r="BL870" s="65"/>
      <c r="BM870" s="65"/>
      <c r="BN870" s="65"/>
      <c r="BO870" s="65"/>
      <c r="BP870" s="65"/>
      <c r="BQ870" s="65"/>
      <c r="BR870" s="65"/>
      <c r="BS870" s="65"/>
      <c r="BT870" s="65"/>
      <c r="BU870" s="65"/>
      <c r="BV870" s="65"/>
      <c r="BW870" s="65"/>
    </row>
    <row r="871" spans="45:75" x14ac:dyDescent="0.25">
      <c r="AS871" s="53"/>
      <c r="AV871" s="53"/>
      <c r="AW871" s="379"/>
      <c r="AX871" s="65"/>
      <c r="AY871" s="65"/>
      <c r="AZ871" s="65"/>
      <c r="BA871" s="60"/>
      <c r="BB871" s="65"/>
      <c r="BC871" s="65"/>
      <c r="BD871" s="65"/>
      <c r="BE871" s="60"/>
      <c r="BG871" s="65"/>
      <c r="BH871" s="65"/>
      <c r="BI871" s="65"/>
      <c r="BJ871" s="65"/>
      <c r="BK871" s="65"/>
      <c r="BL871" s="65"/>
      <c r="BM871" s="65"/>
      <c r="BN871" s="65"/>
      <c r="BO871" s="65"/>
      <c r="BP871" s="65"/>
      <c r="BQ871" s="65"/>
      <c r="BR871" s="65"/>
      <c r="BS871" s="65"/>
      <c r="BT871" s="65"/>
      <c r="BU871" s="65"/>
      <c r="BV871" s="65"/>
      <c r="BW871" s="65"/>
    </row>
    <row r="872" spans="45:75" x14ac:dyDescent="0.25">
      <c r="AS872" s="53"/>
      <c r="AV872" s="53"/>
      <c r="AW872" s="379"/>
      <c r="AX872" s="65"/>
      <c r="AY872" s="65"/>
      <c r="AZ872" s="65"/>
      <c r="BA872" s="60"/>
      <c r="BB872" s="65"/>
      <c r="BC872" s="65"/>
      <c r="BD872" s="65"/>
      <c r="BE872" s="60"/>
      <c r="BG872" s="65"/>
      <c r="BH872" s="65"/>
      <c r="BI872" s="65"/>
      <c r="BJ872" s="65"/>
      <c r="BK872" s="65"/>
      <c r="BL872" s="65"/>
      <c r="BM872" s="65"/>
      <c r="BN872" s="65"/>
      <c r="BO872" s="65"/>
      <c r="BP872" s="65"/>
      <c r="BQ872" s="65"/>
      <c r="BR872" s="65"/>
      <c r="BS872" s="65"/>
      <c r="BT872" s="65"/>
      <c r="BU872" s="65"/>
      <c r="BV872" s="65"/>
      <c r="BW872" s="65"/>
    </row>
    <row r="873" spans="45:75" x14ac:dyDescent="0.25">
      <c r="AS873" s="53"/>
      <c r="AV873" s="53"/>
      <c r="AW873" s="379"/>
      <c r="AX873" s="65"/>
      <c r="AY873" s="65"/>
      <c r="AZ873" s="65"/>
      <c r="BA873" s="60"/>
      <c r="BB873" s="65"/>
      <c r="BC873" s="65"/>
      <c r="BD873" s="65"/>
      <c r="BE873" s="60"/>
      <c r="BG873" s="65"/>
      <c r="BH873" s="65"/>
      <c r="BI873" s="65"/>
      <c r="BJ873" s="65"/>
      <c r="BK873" s="65"/>
      <c r="BL873" s="65"/>
      <c r="BM873" s="65"/>
      <c r="BN873" s="65"/>
      <c r="BO873" s="65"/>
      <c r="BP873" s="65"/>
      <c r="BQ873" s="65"/>
      <c r="BR873" s="65"/>
      <c r="BS873" s="65"/>
      <c r="BT873" s="65"/>
      <c r="BU873" s="65"/>
      <c r="BV873" s="65"/>
      <c r="BW873" s="65"/>
    </row>
    <row r="874" spans="45:75" x14ac:dyDescent="0.25">
      <c r="AS874" s="53"/>
      <c r="AV874" s="53"/>
      <c r="AW874" s="379"/>
      <c r="AX874" s="65"/>
      <c r="AY874" s="65"/>
      <c r="AZ874" s="65"/>
      <c r="BA874" s="60"/>
      <c r="BB874" s="65"/>
      <c r="BC874" s="65"/>
      <c r="BD874" s="65"/>
      <c r="BE874" s="60"/>
      <c r="BG874" s="65"/>
      <c r="BH874" s="65"/>
      <c r="BI874" s="65"/>
      <c r="BJ874" s="65"/>
      <c r="BK874" s="65"/>
      <c r="BL874" s="65"/>
      <c r="BM874" s="65"/>
      <c r="BN874" s="65"/>
      <c r="BO874" s="65"/>
      <c r="BP874" s="65"/>
      <c r="BQ874" s="65"/>
      <c r="BR874" s="65"/>
      <c r="BS874" s="65"/>
      <c r="BT874" s="65"/>
      <c r="BU874" s="65"/>
      <c r="BV874" s="65"/>
      <c r="BW874" s="65"/>
    </row>
    <row r="875" spans="45:75" x14ac:dyDescent="0.25">
      <c r="AS875" s="53"/>
      <c r="AV875" s="53"/>
      <c r="AW875" s="379"/>
      <c r="AX875" s="65"/>
      <c r="AY875" s="65"/>
      <c r="AZ875" s="65"/>
      <c r="BA875" s="60"/>
      <c r="BB875" s="65"/>
      <c r="BC875" s="65"/>
      <c r="BD875" s="65"/>
      <c r="BE875" s="60"/>
      <c r="BG875" s="65"/>
      <c r="BH875" s="65"/>
      <c r="BI875" s="65"/>
      <c r="BJ875" s="65"/>
      <c r="BK875" s="65"/>
      <c r="BL875" s="65"/>
      <c r="BM875" s="65"/>
      <c r="BN875" s="65"/>
      <c r="BO875" s="65"/>
      <c r="BP875" s="65"/>
      <c r="BQ875" s="65"/>
      <c r="BR875" s="65"/>
      <c r="BS875" s="65"/>
      <c r="BT875" s="65"/>
      <c r="BU875" s="65"/>
      <c r="BV875" s="65"/>
      <c r="BW875" s="65"/>
    </row>
    <row r="876" spans="45:75" x14ac:dyDescent="0.25">
      <c r="AS876" s="53"/>
      <c r="AV876" s="53"/>
      <c r="AW876" s="379"/>
      <c r="AX876" s="65"/>
      <c r="AY876" s="65"/>
      <c r="AZ876" s="65"/>
      <c r="BA876" s="60"/>
      <c r="BB876" s="65"/>
      <c r="BC876" s="65"/>
      <c r="BD876" s="65"/>
      <c r="BE876" s="60"/>
      <c r="BG876" s="65"/>
      <c r="BH876" s="65"/>
      <c r="BI876" s="65"/>
      <c r="BJ876" s="65"/>
      <c r="BK876" s="65"/>
      <c r="BL876" s="65"/>
      <c r="BM876" s="65"/>
      <c r="BN876" s="65"/>
      <c r="BO876" s="65"/>
      <c r="BP876" s="65"/>
      <c r="BQ876" s="65"/>
      <c r="BR876" s="65"/>
      <c r="BS876" s="65"/>
      <c r="BT876" s="65"/>
      <c r="BU876" s="65"/>
      <c r="BV876" s="65"/>
      <c r="BW876" s="65"/>
    </row>
    <row r="877" spans="45:75" x14ac:dyDescent="0.25">
      <c r="AS877" s="53"/>
      <c r="AV877" s="53"/>
      <c r="AW877" s="379"/>
      <c r="AX877" s="65"/>
      <c r="AY877" s="65"/>
      <c r="AZ877" s="65"/>
      <c r="BA877" s="60"/>
      <c r="BB877" s="65"/>
      <c r="BC877" s="65"/>
      <c r="BD877" s="65"/>
      <c r="BE877" s="60"/>
      <c r="BG877" s="65"/>
      <c r="BH877" s="65"/>
      <c r="BI877" s="65"/>
      <c r="BJ877" s="65"/>
      <c r="BK877" s="65"/>
      <c r="BL877" s="65"/>
      <c r="BM877" s="65"/>
      <c r="BN877" s="65"/>
      <c r="BO877" s="65"/>
      <c r="BP877" s="65"/>
      <c r="BQ877" s="65"/>
      <c r="BR877" s="65"/>
      <c r="BS877" s="65"/>
      <c r="BT877" s="65"/>
      <c r="BU877" s="65"/>
      <c r="BV877" s="65"/>
      <c r="BW877" s="65"/>
    </row>
    <row r="878" spans="45:75" x14ac:dyDescent="0.25">
      <c r="AS878" s="53"/>
      <c r="AV878" s="53"/>
      <c r="AW878" s="379"/>
      <c r="AX878" s="65"/>
      <c r="AY878" s="65"/>
      <c r="AZ878" s="65"/>
      <c r="BA878" s="60"/>
      <c r="BB878" s="65"/>
      <c r="BC878" s="65"/>
      <c r="BD878" s="65"/>
      <c r="BE878" s="60"/>
      <c r="BG878" s="65"/>
      <c r="BH878" s="65"/>
      <c r="BI878" s="65"/>
      <c r="BJ878" s="65"/>
      <c r="BK878" s="65"/>
      <c r="BL878" s="65"/>
      <c r="BM878" s="65"/>
      <c r="BN878" s="65"/>
      <c r="BO878" s="65"/>
      <c r="BP878" s="65"/>
      <c r="BQ878" s="65"/>
      <c r="BR878" s="65"/>
      <c r="BS878" s="65"/>
      <c r="BT878" s="65"/>
      <c r="BU878" s="65"/>
      <c r="BV878" s="65"/>
      <c r="BW878" s="65"/>
    </row>
    <row r="879" spans="45:75" x14ac:dyDescent="0.25">
      <c r="AS879" s="53"/>
      <c r="AV879" s="53"/>
      <c r="AW879" s="379"/>
      <c r="AX879" s="65"/>
      <c r="AY879" s="65"/>
      <c r="AZ879" s="65"/>
      <c r="BA879" s="60"/>
      <c r="BB879" s="65"/>
      <c r="BC879" s="65"/>
      <c r="BD879" s="65"/>
      <c r="BE879" s="60"/>
      <c r="BG879" s="65"/>
      <c r="BH879" s="65"/>
      <c r="BI879" s="65"/>
      <c r="BJ879" s="65"/>
      <c r="BK879" s="65"/>
      <c r="BL879" s="65"/>
      <c r="BM879" s="65"/>
      <c r="BN879" s="65"/>
      <c r="BO879" s="65"/>
      <c r="BP879" s="65"/>
      <c r="BQ879" s="65"/>
      <c r="BR879" s="65"/>
      <c r="BS879" s="65"/>
      <c r="BT879" s="65"/>
      <c r="BU879" s="65"/>
      <c r="BV879" s="65"/>
      <c r="BW879" s="65"/>
    </row>
    <row r="880" spans="45:75" x14ac:dyDescent="0.25">
      <c r="AS880" s="53"/>
      <c r="AV880" s="53"/>
      <c r="AW880" s="379"/>
      <c r="AX880" s="65"/>
      <c r="AY880" s="65"/>
      <c r="AZ880" s="65"/>
      <c r="BA880" s="60"/>
      <c r="BB880" s="65"/>
      <c r="BC880" s="65"/>
      <c r="BD880" s="65"/>
      <c r="BE880" s="60"/>
      <c r="BG880" s="65"/>
      <c r="BH880" s="65"/>
      <c r="BI880" s="65"/>
      <c r="BJ880" s="65"/>
      <c r="BK880" s="65"/>
      <c r="BL880" s="65"/>
      <c r="BM880" s="65"/>
      <c r="BN880" s="65"/>
      <c r="BO880" s="65"/>
      <c r="BP880" s="65"/>
      <c r="BQ880" s="65"/>
      <c r="BR880" s="65"/>
      <c r="BS880" s="65"/>
      <c r="BT880" s="65"/>
      <c r="BU880" s="65"/>
      <c r="BV880" s="65"/>
      <c r="BW880" s="65"/>
    </row>
    <row r="881" spans="45:75" x14ac:dyDescent="0.25">
      <c r="AW881" s="379"/>
      <c r="AX881" s="65"/>
      <c r="AY881" s="65"/>
      <c r="AZ881" s="65"/>
      <c r="BA881" s="60"/>
      <c r="BB881" s="65"/>
      <c r="BC881" s="65"/>
      <c r="BD881" s="65"/>
      <c r="BE881" s="60"/>
      <c r="BG881" s="55"/>
      <c r="BH881" s="55"/>
      <c r="BI881" s="54"/>
      <c r="BM881" s="55"/>
      <c r="BN881" s="55"/>
      <c r="BO881" s="65"/>
      <c r="BP881" s="55"/>
      <c r="BQ881" s="55"/>
      <c r="BR881" s="54"/>
      <c r="BV881" s="55"/>
      <c r="BW881" s="55"/>
    </row>
    <row r="882" spans="45:75" x14ac:dyDescent="0.25">
      <c r="AS882" s="53"/>
      <c r="AU882" s="54"/>
      <c r="AV882" s="56"/>
      <c r="AW882" s="379"/>
      <c r="AX882" s="65"/>
      <c r="AY882" s="65"/>
      <c r="AZ882" s="65"/>
      <c r="BA882" s="60"/>
      <c r="BB882" s="65"/>
      <c r="BC882" s="65"/>
      <c r="BD882" s="65"/>
      <c r="BE882" s="60"/>
      <c r="BG882" s="67"/>
      <c r="BH882" s="65"/>
      <c r="BI882" s="65"/>
      <c r="BJ882" s="65"/>
      <c r="BK882" s="67"/>
      <c r="BL882" s="68"/>
      <c r="BM882" s="65"/>
      <c r="BN882" s="67"/>
      <c r="BO882" s="65"/>
      <c r="BP882" s="67"/>
      <c r="BQ882" s="65"/>
      <c r="BR882" s="65"/>
      <c r="BS882" s="65"/>
      <c r="BT882" s="67"/>
      <c r="BU882" s="68"/>
      <c r="BV882" s="65"/>
      <c r="BW882" s="67"/>
    </row>
    <row r="883" spans="45:75" x14ac:dyDescent="0.25">
      <c r="AS883" s="53"/>
      <c r="AV883" s="56"/>
      <c r="AW883" s="379"/>
      <c r="AX883" s="65"/>
      <c r="AY883" s="65"/>
      <c r="AZ883" s="65"/>
      <c r="BA883" s="60"/>
      <c r="BB883" s="65"/>
      <c r="BC883" s="65"/>
      <c r="BD883" s="65"/>
      <c r="BE883" s="60"/>
      <c r="BG883" s="65"/>
      <c r="BH883" s="65"/>
      <c r="BI883" s="65"/>
      <c r="BJ883" s="65"/>
      <c r="BK883" s="65"/>
      <c r="BL883" s="68"/>
      <c r="BM883" s="65"/>
      <c r="BN883" s="65"/>
      <c r="BO883" s="65"/>
      <c r="BP883" s="65"/>
      <c r="BQ883" s="65"/>
      <c r="BR883" s="65"/>
      <c r="BS883" s="65"/>
      <c r="BT883" s="65"/>
      <c r="BU883" s="68"/>
      <c r="BV883" s="65"/>
      <c r="BW883" s="65"/>
    </row>
    <row r="884" spans="45:75" x14ac:dyDescent="0.25">
      <c r="AS884" s="53"/>
      <c r="AV884" s="56"/>
      <c r="AW884" s="379"/>
      <c r="AX884" s="65"/>
      <c r="AY884" s="65"/>
      <c r="AZ884" s="65"/>
      <c r="BA884" s="60"/>
      <c r="BB884" s="65"/>
      <c r="BC884" s="65"/>
      <c r="BD884" s="65"/>
      <c r="BE884" s="60"/>
      <c r="BG884" s="65"/>
      <c r="BH884" s="65"/>
      <c r="BI884" s="65"/>
      <c r="BJ884" s="65"/>
      <c r="BK884" s="65"/>
      <c r="BL884" s="68"/>
      <c r="BM884" s="65"/>
      <c r="BN884" s="65"/>
      <c r="BO884" s="65"/>
      <c r="BP884" s="65"/>
      <c r="BQ884" s="65"/>
      <c r="BR884" s="65"/>
      <c r="BS884" s="65"/>
      <c r="BT884" s="65"/>
      <c r="BU884" s="68"/>
      <c r="BV884" s="65"/>
      <c r="BW884" s="65"/>
    </row>
    <row r="885" spans="45:75" x14ac:dyDescent="0.25">
      <c r="AS885" s="53"/>
      <c r="AV885" s="56"/>
      <c r="AW885" s="379"/>
      <c r="AX885" s="65"/>
      <c r="AY885" s="65"/>
      <c r="AZ885" s="65"/>
      <c r="BA885" s="60"/>
      <c r="BB885" s="65"/>
      <c r="BC885" s="65"/>
      <c r="BD885" s="65"/>
      <c r="BE885" s="60"/>
      <c r="BG885" s="65"/>
      <c r="BH885" s="65"/>
      <c r="BI885" s="65"/>
      <c r="BJ885" s="65"/>
      <c r="BK885" s="65"/>
      <c r="BL885" s="68"/>
      <c r="BM885" s="65"/>
      <c r="BN885" s="65"/>
      <c r="BO885" s="65"/>
      <c r="BP885" s="65"/>
      <c r="BQ885" s="65"/>
      <c r="BR885" s="65"/>
      <c r="BS885" s="65"/>
      <c r="BT885" s="65"/>
      <c r="BU885" s="68"/>
      <c r="BV885" s="65"/>
      <c r="BW885" s="65"/>
    </row>
    <row r="886" spans="45:75" x14ac:dyDescent="0.25">
      <c r="AX886" s="65"/>
      <c r="AY886" s="65"/>
      <c r="AZ886" s="65"/>
      <c r="BA886" s="60"/>
      <c r="BB886" s="65"/>
      <c r="BC886" s="65"/>
      <c r="BD886" s="65"/>
      <c r="BE886" s="60"/>
      <c r="BG886" s="65"/>
      <c r="BH886" s="65"/>
      <c r="BI886" s="65"/>
      <c r="BJ886" s="65"/>
      <c r="BK886" s="65"/>
      <c r="BL886" s="65"/>
      <c r="BM886" s="65"/>
      <c r="BN886" s="65"/>
      <c r="BO886" s="65"/>
      <c r="BP886" s="65"/>
      <c r="BQ886" s="65"/>
      <c r="BR886" s="65"/>
      <c r="BS886" s="65"/>
      <c r="BT886" s="65"/>
      <c r="BU886" s="65"/>
      <c r="BV886" s="65"/>
    </row>
    <row r="887" spans="45:75" x14ac:dyDescent="0.25">
      <c r="AU887" s="54"/>
    </row>
    <row r="888" spans="45:75" x14ac:dyDescent="0.25">
      <c r="AU888" s="54"/>
      <c r="AZ888" s="65"/>
      <c r="BA888" s="60"/>
      <c r="BB888" s="65"/>
      <c r="BC888" s="65"/>
      <c r="BD888" s="65"/>
      <c r="BE888" s="60"/>
      <c r="BG888" s="65"/>
      <c r="BH888" s="65"/>
      <c r="BI888" s="65"/>
      <c r="BJ888" s="65"/>
      <c r="BK888" s="65"/>
      <c r="BL888" s="65"/>
      <c r="BM888" s="65"/>
      <c r="BN888" s="65"/>
      <c r="BO888" s="65"/>
      <c r="BP888" s="65"/>
      <c r="BQ888" s="65"/>
      <c r="BR888" s="65"/>
      <c r="BS888" s="65"/>
      <c r="BT888" s="65"/>
      <c r="BU888" s="65"/>
      <c r="BV888" s="65"/>
    </row>
    <row r="889" spans="45:75" x14ac:dyDescent="0.25">
      <c r="AS889" s="54"/>
      <c r="AZ889" s="65"/>
      <c r="BB889" s="65"/>
    </row>
    <row r="890" spans="45:75" x14ac:dyDescent="0.25">
      <c r="AY890" s="53"/>
      <c r="AZ890" s="65"/>
      <c r="BB890" s="65"/>
      <c r="BO890" s="65"/>
      <c r="BP890" s="65"/>
      <c r="BQ890" s="65"/>
      <c r="BR890" s="65"/>
      <c r="BS890" s="65"/>
      <c r="BT890" s="65"/>
      <c r="BU890" s="65"/>
      <c r="BV890" s="65"/>
    </row>
    <row r="891" spans="45:75" x14ac:dyDescent="0.25">
      <c r="AY891" s="65"/>
      <c r="AZ891" s="65"/>
      <c r="BB891" s="65"/>
      <c r="BO891" s="65"/>
      <c r="BP891" s="65"/>
      <c r="BQ891" s="65"/>
      <c r="BR891" s="65"/>
      <c r="BS891" s="65"/>
      <c r="BT891" s="65"/>
      <c r="BU891" s="65"/>
      <c r="BV891" s="65"/>
    </row>
    <row r="892" spans="45:75" x14ac:dyDescent="0.25">
      <c r="AY892" s="54"/>
      <c r="AZ892" s="65"/>
      <c r="BB892" s="65"/>
      <c r="BO892" s="65"/>
      <c r="BP892" s="65"/>
      <c r="BQ892" s="65"/>
      <c r="BR892" s="65"/>
      <c r="BS892" s="65"/>
      <c r="BT892" s="65"/>
      <c r="BU892" s="65"/>
      <c r="BV892" s="65"/>
    </row>
    <row r="893" spans="45:75" x14ac:dyDescent="0.25">
      <c r="AY893" s="54"/>
      <c r="AZ893" s="65"/>
      <c r="BB893" s="65"/>
      <c r="BO893" s="65"/>
      <c r="BP893" s="65"/>
      <c r="BQ893" s="65"/>
      <c r="BR893" s="65"/>
      <c r="BS893" s="65"/>
      <c r="BT893" s="65"/>
      <c r="BU893" s="65"/>
      <c r="BV893" s="65"/>
    </row>
    <row r="894" spans="45:75" x14ac:dyDescent="0.25">
      <c r="AS894" s="53"/>
      <c r="AZ894" s="65"/>
      <c r="BB894" s="65"/>
      <c r="BD894" s="54"/>
      <c r="BO894" s="65"/>
      <c r="BP894" s="65"/>
      <c r="BQ894" s="65"/>
      <c r="BR894" s="65"/>
      <c r="BS894" s="65"/>
      <c r="BT894" s="65"/>
      <c r="BU894" s="65"/>
      <c r="BV894" s="65"/>
    </row>
    <row r="895" spans="45:75" x14ac:dyDescent="0.25">
      <c r="AS895" s="53"/>
      <c r="AZ895" s="65"/>
      <c r="BB895" s="65"/>
      <c r="BD895" s="54"/>
      <c r="BO895" s="65"/>
      <c r="BP895" s="65"/>
      <c r="BQ895" s="65"/>
      <c r="BR895" s="65"/>
      <c r="BS895" s="65"/>
      <c r="BT895" s="65"/>
      <c r="BU895" s="65"/>
      <c r="BV895" s="65"/>
    </row>
    <row r="896" spans="45:75" x14ac:dyDescent="0.25">
      <c r="AS896" s="54"/>
      <c r="AZ896" s="65"/>
      <c r="BB896" s="65"/>
      <c r="BD896" s="54"/>
      <c r="BO896" s="65"/>
      <c r="BP896" s="65"/>
      <c r="BQ896" s="65"/>
      <c r="BR896" s="65"/>
      <c r="BS896" s="65"/>
      <c r="BT896" s="65"/>
      <c r="BU896" s="65"/>
      <c r="BV896" s="65"/>
    </row>
    <row r="897" spans="45:74" x14ac:dyDescent="0.25">
      <c r="AZ897" s="65"/>
      <c r="BB897" s="65"/>
      <c r="BD897" s="53"/>
      <c r="BO897" s="65"/>
      <c r="BP897" s="65"/>
      <c r="BQ897" s="65"/>
      <c r="BR897" s="65"/>
      <c r="BS897" s="65"/>
      <c r="BT897" s="65"/>
      <c r="BU897" s="65"/>
      <c r="BV897" s="65"/>
    </row>
    <row r="898" spans="45:74" x14ac:dyDescent="0.25">
      <c r="AS898" s="55"/>
      <c r="AT898" s="55"/>
      <c r="AU898" s="55"/>
      <c r="AV898" s="55"/>
      <c r="AW898" s="55"/>
      <c r="AX898" s="55"/>
      <c r="AY898" s="55"/>
      <c r="AZ898" s="66"/>
      <c r="BA898" s="55"/>
      <c r="BB898" s="66"/>
      <c r="BC898" s="55"/>
      <c r="BD898" s="55"/>
      <c r="BE898" s="55"/>
      <c r="BO898" s="65"/>
      <c r="BP898" s="65"/>
      <c r="BQ898" s="65"/>
      <c r="BR898" s="65"/>
      <c r="BS898" s="65"/>
      <c r="BT898" s="65"/>
      <c r="BU898" s="65"/>
      <c r="BV898" s="65"/>
    </row>
    <row r="899" spans="45:74" x14ac:dyDescent="0.25">
      <c r="AX899" s="54"/>
      <c r="AZ899" s="65"/>
      <c r="BB899" s="65"/>
      <c r="BO899" s="65"/>
      <c r="BP899" s="65"/>
      <c r="BQ899" s="65"/>
      <c r="BR899" s="65"/>
      <c r="BS899" s="65"/>
      <c r="BT899" s="65"/>
      <c r="BU899" s="65"/>
      <c r="BV899" s="65"/>
    </row>
    <row r="900" spans="45:74" x14ac:dyDescent="0.25">
      <c r="AX900" s="55"/>
      <c r="AY900" s="55"/>
      <c r="AZ900" s="66"/>
      <c r="BA900" s="55"/>
      <c r="BB900" s="65"/>
      <c r="BC900" s="56"/>
      <c r="BD900" s="56"/>
      <c r="BO900" s="65"/>
      <c r="BP900" s="65"/>
      <c r="BQ900" s="65"/>
      <c r="BR900" s="65"/>
      <c r="BS900" s="65"/>
      <c r="BT900" s="65"/>
      <c r="BU900" s="65"/>
      <c r="BV900" s="65"/>
    </row>
    <row r="901" spans="45:74" x14ac:dyDescent="0.25">
      <c r="AV901" s="56"/>
      <c r="AW901" s="56"/>
      <c r="AZ901" s="67"/>
      <c r="BA901" s="56"/>
      <c r="BB901" s="65"/>
      <c r="BC901" s="56"/>
      <c r="BD901" s="56"/>
      <c r="BE901" s="56"/>
      <c r="BG901" s="55"/>
      <c r="BH901" s="54"/>
      <c r="BK901" s="55"/>
      <c r="BM901" s="55"/>
      <c r="BN901" s="54"/>
      <c r="BQ901" s="55"/>
    </row>
    <row r="902" spans="45:74" x14ac:dyDescent="0.25">
      <c r="AV902" s="56"/>
      <c r="AW902" s="56"/>
      <c r="AX902" s="56"/>
      <c r="AY902" s="56"/>
      <c r="AZ902" s="67"/>
      <c r="BA902" s="56"/>
      <c r="BB902" s="67"/>
      <c r="BC902" s="56"/>
      <c r="BD902" s="56"/>
      <c r="BE902" s="56"/>
      <c r="BH902" s="56"/>
      <c r="BI902" s="56"/>
      <c r="BN902" s="56"/>
      <c r="BO902" s="56"/>
    </row>
    <row r="903" spans="45:74" x14ac:dyDescent="0.25">
      <c r="AS903" s="56"/>
      <c r="AU903" s="54"/>
      <c r="AV903" s="56"/>
      <c r="AW903" s="56"/>
      <c r="AX903" s="56"/>
      <c r="AY903" s="56"/>
      <c r="AZ903" s="67"/>
      <c r="BA903" s="56"/>
      <c r="BB903" s="67"/>
      <c r="BC903" s="56"/>
      <c r="BD903" s="56"/>
      <c r="BE903" s="56"/>
      <c r="BG903" s="56"/>
      <c r="BH903" s="56"/>
      <c r="BI903" s="56"/>
      <c r="BJ903" s="56"/>
      <c r="BK903" s="56"/>
      <c r="BM903" s="56"/>
      <c r="BN903" s="56"/>
      <c r="BO903" s="56"/>
      <c r="BP903" s="56"/>
      <c r="BQ903" s="56"/>
    </row>
    <row r="904" spans="45:74" x14ac:dyDescent="0.25">
      <c r="AS904" s="56"/>
      <c r="AU904" s="54"/>
      <c r="AV904" s="56"/>
      <c r="AW904" s="56"/>
      <c r="AX904" s="56"/>
      <c r="AY904" s="56"/>
      <c r="AZ904" s="67"/>
      <c r="BA904" s="56"/>
      <c r="BB904" s="67"/>
      <c r="BC904" s="56"/>
      <c r="BD904" s="56"/>
      <c r="BE904" s="56"/>
      <c r="BG904" s="56"/>
      <c r="BH904" s="56"/>
      <c r="BI904" s="56"/>
      <c r="BJ904" s="56"/>
      <c r="BK904" s="56"/>
      <c r="BM904" s="56"/>
      <c r="BN904" s="56"/>
      <c r="BO904" s="56"/>
      <c r="BP904" s="56"/>
      <c r="BQ904" s="56"/>
    </row>
    <row r="905" spans="45:74" x14ac:dyDescent="0.25">
      <c r="AS905" s="55"/>
      <c r="AT905" s="55"/>
      <c r="AU905" s="55"/>
      <c r="AV905" s="55"/>
      <c r="AW905" s="55"/>
      <c r="AX905" s="55"/>
      <c r="AY905" s="55"/>
      <c r="AZ905" s="66"/>
      <c r="BA905" s="55"/>
      <c r="BB905" s="66"/>
      <c r="BC905" s="55"/>
      <c r="BD905" s="55"/>
      <c r="BE905" s="55"/>
      <c r="BG905" s="55"/>
      <c r="BH905" s="55"/>
      <c r="BI905" s="55"/>
      <c r="BJ905" s="55"/>
      <c r="BK905" s="55"/>
      <c r="BM905" s="55"/>
      <c r="BN905" s="55"/>
      <c r="BO905" s="55"/>
      <c r="BP905" s="55"/>
      <c r="BQ905" s="55"/>
    </row>
    <row r="906" spans="45:74" x14ac:dyDescent="0.25">
      <c r="AV906" s="56"/>
      <c r="AW906" s="56"/>
      <c r="AX906" s="56"/>
      <c r="AY906" s="56"/>
      <c r="AZ906" s="67"/>
      <c r="BA906" s="56"/>
      <c r="BB906" s="67"/>
      <c r="BC906" s="56"/>
      <c r="BD906" s="56"/>
      <c r="BE906" s="56"/>
      <c r="BG906" s="65"/>
      <c r="BH906" s="65"/>
      <c r="BI906" s="65"/>
      <c r="BJ906" s="65"/>
      <c r="BK906" s="65"/>
      <c r="BL906" s="65"/>
      <c r="BM906" s="65"/>
      <c r="BN906" s="65"/>
      <c r="BO906" s="65"/>
      <c r="BP906" s="65"/>
      <c r="BQ906" s="65"/>
    </row>
    <row r="907" spans="45:74" x14ac:dyDescent="0.25">
      <c r="AS907" s="53"/>
      <c r="AT907" s="54"/>
      <c r="AV907" s="379"/>
      <c r="AW907" s="379"/>
      <c r="AX907" s="65"/>
      <c r="AY907" s="65"/>
      <c r="AZ907" s="65"/>
      <c r="BA907" s="60"/>
      <c r="BB907" s="65"/>
      <c r="BC907" s="65"/>
      <c r="BD907" s="65"/>
      <c r="BE907" s="60"/>
      <c r="BG907" s="65"/>
      <c r="BH907" s="65"/>
      <c r="BI907" s="65"/>
      <c r="BJ907" s="65"/>
      <c r="BK907" s="65"/>
      <c r="BL907" s="65"/>
      <c r="BM907" s="65"/>
      <c r="BN907" s="65"/>
      <c r="BO907" s="65"/>
      <c r="BP907" s="65"/>
      <c r="BQ907" s="65"/>
      <c r="BR907" s="65"/>
      <c r="BS907" s="65"/>
    </row>
    <row r="908" spans="45:74" x14ac:dyDescent="0.25">
      <c r="AS908" s="53"/>
      <c r="AV908" s="379"/>
      <c r="AW908" s="379"/>
      <c r="AX908" s="65"/>
      <c r="AY908" s="65"/>
      <c r="AZ908" s="65"/>
      <c r="BA908" s="60"/>
      <c r="BB908" s="65"/>
      <c r="BC908" s="65"/>
      <c r="BD908" s="65"/>
      <c r="BE908" s="60"/>
      <c r="BG908" s="65"/>
      <c r="BH908" s="65"/>
      <c r="BI908" s="65"/>
      <c r="BJ908" s="65"/>
      <c r="BK908" s="65"/>
      <c r="BL908" s="65"/>
      <c r="BM908" s="65"/>
      <c r="BN908" s="65"/>
      <c r="BO908" s="65"/>
      <c r="BP908" s="65"/>
      <c r="BQ908" s="65"/>
      <c r="BR908" s="65"/>
      <c r="BS908" s="65"/>
    </row>
    <row r="909" spans="45:74" x14ac:dyDescent="0.25">
      <c r="AS909" s="53"/>
      <c r="AV909" s="379"/>
      <c r="AW909" s="379"/>
      <c r="AX909" s="65"/>
      <c r="AY909" s="65"/>
      <c r="AZ909" s="65"/>
      <c r="BA909" s="60"/>
      <c r="BB909" s="65"/>
      <c r="BC909" s="65"/>
      <c r="BD909" s="65"/>
      <c r="BE909" s="60"/>
      <c r="BG909" s="65"/>
      <c r="BH909" s="65"/>
      <c r="BI909" s="65"/>
      <c r="BJ909" s="65"/>
      <c r="BK909" s="65"/>
      <c r="BL909" s="65"/>
      <c r="BM909" s="65"/>
      <c r="BN909" s="65"/>
      <c r="BO909" s="65"/>
      <c r="BP909" s="65"/>
      <c r="BQ909" s="65"/>
      <c r="BR909" s="65"/>
      <c r="BS909" s="65"/>
    </row>
    <row r="910" spans="45:74" x14ac:dyDescent="0.25">
      <c r="AS910" s="53"/>
      <c r="AV910" s="379"/>
      <c r="AW910" s="379"/>
      <c r="AX910" s="65"/>
      <c r="AY910" s="65"/>
      <c r="AZ910" s="65"/>
      <c r="BA910" s="60"/>
      <c r="BB910" s="65"/>
      <c r="BC910" s="65"/>
      <c r="BD910" s="65"/>
      <c r="BE910" s="60"/>
      <c r="BG910" s="65"/>
      <c r="BH910" s="65"/>
      <c r="BI910" s="65"/>
      <c r="BJ910" s="65"/>
      <c r="BK910" s="65"/>
      <c r="BL910" s="65"/>
      <c r="BM910" s="65"/>
      <c r="BN910" s="65"/>
      <c r="BO910" s="65"/>
      <c r="BP910" s="65"/>
      <c r="BQ910" s="65"/>
      <c r="BR910" s="65"/>
      <c r="BS910" s="65"/>
    </row>
    <row r="911" spans="45:74" x14ac:dyDescent="0.25">
      <c r="AS911" s="53"/>
      <c r="AV911" s="379"/>
      <c r="AW911" s="379"/>
      <c r="AX911" s="65"/>
      <c r="AY911" s="65"/>
      <c r="AZ911" s="65"/>
      <c r="BA911" s="60"/>
      <c r="BB911" s="65"/>
      <c r="BC911" s="65"/>
      <c r="BD911" s="65"/>
      <c r="BE911" s="60"/>
      <c r="BG911" s="65"/>
      <c r="BH911" s="65"/>
      <c r="BI911" s="65"/>
      <c r="BJ911" s="65"/>
      <c r="BK911" s="65"/>
      <c r="BL911" s="65"/>
      <c r="BM911" s="65"/>
      <c r="BN911" s="65"/>
      <c r="BO911" s="65"/>
      <c r="BP911" s="65"/>
      <c r="BQ911" s="65"/>
      <c r="BR911" s="65"/>
      <c r="BS911" s="65"/>
    </row>
    <row r="912" spans="45:74" x14ac:dyDescent="0.25">
      <c r="AS912" s="53"/>
      <c r="AV912" s="379"/>
      <c r="AW912" s="379"/>
      <c r="AX912" s="65"/>
      <c r="AY912" s="65"/>
      <c r="AZ912" s="65"/>
      <c r="BA912" s="60"/>
      <c r="BB912" s="65"/>
      <c r="BC912" s="65"/>
      <c r="BD912" s="65"/>
      <c r="BE912" s="60"/>
      <c r="BG912" s="65"/>
      <c r="BH912" s="65"/>
      <c r="BI912" s="65"/>
      <c r="BJ912" s="65"/>
      <c r="BK912" s="65"/>
      <c r="BL912" s="65"/>
      <c r="BM912" s="65"/>
      <c r="BN912" s="65"/>
      <c r="BO912" s="65"/>
      <c r="BP912" s="65"/>
      <c r="BQ912" s="65"/>
      <c r="BR912" s="65"/>
      <c r="BS912" s="65"/>
    </row>
    <row r="913" spans="45:71" x14ac:dyDescent="0.25">
      <c r="AS913" s="53"/>
      <c r="AV913" s="379"/>
      <c r="AW913" s="379"/>
      <c r="AX913" s="65"/>
      <c r="AY913" s="65"/>
      <c r="AZ913" s="65"/>
      <c r="BA913" s="60"/>
      <c r="BB913" s="65"/>
      <c r="BC913" s="65"/>
      <c r="BD913" s="65"/>
      <c r="BE913" s="60"/>
      <c r="BG913" s="65"/>
      <c r="BH913" s="65"/>
      <c r="BI913" s="65"/>
      <c r="BJ913" s="65"/>
      <c r="BK913" s="65"/>
      <c r="BL913" s="65"/>
      <c r="BM913" s="65"/>
      <c r="BN913" s="65"/>
      <c r="BO913" s="65"/>
      <c r="BP913" s="65"/>
      <c r="BQ913" s="65"/>
      <c r="BR913" s="65"/>
      <c r="BS913" s="65"/>
    </row>
    <row r="914" spans="45:71" x14ac:dyDescent="0.25">
      <c r="AS914" s="53"/>
      <c r="AV914" s="379"/>
      <c r="AW914" s="379"/>
      <c r="AX914" s="65"/>
      <c r="AY914" s="65"/>
      <c r="AZ914" s="65"/>
      <c r="BA914" s="60"/>
      <c r="BB914" s="65"/>
      <c r="BC914" s="65"/>
      <c r="BD914" s="65"/>
      <c r="BE914" s="60"/>
      <c r="BG914" s="65"/>
      <c r="BH914" s="65"/>
      <c r="BI914" s="65"/>
      <c r="BJ914" s="65"/>
      <c r="BK914" s="65"/>
      <c r="BL914" s="65"/>
      <c r="BM914" s="65"/>
      <c r="BN914" s="65"/>
      <c r="BO914" s="65"/>
      <c r="BP914" s="65"/>
      <c r="BQ914" s="65"/>
      <c r="BR914" s="65"/>
      <c r="BS914" s="65"/>
    </row>
    <row r="915" spans="45:71" x14ac:dyDescent="0.25">
      <c r="AS915" s="53"/>
      <c r="AV915" s="379"/>
      <c r="AW915" s="379"/>
      <c r="AX915" s="65"/>
      <c r="AY915" s="65"/>
      <c r="AZ915" s="65"/>
      <c r="BA915" s="60"/>
      <c r="BB915" s="65"/>
      <c r="BC915" s="65"/>
      <c r="BD915" s="65"/>
      <c r="BE915" s="60"/>
      <c r="BG915" s="65"/>
      <c r="BH915" s="65"/>
      <c r="BI915" s="65"/>
      <c r="BJ915" s="65"/>
      <c r="BK915" s="65"/>
      <c r="BL915" s="65"/>
      <c r="BM915" s="65"/>
      <c r="BN915" s="65"/>
      <c r="BO915" s="65"/>
      <c r="BP915" s="65"/>
      <c r="BQ915" s="65"/>
      <c r="BR915" s="65"/>
      <c r="BS915" s="65"/>
    </row>
    <row r="916" spans="45:71" x14ac:dyDescent="0.25">
      <c r="AS916" s="53"/>
      <c r="AV916" s="379"/>
      <c r="AW916" s="379"/>
      <c r="AX916" s="65"/>
      <c r="AY916" s="65"/>
      <c r="AZ916" s="65"/>
      <c r="BA916" s="60"/>
      <c r="BB916" s="65"/>
      <c r="BC916" s="65"/>
      <c r="BD916" s="65"/>
      <c r="BE916" s="60"/>
      <c r="BG916" s="65"/>
      <c r="BH916" s="65"/>
      <c r="BI916" s="65"/>
      <c r="BJ916" s="65"/>
      <c r="BK916" s="65"/>
      <c r="BL916" s="65"/>
      <c r="BM916" s="65"/>
      <c r="BN916" s="65"/>
      <c r="BO916" s="65"/>
      <c r="BP916" s="65"/>
      <c r="BQ916" s="65"/>
      <c r="BR916" s="65"/>
      <c r="BS916" s="65"/>
    </row>
    <row r="917" spans="45:71" x14ac:dyDescent="0.25">
      <c r="AS917" s="53"/>
      <c r="AV917" s="379"/>
      <c r="AW917" s="379"/>
      <c r="AX917" s="65"/>
      <c r="AY917" s="65"/>
      <c r="AZ917" s="65"/>
      <c r="BA917" s="60"/>
      <c r="BB917" s="65"/>
      <c r="BC917" s="65"/>
      <c r="BD917" s="65"/>
      <c r="BE917" s="60"/>
      <c r="BG917" s="65"/>
      <c r="BH917" s="65"/>
      <c r="BI917" s="65"/>
      <c r="BJ917" s="65"/>
      <c r="BK917" s="65"/>
      <c r="BL917" s="65"/>
      <c r="BM917" s="65"/>
      <c r="BN917" s="65"/>
      <c r="BO917" s="65"/>
      <c r="BP917" s="65"/>
      <c r="BQ917" s="65"/>
      <c r="BR917" s="65"/>
      <c r="BS917" s="65"/>
    </row>
    <row r="918" spans="45:71" x14ac:dyDescent="0.25">
      <c r="AS918" s="53"/>
      <c r="AV918" s="379"/>
      <c r="AW918" s="379"/>
      <c r="AX918" s="65"/>
      <c r="AY918" s="65"/>
      <c r="AZ918" s="65"/>
      <c r="BA918" s="60"/>
      <c r="BB918" s="65"/>
      <c r="BC918" s="65"/>
      <c r="BD918" s="65"/>
      <c r="BE918" s="60"/>
      <c r="BG918" s="65"/>
      <c r="BH918" s="65"/>
      <c r="BI918" s="65"/>
      <c r="BJ918" s="65"/>
      <c r="BK918" s="65"/>
      <c r="BL918" s="65"/>
      <c r="BM918" s="65"/>
      <c r="BN918" s="65"/>
      <c r="BO918" s="65"/>
      <c r="BP918" s="65"/>
      <c r="BQ918" s="65"/>
      <c r="BR918" s="65"/>
      <c r="BS918" s="65"/>
    </row>
    <row r="919" spans="45:71" x14ac:dyDescent="0.25">
      <c r="AS919" s="53"/>
      <c r="AV919" s="379"/>
      <c r="AW919" s="379"/>
      <c r="AX919" s="65"/>
      <c r="AY919" s="65"/>
      <c r="AZ919" s="65"/>
      <c r="BA919" s="60"/>
      <c r="BB919" s="65"/>
      <c r="BC919" s="65"/>
      <c r="BD919" s="65"/>
      <c r="BE919" s="60"/>
      <c r="BG919" s="65"/>
      <c r="BH919" s="65"/>
      <c r="BI919" s="65"/>
      <c r="BJ919" s="65"/>
      <c r="BK919" s="65"/>
      <c r="BL919" s="65"/>
      <c r="BM919" s="65"/>
      <c r="BN919" s="65"/>
      <c r="BO919" s="65"/>
      <c r="BP919" s="65"/>
      <c r="BQ919" s="65"/>
      <c r="BR919" s="65"/>
      <c r="BS919" s="65"/>
    </row>
    <row r="920" spans="45:71" x14ac:dyDescent="0.25">
      <c r="AS920" s="53"/>
      <c r="AV920" s="379"/>
      <c r="AW920" s="379"/>
      <c r="AX920" s="65"/>
      <c r="AY920" s="65"/>
      <c r="AZ920" s="65"/>
      <c r="BA920" s="60"/>
      <c r="BB920" s="65"/>
      <c r="BC920" s="65"/>
      <c r="BD920" s="65"/>
      <c r="BE920" s="60"/>
      <c r="BG920" s="65"/>
      <c r="BH920" s="65"/>
      <c r="BI920" s="65"/>
      <c r="BJ920" s="65"/>
      <c r="BK920" s="65"/>
      <c r="BL920" s="65"/>
      <c r="BM920" s="65"/>
      <c r="BN920" s="65"/>
      <c r="BO920" s="65"/>
      <c r="BP920" s="65"/>
      <c r="BQ920" s="65"/>
      <c r="BR920" s="65"/>
      <c r="BS920" s="65"/>
    </row>
    <row r="921" spans="45:71" x14ac:dyDescent="0.25">
      <c r="AS921" s="53"/>
      <c r="AV921" s="379"/>
      <c r="AW921" s="379"/>
      <c r="AX921" s="65"/>
      <c r="AY921" s="65"/>
      <c r="AZ921" s="65"/>
      <c r="BA921" s="60"/>
      <c r="BB921" s="65"/>
      <c r="BC921" s="65"/>
      <c r="BD921" s="65"/>
      <c r="BE921" s="60"/>
      <c r="BG921" s="65"/>
      <c r="BH921" s="65"/>
      <c r="BI921" s="65"/>
      <c r="BJ921" s="65"/>
      <c r="BK921" s="65"/>
      <c r="BL921" s="65"/>
      <c r="BM921" s="65"/>
      <c r="BN921" s="65"/>
      <c r="BO921" s="65"/>
      <c r="BP921" s="65"/>
      <c r="BQ921" s="65"/>
      <c r="BR921" s="65"/>
      <c r="BS921" s="65"/>
    </row>
    <row r="922" spans="45:71" x14ac:dyDescent="0.25">
      <c r="AS922" s="53"/>
      <c r="AV922" s="379"/>
      <c r="AW922" s="379"/>
      <c r="AX922" s="65"/>
      <c r="AY922" s="65"/>
      <c r="AZ922" s="65"/>
      <c r="BA922" s="60"/>
      <c r="BB922" s="65"/>
      <c r="BC922" s="65"/>
      <c r="BD922" s="65"/>
      <c r="BE922" s="60"/>
      <c r="BG922" s="65"/>
      <c r="BH922" s="65"/>
      <c r="BI922" s="65"/>
      <c r="BJ922" s="65"/>
      <c r="BK922" s="65"/>
      <c r="BL922" s="65"/>
      <c r="BM922" s="65"/>
      <c r="BN922" s="65"/>
      <c r="BO922" s="65"/>
      <c r="BP922" s="65"/>
      <c r="BQ922" s="65"/>
      <c r="BR922" s="65"/>
      <c r="BS922" s="65"/>
    </row>
    <row r="923" spans="45:71" x14ac:dyDescent="0.25">
      <c r="AS923" s="53"/>
      <c r="AV923" s="379"/>
      <c r="AW923" s="379"/>
      <c r="AX923" s="65"/>
      <c r="AY923" s="65"/>
      <c r="AZ923" s="65"/>
      <c r="BA923" s="60"/>
      <c r="BB923" s="65"/>
      <c r="BC923" s="65"/>
      <c r="BD923" s="65"/>
      <c r="BE923" s="60"/>
      <c r="BG923" s="65"/>
      <c r="BH923" s="65"/>
      <c r="BI923" s="65"/>
      <c r="BJ923" s="65"/>
      <c r="BK923" s="65"/>
      <c r="BL923" s="65"/>
      <c r="BM923" s="65"/>
      <c r="BN923" s="65"/>
      <c r="BO923" s="65"/>
      <c r="BP923" s="65"/>
      <c r="BQ923" s="65"/>
      <c r="BR923" s="65"/>
      <c r="BS923" s="65"/>
    </row>
    <row r="924" spans="45:71" x14ac:dyDescent="0.25">
      <c r="AS924" s="53"/>
      <c r="AV924" s="379"/>
      <c r="AW924" s="379"/>
      <c r="AX924" s="65"/>
      <c r="AY924" s="65"/>
      <c r="AZ924" s="65"/>
      <c r="BA924" s="60"/>
      <c r="BB924" s="65"/>
      <c r="BC924" s="65"/>
      <c r="BD924" s="65"/>
      <c r="BE924" s="60"/>
      <c r="BG924" s="65"/>
      <c r="BH924" s="65"/>
      <c r="BI924" s="65"/>
      <c r="BJ924" s="65"/>
      <c r="BK924" s="65"/>
      <c r="BL924" s="65"/>
      <c r="BM924" s="65"/>
      <c r="BN924" s="65"/>
      <c r="BO924" s="65"/>
      <c r="BP924" s="65"/>
      <c r="BQ924" s="65"/>
      <c r="BR924" s="65"/>
      <c r="BS924" s="65"/>
    </row>
    <row r="925" spans="45:71" x14ac:dyDescent="0.25">
      <c r="AZ925" s="65"/>
      <c r="BB925" s="65"/>
      <c r="BC925" s="65"/>
      <c r="BD925" s="65"/>
      <c r="BG925" s="65"/>
      <c r="BH925" s="65"/>
      <c r="BI925" s="65"/>
      <c r="BJ925" s="65"/>
      <c r="BK925" s="65"/>
      <c r="BL925" s="65"/>
      <c r="BM925" s="65"/>
      <c r="BN925" s="65"/>
      <c r="BO925" s="65"/>
      <c r="BP925" s="65"/>
      <c r="BQ925" s="65"/>
      <c r="BR925" s="65"/>
      <c r="BS925" s="65"/>
    </row>
    <row r="926" spans="45:71" x14ac:dyDescent="0.25">
      <c r="AS926" s="53"/>
      <c r="AT926" s="54"/>
      <c r="AV926" s="379"/>
      <c r="AW926" s="379"/>
      <c r="AX926" s="65"/>
      <c r="AY926" s="65"/>
      <c r="AZ926" s="65"/>
      <c r="BA926" s="60"/>
      <c r="BB926" s="65"/>
      <c r="BC926" s="65"/>
      <c r="BD926" s="65"/>
      <c r="BE926" s="60"/>
    </row>
    <row r="927" spans="45:71" x14ac:dyDescent="0.25">
      <c r="AS927" s="53"/>
      <c r="AV927" s="379"/>
      <c r="AW927" s="379"/>
      <c r="AX927" s="65"/>
      <c r="AY927" s="65"/>
      <c r="AZ927" s="65"/>
      <c r="BA927" s="60"/>
      <c r="BB927" s="65"/>
      <c r="BC927" s="65"/>
      <c r="BD927" s="65"/>
      <c r="BE927" s="60"/>
    </row>
    <row r="928" spans="45:71" x14ac:dyDescent="0.25">
      <c r="AS928" s="53"/>
      <c r="AV928" s="379"/>
      <c r="AW928" s="379"/>
      <c r="AX928" s="65"/>
      <c r="AY928" s="65"/>
      <c r="AZ928" s="65"/>
      <c r="BA928" s="60"/>
      <c r="BB928" s="65"/>
      <c r="BC928" s="65"/>
      <c r="BD928" s="65"/>
      <c r="BE928" s="60"/>
    </row>
    <row r="929" spans="45:57" x14ac:dyDescent="0.25">
      <c r="AS929" s="53"/>
      <c r="AV929" s="379"/>
      <c r="AW929" s="379"/>
      <c r="AX929" s="65"/>
      <c r="AY929" s="65"/>
      <c r="AZ929" s="65"/>
      <c r="BA929" s="60"/>
      <c r="BB929" s="65"/>
      <c r="BC929" s="65"/>
      <c r="BD929" s="65"/>
      <c r="BE929" s="60"/>
    </row>
    <row r="930" spans="45:57" x14ac:dyDescent="0.25">
      <c r="AS930" s="53"/>
      <c r="AV930" s="379"/>
      <c r="AW930" s="379"/>
      <c r="AX930" s="65"/>
      <c r="AY930" s="65"/>
      <c r="AZ930" s="65"/>
      <c r="BA930" s="60"/>
      <c r="BB930" s="65"/>
      <c r="BC930" s="65"/>
      <c r="BD930" s="65"/>
      <c r="BE930" s="60"/>
    </row>
    <row r="931" spans="45:57" x14ac:dyDescent="0.25">
      <c r="AS931" s="53"/>
      <c r="AV931" s="379"/>
      <c r="AW931" s="379"/>
      <c r="AX931" s="65"/>
      <c r="AY931" s="65"/>
      <c r="AZ931" s="65"/>
      <c r="BA931" s="60"/>
      <c r="BB931" s="65"/>
      <c r="BC931" s="65"/>
      <c r="BD931" s="65"/>
      <c r="BE931" s="60"/>
    </row>
    <row r="932" spans="45:57" x14ac:dyDescent="0.25">
      <c r="AS932" s="53"/>
      <c r="AV932" s="379"/>
      <c r="AW932" s="379"/>
      <c r="AX932" s="65"/>
      <c r="AY932" s="65"/>
      <c r="AZ932" s="65"/>
      <c r="BA932" s="60"/>
      <c r="BB932" s="65"/>
      <c r="BC932" s="65"/>
      <c r="BD932" s="65"/>
      <c r="BE932" s="60"/>
    </row>
    <row r="933" spans="45:57" x14ac:dyDescent="0.25">
      <c r="AS933" s="53"/>
      <c r="AV933" s="379"/>
      <c r="AW933" s="379"/>
      <c r="AX933" s="65"/>
      <c r="AY933" s="65"/>
      <c r="AZ933" s="65"/>
      <c r="BA933" s="60"/>
      <c r="BB933" s="65"/>
      <c r="BC933" s="65"/>
      <c r="BD933" s="65"/>
      <c r="BE933" s="60"/>
    </row>
    <row r="934" spans="45:57" x14ac:dyDescent="0.25">
      <c r="AS934" s="53"/>
      <c r="AV934" s="379"/>
      <c r="AW934" s="379"/>
      <c r="AX934" s="65"/>
      <c r="AY934" s="65"/>
      <c r="AZ934" s="65"/>
      <c r="BA934" s="60"/>
      <c r="BB934" s="65"/>
      <c r="BC934" s="65"/>
      <c r="BD934" s="65"/>
      <c r="BE934" s="60"/>
    </row>
    <row r="935" spans="45:57" x14ac:dyDescent="0.25">
      <c r="AS935" s="53"/>
      <c r="AV935" s="379"/>
      <c r="AW935" s="379"/>
      <c r="AX935" s="65"/>
      <c r="AY935" s="65"/>
      <c r="AZ935" s="65"/>
      <c r="BA935" s="60"/>
      <c r="BB935" s="65"/>
      <c r="BC935" s="65"/>
      <c r="BD935" s="65"/>
      <c r="BE935" s="60"/>
    </row>
    <row r="936" spans="45:57" x14ac:dyDescent="0.25">
      <c r="AS936" s="53"/>
      <c r="AV936" s="379"/>
      <c r="AW936" s="379"/>
      <c r="AX936" s="65"/>
      <c r="AY936" s="65"/>
      <c r="AZ936" s="65"/>
      <c r="BA936" s="60"/>
      <c r="BB936" s="65"/>
      <c r="BC936" s="65"/>
      <c r="BD936" s="65"/>
      <c r="BE936" s="60"/>
    </row>
    <row r="937" spans="45:57" x14ac:dyDescent="0.25">
      <c r="AS937" s="53"/>
      <c r="AV937" s="379"/>
      <c r="AW937" s="379"/>
      <c r="AX937" s="65"/>
      <c r="AY937" s="65"/>
      <c r="AZ937" s="65"/>
      <c r="BA937" s="60"/>
      <c r="BB937" s="65"/>
      <c r="BC937" s="65"/>
      <c r="BD937" s="65"/>
      <c r="BE937" s="60"/>
    </row>
    <row r="938" spans="45:57" x14ac:dyDescent="0.25">
      <c r="AS938" s="53"/>
      <c r="AV938" s="379"/>
      <c r="AW938" s="379"/>
      <c r="AX938" s="65"/>
      <c r="AY938" s="65"/>
      <c r="AZ938" s="65"/>
      <c r="BA938" s="60"/>
      <c r="BB938" s="65"/>
      <c r="BC938" s="65"/>
      <c r="BD938" s="65"/>
      <c r="BE938" s="60"/>
    </row>
    <row r="939" spans="45:57" x14ac:dyDescent="0.25">
      <c r="AS939" s="53"/>
      <c r="AV939" s="379"/>
      <c r="AW939" s="379"/>
      <c r="AX939" s="65"/>
      <c r="AY939" s="65"/>
      <c r="AZ939" s="65"/>
      <c r="BA939" s="60"/>
      <c r="BB939" s="65"/>
      <c r="BC939" s="65"/>
      <c r="BD939" s="65"/>
      <c r="BE939" s="60"/>
    </row>
    <row r="940" spans="45:57" x14ac:dyDescent="0.25">
      <c r="AS940" s="53"/>
      <c r="AV940" s="379"/>
      <c r="AW940" s="379"/>
      <c r="AX940" s="65"/>
      <c r="AY940" s="65"/>
      <c r="AZ940" s="65"/>
      <c r="BA940" s="60"/>
      <c r="BB940" s="65"/>
      <c r="BC940" s="65"/>
      <c r="BD940" s="65"/>
      <c r="BE940" s="60"/>
    </row>
    <row r="941" spans="45:57" x14ac:dyDescent="0.25">
      <c r="AS941" s="53"/>
      <c r="AV941" s="379"/>
      <c r="AW941" s="379"/>
      <c r="AX941" s="65"/>
      <c r="AY941" s="65"/>
      <c r="AZ941" s="65"/>
      <c r="BA941" s="60"/>
      <c r="BB941" s="65"/>
      <c r="BC941" s="65"/>
      <c r="BD941" s="65"/>
      <c r="BE941" s="60"/>
    </row>
    <row r="942" spans="45:57" x14ac:dyDescent="0.25">
      <c r="AS942" s="53"/>
      <c r="AV942" s="379"/>
      <c r="AW942" s="379"/>
      <c r="AX942" s="65"/>
      <c r="AY942" s="65"/>
      <c r="AZ942" s="65"/>
      <c r="BA942" s="60"/>
      <c r="BB942" s="65"/>
      <c r="BC942" s="65"/>
      <c r="BD942" s="65"/>
      <c r="BE942" s="60"/>
    </row>
    <row r="943" spans="45:57" x14ac:dyDescent="0.25">
      <c r="AS943" s="53"/>
      <c r="AV943" s="379"/>
      <c r="AW943" s="379"/>
      <c r="AX943" s="65"/>
      <c r="AY943" s="65"/>
      <c r="AZ943" s="65"/>
      <c r="BA943" s="60"/>
      <c r="BB943" s="65"/>
      <c r="BC943" s="65"/>
      <c r="BD943" s="65"/>
      <c r="BE943" s="60"/>
    </row>
    <row r="944" spans="45:57" x14ac:dyDescent="0.25">
      <c r="BB944" s="65"/>
    </row>
    <row r="945" spans="45:57" x14ac:dyDescent="0.25">
      <c r="AU945" s="54"/>
      <c r="BB945" s="65"/>
    </row>
    <row r="946" spans="45:57" x14ac:dyDescent="0.25">
      <c r="AU946" s="54"/>
    </row>
    <row r="947" spans="45:57" x14ac:dyDescent="0.25">
      <c r="AU947" s="54"/>
      <c r="BB947" s="65"/>
    </row>
    <row r="948" spans="45:57" x14ac:dyDescent="0.25">
      <c r="AS948" s="54"/>
      <c r="AZ948" s="65"/>
      <c r="BB948" s="65"/>
    </row>
    <row r="949" spans="45:57" x14ac:dyDescent="0.25">
      <c r="AY949" s="53"/>
      <c r="AZ949" s="65"/>
      <c r="BB949" s="65"/>
    </row>
    <row r="950" spans="45:57" x14ac:dyDescent="0.25">
      <c r="AY950" s="65"/>
      <c r="AZ950" s="65"/>
      <c r="BB950" s="65"/>
    </row>
    <row r="951" spans="45:57" x14ac:dyDescent="0.25">
      <c r="AY951" s="54"/>
      <c r="AZ951" s="65"/>
      <c r="BB951" s="65"/>
    </row>
    <row r="952" spans="45:57" x14ac:dyDescent="0.25">
      <c r="AY952" s="54"/>
      <c r="AZ952" s="65"/>
      <c r="BB952" s="65"/>
    </row>
    <row r="953" spans="45:57" x14ac:dyDescent="0.25">
      <c r="AS953" s="53"/>
      <c r="AZ953" s="65"/>
      <c r="BB953" s="65"/>
      <c r="BD953" s="54"/>
    </row>
    <row r="954" spans="45:57" x14ac:dyDescent="0.25">
      <c r="AS954" s="53"/>
      <c r="AZ954" s="65"/>
      <c r="BB954" s="65"/>
      <c r="BD954" s="54"/>
    </row>
    <row r="955" spans="45:57" x14ac:dyDescent="0.25">
      <c r="AS955" s="54"/>
      <c r="AZ955" s="65"/>
      <c r="BB955" s="65"/>
      <c r="BD955" s="54"/>
    </row>
    <row r="956" spans="45:57" x14ac:dyDescent="0.25">
      <c r="AZ956" s="65"/>
      <c r="BB956" s="65"/>
      <c r="BD956" s="53"/>
    </row>
    <row r="957" spans="45:57" x14ac:dyDescent="0.25">
      <c r="AS957" s="55"/>
      <c r="AT957" s="55"/>
      <c r="AU957" s="55"/>
      <c r="AV957" s="55"/>
      <c r="AW957" s="55"/>
      <c r="AX957" s="55"/>
      <c r="AY957" s="55"/>
      <c r="AZ957" s="66"/>
      <c r="BA957" s="55"/>
      <c r="BB957" s="66"/>
      <c r="BC957" s="55"/>
      <c r="BD957" s="55"/>
      <c r="BE957" s="55"/>
    </row>
    <row r="958" spans="45:57" x14ac:dyDescent="0.25">
      <c r="AX958" s="54"/>
      <c r="AZ958" s="65"/>
      <c r="BB958" s="65"/>
    </row>
    <row r="959" spans="45:57" x14ac:dyDescent="0.25">
      <c r="AX959" s="55"/>
      <c r="AY959" s="55"/>
      <c r="AZ959" s="66"/>
      <c r="BA959" s="55"/>
      <c r="BB959" s="65"/>
      <c r="BC959" s="56"/>
      <c r="BD959" s="56"/>
    </row>
    <row r="960" spans="45:57" x14ac:dyDescent="0.25">
      <c r="AV960" s="56"/>
      <c r="AW960" s="56"/>
      <c r="AZ960" s="67"/>
      <c r="BA960" s="56"/>
      <c r="BB960" s="65"/>
      <c r="BC960" s="56"/>
      <c r="BD960" s="56"/>
      <c r="BE960" s="56"/>
    </row>
    <row r="961" spans="45:57" x14ac:dyDescent="0.25">
      <c r="AV961" s="56"/>
      <c r="AW961" s="56"/>
      <c r="AX961" s="56"/>
      <c r="AY961" s="56"/>
      <c r="AZ961" s="67"/>
      <c r="BA961" s="56"/>
      <c r="BB961" s="67"/>
      <c r="BC961" s="56"/>
      <c r="BD961" s="56"/>
      <c r="BE961" s="56"/>
    </row>
    <row r="962" spans="45:57" x14ac:dyDescent="0.25">
      <c r="AS962" s="56"/>
      <c r="AU962" s="54"/>
      <c r="AV962" s="56"/>
      <c r="AW962" s="56"/>
      <c r="AX962" s="56"/>
      <c r="AY962" s="56"/>
      <c r="AZ962" s="67"/>
      <c r="BA962" s="56"/>
      <c r="BB962" s="67"/>
      <c r="BC962" s="56"/>
      <c r="BD962" s="56"/>
      <c r="BE962" s="56"/>
    </row>
    <row r="963" spans="45:57" x14ac:dyDescent="0.25">
      <c r="AS963" s="56"/>
      <c r="AU963" s="54"/>
      <c r="AV963" s="56"/>
      <c r="AW963" s="56"/>
      <c r="AX963" s="56"/>
      <c r="AY963" s="56"/>
      <c r="AZ963" s="67"/>
      <c r="BA963" s="56"/>
      <c r="BB963" s="67"/>
      <c r="BC963" s="56"/>
      <c r="BD963" s="56"/>
      <c r="BE963" s="56"/>
    </row>
    <row r="964" spans="45:57" x14ac:dyDescent="0.25">
      <c r="AS964" s="55"/>
      <c r="AT964" s="55"/>
      <c r="AU964" s="55"/>
      <c r="AV964" s="55"/>
      <c r="AW964" s="55"/>
      <c r="AX964" s="55"/>
      <c r="AY964" s="55"/>
      <c r="AZ964" s="66"/>
      <c r="BA964" s="55"/>
      <c r="BB964" s="66"/>
      <c r="BC964" s="55"/>
      <c r="BD964" s="55"/>
      <c r="BE964" s="55"/>
    </row>
    <row r="965" spans="45:57" x14ac:dyDescent="0.25">
      <c r="AV965" s="56"/>
      <c r="AW965" s="56"/>
      <c r="AX965" s="56"/>
      <c r="AY965" s="56"/>
      <c r="AZ965" s="67"/>
      <c r="BA965" s="56"/>
      <c r="BB965" s="67"/>
      <c r="BC965" s="56"/>
      <c r="BD965" s="56"/>
      <c r="BE965" s="56"/>
    </row>
    <row r="966" spans="45:57" x14ac:dyDescent="0.25">
      <c r="AS966" s="53"/>
      <c r="AT966" s="54"/>
      <c r="AV966" s="379"/>
      <c r="AW966" s="379"/>
      <c r="AX966" s="65"/>
      <c r="AY966" s="65"/>
      <c r="AZ966" s="65"/>
      <c r="BA966" s="60"/>
      <c r="BB966" s="65"/>
      <c r="BC966" s="65"/>
      <c r="BD966" s="65"/>
      <c r="BE966" s="60"/>
    </row>
    <row r="967" spans="45:57" x14ac:dyDescent="0.25">
      <c r="AS967" s="53"/>
      <c r="AV967" s="379"/>
      <c r="AW967" s="379"/>
      <c r="AX967" s="65"/>
      <c r="AY967" s="65"/>
      <c r="AZ967" s="65"/>
      <c r="BA967" s="60"/>
      <c r="BB967" s="65"/>
      <c r="BC967" s="65"/>
      <c r="BD967" s="65"/>
      <c r="BE967" s="60"/>
    </row>
    <row r="968" spans="45:57" x14ac:dyDescent="0.25">
      <c r="AS968" s="53"/>
      <c r="AV968" s="379"/>
      <c r="AW968" s="379"/>
      <c r="AX968" s="65"/>
      <c r="AY968" s="65"/>
      <c r="AZ968" s="65"/>
      <c r="BA968" s="60"/>
      <c r="BB968" s="65"/>
      <c r="BC968" s="65"/>
      <c r="BD968" s="65"/>
      <c r="BE968" s="60"/>
    </row>
    <row r="969" spans="45:57" x14ac:dyDescent="0.25">
      <c r="AS969" s="53"/>
      <c r="AV969" s="379"/>
      <c r="AW969" s="379"/>
      <c r="AX969" s="65"/>
      <c r="AY969" s="65"/>
      <c r="AZ969" s="65"/>
      <c r="BA969" s="60"/>
      <c r="BB969" s="65"/>
      <c r="BC969" s="65"/>
      <c r="BD969" s="65"/>
      <c r="BE969" s="60"/>
    </row>
    <row r="970" spans="45:57" x14ac:dyDescent="0.25">
      <c r="AS970" s="53"/>
      <c r="AV970" s="379"/>
      <c r="AW970" s="379"/>
      <c r="AX970" s="65"/>
      <c r="AY970" s="65"/>
      <c r="AZ970" s="65"/>
      <c r="BA970" s="60"/>
      <c r="BB970" s="65"/>
      <c r="BC970" s="65"/>
      <c r="BD970" s="65"/>
      <c r="BE970" s="60"/>
    </row>
    <row r="971" spans="45:57" x14ac:dyDescent="0.25">
      <c r="AS971" s="53"/>
      <c r="AV971" s="379"/>
      <c r="AW971" s="379"/>
      <c r="AX971" s="65"/>
      <c r="AY971" s="65"/>
      <c r="AZ971" s="65"/>
      <c r="BA971" s="60"/>
      <c r="BB971" s="65"/>
      <c r="BC971" s="65"/>
      <c r="BD971" s="65"/>
      <c r="BE971" s="60"/>
    </row>
    <row r="972" spans="45:57" x14ac:dyDescent="0.25">
      <c r="AS972" s="53"/>
      <c r="AV972" s="379"/>
      <c r="AW972" s="379"/>
      <c r="AX972" s="65"/>
      <c r="AY972" s="65"/>
      <c r="AZ972" s="65"/>
      <c r="BA972" s="60"/>
      <c r="BB972" s="65"/>
      <c r="BC972" s="65"/>
      <c r="BD972" s="65"/>
      <c r="BE972" s="60"/>
    </row>
    <row r="973" spans="45:57" x14ac:dyDescent="0.25">
      <c r="AS973" s="53"/>
      <c r="AV973" s="379"/>
      <c r="AW973" s="379"/>
      <c r="AX973" s="65"/>
      <c r="AY973" s="65"/>
      <c r="AZ973" s="65"/>
      <c r="BA973" s="60"/>
      <c r="BB973" s="65"/>
      <c r="BC973" s="65"/>
      <c r="BD973" s="65"/>
      <c r="BE973" s="60"/>
    </row>
    <row r="974" spans="45:57" x14ac:dyDescent="0.25">
      <c r="AS974" s="53"/>
      <c r="AV974" s="379"/>
      <c r="AW974" s="379"/>
      <c r="AX974" s="65"/>
      <c r="AY974" s="65"/>
      <c r="AZ974" s="65"/>
      <c r="BA974" s="60"/>
      <c r="BB974" s="65"/>
      <c r="BC974" s="65"/>
      <c r="BD974" s="65"/>
      <c r="BE974" s="60"/>
    </row>
    <row r="975" spans="45:57" x14ac:dyDescent="0.25">
      <c r="AS975" s="53"/>
      <c r="AV975" s="379"/>
      <c r="AW975" s="379"/>
      <c r="AX975" s="65"/>
      <c r="AY975" s="65"/>
      <c r="AZ975" s="65"/>
      <c r="BA975" s="60"/>
      <c r="BB975" s="65"/>
      <c r="BC975" s="65"/>
      <c r="BD975" s="65"/>
      <c r="BE975" s="60"/>
    </row>
    <row r="976" spans="45:57" x14ac:dyDescent="0.25">
      <c r="AV976" s="379"/>
      <c r="AW976" s="379"/>
      <c r="BB976" s="65"/>
    </row>
    <row r="977" spans="45:57" x14ac:dyDescent="0.25">
      <c r="AS977" s="53"/>
      <c r="AT977" s="54"/>
      <c r="AV977" s="379"/>
      <c r="AW977" s="379"/>
      <c r="AX977" s="65"/>
      <c r="AY977" s="65"/>
      <c r="AZ977" s="65"/>
      <c r="BA977" s="60"/>
      <c r="BB977" s="65"/>
      <c r="BC977" s="65"/>
      <c r="BD977" s="65"/>
      <c r="BE977" s="60"/>
    </row>
    <row r="978" spans="45:57" x14ac:dyDescent="0.25">
      <c r="AS978" s="53"/>
      <c r="AV978" s="379"/>
      <c r="AW978" s="379"/>
      <c r="AX978" s="65"/>
      <c r="AY978" s="65"/>
      <c r="AZ978" s="65"/>
      <c r="BA978" s="60"/>
      <c r="BB978" s="65"/>
      <c r="BC978" s="65"/>
      <c r="BD978" s="65"/>
      <c r="BE978" s="60"/>
    </row>
    <row r="979" spans="45:57" x14ac:dyDescent="0.25">
      <c r="AS979" s="53"/>
      <c r="AV979" s="379"/>
      <c r="AW979" s="379"/>
      <c r="AX979" s="65"/>
      <c r="AY979" s="65"/>
      <c r="AZ979" s="65"/>
      <c r="BA979" s="60"/>
      <c r="BB979" s="65"/>
      <c r="BC979" s="65"/>
      <c r="BD979" s="65"/>
      <c r="BE979" s="60"/>
    </row>
    <row r="980" spans="45:57" x14ac:dyDescent="0.25">
      <c r="AS980" s="53"/>
      <c r="AV980" s="379"/>
      <c r="AW980" s="379"/>
      <c r="AX980" s="65"/>
      <c r="AY980" s="65"/>
      <c r="AZ980" s="65"/>
      <c r="BA980" s="60"/>
      <c r="BB980" s="65"/>
      <c r="BC980" s="65"/>
      <c r="BD980" s="65"/>
      <c r="BE980" s="60"/>
    </row>
    <row r="981" spans="45:57" x14ac:dyDescent="0.25">
      <c r="AS981" s="53"/>
      <c r="AV981" s="379"/>
      <c r="AW981" s="379"/>
      <c r="AX981" s="65"/>
      <c r="AY981" s="65"/>
      <c r="AZ981" s="65"/>
      <c r="BA981" s="60"/>
      <c r="BB981" s="65"/>
      <c r="BC981" s="65"/>
      <c r="BD981" s="65"/>
      <c r="BE981" s="60"/>
    </row>
    <row r="982" spans="45:57" x14ac:dyDescent="0.25">
      <c r="AS982" s="53"/>
      <c r="AV982" s="379"/>
      <c r="AW982" s="379"/>
      <c r="AX982" s="65"/>
      <c r="AY982" s="65"/>
      <c r="AZ982" s="65"/>
      <c r="BA982" s="60"/>
      <c r="BB982" s="65"/>
      <c r="BC982" s="65"/>
      <c r="BD982" s="65"/>
      <c r="BE982" s="60"/>
    </row>
    <row r="983" spans="45:57" x14ac:dyDescent="0.25">
      <c r="AS983" s="53"/>
      <c r="AV983" s="379"/>
      <c r="AW983" s="379"/>
      <c r="AX983" s="65"/>
      <c r="AY983" s="65"/>
      <c r="AZ983" s="65"/>
      <c r="BA983" s="60"/>
      <c r="BB983" s="65"/>
      <c r="BC983" s="65"/>
      <c r="BD983" s="65"/>
      <c r="BE983" s="60"/>
    </row>
    <row r="984" spans="45:57" x14ac:dyDescent="0.25">
      <c r="AS984" s="53"/>
      <c r="AV984" s="379"/>
      <c r="AW984" s="379"/>
      <c r="AX984" s="65"/>
      <c r="AY984" s="65"/>
      <c r="AZ984" s="65"/>
      <c r="BA984" s="60"/>
      <c r="BB984" s="65"/>
      <c r="BC984" s="65"/>
      <c r="BD984" s="65"/>
      <c r="BE984" s="60"/>
    </row>
    <row r="985" spans="45:57" x14ac:dyDescent="0.25">
      <c r="AS985" s="53"/>
      <c r="AV985" s="379"/>
      <c r="AW985" s="379"/>
      <c r="AX985" s="65"/>
      <c r="AY985" s="65"/>
      <c r="AZ985" s="65"/>
      <c r="BA985" s="60"/>
      <c r="BB985" s="65"/>
      <c r="BC985" s="65"/>
      <c r="BD985" s="65"/>
      <c r="BE985" s="60"/>
    </row>
    <row r="986" spans="45:57" x14ac:dyDescent="0.25">
      <c r="AS986" s="53"/>
      <c r="AV986" s="379"/>
      <c r="AW986" s="379"/>
      <c r="AX986" s="65"/>
      <c r="AY986" s="65"/>
      <c r="AZ986" s="65"/>
      <c r="BA986" s="60"/>
      <c r="BB986" s="65"/>
      <c r="BC986" s="65"/>
      <c r="BD986" s="65"/>
      <c r="BE986" s="60"/>
    </row>
    <row r="988" spans="45:57" x14ac:dyDescent="0.25">
      <c r="AU988" s="54"/>
    </row>
    <row r="989" spans="45:57" x14ac:dyDescent="0.25">
      <c r="AU989" s="54"/>
    </row>
    <row r="990" spans="45:57" x14ac:dyDescent="0.25">
      <c r="AU990" s="54"/>
    </row>
    <row r="991" spans="45:57" x14ac:dyDescent="0.25">
      <c r="AS991" s="54"/>
    </row>
    <row r="1012" spans="52:71" x14ac:dyDescent="0.25">
      <c r="AZ1012" s="65"/>
      <c r="BB1012" s="65"/>
      <c r="BC1012" s="65"/>
      <c r="BD1012" s="65"/>
      <c r="BG1012" s="65"/>
      <c r="BH1012" s="65"/>
      <c r="BI1012" s="65"/>
      <c r="BJ1012" s="65"/>
      <c r="BK1012" s="65"/>
      <c r="BL1012" s="65"/>
      <c r="BM1012" s="65"/>
      <c r="BN1012" s="65"/>
      <c r="BO1012" s="65"/>
      <c r="BP1012" s="65"/>
      <c r="BQ1012" s="65"/>
      <c r="BR1012" s="65"/>
      <c r="BS1012" s="65"/>
    </row>
    <row r="1013" spans="52:71" x14ac:dyDescent="0.25">
      <c r="AZ1013" s="65"/>
      <c r="BB1013" s="65"/>
      <c r="BC1013" s="65"/>
      <c r="BD1013" s="65"/>
      <c r="BG1013" s="65"/>
      <c r="BH1013" s="65"/>
      <c r="BI1013" s="65"/>
      <c r="BJ1013" s="65"/>
      <c r="BK1013" s="65"/>
      <c r="BL1013" s="65"/>
      <c r="BM1013" s="65"/>
      <c r="BN1013" s="65"/>
      <c r="BO1013" s="65"/>
      <c r="BP1013" s="65"/>
      <c r="BQ1013" s="65"/>
      <c r="BR1013" s="65"/>
      <c r="BS1013" s="65"/>
    </row>
    <row r="1014" spans="52:71" x14ac:dyDescent="0.25">
      <c r="AZ1014" s="65"/>
      <c r="BB1014" s="65"/>
      <c r="BC1014" s="65"/>
      <c r="BD1014" s="65"/>
      <c r="BG1014" s="65"/>
      <c r="BH1014" s="65"/>
      <c r="BI1014" s="65"/>
      <c r="BJ1014" s="65"/>
      <c r="BK1014" s="65"/>
      <c r="BL1014" s="65"/>
      <c r="BM1014" s="65"/>
      <c r="BN1014" s="65"/>
      <c r="BO1014" s="65"/>
      <c r="BP1014" s="65"/>
      <c r="BQ1014" s="65"/>
      <c r="BR1014" s="65"/>
      <c r="BS1014" s="65"/>
    </row>
    <row r="1015" spans="52:71" x14ac:dyDescent="0.25">
      <c r="AZ1015" s="65"/>
      <c r="BB1015" s="65"/>
      <c r="BC1015" s="65"/>
      <c r="BD1015" s="65"/>
      <c r="BG1015" s="65"/>
      <c r="BH1015" s="65"/>
      <c r="BI1015" s="65"/>
      <c r="BJ1015" s="65"/>
      <c r="BK1015" s="65"/>
      <c r="BL1015" s="65"/>
      <c r="BM1015" s="65"/>
      <c r="BN1015" s="65"/>
      <c r="BO1015" s="65"/>
      <c r="BP1015" s="65"/>
      <c r="BQ1015" s="65"/>
      <c r="BR1015" s="65"/>
      <c r="BS1015" s="65"/>
    </row>
    <row r="1016" spans="52:71" x14ac:dyDescent="0.25">
      <c r="AZ1016" s="65"/>
      <c r="BB1016" s="65"/>
      <c r="BC1016" s="65"/>
      <c r="BD1016" s="65"/>
      <c r="BG1016" s="65"/>
      <c r="BH1016" s="65"/>
      <c r="BI1016" s="65"/>
      <c r="BJ1016" s="65"/>
      <c r="BK1016" s="65"/>
      <c r="BL1016" s="65"/>
      <c r="BM1016" s="65"/>
      <c r="BN1016" s="65"/>
      <c r="BO1016" s="65"/>
      <c r="BP1016" s="65"/>
      <c r="BQ1016" s="65"/>
      <c r="BR1016" s="65"/>
      <c r="BS1016" s="65"/>
    </row>
    <row r="1017" spans="52:71" x14ac:dyDescent="0.25">
      <c r="AZ1017" s="65"/>
      <c r="BB1017" s="65"/>
      <c r="BC1017" s="65"/>
      <c r="BD1017" s="65"/>
      <c r="BG1017" s="65"/>
      <c r="BH1017" s="65"/>
      <c r="BI1017" s="65"/>
      <c r="BJ1017" s="65"/>
      <c r="BK1017" s="65"/>
      <c r="BL1017" s="65"/>
      <c r="BM1017" s="65"/>
      <c r="BN1017" s="65"/>
      <c r="BO1017" s="65"/>
      <c r="BP1017" s="65"/>
      <c r="BQ1017" s="65"/>
      <c r="BR1017" s="65"/>
      <c r="BS1017" s="65"/>
    </row>
    <row r="1018" spans="52:71" x14ac:dyDescent="0.25">
      <c r="AZ1018" s="65"/>
      <c r="BB1018" s="65"/>
      <c r="BC1018" s="65"/>
      <c r="BD1018" s="65"/>
      <c r="BG1018" s="65"/>
      <c r="BH1018" s="65"/>
      <c r="BI1018" s="65"/>
      <c r="BJ1018" s="65"/>
      <c r="BK1018" s="65"/>
      <c r="BL1018" s="65"/>
      <c r="BM1018" s="65"/>
      <c r="BN1018" s="65"/>
      <c r="BO1018" s="65"/>
      <c r="BP1018" s="65"/>
      <c r="BQ1018" s="65"/>
      <c r="BR1018" s="65"/>
      <c r="BS1018" s="65"/>
    </row>
    <row r="1019" spans="52:71" x14ac:dyDescent="0.25">
      <c r="AZ1019" s="65"/>
      <c r="BB1019" s="65"/>
      <c r="BC1019" s="65"/>
      <c r="BD1019" s="65"/>
      <c r="BG1019" s="65"/>
      <c r="BH1019" s="65"/>
      <c r="BI1019" s="65"/>
      <c r="BJ1019" s="65"/>
      <c r="BK1019" s="65"/>
      <c r="BL1019" s="65"/>
      <c r="BM1019" s="65"/>
      <c r="BN1019" s="65"/>
      <c r="BO1019" s="65"/>
      <c r="BP1019" s="65"/>
      <c r="BQ1019" s="65"/>
      <c r="BR1019" s="65"/>
      <c r="BS1019" s="65"/>
    </row>
    <row r="1020" spans="52:71" x14ac:dyDescent="0.25">
      <c r="AZ1020" s="65"/>
      <c r="BB1020" s="65"/>
      <c r="BC1020" s="65"/>
      <c r="BD1020" s="65"/>
      <c r="BG1020" s="65"/>
      <c r="BH1020" s="65"/>
      <c r="BI1020" s="65"/>
      <c r="BJ1020" s="65"/>
      <c r="BK1020" s="65"/>
      <c r="BL1020" s="65"/>
      <c r="BM1020" s="65"/>
      <c r="BN1020" s="65"/>
      <c r="BO1020" s="65"/>
      <c r="BP1020" s="65"/>
      <c r="BQ1020" s="65"/>
      <c r="BR1020" s="65"/>
      <c r="BS1020" s="65"/>
    </row>
    <row r="1021" spans="52:71" x14ac:dyDescent="0.25">
      <c r="AZ1021" s="65"/>
      <c r="BB1021" s="65"/>
      <c r="BC1021" s="65"/>
      <c r="BD1021" s="65"/>
      <c r="BG1021" s="65"/>
      <c r="BH1021" s="65"/>
      <c r="BI1021" s="65"/>
      <c r="BJ1021" s="65"/>
      <c r="BK1021" s="65"/>
      <c r="BL1021" s="65"/>
      <c r="BM1021" s="65"/>
      <c r="BN1021" s="65"/>
      <c r="BO1021" s="65"/>
      <c r="BP1021" s="65"/>
      <c r="BQ1021" s="65"/>
      <c r="BR1021" s="65"/>
      <c r="BS1021" s="65"/>
    </row>
    <row r="1022" spans="52:71" x14ac:dyDescent="0.25">
      <c r="AZ1022" s="65"/>
      <c r="BB1022" s="65"/>
      <c r="BC1022" s="65"/>
      <c r="BD1022" s="65"/>
      <c r="BG1022" s="65"/>
      <c r="BH1022" s="65"/>
      <c r="BI1022" s="65"/>
      <c r="BJ1022" s="65"/>
      <c r="BK1022" s="65"/>
      <c r="BL1022" s="65"/>
      <c r="BM1022" s="65"/>
      <c r="BN1022" s="65"/>
      <c r="BO1022" s="65"/>
      <c r="BP1022" s="65"/>
      <c r="BQ1022" s="65"/>
      <c r="BR1022" s="65"/>
      <c r="BS1022" s="65"/>
    </row>
    <row r="1023" spans="52:71" x14ac:dyDescent="0.25">
      <c r="AZ1023" s="65"/>
      <c r="BB1023" s="65"/>
      <c r="BC1023" s="65"/>
      <c r="BD1023" s="65"/>
      <c r="BG1023" s="65"/>
      <c r="BH1023" s="65"/>
      <c r="BI1023" s="65"/>
      <c r="BJ1023" s="65"/>
      <c r="BK1023" s="65"/>
      <c r="BL1023" s="65"/>
      <c r="BM1023" s="65"/>
      <c r="BN1023" s="65"/>
      <c r="BO1023" s="65"/>
      <c r="BP1023" s="65"/>
      <c r="BQ1023" s="65"/>
      <c r="BR1023" s="65"/>
      <c r="BS1023" s="65"/>
    </row>
    <row r="1024" spans="52:71" x14ac:dyDescent="0.25">
      <c r="AZ1024" s="65"/>
      <c r="BG1024" s="65"/>
      <c r="BH1024" s="65"/>
      <c r="BI1024" s="65"/>
      <c r="BJ1024" s="65"/>
      <c r="BK1024" s="65"/>
      <c r="BL1024" s="65"/>
      <c r="BM1024" s="65"/>
      <c r="BN1024" s="65"/>
      <c r="BO1024" s="65"/>
      <c r="BP1024" s="65"/>
      <c r="BQ1024" s="65"/>
      <c r="BR1024" s="65"/>
      <c r="BS1024" s="65"/>
    </row>
    <row r="1025" spans="52:71" x14ac:dyDescent="0.25">
      <c r="AZ1025" s="65"/>
      <c r="BG1025" s="65"/>
      <c r="BH1025" s="65"/>
      <c r="BI1025" s="65"/>
      <c r="BJ1025" s="65"/>
      <c r="BK1025" s="65"/>
      <c r="BL1025" s="65"/>
      <c r="BM1025" s="65"/>
      <c r="BN1025" s="65"/>
      <c r="BO1025" s="65"/>
      <c r="BP1025" s="65"/>
      <c r="BQ1025" s="65"/>
      <c r="BR1025" s="65"/>
      <c r="BS1025" s="65"/>
    </row>
    <row r="1026" spans="52:71" x14ac:dyDescent="0.25">
      <c r="AZ1026" s="65"/>
      <c r="BG1026" s="65"/>
      <c r="BH1026" s="65"/>
      <c r="BI1026" s="65"/>
      <c r="BJ1026" s="65"/>
      <c r="BK1026" s="65"/>
      <c r="BL1026" s="65"/>
      <c r="BM1026" s="65"/>
      <c r="BN1026" s="65"/>
      <c r="BO1026" s="65"/>
      <c r="BP1026" s="65"/>
      <c r="BQ1026" s="65"/>
      <c r="BR1026" s="65"/>
      <c r="BS1026" s="65"/>
    </row>
    <row r="1027" spans="52:71" x14ac:dyDescent="0.25">
      <c r="AZ1027" s="65"/>
      <c r="BG1027" s="65"/>
      <c r="BH1027" s="65"/>
      <c r="BI1027" s="65"/>
      <c r="BJ1027" s="65"/>
      <c r="BK1027" s="65"/>
      <c r="BL1027" s="65"/>
      <c r="BM1027" s="65"/>
      <c r="BN1027" s="65"/>
      <c r="BO1027" s="65"/>
      <c r="BP1027" s="65"/>
      <c r="BQ1027" s="65"/>
      <c r="BR1027" s="65"/>
      <c r="BS1027" s="65"/>
    </row>
    <row r="1028" spans="52:71" x14ac:dyDescent="0.25">
      <c r="AZ1028" s="65"/>
      <c r="BG1028" s="65"/>
      <c r="BH1028" s="65"/>
      <c r="BI1028" s="65"/>
      <c r="BJ1028" s="65"/>
      <c r="BK1028" s="65"/>
      <c r="BL1028" s="65"/>
      <c r="BM1028" s="65"/>
      <c r="BN1028" s="65"/>
      <c r="BO1028" s="65"/>
      <c r="BP1028" s="65"/>
      <c r="BQ1028" s="65"/>
      <c r="BR1028" s="65"/>
      <c r="BS1028" s="65"/>
    </row>
    <row r="1029" spans="52:71" x14ac:dyDescent="0.25">
      <c r="AZ1029" s="65"/>
      <c r="BG1029" s="65"/>
      <c r="BH1029" s="65"/>
      <c r="BI1029" s="65"/>
      <c r="BJ1029" s="65"/>
      <c r="BK1029" s="65"/>
      <c r="BL1029" s="65"/>
      <c r="BM1029" s="65"/>
      <c r="BN1029" s="65"/>
      <c r="BO1029" s="65"/>
      <c r="BP1029" s="65"/>
      <c r="BQ1029" s="65"/>
      <c r="BR1029" s="65"/>
      <c r="BS1029" s="65"/>
    </row>
    <row r="1030" spans="52:71" x14ac:dyDescent="0.25">
      <c r="AZ1030" s="65"/>
      <c r="BG1030" s="65"/>
      <c r="BH1030" s="65"/>
      <c r="BI1030" s="65"/>
      <c r="BJ1030" s="65"/>
      <c r="BK1030" s="65"/>
      <c r="BL1030" s="65"/>
      <c r="BM1030" s="65"/>
      <c r="BN1030" s="65"/>
      <c r="BO1030" s="65"/>
      <c r="BP1030" s="65"/>
      <c r="BQ1030" s="65"/>
      <c r="BR1030" s="65"/>
      <c r="BS1030" s="65"/>
    </row>
    <row r="1031" spans="52:71" x14ac:dyDescent="0.25">
      <c r="AZ1031" s="65"/>
    </row>
    <row r="1032" spans="52:71" x14ac:dyDescent="0.25">
      <c r="AZ1032" s="65"/>
    </row>
    <row r="1046" spans="1:28" x14ac:dyDescent="0.25">
      <c r="A1046" s="54"/>
    </row>
    <row r="1049" spans="1:28" x14ac:dyDescent="0.25">
      <c r="Y1049" s="54"/>
    </row>
    <row r="1050" spans="1:28" x14ac:dyDescent="0.25">
      <c r="A1050" s="54"/>
      <c r="H1050" s="54"/>
      <c r="I1050" s="54"/>
    </row>
    <row r="1051" spans="1:28" x14ac:dyDescent="0.25">
      <c r="A1051" s="54"/>
      <c r="V1051" s="56"/>
      <c r="AA1051" s="56"/>
      <c r="AB1051" s="56"/>
    </row>
    <row r="1052" spans="1:28" x14ac:dyDescent="0.25">
      <c r="A1052" s="54"/>
      <c r="V1052" s="55"/>
      <c r="AA1052" s="55"/>
      <c r="AB1052" s="55"/>
    </row>
    <row r="1053" spans="1:28" x14ac:dyDescent="0.25">
      <c r="A1053" s="54"/>
      <c r="U1053" s="54"/>
      <c r="AA1053" s="56"/>
      <c r="AB1053" s="56"/>
    </row>
    <row r="1054" spans="1:28" x14ac:dyDescent="0.25">
      <c r="A1054" s="54"/>
    </row>
    <row r="1055" spans="1:28" x14ac:dyDescent="0.25">
      <c r="A1055" s="54"/>
      <c r="U1055" s="54"/>
      <c r="AA1055" s="56"/>
      <c r="AB1055" s="56"/>
    </row>
    <row r="1056" spans="1:28" x14ac:dyDescent="0.25">
      <c r="A1056" s="54"/>
    </row>
    <row r="1057" spans="1:28" x14ac:dyDescent="0.25">
      <c r="A1057" s="54"/>
      <c r="U1057" s="54"/>
      <c r="V1057" s="480"/>
      <c r="AA1057" s="56"/>
      <c r="AB1057" s="56"/>
    </row>
    <row r="1058" spans="1:28" x14ac:dyDescent="0.25">
      <c r="A1058" s="54"/>
    </row>
    <row r="1059" spans="1:28" x14ac:dyDescent="0.25">
      <c r="A1059" s="54"/>
      <c r="U1059" s="54"/>
      <c r="AA1059" s="56"/>
      <c r="AB1059" s="56"/>
    </row>
    <row r="1060" spans="1:28" x14ac:dyDescent="0.25">
      <c r="A1060" s="54"/>
    </row>
    <row r="1061" spans="1:28" x14ac:dyDescent="0.25">
      <c r="A1061" s="54"/>
      <c r="U1061" s="54"/>
      <c r="AA1061" s="56"/>
      <c r="AB1061" s="56"/>
    </row>
    <row r="1062" spans="1:28" x14ac:dyDescent="0.25">
      <c r="A1062" s="54"/>
    </row>
    <row r="1063" spans="1:28" x14ac:dyDescent="0.25">
      <c r="A1063" s="54"/>
    </row>
    <row r="1064" spans="1:28" x14ac:dyDescent="0.25">
      <c r="A1064" s="54"/>
    </row>
    <row r="1065" spans="1:28" x14ac:dyDescent="0.25">
      <c r="A1065" s="54"/>
    </row>
    <row r="1066" spans="1:28" x14ac:dyDescent="0.25">
      <c r="A1066" s="54"/>
    </row>
    <row r="1067" spans="1:28" x14ac:dyDescent="0.25">
      <c r="A1067" s="54"/>
    </row>
    <row r="1068" spans="1:28" x14ac:dyDescent="0.25">
      <c r="A1068" s="54"/>
    </row>
    <row r="1069" spans="1:28" x14ac:dyDescent="0.25">
      <c r="A1069" s="54"/>
    </row>
    <row r="1070" spans="1:28" x14ac:dyDescent="0.25">
      <c r="A1070" s="54"/>
    </row>
    <row r="1071" spans="1:28" x14ac:dyDescent="0.25">
      <c r="A1071" s="54"/>
    </row>
    <row r="1072" spans="1:28" x14ac:dyDescent="0.25">
      <c r="A1072" s="54"/>
      <c r="H1072" s="54"/>
      <c r="I1072" s="54"/>
    </row>
    <row r="1075" spans="1:1" x14ac:dyDescent="0.25">
      <c r="A1075" s="54"/>
    </row>
    <row r="1078" spans="1:1" x14ac:dyDescent="0.25">
      <c r="A1078" s="54"/>
    </row>
    <row r="1081" spans="1:1" x14ac:dyDescent="0.25">
      <c r="A1081" s="54"/>
    </row>
    <row r="1082" spans="1:1" x14ac:dyDescent="0.25">
      <c r="A1082" s="54"/>
    </row>
    <row r="1083" spans="1:1" x14ac:dyDescent="0.25">
      <c r="A1083" s="54"/>
    </row>
    <row r="1084" spans="1:1" x14ac:dyDescent="0.25">
      <c r="A1084" s="54"/>
    </row>
    <row r="1085" spans="1:1" x14ac:dyDescent="0.25">
      <c r="A1085" s="54"/>
    </row>
    <row r="1086" spans="1:1" x14ac:dyDescent="0.25">
      <c r="A1086" s="54"/>
    </row>
    <row r="1087" spans="1:1" x14ac:dyDescent="0.25">
      <c r="A1087" s="54"/>
    </row>
    <row r="1088" spans="1:1" x14ac:dyDescent="0.25">
      <c r="A1088" s="54"/>
    </row>
    <row r="1089" spans="1:1" x14ac:dyDescent="0.25">
      <c r="A1089" s="54"/>
    </row>
    <row r="1090" spans="1:1" x14ac:dyDescent="0.25">
      <c r="A1090" s="54"/>
    </row>
    <row r="1091" spans="1:1" x14ac:dyDescent="0.25">
      <c r="A1091" s="54"/>
    </row>
    <row r="1092" spans="1:1" x14ac:dyDescent="0.25">
      <c r="A1092" s="54"/>
    </row>
    <row r="1093" spans="1:1" x14ac:dyDescent="0.25">
      <c r="A1093" s="54"/>
    </row>
    <row r="1094" spans="1:1" x14ac:dyDescent="0.25">
      <c r="A1094" s="54"/>
    </row>
    <row r="1095" spans="1:1" x14ac:dyDescent="0.25">
      <c r="A1095" s="54"/>
    </row>
    <row r="1096" spans="1:1" x14ac:dyDescent="0.25">
      <c r="A1096" s="54"/>
    </row>
    <row r="1097" spans="1:1" x14ac:dyDescent="0.25">
      <c r="A1097" s="54"/>
    </row>
    <row r="1098" spans="1:1" x14ac:dyDescent="0.25">
      <c r="A1098" s="54"/>
    </row>
    <row r="1099" spans="1:1" x14ac:dyDescent="0.25">
      <c r="A1099" s="54"/>
    </row>
    <row r="1100" spans="1:1" x14ac:dyDescent="0.25">
      <c r="A1100" s="54"/>
    </row>
    <row r="1101" spans="1:1" x14ac:dyDescent="0.25">
      <c r="A1101" s="54"/>
    </row>
    <row r="1102" spans="1:1" x14ac:dyDescent="0.25">
      <c r="A1102" s="54"/>
    </row>
    <row r="1103" spans="1:1" x14ac:dyDescent="0.25">
      <c r="A1103" s="54"/>
    </row>
    <row r="1104" spans="1:1" x14ac:dyDescent="0.25">
      <c r="A1104" s="54"/>
    </row>
    <row r="1105" spans="1:1" x14ac:dyDescent="0.25">
      <c r="A1105" s="54"/>
    </row>
    <row r="1106" spans="1:1" x14ac:dyDescent="0.25">
      <c r="A1106" s="54"/>
    </row>
    <row r="1107" spans="1:1" x14ac:dyDescent="0.25">
      <c r="A1107" s="54"/>
    </row>
    <row r="1108" spans="1:1" x14ac:dyDescent="0.25">
      <c r="A1108" s="54"/>
    </row>
    <row r="1109" spans="1:1" x14ac:dyDescent="0.25">
      <c r="A1109" s="54"/>
    </row>
    <row r="1110" spans="1:1" x14ac:dyDescent="0.25">
      <c r="A1110" s="54"/>
    </row>
    <row r="1111" spans="1:1" x14ac:dyDescent="0.25">
      <c r="A1111" s="54"/>
    </row>
    <row r="1112" spans="1:1" x14ac:dyDescent="0.25">
      <c r="A1112" s="54"/>
    </row>
    <row r="1113" spans="1:1" x14ac:dyDescent="0.25">
      <c r="A1113" s="54"/>
    </row>
    <row r="1114" spans="1:1" x14ac:dyDescent="0.25">
      <c r="A1114" s="54"/>
    </row>
    <row r="1115" spans="1:1" x14ac:dyDescent="0.25">
      <c r="A1115" s="54"/>
    </row>
    <row r="1120" spans="1:1" x14ac:dyDescent="0.25">
      <c r="A1120" s="54"/>
    </row>
    <row r="1121" spans="1:1" x14ac:dyDescent="0.25">
      <c r="A1121" s="54"/>
    </row>
    <row r="1124" spans="1:1" x14ac:dyDescent="0.25">
      <c r="A1124" s="54"/>
    </row>
    <row r="1126" spans="1:1" x14ac:dyDescent="0.25">
      <c r="A1126" s="54"/>
    </row>
    <row r="1128" spans="1:1" x14ac:dyDescent="0.25">
      <c r="A1128" s="54"/>
    </row>
    <row r="1130" spans="1:1" x14ac:dyDescent="0.25">
      <c r="A1130" s="54"/>
    </row>
    <row r="1133" spans="1:1" x14ac:dyDescent="0.25">
      <c r="A1133" s="54"/>
    </row>
    <row r="1134" spans="1:1" x14ac:dyDescent="0.25">
      <c r="A1134" s="54"/>
    </row>
    <row r="1135" spans="1:1" x14ac:dyDescent="0.25">
      <c r="A1135" s="54"/>
    </row>
    <row r="1136" spans="1:1" x14ac:dyDescent="0.25">
      <c r="A1136" s="54"/>
    </row>
    <row r="1137" spans="1:1" x14ac:dyDescent="0.25">
      <c r="A1137" s="54"/>
    </row>
    <row r="1138" spans="1:1" x14ac:dyDescent="0.25">
      <c r="A1138" s="54"/>
    </row>
    <row r="1139" spans="1:1" x14ac:dyDescent="0.25">
      <c r="A1139" s="54"/>
    </row>
    <row r="1140" spans="1:1" x14ac:dyDescent="0.25">
      <c r="A1140" s="54"/>
    </row>
  </sheetData>
  <customSheetViews>
    <customSheetView guid="{195DF303-1BBD-4236-94B5-47432850B006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 topLeftCell="A10">
      <selection activeCell="J27" sqref="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AC63">
      <selection activeCell="R8" sqref="R8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3"/>
      <headerFooter alignWithMargins="0"/>
    </customSheetView>
    <customSheetView guid="{2431C9E5-7CC2-4B8D-99C3-962247B1DBF5}" scale="75" fitToPage="1" showRuler="0" topLeftCell="X53">
      <selection activeCell="AE80" sqref="AE8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4"/>
      <headerFooter alignWithMargins="0"/>
    </customSheetView>
    <customSheetView guid="{2EA35095-1ADC-4CC7-8C3C-B487D65FA247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 topLeftCell="A10">
      <selection activeCell="J27" sqref="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8"/>
      <headerFooter alignWithMargins="0"/>
    </customSheetView>
    <customSheetView guid="{0BC1F393-8A13-47D5-BC6C-0C99615B5AB9}" scale="75" fitToPage="1" showRuler="0">
      <selection activeCell="V33" sqref="V33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>
      <selection activeCell="J24" sqref="J24: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8">
      <selection activeCell="F20" sqref="F2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W57">
      <selection activeCell="P30" sqref="P3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3" orientation="landscape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6" manualBreakCount="16">
    <brk id="136" max="65535" man="1"/>
    <brk id="179" max="65535" man="1"/>
    <brk id="221" max="65535" man="1"/>
    <brk id="260" max="65535" man="1"/>
    <brk id="316" max="65535" man="1"/>
    <brk id="362" max="65535" man="1"/>
    <brk id="444" max="65535" man="1"/>
    <brk id="482" max="65535" man="1"/>
    <brk id="519" max="65535" man="1"/>
    <brk id="567" max="65535" man="1"/>
    <brk id="628" max="65535" man="1"/>
    <brk id="687" max="65535" man="1"/>
    <brk id="794" max="65535" man="1"/>
    <brk id="841" max="65535" man="1"/>
    <brk id="900" max="65535" man="1"/>
    <brk id="943" max="65535" man="1"/>
  </rowBreaks>
  <colBreaks count="1" manualBreakCount="1">
    <brk id="4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22" transitionEvaluation="1" transitionEntry="1" codeName="Sheet9"/>
  <dimension ref="A1:BX1127"/>
  <sheetViews>
    <sheetView tabSelected="1" view="pageBreakPreview" topLeftCell="A22" zoomScale="60" zoomScaleNormal="75" workbookViewId="0">
      <selection sqref="A1:J1"/>
    </sheetView>
  </sheetViews>
  <sheetFormatPr defaultColWidth="9.77734375" defaultRowHeight="15.75" x14ac:dyDescent="0.25"/>
  <cols>
    <col min="1" max="1" width="4.88671875" style="380" customWidth="1"/>
    <col min="2" max="2" width="0.6640625" style="380" customWidth="1"/>
    <col min="3" max="3" width="6.77734375" style="380" customWidth="1"/>
    <col min="4" max="4" width="35.6640625" style="380" customWidth="1"/>
    <col min="5" max="5" width="0.664062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2.44140625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2.77734375" style="380" customWidth="1"/>
    <col min="15" max="15" width="0.5546875" style="380" customWidth="1"/>
    <col min="16" max="16" width="14.77734375" style="380" customWidth="1"/>
    <col min="17" max="17" width="0.5546875" style="380" customWidth="1"/>
    <col min="18" max="18" width="18.77734375" style="380" customWidth="1"/>
    <col min="19" max="19" width="6.77734375" style="380" customWidth="1"/>
    <col min="20" max="20" width="5.44140625" style="380" customWidth="1"/>
    <col min="21" max="21" width="0.5546875" style="380" customWidth="1"/>
    <col min="22" max="22" width="4.5546875" style="380" customWidth="1"/>
    <col min="23" max="23" width="39.44140625" style="380" customWidth="1"/>
    <col min="24" max="24" width="0.5546875" style="380" customWidth="1"/>
    <col min="25" max="25" width="9.6640625" style="380" customWidth="1"/>
    <col min="26" max="26" width="0.6640625" style="380" customWidth="1"/>
    <col min="27" max="27" width="13.33203125" style="380" customWidth="1"/>
    <col min="28" max="28" width="0.6640625" style="380" customWidth="1"/>
    <col min="29" max="29" width="11.44140625" style="380" customWidth="1"/>
    <col min="30" max="30" width="0.88671875" style="380" customWidth="1"/>
    <col min="31" max="31" width="12.88671875" style="380" customWidth="1"/>
    <col min="32" max="32" width="0.77734375" style="380" customWidth="1"/>
    <col min="33" max="33" width="13.6640625" style="153" customWidth="1"/>
    <col min="34" max="34" width="0.6640625" style="380" customWidth="1"/>
    <col min="35" max="35" width="14.33203125" style="380" customWidth="1"/>
    <col min="36" max="36" width="0.77734375" style="380" customWidth="1"/>
    <col min="37" max="37" width="14.5546875" style="153" customWidth="1"/>
    <col min="38" max="38" width="0.5546875" style="380" customWidth="1"/>
    <col min="39" max="39" width="12.109375" style="380" customWidth="1"/>
    <col min="40" max="40" width="0.5546875" style="380" customWidth="1"/>
    <col min="41" max="41" width="13.21875" style="380" customWidth="1"/>
    <col min="42" max="42" width="0.6640625" style="380" customWidth="1"/>
    <col min="43" max="43" width="11.21875" style="153" customWidth="1"/>
    <col min="44" max="44" width="14.77734375" style="380" customWidth="1"/>
    <col min="45" max="45" width="4.77734375" style="380" customWidth="1"/>
    <col min="46" max="46" width="5.77734375" style="380" customWidth="1"/>
    <col min="47" max="47" width="10.77734375" style="380" customWidth="1"/>
    <col min="48" max="48" width="11.77734375" style="380" customWidth="1"/>
    <col min="49" max="49" width="12.77734375" style="380" customWidth="1"/>
    <col min="50" max="52" width="15.77734375" style="380" customWidth="1"/>
    <col min="53" max="53" width="12.77734375" style="380" customWidth="1"/>
    <col min="54" max="56" width="15.77734375" style="380" customWidth="1"/>
    <col min="57" max="57" width="12.77734375" style="380" customWidth="1"/>
    <col min="58" max="59" width="9.77734375" style="380"/>
    <col min="60" max="62" width="12.77734375" style="380" customWidth="1"/>
    <col min="63" max="63" width="14.77734375" style="380" customWidth="1"/>
    <col min="64" max="65" width="9.77734375" style="380"/>
    <col min="66" max="68" width="12.77734375" style="380" customWidth="1"/>
    <col min="69" max="69" width="14.77734375" style="380" customWidth="1"/>
    <col min="70" max="76" width="9.77734375" style="380"/>
    <col min="77" max="77" width="1.77734375" style="380" customWidth="1"/>
    <col min="78" max="79" width="9.77734375" style="380"/>
    <col min="80" max="80" width="10.77734375" style="380" customWidth="1"/>
    <col min="81" max="82" width="9.77734375" style="380"/>
    <col min="83" max="83" width="7.77734375" style="380" customWidth="1"/>
    <col min="84" max="16384" width="9.77734375" style="380"/>
  </cols>
  <sheetData>
    <row r="1" spans="1:40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4"/>
      <c r="K1" s="44"/>
      <c r="L1" s="43"/>
      <c r="M1" s="43"/>
      <c r="N1" s="43"/>
      <c r="O1" s="43"/>
      <c r="P1" s="43"/>
      <c r="Q1" s="43"/>
      <c r="R1" s="43"/>
      <c r="Z1" s="53"/>
    </row>
    <row r="2" spans="1:40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4"/>
      <c r="K2" s="44"/>
      <c r="L2" s="43"/>
      <c r="M2" s="43"/>
      <c r="N2" s="43"/>
      <c r="O2" s="43"/>
      <c r="P2" s="43"/>
      <c r="Q2" s="43"/>
      <c r="R2" s="43"/>
      <c r="Z2" s="53"/>
    </row>
    <row r="3" spans="1:40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Y3" s="54"/>
    </row>
    <row r="4" spans="1:4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4"/>
      <c r="K4" s="44"/>
      <c r="L4" s="43"/>
      <c r="M4" s="43"/>
      <c r="N4" s="43"/>
      <c r="O4" s="43"/>
      <c r="P4" s="43"/>
      <c r="Q4" s="43"/>
      <c r="R4" s="43"/>
      <c r="Z4" s="53"/>
    </row>
    <row r="5" spans="1:4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4"/>
      <c r="M5" s="44"/>
      <c r="N5" s="43"/>
      <c r="O5" s="43"/>
      <c r="P5" s="43"/>
      <c r="Q5" s="43"/>
      <c r="R5" s="43"/>
      <c r="AA5" s="54"/>
      <c r="AB5" s="54"/>
    </row>
    <row r="6" spans="1:40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K6" s="161"/>
      <c r="AL6" s="54"/>
    </row>
    <row r="7" spans="1:40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8 OF "&amp;TEXT(Page_Num_2.3,"00")</f>
        <v>PAGE 8 OF 23</v>
      </c>
      <c r="AK7" s="161"/>
      <c r="AL7" s="54"/>
    </row>
    <row r="8" spans="1:40" x14ac:dyDescent="0.25">
      <c r="A8" s="46" t="s">
        <v>177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K8" s="161"/>
      <c r="AL8" s="54"/>
    </row>
    <row r="9" spans="1:40" x14ac:dyDescent="0.25">
      <c r="A9" s="222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45" t="str">
        <f>WIT</f>
        <v>J. L. Kern</v>
      </c>
      <c r="AK9" s="161"/>
      <c r="AL9" s="54"/>
    </row>
    <row r="10" spans="1:40" x14ac:dyDescent="0.25">
      <c r="A10" s="222" t="str">
        <f>INPUT!B5</f>
        <v>6 Months Actual Ending May 31, 2019</v>
      </c>
      <c r="B10" s="378"/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78"/>
      <c r="P10" s="378"/>
      <c r="Q10" s="378"/>
      <c r="R10" s="45"/>
      <c r="AK10" s="161"/>
      <c r="AL10" s="54"/>
    </row>
    <row r="11" spans="1:40" x14ac:dyDescent="0.25">
      <c r="A11" s="44" t="s">
        <v>136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AA11" s="54"/>
      <c r="AB11" s="54"/>
      <c r="AK11" s="156"/>
      <c r="AL11" s="53"/>
    </row>
    <row r="12" spans="1:40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154"/>
      <c r="AH12" s="55"/>
      <c r="AI12" s="55"/>
      <c r="AJ12" s="55"/>
      <c r="AK12" s="154"/>
      <c r="AL12" s="55"/>
      <c r="AM12" s="55"/>
      <c r="AN12" s="55"/>
    </row>
    <row r="13" spans="1:40" ht="18" customHeight="1" x14ac:dyDescent="0.25">
      <c r="A13" s="378"/>
      <c r="B13" s="378"/>
      <c r="C13" s="378"/>
      <c r="D13" s="378"/>
      <c r="E13" s="378"/>
      <c r="F13" s="378"/>
      <c r="G13" s="378"/>
      <c r="H13" s="378"/>
      <c r="I13" s="378"/>
      <c r="J13" s="378"/>
      <c r="K13" s="378"/>
      <c r="L13" s="426" t="s">
        <v>6</v>
      </c>
      <c r="M13" s="426"/>
      <c r="N13" s="426" t="s">
        <v>7</v>
      </c>
      <c r="O13" s="426"/>
      <c r="P13" s="378"/>
      <c r="Q13" s="378"/>
      <c r="R13" s="426" t="s">
        <v>6</v>
      </c>
      <c r="AA13" s="56"/>
      <c r="AB13" s="56"/>
      <c r="AC13" s="56"/>
      <c r="AD13" s="56"/>
      <c r="AE13" s="56"/>
      <c r="AF13" s="56"/>
      <c r="AG13" s="155"/>
      <c r="AH13" s="56"/>
      <c r="AK13" s="155"/>
      <c r="AL13" s="56"/>
      <c r="AM13" s="56"/>
      <c r="AN13" s="56"/>
    </row>
    <row r="14" spans="1:40" x14ac:dyDescent="0.25">
      <c r="A14" s="378"/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426" t="s">
        <v>12</v>
      </c>
      <c r="M14" s="426"/>
      <c r="N14" s="426" t="s">
        <v>13</v>
      </c>
      <c r="O14" s="426"/>
      <c r="P14" s="378"/>
      <c r="Q14" s="378"/>
      <c r="R14" s="426" t="s">
        <v>11</v>
      </c>
      <c r="Z14" s="56"/>
      <c r="AA14" s="56"/>
      <c r="AB14" s="56"/>
      <c r="AC14" s="56"/>
      <c r="AD14" s="56"/>
      <c r="AE14" s="56"/>
      <c r="AF14" s="56"/>
      <c r="AG14" s="155"/>
      <c r="AH14" s="56"/>
      <c r="AK14" s="155"/>
      <c r="AL14" s="56"/>
      <c r="AM14" s="56"/>
      <c r="AN14" s="56"/>
    </row>
    <row r="15" spans="1:40" x14ac:dyDescent="0.25">
      <c r="A15" s="426" t="s">
        <v>17</v>
      </c>
      <c r="B15" s="378"/>
      <c r="C15" s="426" t="s">
        <v>18</v>
      </c>
      <c r="D15" s="426" t="s">
        <v>19</v>
      </c>
      <c r="E15" s="426"/>
      <c r="F15" s="426" t="s">
        <v>20</v>
      </c>
      <c r="G15" s="378"/>
      <c r="H15" s="378"/>
      <c r="I15" s="378"/>
      <c r="J15" s="426" t="s">
        <v>6</v>
      </c>
      <c r="K15" s="426"/>
      <c r="L15" s="426" t="s">
        <v>21</v>
      </c>
      <c r="M15" s="426"/>
      <c r="N15" s="426" t="s">
        <v>21</v>
      </c>
      <c r="O15" s="426"/>
      <c r="P15" s="426" t="s">
        <v>21</v>
      </c>
      <c r="Q15" s="426"/>
      <c r="R15" s="426" t="s">
        <v>9</v>
      </c>
      <c r="T15" s="56"/>
      <c r="U15" s="56"/>
      <c r="V15" s="56"/>
      <c r="Z15" s="56"/>
      <c r="AA15" s="56"/>
      <c r="AB15" s="56"/>
      <c r="AC15" s="56"/>
      <c r="AD15" s="56"/>
      <c r="AE15" s="56"/>
      <c r="AF15" s="56"/>
      <c r="AG15" s="155"/>
      <c r="AH15" s="56"/>
      <c r="AI15" s="56"/>
      <c r="AJ15" s="56"/>
      <c r="AK15" s="155"/>
      <c r="AL15" s="56"/>
      <c r="AM15" s="56"/>
      <c r="AN15" s="56"/>
    </row>
    <row r="16" spans="1:40" x14ac:dyDescent="0.25">
      <c r="A16" s="426" t="s">
        <v>24</v>
      </c>
      <c r="B16" s="378"/>
      <c r="C16" s="426" t="s">
        <v>25</v>
      </c>
      <c r="D16" s="426" t="s">
        <v>26</v>
      </c>
      <c r="E16" s="426"/>
      <c r="F16" s="426" t="s">
        <v>27</v>
      </c>
      <c r="G16" s="378"/>
      <c r="H16" s="426" t="s">
        <v>28</v>
      </c>
      <c r="I16" s="426"/>
      <c r="J16" s="426" t="s">
        <v>29</v>
      </c>
      <c r="K16" s="426"/>
      <c r="L16" s="426" t="s">
        <v>9</v>
      </c>
      <c r="M16" s="426"/>
      <c r="N16" s="426" t="s">
        <v>9</v>
      </c>
      <c r="O16" s="426"/>
      <c r="P16" s="426" t="s">
        <v>379</v>
      </c>
      <c r="Q16" s="426"/>
      <c r="R16" s="265" t="s">
        <v>30</v>
      </c>
      <c r="T16" s="56"/>
      <c r="U16" s="56"/>
      <c r="V16" s="56"/>
      <c r="Y16" s="56"/>
      <c r="Z16" s="56"/>
      <c r="AA16" s="56"/>
      <c r="AB16" s="56"/>
      <c r="AC16" s="56"/>
      <c r="AD16" s="56"/>
      <c r="AE16" s="56"/>
      <c r="AF16" s="56"/>
      <c r="AG16" s="155"/>
      <c r="AH16" s="56"/>
      <c r="AI16" s="56"/>
      <c r="AJ16" s="56"/>
      <c r="AK16" s="155"/>
      <c r="AL16" s="56"/>
      <c r="AM16" s="56"/>
      <c r="AN16" s="56"/>
    </row>
    <row r="17" spans="1:40" x14ac:dyDescent="0.25">
      <c r="A17" s="378"/>
      <c r="B17" s="378"/>
      <c r="C17" s="265" t="s">
        <v>35</v>
      </c>
      <c r="D17" s="265" t="s">
        <v>36</v>
      </c>
      <c r="E17" s="265"/>
      <c r="F17" s="265" t="s">
        <v>37</v>
      </c>
      <c r="G17" s="218"/>
      <c r="H17" s="265" t="s">
        <v>38</v>
      </c>
      <c r="I17" s="265"/>
      <c r="J17" s="265" t="s">
        <v>39</v>
      </c>
      <c r="K17" s="265"/>
      <c r="L17" s="265" t="s">
        <v>40</v>
      </c>
      <c r="M17" s="265"/>
      <c r="N17" s="265" t="s">
        <v>41</v>
      </c>
      <c r="O17" s="265"/>
      <c r="P17" s="265" t="s">
        <v>42</v>
      </c>
      <c r="Q17" s="265"/>
      <c r="R17" s="265" t="s">
        <v>43</v>
      </c>
      <c r="T17" s="56"/>
      <c r="U17" s="56"/>
      <c r="V17" s="56"/>
      <c r="Y17" s="56"/>
      <c r="Z17" s="56"/>
      <c r="AA17" s="56"/>
      <c r="AB17" s="56"/>
      <c r="AC17" s="56"/>
      <c r="AD17" s="56"/>
      <c r="AE17" s="56"/>
      <c r="AF17" s="56"/>
      <c r="AG17" s="155"/>
      <c r="AH17" s="56"/>
      <c r="AI17" s="56"/>
      <c r="AJ17" s="56"/>
      <c r="AK17" s="155"/>
      <c r="AL17" s="56"/>
      <c r="AM17" s="56"/>
      <c r="AN17" s="56"/>
    </row>
    <row r="18" spans="1:40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154"/>
      <c r="AH18" s="55"/>
      <c r="AI18" s="55"/>
      <c r="AJ18" s="55"/>
      <c r="AK18" s="154"/>
      <c r="AL18" s="55"/>
      <c r="AM18" s="55"/>
      <c r="AN18" s="55"/>
    </row>
    <row r="19" spans="1:40" ht="17.100000000000001" customHeight="1" x14ac:dyDescent="0.25">
      <c r="A19" s="378"/>
      <c r="B19" s="378"/>
      <c r="C19" s="378"/>
      <c r="D19" s="378"/>
      <c r="E19" s="378"/>
      <c r="F19" s="378"/>
      <c r="G19" s="378"/>
      <c r="H19" s="442" t="s">
        <v>203</v>
      </c>
      <c r="I19" s="441"/>
      <c r="J19" s="442" t="s">
        <v>368</v>
      </c>
      <c r="K19" s="441"/>
      <c r="L19" s="441" t="s">
        <v>52</v>
      </c>
      <c r="M19" s="441"/>
      <c r="N19" s="441" t="s">
        <v>53</v>
      </c>
      <c r="O19" s="441"/>
      <c r="P19" s="441" t="s">
        <v>52</v>
      </c>
      <c r="Q19" s="441"/>
      <c r="R19" s="441" t="s">
        <v>52</v>
      </c>
      <c r="Y19" s="56"/>
      <c r="Z19" s="56"/>
      <c r="AA19" s="56"/>
      <c r="AB19" s="56"/>
      <c r="AC19" s="56"/>
      <c r="AD19" s="56"/>
      <c r="AE19" s="56"/>
      <c r="AF19" s="56"/>
      <c r="AG19" s="155"/>
      <c r="AH19" s="56"/>
      <c r="AI19" s="56"/>
      <c r="AJ19" s="56"/>
      <c r="AK19" s="155"/>
      <c r="AL19" s="56"/>
      <c r="AM19" s="56"/>
      <c r="AN19" s="56"/>
    </row>
    <row r="20" spans="1:40" x14ac:dyDescent="0.25">
      <c r="A20" s="45">
        <v>1</v>
      </c>
      <c r="B20" s="378"/>
      <c r="C20" s="222" t="s">
        <v>98</v>
      </c>
      <c r="D20" s="222" t="s">
        <v>156</v>
      </c>
      <c r="E20" s="46"/>
      <c r="F20" s="2"/>
      <c r="G20" s="2"/>
      <c r="H20" s="459"/>
      <c r="I20" s="459"/>
      <c r="J20" s="460" t="s">
        <v>384</v>
      </c>
      <c r="K20" s="459"/>
      <c r="L20" s="459"/>
      <c r="M20" s="459"/>
      <c r="N20" s="459"/>
      <c r="O20" s="459"/>
      <c r="P20" s="459"/>
      <c r="Q20" s="459"/>
      <c r="R20" s="459"/>
      <c r="T20" s="54"/>
      <c r="U20" s="54"/>
    </row>
    <row r="21" spans="1:40" x14ac:dyDescent="0.25">
      <c r="A21" s="45">
        <v>2</v>
      </c>
      <c r="B21" s="378"/>
      <c r="C21" s="218"/>
      <c r="D21" s="222" t="s">
        <v>139</v>
      </c>
      <c r="E21" s="4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T21" s="54"/>
    </row>
    <row r="22" spans="1:40" x14ac:dyDescent="0.25">
      <c r="A22" s="378"/>
      <c r="B22" s="378"/>
      <c r="C22" s="378"/>
      <c r="D22" s="378"/>
      <c r="E22" s="37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40" x14ac:dyDescent="0.25">
      <c r="A23" s="45">
        <v>3</v>
      </c>
      <c r="B23" s="378"/>
      <c r="C23" s="222" t="s">
        <v>140</v>
      </c>
      <c r="D23" s="378"/>
      <c r="E23" s="378"/>
      <c r="F23" s="86"/>
      <c r="G23" s="2"/>
      <c r="H23" s="86"/>
      <c r="I23" s="86"/>
      <c r="J23" s="96"/>
      <c r="K23" s="96"/>
      <c r="L23" s="5"/>
      <c r="M23" s="5"/>
      <c r="N23" s="6"/>
      <c r="O23" s="6"/>
      <c r="P23" s="2"/>
      <c r="Q23" s="2"/>
      <c r="R23" s="5"/>
      <c r="S23" s="379"/>
      <c r="T23" s="54"/>
      <c r="V23" s="379"/>
      <c r="Y23" s="379"/>
      <c r="Z23" s="461"/>
      <c r="AA23" s="379"/>
      <c r="AB23" s="379"/>
      <c r="AC23" s="50"/>
      <c r="AD23" s="50"/>
      <c r="AE23" s="379"/>
      <c r="AF23" s="379"/>
      <c r="AG23" s="156"/>
      <c r="AH23" s="50"/>
      <c r="AI23" s="379"/>
      <c r="AJ23" s="379"/>
      <c r="AK23" s="156"/>
      <c r="AL23" s="379"/>
      <c r="AM23" s="50"/>
      <c r="AN23" s="50"/>
    </row>
    <row r="24" spans="1:40" x14ac:dyDescent="0.25">
      <c r="A24" s="45">
        <v>4</v>
      </c>
      <c r="B24" s="378"/>
      <c r="C24" s="46" t="s">
        <v>414</v>
      </c>
      <c r="D24" s="378"/>
      <c r="E24" s="378"/>
      <c r="F24" s="392">
        <v>24</v>
      </c>
      <c r="G24" s="2"/>
      <c r="H24" s="86"/>
      <c r="I24" s="86"/>
      <c r="J24" s="450">
        <f>INPUT!D64</f>
        <v>5</v>
      </c>
      <c r="K24" s="96"/>
      <c r="L24" s="83">
        <f>ROUND(F24*J24,0)</f>
        <v>120</v>
      </c>
      <c r="M24" s="83"/>
      <c r="N24" s="91">
        <f>ROUND((L24/$L$46)*100,1)</f>
        <v>0</v>
      </c>
      <c r="O24" s="91"/>
      <c r="P24" s="97"/>
      <c r="Q24" s="97"/>
      <c r="R24" s="83">
        <f>L24+P24</f>
        <v>120</v>
      </c>
      <c r="S24" s="379"/>
      <c r="T24" s="54"/>
      <c r="V24" s="379"/>
      <c r="Y24" s="379"/>
      <c r="Z24" s="461"/>
      <c r="AA24" s="379"/>
      <c r="AB24" s="379"/>
      <c r="AC24" s="50"/>
      <c r="AD24" s="50"/>
      <c r="AE24" s="379"/>
      <c r="AF24" s="379"/>
      <c r="AG24" s="156"/>
      <c r="AH24" s="50"/>
      <c r="AI24" s="379"/>
      <c r="AJ24" s="379"/>
      <c r="AK24" s="156"/>
      <c r="AL24" s="379"/>
      <c r="AM24" s="50"/>
      <c r="AN24" s="50"/>
    </row>
    <row r="25" spans="1:40" x14ac:dyDescent="0.25">
      <c r="A25" s="45">
        <v>5</v>
      </c>
      <c r="B25" s="378"/>
      <c r="C25" s="46" t="s">
        <v>151</v>
      </c>
      <c r="D25" s="378"/>
      <c r="E25" s="378"/>
      <c r="F25" s="392">
        <v>120</v>
      </c>
      <c r="G25" s="2"/>
      <c r="H25" s="86"/>
      <c r="I25" s="86"/>
      <c r="J25" s="450">
        <f>INPUT!D112</f>
        <v>117</v>
      </c>
      <c r="K25" s="96"/>
      <c r="L25" s="5">
        <f>ROUND(F25*J25,0)</f>
        <v>14040</v>
      </c>
      <c r="M25" s="5"/>
      <c r="N25" s="88">
        <f>ROUND((L25/$L$46)*100,1)</f>
        <v>0.7</v>
      </c>
      <c r="O25" s="6"/>
      <c r="P25" s="1"/>
      <c r="Q25" s="1"/>
      <c r="R25" s="5">
        <f>L25+P25</f>
        <v>14040</v>
      </c>
      <c r="S25" s="379"/>
      <c r="V25" s="381"/>
      <c r="Y25" s="379"/>
      <c r="Z25" s="449"/>
      <c r="AA25" s="379"/>
      <c r="AB25" s="379"/>
      <c r="AC25" s="50"/>
      <c r="AD25" s="50"/>
      <c r="AE25" s="379"/>
      <c r="AF25" s="379"/>
      <c r="AI25" s="379"/>
      <c r="AJ25" s="379"/>
      <c r="AK25" s="156"/>
      <c r="AL25" s="379"/>
    </row>
    <row r="26" spans="1:40" ht="20.100000000000001" customHeight="1" x14ac:dyDescent="0.25">
      <c r="A26" s="45">
        <v>6</v>
      </c>
      <c r="B26" s="378"/>
      <c r="C26" s="222" t="s">
        <v>143</v>
      </c>
      <c r="D26" s="378"/>
      <c r="E26" s="378"/>
      <c r="F26" s="90">
        <f>F25</f>
        <v>120</v>
      </c>
      <c r="G26" s="2"/>
      <c r="H26" s="5"/>
      <c r="I26" s="5"/>
      <c r="J26" s="446"/>
      <c r="K26" s="446"/>
      <c r="L26" s="90">
        <f>SUM(L24:L25)</f>
        <v>14160</v>
      </c>
      <c r="M26" s="5"/>
      <c r="N26" s="88">
        <f>ROUND((L26/$L$46)*100,1)</f>
        <v>0.7</v>
      </c>
      <c r="O26" s="6"/>
      <c r="P26" s="90"/>
      <c r="Q26" s="5"/>
      <c r="R26" s="90">
        <f>SUM(R24:R25)</f>
        <v>14160</v>
      </c>
      <c r="S26" s="379"/>
      <c r="T26" s="54"/>
      <c r="V26" s="379"/>
      <c r="Y26" s="379"/>
      <c r="Z26" s="463"/>
      <c r="AA26" s="379"/>
      <c r="AB26" s="379"/>
      <c r="AC26" s="50"/>
      <c r="AD26" s="50"/>
      <c r="AE26" s="379"/>
      <c r="AF26" s="379"/>
      <c r="AG26" s="156"/>
      <c r="AH26" s="50"/>
      <c r="AI26" s="379"/>
      <c r="AJ26" s="379"/>
      <c r="AK26" s="156"/>
      <c r="AL26" s="379"/>
      <c r="AM26" s="50"/>
      <c r="AN26" s="50"/>
    </row>
    <row r="27" spans="1:40" x14ac:dyDescent="0.25">
      <c r="A27" s="378"/>
      <c r="B27" s="378"/>
      <c r="C27" s="378"/>
      <c r="D27" s="378"/>
      <c r="E27" s="378"/>
      <c r="F27" s="5"/>
      <c r="G27" s="2"/>
      <c r="H27" s="5"/>
      <c r="I27" s="5"/>
      <c r="J27" s="446"/>
      <c r="K27" s="446"/>
      <c r="L27" s="5"/>
      <c r="M27" s="5"/>
      <c r="N27" s="6"/>
      <c r="O27" s="6"/>
      <c r="P27" s="5"/>
      <c r="Q27" s="5"/>
      <c r="R27" s="5"/>
      <c r="S27" s="379"/>
      <c r="V27" s="381"/>
      <c r="Y27" s="381"/>
      <c r="Z27" s="464"/>
      <c r="AA27" s="381"/>
      <c r="AB27" s="381"/>
      <c r="AC27" s="381"/>
      <c r="AD27" s="381"/>
      <c r="AE27" s="381"/>
      <c r="AF27" s="381"/>
      <c r="AI27" s="381"/>
      <c r="AJ27" s="381"/>
      <c r="AK27" s="162"/>
      <c r="AL27" s="381"/>
      <c r="AM27" s="50"/>
      <c r="AN27" s="50"/>
    </row>
    <row r="28" spans="1:40" x14ac:dyDescent="0.25">
      <c r="A28" s="45">
        <v>7</v>
      </c>
      <c r="B28" s="378"/>
      <c r="C28" s="222" t="s">
        <v>65</v>
      </c>
      <c r="D28" s="378"/>
      <c r="E28" s="378"/>
      <c r="F28" s="86"/>
      <c r="G28" s="2"/>
      <c r="H28" s="86"/>
      <c r="I28" s="86"/>
      <c r="J28" s="96"/>
      <c r="K28" s="96"/>
      <c r="L28" s="5"/>
      <c r="M28" s="5"/>
      <c r="N28" s="6"/>
      <c r="O28" s="6"/>
      <c r="P28" s="5"/>
      <c r="Q28" s="5"/>
      <c r="R28" s="5"/>
      <c r="S28" s="379"/>
      <c r="T28" s="54"/>
      <c r="V28" s="449"/>
      <c r="Y28" s="449"/>
      <c r="Z28" s="464"/>
      <c r="AA28" s="379"/>
      <c r="AB28" s="379"/>
      <c r="AC28" s="50"/>
      <c r="AD28" s="50"/>
      <c r="AE28" s="379"/>
      <c r="AF28" s="379"/>
      <c r="AI28" s="379"/>
      <c r="AJ28" s="379"/>
      <c r="AK28" s="156"/>
      <c r="AL28" s="379"/>
      <c r="AM28" s="50"/>
      <c r="AN28" s="50"/>
    </row>
    <row r="29" spans="1:40" x14ac:dyDescent="0.25">
      <c r="A29" s="45">
        <v>8</v>
      </c>
      <c r="B29" s="378"/>
      <c r="C29" s="46" t="s">
        <v>157</v>
      </c>
      <c r="D29" s="378"/>
      <c r="E29" s="378"/>
      <c r="F29" s="86"/>
      <c r="G29" s="2"/>
      <c r="H29" s="392">
        <v>62821.719999999994</v>
      </c>
      <c r="I29" s="86"/>
      <c r="J29" s="450">
        <f>INPUT!D118</f>
        <v>9.02</v>
      </c>
      <c r="K29" s="96"/>
      <c r="L29" s="5">
        <f>ROUND(H29*J29,0)</f>
        <v>566652</v>
      </c>
      <c r="M29" s="5"/>
      <c r="N29" s="88">
        <f>ROUND((L29/$L$46)*100,1)</f>
        <v>29.1</v>
      </c>
      <c r="O29" s="102"/>
      <c r="P29" s="5"/>
      <c r="Q29" s="5"/>
      <c r="R29" s="5">
        <f>L29+P29</f>
        <v>566652</v>
      </c>
      <c r="S29" s="379"/>
      <c r="V29" s="449"/>
      <c r="Y29" s="449"/>
      <c r="Z29" s="464"/>
      <c r="AA29" s="379"/>
      <c r="AB29" s="379"/>
      <c r="AC29" s="50"/>
      <c r="AD29" s="50"/>
      <c r="AE29" s="379"/>
      <c r="AF29" s="379"/>
      <c r="AI29" s="379"/>
      <c r="AJ29" s="379"/>
      <c r="AK29" s="156"/>
      <c r="AL29" s="379"/>
      <c r="AM29" s="50"/>
      <c r="AN29" s="50"/>
    </row>
    <row r="30" spans="1:40" ht="20.100000000000001" customHeight="1" x14ac:dyDescent="0.25">
      <c r="A30" s="45">
        <v>9</v>
      </c>
      <c r="B30" s="378"/>
      <c r="C30" s="222" t="s">
        <v>68</v>
      </c>
      <c r="D30" s="378"/>
      <c r="E30" s="378"/>
      <c r="F30" s="5"/>
      <c r="G30" s="2"/>
      <c r="H30" s="90">
        <f>SUM(H29)</f>
        <v>62821.719999999994</v>
      </c>
      <c r="I30" s="5"/>
      <c r="J30" s="446"/>
      <c r="K30" s="446"/>
      <c r="L30" s="90">
        <f>SUM(L29)</f>
        <v>566652</v>
      </c>
      <c r="M30" s="5"/>
      <c r="N30" s="88">
        <f>ROUND((L30/$L$46)*100,1)</f>
        <v>29.1</v>
      </c>
      <c r="O30" s="6"/>
      <c r="P30" s="90"/>
      <c r="Q30" s="5"/>
      <c r="R30" s="90">
        <f>SUM(R29)</f>
        <v>566652</v>
      </c>
      <c r="S30" s="379"/>
      <c r="T30" s="54"/>
      <c r="V30" s="449"/>
      <c r="Y30" s="379"/>
      <c r="Z30" s="463"/>
      <c r="AA30" s="379"/>
      <c r="AB30" s="379"/>
      <c r="AC30" s="50"/>
      <c r="AD30" s="50"/>
      <c r="AE30" s="379"/>
      <c r="AF30" s="379"/>
      <c r="AG30" s="156"/>
      <c r="AH30" s="50"/>
      <c r="AI30" s="379"/>
      <c r="AJ30" s="379"/>
      <c r="AK30" s="156"/>
      <c r="AL30" s="379"/>
      <c r="AM30" s="50"/>
      <c r="AN30" s="50"/>
    </row>
    <row r="31" spans="1:40" x14ac:dyDescent="0.25">
      <c r="A31" s="378"/>
      <c r="B31" s="378"/>
      <c r="C31" s="378"/>
      <c r="D31" s="378"/>
      <c r="E31" s="378"/>
      <c r="F31" s="5"/>
      <c r="G31" s="2"/>
      <c r="H31" s="5"/>
      <c r="I31" s="5"/>
      <c r="J31" s="446"/>
      <c r="K31" s="446"/>
      <c r="L31" s="5"/>
      <c r="M31" s="5"/>
      <c r="N31" s="5"/>
      <c r="O31" s="5"/>
      <c r="P31" s="5"/>
      <c r="Q31" s="5"/>
      <c r="R31" s="5"/>
      <c r="S31" s="379"/>
      <c r="V31" s="381"/>
      <c r="Y31" s="381"/>
      <c r="Z31" s="464"/>
      <c r="AA31" s="381"/>
      <c r="AB31" s="381"/>
      <c r="AC31" s="381"/>
      <c r="AD31" s="381"/>
      <c r="AE31" s="381"/>
      <c r="AF31" s="381"/>
      <c r="AI31" s="381"/>
      <c r="AJ31" s="381"/>
      <c r="AK31" s="162"/>
      <c r="AL31" s="381"/>
      <c r="AM31" s="50"/>
      <c r="AN31" s="50"/>
    </row>
    <row r="32" spans="1:40" x14ac:dyDescent="0.25">
      <c r="A32" s="45">
        <v>10</v>
      </c>
      <c r="B32" s="378"/>
      <c r="C32" s="222" t="s">
        <v>432</v>
      </c>
      <c r="D32" s="378"/>
      <c r="E32" s="378"/>
      <c r="F32" s="86"/>
      <c r="G32" s="2"/>
      <c r="H32" s="86"/>
      <c r="I32" s="86"/>
      <c r="J32" s="454"/>
      <c r="K32" s="454"/>
      <c r="L32" s="5"/>
      <c r="M32" s="5"/>
      <c r="N32" s="6"/>
      <c r="O32" s="6"/>
      <c r="P32" s="94"/>
      <c r="Q32" s="86"/>
      <c r="R32" s="5"/>
      <c r="S32" s="379"/>
      <c r="T32" s="54"/>
      <c r="V32" s="379"/>
      <c r="Y32" s="379"/>
      <c r="Z32" s="464"/>
      <c r="AA32" s="379"/>
      <c r="AB32" s="379"/>
      <c r="AC32" s="50"/>
      <c r="AD32" s="50"/>
      <c r="AE32" s="379"/>
      <c r="AF32" s="379"/>
      <c r="AG32" s="156"/>
      <c r="AH32" s="50"/>
      <c r="AI32" s="379"/>
      <c r="AJ32" s="379"/>
      <c r="AK32" s="156"/>
      <c r="AL32" s="379"/>
      <c r="AM32" s="50"/>
      <c r="AN32" s="50"/>
    </row>
    <row r="33" spans="1:40" x14ac:dyDescent="0.25">
      <c r="A33" s="45">
        <v>11</v>
      </c>
      <c r="B33" s="378"/>
      <c r="C33" s="46" t="s">
        <v>158</v>
      </c>
      <c r="D33" s="378"/>
      <c r="E33" s="378"/>
      <c r="F33" s="86"/>
      <c r="G33" s="2"/>
      <c r="H33" s="392">
        <v>13650634</v>
      </c>
      <c r="I33" s="86"/>
      <c r="J33" s="457">
        <f>INPUT!D114</f>
        <v>5.8202999999999998E-2</v>
      </c>
      <c r="K33" s="454"/>
      <c r="L33" s="5">
        <f>ROUND((H33*J33),0)</f>
        <v>794508</v>
      </c>
      <c r="M33" s="5"/>
      <c r="N33" s="91">
        <f>ROUND((L33/$L$46)*100,1)</f>
        <v>40.799999999999997</v>
      </c>
      <c r="O33" s="6"/>
      <c r="P33" s="83"/>
      <c r="Q33" s="86"/>
      <c r="R33" s="5">
        <f>L33+P33</f>
        <v>794508</v>
      </c>
      <c r="S33" s="379"/>
      <c r="V33" s="381"/>
      <c r="Y33" s="381"/>
      <c r="Z33" s="464"/>
      <c r="AA33" s="381"/>
      <c r="AB33" s="381"/>
      <c r="AC33" s="381"/>
      <c r="AD33" s="381"/>
      <c r="AE33" s="381"/>
      <c r="AF33" s="381"/>
      <c r="AI33" s="381"/>
      <c r="AJ33" s="381"/>
      <c r="AK33" s="162"/>
      <c r="AL33" s="381"/>
      <c r="AM33" s="50"/>
      <c r="AN33" s="50"/>
    </row>
    <row r="34" spans="1:40" x14ac:dyDescent="0.25">
      <c r="A34" s="45">
        <v>12</v>
      </c>
      <c r="B34" s="378"/>
      <c r="C34" s="46" t="s">
        <v>148</v>
      </c>
      <c r="D34" s="378"/>
      <c r="E34" s="378"/>
      <c r="F34" s="94"/>
      <c r="G34" s="2"/>
      <c r="H34" s="392">
        <v>6000465</v>
      </c>
      <c r="I34" s="86"/>
      <c r="J34" s="457">
        <f>INPUT!D115</f>
        <v>4.9211999999999999E-2</v>
      </c>
      <c r="K34" s="454"/>
      <c r="L34" s="83">
        <f>ROUND((H34*J34),0)</f>
        <v>295295</v>
      </c>
      <c r="M34" s="83"/>
      <c r="N34" s="91">
        <f>ROUND((L34/$L$46)*100,1)</f>
        <v>15.2</v>
      </c>
      <c r="O34" s="91"/>
      <c r="P34" s="83"/>
      <c r="Q34" s="86"/>
      <c r="R34" s="5">
        <f>L34+P34</f>
        <v>295295</v>
      </c>
      <c r="S34" s="379"/>
      <c r="T34" s="54"/>
      <c r="Z34" s="464"/>
      <c r="AA34" s="379"/>
      <c r="AB34" s="379"/>
      <c r="AC34" s="50"/>
      <c r="AD34" s="50"/>
      <c r="AE34" s="379"/>
      <c r="AF34" s="379"/>
      <c r="AG34" s="156"/>
      <c r="AH34" s="50"/>
      <c r="AI34" s="379"/>
      <c r="AJ34" s="379"/>
      <c r="AK34" s="156"/>
      <c r="AL34" s="379"/>
      <c r="AM34" s="50"/>
      <c r="AN34" s="50"/>
    </row>
    <row r="35" spans="1:40" x14ac:dyDescent="0.25">
      <c r="A35" s="45">
        <v>13</v>
      </c>
      <c r="B35" s="378"/>
      <c r="C35" s="46" t="s">
        <v>637</v>
      </c>
      <c r="D35" s="378"/>
      <c r="E35" s="378"/>
      <c r="F35" s="94"/>
      <c r="G35" s="2"/>
      <c r="H35" s="392">
        <v>0</v>
      </c>
      <c r="I35" s="86"/>
      <c r="J35" s="457">
        <f>INPUT!D116</f>
        <v>0.27483600000000002</v>
      </c>
      <c r="K35" s="454"/>
      <c r="L35" s="5">
        <f>ROUND((H35*J35),0)</f>
        <v>0</v>
      </c>
      <c r="M35" s="5"/>
      <c r="N35" s="88">
        <f>ROUND((L35/$L$46)*100,1)</f>
        <v>0</v>
      </c>
      <c r="O35" s="6"/>
      <c r="P35" s="81"/>
      <c r="Q35" s="86"/>
      <c r="R35" s="5">
        <f>L35+P35</f>
        <v>0</v>
      </c>
      <c r="S35" s="379"/>
      <c r="T35" s="54"/>
      <c r="Z35" s="464"/>
      <c r="AA35" s="379"/>
      <c r="AB35" s="379"/>
      <c r="AC35" s="50"/>
      <c r="AD35" s="50"/>
      <c r="AE35" s="379"/>
      <c r="AF35" s="379"/>
      <c r="AG35" s="156"/>
      <c r="AH35" s="50"/>
      <c r="AI35" s="379"/>
      <c r="AJ35" s="379"/>
      <c r="AK35" s="156"/>
      <c r="AL35" s="379"/>
      <c r="AM35" s="50"/>
      <c r="AN35" s="50"/>
    </row>
    <row r="36" spans="1:40" ht="20.100000000000001" customHeight="1" x14ac:dyDescent="0.25">
      <c r="A36" s="45">
        <v>14</v>
      </c>
      <c r="B36" s="378"/>
      <c r="C36" s="222" t="s">
        <v>149</v>
      </c>
      <c r="D36" s="378"/>
      <c r="E36" s="378"/>
      <c r="F36" s="83"/>
      <c r="G36" s="2"/>
      <c r="H36" s="90">
        <f>SUM(H33:H35)</f>
        <v>19651099</v>
      </c>
      <c r="I36" s="5"/>
      <c r="J36" s="267"/>
      <c r="K36" s="9"/>
      <c r="L36" s="90">
        <f>SUM(L33:L35)</f>
        <v>1089803</v>
      </c>
      <c r="M36" s="5"/>
      <c r="N36" s="88">
        <f>ROUND((L36/$L$46)*100,1)</f>
        <v>55.9</v>
      </c>
      <c r="O36" s="6"/>
      <c r="P36" s="81"/>
      <c r="Q36" s="5"/>
      <c r="R36" s="90">
        <f>L36+P36</f>
        <v>1089803</v>
      </c>
      <c r="S36" s="379"/>
      <c r="T36" s="54"/>
      <c r="AA36" s="379"/>
      <c r="AB36" s="379"/>
      <c r="AC36" s="379"/>
      <c r="AD36" s="379"/>
      <c r="AI36" s="379"/>
      <c r="AJ36" s="379"/>
      <c r="AK36" s="156"/>
      <c r="AL36" s="379"/>
    </row>
    <row r="37" spans="1:40" ht="20.100000000000001" customHeight="1" x14ac:dyDescent="0.25">
      <c r="A37" s="45">
        <v>15</v>
      </c>
      <c r="B37" s="378"/>
      <c r="C37" s="444" t="s">
        <v>524</v>
      </c>
      <c r="D37" s="378"/>
      <c r="E37" s="378"/>
      <c r="F37" s="81">
        <f>F26</f>
        <v>120</v>
      </c>
      <c r="G37" s="2"/>
      <c r="H37" s="90">
        <f>H36</f>
        <v>19651099</v>
      </c>
      <c r="I37" s="5"/>
      <c r="J37" s="267"/>
      <c r="K37" s="9"/>
      <c r="L37" s="90">
        <f>L36+L30+L26</f>
        <v>1670615</v>
      </c>
      <c r="M37" s="5"/>
      <c r="N37" s="93">
        <f>ROUND((L37/$L$46)*100,1)</f>
        <v>85.7</v>
      </c>
      <c r="O37" s="6"/>
      <c r="P37" s="90"/>
      <c r="Q37" s="5"/>
      <c r="R37" s="90">
        <f>R26+R30+R36</f>
        <v>1670615</v>
      </c>
      <c r="S37" s="379"/>
      <c r="T37" s="54"/>
      <c r="AA37" s="379"/>
      <c r="AB37" s="379"/>
      <c r="AC37" s="379"/>
      <c r="AD37" s="379"/>
      <c r="AI37" s="379"/>
      <c r="AJ37" s="379"/>
      <c r="AK37" s="156"/>
      <c r="AL37" s="379"/>
    </row>
    <row r="38" spans="1:40" ht="15.75" customHeight="1" x14ac:dyDescent="0.25">
      <c r="A38" s="45"/>
      <c r="B38" s="378"/>
      <c r="C38" s="46"/>
      <c r="D38" s="378"/>
      <c r="E38" s="378"/>
      <c r="F38" s="83"/>
      <c r="G38" s="2"/>
      <c r="H38" s="83"/>
      <c r="I38" s="5"/>
      <c r="J38" s="267"/>
      <c r="K38" s="9"/>
      <c r="L38" s="83"/>
      <c r="M38" s="5"/>
      <c r="N38" s="91"/>
      <c r="O38" s="6"/>
      <c r="P38" s="83"/>
      <c r="Q38" s="5"/>
      <c r="R38" s="83"/>
      <c r="S38" s="379"/>
      <c r="T38" s="54"/>
      <c r="AA38" s="379"/>
      <c r="AB38" s="379"/>
      <c r="AC38" s="379"/>
      <c r="AD38" s="379"/>
      <c r="AI38" s="379"/>
      <c r="AJ38" s="379"/>
      <c r="AK38" s="156"/>
      <c r="AL38" s="379"/>
    </row>
    <row r="39" spans="1:40" ht="15.75" customHeight="1" x14ac:dyDescent="0.25">
      <c r="A39" s="45">
        <v>16</v>
      </c>
      <c r="B39" s="378"/>
      <c r="C39" s="222" t="s">
        <v>504</v>
      </c>
      <c r="D39" s="378"/>
      <c r="E39" s="378"/>
      <c r="F39" s="83"/>
      <c r="G39" s="2"/>
      <c r="H39" s="83"/>
      <c r="I39" s="5"/>
      <c r="J39" s="267"/>
      <c r="K39" s="9"/>
      <c r="L39" s="83"/>
      <c r="M39" s="5"/>
      <c r="N39" s="91"/>
      <c r="O39" s="6"/>
      <c r="P39" s="83"/>
      <c r="Q39" s="5"/>
      <c r="R39" s="83"/>
      <c r="S39" s="379"/>
      <c r="T39" s="54"/>
      <c r="AA39" s="379"/>
      <c r="AB39" s="379"/>
      <c r="AC39" s="379"/>
      <c r="AD39" s="379"/>
      <c r="AI39" s="379"/>
      <c r="AJ39" s="379"/>
      <c r="AK39" s="156"/>
      <c r="AL39" s="379"/>
    </row>
    <row r="40" spans="1:40" ht="15.75" customHeight="1" x14ac:dyDescent="0.25">
      <c r="A40" s="45">
        <v>17</v>
      </c>
      <c r="B40" s="378"/>
      <c r="C40" s="216" t="str">
        <f>DSMR_Name</f>
        <v>DEMAND SIDE MANAGEMENT RIDER (DSMR)</v>
      </c>
      <c r="D40" s="378"/>
      <c r="E40" s="378"/>
      <c r="F40" s="83"/>
      <c r="G40" s="2"/>
      <c r="H40" s="83"/>
      <c r="I40" s="5"/>
      <c r="J40" s="465">
        <f>PRO_DSM_DIST</f>
        <v>5.091E-3</v>
      </c>
      <c r="K40" s="9"/>
      <c r="L40" s="83">
        <f>ROUND($H$37*J40,0)</f>
        <v>100044</v>
      </c>
      <c r="M40" s="5"/>
      <c r="N40" s="383">
        <f>ROUND((L40/$L$46)*100,1)</f>
        <v>5.0999999999999996</v>
      </c>
      <c r="O40" s="6"/>
      <c r="P40" s="83"/>
      <c r="Q40" s="5"/>
      <c r="R40" s="5">
        <f t="shared" ref="R40:R43" si="0">L40+P40</f>
        <v>100044</v>
      </c>
      <c r="S40" s="379"/>
      <c r="T40" s="54"/>
      <c r="AA40" s="379"/>
      <c r="AB40" s="379"/>
      <c r="AC40" s="379"/>
      <c r="AD40" s="379"/>
      <c r="AI40" s="379"/>
      <c r="AJ40" s="379"/>
      <c r="AK40" s="156"/>
      <c r="AL40" s="379"/>
    </row>
    <row r="41" spans="1:40" ht="15.75" customHeight="1" x14ac:dyDescent="0.25">
      <c r="A41" s="45">
        <v>18</v>
      </c>
      <c r="B41" s="378"/>
      <c r="C41" s="216" t="str">
        <f>ESM_Name</f>
        <v>ENVIRONMENTAL SURCHARGE MECHANISM RIDER (ESM)</v>
      </c>
      <c r="D41" s="378"/>
      <c r="E41" s="378"/>
      <c r="F41" s="83"/>
      <c r="G41" s="2"/>
      <c r="H41" s="83"/>
      <c r="I41" s="5"/>
      <c r="J41" s="453"/>
      <c r="K41" s="9"/>
      <c r="L41" s="83">
        <f>AE93</f>
        <v>181610</v>
      </c>
      <c r="M41" s="5"/>
      <c r="N41" s="383">
        <f>ROUND((L41/$L$46)*100,1)</f>
        <v>9.3000000000000007</v>
      </c>
      <c r="O41" s="6"/>
      <c r="P41" s="83"/>
      <c r="Q41" s="5"/>
      <c r="R41" s="5">
        <f t="shared" ref="R41" si="1">L41+P41</f>
        <v>181610</v>
      </c>
      <c r="S41" s="379"/>
      <c r="T41" s="54"/>
      <c r="AA41" s="379"/>
      <c r="AB41" s="379"/>
      <c r="AC41" s="379"/>
      <c r="AD41" s="379"/>
      <c r="AI41" s="379"/>
      <c r="AJ41" s="379"/>
      <c r="AK41" s="156"/>
      <c r="AL41" s="379"/>
    </row>
    <row r="42" spans="1:40" ht="15.75" customHeight="1" x14ac:dyDescent="0.25">
      <c r="A42" s="45">
        <v>20</v>
      </c>
      <c r="B42" s="378"/>
      <c r="C42" s="216" t="str">
        <f>FAC_Name</f>
        <v>FUEL ADJUSTMENT CLAUSE (FAC)</v>
      </c>
      <c r="D42" s="378"/>
      <c r="E42" s="378"/>
      <c r="F42" s="83"/>
      <c r="G42" s="2"/>
      <c r="H42" s="83"/>
      <c r="I42" s="5"/>
      <c r="J42" s="465">
        <f>PRO_FAC</f>
        <v>6.8099999999999996E-4</v>
      </c>
      <c r="K42" s="9"/>
      <c r="L42" s="83"/>
      <c r="M42" s="5"/>
      <c r="N42" s="383"/>
      <c r="O42" s="6"/>
      <c r="P42" s="83">
        <f>ROUND(H37*PRO_FAC,0)</f>
        <v>13382</v>
      </c>
      <c r="Q42" s="5"/>
      <c r="R42" s="5">
        <f t="shared" si="0"/>
        <v>13382</v>
      </c>
      <c r="S42" s="379"/>
      <c r="T42" s="54"/>
      <c r="AA42" s="379"/>
      <c r="AB42" s="379"/>
      <c r="AC42" s="379"/>
      <c r="AD42" s="379"/>
      <c r="AI42" s="379"/>
      <c r="AJ42" s="379"/>
      <c r="AK42" s="156"/>
      <c r="AL42" s="379"/>
    </row>
    <row r="43" spans="1:40" ht="15.75" customHeight="1" x14ac:dyDescent="0.25">
      <c r="A43" s="45">
        <v>22</v>
      </c>
      <c r="B43" s="378"/>
      <c r="C43" s="216" t="str">
        <f>PSM_Name</f>
        <v>PROFIT SHARING MECHANISM (PSM)</v>
      </c>
      <c r="D43" s="378"/>
      <c r="E43" s="378"/>
      <c r="F43" s="83"/>
      <c r="G43" s="2"/>
      <c r="H43" s="83"/>
      <c r="I43" s="5"/>
      <c r="J43" s="465">
        <f>PRO_PSM</f>
        <v>-1.63E-4</v>
      </c>
      <c r="K43" s="9"/>
      <c r="L43" s="81">
        <f>ROUND(H37*PRO_PSM,0)</f>
        <v>-3203</v>
      </c>
      <c r="M43" s="5"/>
      <c r="N43" s="148">
        <f>ROUND((L43/$L$46)*100,1)</f>
        <v>-0.2</v>
      </c>
      <c r="O43" s="6"/>
      <c r="P43" s="81"/>
      <c r="Q43" s="5"/>
      <c r="R43" s="81">
        <f t="shared" si="0"/>
        <v>-3203</v>
      </c>
      <c r="S43" s="379"/>
      <c r="T43" s="54"/>
      <c r="AA43" s="379"/>
      <c r="AB43" s="379"/>
      <c r="AC43" s="379"/>
      <c r="AD43" s="379"/>
      <c r="AI43" s="379"/>
      <c r="AJ43" s="379"/>
      <c r="AK43" s="156"/>
      <c r="AL43" s="379"/>
    </row>
    <row r="44" spans="1:40" ht="20.100000000000001" customHeight="1" x14ac:dyDescent="0.25">
      <c r="A44" s="45">
        <v>23</v>
      </c>
      <c r="B44" s="378"/>
      <c r="C44" s="222" t="s">
        <v>510</v>
      </c>
      <c r="D44" s="378"/>
      <c r="E44" s="378"/>
      <c r="F44" s="81"/>
      <c r="G44" s="2"/>
      <c r="H44" s="81"/>
      <c r="I44" s="5"/>
      <c r="J44" s="9"/>
      <c r="K44" s="9"/>
      <c r="L44" s="90">
        <f>SUM(L40:L43)</f>
        <v>278451</v>
      </c>
      <c r="M44" s="5"/>
      <c r="N44" s="150">
        <f>ROUND((L44/$L$46)*100,1)</f>
        <v>14.3</v>
      </c>
      <c r="O44" s="6"/>
      <c r="P44" s="90">
        <f>SUM(P40:P43)</f>
        <v>13382</v>
      </c>
      <c r="Q44" s="5"/>
      <c r="R44" s="90">
        <f>SUM(R40:R43)</f>
        <v>291833</v>
      </c>
      <c r="S44" s="379"/>
      <c r="T44" s="54"/>
      <c r="AA44" s="379"/>
      <c r="AB44" s="379"/>
      <c r="AC44" s="379"/>
      <c r="AD44" s="379"/>
      <c r="AI44" s="379"/>
      <c r="AJ44" s="379"/>
      <c r="AK44" s="156"/>
      <c r="AL44" s="379"/>
    </row>
    <row r="45" spans="1:40" ht="15.75" customHeight="1" x14ac:dyDescent="0.25">
      <c r="A45" s="45"/>
      <c r="B45" s="378"/>
      <c r="C45" s="222"/>
      <c r="D45" s="378"/>
      <c r="E45" s="378"/>
      <c r="F45" s="83"/>
      <c r="G45" s="2"/>
      <c r="H45" s="83"/>
      <c r="I45" s="5"/>
      <c r="J45" s="9"/>
      <c r="K45" s="9"/>
      <c r="L45" s="83"/>
      <c r="M45" s="5"/>
      <c r="N45" s="91"/>
      <c r="O45" s="6"/>
      <c r="P45" s="83"/>
      <c r="Q45" s="5"/>
      <c r="R45" s="83"/>
      <c r="S45" s="379"/>
      <c r="T45" s="54"/>
      <c r="AA45" s="379"/>
      <c r="AB45" s="379"/>
      <c r="AC45" s="379"/>
      <c r="AD45" s="379"/>
      <c r="AI45" s="379"/>
      <c r="AJ45" s="379"/>
      <c r="AK45" s="156"/>
      <c r="AL45" s="379"/>
    </row>
    <row r="46" spans="1:40" ht="20.100000000000001" customHeight="1" thickBot="1" x14ac:dyDescent="0.3">
      <c r="A46" s="45">
        <v>24</v>
      </c>
      <c r="B46" s="378"/>
      <c r="C46" s="444" t="s">
        <v>525</v>
      </c>
      <c r="D46" s="378"/>
      <c r="E46" s="378"/>
      <c r="F46" s="82">
        <f>F26</f>
        <v>120</v>
      </c>
      <c r="G46" s="2"/>
      <c r="H46" s="82">
        <f>H36</f>
        <v>19651099</v>
      </c>
      <c r="I46" s="5"/>
      <c r="J46" s="9"/>
      <c r="K46" s="9"/>
      <c r="L46" s="82">
        <f>L37+L44</f>
        <v>1949066</v>
      </c>
      <c r="M46" s="5"/>
      <c r="N46" s="92">
        <v>100</v>
      </c>
      <c r="O46" s="6"/>
      <c r="P46" s="82">
        <f>P44+P37</f>
        <v>13382</v>
      </c>
      <c r="Q46" s="5"/>
      <c r="R46" s="82">
        <f>R44+R37</f>
        <v>1962448</v>
      </c>
      <c r="Y46" s="54"/>
    </row>
    <row r="47" spans="1:40" ht="16.5" thickTop="1" x14ac:dyDescent="0.25">
      <c r="A47" s="378"/>
      <c r="B47" s="378"/>
      <c r="C47" s="378"/>
      <c r="D47" s="378"/>
      <c r="E47" s="378"/>
      <c r="F47" s="5"/>
      <c r="G47" s="2"/>
      <c r="H47" s="5"/>
      <c r="I47" s="5"/>
      <c r="J47" s="9"/>
      <c r="K47" s="9"/>
      <c r="L47" s="5"/>
      <c r="M47" s="5"/>
      <c r="N47" s="5"/>
      <c r="O47" s="5"/>
      <c r="P47" s="5"/>
      <c r="Q47" s="5"/>
      <c r="R47" s="5"/>
      <c r="AA47" s="54"/>
      <c r="AB47" s="54"/>
    </row>
    <row r="48" spans="1:40" x14ac:dyDescent="0.25">
      <c r="A48" s="378"/>
      <c r="B48" s="378"/>
      <c r="C48" s="243" t="s">
        <v>61</v>
      </c>
      <c r="D48" s="378"/>
      <c r="E48" s="378"/>
      <c r="F48" s="48"/>
      <c r="G48" s="378"/>
      <c r="H48" s="48"/>
      <c r="I48" s="48"/>
      <c r="J48" s="51"/>
      <c r="K48" s="51"/>
      <c r="L48" s="48"/>
      <c r="M48" s="48"/>
      <c r="N48" s="48"/>
      <c r="O48" s="48"/>
      <c r="P48" s="48"/>
      <c r="Q48" s="48"/>
      <c r="R48" s="48"/>
      <c r="AK48" s="161"/>
      <c r="AL48" s="54"/>
    </row>
    <row r="49" spans="1:46" x14ac:dyDescent="0.25">
      <c r="A49" s="378"/>
      <c r="B49" s="378"/>
      <c r="C49" s="243" t="str">
        <f>"(2) REFLECTS FUEL COMPONENT OF "&amp;TEXT(PRO_FAC,"$0.000000;($0.000000)")&amp;"  PER KWH."</f>
        <v>(2) REFLECTS FUEL COMPONENT OF $0.000681  PER KWH.</v>
      </c>
      <c r="D49" s="378"/>
      <c r="E49" s="378"/>
      <c r="F49" s="48"/>
      <c r="G49" s="378"/>
      <c r="H49" s="48"/>
      <c r="I49" s="48"/>
      <c r="J49" s="51"/>
      <c r="K49" s="51"/>
      <c r="L49" s="48"/>
      <c r="M49" s="48"/>
      <c r="N49" s="48"/>
      <c r="O49" s="48"/>
      <c r="P49" s="48"/>
      <c r="Q49" s="48"/>
      <c r="R49" s="48"/>
      <c r="AK49" s="161"/>
      <c r="AL49" s="54"/>
    </row>
    <row r="50" spans="1:46" x14ac:dyDescent="0.25">
      <c r="A50" s="53"/>
      <c r="C50" s="243" t="str">
        <f>"(3) REFLECTS FUEL COST RECOVERY INCLUDED IN BASE RATES OF "&amp;TEXT(PRO_BASE_FUEL,"$0.000000;($0.000000)")&amp;"  PER KWH."</f>
        <v>(3) REFLECTS FUEL COST RECOVERY INCLUDED IN BASE RATES OF $0.023837  PER KWH.</v>
      </c>
      <c r="R50" s="54"/>
      <c r="T50" s="378"/>
      <c r="U50" s="378"/>
      <c r="V50" s="378"/>
      <c r="W50" s="378"/>
      <c r="X50" s="378"/>
      <c r="Y50" s="378"/>
      <c r="Z50" s="378"/>
      <c r="AA50" s="378"/>
      <c r="AB50" s="378"/>
      <c r="AC50" s="378"/>
      <c r="AD50" s="378"/>
      <c r="AE50" s="378"/>
      <c r="AF50" s="378"/>
      <c r="AG50" s="143"/>
      <c r="AH50" s="378"/>
      <c r="AI50" s="378"/>
      <c r="AJ50" s="378"/>
      <c r="AK50" s="143"/>
      <c r="AL50" s="378"/>
      <c r="AM50" s="378"/>
      <c r="AN50" s="378"/>
      <c r="AO50" s="378"/>
      <c r="AP50" s="378"/>
      <c r="AQ50" s="143"/>
      <c r="AR50" s="378"/>
      <c r="AS50" s="378"/>
      <c r="AT50" s="378"/>
    </row>
    <row r="51" spans="1:46" x14ac:dyDescent="0.25">
      <c r="A51" s="54"/>
      <c r="R51" s="54"/>
      <c r="T51" s="378"/>
      <c r="U51" s="378"/>
      <c r="V51" s="378"/>
      <c r="W51" s="378"/>
      <c r="X51" s="378"/>
      <c r="Y51" s="378"/>
      <c r="Z51" s="378"/>
      <c r="AA51" s="378"/>
      <c r="AB51" s="378"/>
      <c r="AC51" s="378"/>
      <c r="AD51" s="378"/>
      <c r="AE51" s="378"/>
      <c r="AF51" s="378"/>
      <c r="AG51" s="143"/>
      <c r="AH51" s="378"/>
      <c r="AI51" s="378"/>
      <c r="AJ51" s="378"/>
      <c r="AK51" s="143"/>
      <c r="AL51" s="378"/>
      <c r="AM51" s="378"/>
      <c r="AN51" s="378"/>
      <c r="AO51" s="378"/>
      <c r="AP51" s="378"/>
      <c r="AQ51" s="143"/>
      <c r="AR51" s="378"/>
      <c r="AS51" s="378"/>
      <c r="AT51" s="378"/>
    </row>
    <row r="52" spans="1:46" x14ac:dyDescent="0.25">
      <c r="F52" s="491"/>
      <c r="G52" s="491"/>
      <c r="H52" s="491"/>
      <c r="I52" s="491"/>
      <c r="J52" s="491"/>
      <c r="L52" s="54"/>
      <c r="M52" s="54"/>
      <c r="R52" s="53"/>
      <c r="T52" s="378"/>
      <c r="U52" s="378"/>
      <c r="V52" s="378"/>
      <c r="W52" s="378"/>
      <c r="X52" s="378"/>
      <c r="Y52" s="378"/>
      <c r="Z52" s="378"/>
      <c r="AA52" s="378"/>
      <c r="AB52" s="378"/>
      <c r="AC52" s="378"/>
      <c r="AD52" s="378"/>
      <c r="AE52" s="378"/>
      <c r="AF52" s="378"/>
      <c r="AG52" s="143"/>
      <c r="AH52" s="378"/>
      <c r="AI52" s="378"/>
      <c r="AJ52" s="378"/>
      <c r="AK52" s="143"/>
      <c r="AL52" s="378"/>
      <c r="AM52" s="378"/>
      <c r="AN52" s="378"/>
      <c r="AO52" s="378"/>
      <c r="AP52" s="378"/>
      <c r="AQ52" s="143"/>
      <c r="AR52" s="378"/>
      <c r="AS52" s="378"/>
      <c r="AT52" s="378"/>
    </row>
    <row r="53" spans="1:46" x14ac:dyDescent="0.25">
      <c r="A53" s="55"/>
      <c r="B53" s="55"/>
      <c r="C53" s="55"/>
      <c r="D53" s="55"/>
      <c r="E53" s="55"/>
      <c r="F53" s="491"/>
      <c r="G53" s="491"/>
      <c r="H53" s="491"/>
      <c r="I53" s="491"/>
      <c r="J53" s="491"/>
      <c r="K53" s="55"/>
      <c r="L53" s="55"/>
      <c r="M53" s="55"/>
      <c r="N53" s="55"/>
      <c r="O53" s="55"/>
      <c r="P53" s="55"/>
      <c r="Q53" s="55"/>
      <c r="R53" s="55"/>
      <c r="T53" s="43" t="str">
        <f>NAME</f>
        <v>DUKE ENERGY KENTUCKY, INC.</v>
      </c>
      <c r="U53" s="43"/>
      <c r="V53" s="43"/>
      <c r="W53" s="43"/>
      <c r="X53" s="43"/>
      <c r="Y53" s="43"/>
      <c r="Z53" s="43"/>
      <c r="AA53" s="43"/>
      <c r="AB53" s="43"/>
      <c r="AC53" s="44"/>
      <c r="AD53" s="44"/>
      <c r="AE53" s="43"/>
      <c r="AF53" s="57"/>
      <c r="AG53" s="144"/>
      <c r="AH53" s="57"/>
      <c r="AI53" s="43"/>
      <c r="AJ53" s="43"/>
      <c r="AK53" s="144"/>
      <c r="AL53" s="43"/>
      <c r="AM53" s="43"/>
      <c r="AN53" s="57"/>
      <c r="AO53" s="43"/>
      <c r="AP53" s="43"/>
      <c r="AQ53" s="144"/>
    </row>
    <row r="54" spans="1:46" x14ac:dyDescent="0.25">
      <c r="A54" s="55"/>
      <c r="B54" s="55"/>
      <c r="C54" s="55"/>
      <c r="D54" s="55"/>
      <c r="E54" s="55"/>
      <c r="F54" s="491"/>
      <c r="G54" s="491"/>
      <c r="H54" s="491"/>
      <c r="I54" s="491"/>
      <c r="J54" s="491"/>
      <c r="K54" s="55"/>
      <c r="L54" s="55"/>
      <c r="M54" s="55"/>
      <c r="N54" s="55"/>
      <c r="O54" s="55"/>
      <c r="P54" s="55"/>
      <c r="Q54" s="55"/>
      <c r="R54" s="55"/>
      <c r="T54" s="43" t="str">
        <f>CASE_NO</f>
        <v>CASE NO.   2019-000271</v>
      </c>
      <c r="U54" s="43"/>
      <c r="V54" s="43"/>
      <c r="W54" s="43"/>
      <c r="X54" s="43"/>
      <c r="Y54" s="43"/>
      <c r="Z54" s="43"/>
      <c r="AA54" s="43"/>
      <c r="AB54" s="43"/>
      <c r="AC54" s="44"/>
      <c r="AD54" s="44"/>
      <c r="AE54" s="43"/>
      <c r="AF54" s="57"/>
      <c r="AG54" s="144"/>
      <c r="AH54" s="57"/>
      <c r="AI54" s="43"/>
      <c r="AJ54" s="43"/>
      <c r="AK54" s="144"/>
      <c r="AL54" s="43"/>
      <c r="AM54" s="43"/>
      <c r="AN54" s="57"/>
      <c r="AO54" s="43"/>
      <c r="AP54" s="43"/>
      <c r="AQ54" s="144"/>
    </row>
    <row r="55" spans="1:46" x14ac:dyDescent="0.25">
      <c r="F55" s="491"/>
      <c r="G55" s="491"/>
      <c r="H55" s="491"/>
      <c r="I55" s="491"/>
      <c r="J55" s="491"/>
      <c r="L55" s="56"/>
      <c r="M55" s="56"/>
      <c r="N55" s="56"/>
      <c r="O55" s="56"/>
      <c r="R55" s="56"/>
      <c r="T55" s="44" t="str">
        <f>TITLE</f>
        <v>ANNUALIZED BASE YEAR REVENUES AT PROPOSED VS. MOST CURRENT RATES</v>
      </c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57"/>
      <c r="AG55" s="144"/>
      <c r="AH55" s="57"/>
      <c r="AI55" s="43"/>
      <c r="AJ55" s="43"/>
      <c r="AK55" s="144"/>
      <c r="AL55" s="43"/>
      <c r="AM55" s="43"/>
      <c r="AN55" s="57"/>
      <c r="AO55" s="43"/>
      <c r="AP55" s="43"/>
      <c r="AQ55" s="144"/>
    </row>
    <row r="56" spans="1:46" x14ac:dyDescent="0.25">
      <c r="L56" s="56"/>
      <c r="M56" s="56"/>
      <c r="N56" s="56"/>
      <c r="O56" s="56"/>
      <c r="R56" s="56"/>
      <c r="T56" s="43" t="str">
        <f>DATE</f>
        <v>FOR THE TWELVE MONTHS ENDED November 30, 2019</v>
      </c>
      <c r="U56" s="43"/>
      <c r="V56" s="43"/>
      <c r="W56" s="43"/>
      <c r="X56" s="43"/>
      <c r="Y56" s="43"/>
      <c r="Z56" s="43"/>
      <c r="AA56" s="43"/>
      <c r="AB56" s="43"/>
      <c r="AC56" s="44"/>
      <c r="AD56" s="44"/>
      <c r="AE56" s="43"/>
      <c r="AF56" s="57"/>
      <c r="AG56" s="144"/>
      <c r="AH56" s="57"/>
      <c r="AI56" s="43"/>
      <c r="AJ56" s="43"/>
      <c r="AK56" s="144"/>
      <c r="AL56" s="43"/>
      <c r="AM56" s="43"/>
      <c r="AN56" s="57"/>
      <c r="AO56" s="43"/>
      <c r="AP56" s="43"/>
      <c r="AQ56" s="144"/>
    </row>
    <row r="57" spans="1:46" x14ac:dyDescent="0.25">
      <c r="A57" s="56"/>
      <c r="C57" s="56"/>
      <c r="D57" s="56"/>
      <c r="E57" s="56"/>
      <c r="F57" s="56"/>
      <c r="J57" s="56"/>
      <c r="K57" s="56"/>
      <c r="L57" s="56"/>
      <c r="M57" s="56"/>
      <c r="N57" s="56"/>
      <c r="O57" s="56"/>
      <c r="P57" s="56"/>
      <c r="Q57" s="56"/>
      <c r="R57" s="56"/>
      <c r="T57" s="43" t="str">
        <f>SERVICE</f>
        <v>(ELECTRIC SERVICE)</v>
      </c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4"/>
      <c r="AF57" s="58"/>
      <c r="AG57" s="144"/>
      <c r="AH57" s="57"/>
      <c r="AI57" s="43"/>
      <c r="AJ57" s="43"/>
      <c r="AK57" s="144"/>
      <c r="AL57" s="43"/>
      <c r="AM57" s="43"/>
      <c r="AN57" s="57"/>
      <c r="AO57" s="43"/>
      <c r="AP57" s="43"/>
      <c r="AQ57" s="144"/>
    </row>
    <row r="58" spans="1:46" x14ac:dyDescent="0.25">
      <c r="A58" s="56"/>
      <c r="C58" s="56"/>
      <c r="D58" s="56"/>
      <c r="E58" s="56"/>
      <c r="F58" s="56"/>
      <c r="J58" s="56"/>
      <c r="K58" s="56"/>
      <c r="L58" s="56"/>
      <c r="M58" s="56"/>
      <c r="N58" s="56"/>
      <c r="O58" s="56"/>
      <c r="P58" s="56"/>
      <c r="Q58" s="56"/>
      <c r="R58" s="56"/>
      <c r="T58" s="45" t="str">
        <f>DATA_PERIOD</f>
        <v>DATA: __X__ BASE PERIOD   ____FORECASTED PERIOD</v>
      </c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378"/>
      <c r="AG58" s="143"/>
      <c r="AI58" s="378"/>
      <c r="AJ58" s="378"/>
      <c r="AK58" s="143"/>
      <c r="AL58" s="378"/>
      <c r="AM58" s="378"/>
      <c r="AO58" s="46" t="s">
        <v>164</v>
      </c>
      <c r="AP58" s="46"/>
      <c r="AQ58" s="143"/>
    </row>
    <row r="59" spans="1:46" x14ac:dyDescent="0.25">
      <c r="A59" s="56"/>
      <c r="C59" s="56"/>
      <c r="D59" s="56"/>
      <c r="E59" s="56"/>
      <c r="F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T59" s="45" t="str">
        <f>TYPE</f>
        <v>TYPE OF FILING: _X_ ORIGINAL   ___UPDATED  ___ REVISED</v>
      </c>
      <c r="U59" s="378"/>
      <c r="V59" s="378"/>
      <c r="W59" s="378"/>
      <c r="X59" s="378"/>
      <c r="Y59" s="378"/>
      <c r="Z59" s="378"/>
      <c r="AA59" s="378"/>
      <c r="AB59" s="378"/>
      <c r="AC59" s="378"/>
      <c r="AD59" s="378"/>
      <c r="AE59" s="378"/>
      <c r="AG59" s="143"/>
      <c r="AI59" s="378"/>
      <c r="AJ59" s="378"/>
      <c r="AK59" s="143"/>
      <c r="AL59" s="378"/>
      <c r="AM59" s="378"/>
      <c r="AO59" s="52" t="str">
        <f>"PAGE 8 OF "&amp;TEXT(Page_Num_2.2,"00")</f>
        <v>PAGE 8 OF 22</v>
      </c>
      <c r="AP59" s="46"/>
      <c r="AQ59" s="143"/>
    </row>
    <row r="60" spans="1:46" x14ac:dyDescent="0.25">
      <c r="C60" s="56"/>
      <c r="D60" s="56"/>
      <c r="E60" s="56"/>
      <c r="F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T60" s="46" t="s">
        <v>177</v>
      </c>
      <c r="U60" s="378"/>
      <c r="V60" s="378"/>
      <c r="W60" s="378"/>
      <c r="X60" s="378"/>
      <c r="Y60" s="378"/>
      <c r="Z60" s="378"/>
      <c r="AA60" s="378"/>
      <c r="AB60" s="378"/>
      <c r="AC60" s="378"/>
      <c r="AD60" s="378"/>
      <c r="AE60" s="378"/>
      <c r="AG60" s="143"/>
      <c r="AI60" s="378"/>
      <c r="AJ60" s="378"/>
      <c r="AK60" s="143"/>
      <c r="AL60" s="378"/>
      <c r="AM60" s="378"/>
      <c r="AO60" s="46" t="s">
        <v>3</v>
      </c>
      <c r="AP60" s="46"/>
      <c r="AQ60" s="143"/>
    </row>
    <row r="61" spans="1:46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T61" s="222" t="str">
        <f>TIME</f>
        <v>6 Months Actual and 6 Months Projected with Riders</v>
      </c>
      <c r="U61" s="378"/>
      <c r="V61" s="378"/>
      <c r="W61" s="378"/>
      <c r="X61" s="378"/>
      <c r="Y61" s="378"/>
      <c r="Z61" s="378"/>
      <c r="AA61" s="378"/>
      <c r="AB61" s="378"/>
      <c r="AC61" s="378"/>
      <c r="AD61" s="378"/>
      <c r="AE61" s="378"/>
      <c r="AG61" s="143"/>
      <c r="AI61" s="378"/>
      <c r="AJ61" s="378"/>
      <c r="AK61" s="143"/>
      <c r="AL61" s="378"/>
      <c r="AM61" s="378"/>
      <c r="AO61" s="45" t="str">
        <f>WIT</f>
        <v>J. L. Kern</v>
      </c>
      <c r="AP61" s="45"/>
      <c r="AQ61" s="143"/>
    </row>
    <row r="62" spans="1:46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T62" s="222" t="str">
        <f>INPUT!B5</f>
        <v>6 Months Actual Ending May 31, 2019</v>
      </c>
      <c r="U62" s="378"/>
      <c r="V62" s="378"/>
      <c r="W62" s="378"/>
      <c r="X62" s="378"/>
      <c r="Y62" s="378"/>
      <c r="Z62" s="378"/>
      <c r="AA62" s="378"/>
      <c r="AB62" s="378"/>
      <c r="AC62" s="378"/>
      <c r="AD62" s="378"/>
      <c r="AE62" s="378"/>
      <c r="AG62" s="143"/>
      <c r="AI62" s="378"/>
      <c r="AJ62" s="378"/>
      <c r="AK62" s="143"/>
      <c r="AL62" s="378"/>
      <c r="AM62" s="378"/>
      <c r="AO62" s="45"/>
      <c r="AP62" s="45"/>
      <c r="AQ62" s="143"/>
    </row>
    <row r="63" spans="1:46" x14ac:dyDescent="0.25"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T63" s="44" t="s">
        <v>137</v>
      </c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57"/>
      <c r="AG63" s="144"/>
      <c r="AH63" s="57"/>
      <c r="AI63" s="43"/>
      <c r="AJ63" s="43"/>
      <c r="AK63" s="144"/>
      <c r="AL63" s="43"/>
      <c r="AM63" s="43"/>
      <c r="AN63" s="57"/>
      <c r="AO63" s="43"/>
      <c r="AP63" s="43"/>
      <c r="AQ63" s="144"/>
    </row>
    <row r="64" spans="1:46" x14ac:dyDescent="0.25">
      <c r="A64" s="53"/>
      <c r="C64" s="54"/>
      <c r="D64" s="54"/>
      <c r="E64" s="54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145"/>
      <c r="AH64" s="47"/>
      <c r="AI64" s="47"/>
      <c r="AJ64" s="47"/>
      <c r="AK64" s="145"/>
      <c r="AL64" s="47"/>
      <c r="AM64" s="47"/>
      <c r="AN64" s="47"/>
      <c r="AO64" s="47"/>
      <c r="AP64" s="47"/>
      <c r="AQ64" s="145"/>
    </row>
    <row r="65" spans="1:76" ht="18" customHeight="1" x14ac:dyDescent="0.25">
      <c r="A65" s="53"/>
      <c r="D65" s="54"/>
      <c r="E65" s="54"/>
      <c r="T65" s="378"/>
      <c r="U65" s="378"/>
      <c r="V65" s="378"/>
      <c r="W65" s="378"/>
      <c r="X65" s="378"/>
      <c r="Y65" s="378"/>
      <c r="Z65" s="378"/>
      <c r="AA65" s="378"/>
      <c r="AB65" s="378"/>
      <c r="AC65" s="378"/>
      <c r="AD65" s="378"/>
      <c r="AE65" s="426" t="s">
        <v>8</v>
      </c>
      <c r="AF65" s="56"/>
      <c r="AG65" s="146" t="s">
        <v>7</v>
      </c>
      <c r="AH65" s="56"/>
      <c r="AI65" s="426" t="s">
        <v>9</v>
      </c>
      <c r="AJ65" s="426"/>
      <c r="AK65" s="146" t="s">
        <v>10</v>
      </c>
      <c r="AL65" s="426"/>
      <c r="AM65" s="378"/>
      <c r="AO65" s="426" t="s">
        <v>8</v>
      </c>
      <c r="AP65" s="426"/>
      <c r="AQ65" s="146" t="s">
        <v>11</v>
      </c>
    </row>
    <row r="66" spans="1:76" x14ac:dyDescent="0.25">
      <c r="T66" s="378"/>
      <c r="U66" s="378"/>
      <c r="V66" s="378"/>
      <c r="W66" s="378"/>
      <c r="X66" s="378"/>
      <c r="Y66" s="378"/>
      <c r="Z66" s="378"/>
      <c r="AA66" s="378"/>
      <c r="AB66" s="378"/>
      <c r="AC66" s="426" t="s">
        <v>14</v>
      </c>
      <c r="AD66" s="426"/>
      <c r="AE66" s="426" t="s">
        <v>12</v>
      </c>
      <c r="AF66" s="56"/>
      <c r="AG66" s="146" t="s">
        <v>13</v>
      </c>
      <c r="AH66" s="56"/>
      <c r="AI66" s="426" t="s">
        <v>15</v>
      </c>
      <c r="AJ66" s="426"/>
      <c r="AK66" s="146" t="s">
        <v>16</v>
      </c>
      <c r="AL66" s="426"/>
      <c r="AM66" s="378"/>
      <c r="AO66" s="426" t="s">
        <v>11</v>
      </c>
      <c r="AP66" s="426"/>
      <c r="AQ66" s="146" t="s">
        <v>9</v>
      </c>
    </row>
    <row r="67" spans="1:76" x14ac:dyDescent="0.25">
      <c r="A67" s="53"/>
      <c r="C67" s="54"/>
      <c r="T67" s="426" t="s">
        <v>17</v>
      </c>
      <c r="U67" s="378"/>
      <c r="V67" s="426" t="s">
        <v>18</v>
      </c>
      <c r="W67" s="426" t="s">
        <v>19</v>
      </c>
      <c r="X67" s="426"/>
      <c r="Y67" s="426" t="s">
        <v>20</v>
      </c>
      <c r="Z67" s="378"/>
      <c r="AA67" s="378"/>
      <c r="AB67" s="378"/>
      <c r="AC67" s="426" t="s">
        <v>8</v>
      </c>
      <c r="AD67" s="426"/>
      <c r="AE67" s="426" t="s">
        <v>21</v>
      </c>
      <c r="AF67" s="56"/>
      <c r="AG67" s="146" t="s">
        <v>21</v>
      </c>
      <c r="AH67" s="56"/>
      <c r="AI67" s="426" t="s">
        <v>22</v>
      </c>
      <c r="AJ67" s="426"/>
      <c r="AK67" s="146" t="s">
        <v>22</v>
      </c>
      <c r="AL67" s="426"/>
      <c r="AM67" s="426" t="s">
        <v>21</v>
      </c>
      <c r="AN67" s="56"/>
      <c r="AO67" s="426" t="s">
        <v>9</v>
      </c>
      <c r="AP67" s="426"/>
      <c r="AQ67" s="146" t="s">
        <v>23</v>
      </c>
    </row>
    <row r="68" spans="1:76" x14ac:dyDescent="0.25">
      <c r="A68" s="53"/>
      <c r="C68" s="54"/>
      <c r="F68" s="449"/>
      <c r="H68" s="449"/>
      <c r="I68" s="449"/>
      <c r="J68" s="461"/>
      <c r="K68" s="461"/>
      <c r="L68" s="379"/>
      <c r="M68" s="379"/>
      <c r="N68" s="50"/>
      <c r="O68" s="50"/>
      <c r="P68" s="53"/>
      <c r="Q68" s="53"/>
      <c r="R68" s="379"/>
      <c r="T68" s="426" t="s">
        <v>24</v>
      </c>
      <c r="U68" s="378"/>
      <c r="V68" s="426" t="s">
        <v>25</v>
      </c>
      <c r="W68" s="426" t="s">
        <v>26</v>
      </c>
      <c r="X68" s="426"/>
      <c r="Y68" s="426" t="s">
        <v>27</v>
      </c>
      <c r="Z68" s="378"/>
      <c r="AA68" s="426" t="s">
        <v>28</v>
      </c>
      <c r="AB68" s="426"/>
      <c r="AC68" s="426" t="s">
        <v>29</v>
      </c>
      <c r="AD68" s="426"/>
      <c r="AE68" s="426" t="s">
        <v>9</v>
      </c>
      <c r="AF68" s="56"/>
      <c r="AG68" s="146" t="s">
        <v>9</v>
      </c>
      <c r="AH68" s="56"/>
      <c r="AI68" s="265" t="s">
        <v>31</v>
      </c>
      <c r="AJ68" s="265"/>
      <c r="AK68" s="440" t="s">
        <v>32</v>
      </c>
      <c r="AL68" s="426"/>
      <c r="AM68" s="426" t="s">
        <v>379</v>
      </c>
      <c r="AN68" s="56"/>
      <c r="AO68" s="265" t="s">
        <v>33</v>
      </c>
      <c r="AP68" s="265"/>
      <c r="AQ68" s="440" t="s">
        <v>34</v>
      </c>
    </row>
    <row r="69" spans="1:76" x14ac:dyDescent="0.25">
      <c r="A69" s="53"/>
      <c r="C69" s="54"/>
      <c r="F69" s="449"/>
      <c r="H69" s="449"/>
      <c r="I69" s="449"/>
      <c r="J69" s="461"/>
      <c r="K69" s="461"/>
      <c r="L69" s="379"/>
      <c r="M69" s="379"/>
      <c r="N69" s="50"/>
      <c r="O69" s="50"/>
      <c r="P69" s="53"/>
      <c r="Q69" s="53"/>
      <c r="R69" s="379"/>
      <c r="T69" s="378"/>
      <c r="U69" s="378"/>
      <c r="V69" s="265" t="s">
        <v>35</v>
      </c>
      <c r="W69" s="265" t="s">
        <v>36</v>
      </c>
      <c r="X69" s="265"/>
      <c r="Y69" s="265" t="s">
        <v>37</v>
      </c>
      <c r="Z69" s="218"/>
      <c r="AA69" s="265" t="s">
        <v>38</v>
      </c>
      <c r="AB69" s="265"/>
      <c r="AC69" s="265" t="s">
        <v>44</v>
      </c>
      <c r="AD69" s="265"/>
      <c r="AE69" s="265" t="s">
        <v>45</v>
      </c>
      <c r="AF69" s="466"/>
      <c r="AG69" s="440" t="s">
        <v>46</v>
      </c>
      <c r="AH69" s="466"/>
      <c r="AI69" s="265" t="s">
        <v>47</v>
      </c>
      <c r="AJ69" s="265"/>
      <c r="AK69" s="440" t="s">
        <v>48</v>
      </c>
      <c r="AL69" s="265"/>
      <c r="AM69" s="265" t="s">
        <v>42</v>
      </c>
      <c r="AN69" s="466"/>
      <c r="AO69" s="265" t="s">
        <v>49</v>
      </c>
      <c r="AP69" s="265"/>
      <c r="AQ69" s="440" t="s">
        <v>50</v>
      </c>
      <c r="AU69" s="378"/>
    </row>
    <row r="70" spans="1:76" x14ac:dyDescent="0.25">
      <c r="F70" s="381"/>
      <c r="H70" s="379"/>
      <c r="I70" s="379"/>
      <c r="J70" s="464"/>
      <c r="K70" s="464"/>
      <c r="L70" s="381"/>
      <c r="M70" s="381"/>
      <c r="N70" s="381"/>
      <c r="O70" s="381"/>
      <c r="P70" s="381"/>
      <c r="Q70" s="381"/>
      <c r="R70" s="381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145"/>
      <c r="AH70" s="47"/>
      <c r="AI70" s="47"/>
      <c r="AJ70" s="47"/>
      <c r="AK70" s="145"/>
      <c r="AL70" s="47"/>
      <c r="AM70" s="47"/>
      <c r="AN70" s="47"/>
      <c r="AO70" s="47"/>
      <c r="AP70" s="47"/>
      <c r="AQ70" s="145"/>
      <c r="AU70" s="378"/>
    </row>
    <row r="71" spans="1:76" ht="17.100000000000001" customHeight="1" x14ac:dyDescent="0.25">
      <c r="A71" s="53"/>
      <c r="C71" s="54"/>
      <c r="F71" s="379"/>
      <c r="H71" s="379"/>
      <c r="I71" s="379"/>
      <c r="J71" s="464"/>
      <c r="K71" s="464"/>
      <c r="L71" s="379"/>
      <c r="M71" s="379"/>
      <c r="N71" s="50"/>
      <c r="O71" s="50"/>
      <c r="P71" s="379"/>
      <c r="Q71" s="379"/>
      <c r="R71" s="379"/>
      <c r="T71" s="378"/>
      <c r="U71" s="378"/>
      <c r="V71" s="378"/>
      <c r="W71" s="378"/>
      <c r="X71" s="378"/>
      <c r="Y71" s="378"/>
      <c r="Z71" s="378"/>
      <c r="AA71" s="442" t="s">
        <v>203</v>
      </c>
      <c r="AB71" s="441"/>
      <c r="AC71" s="442" t="s">
        <v>390</v>
      </c>
      <c r="AD71" s="441"/>
      <c r="AE71" s="441" t="s">
        <v>52</v>
      </c>
      <c r="AF71" s="467"/>
      <c r="AG71" s="443" t="s">
        <v>53</v>
      </c>
      <c r="AH71" s="467"/>
      <c r="AI71" s="441" t="s">
        <v>52</v>
      </c>
      <c r="AJ71" s="441"/>
      <c r="AK71" s="443" t="s">
        <v>53</v>
      </c>
      <c r="AL71" s="441"/>
      <c r="AM71" s="441" t="s">
        <v>52</v>
      </c>
      <c r="AN71" s="467"/>
      <c r="AO71" s="441" t="s">
        <v>52</v>
      </c>
      <c r="AP71" s="441"/>
      <c r="AQ71" s="443" t="s">
        <v>53</v>
      </c>
      <c r="AU71" s="378"/>
    </row>
    <row r="72" spans="1:76" x14ac:dyDescent="0.25">
      <c r="F72" s="381"/>
      <c r="H72" s="379"/>
      <c r="I72" s="379"/>
      <c r="J72" s="464"/>
      <c r="K72" s="464"/>
      <c r="L72" s="381"/>
      <c r="M72" s="381"/>
      <c r="N72" s="381"/>
      <c r="O72" s="381"/>
      <c r="P72" s="381"/>
      <c r="Q72" s="381"/>
      <c r="R72" s="381"/>
      <c r="T72" s="45">
        <v>1</v>
      </c>
      <c r="U72" s="378"/>
      <c r="V72" s="222" t="s">
        <v>98</v>
      </c>
      <c r="W72" s="222" t="s">
        <v>156</v>
      </c>
      <c r="X72" s="46"/>
      <c r="Y72" s="2"/>
      <c r="Z72" s="2"/>
      <c r="AA72" s="459"/>
      <c r="AB72" s="459"/>
      <c r="AC72" s="460" t="s">
        <v>384</v>
      </c>
      <c r="AD72" s="459"/>
      <c r="AE72" s="459"/>
      <c r="AF72" s="459"/>
      <c r="AG72" s="469"/>
      <c r="AH72" s="459"/>
      <c r="AI72" s="459"/>
      <c r="AJ72" s="459"/>
      <c r="AK72" s="469"/>
      <c r="AL72" s="459"/>
      <c r="AM72" s="459"/>
      <c r="AN72" s="459"/>
      <c r="AO72" s="459"/>
      <c r="AP72" s="459"/>
      <c r="AQ72" s="469"/>
      <c r="AR72" s="378"/>
      <c r="AS72" s="378"/>
      <c r="AT72" s="378"/>
      <c r="AU72" s="492"/>
    </row>
    <row r="73" spans="1:76" x14ac:dyDescent="0.25">
      <c r="F73" s="379"/>
      <c r="H73" s="379"/>
      <c r="I73" s="379"/>
      <c r="J73" s="464"/>
      <c r="K73" s="464"/>
      <c r="L73" s="379"/>
      <c r="M73" s="379"/>
      <c r="N73" s="50"/>
      <c r="O73" s="50"/>
      <c r="P73" s="379"/>
      <c r="Q73" s="379"/>
      <c r="R73" s="379"/>
      <c r="T73" s="45">
        <v>2</v>
      </c>
      <c r="U73" s="378"/>
      <c r="V73" s="218"/>
      <c r="W73" s="222" t="s">
        <v>139</v>
      </c>
      <c r="X73" s="46"/>
      <c r="Y73" s="2"/>
      <c r="Z73" s="2"/>
      <c r="AA73" s="2"/>
      <c r="AB73" s="2"/>
      <c r="AC73" s="2"/>
      <c r="AD73" s="2"/>
      <c r="AE73" s="2"/>
      <c r="AF73" s="2"/>
      <c r="AG73" s="147"/>
      <c r="AH73" s="2"/>
      <c r="AI73" s="2"/>
      <c r="AJ73" s="2"/>
      <c r="AK73" s="147"/>
      <c r="AL73" s="2"/>
      <c r="AM73" s="2"/>
      <c r="AN73" s="2"/>
      <c r="AO73" s="2"/>
      <c r="AP73" s="2"/>
      <c r="AQ73" s="147"/>
      <c r="AR73" s="378"/>
      <c r="AS73" s="378"/>
      <c r="AT73" s="378"/>
      <c r="AU73" s="49"/>
      <c r="BX73" s="470"/>
    </row>
    <row r="74" spans="1:76" x14ac:dyDescent="0.25">
      <c r="A74" s="53"/>
      <c r="C74" s="54"/>
      <c r="F74" s="449"/>
      <c r="H74" s="449"/>
      <c r="I74" s="449"/>
      <c r="J74" s="461"/>
      <c r="K74" s="461"/>
      <c r="L74" s="379"/>
      <c r="M74" s="379"/>
      <c r="N74" s="50"/>
      <c r="O74" s="50"/>
      <c r="P74" s="379"/>
      <c r="Q74" s="379"/>
      <c r="R74" s="379"/>
      <c r="T74" s="378"/>
      <c r="U74" s="378"/>
      <c r="V74" s="378"/>
      <c r="W74" s="378"/>
      <c r="X74" s="378"/>
      <c r="Y74" s="2"/>
      <c r="Z74" s="2"/>
      <c r="AA74" s="2"/>
      <c r="AB74" s="2"/>
      <c r="AC74" s="2"/>
      <c r="AD74" s="2"/>
      <c r="AE74" s="2"/>
      <c r="AF74" s="2"/>
      <c r="AG74" s="147"/>
      <c r="AH74" s="2"/>
      <c r="AI74" s="2"/>
      <c r="AJ74" s="2"/>
      <c r="AK74" s="147"/>
      <c r="AL74" s="2"/>
      <c r="AM74" s="2"/>
      <c r="AN74" s="2"/>
      <c r="AO74" s="2"/>
      <c r="AP74" s="2"/>
      <c r="AQ74" s="147"/>
      <c r="AR74" s="378"/>
      <c r="AS74" s="378"/>
      <c r="AT74" s="378"/>
      <c r="AU74" s="49"/>
    </row>
    <row r="75" spans="1:76" x14ac:dyDescent="0.25">
      <c r="F75" s="379"/>
      <c r="H75" s="381"/>
      <c r="I75" s="381"/>
      <c r="J75" s="464"/>
      <c r="K75" s="464"/>
      <c r="L75" s="381"/>
      <c r="M75" s="381"/>
      <c r="N75" s="381"/>
      <c r="O75" s="381"/>
      <c r="P75" s="381"/>
      <c r="Q75" s="381"/>
      <c r="R75" s="381"/>
      <c r="T75" s="45">
        <v>3</v>
      </c>
      <c r="U75" s="378"/>
      <c r="V75" s="222" t="s">
        <v>140</v>
      </c>
      <c r="W75" s="378"/>
      <c r="X75" s="378"/>
      <c r="Y75" s="5"/>
      <c r="Z75" s="2"/>
      <c r="AA75" s="86"/>
      <c r="AB75" s="86"/>
      <c r="AC75" s="96"/>
      <c r="AD75" s="96"/>
      <c r="AE75" s="5"/>
      <c r="AF75" s="5"/>
      <c r="AG75" s="149"/>
      <c r="AH75" s="6"/>
      <c r="AI75" s="5"/>
      <c r="AJ75" s="5"/>
      <c r="AK75" s="178"/>
      <c r="AL75" s="471"/>
      <c r="AM75" s="2"/>
      <c r="AN75" s="2"/>
      <c r="AO75" s="5"/>
      <c r="AP75" s="5"/>
      <c r="AQ75" s="178"/>
      <c r="AR75" s="378"/>
      <c r="AS75" s="48"/>
      <c r="AT75" s="48"/>
      <c r="AU75" s="49"/>
    </row>
    <row r="76" spans="1:76" x14ac:dyDescent="0.25">
      <c r="F76" s="379"/>
      <c r="H76" s="381"/>
      <c r="I76" s="381"/>
      <c r="J76" s="464"/>
      <c r="K76" s="464"/>
      <c r="L76" s="381"/>
      <c r="M76" s="381"/>
      <c r="N76" s="381"/>
      <c r="O76" s="381"/>
      <c r="P76" s="381"/>
      <c r="Q76" s="381"/>
      <c r="R76" s="381"/>
      <c r="T76" s="45">
        <v>4</v>
      </c>
      <c r="U76" s="378"/>
      <c r="V76" s="46" t="s">
        <v>414</v>
      </c>
      <c r="W76" s="378"/>
      <c r="X76" s="378"/>
      <c r="Y76" s="83">
        <f>F24</f>
        <v>24</v>
      </c>
      <c r="Z76" s="2"/>
      <c r="AA76" s="86"/>
      <c r="AB76" s="86"/>
      <c r="AC76" s="450">
        <f>INPUT!C64</f>
        <v>5</v>
      </c>
      <c r="AD76" s="96"/>
      <c r="AE76" s="83">
        <f>ROUND(Y76*AC76,0)</f>
        <v>120</v>
      </c>
      <c r="AF76" s="83"/>
      <c r="AG76" s="383">
        <f>ROUND((AE76/$AE$98)*100,1)</f>
        <v>0</v>
      </c>
      <c r="AH76" s="91"/>
      <c r="AI76" s="83">
        <f>L24-AE76</f>
        <v>0</v>
      </c>
      <c r="AJ76" s="83"/>
      <c r="AK76" s="383">
        <f>ROUND((AI76/AE76)*100,1)</f>
        <v>0</v>
      </c>
      <c r="AL76" s="103"/>
      <c r="AM76" s="83"/>
      <c r="AN76" s="97"/>
      <c r="AO76" s="83">
        <f>AE76+AM76</f>
        <v>120</v>
      </c>
      <c r="AP76" s="83"/>
      <c r="AQ76" s="383">
        <f>ROUND((AI76/AO76)*100,1)</f>
        <v>0</v>
      </c>
      <c r="AR76" s="378"/>
      <c r="AS76" s="48"/>
      <c r="AT76" s="48"/>
      <c r="AU76" s="49"/>
    </row>
    <row r="77" spans="1:76" x14ac:dyDescent="0.25">
      <c r="A77" s="53"/>
      <c r="C77" s="54"/>
      <c r="F77" s="379"/>
      <c r="H77" s="379"/>
      <c r="I77" s="379"/>
      <c r="J77" s="59"/>
      <c r="K77" s="59"/>
      <c r="L77" s="379"/>
      <c r="M77" s="379"/>
      <c r="N77" s="50"/>
      <c r="O77" s="50"/>
      <c r="P77" s="379"/>
      <c r="Q77" s="379"/>
      <c r="R77" s="379"/>
      <c r="T77" s="45">
        <v>5</v>
      </c>
      <c r="U77" s="378"/>
      <c r="V77" s="46" t="s">
        <v>151</v>
      </c>
      <c r="W77" s="378"/>
      <c r="X77" s="378"/>
      <c r="Y77" s="5">
        <f>F25</f>
        <v>120</v>
      </c>
      <c r="Z77" s="2"/>
      <c r="AA77" s="86"/>
      <c r="AB77" s="86"/>
      <c r="AC77" s="450">
        <f>INPUT!C112</f>
        <v>117</v>
      </c>
      <c r="AD77" s="96"/>
      <c r="AE77" s="5">
        <f>ROUND(Y77*AC77,0)</f>
        <v>14040</v>
      </c>
      <c r="AF77" s="5"/>
      <c r="AG77" s="148">
        <f>ROUND((AE77/$AE$98)*100,1)</f>
        <v>0.8</v>
      </c>
      <c r="AH77" s="6"/>
      <c r="AI77" s="5">
        <f>L25-AE77</f>
        <v>0</v>
      </c>
      <c r="AJ77" s="5"/>
      <c r="AK77" s="148">
        <f>ROUND((AI77/AE77)*100,1)</f>
        <v>0</v>
      </c>
      <c r="AL77" s="8"/>
      <c r="AM77" s="5"/>
      <c r="AN77" s="1"/>
      <c r="AO77" s="5">
        <f>AE77+AM77</f>
        <v>14040</v>
      </c>
      <c r="AP77" s="5"/>
      <c r="AQ77" s="149">
        <f>ROUND((AI77/AO77)*100,1)</f>
        <v>0</v>
      </c>
      <c r="AR77" s="45"/>
      <c r="AS77" s="48"/>
      <c r="AT77" s="48"/>
      <c r="AU77" s="492"/>
    </row>
    <row r="78" spans="1:76" ht="20.100000000000001" customHeight="1" x14ac:dyDescent="0.25">
      <c r="A78" s="53"/>
      <c r="C78" s="54"/>
      <c r="F78" s="449"/>
      <c r="H78" s="449"/>
      <c r="I78" s="449"/>
      <c r="J78" s="472"/>
      <c r="K78" s="472"/>
      <c r="L78" s="379"/>
      <c r="M78" s="379"/>
      <c r="N78" s="50"/>
      <c r="O78" s="50"/>
      <c r="P78" s="449"/>
      <c r="Q78" s="449"/>
      <c r="R78" s="379"/>
      <c r="T78" s="45">
        <v>6</v>
      </c>
      <c r="U78" s="378"/>
      <c r="V78" s="222" t="s">
        <v>143</v>
      </c>
      <c r="W78" s="378"/>
      <c r="X78" s="378"/>
      <c r="Y78" s="90">
        <f>F26</f>
        <v>120</v>
      </c>
      <c r="Z78" s="2"/>
      <c r="AA78" s="5"/>
      <c r="AB78" s="5"/>
      <c r="AC78" s="9"/>
      <c r="AD78" s="9"/>
      <c r="AE78" s="90">
        <f>SUM(AE76:AE77)</f>
        <v>14160</v>
      </c>
      <c r="AF78" s="5"/>
      <c r="AG78" s="148">
        <f>ROUND((AE78/$AE$98)*100,1)</f>
        <v>0.8</v>
      </c>
      <c r="AH78" s="6"/>
      <c r="AI78" s="90">
        <f>SUM(AI76:AI77)</f>
        <v>0</v>
      </c>
      <c r="AJ78" s="5"/>
      <c r="AK78" s="150">
        <f>SUM(AK76:AK77)</f>
        <v>0</v>
      </c>
      <c r="AL78" s="8"/>
      <c r="AM78" s="90"/>
      <c r="AN78" s="5"/>
      <c r="AO78" s="90">
        <f>SUM(AO76:AO77)</f>
        <v>14160</v>
      </c>
      <c r="AP78" s="5"/>
      <c r="AQ78" s="149">
        <f>ROUND((AI78/AO78)*100,1)</f>
        <v>0</v>
      </c>
      <c r="AR78" s="48"/>
      <c r="AS78" s="48"/>
      <c r="AT78" s="48"/>
      <c r="AU78" s="49"/>
    </row>
    <row r="79" spans="1:76" x14ac:dyDescent="0.25">
      <c r="A79" s="53"/>
      <c r="C79" s="54"/>
      <c r="H79" s="449"/>
      <c r="I79" s="449"/>
      <c r="J79" s="472"/>
      <c r="K79" s="472"/>
      <c r="L79" s="379"/>
      <c r="M79" s="379"/>
      <c r="N79" s="50"/>
      <c r="O79" s="50"/>
      <c r="P79" s="449"/>
      <c r="Q79" s="449"/>
      <c r="R79" s="379"/>
      <c r="T79" s="378"/>
      <c r="U79" s="378"/>
      <c r="V79" s="378"/>
      <c r="W79" s="378"/>
      <c r="X79" s="378"/>
      <c r="Y79" s="5"/>
      <c r="Z79" s="2"/>
      <c r="AA79" s="5"/>
      <c r="AB79" s="5"/>
      <c r="AC79" s="9"/>
      <c r="AD79" s="9"/>
      <c r="AE79" s="5"/>
      <c r="AF79" s="5"/>
      <c r="AG79" s="149"/>
      <c r="AH79" s="6"/>
      <c r="AI79" s="5"/>
      <c r="AJ79" s="5"/>
      <c r="AK79" s="149"/>
      <c r="AL79" s="8"/>
      <c r="AM79" s="5"/>
      <c r="AN79" s="5"/>
      <c r="AO79" s="5"/>
      <c r="AP79" s="5"/>
      <c r="AQ79" s="149"/>
      <c r="AR79" s="48"/>
      <c r="AS79" s="48"/>
      <c r="AT79" s="48"/>
      <c r="AU79" s="49"/>
    </row>
    <row r="80" spans="1:76" x14ac:dyDescent="0.25">
      <c r="A80" s="53"/>
      <c r="C80" s="54"/>
      <c r="F80" s="379"/>
      <c r="H80" s="379"/>
      <c r="I80" s="379"/>
      <c r="J80" s="59"/>
      <c r="K80" s="59"/>
      <c r="L80" s="379"/>
      <c r="M80" s="379"/>
      <c r="N80" s="50"/>
      <c r="O80" s="50"/>
      <c r="P80" s="379"/>
      <c r="Q80" s="379"/>
      <c r="R80" s="379"/>
      <c r="T80" s="45">
        <v>7</v>
      </c>
      <c r="U80" s="378"/>
      <c r="V80" s="222" t="s">
        <v>65</v>
      </c>
      <c r="W80" s="378"/>
      <c r="X80" s="378"/>
      <c r="Y80" s="86"/>
      <c r="Z80" s="2"/>
      <c r="AA80" s="5"/>
      <c r="AB80" s="5"/>
      <c r="AC80" s="96"/>
      <c r="AD80" s="96"/>
      <c r="AE80" s="5"/>
      <c r="AF80" s="5"/>
      <c r="AG80" s="149"/>
      <c r="AH80" s="6"/>
      <c r="AI80" s="5"/>
      <c r="AJ80" s="5"/>
      <c r="AK80" s="178"/>
      <c r="AL80" s="471"/>
      <c r="AM80" s="5"/>
      <c r="AN80" s="5"/>
      <c r="AO80" s="5"/>
      <c r="AP80" s="5"/>
      <c r="AQ80" s="178"/>
      <c r="AR80" s="48"/>
      <c r="AS80" s="48"/>
      <c r="AT80" s="48"/>
      <c r="AU80" s="49"/>
    </row>
    <row r="81" spans="1:47" x14ac:dyDescent="0.25">
      <c r="F81" s="381"/>
      <c r="H81" s="381"/>
      <c r="I81" s="381"/>
      <c r="J81" s="464"/>
      <c r="K81" s="464"/>
      <c r="L81" s="381"/>
      <c r="M81" s="381"/>
      <c r="N81" s="381"/>
      <c r="O81" s="381"/>
      <c r="P81" s="381"/>
      <c r="Q81" s="381"/>
      <c r="R81" s="381"/>
      <c r="T81" s="45">
        <v>8</v>
      </c>
      <c r="U81" s="378"/>
      <c r="V81" s="46" t="s">
        <v>157</v>
      </c>
      <c r="W81" s="378"/>
      <c r="X81" s="378"/>
      <c r="Y81" s="86"/>
      <c r="Z81" s="2"/>
      <c r="AA81" s="5">
        <f>H29</f>
        <v>62821.719999999994</v>
      </c>
      <c r="AB81" s="5"/>
      <c r="AC81" s="450">
        <f>INPUT!C118</f>
        <v>7.92</v>
      </c>
      <c r="AD81" s="96"/>
      <c r="AE81" s="5">
        <f>ROUND(AA81*AC81,0)</f>
        <v>497548</v>
      </c>
      <c r="AF81" s="5"/>
      <c r="AG81" s="148">
        <f>ROUND((AE81/$AE$98)*100,1)</f>
        <v>28.5</v>
      </c>
      <c r="AH81" s="6"/>
      <c r="AI81" s="5">
        <f>L29-AE81</f>
        <v>69104</v>
      </c>
      <c r="AJ81" s="5"/>
      <c r="AK81" s="148">
        <f>ROUND((AI81/AE81)*100,1)</f>
        <v>13.9</v>
      </c>
      <c r="AL81" s="8"/>
      <c r="AM81" s="5"/>
      <c r="AN81" s="5"/>
      <c r="AO81" s="5">
        <f>AE81+AM81</f>
        <v>497548</v>
      </c>
      <c r="AP81" s="5"/>
      <c r="AQ81" s="149">
        <f>ROUND((AI81/AO81)*100,1)</f>
        <v>13.9</v>
      </c>
      <c r="AR81" s="48"/>
      <c r="AS81" s="48"/>
      <c r="AT81" s="48"/>
      <c r="AU81" s="49"/>
    </row>
    <row r="82" spans="1:47" ht="20.100000000000001" customHeight="1" x14ac:dyDescent="0.25">
      <c r="A82" s="53"/>
      <c r="C82" s="54"/>
      <c r="F82" s="379"/>
      <c r="H82" s="379"/>
      <c r="I82" s="379"/>
      <c r="J82" s="59"/>
      <c r="K82" s="59"/>
      <c r="L82" s="379"/>
      <c r="M82" s="379"/>
      <c r="N82" s="50"/>
      <c r="O82" s="50"/>
      <c r="P82" s="379"/>
      <c r="Q82" s="379"/>
      <c r="R82" s="379"/>
      <c r="T82" s="45">
        <v>9</v>
      </c>
      <c r="U82" s="378"/>
      <c r="V82" s="222" t="s">
        <v>68</v>
      </c>
      <c r="W82" s="378"/>
      <c r="X82" s="378"/>
      <c r="Y82" s="5"/>
      <c r="Z82" s="2"/>
      <c r="AA82" s="90">
        <f>H30</f>
        <v>62821.719999999994</v>
      </c>
      <c r="AB82" s="5"/>
      <c r="AC82" s="446"/>
      <c r="AD82" s="446"/>
      <c r="AE82" s="90">
        <f>SUM(AE81)</f>
        <v>497548</v>
      </c>
      <c r="AF82" s="5"/>
      <c r="AG82" s="148">
        <f>ROUND((AE82/$AE$98)*100,1)</f>
        <v>28.5</v>
      </c>
      <c r="AH82" s="6"/>
      <c r="AI82" s="90">
        <f>SUM(AI81)</f>
        <v>69104</v>
      </c>
      <c r="AJ82" s="5"/>
      <c r="AK82" s="150">
        <f>ROUND((AI82/AE82)*100,1)</f>
        <v>13.9</v>
      </c>
      <c r="AL82" s="8"/>
      <c r="AM82" s="90"/>
      <c r="AN82" s="5"/>
      <c r="AO82" s="90">
        <f>SUM(AO81)</f>
        <v>497548</v>
      </c>
      <c r="AP82" s="5"/>
      <c r="AQ82" s="149">
        <f>ROUND((AI82/AO82)*100,1)</f>
        <v>13.9</v>
      </c>
      <c r="AR82" s="48"/>
      <c r="AS82" s="48"/>
      <c r="AT82" s="48"/>
      <c r="AU82" s="49"/>
    </row>
    <row r="83" spans="1:47" x14ac:dyDescent="0.25">
      <c r="A83" s="53"/>
      <c r="C83" s="54"/>
      <c r="F83" s="379"/>
      <c r="H83" s="379"/>
      <c r="I83" s="379"/>
      <c r="J83" s="59"/>
      <c r="K83" s="59"/>
      <c r="L83" s="379"/>
      <c r="M83" s="379"/>
      <c r="N83" s="50"/>
      <c r="O83" s="50"/>
      <c r="P83" s="379"/>
      <c r="Q83" s="379"/>
      <c r="R83" s="379"/>
      <c r="T83" s="378"/>
      <c r="U83" s="378"/>
      <c r="V83" s="378"/>
      <c r="W83" s="378"/>
      <c r="X83" s="378"/>
      <c r="Y83" s="5"/>
      <c r="Z83" s="2"/>
      <c r="AA83" s="5"/>
      <c r="AB83" s="5"/>
      <c r="AC83" s="446"/>
      <c r="AD83" s="446"/>
      <c r="AE83" s="5"/>
      <c r="AF83" s="5"/>
      <c r="AG83" s="149"/>
      <c r="AH83" s="5"/>
      <c r="AI83" s="5"/>
      <c r="AJ83" s="5"/>
      <c r="AK83" s="149"/>
      <c r="AL83" s="8"/>
      <c r="AM83" s="5"/>
      <c r="AN83" s="5"/>
      <c r="AO83" s="5"/>
      <c r="AP83" s="5"/>
      <c r="AQ83" s="149"/>
      <c r="AR83" s="48"/>
      <c r="AS83" s="48"/>
      <c r="AT83" s="48"/>
      <c r="AU83" s="49"/>
    </row>
    <row r="84" spans="1:47" x14ac:dyDescent="0.25">
      <c r="A84" s="54"/>
      <c r="F84" s="379"/>
      <c r="H84" s="379"/>
      <c r="I84" s="379"/>
      <c r="J84" s="59"/>
      <c r="K84" s="59"/>
      <c r="L84" s="379"/>
      <c r="M84" s="379"/>
      <c r="N84" s="379"/>
      <c r="O84" s="379"/>
      <c r="P84" s="379"/>
      <c r="Q84" s="379"/>
      <c r="R84" s="379"/>
      <c r="T84" s="45">
        <v>10</v>
      </c>
      <c r="U84" s="378"/>
      <c r="V84" s="222" t="s">
        <v>432</v>
      </c>
      <c r="W84" s="378"/>
      <c r="X84" s="378"/>
      <c r="Y84" s="86"/>
      <c r="Z84" s="2"/>
      <c r="AA84" s="86"/>
      <c r="AB84" s="86"/>
      <c r="AC84" s="481"/>
      <c r="AD84" s="481"/>
      <c r="AE84" s="5"/>
      <c r="AF84" s="5"/>
      <c r="AG84" s="149"/>
      <c r="AH84" s="6"/>
      <c r="AI84" s="5"/>
      <c r="AJ84" s="5"/>
      <c r="AK84" s="149"/>
      <c r="AL84" s="8"/>
      <c r="AM84" s="86"/>
      <c r="AN84" s="86"/>
      <c r="AO84" s="5"/>
      <c r="AP84" s="5"/>
      <c r="AQ84" s="149"/>
      <c r="AR84" s="392"/>
      <c r="AS84" s="48"/>
      <c r="AT84" s="48"/>
      <c r="AU84" s="49"/>
    </row>
    <row r="85" spans="1:47" x14ac:dyDescent="0.25">
      <c r="T85" s="45">
        <v>11</v>
      </c>
      <c r="U85" s="378"/>
      <c r="V85" s="52" t="s">
        <v>158</v>
      </c>
      <c r="W85" s="378"/>
      <c r="X85" s="378"/>
      <c r="Y85" s="86"/>
      <c r="Z85" s="2"/>
      <c r="AA85" s="5">
        <f>H33</f>
        <v>13650634</v>
      </c>
      <c r="AB85" s="5"/>
      <c r="AC85" s="457">
        <f>INPUT!C114</f>
        <v>5.1091999999999999E-2</v>
      </c>
      <c r="AD85" s="456"/>
      <c r="AE85" s="5">
        <f>ROUND((AA85*AC85),0)</f>
        <v>697438</v>
      </c>
      <c r="AF85" s="5"/>
      <c r="AG85" s="383">
        <f>ROUND((AE85/$AE$98)*100,1)</f>
        <v>39.9</v>
      </c>
      <c r="AH85" s="6"/>
      <c r="AI85" s="5">
        <f>L33-AE85</f>
        <v>97070</v>
      </c>
      <c r="AJ85" s="5"/>
      <c r="AK85" s="149">
        <f>ROUND((AI85/AE85)*100,1)</f>
        <v>13.9</v>
      </c>
      <c r="AL85" s="8"/>
      <c r="AM85" s="83"/>
      <c r="AN85" s="86"/>
      <c r="AO85" s="5">
        <f>AE85+AM85</f>
        <v>697438</v>
      </c>
      <c r="AP85" s="5"/>
      <c r="AQ85" s="149">
        <f>ROUND((AI85/AO85)*100,1)</f>
        <v>13.9</v>
      </c>
      <c r="AR85" s="392"/>
      <c r="AS85" s="48"/>
      <c r="AT85" s="48"/>
      <c r="AU85" s="49"/>
    </row>
    <row r="86" spans="1:47" x14ac:dyDescent="0.25">
      <c r="L86" s="379"/>
      <c r="M86" s="379"/>
      <c r="N86" s="379"/>
      <c r="O86" s="379"/>
      <c r="P86" s="379"/>
      <c r="Q86" s="379"/>
      <c r="R86" s="379"/>
      <c r="T86" s="45">
        <v>12</v>
      </c>
      <c r="U86" s="378"/>
      <c r="V86" s="46" t="s">
        <v>148</v>
      </c>
      <c r="W86" s="378"/>
      <c r="X86" s="378"/>
      <c r="Y86" s="94"/>
      <c r="Z86" s="2"/>
      <c r="AA86" s="5">
        <f>H34</f>
        <v>6000465</v>
      </c>
      <c r="AB86" s="5"/>
      <c r="AC86" s="457">
        <f>INPUT!C115</f>
        <v>4.3219E-2</v>
      </c>
      <c r="AD86" s="456"/>
      <c r="AE86" s="5">
        <f>ROUND((AA86*AC86),0)</f>
        <v>259334</v>
      </c>
      <c r="AF86" s="5"/>
      <c r="AG86" s="383">
        <f>ROUND((AE86/$AE$98)*100,1)</f>
        <v>14.8</v>
      </c>
      <c r="AH86" s="91"/>
      <c r="AI86" s="83">
        <f>L34-AE86</f>
        <v>35961</v>
      </c>
      <c r="AJ86" s="83"/>
      <c r="AK86" s="383">
        <f>ROUND((AI86/AE86)*100,1)</f>
        <v>13.9</v>
      </c>
      <c r="AL86" s="103"/>
      <c r="AM86" s="83"/>
      <c r="AN86" s="94"/>
      <c r="AO86" s="83">
        <f>AE86+AM86</f>
        <v>259334</v>
      </c>
      <c r="AP86" s="83"/>
      <c r="AQ86" s="383">
        <f>ROUND((AI86/AO86)*100,1)</f>
        <v>13.9</v>
      </c>
      <c r="AR86" s="392"/>
      <c r="AS86" s="48"/>
      <c r="AT86" s="48"/>
      <c r="AU86" s="49"/>
    </row>
    <row r="87" spans="1:47" x14ac:dyDescent="0.25">
      <c r="L87" s="379"/>
      <c r="M87" s="379"/>
      <c r="N87" s="379"/>
      <c r="O87" s="379"/>
      <c r="P87" s="379"/>
      <c r="Q87" s="379"/>
      <c r="R87" s="379"/>
      <c r="T87" s="45">
        <v>13</v>
      </c>
      <c r="U87" s="378"/>
      <c r="V87" s="46" t="s">
        <v>637</v>
      </c>
      <c r="W87" s="378"/>
      <c r="X87" s="378"/>
      <c r="Y87" s="94"/>
      <c r="Z87" s="2"/>
      <c r="AA87" s="5">
        <f>H35</f>
        <v>0</v>
      </c>
      <c r="AB87" s="5"/>
      <c r="AC87" s="457">
        <f>INPUT!C116</f>
        <v>0.241312</v>
      </c>
      <c r="AD87" s="456"/>
      <c r="AE87" s="5">
        <f>ROUND((AA87*AC87),0)</f>
        <v>0</v>
      </c>
      <c r="AF87" s="5"/>
      <c r="AG87" s="148">
        <f>ROUND((AE87/$AE$98)*100,1)</f>
        <v>0</v>
      </c>
      <c r="AH87" s="6"/>
      <c r="AI87" s="5">
        <f>L35-AE87</f>
        <v>0</v>
      </c>
      <c r="AJ87" s="5"/>
      <c r="AK87" s="148" t="e">
        <f>ROUND((AI87/AE87)*100,1)</f>
        <v>#DIV/0!</v>
      </c>
      <c r="AL87" s="8"/>
      <c r="AM87" s="81"/>
      <c r="AN87" s="86"/>
      <c r="AO87" s="5">
        <f>AE87+AM87</f>
        <v>0</v>
      </c>
      <c r="AP87" s="5"/>
      <c r="AQ87" s="149" t="e">
        <f>ROUND((AI87/AO87)*100,1)</f>
        <v>#DIV/0!</v>
      </c>
      <c r="AR87" s="392"/>
      <c r="AS87" s="48"/>
      <c r="AT87" s="48"/>
      <c r="AU87" s="49"/>
    </row>
    <row r="88" spans="1:47" ht="20.100000000000001" customHeight="1" x14ac:dyDescent="0.25">
      <c r="J88" s="53"/>
      <c r="K88" s="53"/>
      <c r="T88" s="45">
        <v>14</v>
      </c>
      <c r="U88" s="378"/>
      <c r="V88" s="222" t="s">
        <v>149</v>
      </c>
      <c r="W88" s="378"/>
      <c r="X88" s="378"/>
      <c r="Y88" s="83"/>
      <c r="Z88" s="2"/>
      <c r="AA88" s="90">
        <f>H36</f>
        <v>19651099</v>
      </c>
      <c r="AB88" s="5"/>
      <c r="AC88" s="267"/>
      <c r="AD88" s="9"/>
      <c r="AE88" s="90">
        <f>SUM(AE85:AE87)</f>
        <v>956772</v>
      </c>
      <c r="AF88" s="5"/>
      <c r="AG88" s="148">
        <f>ROUND((AE88/$AE$98)*100,1)</f>
        <v>54.8</v>
      </c>
      <c r="AH88" s="6"/>
      <c r="AI88" s="90">
        <f>SUM(AI85:AI87)</f>
        <v>133031</v>
      </c>
      <c r="AJ88" s="5"/>
      <c r="AK88" s="150">
        <f>ROUND((AI88/AE88)*100,1)</f>
        <v>13.9</v>
      </c>
      <c r="AL88" s="8"/>
      <c r="AM88" s="90"/>
      <c r="AN88" s="5"/>
      <c r="AO88" s="90">
        <f>SUM(AO85:AO87)</f>
        <v>956772</v>
      </c>
      <c r="AP88" s="5"/>
      <c r="AQ88" s="149">
        <f>ROUND((AI88/AO88)*100,1)</f>
        <v>13.9</v>
      </c>
      <c r="AR88" s="48"/>
      <c r="AS88" s="48"/>
      <c r="AT88" s="48"/>
      <c r="AU88" s="378"/>
    </row>
    <row r="89" spans="1:47" ht="20.100000000000001" customHeight="1" x14ac:dyDescent="0.25">
      <c r="J89" s="53"/>
      <c r="K89" s="53"/>
      <c r="T89" s="45">
        <v>15</v>
      </c>
      <c r="U89" s="378"/>
      <c r="V89" s="444" t="s">
        <v>524</v>
      </c>
      <c r="W89" s="378"/>
      <c r="X89" s="378"/>
      <c r="Y89" s="81">
        <f>Y78</f>
        <v>120</v>
      </c>
      <c r="Z89" s="2"/>
      <c r="AA89" s="90">
        <f>AA88</f>
        <v>19651099</v>
      </c>
      <c r="AB89" s="5"/>
      <c r="AC89" s="267"/>
      <c r="AD89" s="9"/>
      <c r="AE89" s="90">
        <f>AE78+AE82+AE88</f>
        <v>1468480</v>
      </c>
      <c r="AF89" s="5"/>
      <c r="AG89" s="150">
        <f>ROUND((AE89/$AE$98)*100,1)</f>
        <v>84.1</v>
      </c>
      <c r="AH89" s="6"/>
      <c r="AI89" s="90">
        <f>AI78+AI82+AI88</f>
        <v>202135</v>
      </c>
      <c r="AJ89" s="5"/>
      <c r="AK89" s="150">
        <f>ROUND((AI89/AE89)*100,1)</f>
        <v>13.8</v>
      </c>
      <c r="AL89" s="8"/>
      <c r="AM89" s="90"/>
      <c r="AN89" s="5"/>
      <c r="AO89" s="90">
        <f>AO78+AO82+AO88</f>
        <v>1468480</v>
      </c>
      <c r="AP89" s="5"/>
      <c r="AQ89" s="149">
        <f>ROUND((AI89/AO89)*100,1)</f>
        <v>13.8</v>
      </c>
      <c r="AR89" s="48"/>
      <c r="AS89" s="48"/>
      <c r="AT89" s="48"/>
      <c r="AU89" s="378"/>
    </row>
    <row r="90" spans="1:47" ht="15.75" customHeight="1" x14ac:dyDescent="0.25">
      <c r="J90" s="53"/>
      <c r="K90" s="53"/>
      <c r="T90" s="45"/>
      <c r="U90" s="378"/>
      <c r="V90" s="46"/>
      <c r="W90" s="378"/>
      <c r="X90" s="378"/>
      <c r="Y90" s="83"/>
      <c r="Z90" s="2"/>
      <c r="AA90" s="83"/>
      <c r="AB90" s="5"/>
      <c r="AC90" s="267"/>
      <c r="AD90" s="9"/>
      <c r="AE90" s="83"/>
      <c r="AF90" s="5"/>
      <c r="AG90" s="383"/>
      <c r="AH90" s="6"/>
      <c r="AI90" s="83"/>
      <c r="AJ90" s="5"/>
      <c r="AK90" s="383"/>
      <c r="AL90" s="8"/>
      <c r="AM90" s="83"/>
      <c r="AN90" s="5"/>
      <c r="AO90" s="83"/>
      <c r="AP90" s="5"/>
      <c r="AQ90" s="149"/>
      <c r="AR90" s="48"/>
      <c r="AS90" s="48"/>
      <c r="AT90" s="48"/>
      <c r="AU90" s="378"/>
    </row>
    <row r="91" spans="1:47" ht="15.75" customHeight="1" x14ac:dyDescent="0.25">
      <c r="J91" s="53"/>
      <c r="K91" s="53"/>
      <c r="T91" s="45">
        <f t="shared" ref="T91:T96" si="2">A39</f>
        <v>16</v>
      </c>
      <c r="U91" s="378"/>
      <c r="V91" s="222" t="s">
        <v>504</v>
      </c>
      <c r="W91" s="378"/>
      <c r="X91" s="378"/>
      <c r="Y91" s="83"/>
      <c r="Z91" s="2"/>
      <c r="AA91" s="83"/>
      <c r="AB91" s="5"/>
      <c r="AC91" s="267"/>
      <c r="AD91" s="9"/>
      <c r="AE91" s="83"/>
      <c r="AF91" s="5"/>
      <c r="AG91" s="383"/>
      <c r="AH91" s="6"/>
      <c r="AI91" s="83"/>
      <c r="AJ91" s="5"/>
      <c r="AK91" s="383"/>
      <c r="AL91" s="8"/>
      <c r="AM91" s="83"/>
      <c r="AN91" s="5"/>
      <c r="AO91" s="83"/>
      <c r="AP91" s="5"/>
      <c r="AQ91" s="149"/>
      <c r="AR91" s="48"/>
      <c r="AS91" s="48"/>
      <c r="AT91" s="48"/>
      <c r="AU91" s="378"/>
    </row>
    <row r="92" spans="1:47" ht="15.75" customHeight="1" x14ac:dyDescent="0.25">
      <c r="J92" s="53"/>
      <c r="K92" s="53"/>
      <c r="T92" s="45">
        <f t="shared" si="2"/>
        <v>17</v>
      </c>
      <c r="U92" s="378"/>
      <c r="V92" s="216" t="str">
        <f>C40</f>
        <v>DEMAND SIDE MANAGEMENT RIDER (DSMR)</v>
      </c>
      <c r="W92" s="378"/>
      <c r="X92" s="378"/>
      <c r="Y92" s="83"/>
      <c r="Z92" s="2"/>
      <c r="AA92" s="83"/>
      <c r="AB92" s="5"/>
      <c r="AC92" s="465">
        <f>DSM_DIST</f>
        <v>5.091E-3</v>
      </c>
      <c r="AD92" s="9"/>
      <c r="AE92" s="83">
        <f>ROUND($AA$89*AC92,0)</f>
        <v>100044</v>
      </c>
      <c r="AF92" s="5"/>
      <c r="AG92" s="383">
        <f>ROUND((AE92/$AE$98)*100,1)</f>
        <v>5.7</v>
      </c>
      <c r="AH92" s="6"/>
      <c r="AI92" s="5">
        <f>L40-AE92</f>
        <v>0</v>
      </c>
      <c r="AJ92" s="5"/>
      <c r="AK92" s="149">
        <f t="shared" ref="AK92:AK95" si="3">ROUND((AI92/AE92)*100,1)</f>
        <v>0</v>
      </c>
      <c r="AL92" s="8"/>
      <c r="AM92" s="83"/>
      <c r="AN92" s="5"/>
      <c r="AO92" s="5">
        <f t="shared" ref="AO92:AO95" si="4">AE92+AM92</f>
        <v>100044</v>
      </c>
      <c r="AP92" s="5"/>
      <c r="AQ92" s="149">
        <f>IF(AO92=0,0,ROUND((AI92/AO92)*100,1))</f>
        <v>0</v>
      </c>
      <c r="AR92" s="48"/>
      <c r="AS92" s="48"/>
      <c r="AT92" s="48"/>
      <c r="AU92" s="378"/>
    </row>
    <row r="93" spans="1:47" ht="15.75" customHeight="1" x14ac:dyDescent="0.25">
      <c r="J93" s="53"/>
      <c r="K93" s="53"/>
      <c r="T93" s="45">
        <f t="shared" si="2"/>
        <v>18</v>
      </c>
      <c r="U93" s="378"/>
      <c r="V93" s="216" t="str">
        <f>C41</f>
        <v>ENVIRONMENTAL SURCHARGE MECHANISM RIDER (ESM)</v>
      </c>
      <c r="W93" s="378"/>
      <c r="X93" s="378"/>
      <c r="Y93" s="83"/>
      <c r="Z93" s="2"/>
      <c r="AA93" s="83"/>
      <c r="AB93" s="5"/>
      <c r="AC93" s="473">
        <f>CUR_ESM_NONRES</f>
        <v>0.18160000000000001</v>
      </c>
      <c r="AD93" s="9"/>
      <c r="AE93" s="83">
        <f>ROUND((AO89-CUR_BASE_FUEL*AA89)*AC93,0)</f>
        <v>181610</v>
      </c>
      <c r="AF93" s="5"/>
      <c r="AG93" s="383">
        <f>ROUND((AE93/$AE$98)*100,1)</f>
        <v>10.4</v>
      </c>
      <c r="AH93" s="6"/>
      <c r="AI93" s="5">
        <f>L41-AE93</f>
        <v>0</v>
      </c>
      <c r="AJ93" s="5"/>
      <c r="AK93" s="149">
        <f>IF(AE93=0,0,ROUND((AI93/AE93)*100,1))</f>
        <v>0</v>
      </c>
      <c r="AL93" s="8"/>
      <c r="AM93" s="83"/>
      <c r="AN93" s="5"/>
      <c r="AO93" s="5">
        <f t="shared" ref="AO93" si="5">AE93+AM93</f>
        <v>181610</v>
      </c>
      <c r="AP93" s="5"/>
      <c r="AQ93" s="149">
        <f t="shared" ref="AQ93" si="6">IF(AO93=0,0,ROUND((AI93/AO93)*100,1))</f>
        <v>0</v>
      </c>
      <c r="AR93" s="48"/>
      <c r="AS93" s="48"/>
      <c r="AT93" s="48"/>
      <c r="AU93" s="378"/>
    </row>
    <row r="94" spans="1:47" ht="15.75" customHeight="1" x14ac:dyDescent="0.25">
      <c r="J94" s="53"/>
      <c r="K94" s="53"/>
      <c r="T94" s="45">
        <f t="shared" si="2"/>
        <v>20</v>
      </c>
      <c r="U94" s="378"/>
      <c r="V94" s="216" t="str">
        <f>C42</f>
        <v>FUEL ADJUSTMENT CLAUSE (FAC)</v>
      </c>
      <c r="W94" s="378"/>
      <c r="X94" s="378"/>
      <c r="Y94" s="83"/>
      <c r="Z94" s="2"/>
      <c r="AA94" s="83"/>
      <c r="AB94" s="5"/>
      <c r="AC94" s="465">
        <f>CUR_FAC</f>
        <v>6.8099999999999996E-4</v>
      </c>
      <c r="AD94" s="9"/>
      <c r="AE94" s="83"/>
      <c r="AF94" s="5"/>
      <c r="AG94" s="383"/>
      <c r="AH94" s="6"/>
      <c r="AI94" s="5"/>
      <c r="AJ94" s="5"/>
      <c r="AK94" s="149"/>
      <c r="AL94" s="8"/>
      <c r="AM94" s="83">
        <f>ROUND(AA89*CUR_FAC,0)</f>
        <v>13382</v>
      </c>
      <c r="AN94" s="5"/>
      <c r="AO94" s="5">
        <f t="shared" si="4"/>
        <v>13382</v>
      </c>
      <c r="AP94" s="5"/>
      <c r="AQ94" s="164">
        <f>IF(AO94=0,0,ROUND(((R42-AO94)/AO94)*100,1))</f>
        <v>0</v>
      </c>
      <c r="AR94" s="48"/>
      <c r="AS94" s="48"/>
      <c r="AT94" s="48"/>
      <c r="AU94" s="378"/>
    </row>
    <row r="95" spans="1:47" ht="15.75" customHeight="1" x14ac:dyDescent="0.25">
      <c r="J95" s="53"/>
      <c r="K95" s="53"/>
      <c r="T95" s="45">
        <f t="shared" si="2"/>
        <v>22</v>
      </c>
      <c r="U95" s="378"/>
      <c r="V95" s="216" t="str">
        <f>C43</f>
        <v>PROFIT SHARING MECHANISM (PSM)</v>
      </c>
      <c r="W95" s="378"/>
      <c r="X95" s="378"/>
      <c r="Y95" s="83"/>
      <c r="Z95" s="84"/>
      <c r="AA95" s="83"/>
      <c r="AB95" s="5"/>
      <c r="AC95" s="465">
        <f>RS_PSM</f>
        <v>-1.63E-4</v>
      </c>
      <c r="AD95" s="9"/>
      <c r="AE95" s="81">
        <f>ROUND(AA89*RS_PSM,0)</f>
        <v>-3203</v>
      </c>
      <c r="AF95" s="5"/>
      <c r="AG95" s="148">
        <f>ROUND((AE95/$AE$98)*100,1)</f>
        <v>-0.2</v>
      </c>
      <c r="AH95" s="6"/>
      <c r="AI95" s="5">
        <f>L43-AE95</f>
        <v>0</v>
      </c>
      <c r="AJ95" s="5"/>
      <c r="AK95" s="148">
        <f t="shared" si="3"/>
        <v>0</v>
      </c>
      <c r="AL95" s="8"/>
      <c r="AM95" s="81"/>
      <c r="AN95" s="5"/>
      <c r="AO95" s="5">
        <f t="shared" si="4"/>
        <v>-3203</v>
      </c>
      <c r="AP95" s="5"/>
      <c r="AQ95" s="149">
        <f t="shared" ref="AQ95:AQ96" si="7">ROUND((AI95/AO95)*100,1)</f>
        <v>0</v>
      </c>
      <c r="AR95" s="48"/>
      <c r="AS95" s="48"/>
      <c r="AT95" s="48"/>
      <c r="AU95" s="378"/>
    </row>
    <row r="96" spans="1:47" ht="20.100000000000001" customHeight="1" x14ac:dyDescent="0.25">
      <c r="J96" s="53"/>
      <c r="K96" s="53"/>
      <c r="T96" s="45">
        <f t="shared" si="2"/>
        <v>23</v>
      </c>
      <c r="U96" s="378"/>
      <c r="V96" s="222" t="s">
        <v>510</v>
      </c>
      <c r="W96" s="378"/>
      <c r="X96" s="378"/>
      <c r="Y96" s="81"/>
      <c r="Z96" s="2"/>
      <c r="AA96" s="81"/>
      <c r="AB96" s="5"/>
      <c r="AC96" s="9"/>
      <c r="AD96" s="9"/>
      <c r="AE96" s="90">
        <f>SUM(AE92:AE95)</f>
        <v>278451</v>
      </c>
      <c r="AF96" s="5"/>
      <c r="AG96" s="150">
        <f>ROUND((AE96/$AE$98)*100,1)</f>
        <v>15.9</v>
      </c>
      <c r="AH96" s="6"/>
      <c r="AI96" s="90">
        <f>SUM(AI92:AI95)</f>
        <v>0</v>
      </c>
      <c r="AJ96" s="5"/>
      <c r="AK96" s="150">
        <f>ROUND((AI96/AE96)*100,1)</f>
        <v>0</v>
      </c>
      <c r="AL96" s="8"/>
      <c r="AM96" s="90">
        <f>SUM(AM92:AM95)</f>
        <v>13382</v>
      </c>
      <c r="AN96" s="5"/>
      <c r="AO96" s="90">
        <f>SUM(AO92:AO95)</f>
        <v>291833</v>
      </c>
      <c r="AP96" s="5"/>
      <c r="AQ96" s="149">
        <f t="shared" si="7"/>
        <v>0</v>
      </c>
      <c r="AR96" s="48"/>
      <c r="AS96" s="48"/>
      <c r="AT96" s="48"/>
      <c r="AU96" s="378"/>
    </row>
    <row r="97" spans="1:47" ht="15.75" customHeight="1" x14ac:dyDescent="0.25">
      <c r="J97" s="53"/>
      <c r="K97" s="53"/>
      <c r="T97" s="45"/>
      <c r="U97" s="378"/>
      <c r="V97" s="222"/>
      <c r="W97" s="378"/>
      <c r="X97" s="378"/>
      <c r="Y97" s="83"/>
      <c r="Z97" s="2"/>
      <c r="AA97" s="83"/>
      <c r="AB97" s="5"/>
      <c r="AC97" s="9"/>
      <c r="AD97" s="9"/>
      <c r="AE97" s="83"/>
      <c r="AF97" s="5"/>
      <c r="AG97" s="383"/>
      <c r="AH97" s="6"/>
      <c r="AI97" s="83"/>
      <c r="AJ97" s="5"/>
      <c r="AK97" s="383"/>
      <c r="AL97" s="8"/>
      <c r="AM97" s="83"/>
      <c r="AN97" s="5"/>
      <c r="AO97" s="83"/>
      <c r="AP97" s="5"/>
      <c r="AQ97" s="149"/>
      <c r="AR97" s="48"/>
      <c r="AS97" s="48"/>
      <c r="AT97" s="48"/>
      <c r="AU97" s="378"/>
    </row>
    <row r="98" spans="1:47" ht="20.100000000000001" customHeight="1" thickBot="1" x14ac:dyDescent="0.3">
      <c r="J98" s="53"/>
      <c r="K98" s="53"/>
      <c r="T98" s="45">
        <f>A46</f>
        <v>24</v>
      </c>
      <c r="U98" s="378"/>
      <c r="V98" s="444" t="s">
        <v>526</v>
      </c>
      <c r="W98" s="378"/>
      <c r="X98" s="378"/>
      <c r="Y98" s="82">
        <f>F46</f>
        <v>120</v>
      </c>
      <c r="Z98" s="2"/>
      <c r="AA98" s="82">
        <f>H46</f>
        <v>19651099</v>
      </c>
      <c r="AB98" s="5"/>
      <c r="AC98" s="9"/>
      <c r="AD98" s="9"/>
      <c r="AE98" s="82">
        <f>AE96+AE89</f>
        <v>1746931</v>
      </c>
      <c r="AF98" s="5"/>
      <c r="AG98" s="151">
        <v>100</v>
      </c>
      <c r="AH98" s="6"/>
      <c r="AI98" s="82">
        <f>AI96+AI89</f>
        <v>202135</v>
      </c>
      <c r="AJ98" s="5"/>
      <c r="AK98" s="151">
        <f>ROUND((AI98/AE98)*100,1)</f>
        <v>11.6</v>
      </c>
      <c r="AL98" s="8"/>
      <c r="AM98" s="82">
        <f>AM96+AM89</f>
        <v>13382</v>
      </c>
      <c r="AN98" s="5"/>
      <c r="AO98" s="82">
        <f>AO96+AO89</f>
        <v>1760313</v>
      </c>
      <c r="AP98" s="5"/>
      <c r="AQ98" s="149">
        <f>ROUND((AI98/AO98)*100,1)</f>
        <v>11.5</v>
      </c>
      <c r="AR98" s="48"/>
      <c r="AS98" s="48"/>
      <c r="AT98" s="48"/>
    </row>
    <row r="99" spans="1:47" ht="16.5" thickTop="1" x14ac:dyDescent="0.25">
      <c r="L99" s="54"/>
      <c r="M99" s="54"/>
      <c r="T99" s="378"/>
      <c r="U99" s="378"/>
      <c r="V99" s="378"/>
      <c r="W99" s="378"/>
      <c r="X99" s="378"/>
      <c r="Y99" s="5"/>
      <c r="Z99" s="2"/>
      <c r="AA99" s="5"/>
      <c r="AB99" s="5"/>
      <c r="AC99" s="9"/>
      <c r="AD99" s="9"/>
      <c r="AE99" s="5"/>
      <c r="AF99" s="5"/>
      <c r="AG99" s="149"/>
      <c r="AH99" s="5"/>
      <c r="AI99" s="2"/>
      <c r="AJ99" s="2"/>
      <c r="AK99" s="147"/>
      <c r="AL99" s="2"/>
      <c r="AM99" s="2"/>
      <c r="AN99" s="2"/>
      <c r="AO99" s="2"/>
      <c r="AP99" s="2"/>
      <c r="AQ99" s="147"/>
      <c r="AR99" s="378"/>
      <c r="AS99" s="378"/>
      <c r="AT99" s="378"/>
    </row>
    <row r="100" spans="1:47" x14ac:dyDescent="0.25">
      <c r="A100" s="53"/>
      <c r="R100" s="54"/>
      <c r="T100" s="378"/>
      <c r="U100" s="378"/>
      <c r="V100" s="243" t="s">
        <v>61</v>
      </c>
      <c r="W100" s="378"/>
      <c r="X100" s="378"/>
      <c r="Y100" s="48"/>
      <c r="Z100" s="378"/>
      <c r="AA100" s="48"/>
      <c r="AB100" s="48"/>
      <c r="AC100" s="51"/>
      <c r="AD100" s="51"/>
      <c r="AE100" s="48"/>
      <c r="AF100" s="48"/>
      <c r="AG100" s="152"/>
      <c r="AH100" s="48"/>
      <c r="AI100" s="378"/>
      <c r="AJ100" s="378"/>
      <c r="AK100" s="143"/>
      <c r="AL100" s="378"/>
      <c r="AM100" s="378"/>
      <c r="AN100" s="378"/>
      <c r="AO100" s="378"/>
      <c r="AP100" s="378"/>
      <c r="AQ100" s="143"/>
      <c r="AR100" s="378"/>
      <c r="AS100" s="378"/>
      <c r="AT100" s="378"/>
    </row>
    <row r="101" spans="1:47" x14ac:dyDescent="0.25">
      <c r="A101" s="53"/>
      <c r="R101" s="54"/>
      <c r="T101" s="378"/>
      <c r="U101" s="378"/>
      <c r="V101" s="243" t="str">
        <f>"(2) REFLECTS FUEL COMPONENT OF "&amp;TEXT(CUR_FAC,"$0.000000;($0.000000)")&amp;"  PER KWH."</f>
        <v>(2) REFLECTS FUEL COMPONENT OF $0.000681  PER KWH.</v>
      </c>
      <c r="W101" s="378"/>
      <c r="X101" s="378"/>
      <c r="Y101" s="48"/>
      <c r="Z101" s="378"/>
      <c r="AA101" s="48"/>
      <c r="AB101" s="48"/>
      <c r="AC101" s="51"/>
      <c r="AD101" s="51"/>
      <c r="AE101" s="48"/>
      <c r="AF101" s="48"/>
      <c r="AG101" s="152"/>
      <c r="AH101" s="48"/>
      <c r="AI101" s="378"/>
      <c r="AJ101" s="378"/>
      <c r="AK101" s="143"/>
      <c r="AL101" s="378"/>
      <c r="AM101" s="378"/>
      <c r="AN101" s="378"/>
      <c r="AO101" s="378"/>
      <c r="AP101" s="378"/>
      <c r="AQ101" s="143"/>
      <c r="AR101" s="378"/>
      <c r="AS101" s="378"/>
      <c r="AT101" s="378"/>
    </row>
    <row r="102" spans="1:47" x14ac:dyDescent="0.25">
      <c r="A102" s="53"/>
      <c r="R102" s="54"/>
      <c r="V102" s="243" t="str">
        <f>"(3) REFLECTS FUEL COST RECOVERY INCLUDED IN BASE RATES OF "&amp;TEXT(CUR_BASE_FUEL,"$0.000000;($0.000000)")&amp;"  PER KWH."</f>
        <v>(3) REFLECTS FUEL COST RECOVERY INCLUDED IN BASE RATES OF $0.023837  PER KWH.</v>
      </c>
      <c r="Z102" s="53"/>
    </row>
    <row r="103" spans="1:47" x14ac:dyDescent="0.25">
      <c r="A103" s="54"/>
      <c r="R103" s="54"/>
      <c r="AA103" s="54"/>
      <c r="AB103" s="54"/>
    </row>
    <row r="104" spans="1:47" x14ac:dyDescent="0.25">
      <c r="L104" s="54"/>
      <c r="M104" s="54"/>
      <c r="R104" s="53"/>
      <c r="AK104" s="161"/>
      <c r="AL104" s="54"/>
    </row>
    <row r="105" spans="1:47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AK105" s="161"/>
      <c r="AL105" s="54"/>
    </row>
    <row r="106" spans="1:47" x14ac:dyDescent="0.25">
      <c r="L106" s="56"/>
      <c r="M106" s="56"/>
      <c r="N106" s="56"/>
      <c r="O106" s="56"/>
      <c r="R106" s="56"/>
      <c r="AK106" s="161"/>
      <c r="AL106" s="54"/>
    </row>
    <row r="107" spans="1:47" x14ac:dyDescent="0.25">
      <c r="L107" s="56"/>
      <c r="M107" s="56"/>
      <c r="N107" s="56"/>
      <c r="O107" s="56"/>
      <c r="R107" s="56"/>
      <c r="AA107" s="54"/>
      <c r="AB107" s="54"/>
      <c r="AK107" s="156"/>
      <c r="AL107" s="53"/>
    </row>
    <row r="108" spans="1:47" x14ac:dyDescent="0.25">
      <c r="A108" s="56"/>
      <c r="C108" s="56"/>
      <c r="D108" s="56"/>
      <c r="E108" s="56"/>
      <c r="F108" s="56"/>
      <c r="J108" s="56"/>
      <c r="K108" s="56"/>
      <c r="L108" s="56"/>
      <c r="M108" s="56"/>
      <c r="N108" s="56"/>
      <c r="O108" s="56"/>
      <c r="P108" s="56"/>
      <c r="Q108" s="56"/>
      <c r="R108" s="56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154"/>
      <c r="AH108" s="55"/>
      <c r="AI108" s="55"/>
      <c r="AJ108" s="55"/>
      <c r="AK108" s="154"/>
      <c r="AL108" s="55"/>
      <c r="AM108" s="55"/>
      <c r="AN108" s="55"/>
    </row>
    <row r="109" spans="1:47" x14ac:dyDescent="0.25">
      <c r="A109" s="56"/>
      <c r="C109" s="56"/>
      <c r="D109" s="56"/>
      <c r="E109" s="56"/>
      <c r="F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AA109" s="56"/>
      <c r="AB109" s="56"/>
      <c r="AC109" s="56"/>
      <c r="AD109" s="56"/>
      <c r="AE109" s="56"/>
      <c r="AF109" s="56"/>
      <c r="AG109" s="155"/>
      <c r="AH109" s="56"/>
      <c r="AK109" s="155"/>
      <c r="AL109" s="56"/>
      <c r="AM109" s="56"/>
      <c r="AN109" s="56"/>
    </row>
    <row r="110" spans="1:47" x14ac:dyDescent="0.25">
      <c r="C110" s="56"/>
      <c r="D110" s="56"/>
      <c r="E110" s="56"/>
      <c r="F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Z110" s="56"/>
      <c r="AA110" s="56"/>
      <c r="AB110" s="56"/>
      <c r="AC110" s="56"/>
      <c r="AD110" s="56"/>
      <c r="AE110" s="56"/>
      <c r="AF110" s="56"/>
      <c r="AG110" s="155"/>
      <c r="AH110" s="56"/>
      <c r="AK110" s="155"/>
      <c r="AL110" s="56"/>
      <c r="AM110" s="56"/>
      <c r="AN110" s="56"/>
    </row>
    <row r="111" spans="1:47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T111" s="56"/>
      <c r="U111" s="56"/>
      <c r="V111" s="56"/>
      <c r="Z111" s="56"/>
      <c r="AA111" s="56"/>
      <c r="AB111" s="56"/>
      <c r="AC111" s="56"/>
      <c r="AD111" s="56"/>
      <c r="AE111" s="56"/>
      <c r="AF111" s="56"/>
      <c r="AG111" s="155"/>
      <c r="AH111" s="56"/>
      <c r="AI111" s="56"/>
      <c r="AJ111" s="56"/>
      <c r="AK111" s="155"/>
      <c r="AL111" s="56"/>
      <c r="AM111" s="56"/>
      <c r="AN111" s="56"/>
    </row>
    <row r="112" spans="1:47" x14ac:dyDescent="0.25"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Y112" s="56"/>
      <c r="Z112" s="56"/>
      <c r="AA112" s="56"/>
      <c r="AB112" s="56"/>
      <c r="AC112" s="56"/>
      <c r="AD112" s="56"/>
      <c r="AE112" s="56"/>
      <c r="AF112" s="56"/>
      <c r="AG112" s="155"/>
      <c r="AH112" s="56"/>
      <c r="AI112" s="56"/>
      <c r="AJ112" s="56"/>
      <c r="AK112" s="155"/>
      <c r="AL112" s="56"/>
      <c r="AM112" s="56"/>
      <c r="AN112" s="56"/>
    </row>
    <row r="113" spans="1:40" x14ac:dyDescent="0.25">
      <c r="A113" s="53"/>
      <c r="C113" s="54"/>
      <c r="D113" s="54"/>
      <c r="E113" s="54"/>
      <c r="T113" s="56"/>
      <c r="U113" s="56"/>
      <c r="V113" s="56"/>
      <c r="Y113" s="56"/>
      <c r="Z113" s="56"/>
      <c r="AA113" s="56"/>
      <c r="AB113" s="56"/>
      <c r="AC113" s="56"/>
      <c r="AD113" s="56"/>
      <c r="AE113" s="56"/>
      <c r="AF113" s="56"/>
      <c r="AG113" s="155"/>
      <c r="AH113" s="56"/>
      <c r="AI113" s="56"/>
      <c r="AJ113" s="56"/>
      <c r="AK113" s="155"/>
      <c r="AL113" s="56"/>
      <c r="AM113" s="56"/>
      <c r="AN113" s="56"/>
    </row>
    <row r="114" spans="1:40" x14ac:dyDescent="0.25">
      <c r="A114" s="53"/>
      <c r="C114" s="54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154"/>
      <c r="AH114" s="55"/>
      <c r="AI114" s="55"/>
      <c r="AJ114" s="55"/>
      <c r="AK114" s="154"/>
      <c r="AL114" s="55"/>
      <c r="AM114" s="55"/>
      <c r="AN114" s="55"/>
    </row>
    <row r="115" spans="1:40" x14ac:dyDescent="0.25">
      <c r="Y115" s="56"/>
      <c r="Z115" s="56"/>
      <c r="AA115" s="56"/>
      <c r="AB115" s="56"/>
      <c r="AC115" s="56"/>
      <c r="AD115" s="56"/>
      <c r="AE115" s="56"/>
      <c r="AF115" s="56"/>
      <c r="AG115" s="155"/>
      <c r="AH115" s="56"/>
      <c r="AI115" s="56"/>
      <c r="AJ115" s="56"/>
      <c r="AK115" s="155"/>
      <c r="AL115" s="56"/>
      <c r="AM115" s="56"/>
      <c r="AN115" s="56"/>
    </row>
    <row r="116" spans="1:40" x14ac:dyDescent="0.25">
      <c r="A116" s="53"/>
      <c r="C116" s="54"/>
      <c r="T116" s="54"/>
      <c r="U116" s="54"/>
    </row>
    <row r="117" spans="1:40" x14ac:dyDescent="0.25">
      <c r="A117" s="53"/>
      <c r="C117" s="54"/>
      <c r="F117" s="449"/>
      <c r="H117" s="449"/>
      <c r="I117" s="449"/>
      <c r="J117" s="461"/>
      <c r="K117" s="461"/>
      <c r="L117" s="379"/>
      <c r="M117" s="379"/>
      <c r="N117" s="50"/>
      <c r="O117" s="50"/>
      <c r="P117" s="53"/>
      <c r="Q117" s="53"/>
      <c r="R117" s="379"/>
      <c r="T117" s="54"/>
    </row>
    <row r="118" spans="1:40" x14ac:dyDescent="0.25">
      <c r="A118" s="53"/>
      <c r="C118" s="54"/>
      <c r="F118" s="449"/>
      <c r="H118" s="449"/>
      <c r="I118" s="449"/>
      <c r="J118" s="461"/>
      <c r="K118" s="461"/>
      <c r="L118" s="379"/>
      <c r="M118" s="379"/>
      <c r="N118" s="50"/>
      <c r="O118" s="50"/>
      <c r="P118" s="53"/>
      <c r="Q118" s="53"/>
      <c r="R118" s="379"/>
    </row>
    <row r="119" spans="1:40" x14ac:dyDescent="0.25">
      <c r="A119" s="53"/>
      <c r="C119" s="54"/>
      <c r="F119" s="449"/>
      <c r="H119" s="449"/>
      <c r="I119" s="449"/>
      <c r="J119" s="461"/>
      <c r="K119" s="461"/>
      <c r="L119" s="379"/>
      <c r="M119" s="379"/>
      <c r="N119" s="50"/>
      <c r="O119" s="50"/>
      <c r="P119" s="53"/>
      <c r="Q119" s="53"/>
      <c r="R119" s="379"/>
      <c r="T119" s="54"/>
    </row>
    <row r="120" spans="1:40" x14ac:dyDescent="0.25">
      <c r="F120" s="381"/>
      <c r="H120" s="379"/>
      <c r="I120" s="379"/>
      <c r="J120" s="464"/>
      <c r="K120" s="464"/>
      <c r="L120" s="381"/>
      <c r="M120" s="381"/>
      <c r="N120" s="381"/>
      <c r="O120" s="381"/>
      <c r="P120" s="381"/>
      <c r="Q120" s="381"/>
      <c r="R120" s="381"/>
      <c r="T120" s="54"/>
      <c r="V120" s="379"/>
      <c r="Y120" s="449"/>
      <c r="Z120" s="461"/>
      <c r="AA120" s="379"/>
      <c r="AB120" s="379"/>
      <c r="AC120" s="50"/>
      <c r="AD120" s="50"/>
      <c r="AE120" s="379"/>
      <c r="AF120" s="379"/>
      <c r="AG120" s="474"/>
      <c r="AH120" s="475"/>
      <c r="AI120" s="53"/>
      <c r="AJ120" s="53"/>
      <c r="AK120" s="156"/>
      <c r="AL120" s="379"/>
      <c r="AM120" s="476"/>
      <c r="AN120" s="476"/>
    </row>
    <row r="121" spans="1:40" x14ac:dyDescent="0.25">
      <c r="A121" s="53"/>
      <c r="C121" s="54"/>
      <c r="F121" s="379"/>
      <c r="H121" s="379"/>
      <c r="I121" s="379"/>
      <c r="J121" s="464"/>
      <c r="K121" s="464"/>
      <c r="L121" s="379"/>
      <c r="M121" s="379"/>
      <c r="N121" s="50"/>
      <c r="O121" s="50"/>
      <c r="P121" s="379"/>
      <c r="Q121" s="379"/>
      <c r="R121" s="379"/>
      <c r="T121" s="54"/>
      <c r="V121" s="379"/>
      <c r="Y121" s="449"/>
      <c r="Z121" s="461"/>
      <c r="AA121" s="379"/>
      <c r="AB121" s="379"/>
      <c r="AC121" s="50"/>
      <c r="AD121" s="50"/>
      <c r="AE121" s="379"/>
      <c r="AF121" s="379"/>
      <c r="AG121" s="156"/>
      <c r="AH121" s="60"/>
      <c r="AI121" s="53"/>
      <c r="AJ121" s="53"/>
      <c r="AK121" s="156"/>
      <c r="AL121" s="379"/>
      <c r="AM121" s="50"/>
      <c r="AN121" s="50"/>
    </row>
    <row r="122" spans="1:40" x14ac:dyDescent="0.25">
      <c r="F122" s="381"/>
      <c r="H122" s="379"/>
      <c r="I122" s="379"/>
      <c r="J122" s="464"/>
      <c r="K122" s="464"/>
      <c r="L122" s="381"/>
      <c r="M122" s="381"/>
      <c r="N122" s="381"/>
      <c r="O122" s="381"/>
      <c r="P122" s="381"/>
      <c r="Q122" s="381"/>
      <c r="R122" s="381"/>
      <c r="T122" s="54"/>
      <c r="V122" s="379"/>
      <c r="Y122" s="449"/>
      <c r="Z122" s="461"/>
      <c r="AA122" s="379"/>
      <c r="AB122" s="379"/>
      <c r="AC122" s="50"/>
      <c r="AD122" s="50"/>
      <c r="AE122" s="379"/>
      <c r="AF122" s="379"/>
      <c r="AG122" s="156"/>
      <c r="AH122" s="60"/>
      <c r="AI122" s="53"/>
      <c r="AJ122" s="53"/>
      <c r="AK122" s="156"/>
      <c r="AL122" s="379"/>
      <c r="AM122" s="50"/>
      <c r="AN122" s="50"/>
    </row>
    <row r="123" spans="1:40" x14ac:dyDescent="0.25">
      <c r="A123" s="53"/>
      <c r="C123" s="54"/>
      <c r="F123" s="449"/>
      <c r="H123" s="449"/>
      <c r="I123" s="449"/>
      <c r="J123" s="477"/>
      <c r="K123" s="477"/>
      <c r="L123" s="379"/>
      <c r="M123" s="379"/>
      <c r="N123" s="50"/>
      <c r="O123" s="50"/>
      <c r="P123" s="379"/>
      <c r="Q123" s="379"/>
      <c r="R123" s="379"/>
      <c r="S123" s="379"/>
      <c r="V123" s="381"/>
      <c r="Y123" s="379"/>
      <c r="Z123" s="464"/>
      <c r="AA123" s="381"/>
      <c r="AB123" s="381"/>
      <c r="AC123" s="381"/>
      <c r="AD123" s="381"/>
      <c r="AE123" s="381"/>
      <c r="AF123" s="381"/>
      <c r="AI123" s="381"/>
      <c r="AJ123" s="381"/>
      <c r="AK123" s="162"/>
      <c r="AL123" s="381"/>
      <c r="AM123" s="50"/>
      <c r="AN123" s="50"/>
    </row>
    <row r="124" spans="1:40" x14ac:dyDescent="0.25">
      <c r="A124" s="53"/>
      <c r="C124" s="54"/>
      <c r="F124" s="449"/>
      <c r="H124" s="449"/>
      <c r="I124" s="449"/>
      <c r="J124" s="461"/>
      <c r="K124" s="461"/>
      <c r="L124" s="379"/>
      <c r="M124" s="379"/>
      <c r="N124" s="50"/>
      <c r="O124" s="50"/>
      <c r="P124" s="379"/>
      <c r="Q124" s="379"/>
      <c r="R124" s="379"/>
      <c r="T124" s="54"/>
      <c r="V124" s="379"/>
      <c r="Y124" s="379"/>
      <c r="Z124" s="59"/>
      <c r="AA124" s="379"/>
      <c r="AB124" s="379"/>
      <c r="AC124" s="50"/>
      <c r="AD124" s="50"/>
      <c r="AE124" s="379"/>
      <c r="AF124" s="379"/>
      <c r="AG124" s="156"/>
      <c r="AH124" s="60"/>
      <c r="AI124" s="379"/>
      <c r="AJ124" s="379"/>
      <c r="AK124" s="156"/>
      <c r="AL124" s="379"/>
      <c r="AM124" s="50"/>
      <c r="AN124" s="50"/>
    </row>
    <row r="125" spans="1:40" x14ac:dyDescent="0.25">
      <c r="A125" s="53"/>
      <c r="C125" s="54"/>
      <c r="F125" s="449"/>
      <c r="H125" s="449"/>
      <c r="I125" s="449"/>
      <c r="J125" s="461"/>
      <c r="K125" s="461"/>
      <c r="L125" s="379"/>
      <c r="M125" s="379"/>
      <c r="N125" s="50"/>
      <c r="O125" s="50"/>
      <c r="P125" s="379"/>
      <c r="Q125" s="379"/>
      <c r="R125" s="379"/>
      <c r="V125" s="381"/>
      <c r="Y125" s="379"/>
      <c r="Z125" s="464"/>
      <c r="AA125" s="381"/>
      <c r="AB125" s="381"/>
      <c r="AC125" s="381"/>
      <c r="AD125" s="381"/>
      <c r="AE125" s="381"/>
      <c r="AF125" s="381"/>
      <c r="AI125" s="381"/>
      <c r="AJ125" s="381"/>
      <c r="AK125" s="162"/>
      <c r="AL125" s="381"/>
      <c r="AM125" s="50"/>
      <c r="AN125" s="50"/>
    </row>
    <row r="126" spans="1:40" x14ac:dyDescent="0.25">
      <c r="F126" s="379"/>
      <c r="H126" s="381"/>
      <c r="I126" s="381"/>
      <c r="J126" s="464"/>
      <c r="K126" s="464"/>
      <c r="L126" s="381"/>
      <c r="M126" s="381"/>
      <c r="N126" s="381"/>
      <c r="O126" s="381"/>
      <c r="P126" s="381"/>
      <c r="Q126" s="381"/>
      <c r="R126" s="381"/>
      <c r="T126" s="54"/>
      <c r="V126" s="449"/>
      <c r="Y126" s="449"/>
      <c r="Z126" s="477"/>
      <c r="AA126" s="379"/>
      <c r="AB126" s="379"/>
      <c r="AC126" s="50"/>
      <c r="AD126" s="50"/>
      <c r="AE126" s="379"/>
      <c r="AF126" s="379"/>
      <c r="AG126" s="156"/>
      <c r="AH126" s="50"/>
      <c r="AI126" s="379"/>
      <c r="AJ126" s="379"/>
      <c r="AK126" s="156"/>
      <c r="AL126" s="379"/>
      <c r="AM126" s="50"/>
      <c r="AN126" s="50"/>
    </row>
    <row r="127" spans="1:40" x14ac:dyDescent="0.25">
      <c r="A127" s="53"/>
      <c r="C127" s="54"/>
      <c r="F127" s="379"/>
      <c r="H127" s="379"/>
      <c r="I127" s="379"/>
      <c r="J127" s="464"/>
      <c r="K127" s="464"/>
      <c r="L127" s="379"/>
      <c r="M127" s="379"/>
      <c r="N127" s="50"/>
      <c r="O127" s="50"/>
      <c r="P127" s="379"/>
      <c r="Q127" s="379"/>
      <c r="R127" s="379"/>
      <c r="T127" s="54"/>
      <c r="V127" s="449"/>
      <c r="Y127" s="379"/>
      <c r="Z127" s="461"/>
      <c r="AA127" s="379"/>
      <c r="AB127" s="379"/>
      <c r="AC127" s="50"/>
      <c r="AD127" s="50"/>
      <c r="AE127" s="379"/>
      <c r="AF127" s="379"/>
      <c r="AG127" s="156"/>
      <c r="AH127" s="60"/>
      <c r="AI127" s="379"/>
      <c r="AJ127" s="379"/>
      <c r="AK127" s="156"/>
      <c r="AL127" s="379"/>
      <c r="AM127" s="50"/>
      <c r="AN127" s="50"/>
    </row>
    <row r="128" spans="1:40" x14ac:dyDescent="0.25">
      <c r="F128" s="379"/>
      <c r="H128" s="381"/>
      <c r="I128" s="381"/>
      <c r="J128" s="464"/>
      <c r="K128" s="464"/>
      <c r="L128" s="381"/>
      <c r="M128" s="381"/>
      <c r="N128" s="381"/>
      <c r="O128" s="381"/>
      <c r="P128" s="381"/>
      <c r="Q128" s="381"/>
      <c r="R128" s="381"/>
      <c r="T128" s="54"/>
      <c r="V128" s="449"/>
      <c r="Y128" s="379"/>
      <c r="Z128" s="461"/>
      <c r="AA128" s="379"/>
      <c r="AB128" s="379"/>
      <c r="AC128" s="50"/>
      <c r="AD128" s="50"/>
      <c r="AE128" s="379"/>
      <c r="AF128" s="379"/>
      <c r="AG128" s="156"/>
      <c r="AH128" s="60"/>
      <c r="AI128" s="379"/>
      <c r="AJ128" s="379"/>
      <c r="AK128" s="156"/>
      <c r="AL128" s="379"/>
      <c r="AM128" s="50"/>
      <c r="AN128" s="50"/>
    </row>
    <row r="129" spans="1:40" x14ac:dyDescent="0.25">
      <c r="A129" s="53"/>
      <c r="C129" s="54"/>
      <c r="F129" s="379"/>
      <c r="H129" s="379"/>
      <c r="I129" s="379"/>
      <c r="J129" s="464"/>
      <c r="K129" s="464"/>
      <c r="L129" s="379"/>
      <c r="M129" s="379"/>
      <c r="N129" s="379"/>
      <c r="O129" s="379"/>
      <c r="P129" s="379"/>
      <c r="Q129" s="379"/>
      <c r="R129" s="379"/>
      <c r="V129" s="379"/>
      <c r="Y129" s="381"/>
      <c r="Z129" s="464"/>
      <c r="AA129" s="381"/>
      <c r="AB129" s="381"/>
      <c r="AC129" s="381"/>
      <c r="AD129" s="381"/>
      <c r="AE129" s="381"/>
      <c r="AF129" s="381"/>
      <c r="AI129" s="381"/>
      <c r="AJ129" s="381"/>
      <c r="AK129" s="162"/>
      <c r="AL129" s="381"/>
      <c r="AM129" s="50"/>
      <c r="AN129" s="50"/>
    </row>
    <row r="130" spans="1:40" x14ac:dyDescent="0.25">
      <c r="A130" s="53"/>
      <c r="C130" s="54"/>
      <c r="F130" s="379"/>
      <c r="H130" s="449"/>
      <c r="I130" s="449"/>
      <c r="J130" s="221"/>
      <c r="K130" s="221"/>
      <c r="L130" s="379"/>
      <c r="M130" s="379"/>
      <c r="N130" s="50"/>
      <c r="O130" s="50"/>
      <c r="P130" s="379"/>
      <c r="Q130" s="379"/>
      <c r="R130" s="379"/>
      <c r="T130" s="54"/>
      <c r="V130" s="379"/>
      <c r="Y130" s="379"/>
      <c r="Z130" s="464"/>
      <c r="AA130" s="379"/>
      <c r="AB130" s="379"/>
      <c r="AC130" s="50"/>
      <c r="AD130" s="50"/>
      <c r="AE130" s="379"/>
      <c r="AF130" s="379"/>
      <c r="AG130" s="156"/>
      <c r="AH130" s="60"/>
      <c r="AI130" s="379"/>
      <c r="AJ130" s="379"/>
      <c r="AK130" s="156"/>
      <c r="AL130" s="379"/>
      <c r="AM130" s="50"/>
      <c r="AN130" s="50"/>
    </row>
    <row r="131" spans="1:40" x14ac:dyDescent="0.25">
      <c r="A131" s="53"/>
      <c r="C131" s="54"/>
      <c r="H131" s="449"/>
      <c r="I131" s="449"/>
      <c r="J131" s="221"/>
      <c r="K131" s="221"/>
      <c r="L131" s="379"/>
      <c r="M131" s="379"/>
      <c r="N131" s="50"/>
      <c r="O131" s="50"/>
      <c r="P131" s="379"/>
      <c r="Q131" s="379"/>
      <c r="R131" s="379"/>
      <c r="V131" s="379"/>
      <c r="Y131" s="381"/>
      <c r="Z131" s="464"/>
      <c r="AA131" s="381"/>
      <c r="AB131" s="381"/>
      <c r="AC131" s="381"/>
      <c r="AD131" s="381"/>
      <c r="AE131" s="381"/>
      <c r="AF131" s="381"/>
      <c r="AI131" s="381"/>
      <c r="AJ131" s="381"/>
      <c r="AK131" s="162"/>
      <c r="AL131" s="381"/>
      <c r="AM131" s="50"/>
      <c r="AN131" s="50"/>
    </row>
    <row r="132" spans="1:40" x14ac:dyDescent="0.25">
      <c r="F132" s="379"/>
      <c r="H132" s="379"/>
      <c r="I132" s="379"/>
      <c r="J132" s="464"/>
      <c r="K132" s="464"/>
      <c r="L132" s="381"/>
      <c r="M132" s="381"/>
      <c r="N132" s="381"/>
      <c r="O132" s="381"/>
      <c r="P132" s="381"/>
      <c r="Q132" s="381"/>
      <c r="R132" s="381"/>
      <c r="T132" s="54"/>
      <c r="V132" s="379"/>
      <c r="Y132" s="379"/>
      <c r="Z132" s="464"/>
      <c r="AA132" s="379"/>
      <c r="AB132" s="379"/>
      <c r="AC132" s="379"/>
      <c r="AD132" s="379"/>
      <c r="AE132" s="379"/>
      <c r="AF132" s="379"/>
      <c r="AG132" s="156"/>
      <c r="AH132" s="60"/>
      <c r="AI132" s="379"/>
      <c r="AJ132" s="379"/>
      <c r="AK132" s="156"/>
      <c r="AL132" s="379"/>
      <c r="AM132" s="50"/>
      <c r="AN132" s="50"/>
    </row>
    <row r="133" spans="1:40" x14ac:dyDescent="0.25">
      <c r="A133" s="53"/>
      <c r="C133" s="54"/>
      <c r="F133" s="379"/>
      <c r="H133" s="379"/>
      <c r="I133" s="379"/>
      <c r="J133" s="59"/>
      <c r="K133" s="59"/>
      <c r="L133" s="379"/>
      <c r="M133" s="379"/>
      <c r="N133" s="50"/>
      <c r="O133" s="50"/>
      <c r="P133" s="379"/>
      <c r="Q133" s="379"/>
      <c r="R133" s="379"/>
      <c r="T133" s="54"/>
      <c r="V133" s="379"/>
      <c r="Y133" s="379"/>
      <c r="Z133" s="221"/>
      <c r="AA133" s="379"/>
      <c r="AB133" s="379"/>
      <c r="AC133" s="50"/>
      <c r="AD133" s="50"/>
      <c r="AE133" s="379"/>
      <c r="AF133" s="379"/>
      <c r="AG133" s="156"/>
      <c r="AH133" s="60"/>
      <c r="AI133" s="379"/>
      <c r="AJ133" s="379"/>
      <c r="AK133" s="156"/>
      <c r="AL133" s="379"/>
      <c r="AM133" s="50"/>
      <c r="AN133" s="50"/>
    </row>
    <row r="134" spans="1:40" x14ac:dyDescent="0.25">
      <c r="F134" s="379"/>
      <c r="H134" s="379"/>
      <c r="I134" s="379"/>
      <c r="J134" s="464"/>
      <c r="K134" s="464"/>
      <c r="L134" s="381"/>
      <c r="M134" s="381"/>
      <c r="N134" s="381"/>
      <c r="O134" s="381"/>
      <c r="P134" s="381"/>
      <c r="Q134" s="381"/>
      <c r="R134" s="381"/>
      <c r="T134" s="54"/>
      <c r="Y134" s="379"/>
      <c r="Z134" s="221"/>
      <c r="AA134" s="379"/>
      <c r="AB134" s="379"/>
      <c r="AC134" s="50"/>
      <c r="AD134" s="50"/>
      <c r="AE134" s="379"/>
      <c r="AF134" s="379"/>
      <c r="AG134" s="156"/>
      <c r="AH134" s="60"/>
      <c r="AI134" s="379"/>
      <c r="AJ134" s="379"/>
      <c r="AK134" s="156"/>
      <c r="AL134" s="379"/>
      <c r="AM134" s="50"/>
      <c r="AN134" s="50"/>
    </row>
    <row r="135" spans="1:40" x14ac:dyDescent="0.25">
      <c r="A135" s="53"/>
      <c r="C135" s="54"/>
      <c r="F135" s="379"/>
      <c r="H135" s="379"/>
      <c r="I135" s="379"/>
      <c r="J135" s="59"/>
      <c r="K135" s="59"/>
      <c r="L135" s="379"/>
      <c r="M135" s="379"/>
      <c r="N135" s="50"/>
      <c r="O135" s="50"/>
      <c r="P135" s="379"/>
      <c r="Q135" s="379"/>
      <c r="R135" s="379"/>
      <c r="V135" s="379"/>
      <c r="Y135" s="379"/>
      <c r="Z135" s="464"/>
      <c r="AA135" s="381"/>
      <c r="AB135" s="381"/>
      <c r="AC135" s="381"/>
      <c r="AD135" s="381"/>
      <c r="AE135" s="381"/>
      <c r="AF135" s="381"/>
      <c r="AI135" s="381"/>
      <c r="AJ135" s="381"/>
      <c r="AK135" s="162"/>
      <c r="AL135" s="381"/>
      <c r="AM135" s="50"/>
      <c r="AN135" s="50"/>
    </row>
    <row r="136" spans="1:40" x14ac:dyDescent="0.25">
      <c r="A136" s="53"/>
      <c r="C136" s="54"/>
      <c r="F136" s="379"/>
      <c r="H136" s="449"/>
      <c r="I136" s="449"/>
      <c r="J136" s="472"/>
      <c r="K136" s="472"/>
      <c r="L136" s="379"/>
      <c r="M136" s="379"/>
      <c r="N136" s="50"/>
      <c r="O136" s="50"/>
      <c r="P136" s="379"/>
      <c r="Q136" s="379"/>
      <c r="R136" s="379"/>
      <c r="T136" s="54"/>
      <c r="V136" s="379"/>
      <c r="Y136" s="379"/>
      <c r="Z136" s="59"/>
      <c r="AA136" s="379"/>
      <c r="AB136" s="379"/>
      <c r="AC136" s="50"/>
      <c r="AD136" s="50"/>
      <c r="AE136" s="379"/>
      <c r="AF136" s="379"/>
      <c r="AG136" s="156"/>
      <c r="AH136" s="60"/>
      <c r="AI136" s="379"/>
      <c r="AJ136" s="379"/>
      <c r="AK136" s="156"/>
      <c r="AL136" s="379"/>
      <c r="AM136" s="50"/>
      <c r="AN136" s="50"/>
    </row>
    <row r="137" spans="1:40" x14ac:dyDescent="0.25">
      <c r="F137" s="381"/>
      <c r="H137" s="381"/>
      <c r="I137" s="381"/>
      <c r="J137" s="464"/>
      <c r="K137" s="464"/>
      <c r="L137" s="381"/>
      <c r="M137" s="381"/>
      <c r="N137" s="381"/>
      <c r="O137" s="381"/>
      <c r="P137" s="381"/>
      <c r="Q137" s="381"/>
      <c r="R137" s="381"/>
      <c r="V137" s="379"/>
      <c r="Y137" s="379"/>
      <c r="Z137" s="464"/>
      <c r="AA137" s="381"/>
      <c r="AB137" s="381"/>
      <c r="AC137" s="381"/>
      <c r="AD137" s="381"/>
      <c r="AE137" s="381"/>
      <c r="AF137" s="381"/>
      <c r="AI137" s="381"/>
      <c r="AJ137" s="381"/>
      <c r="AK137" s="162"/>
      <c r="AL137" s="381"/>
      <c r="AM137" s="50"/>
      <c r="AN137" s="50"/>
    </row>
    <row r="138" spans="1:40" x14ac:dyDescent="0.25">
      <c r="A138" s="53"/>
      <c r="C138" s="54"/>
      <c r="F138" s="379"/>
      <c r="H138" s="379"/>
      <c r="I138" s="379"/>
      <c r="J138" s="464"/>
      <c r="K138" s="464"/>
      <c r="L138" s="379"/>
      <c r="M138" s="379"/>
      <c r="N138" s="50"/>
      <c r="O138" s="50"/>
      <c r="P138" s="379"/>
      <c r="Q138" s="379"/>
      <c r="R138" s="379"/>
      <c r="S138" s="379"/>
      <c r="T138" s="54"/>
      <c r="V138" s="379"/>
      <c r="Y138" s="379"/>
      <c r="Z138" s="59"/>
      <c r="AA138" s="379"/>
      <c r="AB138" s="379"/>
      <c r="AC138" s="50"/>
      <c r="AD138" s="50"/>
      <c r="AE138" s="379"/>
      <c r="AF138" s="379"/>
      <c r="AG138" s="156"/>
      <c r="AH138" s="60"/>
      <c r="AI138" s="379"/>
      <c r="AJ138" s="379"/>
      <c r="AK138" s="156"/>
      <c r="AL138" s="379"/>
      <c r="AM138" s="50"/>
      <c r="AN138" s="50"/>
    </row>
    <row r="139" spans="1:40" x14ac:dyDescent="0.25">
      <c r="F139" s="381"/>
      <c r="H139" s="381"/>
      <c r="I139" s="381"/>
      <c r="J139" s="464"/>
      <c r="K139" s="464"/>
      <c r="L139" s="381"/>
      <c r="M139" s="381"/>
      <c r="N139" s="381"/>
      <c r="O139" s="381"/>
      <c r="P139" s="381"/>
      <c r="Q139" s="381"/>
      <c r="R139" s="381"/>
      <c r="S139" s="379"/>
      <c r="T139" s="54"/>
      <c r="V139" s="449"/>
      <c r="Y139" s="379"/>
      <c r="Z139" s="472"/>
      <c r="AA139" s="379"/>
      <c r="AB139" s="379"/>
      <c r="AC139" s="50"/>
      <c r="AD139" s="50"/>
      <c r="AE139" s="379"/>
      <c r="AF139" s="379"/>
      <c r="AG139" s="156"/>
      <c r="AH139" s="60"/>
      <c r="AI139" s="379"/>
      <c r="AJ139" s="379"/>
      <c r="AK139" s="156"/>
      <c r="AL139" s="379"/>
      <c r="AM139" s="50"/>
      <c r="AN139" s="50"/>
    </row>
    <row r="140" spans="1:40" x14ac:dyDescent="0.25">
      <c r="A140" s="53"/>
      <c r="C140" s="54"/>
      <c r="F140" s="449"/>
      <c r="H140" s="478"/>
      <c r="I140" s="478"/>
      <c r="J140" s="464"/>
      <c r="K140" s="464"/>
      <c r="L140" s="379"/>
      <c r="M140" s="379"/>
      <c r="N140" s="50"/>
      <c r="O140" s="50"/>
      <c r="P140" s="379"/>
      <c r="Q140" s="379"/>
      <c r="R140" s="379"/>
      <c r="S140" s="379"/>
      <c r="V140" s="381"/>
      <c r="Y140" s="381"/>
      <c r="Z140" s="464"/>
      <c r="AA140" s="381"/>
      <c r="AB140" s="381"/>
      <c r="AC140" s="381"/>
      <c r="AD140" s="381"/>
      <c r="AE140" s="381"/>
      <c r="AF140" s="381"/>
      <c r="AI140" s="381"/>
      <c r="AJ140" s="381"/>
      <c r="AK140" s="162"/>
      <c r="AL140" s="381"/>
      <c r="AM140" s="50"/>
      <c r="AN140" s="50"/>
    </row>
    <row r="141" spans="1:40" x14ac:dyDescent="0.25">
      <c r="T141" s="54"/>
      <c r="V141" s="379"/>
      <c r="Y141" s="379"/>
      <c r="Z141" s="464"/>
      <c r="AA141" s="379"/>
      <c r="AB141" s="379"/>
      <c r="AC141" s="50"/>
      <c r="AD141" s="50"/>
      <c r="AE141" s="379"/>
      <c r="AF141" s="379"/>
      <c r="AG141" s="156"/>
      <c r="AH141" s="50"/>
      <c r="AI141" s="379"/>
      <c r="AJ141" s="379"/>
      <c r="AK141" s="156"/>
      <c r="AL141" s="379"/>
      <c r="AM141" s="50"/>
      <c r="AN141" s="50"/>
    </row>
    <row r="142" spans="1:40" x14ac:dyDescent="0.25">
      <c r="A142" s="53"/>
      <c r="C142" s="54"/>
      <c r="V142" s="381"/>
      <c r="Y142" s="381"/>
      <c r="Z142" s="464"/>
      <c r="AA142" s="381"/>
      <c r="AB142" s="381"/>
      <c r="AC142" s="381"/>
      <c r="AD142" s="381"/>
      <c r="AE142" s="381"/>
      <c r="AF142" s="381"/>
      <c r="AI142" s="381"/>
      <c r="AJ142" s="381"/>
      <c r="AK142" s="162"/>
      <c r="AL142" s="381"/>
      <c r="AM142" s="50"/>
      <c r="AN142" s="50"/>
    </row>
    <row r="143" spans="1:40" x14ac:dyDescent="0.25">
      <c r="A143" s="53"/>
      <c r="C143" s="54"/>
      <c r="F143" s="449"/>
      <c r="H143" s="449"/>
      <c r="I143" s="449"/>
      <c r="J143" s="461"/>
      <c r="K143" s="461"/>
      <c r="L143" s="379"/>
      <c r="M143" s="379"/>
      <c r="N143" s="50"/>
      <c r="O143" s="50"/>
      <c r="P143" s="53"/>
      <c r="Q143" s="53"/>
      <c r="R143" s="379"/>
      <c r="T143" s="54"/>
      <c r="V143" s="449"/>
      <c r="Y143" s="449"/>
      <c r="Z143" s="464"/>
      <c r="AA143" s="379"/>
      <c r="AB143" s="379"/>
      <c r="AC143" s="50"/>
      <c r="AD143" s="50"/>
      <c r="AE143" s="379"/>
      <c r="AF143" s="379"/>
      <c r="AI143" s="379"/>
      <c r="AJ143" s="379"/>
      <c r="AK143" s="156"/>
      <c r="AL143" s="379"/>
      <c r="AM143" s="50"/>
      <c r="AN143" s="50"/>
    </row>
    <row r="144" spans="1:40" x14ac:dyDescent="0.25">
      <c r="A144" s="53"/>
      <c r="C144" s="54"/>
      <c r="F144" s="449"/>
      <c r="H144" s="449"/>
      <c r="I144" s="449"/>
      <c r="J144" s="461"/>
      <c r="K144" s="461"/>
      <c r="L144" s="379"/>
      <c r="M144" s="379"/>
      <c r="N144" s="50"/>
      <c r="O144" s="50"/>
      <c r="P144" s="53"/>
      <c r="Q144" s="53"/>
      <c r="R144" s="379"/>
    </row>
    <row r="145" spans="1:40" x14ac:dyDescent="0.25">
      <c r="A145" s="53"/>
      <c r="C145" s="54"/>
      <c r="F145" s="449"/>
      <c r="H145" s="449"/>
      <c r="I145" s="449"/>
      <c r="J145" s="461"/>
      <c r="K145" s="461"/>
      <c r="L145" s="379"/>
      <c r="M145" s="379"/>
      <c r="N145" s="50"/>
      <c r="O145" s="50"/>
      <c r="P145" s="53"/>
      <c r="Q145" s="53"/>
      <c r="R145" s="379"/>
      <c r="T145" s="54"/>
    </row>
    <row r="146" spans="1:40" x14ac:dyDescent="0.25">
      <c r="F146" s="381"/>
      <c r="H146" s="379"/>
      <c r="I146" s="379"/>
      <c r="J146" s="464"/>
      <c r="K146" s="464"/>
      <c r="L146" s="381"/>
      <c r="M146" s="381"/>
      <c r="N146" s="381"/>
      <c r="O146" s="381"/>
      <c r="P146" s="381"/>
      <c r="Q146" s="381"/>
      <c r="R146" s="381"/>
      <c r="T146" s="54"/>
      <c r="V146" s="379"/>
      <c r="Y146" s="449"/>
      <c r="Z146" s="461"/>
      <c r="AA146" s="379"/>
      <c r="AB146" s="379"/>
      <c r="AC146" s="50"/>
      <c r="AD146" s="50"/>
      <c r="AE146" s="379"/>
      <c r="AF146" s="379"/>
      <c r="AG146" s="474"/>
      <c r="AH146" s="475"/>
      <c r="AI146" s="53"/>
      <c r="AJ146" s="53"/>
      <c r="AK146" s="156"/>
      <c r="AL146" s="379"/>
      <c r="AM146" s="476"/>
      <c r="AN146" s="476"/>
    </row>
    <row r="147" spans="1:40" x14ac:dyDescent="0.25">
      <c r="A147" s="53"/>
      <c r="C147" s="54"/>
      <c r="F147" s="379"/>
      <c r="H147" s="379"/>
      <c r="I147" s="379"/>
      <c r="J147" s="464"/>
      <c r="K147" s="464"/>
      <c r="L147" s="379"/>
      <c r="M147" s="379"/>
      <c r="N147" s="50"/>
      <c r="O147" s="50"/>
      <c r="P147" s="379"/>
      <c r="Q147" s="379"/>
      <c r="R147" s="379"/>
      <c r="T147" s="54"/>
      <c r="V147" s="379"/>
      <c r="Y147" s="449"/>
      <c r="Z147" s="461"/>
      <c r="AA147" s="379"/>
      <c r="AB147" s="379"/>
      <c r="AC147" s="50"/>
      <c r="AD147" s="50"/>
      <c r="AE147" s="379"/>
      <c r="AF147" s="379"/>
      <c r="AG147" s="156"/>
      <c r="AH147" s="60"/>
      <c r="AI147" s="53"/>
      <c r="AJ147" s="53"/>
      <c r="AK147" s="156"/>
      <c r="AL147" s="379"/>
      <c r="AM147" s="50"/>
      <c r="AN147" s="50"/>
    </row>
    <row r="148" spans="1:40" x14ac:dyDescent="0.25">
      <c r="F148" s="381"/>
      <c r="H148" s="379"/>
      <c r="I148" s="379"/>
      <c r="J148" s="464"/>
      <c r="K148" s="464"/>
      <c r="L148" s="381"/>
      <c r="M148" s="381"/>
      <c r="N148" s="381"/>
      <c r="O148" s="381"/>
      <c r="P148" s="381"/>
      <c r="Q148" s="381"/>
      <c r="R148" s="381"/>
      <c r="T148" s="54"/>
      <c r="V148" s="379"/>
      <c r="Y148" s="449"/>
      <c r="Z148" s="461"/>
      <c r="AA148" s="379"/>
      <c r="AB148" s="379"/>
      <c r="AC148" s="50"/>
      <c r="AD148" s="50"/>
      <c r="AE148" s="379"/>
      <c r="AF148" s="379"/>
      <c r="AG148" s="156"/>
      <c r="AH148" s="60"/>
      <c r="AI148" s="53"/>
      <c r="AJ148" s="53"/>
      <c r="AK148" s="156"/>
      <c r="AL148" s="379"/>
      <c r="AM148" s="50"/>
      <c r="AN148" s="50"/>
    </row>
    <row r="149" spans="1:40" x14ac:dyDescent="0.25">
      <c r="A149" s="53"/>
      <c r="C149" s="54"/>
      <c r="F149" s="449"/>
      <c r="H149" s="449"/>
      <c r="I149" s="449"/>
      <c r="J149" s="477"/>
      <c r="K149" s="477"/>
      <c r="L149" s="379"/>
      <c r="M149" s="379"/>
      <c r="N149" s="50"/>
      <c r="O149" s="50"/>
      <c r="P149" s="379"/>
      <c r="Q149" s="379"/>
      <c r="R149" s="379"/>
      <c r="S149" s="379"/>
      <c r="V149" s="381"/>
      <c r="Y149" s="379"/>
      <c r="Z149" s="464"/>
      <c r="AA149" s="381"/>
      <c r="AB149" s="381"/>
      <c r="AC149" s="381"/>
      <c r="AD149" s="381"/>
      <c r="AE149" s="381"/>
      <c r="AF149" s="381"/>
      <c r="AI149" s="381"/>
      <c r="AJ149" s="381"/>
      <c r="AK149" s="162"/>
      <c r="AL149" s="381"/>
      <c r="AM149" s="50"/>
      <c r="AN149" s="50"/>
    </row>
    <row r="150" spans="1:40" x14ac:dyDescent="0.25">
      <c r="A150" s="53"/>
      <c r="C150" s="54"/>
      <c r="F150" s="449"/>
      <c r="H150" s="449"/>
      <c r="I150" s="449"/>
      <c r="J150" s="461"/>
      <c r="K150" s="461"/>
      <c r="L150" s="379"/>
      <c r="M150" s="379"/>
      <c r="N150" s="50"/>
      <c r="O150" s="50"/>
      <c r="P150" s="379"/>
      <c r="Q150" s="379"/>
      <c r="R150" s="379"/>
      <c r="T150" s="54"/>
      <c r="V150" s="379"/>
      <c r="Y150" s="379"/>
      <c r="Z150" s="464"/>
      <c r="AA150" s="379"/>
      <c r="AB150" s="379"/>
      <c r="AC150" s="50"/>
      <c r="AD150" s="50"/>
      <c r="AE150" s="379"/>
      <c r="AF150" s="379"/>
      <c r="AG150" s="156"/>
      <c r="AH150" s="60"/>
      <c r="AI150" s="379"/>
      <c r="AJ150" s="379"/>
      <c r="AK150" s="156"/>
      <c r="AL150" s="379"/>
      <c r="AM150" s="50"/>
      <c r="AN150" s="50"/>
    </row>
    <row r="151" spans="1:40" x14ac:dyDescent="0.25">
      <c r="A151" s="53"/>
      <c r="C151" s="54"/>
      <c r="F151" s="449"/>
      <c r="H151" s="449"/>
      <c r="I151" s="449"/>
      <c r="J151" s="461"/>
      <c r="K151" s="461"/>
      <c r="L151" s="379"/>
      <c r="M151" s="379"/>
      <c r="N151" s="50"/>
      <c r="O151" s="50"/>
      <c r="P151" s="379"/>
      <c r="Q151" s="379"/>
      <c r="R151" s="379"/>
      <c r="V151" s="381"/>
      <c r="Y151" s="379"/>
      <c r="Z151" s="464"/>
      <c r="AA151" s="381"/>
      <c r="AB151" s="381"/>
      <c r="AC151" s="381"/>
      <c r="AD151" s="381"/>
      <c r="AE151" s="381"/>
      <c r="AF151" s="381"/>
      <c r="AI151" s="381"/>
      <c r="AJ151" s="381"/>
      <c r="AK151" s="162"/>
      <c r="AL151" s="381"/>
      <c r="AM151" s="50"/>
      <c r="AN151" s="50"/>
    </row>
    <row r="152" spans="1:40" x14ac:dyDescent="0.25">
      <c r="F152" s="379"/>
      <c r="H152" s="381"/>
      <c r="I152" s="381"/>
      <c r="J152" s="464"/>
      <c r="K152" s="464"/>
      <c r="L152" s="381"/>
      <c r="M152" s="381"/>
      <c r="N152" s="381"/>
      <c r="O152" s="381"/>
      <c r="P152" s="381"/>
      <c r="Q152" s="381"/>
      <c r="R152" s="381"/>
      <c r="T152" s="54"/>
      <c r="V152" s="449"/>
      <c r="Y152" s="449"/>
      <c r="Z152" s="477"/>
      <c r="AA152" s="379"/>
      <c r="AB152" s="379"/>
      <c r="AC152" s="50"/>
      <c r="AD152" s="50"/>
      <c r="AE152" s="379"/>
      <c r="AF152" s="379"/>
      <c r="AG152" s="156"/>
      <c r="AH152" s="50"/>
      <c r="AI152" s="379"/>
      <c r="AJ152" s="379"/>
      <c r="AK152" s="156"/>
      <c r="AL152" s="379"/>
      <c r="AM152" s="50"/>
      <c r="AN152" s="50"/>
    </row>
    <row r="153" spans="1:40" x14ac:dyDescent="0.25">
      <c r="A153" s="53"/>
      <c r="C153" s="54"/>
      <c r="F153" s="379"/>
      <c r="H153" s="379"/>
      <c r="I153" s="379"/>
      <c r="J153" s="464"/>
      <c r="K153" s="464"/>
      <c r="L153" s="379"/>
      <c r="M153" s="379"/>
      <c r="N153" s="50"/>
      <c r="O153" s="50"/>
      <c r="P153" s="379"/>
      <c r="Q153" s="379"/>
      <c r="R153" s="379"/>
      <c r="T153" s="54"/>
      <c r="V153" s="449"/>
      <c r="Y153" s="379"/>
      <c r="Z153" s="461"/>
      <c r="AA153" s="379"/>
      <c r="AB153" s="379"/>
      <c r="AC153" s="50"/>
      <c r="AD153" s="50"/>
      <c r="AE153" s="379"/>
      <c r="AF153" s="379"/>
      <c r="AG153" s="156"/>
      <c r="AH153" s="60"/>
      <c r="AI153" s="379"/>
      <c r="AJ153" s="379"/>
      <c r="AK153" s="156"/>
      <c r="AL153" s="379"/>
      <c r="AM153" s="50"/>
      <c r="AN153" s="50"/>
    </row>
    <row r="154" spans="1:40" x14ac:dyDescent="0.25">
      <c r="F154" s="379"/>
      <c r="H154" s="381"/>
      <c r="I154" s="381"/>
      <c r="J154" s="464"/>
      <c r="K154" s="464"/>
      <c r="L154" s="381"/>
      <c r="M154" s="381"/>
      <c r="N154" s="381"/>
      <c r="O154" s="381"/>
      <c r="P154" s="381"/>
      <c r="Q154" s="381"/>
      <c r="R154" s="381"/>
      <c r="T154" s="54"/>
      <c r="V154" s="449"/>
      <c r="Y154" s="379"/>
      <c r="Z154" s="461"/>
      <c r="AA154" s="379"/>
      <c r="AB154" s="379"/>
      <c r="AC154" s="50"/>
      <c r="AD154" s="50"/>
      <c r="AE154" s="379"/>
      <c r="AF154" s="379"/>
      <c r="AG154" s="156"/>
      <c r="AH154" s="60"/>
      <c r="AI154" s="379"/>
      <c r="AJ154" s="379"/>
      <c r="AK154" s="156"/>
      <c r="AL154" s="379"/>
      <c r="AM154" s="50"/>
      <c r="AN154" s="50"/>
    </row>
    <row r="155" spans="1:40" x14ac:dyDescent="0.25">
      <c r="A155" s="53"/>
      <c r="C155" s="54"/>
      <c r="F155" s="379"/>
      <c r="H155" s="379"/>
      <c r="I155" s="379"/>
      <c r="J155" s="464"/>
      <c r="K155" s="464"/>
      <c r="L155" s="379"/>
      <c r="M155" s="379"/>
      <c r="N155" s="379"/>
      <c r="O155" s="379"/>
      <c r="P155" s="379"/>
      <c r="Q155" s="379"/>
      <c r="R155" s="379"/>
      <c r="V155" s="379"/>
      <c r="Y155" s="381"/>
      <c r="Z155" s="464"/>
      <c r="AA155" s="381"/>
      <c r="AB155" s="381"/>
      <c r="AC155" s="381"/>
      <c r="AD155" s="381"/>
      <c r="AE155" s="381"/>
      <c r="AF155" s="381"/>
      <c r="AI155" s="381"/>
      <c r="AJ155" s="381"/>
      <c r="AK155" s="162"/>
      <c r="AL155" s="381"/>
      <c r="AM155" s="50"/>
      <c r="AN155" s="50"/>
    </row>
    <row r="156" spans="1:40" x14ac:dyDescent="0.25">
      <c r="A156" s="53"/>
      <c r="C156" s="54"/>
      <c r="F156" s="379"/>
      <c r="H156" s="449"/>
      <c r="I156" s="449"/>
      <c r="J156" s="221"/>
      <c r="K156" s="221"/>
      <c r="L156" s="379"/>
      <c r="M156" s="379"/>
      <c r="N156" s="50"/>
      <c r="O156" s="50"/>
      <c r="P156" s="379"/>
      <c r="Q156" s="379"/>
      <c r="R156" s="379"/>
      <c r="T156" s="54"/>
      <c r="V156" s="379"/>
      <c r="Y156" s="379"/>
      <c r="Z156" s="464"/>
      <c r="AA156" s="379"/>
      <c r="AB156" s="379"/>
      <c r="AC156" s="50"/>
      <c r="AD156" s="50"/>
      <c r="AE156" s="379"/>
      <c r="AF156" s="379"/>
      <c r="AG156" s="156"/>
      <c r="AH156" s="60"/>
      <c r="AI156" s="379"/>
      <c r="AJ156" s="379"/>
      <c r="AK156" s="156"/>
      <c r="AL156" s="379"/>
      <c r="AM156" s="50"/>
      <c r="AN156" s="50"/>
    </row>
    <row r="157" spans="1:40" x14ac:dyDescent="0.25">
      <c r="A157" s="53"/>
      <c r="C157" s="54"/>
      <c r="H157" s="449"/>
      <c r="I157" s="449"/>
      <c r="J157" s="221"/>
      <c r="K157" s="221"/>
      <c r="L157" s="379"/>
      <c r="M157" s="379"/>
      <c r="N157" s="50"/>
      <c r="O157" s="50"/>
      <c r="P157" s="379"/>
      <c r="Q157" s="379"/>
      <c r="R157" s="379"/>
      <c r="V157" s="379"/>
      <c r="Y157" s="381"/>
      <c r="Z157" s="464"/>
      <c r="AA157" s="381"/>
      <c r="AB157" s="381"/>
      <c r="AC157" s="381"/>
      <c r="AD157" s="381"/>
      <c r="AE157" s="381"/>
      <c r="AF157" s="381"/>
      <c r="AI157" s="381"/>
      <c r="AJ157" s="381"/>
      <c r="AK157" s="162"/>
      <c r="AL157" s="381"/>
      <c r="AM157" s="50"/>
      <c r="AN157" s="50"/>
    </row>
    <row r="158" spans="1:40" x14ac:dyDescent="0.25">
      <c r="F158" s="379"/>
      <c r="H158" s="379"/>
      <c r="I158" s="379"/>
      <c r="J158" s="464"/>
      <c r="K158" s="464"/>
      <c r="L158" s="381"/>
      <c r="M158" s="381"/>
      <c r="N158" s="381"/>
      <c r="O158" s="381"/>
      <c r="P158" s="381"/>
      <c r="Q158" s="381"/>
      <c r="R158" s="381"/>
      <c r="T158" s="54"/>
      <c r="V158" s="379"/>
      <c r="Y158" s="379"/>
      <c r="Z158" s="464"/>
      <c r="AA158" s="379"/>
      <c r="AB158" s="379"/>
      <c r="AC158" s="379"/>
      <c r="AD158" s="379"/>
      <c r="AE158" s="379"/>
      <c r="AF158" s="379"/>
      <c r="AG158" s="156"/>
      <c r="AH158" s="60"/>
      <c r="AI158" s="379"/>
      <c r="AJ158" s="379"/>
      <c r="AK158" s="156"/>
      <c r="AL158" s="379"/>
      <c r="AM158" s="50"/>
      <c r="AN158" s="50"/>
    </row>
    <row r="159" spans="1:40" x14ac:dyDescent="0.25">
      <c r="A159" s="53"/>
      <c r="C159" s="54"/>
      <c r="F159" s="379"/>
      <c r="H159" s="379"/>
      <c r="I159" s="379"/>
      <c r="J159" s="59"/>
      <c r="K159" s="59"/>
      <c r="L159" s="379"/>
      <c r="M159" s="379"/>
      <c r="N159" s="50"/>
      <c r="O159" s="50"/>
      <c r="P159" s="379"/>
      <c r="Q159" s="379"/>
      <c r="R159" s="379"/>
      <c r="T159" s="54"/>
      <c r="V159" s="379"/>
      <c r="Y159" s="379"/>
      <c r="Z159" s="221"/>
      <c r="AA159" s="379"/>
      <c r="AB159" s="379"/>
      <c r="AC159" s="50"/>
      <c r="AD159" s="50"/>
      <c r="AE159" s="379"/>
      <c r="AF159" s="379"/>
      <c r="AG159" s="156"/>
      <c r="AH159" s="60"/>
      <c r="AI159" s="379"/>
      <c r="AJ159" s="379"/>
      <c r="AK159" s="156"/>
      <c r="AL159" s="379"/>
      <c r="AM159" s="50"/>
      <c r="AN159" s="50"/>
    </row>
    <row r="160" spans="1:40" x14ac:dyDescent="0.25">
      <c r="F160" s="379"/>
      <c r="H160" s="379"/>
      <c r="I160" s="379"/>
      <c r="J160" s="464"/>
      <c r="K160" s="464"/>
      <c r="L160" s="381"/>
      <c r="M160" s="381"/>
      <c r="N160" s="381"/>
      <c r="O160" s="381"/>
      <c r="P160" s="381"/>
      <c r="Q160" s="381"/>
      <c r="R160" s="381"/>
      <c r="T160" s="54"/>
      <c r="Y160" s="379"/>
      <c r="Z160" s="221"/>
      <c r="AA160" s="379"/>
      <c r="AB160" s="379"/>
      <c r="AC160" s="50"/>
      <c r="AD160" s="50"/>
      <c r="AE160" s="379"/>
      <c r="AF160" s="379"/>
      <c r="AG160" s="156"/>
      <c r="AH160" s="60"/>
      <c r="AI160" s="379"/>
      <c r="AJ160" s="379"/>
      <c r="AK160" s="156"/>
      <c r="AL160" s="379"/>
      <c r="AM160" s="50"/>
      <c r="AN160" s="50"/>
    </row>
    <row r="161" spans="1:40" x14ac:dyDescent="0.25">
      <c r="A161" s="53"/>
      <c r="C161" s="54"/>
      <c r="F161" s="379"/>
      <c r="H161" s="379"/>
      <c r="I161" s="379"/>
      <c r="J161" s="59"/>
      <c r="K161" s="59"/>
      <c r="L161" s="379"/>
      <c r="M161" s="379"/>
      <c r="N161" s="50"/>
      <c r="O161" s="50"/>
      <c r="P161" s="379"/>
      <c r="Q161" s="379"/>
      <c r="R161" s="379"/>
      <c r="V161" s="379"/>
      <c r="Y161" s="379"/>
      <c r="Z161" s="464"/>
      <c r="AA161" s="381"/>
      <c r="AB161" s="381"/>
      <c r="AC161" s="381"/>
      <c r="AD161" s="381"/>
      <c r="AE161" s="381"/>
      <c r="AF161" s="381"/>
      <c r="AI161" s="381"/>
      <c r="AJ161" s="381"/>
      <c r="AK161" s="162"/>
      <c r="AL161" s="381"/>
      <c r="AM161" s="50"/>
      <c r="AN161" s="50"/>
    </row>
    <row r="162" spans="1:40" x14ac:dyDescent="0.25">
      <c r="A162" s="53"/>
      <c r="C162" s="54"/>
      <c r="F162" s="449"/>
      <c r="H162" s="449"/>
      <c r="I162" s="449"/>
      <c r="J162" s="472"/>
      <c r="K162" s="472"/>
      <c r="L162" s="379"/>
      <c r="M162" s="379"/>
      <c r="N162" s="50"/>
      <c r="O162" s="50"/>
      <c r="P162" s="379"/>
      <c r="Q162" s="379"/>
      <c r="R162" s="379"/>
      <c r="T162" s="54"/>
      <c r="V162" s="379"/>
      <c r="Y162" s="379"/>
      <c r="Z162" s="59"/>
      <c r="AA162" s="379"/>
      <c r="AB162" s="379"/>
      <c r="AC162" s="50"/>
      <c r="AD162" s="50"/>
      <c r="AE162" s="379"/>
      <c r="AF162" s="379"/>
      <c r="AG162" s="156"/>
      <c r="AH162" s="60"/>
      <c r="AI162" s="379"/>
      <c r="AJ162" s="379"/>
      <c r="AK162" s="156"/>
      <c r="AL162" s="379"/>
      <c r="AM162" s="50"/>
      <c r="AN162" s="50"/>
    </row>
    <row r="163" spans="1:40" x14ac:dyDescent="0.25">
      <c r="F163" s="381"/>
      <c r="H163" s="381"/>
      <c r="I163" s="381"/>
      <c r="J163" s="464"/>
      <c r="K163" s="464"/>
      <c r="L163" s="381"/>
      <c r="M163" s="381"/>
      <c r="N163" s="381"/>
      <c r="O163" s="381"/>
      <c r="P163" s="381"/>
      <c r="Q163" s="381"/>
      <c r="R163" s="381"/>
      <c r="V163" s="379"/>
      <c r="Y163" s="379"/>
      <c r="Z163" s="464"/>
      <c r="AA163" s="381"/>
      <c r="AB163" s="381"/>
      <c r="AC163" s="381"/>
      <c r="AD163" s="381"/>
      <c r="AE163" s="381"/>
      <c r="AF163" s="381"/>
      <c r="AI163" s="381"/>
      <c r="AJ163" s="381"/>
      <c r="AK163" s="162"/>
      <c r="AL163" s="381"/>
      <c r="AM163" s="50"/>
      <c r="AN163" s="50"/>
    </row>
    <row r="164" spans="1:40" x14ac:dyDescent="0.25">
      <c r="A164" s="53"/>
      <c r="C164" s="54"/>
      <c r="F164" s="379"/>
      <c r="H164" s="379"/>
      <c r="I164" s="379"/>
      <c r="J164" s="464"/>
      <c r="K164" s="464"/>
      <c r="L164" s="379"/>
      <c r="M164" s="379"/>
      <c r="N164" s="50"/>
      <c r="O164" s="50"/>
      <c r="P164" s="379"/>
      <c r="Q164" s="379"/>
      <c r="R164" s="379"/>
      <c r="S164" s="379"/>
      <c r="T164" s="54"/>
      <c r="V164" s="379"/>
      <c r="Y164" s="379"/>
      <c r="Z164" s="59"/>
      <c r="AA164" s="379"/>
      <c r="AB164" s="379"/>
      <c r="AC164" s="50"/>
      <c r="AD164" s="50"/>
      <c r="AE164" s="379"/>
      <c r="AF164" s="379"/>
      <c r="AG164" s="156"/>
      <c r="AH164" s="60"/>
      <c r="AI164" s="379"/>
      <c r="AJ164" s="379"/>
      <c r="AK164" s="156"/>
      <c r="AL164" s="379"/>
      <c r="AM164" s="50"/>
      <c r="AN164" s="50"/>
    </row>
    <row r="165" spans="1:40" x14ac:dyDescent="0.25">
      <c r="F165" s="381"/>
      <c r="H165" s="381"/>
      <c r="I165" s="381"/>
      <c r="J165" s="464"/>
      <c r="K165" s="464"/>
      <c r="L165" s="381"/>
      <c r="M165" s="381"/>
      <c r="N165" s="381"/>
      <c r="O165" s="381"/>
      <c r="P165" s="381"/>
      <c r="Q165" s="381"/>
      <c r="R165" s="381"/>
      <c r="S165" s="379"/>
      <c r="T165" s="54"/>
      <c r="V165" s="449"/>
      <c r="Y165" s="379"/>
      <c r="Z165" s="472"/>
      <c r="AA165" s="379"/>
      <c r="AB165" s="379"/>
      <c r="AC165" s="50"/>
      <c r="AD165" s="50"/>
      <c r="AE165" s="379"/>
      <c r="AF165" s="379"/>
      <c r="AG165" s="156"/>
      <c r="AH165" s="60"/>
      <c r="AI165" s="379"/>
      <c r="AJ165" s="379"/>
      <c r="AK165" s="156"/>
      <c r="AL165" s="379"/>
      <c r="AM165" s="50"/>
      <c r="AN165" s="50"/>
    </row>
    <row r="166" spans="1:40" x14ac:dyDescent="0.25">
      <c r="A166" s="53"/>
      <c r="C166" s="54"/>
      <c r="V166" s="381"/>
      <c r="Y166" s="381"/>
      <c r="Z166" s="464"/>
      <c r="AA166" s="381"/>
      <c r="AB166" s="381"/>
      <c r="AC166" s="381"/>
      <c r="AD166" s="381"/>
      <c r="AE166" s="381"/>
      <c r="AF166" s="381"/>
      <c r="AI166" s="381"/>
      <c r="AJ166" s="381"/>
      <c r="AK166" s="162"/>
      <c r="AL166" s="381"/>
      <c r="AM166" s="50"/>
      <c r="AN166" s="50"/>
    </row>
    <row r="167" spans="1:40" x14ac:dyDescent="0.25">
      <c r="A167" s="53"/>
      <c r="C167" s="54"/>
      <c r="F167" s="379"/>
      <c r="H167" s="379"/>
      <c r="I167" s="379"/>
      <c r="L167" s="379"/>
      <c r="M167" s="379"/>
      <c r="N167" s="50"/>
      <c r="O167" s="50"/>
      <c r="P167" s="449"/>
      <c r="Q167" s="449"/>
      <c r="R167" s="379"/>
      <c r="T167" s="54"/>
      <c r="V167" s="379"/>
      <c r="Y167" s="379"/>
      <c r="Z167" s="464"/>
      <c r="AA167" s="379"/>
      <c r="AB167" s="379"/>
      <c r="AC167" s="50"/>
      <c r="AD167" s="50"/>
      <c r="AE167" s="379"/>
      <c r="AF167" s="379"/>
      <c r="AG167" s="156"/>
      <c r="AH167" s="50"/>
      <c r="AI167" s="379"/>
      <c r="AJ167" s="379"/>
      <c r="AK167" s="156"/>
      <c r="AL167" s="379"/>
      <c r="AM167" s="50"/>
      <c r="AN167" s="50"/>
    </row>
    <row r="168" spans="1:40" x14ac:dyDescent="0.25">
      <c r="F168" s="381"/>
      <c r="H168" s="381"/>
      <c r="I168" s="381"/>
      <c r="J168" s="464"/>
      <c r="K168" s="464"/>
      <c r="L168" s="381"/>
      <c r="M168" s="381"/>
      <c r="N168" s="381"/>
      <c r="O168" s="381"/>
      <c r="P168" s="381"/>
      <c r="Q168" s="381"/>
      <c r="R168" s="381"/>
      <c r="V168" s="381"/>
      <c r="Y168" s="381"/>
      <c r="Z168" s="464"/>
      <c r="AA168" s="381"/>
      <c r="AB168" s="381"/>
      <c r="AC168" s="381"/>
      <c r="AD168" s="381"/>
      <c r="AE168" s="381"/>
      <c r="AF168" s="381"/>
      <c r="AI168" s="381"/>
      <c r="AJ168" s="381"/>
      <c r="AK168" s="162"/>
      <c r="AL168" s="381"/>
      <c r="AM168" s="50"/>
      <c r="AN168" s="50"/>
    </row>
    <row r="169" spans="1:40" x14ac:dyDescent="0.25">
      <c r="T169" s="54"/>
    </row>
    <row r="170" spans="1:40" x14ac:dyDescent="0.25">
      <c r="C170" s="54"/>
      <c r="L170" s="379"/>
      <c r="M170" s="379"/>
      <c r="N170" s="379"/>
      <c r="O170" s="379"/>
      <c r="P170" s="379"/>
      <c r="Q170" s="379"/>
      <c r="R170" s="379"/>
      <c r="S170" s="379"/>
      <c r="T170" s="54"/>
      <c r="V170" s="379"/>
      <c r="Y170" s="379"/>
      <c r="AA170" s="379"/>
      <c r="AB170" s="379"/>
      <c r="AC170" s="50"/>
      <c r="AD170" s="50"/>
      <c r="AE170" s="379"/>
      <c r="AF170" s="379"/>
      <c r="AG170" s="156"/>
      <c r="AH170" s="50"/>
      <c r="AI170" s="449"/>
      <c r="AJ170" s="449"/>
      <c r="AK170" s="156"/>
      <c r="AL170" s="379"/>
      <c r="AM170" s="50"/>
      <c r="AN170" s="50"/>
    </row>
    <row r="171" spans="1:40" x14ac:dyDescent="0.25">
      <c r="A171" s="54"/>
      <c r="V171" s="381"/>
      <c r="Y171" s="381"/>
      <c r="Z171" s="464"/>
      <c r="AA171" s="381"/>
      <c r="AB171" s="381"/>
      <c r="AC171" s="381"/>
      <c r="AD171" s="381"/>
      <c r="AE171" s="381"/>
      <c r="AF171" s="381"/>
      <c r="AI171" s="381"/>
      <c r="AJ171" s="381"/>
      <c r="AK171" s="162"/>
      <c r="AL171" s="381"/>
    </row>
    <row r="172" spans="1:40" x14ac:dyDescent="0.25">
      <c r="J172" s="53"/>
      <c r="K172" s="53"/>
    </row>
    <row r="173" spans="1:40" x14ac:dyDescent="0.25">
      <c r="H173" s="54"/>
      <c r="I173" s="54"/>
      <c r="T173" s="54"/>
      <c r="AA173" s="379"/>
      <c r="AB173" s="379"/>
      <c r="AC173" s="379"/>
      <c r="AD173" s="379"/>
      <c r="AI173" s="379"/>
      <c r="AJ173" s="379"/>
      <c r="AK173" s="156"/>
      <c r="AL173" s="379"/>
    </row>
    <row r="174" spans="1:40" x14ac:dyDescent="0.25">
      <c r="J174" s="53"/>
      <c r="K174" s="53"/>
    </row>
    <row r="175" spans="1:40" x14ac:dyDescent="0.25">
      <c r="L175" s="54"/>
      <c r="M175" s="54"/>
      <c r="Z175" s="53"/>
    </row>
    <row r="176" spans="1:40" x14ac:dyDescent="0.25">
      <c r="A176" s="53"/>
      <c r="R176" s="54"/>
      <c r="Y176" s="54"/>
    </row>
    <row r="177" spans="1:40" x14ac:dyDescent="0.25">
      <c r="A177" s="53"/>
      <c r="R177" s="54"/>
      <c r="Z177" s="53"/>
    </row>
    <row r="178" spans="1:40" x14ac:dyDescent="0.25">
      <c r="A178" s="54"/>
      <c r="R178" s="54"/>
      <c r="AK178" s="161"/>
      <c r="AL178" s="54"/>
    </row>
    <row r="179" spans="1:40" x14ac:dyDescent="0.25">
      <c r="L179" s="54"/>
      <c r="M179" s="54"/>
      <c r="R179" s="53"/>
      <c r="AA179" s="54"/>
      <c r="AB179" s="54"/>
      <c r="AK179" s="156"/>
      <c r="AL179" s="53"/>
    </row>
    <row r="180" spans="1:40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154"/>
      <c r="AH180" s="55"/>
      <c r="AI180" s="55"/>
      <c r="AJ180" s="55"/>
      <c r="AK180" s="154"/>
      <c r="AL180" s="55"/>
      <c r="AM180" s="55"/>
      <c r="AN180" s="55"/>
    </row>
    <row r="181" spans="1:40" x14ac:dyDescent="0.25">
      <c r="L181" s="56"/>
      <c r="M181" s="56"/>
      <c r="N181" s="56"/>
      <c r="O181" s="56"/>
      <c r="R181" s="56"/>
      <c r="AA181" s="56"/>
      <c r="AB181" s="56"/>
      <c r="AC181" s="56"/>
      <c r="AD181" s="56"/>
      <c r="AE181" s="56"/>
      <c r="AF181" s="56"/>
      <c r="AG181" s="155"/>
      <c r="AH181" s="56"/>
      <c r="AK181" s="155"/>
      <c r="AL181" s="56"/>
      <c r="AM181" s="56"/>
      <c r="AN181" s="56"/>
    </row>
    <row r="182" spans="1:40" x14ac:dyDescent="0.25">
      <c r="L182" s="56"/>
      <c r="M182" s="56"/>
      <c r="N182" s="56"/>
      <c r="O182" s="56"/>
      <c r="R182" s="56"/>
      <c r="Z182" s="56"/>
      <c r="AA182" s="56"/>
      <c r="AB182" s="56"/>
      <c r="AC182" s="56"/>
      <c r="AD182" s="56"/>
      <c r="AE182" s="56"/>
      <c r="AF182" s="56"/>
      <c r="AG182" s="155"/>
      <c r="AH182" s="56"/>
      <c r="AK182" s="155"/>
      <c r="AL182" s="56"/>
      <c r="AM182" s="56"/>
      <c r="AN182" s="56"/>
    </row>
    <row r="183" spans="1:40" x14ac:dyDescent="0.25">
      <c r="A183" s="56"/>
      <c r="C183" s="56"/>
      <c r="D183" s="56"/>
      <c r="E183" s="56"/>
      <c r="F183" s="56"/>
      <c r="J183" s="56"/>
      <c r="K183" s="56"/>
      <c r="L183" s="56"/>
      <c r="M183" s="56"/>
      <c r="N183" s="56"/>
      <c r="O183" s="56"/>
      <c r="P183" s="56"/>
      <c r="Q183" s="56"/>
      <c r="R183" s="56"/>
      <c r="T183" s="56"/>
      <c r="U183" s="56"/>
      <c r="V183" s="56"/>
      <c r="Z183" s="56"/>
      <c r="AA183" s="56"/>
      <c r="AB183" s="56"/>
      <c r="AC183" s="56"/>
      <c r="AD183" s="56"/>
      <c r="AE183" s="56"/>
      <c r="AF183" s="56"/>
      <c r="AG183" s="155"/>
      <c r="AH183" s="56"/>
      <c r="AI183" s="56"/>
      <c r="AJ183" s="56"/>
      <c r="AK183" s="155"/>
      <c r="AL183" s="56"/>
      <c r="AM183" s="56"/>
      <c r="AN183" s="56"/>
    </row>
    <row r="184" spans="1:40" x14ac:dyDescent="0.25">
      <c r="A184" s="56"/>
      <c r="C184" s="56"/>
      <c r="D184" s="56"/>
      <c r="E184" s="56"/>
      <c r="F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T184" s="56"/>
      <c r="U184" s="56"/>
      <c r="V184" s="56"/>
      <c r="Y184" s="56"/>
      <c r="Z184" s="56"/>
      <c r="AA184" s="56"/>
      <c r="AB184" s="56"/>
      <c r="AC184" s="56"/>
      <c r="AD184" s="56"/>
      <c r="AE184" s="56"/>
      <c r="AF184" s="56"/>
      <c r="AG184" s="155"/>
      <c r="AH184" s="56"/>
      <c r="AI184" s="56"/>
      <c r="AJ184" s="56"/>
      <c r="AK184" s="155"/>
      <c r="AL184" s="56"/>
      <c r="AM184" s="56"/>
      <c r="AN184" s="56"/>
    </row>
    <row r="185" spans="1:40" x14ac:dyDescent="0.25">
      <c r="C185" s="56"/>
      <c r="D185" s="56"/>
      <c r="E185" s="56"/>
      <c r="F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T185" s="56"/>
      <c r="U185" s="56"/>
      <c r="V185" s="56"/>
      <c r="Y185" s="56"/>
      <c r="Z185" s="56"/>
      <c r="AA185" s="56"/>
      <c r="AB185" s="56"/>
      <c r="AC185" s="56"/>
      <c r="AD185" s="56"/>
      <c r="AE185" s="56"/>
      <c r="AF185" s="56"/>
      <c r="AG185" s="155"/>
      <c r="AH185" s="56"/>
      <c r="AI185" s="56"/>
      <c r="AJ185" s="56"/>
      <c r="AK185" s="155"/>
      <c r="AL185" s="56"/>
      <c r="AM185" s="56"/>
      <c r="AN185" s="56"/>
    </row>
    <row r="186" spans="1:40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154"/>
      <c r="AH186" s="55"/>
      <c r="AI186" s="55"/>
      <c r="AJ186" s="55"/>
      <c r="AK186" s="154"/>
      <c r="AL186" s="55"/>
      <c r="AM186" s="55"/>
      <c r="AN186" s="55"/>
    </row>
    <row r="187" spans="1:40" x14ac:dyDescent="0.25"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Y187" s="56"/>
      <c r="Z187" s="56"/>
      <c r="AA187" s="56"/>
      <c r="AB187" s="56"/>
      <c r="AC187" s="56"/>
      <c r="AD187" s="56"/>
      <c r="AE187" s="56"/>
      <c r="AF187" s="56"/>
      <c r="AG187" s="155"/>
      <c r="AH187" s="56"/>
      <c r="AI187" s="56"/>
      <c r="AJ187" s="56"/>
      <c r="AK187" s="155"/>
      <c r="AL187" s="56"/>
      <c r="AM187" s="56"/>
      <c r="AN187" s="56"/>
    </row>
    <row r="188" spans="1:40" x14ac:dyDescent="0.25">
      <c r="A188" s="53"/>
      <c r="C188" s="54"/>
      <c r="D188" s="54"/>
      <c r="E188" s="54"/>
      <c r="T188" s="54"/>
      <c r="U188" s="54"/>
    </row>
    <row r="189" spans="1:40" x14ac:dyDescent="0.25">
      <c r="A189" s="53"/>
      <c r="D189" s="54"/>
      <c r="E189" s="54"/>
      <c r="U189" s="54"/>
    </row>
    <row r="191" spans="1:40" x14ac:dyDescent="0.25">
      <c r="A191" s="53"/>
      <c r="C191" s="54"/>
      <c r="F191" s="449"/>
      <c r="H191" s="449"/>
      <c r="I191" s="449"/>
      <c r="J191" s="461"/>
      <c r="K191" s="461"/>
      <c r="L191" s="379"/>
      <c r="M191" s="379"/>
      <c r="N191" s="50"/>
      <c r="O191" s="50"/>
      <c r="R191" s="379"/>
      <c r="T191" s="54"/>
      <c r="V191" s="379"/>
      <c r="Y191" s="449"/>
      <c r="Z191" s="461"/>
      <c r="AA191" s="379"/>
      <c r="AB191" s="379"/>
      <c r="AC191" s="50"/>
      <c r="AD191" s="50"/>
      <c r="AE191" s="379"/>
      <c r="AF191" s="379"/>
      <c r="AG191" s="474"/>
      <c r="AH191" s="475"/>
      <c r="AK191" s="156"/>
      <c r="AL191" s="379"/>
      <c r="AM191" s="476"/>
      <c r="AN191" s="476"/>
    </row>
    <row r="192" spans="1:40" x14ac:dyDescent="0.25">
      <c r="A192" s="53"/>
      <c r="C192" s="54"/>
      <c r="F192" s="449"/>
      <c r="H192" s="449"/>
      <c r="I192" s="449"/>
      <c r="J192" s="461"/>
      <c r="K192" s="461"/>
      <c r="L192" s="379"/>
      <c r="M192" s="379"/>
      <c r="N192" s="50"/>
      <c r="O192" s="50"/>
      <c r="P192" s="53"/>
      <c r="Q192" s="53"/>
      <c r="R192" s="379"/>
      <c r="T192" s="54"/>
      <c r="V192" s="379"/>
      <c r="Y192" s="449"/>
      <c r="Z192" s="461"/>
      <c r="AA192" s="379"/>
      <c r="AB192" s="379"/>
      <c r="AC192" s="50"/>
      <c r="AD192" s="50"/>
      <c r="AE192" s="379"/>
      <c r="AF192" s="379"/>
      <c r="AG192" s="156"/>
      <c r="AH192" s="60"/>
      <c r="AI192" s="53"/>
      <c r="AJ192" s="53"/>
      <c r="AK192" s="156"/>
      <c r="AL192" s="379"/>
      <c r="AM192" s="50"/>
      <c r="AN192" s="50"/>
    </row>
    <row r="193" spans="1:40" x14ac:dyDescent="0.25">
      <c r="F193" s="381"/>
      <c r="H193" s="379"/>
      <c r="I193" s="379"/>
      <c r="J193" s="464"/>
      <c r="K193" s="464"/>
      <c r="L193" s="381"/>
      <c r="M193" s="381"/>
      <c r="N193" s="381"/>
      <c r="O193" s="381"/>
      <c r="P193" s="381"/>
      <c r="Q193" s="381"/>
      <c r="R193" s="381"/>
      <c r="V193" s="381"/>
      <c r="Y193" s="379"/>
      <c r="Z193" s="464"/>
      <c r="AA193" s="381"/>
      <c r="AB193" s="381"/>
      <c r="AC193" s="381"/>
      <c r="AD193" s="381"/>
      <c r="AE193" s="381"/>
      <c r="AF193" s="381"/>
      <c r="AI193" s="381"/>
      <c r="AJ193" s="381"/>
      <c r="AK193" s="162"/>
      <c r="AL193" s="381"/>
      <c r="AM193" s="50"/>
      <c r="AN193" s="50"/>
    </row>
    <row r="194" spans="1:40" x14ac:dyDescent="0.25">
      <c r="A194" s="53"/>
      <c r="C194" s="54"/>
      <c r="F194" s="379"/>
      <c r="H194" s="379"/>
      <c r="I194" s="379"/>
      <c r="J194" s="464"/>
      <c r="K194" s="464"/>
      <c r="L194" s="379"/>
      <c r="M194" s="379"/>
      <c r="N194" s="50"/>
      <c r="O194" s="50"/>
      <c r="P194" s="379"/>
      <c r="Q194" s="379"/>
      <c r="R194" s="379"/>
      <c r="T194" s="54"/>
      <c r="V194" s="379"/>
      <c r="Y194" s="379"/>
      <c r="Z194" s="59"/>
      <c r="AA194" s="379"/>
      <c r="AB194" s="379"/>
      <c r="AC194" s="50"/>
      <c r="AD194" s="50"/>
      <c r="AE194" s="379"/>
      <c r="AF194" s="379"/>
      <c r="AG194" s="156"/>
      <c r="AH194" s="60"/>
      <c r="AI194" s="379"/>
      <c r="AJ194" s="379"/>
      <c r="AK194" s="156"/>
      <c r="AL194" s="379"/>
      <c r="AM194" s="50"/>
      <c r="AN194" s="50"/>
    </row>
    <row r="195" spans="1:40" x14ac:dyDescent="0.25">
      <c r="F195" s="381"/>
      <c r="H195" s="379"/>
      <c r="I195" s="379"/>
      <c r="J195" s="464"/>
      <c r="K195" s="464"/>
      <c r="L195" s="381"/>
      <c r="M195" s="381"/>
      <c r="N195" s="381"/>
      <c r="O195" s="381"/>
      <c r="P195" s="381"/>
      <c r="Q195" s="381"/>
      <c r="R195" s="381"/>
      <c r="V195" s="381"/>
      <c r="Y195" s="379"/>
      <c r="Z195" s="464"/>
      <c r="AA195" s="381"/>
      <c r="AB195" s="381"/>
      <c r="AC195" s="381"/>
      <c r="AD195" s="381"/>
      <c r="AE195" s="381"/>
      <c r="AF195" s="381"/>
      <c r="AI195" s="381"/>
      <c r="AJ195" s="381"/>
      <c r="AK195" s="162"/>
      <c r="AL195" s="381"/>
      <c r="AM195" s="50"/>
      <c r="AN195" s="50"/>
    </row>
    <row r="196" spans="1:40" x14ac:dyDescent="0.25">
      <c r="F196" s="379"/>
      <c r="H196" s="379"/>
      <c r="I196" s="379"/>
      <c r="J196" s="464"/>
      <c r="K196" s="464"/>
      <c r="L196" s="379"/>
      <c r="M196" s="379"/>
      <c r="N196" s="50"/>
      <c r="O196" s="50"/>
      <c r="P196" s="379"/>
      <c r="Q196" s="379"/>
      <c r="R196" s="379"/>
      <c r="V196" s="379"/>
      <c r="Y196" s="379"/>
      <c r="Z196" s="59"/>
      <c r="AA196" s="379"/>
      <c r="AB196" s="379"/>
      <c r="AC196" s="50"/>
      <c r="AD196" s="50"/>
      <c r="AE196" s="379"/>
      <c r="AF196" s="379"/>
      <c r="AG196" s="156"/>
      <c r="AH196" s="60"/>
      <c r="AI196" s="379"/>
      <c r="AJ196" s="379"/>
      <c r="AK196" s="156"/>
      <c r="AL196" s="379"/>
      <c r="AM196" s="50"/>
      <c r="AN196" s="50"/>
    </row>
    <row r="197" spans="1:40" x14ac:dyDescent="0.25">
      <c r="A197" s="53"/>
      <c r="C197" s="54"/>
      <c r="F197" s="449"/>
      <c r="H197" s="449"/>
      <c r="I197" s="449"/>
      <c r="J197" s="461"/>
      <c r="K197" s="461"/>
      <c r="L197" s="379"/>
      <c r="M197" s="379"/>
      <c r="N197" s="50"/>
      <c r="O197" s="50"/>
      <c r="P197" s="379"/>
      <c r="Q197" s="379"/>
      <c r="R197" s="379"/>
      <c r="T197" s="54"/>
      <c r="V197" s="449"/>
      <c r="Y197" s="379"/>
      <c r="Z197" s="461"/>
      <c r="AA197" s="379"/>
      <c r="AB197" s="379"/>
      <c r="AC197" s="50"/>
      <c r="AD197" s="50"/>
      <c r="AE197" s="379"/>
      <c r="AF197" s="379"/>
      <c r="AG197" s="474"/>
      <c r="AH197" s="475"/>
      <c r="AI197" s="379"/>
      <c r="AJ197" s="379"/>
      <c r="AK197" s="156"/>
      <c r="AL197" s="379"/>
      <c r="AM197" s="476"/>
      <c r="AN197" s="476"/>
    </row>
    <row r="198" spans="1:40" x14ac:dyDescent="0.25">
      <c r="A198" s="53"/>
      <c r="C198" s="54"/>
      <c r="F198" s="449"/>
      <c r="H198" s="449"/>
      <c r="I198" s="449"/>
      <c r="J198" s="461"/>
      <c r="K198" s="461"/>
      <c r="L198" s="379"/>
      <c r="M198" s="379"/>
      <c r="N198" s="50"/>
      <c r="O198" s="50"/>
      <c r="P198" s="379"/>
      <c r="Q198" s="379"/>
      <c r="R198" s="379"/>
      <c r="T198" s="54"/>
      <c r="V198" s="449"/>
      <c r="Y198" s="379"/>
      <c r="Z198" s="461"/>
      <c r="AA198" s="379"/>
      <c r="AB198" s="379"/>
      <c r="AC198" s="50"/>
      <c r="AD198" s="50"/>
      <c r="AE198" s="379"/>
      <c r="AF198" s="379"/>
      <c r="AG198" s="156"/>
      <c r="AH198" s="60"/>
      <c r="AI198" s="379"/>
      <c r="AJ198" s="379"/>
      <c r="AK198" s="156"/>
      <c r="AL198" s="379"/>
      <c r="AM198" s="50"/>
      <c r="AN198" s="50"/>
    </row>
    <row r="199" spans="1:40" x14ac:dyDescent="0.25">
      <c r="F199" s="379"/>
      <c r="H199" s="381"/>
      <c r="I199" s="381"/>
      <c r="J199" s="464"/>
      <c r="K199" s="464"/>
      <c r="L199" s="381"/>
      <c r="M199" s="381"/>
      <c r="N199" s="381"/>
      <c r="O199" s="381"/>
      <c r="P199" s="381"/>
      <c r="Q199" s="381"/>
      <c r="R199" s="381"/>
      <c r="V199" s="379"/>
      <c r="Y199" s="381"/>
      <c r="Z199" s="464"/>
      <c r="AA199" s="381"/>
      <c r="AB199" s="381"/>
      <c r="AC199" s="381"/>
      <c r="AD199" s="381"/>
      <c r="AE199" s="381"/>
      <c r="AF199" s="381"/>
      <c r="AI199" s="381"/>
      <c r="AJ199" s="381"/>
      <c r="AK199" s="162"/>
      <c r="AL199" s="381"/>
      <c r="AM199" s="50"/>
      <c r="AN199" s="50"/>
    </row>
    <row r="200" spans="1:40" x14ac:dyDescent="0.25">
      <c r="A200" s="53"/>
      <c r="C200" s="54"/>
      <c r="F200" s="379"/>
      <c r="H200" s="379"/>
      <c r="I200" s="379"/>
      <c r="J200" s="464"/>
      <c r="K200" s="464"/>
      <c r="L200" s="379"/>
      <c r="M200" s="379"/>
      <c r="N200" s="50"/>
      <c r="O200" s="50"/>
      <c r="P200" s="379"/>
      <c r="Q200" s="379"/>
      <c r="R200" s="379"/>
      <c r="T200" s="54"/>
      <c r="V200" s="379"/>
      <c r="Y200" s="379"/>
      <c r="Z200" s="464"/>
      <c r="AA200" s="379"/>
      <c r="AB200" s="379"/>
      <c r="AC200" s="50"/>
      <c r="AD200" s="50"/>
      <c r="AE200" s="379"/>
      <c r="AF200" s="379"/>
      <c r="AG200" s="156"/>
      <c r="AH200" s="60"/>
      <c r="AI200" s="379"/>
      <c r="AJ200" s="379"/>
      <c r="AK200" s="156"/>
      <c r="AL200" s="379"/>
      <c r="AM200" s="50"/>
      <c r="AN200" s="50"/>
    </row>
    <row r="201" spans="1:40" x14ac:dyDescent="0.25">
      <c r="F201" s="379"/>
      <c r="H201" s="381"/>
      <c r="I201" s="381"/>
      <c r="J201" s="464"/>
      <c r="K201" s="464"/>
      <c r="L201" s="381"/>
      <c r="M201" s="381"/>
      <c r="N201" s="381"/>
      <c r="O201" s="381"/>
      <c r="P201" s="381"/>
      <c r="Q201" s="381"/>
      <c r="R201" s="381"/>
      <c r="V201" s="379"/>
      <c r="Y201" s="381"/>
      <c r="Z201" s="464"/>
      <c r="AA201" s="381"/>
      <c r="AB201" s="381"/>
      <c r="AC201" s="381"/>
      <c r="AD201" s="381"/>
      <c r="AE201" s="381"/>
      <c r="AF201" s="381"/>
      <c r="AI201" s="381"/>
      <c r="AJ201" s="381"/>
      <c r="AK201" s="162"/>
      <c r="AL201" s="381"/>
      <c r="AM201" s="50"/>
      <c r="AN201" s="50"/>
    </row>
    <row r="202" spans="1:40" x14ac:dyDescent="0.25">
      <c r="F202" s="379"/>
      <c r="H202" s="379"/>
      <c r="I202" s="379"/>
      <c r="J202" s="464"/>
      <c r="K202" s="464"/>
      <c r="L202" s="379"/>
      <c r="M202" s="379"/>
      <c r="N202" s="379"/>
      <c r="O202" s="379"/>
      <c r="P202" s="379"/>
      <c r="Q202" s="379"/>
      <c r="R202" s="379"/>
      <c r="V202" s="379"/>
      <c r="Y202" s="379"/>
      <c r="Z202" s="464"/>
      <c r="AA202" s="379"/>
      <c r="AB202" s="379"/>
      <c r="AC202" s="379"/>
      <c r="AD202" s="379"/>
      <c r="AE202" s="379"/>
      <c r="AF202" s="379"/>
      <c r="AG202" s="156"/>
      <c r="AH202" s="60"/>
      <c r="AI202" s="379"/>
      <c r="AJ202" s="379"/>
      <c r="AK202" s="156"/>
      <c r="AL202" s="379"/>
      <c r="AM202" s="50"/>
      <c r="AN202" s="50"/>
    </row>
    <row r="203" spans="1:40" x14ac:dyDescent="0.25">
      <c r="A203" s="53"/>
      <c r="C203" s="54"/>
      <c r="F203" s="449"/>
      <c r="H203" s="449"/>
      <c r="I203" s="449"/>
      <c r="J203" s="472"/>
      <c r="K203" s="472"/>
      <c r="L203" s="379"/>
      <c r="M203" s="379"/>
      <c r="N203" s="50"/>
      <c r="O203" s="50"/>
      <c r="P203" s="449"/>
      <c r="Q203" s="449"/>
      <c r="R203" s="379"/>
      <c r="T203" s="54"/>
      <c r="V203" s="449"/>
      <c r="Y203" s="449"/>
      <c r="Z203" s="477"/>
      <c r="AA203" s="379"/>
      <c r="AB203" s="379"/>
      <c r="AC203" s="50"/>
      <c r="AD203" s="50"/>
      <c r="AE203" s="379"/>
      <c r="AF203" s="379"/>
      <c r="AG203" s="156"/>
      <c r="AH203" s="60"/>
      <c r="AI203" s="449"/>
      <c r="AJ203" s="449"/>
      <c r="AK203" s="156"/>
      <c r="AL203" s="379"/>
      <c r="AM203" s="50"/>
      <c r="AN203" s="50"/>
    </row>
    <row r="204" spans="1:40" x14ac:dyDescent="0.25">
      <c r="A204" s="53"/>
      <c r="C204" s="54"/>
      <c r="F204" s="449"/>
      <c r="H204" s="449"/>
      <c r="I204" s="449"/>
      <c r="J204" s="472"/>
      <c r="K204" s="472"/>
      <c r="L204" s="379"/>
      <c r="M204" s="379"/>
      <c r="N204" s="50"/>
      <c r="O204" s="50"/>
      <c r="P204" s="449"/>
      <c r="Q204" s="449"/>
      <c r="R204" s="379"/>
      <c r="T204" s="54"/>
      <c r="V204" s="449"/>
      <c r="Y204" s="379"/>
      <c r="Z204" s="463"/>
      <c r="AA204" s="379"/>
      <c r="AB204" s="379"/>
      <c r="AC204" s="50"/>
      <c r="AD204" s="50"/>
      <c r="AE204" s="379"/>
      <c r="AF204" s="379"/>
      <c r="AG204" s="156"/>
      <c r="AH204" s="60"/>
      <c r="AI204" s="449"/>
      <c r="AJ204" s="449"/>
      <c r="AK204" s="156"/>
      <c r="AL204" s="379"/>
      <c r="AM204" s="50"/>
      <c r="AN204" s="50"/>
    </row>
    <row r="205" spans="1:40" x14ac:dyDescent="0.25">
      <c r="A205" s="53"/>
      <c r="C205" s="54"/>
      <c r="F205" s="449"/>
      <c r="H205" s="449"/>
      <c r="I205" s="449"/>
      <c r="J205" s="472"/>
      <c r="K205" s="472"/>
      <c r="L205" s="379"/>
      <c r="M205" s="379"/>
      <c r="N205" s="50"/>
      <c r="O205" s="50"/>
      <c r="P205" s="449"/>
      <c r="Q205" s="449"/>
      <c r="R205" s="379"/>
      <c r="T205" s="54"/>
      <c r="V205" s="449"/>
      <c r="Y205" s="379"/>
      <c r="Z205" s="463"/>
      <c r="AA205" s="379"/>
      <c r="AB205" s="379"/>
      <c r="AC205" s="50"/>
      <c r="AD205" s="50"/>
      <c r="AE205" s="379"/>
      <c r="AF205" s="379"/>
      <c r="AG205" s="156"/>
      <c r="AH205" s="60"/>
      <c r="AI205" s="449"/>
      <c r="AJ205" s="449"/>
      <c r="AK205" s="156"/>
      <c r="AL205" s="379"/>
      <c r="AM205" s="50"/>
      <c r="AN205" s="50"/>
    </row>
    <row r="206" spans="1:40" x14ac:dyDescent="0.25">
      <c r="F206" s="381"/>
      <c r="H206" s="381"/>
      <c r="I206" s="381"/>
      <c r="J206" s="464"/>
      <c r="K206" s="464"/>
      <c r="L206" s="381"/>
      <c r="M206" s="381"/>
      <c r="N206" s="381"/>
      <c r="O206" s="381"/>
      <c r="P206" s="381"/>
      <c r="Q206" s="381"/>
      <c r="R206" s="381"/>
      <c r="V206" s="381"/>
      <c r="Y206" s="381"/>
      <c r="Z206" s="464"/>
      <c r="AA206" s="381"/>
      <c r="AB206" s="381"/>
      <c r="AC206" s="381"/>
      <c r="AD206" s="381"/>
      <c r="AE206" s="381"/>
      <c r="AF206" s="381"/>
      <c r="AI206" s="381"/>
      <c r="AJ206" s="381"/>
      <c r="AK206" s="162"/>
      <c r="AL206" s="381"/>
      <c r="AM206" s="50"/>
      <c r="AN206" s="50"/>
    </row>
    <row r="207" spans="1:40" x14ac:dyDescent="0.25">
      <c r="A207" s="53"/>
      <c r="C207" s="54"/>
      <c r="F207" s="379"/>
      <c r="H207" s="379"/>
      <c r="I207" s="379"/>
      <c r="J207" s="59"/>
      <c r="K207" s="59"/>
      <c r="L207" s="379"/>
      <c r="M207" s="379"/>
      <c r="N207" s="50"/>
      <c r="O207" s="50"/>
      <c r="P207" s="379"/>
      <c r="Q207" s="379"/>
      <c r="R207" s="379"/>
      <c r="T207" s="54"/>
      <c r="V207" s="379"/>
      <c r="Y207" s="379"/>
      <c r="Z207" s="59"/>
      <c r="AA207" s="379"/>
      <c r="AB207" s="379"/>
      <c r="AC207" s="50"/>
      <c r="AD207" s="50"/>
      <c r="AE207" s="379"/>
      <c r="AF207" s="379"/>
      <c r="AG207" s="156"/>
      <c r="AH207" s="60"/>
      <c r="AI207" s="379"/>
      <c r="AJ207" s="379"/>
      <c r="AK207" s="156"/>
      <c r="AL207" s="379"/>
      <c r="AM207" s="50"/>
      <c r="AN207" s="50"/>
    </row>
    <row r="208" spans="1:40" x14ac:dyDescent="0.25">
      <c r="F208" s="381"/>
      <c r="H208" s="381"/>
      <c r="I208" s="381"/>
      <c r="J208" s="464"/>
      <c r="K208" s="464"/>
      <c r="L208" s="381"/>
      <c r="M208" s="381"/>
      <c r="N208" s="381"/>
      <c r="O208" s="381"/>
      <c r="P208" s="381"/>
      <c r="Q208" s="381"/>
      <c r="R208" s="381"/>
      <c r="V208" s="381"/>
      <c r="Y208" s="381"/>
      <c r="Z208" s="464"/>
      <c r="AA208" s="381"/>
      <c r="AB208" s="381"/>
      <c r="AC208" s="381"/>
      <c r="AD208" s="381"/>
      <c r="AE208" s="381"/>
      <c r="AF208" s="381"/>
      <c r="AI208" s="381"/>
      <c r="AJ208" s="381"/>
      <c r="AK208" s="162"/>
      <c r="AL208" s="381"/>
      <c r="AM208" s="50"/>
      <c r="AN208" s="50"/>
    </row>
    <row r="209" spans="1:40" x14ac:dyDescent="0.25">
      <c r="A209" s="53"/>
      <c r="C209" s="54"/>
      <c r="F209" s="379"/>
      <c r="H209" s="379"/>
      <c r="I209" s="379"/>
      <c r="J209" s="59"/>
      <c r="K209" s="59"/>
      <c r="L209" s="379"/>
      <c r="M209" s="379"/>
      <c r="N209" s="50"/>
      <c r="O209" s="50"/>
      <c r="P209" s="379"/>
      <c r="Q209" s="379"/>
      <c r="R209" s="379"/>
      <c r="T209" s="54"/>
      <c r="V209" s="379"/>
      <c r="Y209" s="379"/>
      <c r="Z209" s="59"/>
      <c r="AA209" s="379"/>
      <c r="AB209" s="379"/>
      <c r="AC209" s="50"/>
      <c r="AD209" s="50"/>
      <c r="AE209" s="379"/>
      <c r="AF209" s="379"/>
      <c r="AG209" s="156"/>
      <c r="AH209" s="60"/>
      <c r="AI209" s="379"/>
      <c r="AJ209" s="379"/>
      <c r="AK209" s="156"/>
      <c r="AL209" s="379"/>
      <c r="AM209" s="50"/>
      <c r="AN209" s="50"/>
    </row>
    <row r="210" spans="1:40" x14ac:dyDescent="0.25">
      <c r="A210" s="53"/>
      <c r="C210" s="54"/>
      <c r="F210" s="379"/>
      <c r="H210" s="379"/>
      <c r="I210" s="379"/>
      <c r="J210" s="59"/>
      <c r="K210" s="59"/>
      <c r="L210" s="379"/>
      <c r="M210" s="379"/>
      <c r="N210" s="50"/>
      <c r="O210" s="50"/>
      <c r="P210" s="379"/>
      <c r="Q210" s="379"/>
      <c r="R210" s="379"/>
      <c r="T210" s="54"/>
      <c r="V210" s="379"/>
      <c r="Y210" s="379"/>
      <c r="Z210" s="59"/>
      <c r="AA210" s="379"/>
      <c r="AB210" s="379"/>
      <c r="AC210" s="50"/>
      <c r="AD210" s="50"/>
      <c r="AE210" s="379"/>
      <c r="AF210" s="379"/>
      <c r="AG210" s="156"/>
      <c r="AH210" s="60"/>
      <c r="AI210" s="379"/>
      <c r="AJ210" s="379"/>
      <c r="AK210" s="156"/>
      <c r="AL210" s="379"/>
      <c r="AM210" s="50"/>
      <c r="AN210" s="50"/>
    </row>
    <row r="211" spans="1:40" x14ac:dyDescent="0.25">
      <c r="F211" s="381"/>
      <c r="H211" s="381"/>
      <c r="I211" s="381"/>
      <c r="J211" s="464"/>
      <c r="K211" s="464"/>
      <c r="L211" s="381"/>
      <c r="M211" s="381"/>
      <c r="N211" s="381"/>
      <c r="O211" s="381"/>
      <c r="P211" s="381"/>
      <c r="Q211" s="381"/>
      <c r="R211" s="381"/>
      <c r="V211" s="381"/>
      <c r="Y211" s="381"/>
      <c r="Z211" s="464"/>
      <c r="AA211" s="381"/>
      <c r="AB211" s="381"/>
      <c r="AC211" s="381"/>
      <c r="AD211" s="381"/>
      <c r="AE211" s="381"/>
      <c r="AF211" s="381"/>
      <c r="AI211" s="381"/>
      <c r="AJ211" s="381"/>
      <c r="AK211" s="162"/>
      <c r="AL211" s="381"/>
      <c r="AM211" s="379"/>
      <c r="AN211" s="379"/>
    </row>
    <row r="212" spans="1:40" x14ac:dyDescent="0.25">
      <c r="F212" s="379"/>
      <c r="H212" s="379"/>
      <c r="I212" s="379"/>
      <c r="J212" s="59"/>
      <c r="K212" s="59"/>
      <c r="L212" s="379"/>
      <c r="M212" s="379"/>
      <c r="N212" s="379"/>
      <c r="O212" s="379"/>
      <c r="P212" s="379"/>
      <c r="Q212" s="379"/>
      <c r="R212" s="379"/>
      <c r="V212" s="379"/>
      <c r="Y212" s="379"/>
      <c r="Z212" s="59"/>
      <c r="AA212" s="379"/>
      <c r="AB212" s="379"/>
      <c r="AC212" s="379"/>
      <c r="AD212" s="379"/>
    </row>
    <row r="213" spans="1:40" x14ac:dyDescent="0.25">
      <c r="C213" s="54"/>
      <c r="F213" s="379"/>
      <c r="H213" s="379"/>
      <c r="I213" s="379"/>
      <c r="J213" s="59"/>
      <c r="K213" s="59"/>
      <c r="L213" s="379"/>
      <c r="M213" s="379"/>
      <c r="N213" s="379"/>
      <c r="O213" s="379"/>
      <c r="P213" s="379"/>
      <c r="Q213" s="379"/>
      <c r="R213" s="379"/>
      <c r="T213" s="54"/>
      <c r="V213" s="379"/>
      <c r="Y213" s="379"/>
      <c r="Z213" s="59"/>
      <c r="AA213" s="379"/>
      <c r="AB213" s="379"/>
      <c r="AC213" s="379"/>
      <c r="AD213" s="379"/>
    </row>
    <row r="214" spans="1:40" x14ac:dyDescent="0.25">
      <c r="A214" s="54"/>
    </row>
    <row r="215" spans="1:40" x14ac:dyDescent="0.25">
      <c r="J215" s="53"/>
      <c r="K215" s="53"/>
      <c r="Z215" s="53"/>
    </row>
    <row r="216" spans="1:40" x14ac:dyDescent="0.25">
      <c r="H216" s="54"/>
      <c r="I216" s="54"/>
      <c r="Y216" s="54"/>
    </row>
    <row r="217" spans="1:40" x14ac:dyDescent="0.25">
      <c r="J217" s="53"/>
      <c r="K217" s="53"/>
      <c r="Z217" s="53"/>
    </row>
    <row r="218" spans="1:40" x14ac:dyDescent="0.25">
      <c r="L218" s="54"/>
      <c r="M218" s="54"/>
      <c r="AA218" s="54"/>
      <c r="AB218" s="54"/>
    </row>
    <row r="219" spans="1:40" x14ac:dyDescent="0.25">
      <c r="A219" s="53"/>
      <c r="R219" s="54"/>
      <c r="AK219" s="161"/>
      <c r="AL219" s="54"/>
    </row>
    <row r="220" spans="1:40" x14ac:dyDescent="0.25">
      <c r="A220" s="53"/>
      <c r="R220" s="54"/>
      <c r="AK220" s="161"/>
      <c r="AL220" s="54"/>
    </row>
    <row r="221" spans="1:40" x14ac:dyDescent="0.25">
      <c r="A221" s="54"/>
      <c r="R221" s="54"/>
      <c r="AK221" s="161"/>
      <c r="AL221" s="54"/>
    </row>
    <row r="222" spans="1:40" x14ac:dyDescent="0.25">
      <c r="L222" s="54"/>
      <c r="M222" s="54"/>
      <c r="R222" s="53"/>
      <c r="AA222" s="54"/>
      <c r="AB222" s="54"/>
      <c r="AK222" s="156"/>
      <c r="AL222" s="53"/>
    </row>
    <row r="223" spans="1:40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154"/>
      <c r="AH223" s="55"/>
      <c r="AI223" s="55"/>
      <c r="AJ223" s="55"/>
      <c r="AK223" s="154"/>
      <c r="AL223" s="55"/>
      <c r="AM223" s="55"/>
      <c r="AN223" s="55"/>
    </row>
    <row r="224" spans="1:40" x14ac:dyDescent="0.25">
      <c r="L224" s="56"/>
      <c r="M224" s="56"/>
      <c r="N224" s="56"/>
      <c r="O224" s="56"/>
      <c r="R224" s="56"/>
      <c r="AA224" s="56"/>
      <c r="AB224" s="56"/>
      <c r="AC224" s="56"/>
      <c r="AD224" s="56"/>
      <c r="AE224" s="56"/>
      <c r="AF224" s="56"/>
      <c r="AG224" s="155"/>
      <c r="AH224" s="56"/>
      <c r="AK224" s="155"/>
      <c r="AL224" s="56"/>
      <c r="AM224" s="56"/>
      <c r="AN224" s="56"/>
    </row>
    <row r="225" spans="1:40" x14ac:dyDescent="0.25">
      <c r="L225" s="56"/>
      <c r="M225" s="56"/>
      <c r="N225" s="56"/>
      <c r="O225" s="56"/>
      <c r="R225" s="56"/>
      <c r="Z225" s="56"/>
      <c r="AA225" s="56"/>
      <c r="AB225" s="56"/>
      <c r="AC225" s="56"/>
      <c r="AD225" s="56"/>
      <c r="AE225" s="56"/>
      <c r="AF225" s="56"/>
      <c r="AG225" s="155"/>
      <c r="AH225" s="56"/>
      <c r="AK225" s="155"/>
      <c r="AL225" s="56"/>
      <c r="AM225" s="56"/>
      <c r="AN225" s="56"/>
    </row>
    <row r="226" spans="1:40" x14ac:dyDescent="0.25">
      <c r="A226" s="56"/>
      <c r="C226" s="56"/>
      <c r="D226" s="56"/>
      <c r="E226" s="56"/>
      <c r="F226" s="56"/>
      <c r="J226" s="56"/>
      <c r="K226" s="56"/>
      <c r="L226" s="56"/>
      <c r="M226" s="56"/>
      <c r="N226" s="56"/>
      <c r="O226" s="56"/>
      <c r="P226" s="56"/>
      <c r="Q226" s="56"/>
      <c r="R226" s="56"/>
      <c r="T226" s="56"/>
      <c r="U226" s="56"/>
      <c r="V226" s="56"/>
      <c r="Z226" s="56"/>
      <c r="AA226" s="56"/>
      <c r="AB226" s="56"/>
      <c r="AC226" s="56"/>
      <c r="AD226" s="56"/>
      <c r="AE226" s="56"/>
      <c r="AF226" s="56"/>
      <c r="AG226" s="155"/>
      <c r="AH226" s="56"/>
      <c r="AI226" s="56"/>
      <c r="AJ226" s="56"/>
      <c r="AK226" s="155"/>
      <c r="AL226" s="56"/>
      <c r="AM226" s="56"/>
      <c r="AN226" s="56"/>
    </row>
    <row r="227" spans="1:40" x14ac:dyDescent="0.25">
      <c r="A227" s="56"/>
      <c r="C227" s="56"/>
      <c r="D227" s="56"/>
      <c r="E227" s="56"/>
      <c r="F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T227" s="56"/>
      <c r="U227" s="56"/>
      <c r="V227" s="56"/>
      <c r="Y227" s="56"/>
      <c r="Z227" s="56"/>
      <c r="AA227" s="56"/>
      <c r="AB227" s="56"/>
      <c r="AC227" s="56"/>
      <c r="AD227" s="56"/>
      <c r="AE227" s="56"/>
      <c r="AF227" s="56"/>
      <c r="AG227" s="155"/>
      <c r="AH227" s="56"/>
      <c r="AI227" s="56"/>
      <c r="AJ227" s="56"/>
      <c r="AK227" s="155"/>
      <c r="AL227" s="56"/>
      <c r="AM227" s="56"/>
      <c r="AN227" s="56"/>
    </row>
    <row r="228" spans="1:40" x14ac:dyDescent="0.25">
      <c r="C228" s="56"/>
      <c r="D228" s="56"/>
      <c r="E228" s="56"/>
      <c r="F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T228" s="56"/>
      <c r="U228" s="56"/>
      <c r="V228" s="56"/>
      <c r="Y228" s="56"/>
      <c r="Z228" s="56"/>
      <c r="AA228" s="56"/>
      <c r="AB228" s="56"/>
      <c r="AC228" s="56"/>
      <c r="AD228" s="56"/>
      <c r="AE228" s="56"/>
      <c r="AF228" s="56"/>
      <c r="AG228" s="155"/>
      <c r="AH228" s="56"/>
      <c r="AI228" s="56"/>
      <c r="AJ228" s="56"/>
      <c r="AK228" s="155"/>
      <c r="AL228" s="56"/>
      <c r="AM228" s="56"/>
      <c r="AN228" s="56"/>
    </row>
    <row r="229" spans="1:40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154"/>
      <c r="AH229" s="55"/>
      <c r="AI229" s="55"/>
      <c r="AJ229" s="55"/>
      <c r="AK229" s="154"/>
      <c r="AL229" s="55"/>
      <c r="AM229" s="55"/>
      <c r="AN229" s="55"/>
    </row>
    <row r="230" spans="1:40" x14ac:dyDescent="0.25"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Y230" s="56"/>
      <c r="Z230" s="56"/>
      <c r="AA230" s="56"/>
      <c r="AB230" s="56"/>
      <c r="AC230" s="56"/>
      <c r="AD230" s="56"/>
      <c r="AE230" s="56"/>
      <c r="AF230" s="56"/>
      <c r="AG230" s="155"/>
      <c r="AH230" s="56"/>
      <c r="AI230" s="56"/>
      <c r="AJ230" s="56"/>
      <c r="AK230" s="155"/>
      <c r="AL230" s="56"/>
      <c r="AM230" s="56"/>
      <c r="AN230" s="56"/>
    </row>
    <row r="231" spans="1:40" x14ac:dyDescent="0.25">
      <c r="A231" s="53"/>
      <c r="C231" s="54"/>
      <c r="D231" s="54"/>
      <c r="E231" s="54"/>
      <c r="T231" s="54"/>
      <c r="U231" s="54"/>
    </row>
    <row r="233" spans="1:40" x14ac:dyDescent="0.25">
      <c r="A233" s="53"/>
      <c r="C233" s="54"/>
      <c r="F233" s="449"/>
      <c r="H233" s="470"/>
      <c r="I233" s="470"/>
      <c r="J233" s="461"/>
      <c r="K233" s="461"/>
      <c r="L233" s="379"/>
      <c r="M233" s="379"/>
      <c r="N233" s="53"/>
      <c r="O233" s="53"/>
      <c r="P233" s="53"/>
      <c r="Q233" s="53"/>
      <c r="R233" s="379"/>
      <c r="T233" s="54"/>
      <c r="V233" s="379"/>
      <c r="Y233" s="53"/>
      <c r="Z233" s="461"/>
      <c r="AA233" s="379"/>
      <c r="AB233" s="379"/>
      <c r="AC233" s="53"/>
      <c r="AD233" s="53"/>
      <c r="AE233" s="379"/>
      <c r="AF233" s="379"/>
      <c r="AG233" s="474"/>
      <c r="AH233" s="475"/>
      <c r="AI233" s="379"/>
      <c r="AJ233" s="379"/>
      <c r="AK233" s="156"/>
      <c r="AL233" s="379"/>
      <c r="AM233" s="476"/>
      <c r="AN233" s="476"/>
    </row>
    <row r="234" spans="1:40" x14ac:dyDescent="0.25">
      <c r="F234" s="449"/>
      <c r="H234" s="470"/>
      <c r="I234" s="470"/>
      <c r="J234" s="470"/>
      <c r="K234" s="470"/>
      <c r="R234" s="379"/>
      <c r="V234" s="379"/>
      <c r="Z234" s="470"/>
    </row>
    <row r="235" spans="1:40" x14ac:dyDescent="0.25">
      <c r="A235" s="53"/>
      <c r="C235" s="54"/>
      <c r="F235" s="449"/>
      <c r="H235" s="449"/>
      <c r="I235" s="449"/>
      <c r="J235" s="472"/>
      <c r="K235" s="472"/>
      <c r="L235" s="379"/>
      <c r="M235" s="379"/>
      <c r="N235" s="50"/>
      <c r="O235" s="50"/>
      <c r="P235" s="449"/>
      <c r="Q235" s="449"/>
      <c r="R235" s="379"/>
      <c r="T235" s="54"/>
      <c r="V235" s="379"/>
      <c r="Y235" s="379"/>
      <c r="Z235" s="463"/>
      <c r="AA235" s="379"/>
      <c r="AB235" s="379"/>
      <c r="AC235" s="50"/>
      <c r="AD235" s="50"/>
      <c r="AE235" s="379"/>
      <c r="AF235" s="379"/>
      <c r="AG235" s="156"/>
      <c r="AH235" s="60"/>
      <c r="AI235" s="449"/>
      <c r="AJ235" s="449"/>
      <c r="AK235" s="156"/>
      <c r="AL235" s="379"/>
      <c r="AM235" s="50"/>
      <c r="AN235" s="50"/>
    </row>
    <row r="236" spans="1:40" x14ac:dyDescent="0.25">
      <c r="F236" s="381"/>
      <c r="H236" s="381"/>
      <c r="I236" s="381"/>
      <c r="J236" s="464"/>
      <c r="K236" s="464"/>
      <c r="L236" s="381"/>
      <c r="M236" s="381"/>
      <c r="N236" s="381"/>
      <c r="O236" s="381"/>
      <c r="P236" s="381"/>
      <c r="Q236" s="381"/>
      <c r="R236" s="381"/>
      <c r="V236" s="381"/>
      <c r="Y236" s="381"/>
      <c r="Z236" s="464"/>
      <c r="AA236" s="381"/>
      <c r="AB236" s="381"/>
      <c r="AC236" s="381"/>
      <c r="AD236" s="381"/>
      <c r="AE236" s="381"/>
      <c r="AF236" s="381"/>
      <c r="AI236" s="381"/>
      <c r="AJ236" s="381"/>
      <c r="AK236" s="162"/>
      <c r="AL236" s="381"/>
    </row>
    <row r="237" spans="1:40" x14ac:dyDescent="0.25">
      <c r="A237" s="53"/>
      <c r="D237" s="54"/>
      <c r="E237" s="54"/>
      <c r="F237" s="379"/>
      <c r="H237" s="379"/>
      <c r="I237" s="379"/>
      <c r="J237" s="59"/>
      <c r="K237" s="59"/>
      <c r="L237" s="379"/>
      <c r="M237" s="379"/>
      <c r="N237" s="50"/>
      <c r="O237" s="50"/>
      <c r="P237" s="379"/>
      <c r="Q237" s="379"/>
      <c r="R237" s="379"/>
      <c r="U237" s="54"/>
      <c r="V237" s="379"/>
      <c r="Y237" s="379"/>
      <c r="Z237" s="59"/>
      <c r="AA237" s="379"/>
      <c r="AB237" s="379"/>
      <c r="AC237" s="50"/>
      <c r="AD237" s="50"/>
      <c r="AE237" s="379"/>
      <c r="AF237" s="379"/>
      <c r="AG237" s="156"/>
      <c r="AH237" s="60"/>
      <c r="AI237" s="379"/>
      <c r="AJ237" s="379"/>
      <c r="AK237" s="156"/>
      <c r="AL237" s="379"/>
      <c r="AM237" s="50"/>
      <c r="AN237" s="50"/>
    </row>
    <row r="238" spans="1:40" x14ac:dyDescent="0.25">
      <c r="F238" s="381"/>
      <c r="H238" s="381"/>
      <c r="I238" s="381"/>
      <c r="J238" s="464"/>
      <c r="K238" s="464"/>
      <c r="L238" s="381"/>
      <c r="M238" s="381"/>
      <c r="N238" s="381"/>
      <c r="O238" s="381"/>
      <c r="P238" s="381"/>
      <c r="Q238" s="381"/>
      <c r="R238" s="381"/>
      <c r="V238" s="381"/>
      <c r="Y238" s="381"/>
      <c r="Z238" s="464"/>
      <c r="AA238" s="381"/>
      <c r="AB238" s="381"/>
      <c r="AC238" s="381"/>
      <c r="AD238" s="381"/>
      <c r="AE238" s="381"/>
      <c r="AF238" s="381"/>
      <c r="AI238" s="381"/>
      <c r="AJ238" s="381"/>
      <c r="AK238" s="162"/>
      <c r="AL238" s="381"/>
    </row>
    <row r="239" spans="1:40" x14ac:dyDescent="0.25">
      <c r="R239" s="379"/>
    </row>
    <row r="240" spans="1:40" x14ac:dyDescent="0.25">
      <c r="R240" s="379"/>
    </row>
    <row r="241" spans="1:40" x14ac:dyDescent="0.25">
      <c r="R241" s="379"/>
    </row>
    <row r="242" spans="1:40" x14ac:dyDescent="0.25">
      <c r="A242" s="53"/>
      <c r="C242" s="54"/>
      <c r="D242" s="54"/>
      <c r="E242" s="54"/>
      <c r="H242" s="379"/>
      <c r="I242" s="379"/>
      <c r="J242" s="59"/>
      <c r="K242" s="59"/>
      <c r="L242" s="379"/>
      <c r="M242" s="379"/>
      <c r="N242" s="50"/>
      <c r="O242" s="50"/>
      <c r="P242" s="379"/>
      <c r="Q242" s="379"/>
      <c r="R242" s="379"/>
      <c r="T242" s="54"/>
      <c r="U242" s="54"/>
      <c r="Y242" s="379"/>
      <c r="Z242" s="59"/>
      <c r="AA242" s="379"/>
      <c r="AB242" s="379"/>
      <c r="AC242" s="50"/>
      <c r="AD242" s="50"/>
    </row>
    <row r="243" spans="1:40" x14ac:dyDescent="0.25">
      <c r="H243" s="379"/>
      <c r="I243" s="379"/>
      <c r="J243" s="59"/>
      <c r="K243" s="59"/>
      <c r="L243" s="379"/>
      <c r="M243" s="379"/>
      <c r="N243" s="50"/>
      <c r="O243" s="50"/>
      <c r="P243" s="379"/>
      <c r="Q243" s="379"/>
      <c r="R243" s="379"/>
      <c r="Y243" s="379"/>
      <c r="Z243" s="59"/>
      <c r="AA243" s="379"/>
      <c r="AB243" s="379"/>
      <c r="AC243" s="50"/>
      <c r="AD243" s="50"/>
    </row>
    <row r="244" spans="1:40" x14ac:dyDescent="0.25">
      <c r="A244" s="53"/>
      <c r="C244" s="54"/>
      <c r="F244" s="449"/>
      <c r="H244" s="449"/>
      <c r="I244" s="449"/>
      <c r="J244" s="61"/>
      <c r="K244" s="61"/>
      <c r="L244" s="449"/>
      <c r="M244" s="449"/>
      <c r="N244" s="50"/>
      <c r="O244" s="50"/>
      <c r="P244" s="379"/>
      <c r="Q244" s="379"/>
      <c r="R244" s="379"/>
      <c r="T244" s="54"/>
      <c r="V244" s="379"/>
      <c r="Y244" s="379"/>
      <c r="Z244" s="61"/>
      <c r="AA244" s="379"/>
      <c r="AB244" s="379"/>
      <c r="AC244" s="50"/>
      <c r="AD244" s="50"/>
      <c r="AE244" s="379"/>
      <c r="AF244" s="379"/>
      <c r="AG244" s="156"/>
      <c r="AH244" s="60"/>
      <c r="AI244" s="379"/>
      <c r="AJ244" s="379"/>
      <c r="AK244" s="156"/>
      <c r="AL244" s="379"/>
      <c r="AM244" s="50"/>
      <c r="AN244" s="50"/>
    </row>
    <row r="245" spans="1:40" x14ac:dyDescent="0.25">
      <c r="F245" s="449"/>
      <c r="H245" s="470"/>
      <c r="I245" s="470"/>
      <c r="J245" s="470"/>
      <c r="K245" s="470"/>
      <c r="R245" s="379"/>
      <c r="V245" s="379"/>
      <c r="Z245" s="470"/>
    </row>
    <row r="246" spans="1:40" x14ac:dyDescent="0.25">
      <c r="A246" s="53"/>
      <c r="C246" s="54"/>
      <c r="F246" s="449"/>
      <c r="H246" s="449"/>
      <c r="I246" s="449"/>
      <c r="J246" s="461"/>
      <c r="K246" s="461"/>
      <c r="L246" s="379"/>
      <c r="M246" s="379"/>
      <c r="N246" s="50"/>
      <c r="O246" s="50"/>
      <c r="P246" s="379"/>
      <c r="Q246" s="379"/>
      <c r="R246" s="379"/>
      <c r="T246" s="54"/>
      <c r="V246" s="379"/>
      <c r="Y246" s="379"/>
      <c r="Z246" s="461"/>
      <c r="AA246" s="379"/>
      <c r="AB246" s="379"/>
      <c r="AC246" s="50"/>
      <c r="AD246" s="50"/>
      <c r="AE246" s="379"/>
      <c r="AF246" s="379"/>
      <c r="AG246" s="156"/>
      <c r="AH246" s="60"/>
      <c r="AI246" s="379"/>
      <c r="AJ246" s="379"/>
      <c r="AK246" s="156"/>
      <c r="AL246" s="379"/>
      <c r="AM246" s="50"/>
      <c r="AN246" s="50"/>
    </row>
    <row r="247" spans="1:40" x14ac:dyDescent="0.25">
      <c r="F247" s="449"/>
      <c r="H247" s="470"/>
      <c r="I247" s="470"/>
      <c r="J247" s="470"/>
      <c r="K247" s="470"/>
      <c r="R247" s="379"/>
      <c r="V247" s="379"/>
      <c r="Z247" s="470"/>
    </row>
    <row r="248" spans="1:40" x14ac:dyDescent="0.25">
      <c r="A248" s="53"/>
      <c r="C248" s="54"/>
      <c r="F248" s="449"/>
      <c r="H248" s="449"/>
      <c r="I248" s="449"/>
      <c r="J248" s="472"/>
      <c r="K248" s="472"/>
      <c r="L248" s="379"/>
      <c r="M248" s="379"/>
      <c r="N248" s="50"/>
      <c r="O248" s="50"/>
      <c r="P248" s="379"/>
      <c r="Q248" s="379"/>
      <c r="R248" s="379"/>
      <c r="T248" s="54"/>
      <c r="V248" s="379"/>
      <c r="Y248" s="379"/>
      <c r="Z248" s="463"/>
      <c r="AA248" s="379"/>
      <c r="AB248" s="379"/>
      <c r="AC248" s="50"/>
      <c r="AD248" s="50"/>
      <c r="AE248" s="379"/>
      <c r="AF248" s="379"/>
      <c r="AG248" s="156"/>
      <c r="AH248" s="60"/>
      <c r="AI248" s="379"/>
      <c r="AJ248" s="379"/>
      <c r="AK248" s="156"/>
      <c r="AL248" s="379"/>
      <c r="AM248" s="50"/>
      <c r="AN248" s="50"/>
    </row>
    <row r="249" spans="1:40" x14ac:dyDescent="0.25">
      <c r="F249" s="381"/>
      <c r="H249" s="381"/>
      <c r="I249" s="381"/>
      <c r="J249" s="464"/>
      <c r="K249" s="464"/>
      <c r="L249" s="381"/>
      <c r="M249" s="381"/>
      <c r="N249" s="381"/>
      <c r="O249" s="381"/>
      <c r="P249" s="381"/>
      <c r="Q249" s="381"/>
      <c r="R249" s="381"/>
      <c r="S249" s="379"/>
      <c r="V249" s="381"/>
      <c r="Y249" s="381"/>
      <c r="Z249" s="464"/>
      <c r="AA249" s="381"/>
      <c r="AB249" s="381"/>
      <c r="AC249" s="381"/>
      <c r="AD249" s="381"/>
      <c r="AE249" s="381"/>
      <c r="AF249" s="381"/>
      <c r="AI249" s="381"/>
      <c r="AJ249" s="381"/>
      <c r="AK249" s="162"/>
      <c r="AL249" s="381"/>
    </row>
    <row r="250" spans="1:40" x14ac:dyDescent="0.25">
      <c r="A250" s="53"/>
      <c r="D250" s="54"/>
      <c r="E250" s="54"/>
      <c r="F250" s="379"/>
      <c r="H250" s="379"/>
      <c r="I250" s="379"/>
      <c r="J250" s="59"/>
      <c r="K250" s="59"/>
      <c r="L250" s="379"/>
      <c r="M250" s="379"/>
      <c r="N250" s="50"/>
      <c r="O250" s="50"/>
      <c r="P250" s="449"/>
      <c r="Q250" s="449"/>
      <c r="R250" s="379"/>
      <c r="S250" s="379"/>
      <c r="U250" s="54"/>
      <c r="V250" s="379"/>
      <c r="Y250" s="379"/>
      <c r="Z250" s="59"/>
      <c r="AA250" s="379"/>
      <c r="AB250" s="379"/>
      <c r="AC250" s="50"/>
      <c r="AD250" s="50"/>
      <c r="AE250" s="379"/>
      <c r="AF250" s="379"/>
      <c r="AG250" s="156"/>
      <c r="AH250" s="60"/>
      <c r="AI250" s="449"/>
      <c r="AJ250" s="449"/>
      <c r="AK250" s="156"/>
      <c r="AL250" s="379"/>
      <c r="AM250" s="50"/>
      <c r="AN250" s="50"/>
    </row>
    <row r="251" spans="1:40" x14ac:dyDescent="0.25">
      <c r="F251" s="381"/>
      <c r="H251" s="381"/>
      <c r="I251" s="381"/>
      <c r="J251" s="464"/>
      <c r="K251" s="464"/>
      <c r="L251" s="381"/>
      <c r="M251" s="381"/>
      <c r="N251" s="381"/>
      <c r="O251" s="381"/>
      <c r="P251" s="381"/>
      <c r="Q251" s="381"/>
      <c r="R251" s="381"/>
      <c r="S251" s="379"/>
      <c r="V251" s="381"/>
      <c r="Y251" s="381"/>
      <c r="Z251" s="464"/>
      <c r="AA251" s="381"/>
      <c r="AB251" s="381"/>
      <c r="AC251" s="381"/>
      <c r="AD251" s="381"/>
      <c r="AE251" s="381"/>
      <c r="AF251" s="381"/>
      <c r="AI251" s="381"/>
      <c r="AJ251" s="381"/>
      <c r="AK251" s="162"/>
      <c r="AL251" s="381"/>
    </row>
    <row r="252" spans="1:40" x14ac:dyDescent="0.25">
      <c r="R252" s="379"/>
    </row>
    <row r="253" spans="1:40" x14ac:dyDescent="0.25">
      <c r="F253" s="379"/>
      <c r="H253" s="379"/>
      <c r="I253" s="379"/>
      <c r="J253" s="59"/>
      <c r="K253" s="59"/>
      <c r="L253" s="379"/>
      <c r="M253" s="379"/>
      <c r="N253" s="379"/>
      <c r="O253" s="379"/>
      <c r="P253" s="379"/>
      <c r="Q253" s="379"/>
      <c r="R253" s="379"/>
      <c r="V253" s="379"/>
      <c r="Y253" s="379"/>
      <c r="Z253" s="59"/>
      <c r="AA253" s="379"/>
      <c r="AB253" s="379"/>
      <c r="AC253" s="379"/>
      <c r="AD253" s="379"/>
    </row>
    <row r="254" spans="1:40" x14ac:dyDescent="0.25">
      <c r="C254" s="54"/>
      <c r="F254" s="379"/>
      <c r="H254" s="379"/>
      <c r="I254" s="379"/>
      <c r="J254" s="59"/>
      <c r="K254" s="59"/>
      <c r="L254" s="379"/>
      <c r="M254" s="379"/>
      <c r="N254" s="379"/>
      <c r="O254" s="379"/>
      <c r="P254" s="379"/>
      <c r="Q254" s="379"/>
      <c r="R254" s="379"/>
      <c r="T254" s="54"/>
      <c r="V254" s="379"/>
      <c r="Y254" s="379"/>
      <c r="Z254" s="59"/>
      <c r="AA254" s="379"/>
      <c r="AB254" s="379"/>
      <c r="AC254" s="379"/>
      <c r="AD254" s="379"/>
    </row>
    <row r="255" spans="1:40" x14ac:dyDescent="0.25">
      <c r="C255" s="54"/>
      <c r="T255" s="54"/>
    </row>
    <row r="256" spans="1:40" x14ac:dyDescent="0.25">
      <c r="A256" s="54"/>
    </row>
    <row r="258" spans="1:40" x14ac:dyDescent="0.25">
      <c r="J258" s="53"/>
      <c r="K258" s="53"/>
      <c r="Z258" s="53"/>
    </row>
    <row r="259" spans="1:40" x14ac:dyDescent="0.25">
      <c r="H259" s="54"/>
      <c r="I259" s="54"/>
      <c r="Y259" s="54"/>
    </row>
    <row r="260" spans="1:40" x14ac:dyDescent="0.25">
      <c r="J260" s="53"/>
      <c r="K260" s="53"/>
      <c r="Z260" s="53"/>
    </row>
    <row r="261" spans="1:40" x14ac:dyDescent="0.25">
      <c r="L261" s="54"/>
      <c r="M261" s="54"/>
      <c r="AA261" s="54"/>
      <c r="AB261" s="54"/>
    </row>
    <row r="262" spans="1:40" x14ac:dyDescent="0.25">
      <c r="A262" s="53"/>
      <c r="R262" s="54"/>
      <c r="AK262" s="161"/>
      <c r="AL262" s="54"/>
    </row>
    <row r="263" spans="1:40" x14ac:dyDescent="0.25">
      <c r="A263" s="53"/>
      <c r="R263" s="54"/>
      <c r="AK263" s="161"/>
      <c r="AL263" s="54"/>
    </row>
    <row r="264" spans="1:40" x14ac:dyDescent="0.25">
      <c r="A264" s="54"/>
      <c r="R264" s="54"/>
      <c r="AK264" s="161"/>
      <c r="AL264" s="54"/>
    </row>
    <row r="265" spans="1:40" x14ac:dyDescent="0.25">
      <c r="L265" s="54"/>
      <c r="M265" s="54"/>
      <c r="R265" s="53"/>
      <c r="AA265" s="54"/>
      <c r="AB265" s="54"/>
      <c r="AK265" s="156"/>
      <c r="AL265" s="53"/>
    </row>
    <row r="266" spans="1:40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154"/>
      <c r="AH266" s="55"/>
      <c r="AI266" s="55"/>
      <c r="AJ266" s="55"/>
      <c r="AK266" s="154"/>
      <c r="AL266" s="55"/>
      <c r="AM266" s="55"/>
      <c r="AN266" s="55"/>
    </row>
    <row r="267" spans="1:40" x14ac:dyDescent="0.25">
      <c r="L267" s="56"/>
      <c r="M267" s="56"/>
      <c r="N267" s="56"/>
      <c r="O267" s="56"/>
      <c r="R267" s="56"/>
      <c r="AA267" s="56"/>
      <c r="AB267" s="56"/>
      <c r="AC267" s="56"/>
      <c r="AD267" s="56"/>
      <c r="AE267" s="56"/>
      <c r="AF267" s="56"/>
      <c r="AG267" s="155"/>
      <c r="AH267" s="56"/>
      <c r="AK267" s="155"/>
      <c r="AL267" s="56"/>
      <c r="AM267" s="56"/>
      <c r="AN267" s="56"/>
    </row>
    <row r="268" spans="1:40" x14ac:dyDescent="0.25">
      <c r="L268" s="56"/>
      <c r="M268" s="56"/>
      <c r="N268" s="56"/>
      <c r="O268" s="56"/>
      <c r="R268" s="56"/>
      <c r="Z268" s="56"/>
      <c r="AA268" s="56"/>
      <c r="AB268" s="56"/>
      <c r="AC268" s="56"/>
      <c r="AD268" s="56"/>
      <c r="AE268" s="56"/>
      <c r="AF268" s="56"/>
      <c r="AG268" s="155"/>
      <c r="AH268" s="56"/>
      <c r="AK268" s="155"/>
      <c r="AL268" s="56"/>
      <c r="AM268" s="56"/>
      <c r="AN268" s="56"/>
    </row>
    <row r="269" spans="1:40" x14ac:dyDescent="0.25">
      <c r="A269" s="56"/>
      <c r="C269" s="56"/>
      <c r="D269" s="56"/>
      <c r="E269" s="56"/>
      <c r="F269" s="56"/>
      <c r="J269" s="56"/>
      <c r="K269" s="56"/>
      <c r="L269" s="56"/>
      <c r="M269" s="56"/>
      <c r="N269" s="56"/>
      <c r="O269" s="56"/>
      <c r="P269" s="56"/>
      <c r="Q269" s="56"/>
      <c r="R269" s="56"/>
      <c r="T269" s="56"/>
      <c r="U269" s="56"/>
      <c r="V269" s="56"/>
      <c r="Z269" s="56"/>
      <c r="AA269" s="56"/>
      <c r="AB269" s="56"/>
      <c r="AC269" s="56"/>
      <c r="AD269" s="56"/>
      <c r="AE269" s="56"/>
      <c r="AF269" s="56"/>
      <c r="AG269" s="155"/>
      <c r="AH269" s="56"/>
      <c r="AI269" s="56"/>
      <c r="AJ269" s="56"/>
      <c r="AK269" s="155"/>
      <c r="AL269" s="56"/>
      <c r="AM269" s="56"/>
      <c r="AN269" s="56"/>
    </row>
    <row r="270" spans="1:40" x14ac:dyDescent="0.25">
      <c r="A270" s="56"/>
      <c r="C270" s="56"/>
      <c r="D270" s="56"/>
      <c r="E270" s="56"/>
      <c r="F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T270" s="56"/>
      <c r="U270" s="56"/>
      <c r="V270" s="56"/>
      <c r="Y270" s="56"/>
      <c r="Z270" s="56"/>
      <c r="AA270" s="56"/>
      <c r="AB270" s="56"/>
      <c r="AC270" s="56"/>
      <c r="AD270" s="56"/>
      <c r="AE270" s="56"/>
      <c r="AF270" s="56"/>
      <c r="AG270" s="155"/>
      <c r="AH270" s="56"/>
      <c r="AI270" s="56"/>
      <c r="AJ270" s="56"/>
      <c r="AK270" s="155"/>
      <c r="AL270" s="56"/>
      <c r="AM270" s="56"/>
      <c r="AN270" s="56"/>
    </row>
    <row r="271" spans="1:40" x14ac:dyDescent="0.25">
      <c r="C271" s="56"/>
      <c r="D271" s="56"/>
      <c r="E271" s="56"/>
      <c r="F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T271" s="56"/>
      <c r="U271" s="56"/>
      <c r="V271" s="56"/>
      <c r="Y271" s="56"/>
      <c r="Z271" s="56"/>
      <c r="AA271" s="56"/>
      <c r="AB271" s="56"/>
      <c r="AC271" s="56"/>
      <c r="AD271" s="56"/>
      <c r="AE271" s="56"/>
      <c r="AF271" s="56"/>
      <c r="AG271" s="155"/>
      <c r="AH271" s="56"/>
      <c r="AI271" s="56"/>
      <c r="AJ271" s="56"/>
      <c r="AK271" s="155"/>
      <c r="AL271" s="56"/>
      <c r="AM271" s="56"/>
      <c r="AN271" s="56"/>
    </row>
    <row r="272" spans="1:40" x14ac:dyDescent="0.25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154"/>
      <c r="AH272" s="55"/>
      <c r="AI272" s="55"/>
      <c r="AJ272" s="55"/>
      <c r="AK272" s="154"/>
      <c r="AL272" s="55"/>
      <c r="AM272" s="55"/>
      <c r="AN272" s="55"/>
    </row>
    <row r="273" spans="1:40" x14ac:dyDescent="0.25"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Y273" s="56"/>
      <c r="Z273" s="56"/>
      <c r="AA273" s="56"/>
      <c r="AB273" s="56"/>
      <c r="AC273" s="56"/>
      <c r="AD273" s="56"/>
      <c r="AE273" s="56"/>
      <c r="AF273" s="56"/>
      <c r="AG273" s="155"/>
      <c r="AH273" s="56"/>
      <c r="AI273" s="56"/>
      <c r="AJ273" s="56"/>
      <c r="AK273" s="155"/>
      <c r="AL273" s="56"/>
      <c r="AM273" s="56"/>
      <c r="AN273" s="56"/>
    </row>
    <row r="274" spans="1:40" x14ac:dyDescent="0.25">
      <c r="A274" s="53"/>
      <c r="C274" s="54"/>
      <c r="D274" s="54"/>
      <c r="E274" s="54"/>
      <c r="T274" s="54"/>
      <c r="U274" s="54"/>
    </row>
    <row r="275" spans="1:40" x14ac:dyDescent="0.25">
      <c r="A275" s="53"/>
      <c r="D275" s="54"/>
      <c r="E275" s="54"/>
      <c r="U275" s="54"/>
    </row>
    <row r="277" spans="1:40" x14ac:dyDescent="0.25">
      <c r="A277" s="53"/>
      <c r="C277" s="54"/>
      <c r="F277" s="379"/>
      <c r="J277" s="62"/>
      <c r="K277" s="62"/>
      <c r="L277" s="379"/>
      <c r="M277" s="379"/>
      <c r="R277" s="379"/>
      <c r="T277" s="54"/>
      <c r="V277" s="379"/>
      <c r="Z277" s="62"/>
      <c r="AA277" s="379"/>
      <c r="AB277" s="379"/>
      <c r="AK277" s="156"/>
      <c r="AL277" s="379"/>
    </row>
    <row r="278" spans="1:40" x14ac:dyDescent="0.25">
      <c r="F278" s="379"/>
      <c r="R278" s="379"/>
      <c r="V278" s="379"/>
      <c r="AK278" s="156"/>
      <c r="AL278" s="379"/>
    </row>
    <row r="279" spans="1:40" x14ac:dyDescent="0.25">
      <c r="A279" s="53"/>
      <c r="C279" s="54"/>
      <c r="F279" s="449"/>
      <c r="H279" s="449"/>
      <c r="I279" s="449"/>
      <c r="J279" s="461"/>
      <c r="K279" s="461"/>
      <c r="L279" s="379"/>
      <c r="M279" s="379"/>
      <c r="N279" s="50"/>
      <c r="O279" s="50"/>
      <c r="P279" s="379"/>
      <c r="Q279" s="379"/>
      <c r="R279" s="379"/>
      <c r="T279" s="54"/>
      <c r="V279" s="379"/>
      <c r="Y279" s="379"/>
      <c r="Z279" s="461"/>
      <c r="AA279" s="379"/>
      <c r="AB279" s="379"/>
      <c r="AC279" s="50"/>
      <c r="AD279" s="50"/>
      <c r="AE279" s="379"/>
      <c r="AF279" s="379"/>
      <c r="AG279" s="156"/>
      <c r="AH279" s="60"/>
      <c r="AI279" s="379"/>
      <c r="AJ279" s="379"/>
      <c r="AK279" s="156"/>
      <c r="AL279" s="379"/>
      <c r="AM279" s="50"/>
      <c r="AN279" s="50"/>
    </row>
    <row r="280" spans="1:40" x14ac:dyDescent="0.25">
      <c r="A280" s="53"/>
      <c r="C280" s="54"/>
      <c r="F280" s="449"/>
      <c r="H280" s="470"/>
      <c r="I280" s="470"/>
      <c r="J280" s="461"/>
      <c r="K280" s="461"/>
      <c r="L280" s="379"/>
      <c r="M280" s="379"/>
      <c r="N280" s="50"/>
      <c r="O280" s="50"/>
      <c r="P280" s="379"/>
      <c r="Q280" s="379"/>
      <c r="R280" s="379"/>
      <c r="T280" s="54"/>
      <c r="V280" s="379"/>
      <c r="Y280" s="379"/>
      <c r="Z280" s="461"/>
      <c r="AA280" s="379"/>
      <c r="AB280" s="379"/>
      <c r="AC280" s="50"/>
      <c r="AD280" s="50"/>
      <c r="AE280" s="379"/>
      <c r="AF280" s="379"/>
      <c r="AG280" s="156"/>
      <c r="AH280" s="60"/>
      <c r="AI280" s="379"/>
      <c r="AJ280" s="379"/>
      <c r="AK280" s="156"/>
      <c r="AL280" s="379"/>
      <c r="AM280" s="50"/>
      <c r="AN280" s="50"/>
    </row>
    <row r="281" spans="1:40" x14ac:dyDescent="0.25">
      <c r="F281" s="381"/>
      <c r="H281" s="379"/>
      <c r="I281" s="379"/>
      <c r="J281" s="464"/>
      <c r="K281" s="464"/>
      <c r="L281" s="381"/>
      <c r="M281" s="381"/>
      <c r="N281" s="381"/>
      <c r="O281" s="381"/>
      <c r="P281" s="381"/>
      <c r="Q281" s="381"/>
      <c r="R281" s="381"/>
      <c r="V281" s="381"/>
      <c r="Y281" s="379"/>
      <c r="Z281" s="464"/>
      <c r="AA281" s="381"/>
      <c r="AB281" s="381"/>
      <c r="AC281" s="381"/>
      <c r="AD281" s="381"/>
      <c r="AE281" s="381"/>
      <c r="AF281" s="381"/>
      <c r="AI281" s="381"/>
      <c r="AJ281" s="381"/>
      <c r="AK281" s="162"/>
      <c r="AL281" s="381"/>
    </row>
    <row r="282" spans="1:40" x14ac:dyDescent="0.25">
      <c r="A282" s="53"/>
      <c r="C282" s="54"/>
      <c r="F282" s="379"/>
      <c r="H282" s="379"/>
      <c r="I282" s="379"/>
      <c r="J282" s="59"/>
      <c r="K282" s="59"/>
      <c r="L282" s="379"/>
      <c r="M282" s="379"/>
      <c r="N282" s="50"/>
      <c r="O282" s="50"/>
      <c r="P282" s="379"/>
      <c r="Q282" s="379"/>
      <c r="R282" s="379"/>
      <c r="T282" s="54"/>
      <c r="V282" s="379"/>
      <c r="Y282" s="379"/>
      <c r="Z282" s="59"/>
      <c r="AA282" s="379"/>
      <c r="AB282" s="379"/>
      <c r="AC282" s="50"/>
      <c r="AD282" s="50"/>
      <c r="AE282" s="379"/>
      <c r="AF282" s="379"/>
      <c r="AG282" s="156"/>
      <c r="AH282" s="60"/>
      <c r="AI282" s="379"/>
      <c r="AJ282" s="379"/>
      <c r="AK282" s="156"/>
      <c r="AL282" s="379"/>
      <c r="AM282" s="50"/>
      <c r="AN282" s="50"/>
    </row>
    <row r="283" spans="1:40" x14ac:dyDescent="0.25">
      <c r="F283" s="381"/>
      <c r="H283" s="379"/>
      <c r="I283" s="379"/>
      <c r="J283" s="464"/>
      <c r="K283" s="464"/>
      <c r="L283" s="381"/>
      <c r="M283" s="381"/>
      <c r="N283" s="381"/>
      <c r="O283" s="381"/>
      <c r="P283" s="381"/>
      <c r="Q283" s="381"/>
      <c r="R283" s="381"/>
      <c r="V283" s="381"/>
      <c r="Y283" s="379"/>
      <c r="Z283" s="464"/>
      <c r="AA283" s="381"/>
      <c r="AB283" s="381"/>
      <c r="AC283" s="381"/>
      <c r="AD283" s="381"/>
      <c r="AE283" s="381"/>
      <c r="AF283" s="381"/>
      <c r="AI283" s="381"/>
      <c r="AJ283" s="381"/>
      <c r="AK283" s="162"/>
      <c r="AL283" s="381"/>
    </row>
    <row r="284" spans="1:40" x14ac:dyDescent="0.25">
      <c r="F284" s="379"/>
      <c r="R284" s="379"/>
      <c r="V284" s="379"/>
      <c r="AK284" s="156"/>
      <c r="AL284" s="379"/>
    </row>
    <row r="285" spans="1:40" x14ac:dyDescent="0.25">
      <c r="A285" s="53"/>
      <c r="C285" s="54"/>
      <c r="F285" s="379"/>
      <c r="R285" s="379"/>
      <c r="T285" s="54"/>
      <c r="V285" s="379"/>
      <c r="AK285" s="156"/>
      <c r="AL285" s="379"/>
    </row>
    <row r="286" spans="1:40" x14ac:dyDescent="0.25">
      <c r="F286" s="379"/>
      <c r="R286" s="379"/>
      <c r="V286" s="379"/>
      <c r="AK286" s="156"/>
      <c r="AL286" s="379"/>
    </row>
    <row r="287" spans="1:40" x14ac:dyDescent="0.25">
      <c r="A287" s="53"/>
      <c r="C287" s="54"/>
      <c r="F287" s="379"/>
      <c r="H287" s="449"/>
      <c r="I287" s="449"/>
      <c r="J287" s="472"/>
      <c r="K287" s="472"/>
      <c r="L287" s="379"/>
      <c r="M287" s="379"/>
      <c r="N287" s="50"/>
      <c r="O287" s="50"/>
      <c r="P287" s="449"/>
      <c r="Q287" s="449"/>
      <c r="R287" s="379"/>
      <c r="T287" s="54"/>
      <c r="V287" s="379"/>
      <c r="Y287" s="379"/>
      <c r="Z287" s="463"/>
      <c r="AA287" s="379"/>
      <c r="AB287" s="379"/>
      <c r="AC287" s="50"/>
      <c r="AD287" s="50"/>
      <c r="AE287" s="379"/>
      <c r="AF287" s="379"/>
      <c r="AG287" s="156"/>
      <c r="AH287" s="60"/>
      <c r="AI287" s="449"/>
      <c r="AJ287" s="449"/>
      <c r="AK287" s="156"/>
      <c r="AL287" s="379"/>
      <c r="AM287" s="50"/>
      <c r="AN287" s="50"/>
    </row>
    <row r="288" spans="1:40" x14ac:dyDescent="0.25">
      <c r="F288" s="381"/>
      <c r="H288" s="381"/>
      <c r="I288" s="381"/>
      <c r="J288" s="464"/>
      <c r="K288" s="464"/>
      <c r="L288" s="381"/>
      <c r="M288" s="381"/>
      <c r="N288" s="381"/>
      <c r="O288" s="381"/>
      <c r="P288" s="381"/>
      <c r="Q288" s="381"/>
      <c r="R288" s="381"/>
      <c r="V288" s="381"/>
      <c r="Y288" s="381"/>
      <c r="Z288" s="464"/>
      <c r="AA288" s="381"/>
      <c r="AB288" s="381"/>
      <c r="AC288" s="381"/>
      <c r="AD288" s="381"/>
      <c r="AE288" s="381"/>
      <c r="AF288" s="381"/>
      <c r="AI288" s="381"/>
      <c r="AJ288" s="381"/>
      <c r="AK288" s="162"/>
      <c r="AL288" s="381"/>
    </row>
    <row r="290" spans="1:40" x14ac:dyDescent="0.25">
      <c r="A290" s="53"/>
      <c r="C290" s="54"/>
      <c r="F290" s="379"/>
      <c r="H290" s="379"/>
      <c r="I290" s="379"/>
      <c r="J290" s="62"/>
      <c r="K290" s="62"/>
      <c r="L290" s="379"/>
      <c r="M290" s="379"/>
      <c r="N290" s="50"/>
      <c r="O290" s="50"/>
      <c r="P290" s="379"/>
      <c r="Q290" s="379"/>
      <c r="R290" s="379"/>
      <c r="T290" s="54"/>
      <c r="V290" s="379"/>
      <c r="Y290" s="379"/>
      <c r="Z290" s="62"/>
      <c r="AA290" s="379"/>
      <c r="AB290" s="379"/>
      <c r="AC290" s="50"/>
      <c r="AD290" s="50"/>
      <c r="AE290" s="379"/>
      <c r="AF290" s="379"/>
      <c r="AG290" s="156"/>
      <c r="AH290" s="60"/>
      <c r="AI290" s="379"/>
      <c r="AJ290" s="379"/>
      <c r="AK290" s="156"/>
      <c r="AL290" s="379"/>
      <c r="AM290" s="50"/>
      <c r="AN290" s="50"/>
    </row>
    <row r="291" spans="1:40" x14ac:dyDescent="0.25">
      <c r="F291" s="381"/>
      <c r="H291" s="381"/>
      <c r="I291" s="381"/>
      <c r="J291" s="464"/>
      <c r="K291" s="464"/>
      <c r="L291" s="381"/>
      <c r="M291" s="381"/>
      <c r="N291" s="381"/>
      <c r="O291" s="381"/>
      <c r="P291" s="381"/>
      <c r="Q291" s="381"/>
      <c r="R291" s="381"/>
      <c r="V291" s="381"/>
      <c r="Y291" s="381"/>
      <c r="Z291" s="464"/>
      <c r="AA291" s="381"/>
      <c r="AB291" s="381"/>
      <c r="AC291" s="381"/>
      <c r="AD291" s="381"/>
      <c r="AE291" s="381"/>
      <c r="AF291" s="381"/>
      <c r="AI291" s="381"/>
      <c r="AJ291" s="381"/>
      <c r="AK291" s="162"/>
      <c r="AL291" s="381"/>
    </row>
    <row r="292" spans="1:40" x14ac:dyDescent="0.25">
      <c r="R292" s="379"/>
      <c r="AG292" s="156"/>
      <c r="AH292" s="379"/>
    </row>
    <row r="293" spans="1:40" x14ac:dyDescent="0.25">
      <c r="F293" s="379"/>
      <c r="H293" s="379"/>
      <c r="I293" s="379"/>
      <c r="J293" s="59"/>
      <c r="K293" s="59"/>
      <c r="L293" s="379"/>
      <c r="M293" s="379"/>
      <c r="N293" s="379"/>
      <c r="O293" s="379"/>
      <c r="P293" s="379"/>
      <c r="Q293" s="379"/>
      <c r="R293" s="379"/>
      <c r="V293" s="379"/>
      <c r="Y293" s="379"/>
      <c r="Z293" s="59"/>
      <c r="AA293" s="379"/>
      <c r="AB293" s="379"/>
      <c r="AC293" s="379"/>
      <c r="AD293" s="379"/>
      <c r="AE293" s="379"/>
      <c r="AF293" s="379"/>
      <c r="AG293" s="156"/>
      <c r="AH293" s="379"/>
    </row>
    <row r="294" spans="1:40" x14ac:dyDescent="0.25">
      <c r="C294" s="54"/>
      <c r="F294" s="379"/>
      <c r="H294" s="379"/>
      <c r="I294" s="379"/>
      <c r="J294" s="59"/>
      <c r="K294" s="59"/>
      <c r="L294" s="379"/>
      <c r="M294" s="379"/>
      <c r="N294" s="379"/>
      <c r="O294" s="379"/>
      <c r="P294" s="379"/>
      <c r="Q294" s="379"/>
      <c r="R294" s="379"/>
      <c r="T294" s="54"/>
      <c r="V294" s="379"/>
      <c r="Y294" s="379"/>
      <c r="Z294" s="59"/>
      <c r="AA294" s="379"/>
      <c r="AB294" s="379"/>
      <c r="AC294" s="379"/>
      <c r="AD294" s="379"/>
      <c r="AE294" s="379"/>
      <c r="AF294" s="379"/>
      <c r="AG294" s="156"/>
      <c r="AH294" s="379"/>
    </row>
    <row r="295" spans="1:40" x14ac:dyDescent="0.25">
      <c r="A295" s="54"/>
    </row>
    <row r="297" spans="1:40" x14ac:dyDescent="0.25">
      <c r="J297" s="53"/>
      <c r="K297" s="53"/>
      <c r="Z297" s="53"/>
    </row>
    <row r="298" spans="1:40" x14ac:dyDescent="0.25">
      <c r="H298" s="54"/>
      <c r="I298" s="54"/>
      <c r="Y298" s="54"/>
    </row>
    <row r="299" spans="1:40" x14ac:dyDescent="0.25">
      <c r="J299" s="53"/>
      <c r="K299" s="53"/>
      <c r="Z299" s="53"/>
    </row>
    <row r="300" spans="1:40" x14ac:dyDescent="0.25">
      <c r="L300" s="54"/>
      <c r="M300" s="54"/>
      <c r="AA300" s="54"/>
      <c r="AB300" s="54"/>
    </row>
    <row r="301" spans="1:40" x14ac:dyDescent="0.25">
      <c r="A301" s="53"/>
      <c r="R301" s="54"/>
      <c r="AK301" s="161"/>
      <c r="AL301" s="54"/>
    </row>
    <row r="302" spans="1:40" x14ac:dyDescent="0.25">
      <c r="A302" s="53"/>
      <c r="R302" s="54"/>
      <c r="AK302" s="161"/>
      <c r="AL302" s="54"/>
    </row>
    <row r="303" spans="1:40" x14ac:dyDescent="0.25">
      <c r="A303" s="54"/>
      <c r="R303" s="54"/>
      <c r="AK303" s="161"/>
      <c r="AL303" s="54"/>
    </row>
    <row r="304" spans="1:40" x14ac:dyDescent="0.25">
      <c r="L304" s="54"/>
      <c r="M304" s="54"/>
      <c r="R304" s="53"/>
      <c r="AA304" s="54"/>
      <c r="AB304" s="54"/>
      <c r="AK304" s="156"/>
      <c r="AL304" s="53"/>
    </row>
    <row r="305" spans="1:40" x14ac:dyDescent="0.25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154"/>
      <c r="AH305" s="55"/>
      <c r="AI305" s="55"/>
      <c r="AJ305" s="55"/>
      <c r="AK305" s="154"/>
      <c r="AL305" s="55"/>
      <c r="AM305" s="55"/>
      <c r="AN305" s="55"/>
    </row>
    <row r="306" spans="1:40" x14ac:dyDescent="0.25">
      <c r="L306" s="56"/>
      <c r="M306" s="56"/>
      <c r="N306" s="56"/>
      <c r="O306" s="56"/>
      <c r="R306" s="56"/>
      <c r="AA306" s="56"/>
      <c r="AB306" s="56"/>
      <c r="AC306" s="56"/>
      <c r="AD306" s="56"/>
      <c r="AE306" s="56"/>
      <c r="AF306" s="56"/>
      <c r="AG306" s="155"/>
      <c r="AH306" s="56"/>
      <c r="AK306" s="155"/>
      <c r="AL306" s="56"/>
      <c r="AM306" s="56"/>
      <c r="AN306" s="56"/>
    </row>
    <row r="307" spans="1:40" x14ac:dyDescent="0.25">
      <c r="L307" s="56"/>
      <c r="M307" s="56"/>
      <c r="N307" s="56"/>
      <c r="O307" s="56"/>
      <c r="R307" s="56"/>
      <c r="Z307" s="56"/>
      <c r="AA307" s="56"/>
      <c r="AB307" s="56"/>
      <c r="AC307" s="56"/>
      <c r="AD307" s="56"/>
      <c r="AE307" s="56"/>
      <c r="AF307" s="56"/>
      <c r="AG307" s="155"/>
      <c r="AH307" s="56"/>
      <c r="AK307" s="155"/>
      <c r="AL307" s="56"/>
      <c r="AM307" s="56"/>
      <c r="AN307" s="56"/>
    </row>
    <row r="308" spans="1:40" x14ac:dyDescent="0.25">
      <c r="A308" s="56"/>
      <c r="C308" s="56"/>
      <c r="D308" s="56"/>
      <c r="E308" s="56"/>
      <c r="F308" s="56"/>
      <c r="J308" s="56"/>
      <c r="K308" s="56"/>
      <c r="L308" s="56"/>
      <c r="M308" s="56"/>
      <c r="N308" s="56"/>
      <c r="O308" s="56"/>
      <c r="P308" s="56"/>
      <c r="Q308" s="56"/>
      <c r="R308" s="56"/>
      <c r="T308" s="56"/>
      <c r="U308" s="56"/>
      <c r="V308" s="56"/>
      <c r="Z308" s="56"/>
      <c r="AA308" s="56"/>
      <c r="AB308" s="56"/>
      <c r="AC308" s="56"/>
      <c r="AD308" s="56"/>
      <c r="AE308" s="56"/>
      <c r="AF308" s="56"/>
      <c r="AG308" s="155"/>
      <c r="AH308" s="56"/>
      <c r="AI308" s="56"/>
      <c r="AJ308" s="56"/>
      <c r="AK308" s="155"/>
      <c r="AL308" s="56"/>
      <c r="AM308" s="56"/>
      <c r="AN308" s="56"/>
    </row>
    <row r="309" spans="1:40" x14ac:dyDescent="0.25">
      <c r="A309" s="56"/>
      <c r="C309" s="56"/>
      <c r="D309" s="56"/>
      <c r="E309" s="56"/>
      <c r="F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T309" s="56"/>
      <c r="U309" s="56"/>
      <c r="V309" s="56"/>
      <c r="Y309" s="56"/>
      <c r="Z309" s="56"/>
      <c r="AA309" s="56"/>
      <c r="AB309" s="56"/>
      <c r="AC309" s="56"/>
      <c r="AD309" s="56"/>
      <c r="AE309" s="56"/>
      <c r="AF309" s="56"/>
      <c r="AG309" s="155"/>
      <c r="AH309" s="56"/>
      <c r="AI309" s="56"/>
      <c r="AJ309" s="56"/>
      <c r="AK309" s="155"/>
      <c r="AL309" s="56"/>
      <c r="AM309" s="56"/>
      <c r="AN309" s="56"/>
    </row>
    <row r="310" spans="1:40" x14ac:dyDescent="0.25">
      <c r="C310" s="56"/>
      <c r="D310" s="56"/>
      <c r="E310" s="56"/>
      <c r="F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T310" s="56"/>
      <c r="U310" s="56"/>
      <c r="V310" s="56"/>
      <c r="Y310" s="56"/>
      <c r="Z310" s="56"/>
      <c r="AA310" s="56"/>
      <c r="AB310" s="56"/>
      <c r="AC310" s="56"/>
      <c r="AD310" s="56"/>
      <c r="AE310" s="56"/>
      <c r="AF310" s="56"/>
      <c r="AG310" s="155"/>
      <c r="AH310" s="56"/>
      <c r="AI310" s="56"/>
      <c r="AJ310" s="56"/>
      <c r="AK310" s="155"/>
      <c r="AL310" s="56"/>
      <c r="AM310" s="56"/>
      <c r="AN310" s="56"/>
    </row>
    <row r="311" spans="1:40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154"/>
      <c r="AH311" s="55"/>
      <c r="AI311" s="55"/>
      <c r="AJ311" s="55"/>
      <c r="AK311" s="154"/>
      <c r="AL311" s="55"/>
      <c r="AM311" s="55"/>
      <c r="AN311" s="55"/>
    </row>
    <row r="312" spans="1:40" x14ac:dyDescent="0.25"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Y312" s="56"/>
      <c r="Z312" s="56"/>
      <c r="AA312" s="56"/>
      <c r="AB312" s="56"/>
      <c r="AC312" s="56"/>
      <c r="AD312" s="56"/>
      <c r="AE312" s="56"/>
      <c r="AF312" s="56"/>
      <c r="AG312" s="155"/>
      <c r="AH312" s="56"/>
      <c r="AI312" s="56"/>
      <c r="AJ312" s="56"/>
      <c r="AK312" s="155"/>
      <c r="AL312" s="56"/>
      <c r="AM312" s="56"/>
      <c r="AN312" s="56"/>
    </row>
    <row r="313" spans="1:40" x14ac:dyDescent="0.25">
      <c r="A313" s="53"/>
      <c r="C313" s="54"/>
      <c r="D313" s="54"/>
      <c r="E313" s="54"/>
      <c r="T313" s="54"/>
      <c r="U313" s="54"/>
    </row>
    <row r="314" spans="1:40" x14ac:dyDescent="0.25">
      <c r="A314" s="53"/>
      <c r="C314" s="54"/>
      <c r="T314" s="54"/>
    </row>
    <row r="316" spans="1:40" x14ac:dyDescent="0.25">
      <c r="A316" s="53"/>
      <c r="C316" s="54"/>
      <c r="F316" s="449"/>
      <c r="H316" s="449"/>
      <c r="I316" s="449"/>
      <c r="J316" s="461"/>
      <c r="K316" s="461"/>
      <c r="L316" s="379"/>
      <c r="M316" s="379"/>
      <c r="N316" s="50"/>
      <c r="O316" s="50"/>
      <c r="P316" s="53"/>
      <c r="Q316" s="53"/>
      <c r="R316" s="379"/>
      <c r="T316" s="54"/>
      <c r="V316" s="379"/>
      <c r="Y316" s="449"/>
      <c r="Z316" s="461"/>
      <c r="AA316" s="379"/>
      <c r="AB316" s="379"/>
      <c r="AC316" s="50"/>
      <c r="AD316" s="50"/>
      <c r="AE316" s="379"/>
      <c r="AF316" s="379"/>
      <c r="AG316" s="156"/>
      <c r="AH316" s="60"/>
      <c r="AI316" s="53"/>
      <c r="AJ316" s="53"/>
      <c r="AK316" s="156"/>
      <c r="AL316" s="379"/>
      <c r="AM316" s="50"/>
      <c r="AN316" s="50"/>
    </row>
    <row r="317" spans="1:40" x14ac:dyDescent="0.25">
      <c r="F317" s="381"/>
      <c r="H317" s="379"/>
      <c r="I317" s="379"/>
      <c r="J317" s="464"/>
      <c r="K317" s="464"/>
      <c r="L317" s="381"/>
      <c r="M317" s="381"/>
      <c r="N317" s="381"/>
      <c r="O317" s="381"/>
      <c r="P317" s="381"/>
      <c r="Q317" s="381"/>
      <c r="R317" s="381"/>
      <c r="V317" s="381"/>
      <c r="Y317" s="379"/>
      <c r="Z317" s="464"/>
      <c r="AA317" s="381"/>
      <c r="AB317" s="381"/>
      <c r="AC317" s="381"/>
      <c r="AD317" s="381"/>
      <c r="AE317" s="381"/>
      <c r="AF317" s="381"/>
      <c r="AI317" s="381"/>
      <c r="AJ317" s="381"/>
      <c r="AK317" s="162"/>
      <c r="AL317" s="381"/>
      <c r="AM317" s="50"/>
      <c r="AN317" s="50"/>
    </row>
    <row r="318" spans="1:40" x14ac:dyDescent="0.25">
      <c r="A318" s="53"/>
      <c r="C318" s="54"/>
      <c r="F318" s="449"/>
      <c r="H318" s="449"/>
      <c r="I318" s="449"/>
      <c r="J318" s="477"/>
      <c r="K318" s="477"/>
      <c r="L318" s="379"/>
      <c r="M318" s="379"/>
      <c r="N318" s="50"/>
      <c r="O318" s="50"/>
      <c r="P318" s="379"/>
      <c r="Q318" s="379"/>
      <c r="R318" s="379"/>
      <c r="S318" s="379"/>
      <c r="T318" s="54"/>
      <c r="V318" s="449"/>
      <c r="Y318" s="449"/>
      <c r="Z318" s="477"/>
      <c r="AA318" s="379"/>
      <c r="AB318" s="379"/>
      <c r="AC318" s="50"/>
      <c r="AD318" s="50"/>
      <c r="AE318" s="379"/>
      <c r="AF318" s="379"/>
      <c r="AG318" s="156"/>
      <c r="AH318" s="50"/>
      <c r="AI318" s="379"/>
      <c r="AJ318" s="379"/>
      <c r="AK318" s="156"/>
      <c r="AL318" s="379"/>
      <c r="AM318" s="50"/>
      <c r="AN318" s="50"/>
    </row>
    <row r="319" spans="1:40" x14ac:dyDescent="0.25">
      <c r="A319" s="53"/>
      <c r="C319" s="54"/>
      <c r="F319" s="449"/>
      <c r="H319" s="449"/>
      <c r="I319" s="449"/>
      <c r="J319" s="461"/>
      <c r="K319" s="461"/>
      <c r="L319" s="379"/>
      <c r="M319" s="379"/>
      <c r="N319" s="50"/>
      <c r="O319" s="50"/>
      <c r="P319" s="379"/>
      <c r="Q319" s="379"/>
      <c r="R319" s="379"/>
      <c r="T319" s="54"/>
      <c r="V319" s="449"/>
      <c r="Y319" s="379"/>
      <c r="Z319" s="461"/>
      <c r="AA319" s="379"/>
      <c r="AB319" s="379"/>
      <c r="AC319" s="50"/>
      <c r="AD319" s="50"/>
      <c r="AE319" s="379"/>
      <c r="AF319" s="379"/>
      <c r="AG319" s="156"/>
      <c r="AH319" s="60"/>
      <c r="AI319" s="379"/>
      <c r="AJ319" s="379"/>
      <c r="AK319" s="156"/>
      <c r="AL319" s="379"/>
      <c r="AM319" s="50"/>
      <c r="AN319" s="50"/>
    </row>
    <row r="320" spans="1:40" x14ac:dyDescent="0.25">
      <c r="A320" s="53"/>
      <c r="C320" s="54"/>
      <c r="F320" s="449"/>
      <c r="H320" s="449"/>
      <c r="I320" s="449"/>
      <c r="J320" s="461"/>
      <c r="K320" s="461"/>
      <c r="L320" s="379"/>
      <c r="M320" s="379"/>
      <c r="N320" s="50"/>
      <c r="O320" s="50"/>
      <c r="P320" s="379"/>
      <c r="Q320" s="379"/>
      <c r="R320" s="379"/>
      <c r="T320" s="54"/>
      <c r="V320" s="449"/>
      <c r="Y320" s="379"/>
      <c r="Z320" s="461"/>
      <c r="AA320" s="379"/>
      <c r="AB320" s="379"/>
      <c r="AC320" s="50"/>
      <c r="AD320" s="50"/>
      <c r="AE320" s="379"/>
      <c r="AF320" s="379"/>
      <c r="AG320" s="156"/>
      <c r="AH320" s="60"/>
      <c r="AI320" s="379"/>
      <c r="AJ320" s="379"/>
      <c r="AK320" s="156"/>
      <c r="AL320" s="379"/>
      <c r="AM320" s="50"/>
      <c r="AN320" s="50"/>
    </row>
    <row r="321" spans="1:40" x14ac:dyDescent="0.25">
      <c r="F321" s="381"/>
      <c r="H321" s="381"/>
      <c r="I321" s="381"/>
      <c r="J321" s="464"/>
      <c r="K321" s="464"/>
      <c r="L321" s="381"/>
      <c r="M321" s="381"/>
      <c r="N321" s="381"/>
      <c r="O321" s="381"/>
      <c r="P321" s="381"/>
      <c r="Q321" s="381"/>
      <c r="R321" s="381"/>
      <c r="V321" s="381"/>
      <c r="Y321" s="381"/>
      <c r="Z321" s="464"/>
      <c r="AA321" s="381"/>
      <c r="AB321" s="381"/>
      <c r="AC321" s="381"/>
      <c r="AD321" s="381"/>
      <c r="AE321" s="381"/>
      <c r="AF321" s="381"/>
      <c r="AI321" s="381"/>
      <c r="AJ321" s="381"/>
      <c r="AK321" s="162"/>
      <c r="AL321" s="381"/>
      <c r="AM321" s="50"/>
      <c r="AN321" s="50"/>
    </row>
    <row r="322" spans="1:40" x14ac:dyDescent="0.25">
      <c r="A322" s="53"/>
      <c r="C322" s="54"/>
      <c r="F322" s="379"/>
      <c r="H322" s="379"/>
      <c r="I322" s="379"/>
      <c r="J322" s="59"/>
      <c r="K322" s="59"/>
      <c r="L322" s="379"/>
      <c r="M322" s="379"/>
      <c r="N322" s="50"/>
      <c r="O322" s="50"/>
      <c r="P322" s="379"/>
      <c r="Q322" s="379"/>
      <c r="R322" s="379"/>
      <c r="T322" s="54"/>
      <c r="V322" s="379"/>
      <c r="Y322" s="379"/>
      <c r="Z322" s="59"/>
      <c r="AA322" s="379"/>
      <c r="AB322" s="379"/>
      <c r="AC322" s="50"/>
      <c r="AD322" s="50"/>
      <c r="AE322" s="379"/>
      <c r="AF322" s="379"/>
      <c r="AG322" s="156"/>
      <c r="AH322" s="60"/>
      <c r="AI322" s="379"/>
      <c r="AJ322" s="379"/>
      <c r="AK322" s="156"/>
      <c r="AL322" s="379"/>
      <c r="AM322" s="50"/>
      <c r="AN322" s="50"/>
    </row>
    <row r="323" spans="1:40" x14ac:dyDescent="0.25">
      <c r="F323" s="381"/>
      <c r="H323" s="381"/>
      <c r="I323" s="381"/>
      <c r="J323" s="464"/>
      <c r="K323" s="464"/>
      <c r="L323" s="381"/>
      <c r="M323" s="381"/>
      <c r="N323" s="381"/>
      <c r="O323" s="381"/>
      <c r="P323" s="381"/>
      <c r="Q323" s="381"/>
      <c r="R323" s="381"/>
      <c r="V323" s="381"/>
      <c r="Y323" s="381"/>
      <c r="Z323" s="464"/>
      <c r="AA323" s="381"/>
      <c r="AB323" s="381"/>
      <c r="AC323" s="381"/>
      <c r="AD323" s="381"/>
      <c r="AE323" s="381"/>
      <c r="AF323" s="381"/>
      <c r="AI323" s="381"/>
      <c r="AJ323" s="381"/>
      <c r="AK323" s="162"/>
      <c r="AL323" s="381"/>
      <c r="AM323" s="50"/>
      <c r="AN323" s="50"/>
    </row>
    <row r="324" spans="1:40" x14ac:dyDescent="0.25">
      <c r="A324" s="53"/>
      <c r="C324" s="54"/>
      <c r="F324" s="379"/>
      <c r="H324" s="379"/>
      <c r="I324" s="379"/>
      <c r="J324" s="59"/>
      <c r="K324" s="59"/>
      <c r="L324" s="379"/>
      <c r="M324" s="379"/>
      <c r="N324" s="50"/>
      <c r="O324" s="50"/>
      <c r="P324" s="379"/>
      <c r="Q324" s="379"/>
      <c r="R324" s="379"/>
      <c r="T324" s="54"/>
      <c r="V324" s="379"/>
      <c r="Y324" s="379"/>
      <c r="Z324" s="59"/>
      <c r="AA324" s="379"/>
      <c r="AB324" s="379"/>
      <c r="AC324" s="50"/>
      <c r="AD324" s="50"/>
      <c r="AE324" s="379"/>
      <c r="AF324" s="379"/>
      <c r="AG324" s="156"/>
      <c r="AH324" s="60"/>
      <c r="AI324" s="379"/>
      <c r="AJ324" s="379"/>
      <c r="AK324" s="156"/>
      <c r="AL324" s="379"/>
      <c r="AM324" s="50"/>
      <c r="AN324" s="50"/>
    </row>
    <row r="325" spans="1:40" x14ac:dyDescent="0.25">
      <c r="A325" s="53"/>
      <c r="C325" s="54"/>
      <c r="F325" s="379"/>
      <c r="H325" s="449"/>
      <c r="I325" s="449"/>
      <c r="J325" s="472"/>
      <c r="K325" s="472"/>
      <c r="L325" s="379"/>
      <c r="M325" s="379"/>
      <c r="N325" s="50"/>
      <c r="O325" s="50"/>
      <c r="P325" s="379"/>
      <c r="Q325" s="379"/>
      <c r="R325" s="379"/>
      <c r="T325" s="54"/>
      <c r="V325" s="379"/>
      <c r="Y325" s="379"/>
      <c r="Z325" s="463"/>
      <c r="AA325" s="379"/>
      <c r="AB325" s="379"/>
      <c r="AC325" s="50"/>
      <c r="AD325" s="50"/>
      <c r="AE325" s="379"/>
      <c r="AF325" s="379"/>
      <c r="AG325" s="156"/>
      <c r="AH325" s="60"/>
      <c r="AI325" s="379"/>
      <c r="AJ325" s="379"/>
      <c r="AK325" s="156"/>
      <c r="AL325" s="379"/>
      <c r="AM325" s="50"/>
      <c r="AN325" s="50"/>
    </row>
    <row r="326" spans="1:40" x14ac:dyDescent="0.25">
      <c r="F326" s="381"/>
      <c r="H326" s="381"/>
      <c r="I326" s="381"/>
      <c r="J326" s="464"/>
      <c r="K326" s="464"/>
      <c r="L326" s="381"/>
      <c r="M326" s="381"/>
      <c r="N326" s="381"/>
      <c r="O326" s="381"/>
      <c r="P326" s="381"/>
      <c r="Q326" s="381"/>
      <c r="R326" s="381"/>
      <c r="V326" s="381"/>
      <c r="Y326" s="381"/>
      <c r="Z326" s="464"/>
      <c r="AA326" s="381"/>
      <c r="AB326" s="381"/>
      <c r="AC326" s="381"/>
      <c r="AD326" s="381"/>
      <c r="AE326" s="381"/>
      <c r="AF326" s="381"/>
      <c r="AI326" s="381"/>
      <c r="AJ326" s="381"/>
      <c r="AK326" s="162"/>
      <c r="AL326" s="381"/>
      <c r="AM326" s="50"/>
      <c r="AN326" s="50"/>
    </row>
    <row r="328" spans="1:40" x14ac:dyDescent="0.25">
      <c r="A328" s="53"/>
      <c r="C328" s="54"/>
      <c r="F328" s="379"/>
      <c r="H328" s="379"/>
      <c r="I328" s="379"/>
      <c r="J328" s="464"/>
      <c r="K328" s="464"/>
      <c r="L328" s="379"/>
      <c r="M328" s="379"/>
      <c r="N328" s="50"/>
      <c r="O328" s="50"/>
      <c r="P328" s="379"/>
      <c r="Q328" s="379"/>
      <c r="R328" s="379"/>
      <c r="S328" s="379"/>
      <c r="T328" s="54"/>
      <c r="V328" s="379"/>
      <c r="Y328" s="379"/>
      <c r="Z328" s="464"/>
      <c r="AA328" s="379"/>
      <c r="AB328" s="379"/>
      <c r="AC328" s="50"/>
      <c r="AD328" s="50"/>
      <c r="AE328" s="379"/>
      <c r="AF328" s="379"/>
      <c r="AG328" s="156"/>
      <c r="AH328" s="50"/>
      <c r="AI328" s="379"/>
      <c r="AJ328" s="379"/>
      <c r="AK328" s="156"/>
      <c r="AL328" s="379"/>
      <c r="AM328" s="50"/>
      <c r="AN328" s="50"/>
    </row>
    <row r="329" spans="1:40" x14ac:dyDescent="0.25">
      <c r="F329" s="381"/>
      <c r="H329" s="381"/>
      <c r="I329" s="381"/>
      <c r="J329" s="464"/>
      <c r="K329" s="464"/>
      <c r="L329" s="381"/>
      <c r="M329" s="381"/>
      <c r="N329" s="381"/>
      <c r="O329" s="381"/>
      <c r="P329" s="381"/>
      <c r="Q329" s="381"/>
      <c r="R329" s="381"/>
      <c r="S329" s="379"/>
      <c r="V329" s="381"/>
      <c r="Y329" s="381"/>
      <c r="Z329" s="464"/>
      <c r="AA329" s="381"/>
      <c r="AB329" s="381"/>
      <c r="AC329" s="381"/>
      <c r="AD329" s="381"/>
      <c r="AE329" s="381"/>
      <c r="AF329" s="381"/>
      <c r="AI329" s="381"/>
      <c r="AJ329" s="381"/>
      <c r="AK329" s="162"/>
      <c r="AL329" s="381"/>
      <c r="AM329" s="50"/>
      <c r="AN329" s="50"/>
    </row>
    <row r="330" spans="1:40" x14ac:dyDescent="0.25">
      <c r="A330" s="53"/>
      <c r="C330" s="54"/>
      <c r="F330" s="449"/>
      <c r="H330" s="449"/>
      <c r="I330" s="449"/>
      <c r="J330" s="464"/>
      <c r="K330" s="464"/>
      <c r="L330" s="379"/>
      <c r="M330" s="379"/>
      <c r="N330" s="50"/>
      <c r="O330" s="50"/>
      <c r="P330" s="379"/>
      <c r="Q330" s="379"/>
      <c r="R330" s="379"/>
      <c r="S330" s="379"/>
      <c r="T330" s="54"/>
      <c r="V330" s="449"/>
      <c r="Y330" s="449"/>
      <c r="Z330" s="464"/>
      <c r="AA330" s="379"/>
      <c r="AB330" s="379"/>
      <c r="AC330" s="50"/>
      <c r="AD330" s="50"/>
      <c r="AE330" s="379"/>
      <c r="AF330" s="379"/>
      <c r="AI330" s="379"/>
      <c r="AJ330" s="379"/>
      <c r="AK330" s="156"/>
      <c r="AL330" s="379"/>
      <c r="AM330" s="50"/>
      <c r="AN330" s="50"/>
    </row>
    <row r="332" spans="1:40" x14ac:dyDescent="0.25">
      <c r="A332" s="53"/>
      <c r="C332" s="54"/>
      <c r="F332" s="449"/>
      <c r="H332" s="449"/>
      <c r="I332" s="449"/>
      <c r="J332" s="461"/>
      <c r="K332" s="461"/>
      <c r="L332" s="379"/>
      <c r="M332" s="379"/>
      <c r="N332" s="50"/>
      <c r="O332" s="50"/>
      <c r="P332" s="53"/>
      <c r="Q332" s="53"/>
      <c r="R332" s="379"/>
      <c r="T332" s="54"/>
      <c r="V332" s="379"/>
      <c r="Y332" s="449"/>
      <c r="Z332" s="461"/>
      <c r="AA332" s="379"/>
      <c r="AB332" s="379"/>
      <c r="AC332" s="50"/>
      <c r="AD332" s="50"/>
      <c r="AE332" s="379"/>
      <c r="AF332" s="379"/>
      <c r="AG332" s="156"/>
      <c r="AH332" s="60"/>
      <c r="AI332" s="53"/>
      <c r="AJ332" s="53"/>
      <c r="AK332" s="156"/>
      <c r="AL332" s="379"/>
      <c r="AM332" s="50"/>
      <c r="AN332" s="50"/>
    </row>
    <row r="333" spans="1:40" x14ac:dyDescent="0.25">
      <c r="F333" s="381"/>
      <c r="H333" s="379"/>
      <c r="I333" s="379"/>
      <c r="J333" s="464"/>
      <c r="K333" s="464"/>
      <c r="L333" s="381"/>
      <c r="M333" s="381"/>
      <c r="N333" s="381"/>
      <c r="O333" s="381"/>
      <c r="P333" s="381"/>
      <c r="Q333" s="381"/>
      <c r="R333" s="381"/>
      <c r="V333" s="381"/>
      <c r="Y333" s="379"/>
      <c r="Z333" s="464"/>
      <c r="AA333" s="381"/>
      <c r="AB333" s="381"/>
      <c r="AC333" s="381"/>
      <c r="AD333" s="381"/>
      <c r="AE333" s="381"/>
      <c r="AF333" s="381"/>
      <c r="AI333" s="381"/>
      <c r="AJ333" s="381"/>
      <c r="AK333" s="162"/>
      <c r="AL333" s="381"/>
      <c r="AM333" s="50"/>
      <c r="AN333" s="50"/>
    </row>
    <row r="334" spans="1:40" x14ac:dyDescent="0.25">
      <c r="A334" s="53"/>
      <c r="C334" s="54"/>
      <c r="F334" s="449"/>
      <c r="H334" s="449"/>
      <c r="I334" s="449"/>
      <c r="J334" s="477"/>
      <c r="K334" s="477"/>
      <c r="L334" s="379"/>
      <c r="M334" s="379"/>
      <c r="N334" s="50"/>
      <c r="O334" s="50"/>
      <c r="P334" s="379"/>
      <c r="Q334" s="379"/>
      <c r="R334" s="379"/>
      <c r="S334" s="379"/>
      <c r="T334" s="54"/>
      <c r="V334" s="449"/>
      <c r="Y334" s="449"/>
      <c r="Z334" s="477"/>
      <c r="AA334" s="379"/>
      <c r="AB334" s="379"/>
      <c r="AC334" s="50"/>
      <c r="AD334" s="50"/>
      <c r="AE334" s="379"/>
      <c r="AF334" s="379"/>
      <c r="AG334" s="156"/>
      <c r="AH334" s="50"/>
      <c r="AI334" s="379"/>
      <c r="AJ334" s="379"/>
      <c r="AK334" s="156"/>
      <c r="AL334" s="379"/>
      <c r="AM334" s="50"/>
      <c r="AN334" s="50"/>
    </row>
    <row r="335" spans="1:40" x14ac:dyDescent="0.25">
      <c r="A335" s="53"/>
      <c r="C335" s="54"/>
      <c r="F335" s="449"/>
      <c r="H335" s="449"/>
      <c r="I335" s="449"/>
      <c r="J335" s="461"/>
      <c r="K335" s="461"/>
      <c r="L335" s="379"/>
      <c r="M335" s="379"/>
      <c r="N335" s="50"/>
      <c r="O335" s="50"/>
      <c r="P335" s="379"/>
      <c r="Q335" s="379"/>
      <c r="R335" s="379"/>
      <c r="T335" s="54"/>
      <c r="V335" s="449"/>
      <c r="Y335" s="379"/>
      <c r="Z335" s="461"/>
      <c r="AA335" s="379"/>
      <c r="AB335" s="379"/>
      <c r="AC335" s="50"/>
      <c r="AD335" s="50"/>
      <c r="AE335" s="379"/>
      <c r="AF335" s="379"/>
      <c r="AG335" s="156"/>
      <c r="AH335" s="60"/>
      <c r="AI335" s="379"/>
      <c r="AJ335" s="379"/>
      <c r="AK335" s="156"/>
      <c r="AL335" s="379"/>
      <c r="AM335" s="50"/>
      <c r="AN335" s="50"/>
    </row>
    <row r="336" spans="1:40" x14ac:dyDescent="0.25">
      <c r="A336" s="53"/>
      <c r="C336" s="54"/>
      <c r="F336" s="449"/>
      <c r="H336" s="449"/>
      <c r="I336" s="449"/>
      <c r="J336" s="461"/>
      <c r="K336" s="461"/>
      <c r="L336" s="379"/>
      <c r="M336" s="379"/>
      <c r="N336" s="50"/>
      <c r="O336" s="50"/>
      <c r="P336" s="379"/>
      <c r="Q336" s="379"/>
      <c r="R336" s="379"/>
      <c r="T336" s="54"/>
      <c r="V336" s="449"/>
      <c r="Y336" s="379"/>
      <c r="Z336" s="461"/>
      <c r="AA336" s="379"/>
      <c r="AB336" s="379"/>
      <c r="AC336" s="50"/>
      <c r="AD336" s="50"/>
      <c r="AE336" s="379"/>
      <c r="AF336" s="379"/>
      <c r="AG336" s="156"/>
      <c r="AH336" s="60"/>
      <c r="AI336" s="379"/>
      <c r="AJ336" s="379"/>
      <c r="AK336" s="156"/>
      <c r="AL336" s="379"/>
      <c r="AM336" s="50"/>
      <c r="AN336" s="50"/>
    </row>
    <row r="337" spans="1:40" x14ac:dyDescent="0.25">
      <c r="F337" s="381"/>
      <c r="H337" s="381"/>
      <c r="I337" s="381"/>
      <c r="J337" s="464"/>
      <c r="K337" s="464"/>
      <c r="L337" s="381"/>
      <c r="M337" s="381"/>
      <c r="N337" s="381"/>
      <c r="O337" s="381"/>
      <c r="P337" s="381"/>
      <c r="Q337" s="381"/>
      <c r="R337" s="381"/>
      <c r="V337" s="381"/>
      <c r="Y337" s="381"/>
      <c r="Z337" s="464"/>
      <c r="AA337" s="381"/>
      <c r="AB337" s="381"/>
      <c r="AC337" s="381"/>
      <c r="AD337" s="381"/>
      <c r="AE337" s="381"/>
      <c r="AF337" s="381"/>
      <c r="AI337" s="381"/>
      <c r="AJ337" s="381"/>
      <c r="AK337" s="162"/>
      <c r="AL337" s="381"/>
      <c r="AM337" s="50"/>
      <c r="AN337" s="50"/>
    </row>
    <row r="338" spans="1:40" x14ac:dyDescent="0.25">
      <c r="A338" s="53"/>
      <c r="C338" s="54"/>
      <c r="F338" s="379"/>
      <c r="H338" s="379"/>
      <c r="I338" s="379"/>
      <c r="J338" s="59"/>
      <c r="K338" s="59"/>
      <c r="L338" s="379"/>
      <c r="M338" s="379"/>
      <c r="N338" s="50"/>
      <c r="O338" s="50"/>
      <c r="P338" s="379"/>
      <c r="Q338" s="379"/>
      <c r="R338" s="379"/>
      <c r="T338" s="54"/>
      <c r="V338" s="379"/>
      <c r="Y338" s="379"/>
      <c r="Z338" s="59"/>
      <c r="AA338" s="379"/>
      <c r="AB338" s="379"/>
      <c r="AC338" s="50"/>
      <c r="AD338" s="50"/>
      <c r="AE338" s="379"/>
      <c r="AF338" s="379"/>
      <c r="AG338" s="156"/>
      <c r="AH338" s="60"/>
      <c r="AI338" s="379"/>
      <c r="AJ338" s="379"/>
      <c r="AK338" s="156"/>
      <c r="AL338" s="379"/>
      <c r="AM338" s="50"/>
      <c r="AN338" s="50"/>
    </row>
    <row r="339" spans="1:40" x14ac:dyDescent="0.25">
      <c r="F339" s="381"/>
      <c r="H339" s="381"/>
      <c r="I339" s="381"/>
      <c r="J339" s="464"/>
      <c r="K339" s="464"/>
      <c r="L339" s="381"/>
      <c r="M339" s="381"/>
      <c r="N339" s="381"/>
      <c r="O339" s="381"/>
      <c r="P339" s="381"/>
      <c r="Q339" s="381"/>
      <c r="R339" s="381"/>
      <c r="V339" s="381"/>
      <c r="Y339" s="381"/>
      <c r="Z339" s="464"/>
      <c r="AA339" s="381"/>
      <c r="AB339" s="381"/>
      <c r="AC339" s="381"/>
      <c r="AD339" s="381"/>
      <c r="AE339" s="381"/>
      <c r="AF339" s="381"/>
      <c r="AI339" s="381"/>
      <c r="AJ339" s="381"/>
      <c r="AK339" s="162"/>
      <c r="AL339" s="381"/>
      <c r="AM339" s="50"/>
      <c r="AN339" s="50"/>
    </row>
    <row r="340" spans="1:40" x14ac:dyDescent="0.25">
      <c r="A340" s="53"/>
      <c r="C340" s="54"/>
      <c r="F340" s="379"/>
      <c r="H340" s="379"/>
      <c r="I340" s="379"/>
      <c r="J340" s="59"/>
      <c r="K340" s="59"/>
      <c r="L340" s="379"/>
      <c r="M340" s="379"/>
      <c r="N340" s="50"/>
      <c r="O340" s="50"/>
      <c r="P340" s="379"/>
      <c r="Q340" s="379"/>
      <c r="R340" s="379"/>
      <c r="T340" s="54"/>
      <c r="V340" s="379"/>
      <c r="Y340" s="379"/>
      <c r="Z340" s="59"/>
      <c r="AA340" s="379"/>
      <c r="AB340" s="379"/>
      <c r="AC340" s="50"/>
      <c r="AD340" s="50"/>
      <c r="AE340" s="379"/>
      <c r="AF340" s="379"/>
      <c r="AG340" s="156"/>
      <c r="AH340" s="60"/>
      <c r="AI340" s="379"/>
      <c r="AJ340" s="379"/>
      <c r="AK340" s="156"/>
      <c r="AL340" s="379"/>
      <c r="AM340" s="50"/>
      <c r="AN340" s="50"/>
    </row>
    <row r="341" spans="1:40" x14ac:dyDescent="0.25">
      <c r="A341" s="53"/>
      <c r="C341" s="54"/>
      <c r="F341" s="379"/>
      <c r="H341" s="449"/>
      <c r="I341" s="449"/>
      <c r="J341" s="472"/>
      <c r="K341" s="472"/>
      <c r="L341" s="379"/>
      <c r="M341" s="379"/>
      <c r="N341" s="50"/>
      <c r="O341" s="50"/>
      <c r="P341" s="379"/>
      <c r="Q341" s="379"/>
      <c r="R341" s="379"/>
      <c r="T341" s="54"/>
      <c r="V341" s="379"/>
      <c r="Y341" s="379"/>
      <c r="Z341" s="463"/>
      <c r="AA341" s="379"/>
      <c r="AB341" s="379"/>
      <c r="AC341" s="50"/>
      <c r="AD341" s="50"/>
      <c r="AE341" s="379"/>
      <c r="AF341" s="379"/>
      <c r="AG341" s="156"/>
      <c r="AH341" s="60"/>
      <c r="AI341" s="379"/>
      <c r="AJ341" s="379"/>
      <c r="AK341" s="156"/>
      <c r="AL341" s="379"/>
      <c r="AM341" s="50"/>
      <c r="AN341" s="50"/>
    </row>
    <row r="342" spans="1:40" x14ac:dyDescent="0.25">
      <c r="F342" s="381"/>
      <c r="H342" s="381"/>
      <c r="I342" s="381"/>
      <c r="J342" s="464"/>
      <c r="K342" s="464"/>
      <c r="L342" s="381"/>
      <c r="M342" s="381"/>
      <c r="N342" s="381"/>
      <c r="O342" s="381"/>
      <c r="P342" s="381"/>
      <c r="Q342" s="381"/>
      <c r="R342" s="381"/>
      <c r="V342" s="381"/>
      <c r="Y342" s="381"/>
      <c r="Z342" s="464"/>
      <c r="AA342" s="381"/>
      <c r="AB342" s="381"/>
      <c r="AC342" s="381"/>
      <c r="AD342" s="381"/>
      <c r="AE342" s="381"/>
      <c r="AF342" s="381"/>
      <c r="AI342" s="381"/>
      <c r="AJ342" s="381"/>
      <c r="AK342" s="162"/>
      <c r="AL342" s="381"/>
      <c r="AM342" s="50"/>
      <c r="AN342" s="50"/>
    </row>
    <row r="344" spans="1:40" x14ac:dyDescent="0.25">
      <c r="A344" s="53"/>
      <c r="C344" s="54"/>
      <c r="F344" s="379"/>
      <c r="H344" s="379"/>
      <c r="I344" s="379"/>
      <c r="J344" s="464"/>
      <c r="K344" s="464"/>
      <c r="L344" s="379"/>
      <c r="M344" s="379"/>
      <c r="N344" s="50"/>
      <c r="O344" s="50"/>
      <c r="P344" s="379"/>
      <c r="Q344" s="379"/>
      <c r="R344" s="379"/>
      <c r="S344" s="379"/>
      <c r="T344" s="54"/>
      <c r="V344" s="379"/>
      <c r="Y344" s="379"/>
      <c r="Z344" s="464"/>
      <c r="AA344" s="379"/>
      <c r="AB344" s="379"/>
      <c r="AC344" s="50"/>
      <c r="AD344" s="50"/>
      <c r="AE344" s="379"/>
      <c r="AF344" s="379"/>
      <c r="AG344" s="156"/>
      <c r="AH344" s="50"/>
      <c r="AI344" s="379"/>
      <c r="AJ344" s="379"/>
      <c r="AK344" s="156"/>
      <c r="AL344" s="379"/>
      <c r="AM344" s="50"/>
      <c r="AN344" s="50"/>
    </row>
    <row r="345" spans="1:40" x14ac:dyDescent="0.25">
      <c r="F345" s="381"/>
      <c r="H345" s="381"/>
      <c r="I345" s="381"/>
      <c r="J345" s="464"/>
      <c r="K345" s="464"/>
      <c r="L345" s="381"/>
      <c r="M345" s="381"/>
      <c r="N345" s="381"/>
      <c r="O345" s="381"/>
      <c r="P345" s="381"/>
      <c r="Q345" s="381"/>
      <c r="R345" s="381"/>
      <c r="S345" s="379"/>
      <c r="V345" s="381"/>
      <c r="Y345" s="381"/>
      <c r="Z345" s="464"/>
      <c r="AA345" s="381"/>
      <c r="AB345" s="381"/>
      <c r="AC345" s="381"/>
      <c r="AD345" s="381"/>
      <c r="AE345" s="381"/>
      <c r="AF345" s="381"/>
      <c r="AI345" s="381"/>
      <c r="AJ345" s="381"/>
      <c r="AK345" s="162"/>
      <c r="AL345" s="381"/>
      <c r="AM345" s="50"/>
      <c r="AN345" s="50"/>
    </row>
    <row r="346" spans="1:40" x14ac:dyDescent="0.25">
      <c r="A346" s="53"/>
      <c r="C346" s="54"/>
      <c r="T346" s="54"/>
    </row>
    <row r="347" spans="1:40" x14ac:dyDescent="0.25">
      <c r="A347" s="53"/>
      <c r="C347" s="54"/>
      <c r="F347" s="379"/>
      <c r="H347" s="379"/>
      <c r="I347" s="379"/>
      <c r="L347" s="379"/>
      <c r="M347" s="379"/>
      <c r="N347" s="50"/>
      <c r="O347" s="50"/>
      <c r="P347" s="449"/>
      <c r="Q347" s="449"/>
      <c r="R347" s="379"/>
      <c r="T347" s="54"/>
      <c r="V347" s="379"/>
      <c r="Y347" s="379"/>
      <c r="AA347" s="379"/>
      <c r="AB347" s="379"/>
      <c r="AC347" s="50"/>
      <c r="AD347" s="50"/>
      <c r="AE347" s="379"/>
      <c r="AF347" s="379"/>
      <c r="AG347" s="156"/>
      <c r="AH347" s="50"/>
      <c r="AI347" s="449"/>
      <c r="AJ347" s="449"/>
      <c r="AK347" s="156"/>
      <c r="AL347" s="379"/>
      <c r="AM347" s="50"/>
      <c r="AN347" s="50"/>
    </row>
    <row r="348" spans="1:40" x14ac:dyDescent="0.25">
      <c r="F348" s="381"/>
      <c r="H348" s="381"/>
      <c r="I348" s="381"/>
      <c r="J348" s="464"/>
      <c r="K348" s="464"/>
      <c r="L348" s="381"/>
      <c r="M348" s="381"/>
      <c r="N348" s="381"/>
      <c r="O348" s="381"/>
      <c r="P348" s="381"/>
      <c r="Q348" s="381"/>
      <c r="R348" s="381"/>
      <c r="V348" s="381"/>
      <c r="Y348" s="381"/>
      <c r="Z348" s="464"/>
      <c r="AA348" s="381"/>
      <c r="AB348" s="381"/>
      <c r="AC348" s="381"/>
      <c r="AD348" s="381"/>
      <c r="AE348" s="381"/>
      <c r="AF348" s="381"/>
      <c r="AI348" s="381"/>
      <c r="AJ348" s="381"/>
      <c r="AK348" s="162"/>
      <c r="AL348" s="381"/>
    </row>
    <row r="350" spans="1:40" x14ac:dyDescent="0.25">
      <c r="C350" s="54"/>
      <c r="L350" s="379"/>
      <c r="M350" s="379"/>
      <c r="N350" s="379"/>
      <c r="O350" s="379"/>
      <c r="P350" s="379"/>
      <c r="Q350" s="379"/>
      <c r="R350" s="379"/>
      <c r="S350" s="379"/>
      <c r="T350" s="54"/>
      <c r="AA350" s="379"/>
      <c r="AB350" s="379"/>
      <c r="AC350" s="379"/>
      <c r="AD350" s="379"/>
      <c r="AI350" s="379"/>
      <c r="AJ350" s="379"/>
      <c r="AK350" s="156"/>
      <c r="AL350" s="379"/>
    </row>
    <row r="351" spans="1:40" x14ac:dyDescent="0.25">
      <c r="A351" s="54"/>
    </row>
    <row r="352" spans="1:40" x14ac:dyDescent="0.25">
      <c r="J352" s="53"/>
      <c r="K352" s="53"/>
      <c r="Z352" s="53"/>
    </row>
    <row r="353" spans="1:40" x14ac:dyDescent="0.25">
      <c r="H353" s="54"/>
      <c r="I353" s="54"/>
      <c r="Y353" s="54"/>
    </row>
    <row r="354" spans="1:40" x14ac:dyDescent="0.25">
      <c r="J354" s="53"/>
      <c r="K354" s="53"/>
      <c r="Z354" s="53"/>
    </row>
    <row r="355" spans="1:40" x14ac:dyDescent="0.25">
      <c r="L355" s="54"/>
      <c r="M355" s="54"/>
      <c r="AA355" s="54"/>
      <c r="AB355" s="54"/>
    </row>
    <row r="356" spans="1:40" x14ac:dyDescent="0.25">
      <c r="A356" s="53"/>
      <c r="R356" s="54"/>
      <c r="AK356" s="161"/>
      <c r="AL356" s="54"/>
    </row>
    <row r="357" spans="1:40" x14ac:dyDescent="0.25">
      <c r="A357" s="53"/>
      <c r="R357" s="54"/>
      <c r="AK357" s="161"/>
      <c r="AL357" s="54"/>
    </row>
    <row r="358" spans="1:40" x14ac:dyDescent="0.25">
      <c r="A358" s="54"/>
      <c r="R358" s="54"/>
      <c r="AK358" s="161"/>
      <c r="AL358" s="54"/>
    </row>
    <row r="359" spans="1:40" x14ac:dyDescent="0.25">
      <c r="L359" s="54"/>
      <c r="M359" s="54"/>
      <c r="R359" s="53"/>
      <c r="AA359" s="54"/>
      <c r="AB359" s="54"/>
      <c r="AK359" s="156"/>
      <c r="AL359" s="53"/>
    </row>
    <row r="360" spans="1:40" x14ac:dyDescent="0.25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154"/>
      <c r="AH360" s="55"/>
      <c r="AI360" s="55"/>
      <c r="AJ360" s="55"/>
      <c r="AK360" s="154"/>
      <c r="AL360" s="55"/>
      <c r="AM360" s="55"/>
      <c r="AN360" s="55"/>
    </row>
    <row r="361" spans="1:40" x14ac:dyDescent="0.25">
      <c r="L361" s="56"/>
      <c r="M361" s="56"/>
      <c r="N361" s="56"/>
      <c r="O361" s="56"/>
      <c r="R361" s="56"/>
      <c r="AA361" s="56"/>
      <c r="AB361" s="56"/>
      <c r="AC361" s="56"/>
      <c r="AD361" s="56"/>
      <c r="AE361" s="56"/>
      <c r="AF361" s="56"/>
      <c r="AG361" s="155"/>
      <c r="AH361" s="56"/>
      <c r="AK361" s="155"/>
      <c r="AL361" s="56"/>
      <c r="AM361" s="56"/>
      <c r="AN361" s="56"/>
    </row>
    <row r="362" spans="1:40" x14ac:dyDescent="0.25">
      <c r="L362" s="56"/>
      <c r="M362" s="56"/>
      <c r="N362" s="56"/>
      <c r="O362" s="56"/>
      <c r="R362" s="56"/>
      <c r="Z362" s="56"/>
      <c r="AA362" s="56"/>
      <c r="AB362" s="56"/>
      <c r="AC362" s="56"/>
      <c r="AD362" s="56"/>
      <c r="AE362" s="56"/>
      <c r="AF362" s="56"/>
      <c r="AG362" s="155"/>
      <c r="AH362" s="56"/>
      <c r="AK362" s="155"/>
      <c r="AL362" s="56"/>
      <c r="AM362" s="56"/>
      <c r="AN362" s="56"/>
    </row>
    <row r="363" spans="1:40" x14ac:dyDescent="0.25">
      <c r="A363" s="56"/>
      <c r="C363" s="56"/>
      <c r="D363" s="56"/>
      <c r="E363" s="56"/>
      <c r="F363" s="56"/>
      <c r="J363" s="56"/>
      <c r="K363" s="56"/>
      <c r="L363" s="56"/>
      <c r="M363" s="56"/>
      <c r="N363" s="56"/>
      <c r="O363" s="56"/>
      <c r="P363" s="56"/>
      <c r="Q363" s="56"/>
      <c r="R363" s="56"/>
      <c r="T363" s="56"/>
      <c r="U363" s="56"/>
      <c r="V363" s="56"/>
      <c r="Z363" s="56"/>
      <c r="AA363" s="56"/>
      <c r="AB363" s="56"/>
      <c r="AC363" s="56"/>
      <c r="AD363" s="56"/>
      <c r="AE363" s="56"/>
      <c r="AF363" s="56"/>
      <c r="AG363" s="155"/>
      <c r="AH363" s="56"/>
      <c r="AI363" s="56"/>
      <c r="AJ363" s="56"/>
      <c r="AK363" s="155"/>
      <c r="AL363" s="56"/>
      <c r="AM363" s="56"/>
      <c r="AN363" s="56"/>
    </row>
    <row r="364" spans="1:40" x14ac:dyDescent="0.25">
      <c r="A364" s="56"/>
      <c r="C364" s="56"/>
      <c r="D364" s="56"/>
      <c r="E364" s="56"/>
      <c r="F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T364" s="56"/>
      <c r="U364" s="56"/>
      <c r="V364" s="56"/>
      <c r="Y364" s="56"/>
      <c r="Z364" s="56"/>
      <c r="AA364" s="56"/>
      <c r="AB364" s="56"/>
      <c r="AC364" s="56"/>
      <c r="AD364" s="56"/>
      <c r="AE364" s="56"/>
      <c r="AF364" s="56"/>
      <c r="AG364" s="155"/>
      <c r="AH364" s="56"/>
      <c r="AI364" s="56"/>
      <c r="AJ364" s="56"/>
      <c r="AK364" s="155"/>
      <c r="AL364" s="56"/>
      <c r="AM364" s="56"/>
      <c r="AN364" s="56"/>
    </row>
    <row r="365" spans="1:40" x14ac:dyDescent="0.25">
      <c r="C365" s="56"/>
      <c r="D365" s="56"/>
      <c r="E365" s="56"/>
      <c r="F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T365" s="56"/>
      <c r="U365" s="56"/>
      <c r="V365" s="56"/>
      <c r="Y365" s="56"/>
      <c r="Z365" s="56"/>
      <c r="AA365" s="56"/>
      <c r="AB365" s="56"/>
      <c r="AC365" s="56"/>
      <c r="AD365" s="56"/>
      <c r="AE365" s="56"/>
      <c r="AF365" s="56"/>
      <c r="AG365" s="155"/>
      <c r="AH365" s="56"/>
      <c r="AI365" s="56"/>
      <c r="AJ365" s="56"/>
      <c r="AK365" s="155"/>
      <c r="AL365" s="56"/>
      <c r="AM365" s="56"/>
      <c r="AN365" s="56"/>
    </row>
    <row r="366" spans="1:40" x14ac:dyDescent="0.25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154"/>
      <c r="AH366" s="55"/>
      <c r="AI366" s="55"/>
      <c r="AJ366" s="55"/>
      <c r="AK366" s="154"/>
      <c r="AL366" s="55"/>
      <c r="AM366" s="55"/>
      <c r="AN366" s="55"/>
    </row>
    <row r="367" spans="1:40" x14ac:dyDescent="0.25"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Y367" s="56"/>
      <c r="Z367" s="56"/>
      <c r="AA367" s="56"/>
      <c r="AB367" s="56"/>
      <c r="AC367" s="56"/>
      <c r="AD367" s="56"/>
      <c r="AE367" s="56"/>
      <c r="AF367" s="56"/>
      <c r="AG367" s="155"/>
      <c r="AH367" s="56"/>
      <c r="AI367" s="56"/>
      <c r="AJ367" s="56"/>
      <c r="AK367" s="155"/>
      <c r="AL367" s="56"/>
      <c r="AM367" s="56"/>
      <c r="AN367" s="56"/>
    </row>
    <row r="368" spans="1:40" x14ac:dyDescent="0.25">
      <c r="A368" s="53"/>
      <c r="C368" s="54"/>
      <c r="D368" s="54"/>
      <c r="E368" s="54"/>
      <c r="T368" s="54"/>
      <c r="U368" s="54"/>
    </row>
    <row r="369" spans="1:40" x14ac:dyDescent="0.25">
      <c r="D369" s="54"/>
      <c r="E369" s="54"/>
      <c r="U369" s="54"/>
    </row>
    <row r="371" spans="1:40" x14ac:dyDescent="0.25">
      <c r="A371" s="53"/>
      <c r="C371" s="54"/>
      <c r="T371" s="54"/>
    </row>
    <row r="372" spans="1:40" x14ac:dyDescent="0.25">
      <c r="A372" s="53"/>
      <c r="C372" s="54"/>
      <c r="F372" s="449"/>
      <c r="H372" s="449"/>
      <c r="I372" s="449"/>
      <c r="J372" s="221"/>
      <c r="K372" s="221"/>
      <c r="L372" s="379"/>
      <c r="M372" s="379"/>
      <c r="N372" s="50"/>
      <c r="O372" s="50"/>
      <c r="P372" s="379"/>
      <c r="Q372" s="379"/>
      <c r="R372" s="379"/>
      <c r="T372" s="54"/>
      <c r="V372" s="449"/>
      <c r="W372" s="379"/>
      <c r="X372" s="379"/>
      <c r="Y372" s="449"/>
      <c r="Z372" s="221"/>
      <c r="AA372" s="379"/>
      <c r="AB372" s="379"/>
      <c r="AC372" s="50"/>
      <c r="AD372" s="50"/>
      <c r="AE372" s="379"/>
      <c r="AF372" s="379"/>
      <c r="AG372" s="156"/>
      <c r="AH372" s="60"/>
      <c r="AI372" s="379"/>
      <c r="AJ372" s="379"/>
      <c r="AK372" s="156"/>
      <c r="AL372" s="379"/>
      <c r="AM372" s="50"/>
      <c r="AN372" s="50"/>
    </row>
    <row r="373" spans="1:40" x14ac:dyDescent="0.25">
      <c r="A373" s="53"/>
      <c r="C373" s="54"/>
      <c r="F373" s="379"/>
      <c r="H373" s="379"/>
      <c r="I373" s="379"/>
      <c r="J373" s="464"/>
      <c r="K373" s="464"/>
      <c r="L373" s="379"/>
      <c r="M373" s="379"/>
      <c r="N373" s="50"/>
      <c r="O373" s="50"/>
      <c r="P373" s="379"/>
      <c r="Q373" s="379"/>
      <c r="R373" s="379"/>
      <c r="T373" s="54"/>
      <c r="V373" s="449"/>
      <c r="W373" s="379"/>
      <c r="X373" s="379"/>
      <c r="Y373" s="449"/>
      <c r="Z373" s="464"/>
      <c r="AA373" s="379"/>
      <c r="AB373" s="379"/>
      <c r="AC373" s="50"/>
      <c r="AD373" s="50"/>
      <c r="AE373" s="379"/>
      <c r="AF373" s="379"/>
      <c r="AG373" s="156"/>
      <c r="AH373" s="60"/>
      <c r="AI373" s="379"/>
      <c r="AJ373" s="379"/>
      <c r="AK373" s="156"/>
      <c r="AL373" s="379"/>
      <c r="AM373" s="50"/>
      <c r="AN373" s="50"/>
    </row>
    <row r="374" spans="1:40" x14ac:dyDescent="0.25">
      <c r="A374" s="53"/>
      <c r="C374" s="54"/>
      <c r="F374" s="449"/>
      <c r="H374" s="449"/>
      <c r="I374" s="449"/>
      <c r="J374" s="221"/>
      <c r="K374" s="221"/>
      <c r="L374" s="379"/>
      <c r="M374" s="379"/>
      <c r="N374" s="50"/>
      <c r="O374" s="50"/>
      <c r="P374" s="379"/>
      <c r="Q374" s="379"/>
      <c r="R374" s="379"/>
      <c r="T374" s="54"/>
      <c r="V374" s="449"/>
      <c r="W374" s="379"/>
      <c r="X374" s="379"/>
      <c r="Y374" s="449"/>
      <c r="Z374" s="221"/>
      <c r="AA374" s="379"/>
      <c r="AB374" s="379"/>
      <c r="AC374" s="50"/>
      <c r="AD374" s="50"/>
      <c r="AE374" s="379"/>
      <c r="AF374" s="379"/>
      <c r="AG374" s="156"/>
      <c r="AH374" s="60"/>
      <c r="AI374" s="379"/>
      <c r="AJ374" s="379"/>
      <c r="AK374" s="156"/>
      <c r="AL374" s="379"/>
      <c r="AM374" s="50"/>
      <c r="AN374" s="50"/>
    </row>
    <row r="375" spans="1:40" x14ac:dyDescent="0.25">
      <c r="A375" s="53"/>
      <c r="C375" s="54"/>
      <c r="F375" s="449"/>
      <c r="H375" s="449"/>
      <c r="I375" s="449"/>
      <c r="J375" s="221"/>
      <c r="K375" s="221"/>
      <c r="L375" s="379"/>
      <c r="M375" s="379"/>
      <c r="N375" s="50"/>
      <c r="O375" s="50"/>
      <c r="P375" s="379"/>
      <c r="Q375" s="379"/>
      <c r="R375" s="379"/>
      <c r="T375" s="54"/>
      <c r="V375" s="449"/>
      <c r="W375" s="379"/>
      <c r="X375" s="379"/>
      <c r="Y375" s="449"/>
      <c r="Z375" s="221"/>
      <c r="AA375" s="379"/>
      <c r="AB375" s="379"/>
      <c r="AC375" s="50"/>
      <c r="AD375" s="50"/>
      <c r="AE375" s="379"/>
      <c r="AF375" s="379"/>
      <c r="AG375" s="156"/>
      <c r="AH375" s="60"/>
      <c r="AI375" s="379"/>
      <c r="AJ375" s="379"/>
      <c r="AK375" s="156"/>
      <c r="AL375" s="379"/>
      <c r="AM375" s="50"/>
      <c r="AN375" s="50"/>
    </row>
    <row r="376" spans="1:40" x14ac:dyDescent="0.25">
      <c r="A376" s="53"/>
      <c r="C376" s="54"/>
      <c r="F376" s="449"/>
      <c r="H376" s="449"/>
      <c r="I376" s="449"/>
      <c r="J376" s="221"/>
      <c r="K376" s="221"/>
      <c r="L376" s="379"/>
      <c r="M376" s="379"/>
      <c r="N376" s="50"/>
      <c r="O376" s="50"/>
      <c r="P376" s="379"/>
      <c r="Q376" s="379"/>
      <c r="R376" s="379"/>
      <c r="T376" s="54"/>
      <c r="V376" s="449"/>
      <c r="W376" s="379"/>
      <c r="X376" s="379"/>
      <c r="Y376" s="449"/>
      <c r="Z376" s="221"/>
      <c r="AA376" s="379"/>
      <c r="AB376" s="379"/>
      <c r="AC376" s="50"/>
      <c r="AD376" s="50"/>
      <c r="AE376" s="379"/>
      <c r="AF376" s="379"/>
      <c r="AG376" s="156"/>
      <c r="AH376" s="60"/>
      <c r="AI376" s="379"/>
      <c r="AJ376" s="379"/>
      <c r="AK376" s="156"/>
      <c r="AL376" s="379"/>
      <c r="AM376" s="50"/>
      <c r="AN376" s="50"/>
    </row>
    <row r="377" spans="1:40" x14ac:dyDescent="0.25">
      <c r="A377" s="53"/>
      <c r="C377" s="54"/>
      <c r="F377" s="379"/>
      <c r="H377" s="379"/>
      <c r="I377" s="379"/>
      <c r="J377" s="221"/>
      <c r="K377" s="221"/>
      <c r="L377" s="379"/>
      <c r="M377" s="379"/>
      <c r="N377" s="50"/>
      <c r="O377" s="50"/>
      <c r="P377" s="379"/>
      <c r="Q377" s="379"/>
      <c r="R377" s="379"/>
      <c r="T377" s="54"/>
      <c r="V377" s="449"/>
      <c r="W377" s="379"/>
      <c r="X377" s="379"/>
      <c r="Y377" s="449"/>
      <c r="Z377" s="221"/>
      <c r="AA377" s="379"/>
      <c r="AB377" s="379"/>
      <c r="AC377" s="50"/>
      <c r="AD377" s="50"/>
      <c r="AE377" s="379"/>
      <c r="AF377" s="379"/>
      <c r="AG377" s="156"/>
      <c r="AH377" s="60"/>
      <c r="AI377" s="379"/>
      <c r="AJ377" s="379"/>
      <c r="AK377" s="156"/>
      <c r="AL377" s="379"/>
      <c r="AM377" s="50"/>
      <c r="AN377" s="50"/>
    </row>
    <row r="378" spans="1:40" x14ac:dyDescent="0.25">
      <c r="A378" s="53"/>
      <c r="C378" s="54"/>
      <c r="F378" s="379"/>
      <c r="H378" s="379"/>
      <c r="I378" s="379"/>
      <c r="J378" s="221"/>
      <c r="K378" s="221"/>
      <c r="L378" s="379"/>
      <c r="M378" s="379"/>
      <c r="N378" s="50"/>
      <c r="O378" s="50"/>
      <c r="P378" s="379"/>
      <c r="Q378" s="379"/>
      <c r="R378" s="379"/>
      <c r="T378" s="54"/>
      <c r="V378" s="449"/>
      <c r="W378" s="379"/>
      <c r="X378" s="379"/>
      <c r="Y378" s="449"/>
      <c r="Z378" s="221"/>
      <c r="AA378" s="379"/>
      <c r="AB378" s="379"/>
      <c r="AC378" s="50"/>
      <c r="AD378" s="50"/>
      <c r="AE378" s="379"/>
      <c r="AF378" s="379"/>
      <c r="AG378" s="156"/>
      <c r="AH378" s="60"/>
      <c r="AI378" s="379"/>
      <c r="AJ378" s="379"/>
      <c r="AK378" s="156"/>
      <c r="AL378" s="379"/>
      <c r="AM378" s="50"/>
      <c r="AN378" s="50"/>
    </row>
    <row r="379" spans="1:40" x14ac:dyDescent="0.25">
      <c r="F379" s="63"/>
      <c r="H379" s="479"/>
      <c r="I379" s="479"/>
      <c r="J379" s="221"/>
      <c r="K379" s="221"/>
      <c r="L379" s="63"/>
      <c r="M379" s="63"/>
      <c r="N379" s="381"/>
      <c r="O379" s="381"/>
      <c r="P379" s="63"/>
      <c r="Q379" s="63"/>
      <c r="R379" s="63"/>
      <c r="V379" s="63"/>
      <c r="W379" s="379"/>
      <c r="X379" s="379"/>
      <c r="Y379" s="63"/>
      <c r="Z379" s="221"/>
      <c r="AA379" s="63"/>
      <c r="AB379" s="63"/>
      <c r="AC379" s="64"/>
      <c r="AD379" s="64"/>
      <c r="AE379" s="63"/>
      <c r="AF379" s="63"/>
      <c r="AG379" s="156"/>
      <c r="AH379" s="60"/>
      <c r="AI379" s="63"/>
      <c r="AJ379" s="63"/>
      <c r="AK379" s="154"/>
      <c r="AL379" s="63"/>
      <c r="AM379" s="50"/>
      <c r="AN379" s="50"/>
    </row>
    <row r="380" spans="1:40" x14ac:dyDescent="0.25">
      <c r="A380" s="53"/>
      <c r="C380" s="54"/>
      <c r="F380" s="379"/>
      <c r="H380" s="379"/>
      <c r="I380" s="379"/>
      <c r="J380" s="221"/>
      <c r="K380" s="221"/>
      <c r="L380" s="379"/>
      <c r="M380" s="379"/>
      <c r="N380" s="60"/>
      <c r="O380" s="60"/>
      <c r="P380" s="379"/>
      <c r="Q380" s="379"/>
      <c r="R380" s="379"/>
      <c r="T380" s="56"/>
      <c r="V380" s="379"/>
      <c r="W380" s="379"/>
      <c r="X380" s="379"/>
      <c r="Y380" s="379"/>
      <c r="Z380" s="221"/>
      <c r="AA380" s="379"/>
      <c r="AB380" s="379"/>
      <c r="AC380" s="60"/>
      <c r="AD380" s="60"/>
      <c r="AE380" s="379"/>
      <c r="AF380" s="379"/>
      <c r="AG380" s="156"/>
      <c r="AH380" s="60"/>
      <c r="AI380" s="379"/>
      <c r="AJ380" s="379"/>
      <c r="AK380" s="156"/>
      <c r="AL380" s="379"/>
      <c r="AM380" s="50"/>
      <c r="AN380" s="50"/>
    </row>
    <row r="381" spans="1:40" x14ac:dyDescent="0.25">
      <c r="F381" s="55"/>
      <c r="H381" s="55"/>
      <c r="I381" s="55"/>
      <c r="L381" s="55"/>
      <c r="M381" s="55"/>
      <c r="N381" s="64"/>
      <c r="O381" s="64"/>
      <c r="P381" s="63"/>
      <c r="Q381" s="63"/>
      <c r="R381" s="63"/>
      <c r="V381" s="63"/>
      <c r="Y381" s="63"/>
      <c r="Z381" s="464"/>
      <c r="AA381" s="63"/>
      <c r="AB381" s="63"/>
      <c r="AC381" s="63"/>
      <c r="AD381" s="63"/>
      <c r="AE381" s="63"/>
      <c r="AF381" s="63"/>
      <c r="AI381" s="63"/>
      <c r="AJ381" s="63"/>
      <c r="AK381" s="154"/>
      <c r="AL381" s="63"/>
      <c r="AM381" s="64"/>
      <c r="AN381" s="64"/>
    </row>
    <row r="382" spans="1:40" x14ac:dyDescent="0.25">
      <c r="AI382" s="53"/>
      <c r="AJ382" s="53"/>
    </row>
    <row r="386" spans="1:40" x14ac:dyDescent="0.25">
      <c r="N386" s="379"/>
      <c r="O386" s="379"/>
      <c r="P386" s="379"/>
      <c r="Q386" s="379"/>
      <c r="R386" s="379"/>
      <c r="V386" s="379"/>
      <c r="Y386" s="379"/>
      <c r="Z386" s="59"/>
      <c r="AA386" s="379"/>
      <c r="AB386" s="379"/>
      <c r="AC386" s="50"/>
      <c r="AD386" s="50"/>
      <c r="AE386" s="379"/>
      <c r="AF386" s="379"/>
      <c r="AG386" s="156"/>
      <c r="AH386" s="60"/>
      <c r="AI386" s="379"/>
      <c r="AJ386" s="379"/>
      <c r="AK386" s="156"/>
      <c r="AL386" s="379"/>
      <c r="AM386" s="50"/>
      <c r="AN386" s="50"/>
    </row>
    <row r="387" spans="1:40" x14ac:dyDescent="0.25">
      <c r="A387" s="53"/>
      <c r="C387" s="54"/>
      <c r="D387" s="54"/>
      <c r="E387" s="54"/>
      <c r="J387" s="65"/>
      <c r="K387" s="65"/>
      <c r="T387" s="54"/>
      <c r="U387" s="54"/>
      <c r="Z387" s="65"/>
      <c r="AE387" s="379"/>
      <c r="AF387" s="379"/>
      <c r="AI387" s="379"/>
      <c r="AJ387" s="379"/>
      <c r="AK387" s="156"/>
      <c r="AL387" s="379"/>
      <c r="AM387" s="50"/>
      <c r="AN387" s="50"/>
    </row>
    <row r="388" spans="1:40" x14ac:dyDescent="0.25">
      <c r="D388" s="54"/>
      <c r="E388" s="54"/>
      <c r="F388" s="379"/>
      <c r="H388" s="379"/>
      <c r="I388" s="379"/>
      <c r="J388" s="221"/>
      <c r="K388" s="221"/>
      <c r="L388" s="379"/>
      <c r="M388" s="379"/>
      <c r="N388" s="50"/>
      <c r="O388" s="50"/>
      <c r="P388" s="379"/>
      <c r="Q388" s="379"/>
      <c r="R388" s="379"/>
      <c r="U388" s="54"/>
      <c r="V388" s="379"/>
      <c r="Y388" s="379"/>
      <c r="Z388" s="221"/>
      <c r="AA388" s="379"/>
      <c r="AB388" s="379"/>
      <c r="AC388" s="50"/>
      <c r="AD388" s="50"/>
      <c r="AE388" s="379"/>
      <c r="AF388" s="379"/>
      <c r="AG388" s="156"/>
      <c r="AH388" s="60"/>
      <c r="AI388" s="379"/>
      <c r="AJ388" s="379"/>
      <c r="AK388" s="156"/>
      <c r="AL388" s="379"/>
      <c r="AM388" s="50"/>
      <c r="AN388" s="50"/>
    </row>
    <row r="389" spans="1:40" x14ac:dyDescent="0.25">
      <c r="F389" s="379"/>
      <c r="H389" s="379"/>
      <c r="I389" s="379"/>
      <c r="J389" s="464"/>
      <c r="K389" s="464"/>
      <c r="L389" s="379"/>
      <c r="M389" s="379"/>
      <c r="N389" s="379"/>
      <c r="O389" s="379"/>
      <c r="P389" s="379"/>
      <c r="Q389" s="379"/>
      <c r="R389" s="379"/>
      <c r="V389" s="379"/>
      <c r="Y389" s="379"/>
      <c r="Z389" s="464"/>
      <c r="AA389" s="379"/>
      <c r="AB389" s="379"/>
      <c r="AC389" s="379"/>
      <c r="AD389" s="379"/>
      <c r="AE389" s="379"/>
      <c r="AF389" s="379"/>
      <c r="AG389" s="156"/>
      <c r="AH389" s="60"/>
      <c r="AI389" s="449"/>
      <c r="AJ389" s="449"/>
      <c r="AK389" s="156"/>
      <c r="AL389" s="379"/>
      <c r="AM389" s="50"/>
      <c r="AN389" s="50"/>
    </row>
    <row r="390" spans="1:40" x14ac:dyDescent="0.25">
      <c r="A390" s="53"/>
      <c r="C390" s="54"/>
      <c r="F390" s="449"/>
      <c r="H390" s="449"/>
      <c r="I390" s="449"/>
      <c r="J390" s="463"/>
      <c r="K390" s="463"/>
      <c r="L390" s="379"/>
      <c r="M390" s="379"/>
      <c r="N390" s="50"/>
      <c r="O390" s="50"/>
      <c r="P390" s="379"/>
      <c r="Q390" s="379"/>
      <c r="R390" s="379"/>
      <c r="T390" s="54"/>
      <c r="V390" s="449"/>
      <c r="Y390" s="449"/>
      <c r="Z390" s="463"/>
      <c r="AA390" s="379"/>
      <c r="AB390" s="379"/>
      <c r="AC390" s="50"/>
      <c r="AD390" s="50"/>
      <c r="AE390" s="379"/>
      <c r="AF390" s="379"/>
      <c r="AG390" s="156"/>
      <c r="AH390" s="60"/>
      <c r="AI390" s="379"/>
      <c r="AJ390" s="379"/>
      <c r="AK390" s="156"/>
      <c r="AL390" s="379"/>
      <c r="AM390" s="50"/>
      <c r="AN390" s="50"/>
    </row>
    <row r="391" spans="1:40" x14ac:dyDescent="0.25">
      <c r="F391" s="55"/>
      <c r="H391" s="55"/>
      <c r="I391" s="55"/>
      <c r="L391" s="55"/>
      <c r="M391" s="55"/>
      <c r="N391" s="55"/>
      <c r="O391" s="55"/>
      <c r="P391" s="55"/>
      <c r="Q391" s="55"/>
      <c r="R391" s="55"/>
      <c r="V391" s="55"/>
      <c r="Y391" s="55"/>
      <c r="AA391" s="55"/>
      <c r="AB391" s="55"/>
      <c r="AC391" s="55"/>
      <c r="AD391" s="55"/>
      <c r="AE391" s="55"/>
      <c r="AF391" s="55"/>
      <c r="AG391" s="154"/>
      <c r="AH391" s="55"/>
      <c r="AI391" s="55"/>
      <c r="AJ391" s="55"/>
      <c r="AK391" s="154"/>
      <c r="AL391" s="55"/>
      <c r="AM391" s="55"/>
      <c r="AN391" s="55"/>
    </row>
    <row r="392" spans="1:40" x14ac:dyDescent="0.25">
      <c r="A392" s="53"/>
      <c r="C392" s="56"/>
      <c r="F392" s="449"/>
      <c r="H392" s="449"/>
      <c r="I392" s="449"/>
      <c r="J392" s="461"/>
      <c r="K392" s="461"/>
      <c r="L392" s="449"/>
      <c r="M392" s="449"/>
      <c r="N392" s="50"/>
      <c r="O392" s="50"/>
      <c r="P392" s="449"/>
      <c r="Q392" s="449"/>
      <c r="R392" s="449"/>
      <c r="T392" s="56"/>
      <c r="V392" s="379"/>
      <c r="Y392" s="379"/>
      <c r="Z392" s="59"/>
      <c r="AA392" s="379"/>
      <c r="AB392" s="379"/>
      <c r="AC392" s="50"/>
      <c r="AD392" s="50"/>
      <c r="AE392" s="53"/>
      <c r="AF392" s="53"/>
      <c r="AG392" s="156"/>
      <c r="AH392" s="60"/>
      <c r="AI392" s="379"/>
      <c r="AJ392" s="379"/>
      <c r="AK392" s="156"/>
      <c r="AL392" s="379"/>
      <c r="AM392" s="50"/>
      <c r="AN392" s="50"/>
    </row>
    <row r="393" spans="1:40" x14ac:dyDescent="0.25">
      <c r="F393" s="63"/>
      <c r="H393" s="63"/>
      <c r="I393" s="63"/>
      <c r="J393" s="464"/>
      <c r="K393" s="464"/>
      <c r="L393" s="63"/>
      <c r="M393" s="63"/>
      <c r="N393" s="63"/>
      <c r="O393" s="63"/>
      <c r="P393" s="63"/>
      <c r="Q393" s="63"/>
      <c r="R393" s="63"/>
      <c r="V393" s="55"/>
      <c r="Y393" s="55"/>
      <c r="AA393" s="55"/>
      <c r="AB393" s="55"/>
      <c r="AC393" s="55"/>
      <c r="AD393" s="55"/>
      <c r="AE393" s="55"/>
      <c r="AF393" s="55"/>
      <c r="AG393" s="154"/>
      <c r="AH393" s="55"/>
      <c r="AI393" s="55"/>
      <c r="AJ393" s="55"/>
      <c r="AK393" s="154"/>
      <c r="AL393" s="55"/>
      <c r="AM393" s="55"/>
      <c r="AN393" s="55"/>
    </row>
    <row r="394" spans="1:40" x14ac:dyDescent="0.25">
      <c r="F394" s="449"/>
      <c r="H394" s="449"/>
      <c r="I394" s="449"/>
      <c r="J394" s="477"/>
      <c r="K394" s="477"/>
      <c r="L394" s="379"/>
      <c r="M394" s="379"/>
      <c r="N394" s="50"/>
      <c r="O394" s="50"/>
      <c r="P394" s="379"/>
      <c r="Q394" s="379"/>
      <c r="R394" s="379"/>
    </row>
    <row r="395" spans="1:40" x14ac:dyDescent="0.25">
      <c r="A395" s="54"/>
      <c r="F395" s="449"/>
      <c r="H395" s="449"/>
      <c r="I395" s="449"/>
      <c r="J395" s="461"/>
      <c r="K395" s="461"/>
      <c r="L395" s="379"/>
      <c r="M395" s="379"/>
      <c r="N395" s="50"/>
      <c r="O395" s="50"/>
      <c r="P395" s="379"/>
      <c r="Q395" s="379"/>
      <c r="R395" s="379"/>
    </row>
    <row r="396" spans="1:40" x14ac:dyDescent="0.25">
      <c r="F396" s="449"/>
      <c r="H396" s="449"/>
      <c r="I396" s="449"/>
      <c r="J396" s="461"/>
      <c r="K396" s="461"/>
      <c r="L396" s="379"/>
      <c r="M396" s="379"/>
      <c r="N396" s="50"/>
      <c r="O396" s="50"/>
      <c r="P396" s="379"/>
      <c r="Q396" s="379"/>
      <c r="R396" s="379"/>
    </row>
    <row r="397" spans="1:40" x14ac:dyDescent="0.25">
      <c r="A397" s="54"/>
    </row>
    <row r="399" spans="1:40" x14ac:dyDescent="0.25">
      <c r="J399" s="53"/>
      <c r="K399" s="53"/>
      <c r="Z399" s="53"/>
    </row>
    <row r="400" spans="1:40" x14ac:dyDescent="0.25">
      <c r="H400" s="54"/>
      <c r="I400" s="54"/>
      <c r="Y400" s="54"/>
    </row>
    <row r="401" spans="1:40" x14ac:dyDescent="0.25">
      <c r="J401" s="53"/>
      <c r="K401" s="53"/>
      <c r="Z401" s="53"/>
    </row>
    <row r="402" spans="1:40" x14ac:dyDescent="0.25">
      <c r="L402" s="54"/>
      <c r="M402" s="54"/>
      <c r="AA402" s="54"/>
      <c r="AB402" s="54"/>
    </row>
    <row r="403" spans="1:40" x14ac:dyDescent="0.25">
      <c r="A403" s="53"/>
      <c r="R403" s="54"/>
      <c r="AK403" s="161"/>
      <c r="AL403" s="54"/>
    </row>
    <row r="404" spans="1:40" x14ac:dyDescent="0.25">
      <c r="A404" s="53"/>
      <c r="R404" s="54"/>
      <c r="AK404" s="161"/>
      <c r="AL404" s="54"/>
    </row>
    <row r="405" spans="1:40" x14ac:dyDescent="0.25">
      <c r="A405" s="54"/>
      <c r="R405" s="54"/>
      <c r="AK405" s="161"/>
      <c r="AL405" s="54"/>
    </row>
    <row r="406" spans="1:40" x14ac:dyDescent="0.25">
      <c r="L406" s="54"/>
      <c r="M406" s="54"/>
      <c r="R406" s="53"/>
      <c r="AA406" s="54"/>
      <c r="AB406" s="54"/>
      <c r="AK406" s="156"/>
      <c r="AL406" s="53"/>
    </row>
    <row r="407" spans="1:40" x14ac:dyDescent="0.25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154"/>
      <c r="AH407" s="55"/>
      <c r="AI407" s="55"/>
      <c r="AJ407" s="55"/>
      <c r="AK407" s="154"/>
      <c r="AL407" s="55"/>
      <c r="AM407" s="55"/>
      <c r="AN407" s="55"/>
    </row>
    <row r="408" spans="1:40" x14ac:dyDescent="0.25">
      <c r="L408" s="56"/>
      <c r="M408" s="56"/>
      <c r="N408" s="56"/>
      <c r="O408" s="56"/>
      <c r="R408" s="56"/>
      <c r="AA408" s="56"/>
      <c r="AB408" s="56"/>
      <c r="AC408" s="56"/>
      <c r="AD408" s="56"/>
      <c r="AE408" s="56"/>
      <c r="AF408" s="56"/>
      <c r="AG408" s="155"/>
      <c r="AH408" s="56"/>
      <c r="AK408" s="155"/>
      <c r="AL408" s="56"/>
      <c r="AM408" s="56"/>
      <c r="AN408" s="56"/>
    </row>
    <row r="409" spans="1:40" x14ac:dyDescent="0.25">
      <c r="L409" s="56"/>
      <c r="M409" s="56"/>
      <c r="N409" s="56"/>
      <c r="O409" s="56"/>
      <c r="R409" s="56"/>
      <c r="Z409" s="56"/>
      <c r="AA409" s="56"/>
      <c r="AB409" s="56"/>
      <c r="AC409" s="56"/>
      <c r="AD409" s="56"/>
      <c r="AE409" s="56"/>
      <c r="AF409" s="56"/>
      <c r="AG409" s="155"/>
      <c r="AH409" s="56"/>
      <c r="AK409" s="155"/>
      <c r="AL409" s="56"/>
      <c r="AM409" s="56"/>
      <c r="AN409" s="56"/>
    </row>
    <row r="410" spans="1:40" x14ac:dyDescent="0.25">
      <c r="A410" s="56"/>
      <c r="C410" s="56"/>
      <c r="D410" s="56"/>
      <c r="E410" s="56"/>
      <c r="F410" s="56"/>
      <c r="J410" s="56"/>
      <c r="K410" s="56"/>
      <c r="L410" s="56"/>
      <c r="M410" s="56"/>
      <c r="N410" s="56"/>
      <c r="O410" s="56"/>
      <c r="P410" s="56"/>
      <c r="Q410" s="56"/>
      <c r="R410" s="56"/>
      <c r="T410" s="56"/>
      <c r="U410" s="56"/>
      <c r="V410" s="56"/>
      <c r="Z410" s="56"/>
      <c r="AA410" s="56"/>
      <c r="AB410" s="56"/>
      <c r="AC410" s="56"/>
      <c r="AD410" s="56"/>
      <c r="AE410" s="56"/>
      <c r="AF410" s="56"/>
      <c r="AG410" s="155"/>
      <c r="AH410" s="56"/>
      <c r="AI410" s="56"/>
      <c r="AJ410" s="56"/>
      <c r="AK410" s="155"/>
      <c r="AL410" s="56"/>
      <c r="AM410" s="56"/>
      <c r="AN410" s="56"/>
    </row>
    <row r="411" spans="1:40" x14ac:dyDescent="0.25">
      <c r="A411" s="56"/>
      <c r="C411" s="56"/>
      <c r="D411" s="56"/>
      <c r="E411" s="56"/>
      <c r="F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T411" s="56"/>
      <c r="U411" s="56"/>
      <c r="V411" s="56"/>
      <c r="Y411" s="56"/>
      <c r="Z411" s="56"/>
      <c r="AA411" s="56"/>
      <c r="AB411" s="56"/>
      <c r="AC411" s="56"/>
      <c r="AD411" s="56"/>
      <c r="AE411" s="56"/>
      <c r="AF411" s="56"/>
      <c r="AG411" s="155"/>
      <c r="AH411" s="56"/>
      <c r="AI411" s="56"/>
      <c r="AJ411" s="56"/>
      <c r="AK411" s="155"/>
      <c r="AL411" s="56"/>
      <c r="AM411" s="56"/>
      <c r="AN411" s="56"/>
    </row>
    <row r="412" spans="1:40" x14ac:dyDescent="0.25">
      <c r="C412" s="56"/>
      <c r="D412" s="56"/>
      <c r="E412" s="56"/>
      <c r="F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T412" s="56"/>
      <c r="U412" s="56"/>
      <c r="V412" s="56"/>
      <c r="Y412" s="56"/>
      <c r="Z412" s="56"/>
      <c r="AA412" s="56"/>
      <c r="AB412" s="56"/>
      <c r="AC412" s="56"/>
      <c r="AD412" s="56"/>
      <c r="AE412" s="56"/>
      <c r="AF412" s="56"/>
      <c r="AG412" s="155"/>
      <c r="AH412" s="56"/>
      <c r="AI412" s="56"/>
      <c r="AJ412" s="56"/>
      <c r="AK412" s="155"/>
      <c r="AL412" s="56"/>
      <c r="AM412" s="56"/>
      <c r="AN412" s="56"/>
    </row>
    <row r="413" spans="1:40" x14ac:dyDescent="0.25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154"/>
      <c r="AH413" s="55"/>
      <c r="AI413" s="55"/>
      <c r="AJ413" s="55"/>
      <c r="AK413" s="154"/>
      <c r="AL413" s="55"/>
      <c r="AM413" s="55"/>
      <c r="AN413" s="55"/>
    </row>
    <row r="414" spans="1:40" x14ac:dyDescent="0.25"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Y414" s="56"/>
      <c r="Z414" s="56"/>
      <c r="AA414" s="56"/>
      <c r="AB414" s="56"/>
      <c r="AC414" s="56"/>
      <c r="AD414" s="56"/>
      <c r="AE414" s="56"/>
      <c r="AF414" s="56"/>
      <c r="AG414" s="155"/>
      <c r="AH414" s="56"/>
      <c r="AI414" s="56"/>
      <c r="AJ414" s="56"/>
      <c r="AK414" s="155"/>
      <c r="AL414" s="56"/>
      <c r="AM414" s="56"/>
      <c r="AN414" s="56"/>
    </row>
    <row r="415" spans="1:40" x14ac:dyDescent="0.25">
      <c r="A415" s="53"/>
      <c r="C415" s="54"/>
      <c r="D415" s="54"/>
      <c r="E415" s="54"/>
      <c r="T415" s="54"/>
      <c r="U415" s="54"/>
    </row>
    <row r="417" spans="1:40" x14ac:dyDescent="0.25">
      <c r="A417" s="53"/>
      <c r="C417" s="54"/>
      <c r="T417" s="54"/>
    </row>
    <row r="418" spans="1:40" x14ac:dyDescent="0.25">
      <c r="A418" s="53"/>
      <c r="C418" s="54"/>
      <c r="F418" s="449"/>
      <c r="H418" s="449"/>
      <c r="I418" s="449"/>
      <c r="J418" s="464"/>
      <c r="K418" s="464"/>
      <c r="L418" s="379"/>
      <c r="M418" s="379"/>
      <c r="N418" s="50"/>
      <c r="O418" s="50"/>
      <c r="P418" s="379"/>
      <c r="Q418" s="379"/>
      <c r="R418" s="379"/>
      <c r="T418" s="54"/>
      <c r="V418" s="449"/>
      <c r="Y418" s="449"/>
      <c r="Z418" s="464"/>
      <c r="AA418" s="379"/>
      <c r="AB418" s="379"/>
      <c r="AC418" s="50"/>
      <c r="AD418" s="50"/>
      <c r="AE418" s="379"/>
      <c r="AF418" s="379"/>
      <c r="AG418" s="156"/>
      <c r="AH418" s="60"/>
      <c r="AI418" s="379"/>
      <c r="AJ418" s="379"/>
      <c r="AK418" s="156"/>
      <c r="AL418" s="379"/>
      <c r="AM418" s="50"/>
      <c r="AN418" s="50"/>
    </row>
    <row r="419" spans="1:40" x14ac:dyDescent="0.25">
      <c r="A419" s="53"/>
      <c r="C419" s="54"/>
      <c r="T419" s="54"/>
    </row>
    <row r="420" spans="1:40" x14ac:dyDescent="0.25">
      <c r="A420" s="53"/>
      <c r="C420" s="54"/>
      <c r="F420" s="449"/>
      <c r="H420" s="449"/>
      <c r="I420" s="449"/>
      <c r="J420" s="221"/>
      <c r="K420" s="221"/>
      <c r="L420" s="379"/>
      <c r="M420" s="379"/>
      <c r="N420" s="50"/>
      <c r="O420" s="50"/>
      <c r="P420" s="379"/>
      <c r="Q420" s="379"/>
      <c r="R420" s="379"/>
      <c r="T420" s="54"/>
      <c r="V420" s="379"/>
      <c r="Y420" s="379"/>
      <c r="Z420" s="221"/>
      <c r="AA420" s="379"/>
      <c r="AB420" s="379"/>
      <c r="AC420" s="50"/>
      <c r="AD420" s="50"/>
      <c r="AE420" s="379"/>
      <c r="AF420" s="379"/>
      <c r="AG420" s="156"/>
      <c r="AH420" s="60"/>
      <c r="AI420" s="379"/>
      <c r="AJ420" s="379"/>
      <c r="AK420" s="156"/>
      <c r="AL420" s="379"/>
      <c r="AM420" s="50"/>
      <c r="AN420" s="50"/>
    </row>
    <row r="421" spans="1:40" x14ac:dyDescent="0.25">
      <c r="A421" s="53"/>
      <c r="C421" s="54"/>
      <c r="F421" s="449"/>
      <c r="H421" s="449"/>
      <c r="I421" s="449"/>
      <c r="J421" s="221"/>
      <c r="K421" s="221"/>
      <c r="L421" s="379"/>
      <c r="M421" s="379"/>
      <c r="N421" s="50"/>
      <c r="O421" s="50"/>
      <c r="P421" s="379"/>
      <c r="Q421" s="379"/>
      <c r="R421" s="379"/>
      <c r="T421" s="54"/>
      <c r="V421" s="379"/>
      <c r="Y421" s="379"/>
      <c r="Z421" s="221"/>
      <c r="AA421" s="379"/>
      <c r="AB421" s="379"/>
      <c r="AC421" s="50"/>
      <c r="AD421" s="50"/>
      <c r="AE421" s="379"/>
      <c r="AF421" s="379"/>
      <c r="AG421" s="156"/>
      <c r="AH421" s="60"/>
      <c r="AI421" s="379"/>
      <c r="AJ421" s="379"/>
      <c r="AK421" s="156"/>
      <c r="AL421" s="379"/>
      <c r="AM421" s="50"/>
      <c r="AN421" s="50"/>
    </row>
    <row r="422" spans="1:40" x14ac:dyDescent="0.25">
      <c r="A422" s="53"/>
      <c r="C422" s="54"/>
      <c r="F422" s="449"/>
      <c r="H422" s="449"/>
      <c r="I422" s="449"/>
      <c r="J422" s="221"/>
      <c r="K422" s="221"/>
      <c r="L422" s="379"/>
      <c r="M422" s="379"/>
      <c r="N422" s="50"/>
      <c r="O422" s="50"/>
      <c r="P422" s="379"/>
      <c r="Q422" s="379"/>
      <c r="R422" s="379"/>
      <c r="T422" s="54"/>
      <c r="V422" s="379"/>
      <c r="Y422" s="379"/>
      <c r="Z422" s="221"/>
      <c r="AA422" s="379"/>
      <c r="AB422" s="379"/>
      <c r="AC422" s="50"/>
      <c r="AD422" s="50"/>
      <c r="AE422" s="379"/>
      <c r="AF422" s="379"/>
      <c r="AG422" s="156"/>
      <c r="AH422" s="60"/>
      <c r="AI422" s="379"/>
      <c r="AJ422" s="379"/>
      <c r="AK422" s="156"/>
      <c r="AL422" s="379"/>
      <c r="AM422" s="50"/>
      <c r="AN422" s="50"/>
    </row>
    <row r="423" spans="1:40" x14ac:dyDescent="0.25">
      <c r="A423" s="53"/>
      <c r="C423" s="54"/>
      <c r="F423" s="449"/>
      <c r="H423" s="449"/>
      <c r="I423" s="449"/>
      <c r="J423" s="221"/>
      <c r="K423" s="221"/>
      <c r="L423" s="379"/>
      <c r="M423" s="379"/>
      <c r="N423" s="50"/>
      <c r="O423" s="50"/>
      <c r="P423" s="379"/>
      <c r="Q423" s="379"/>
      <c r="R423" s="379"/>
      <c r="T423" s="54"/>
      <c r="V423" s="379"/>
      <c r="Y423" s="379"/>
      <c r="Z423" s="221"/>
      <c r="AA423" s="379"/>
      <c r="AB423" s="379"/>
      <c r="AC423" s="50"/>
      <c r="AD423" s="50"/>
      <c r="AE423" s="379"/>
      <c r="AF423" s="379"/>
      <c r="AG423" s="156"/>
      <c r="AH423" s="60"/>
      <c r="AI423" s="379"/>
      <c r="AJ423" s="379"/>
      <c r="AK423" s="156"/>
      <c r="AL423" s="379"/>
      <c r="AM423" s="50"/>
      <c r="AN423" s="50"/>
    </row>
    <row r="424" spans="1:40" x14ac:dyDescent="0.25">
      <c r="A424" s="53"/>
      <c r="C424" s="54"/>
      <c r="J424" s="65"/>
      <c r="K424" s="65"/>
      <c r="T424" s="54"/>
      <c r="Z424" s="65"/>
    </row>
    <row r="425" spans="1:40" x14ac:dyDescent="0.25">
      <c r="A425" s="53"/>
      <c r="C425" s="54"/>
      <c r="F425" s="449"/>
      <c r="H425" s="449"/>
      <c r="I425" s="449"/>
      <c r="J425" s="221"/>
      <c r="K425" s="221"/>
      <c r="L425" s="379"/>
      <c r="M425" s="379"/>
      <c r="N425" s="50"/>
      <c r="O425" s="50"/>
      <c r="P425" s="379"/>
      <c r="Q425" s="379"/>
      <c r="R425" s="379"/>
      <c r="T425" s="54"/>
      <c r="V425" s="379"/>
      <c r="Y425" s="379"/>
      <c r="Z425" s="221"/>
      <c r="AA425" s="379"/>
      <c r="AB425" s="379"/>
      <c r="AC425" s="50"/>
      <c r="AD425" s="50"/>
      <c r="AE425" s="379"/>
      <c r="AF425" s="379"/>
      <c r="AG425" s="156"/>
      <c r="AH425" s="60"/>
      <c r="AI425" s="379"/>
      <c r="AJ425" s="379"/>
      <c r="AK425" s="156"/>
      <c r="AL425" s="379"/>
      <c r="AM425" s="50"/>
      <c r="AN425" s="50"/>
    </row>
    <row r="426" spans="1:40" x14ac:dyDescent="0.25">
      <c r="A426" s="53"/>
      <c r="C426" s="54"/>
      <c r="F426" s="449"/>
      <c r="H426" s="449"/>
      <c r="I426" s="449"/>
      <c r="J426" s="221"/>
      <c r="K426" s="221"/>
      <c r="L426" s="379"/>
      <c r="M426" s="379"/>
      <c r="N426" s="50"/>
      <c r="O426" s="50"/>
      <c r="P426" s="379"/>
      <c r="Q426" s="379"/>
      <c r="R426" s="379"/>
      <c r="T426" s="54"/>
      <c r="V426" s="379"/>
      <c r="Y426" s="379"/>
      <c r="Z426" s="221"/>
      <c r="AA426" s="379"/>
      <c r="AB426" s="379"/>
      <c r="AC426" s="50"/>
      <c r="AD426" s="50"/>
      <c r="AE426" s="379"/>
      <c r="AF426" s="379"/>
      <c r="AG426" s="156"/>
      <c r="AH426" s="60"/>
      <c r="AI426" s="379"/>
      <c r="AJ426" s="379"/>
      <c r="AK426" s="156"/>
      <c r="AL426" s="379"/>
      <c r="AM426" s="50"/>
      <c r="AN426" s="50"/>
    </row>
    <row r="427" spans="1:40" x14ac:dyDescent="0.25">
      <c r="A427" s="53"/>
      <c r="C427" s="54"/>
      <c r="F427" s="449"/>
      <c r="H427" s="449"/>
      <c r="I427" s="449"/>
      <c r="J427" s="221"/>
      <c r="K427" s="221"/>
      <c r="L427" s="379"/>
      <c r="M427" s="379"/>
      <c r="N427" s="50"/>
      <c r="O427" s="50"/>
      <c r="P427" s="379"/>
      <c r="Q427" s="379"/>
      <c r="R427" s="379"/>
      <c r="T427" s="54"/>
      <c r="V427" s="379"/>
      <c r="Y427" s="379"/>
      <c r="Z427" s="221"/>
      <c r="AA427" s="379"/>
      <c r="AB427" s="379"/>
      <c r="AC427" s="50"/>
      <c r="AD427" s="50"/>
      <c r="AE427" s="379"/>
      <c r="AF427" s="379"/>
      <c r="AG427" s="156"/>
      <c r="AH427" s="60"/>
      <c r="AI427" s="379"/>
      <c r="AJ427" s="379"/>
      <c r="AK427" s="156"/>
      <c r="AL427" s="379"/>
      <c r="AM427" s="50"/>
      <c r="AN427" s="50"/>
    </row>
    <row r="428" spans="1:40" x14ac:dyDescent="0.25">
      <c r="A428" s="53"/>
      <c r="C428" s="54"/>
      <c r="J428" s="65"/>
      <c r="K428" s="65"/>
      <c r="T428" s="54"/>
      <c r="Z428" s="65"/>
    </row>
    <row r="429" spans="1:40" x14ac:dyDescent="0.25">
      <c r="A429" s="53"/>
      <c r="C429" s="54"/>
      <c r="F429" s="449"/>
      <c r="H429" s="449"/>
      <c r="I429" s="449"/>
      <c r="J429" s="221"/>
      <c r="K429" s="221"/>
      <c r="L429" s="379"/>
      <c r="M429" s="379"/>
      <c r="N429" s="50"/>
      <c r="O429" s="50"/>
      <c r="P429" s="379"/>
      <c r="Q429" s="379"/>
      <c r="R429" s="379"/>
      <c r="T429" s="54"/>
      <c r="V429" s="379"/>
      <c r="Y429" s="379"/>
      <c r="Z429" s="221"/>
      <c r="AA429" s="379"/>
      <c r="AB429" s="379"/>
      <c r="AC429" s="50"/>
      <c r="AD429" s="50"/>
      <c r="AE429" s="379"/>
      <c r="AF429" s="379"/>
      <c r="AG429" s="156"/>
      <c r="AH429" s="60"/>
      <c r="AI429" s="379"/>
      <c r="AJ429" s="379"/>
      <c r="AK429" s="156"/>
      <c r="AL429" s="379"/>
      <c r="AM429" s="50"/>
      <c r="AN429" s="50"/>
    </row>
    <row r="430" spans="1:40" x14ac:dyDescent="0.25">
      <c r="A430" s="53"/>
      <c r="C430" s="54"/>
      <c r="F430" s="449"/>
      <c r="H430" s="449"/>
      <c r="I430" s="449"/>
      <c r="J430" s="221"/>
      <c r="K430" s="221"/>
      <c r="L430" s="379"/>
      <c r="M430" s="379"/>
      <c r="N430" s="50"/>
      <c r="O430" s="50"/>
      <c r="P430" s="379"/>
      <c r="Q430" s="379"/>
      <c r="R430" s="379"/>
      <c r="T430" s="54"/>
      <c r="V430" s="379"/>
      <c r="Y430" s="379"/>
      <c r="Z430" s="221"/>
      <c r="AA430" s="379"/>
      <c r="AB430" s="379"/>
      <c r="AC430" s="50"/>
      <c r="AD430" s="50"/>
      <c r="AE430" s="379"/>
      <c r="AF430" s="379"/>
      <c r="AG430" s="156"/>
      <c r="AH430" s="60"/>
      <c r="AI430" s="379"/>
      <c r="AJ430" s="379"/>
      <c r="AK430" s="156"/>
      <c r="AL430" s="379"/>
      <c r="AM430" s="50"/>
      <c r="AN430" s="50"/>
    </row>
    <row r="431" spans="1:40" x14ac:dyDescent="0.25">
      <c r="A431" s="53"/>
      <c r="C431" s="54"/>
      <c r="J431" s="65"/>
      <c r="K431" s="65"/>
      <c r="T431" s="54"/>
      <c r="Z431" s="65"/>
    </row>
    <row r="432" spans="1:40" x14ac:dyDescent="0.25">
      <c r="A432" s="53"/>
      <c r="C432" s="54"/>
      <c r="F432" s="449"/>
      <c r="H432" s="449"/>
      <c r="I432" s="449"/>
      <c r="J432" s="221"/>
      <c r="K432" s="221"/>
      <c r="L432" s="379"/>
      <c r="M432" s="379"/>
      <c r="N432" s="50"/>
      <c r="O432" s="50"/>
      <c r="P432" s="379"/>
      <c r="Q432" s="379"/>
      <c r="R432" s="379"/>
      <c r="T432" s="54"/>
      <c r="V432" s="379"/>
      <c r="Y432" s="379"/>
      <c r="Z432" s="221"/>
      <c r="AA432" s="379"/>
      <c r="AB432" s="379"/>
      <c r="AC432" s="50"/>
      <c r="AD432" s="50"/>
      <c r="AE432" s="379"/>
      <c r="AF432" s="379"/>
      <c r="AG432" s="156"/>
      <c r="AH432" s="60"/>
      <c r="AI432" s="379"/>
      <c r="AJ432" s="379"/>
      <c r="AK432" s="156"/>
      <c r="AL432" s="379"/>
      <c r="AM432" s="50"/>
      <c r="AN432" s="50"/>
    </row>
    <row r="433" spans="1:40" x14ac:dyDescent="0.25">
      <c r="A433" s="53"/>
      <c r="C433" s="54"/>
      <c r="F433" s="449"/>
      <c r="H433" s="449"/>
      <c r="I433" s="449"/>
      <c r="J433" s="221"/>
      <c r="K433" s="221"/>
      <c r="L433" s="379"/>
      <c r="M433" s="379"/>
      <c r="N433" s="50"/>
      <c r="O433" s="50"/>
      <c r="P433" s="379"/>
      <c r="Q433" s="379"/>
      <c r="R433" s="379"/>
      <c r="T433" s="54"/>
      <c r="V433" s="379"/>
      <c r="Y433" s="379"/>
      <c r="Z433" s="221"/>
      <c r="AA433" s="379"/>
      <c r="AB433" s="379"/>
      <c r="AC433" s="50"/>
      <c r="AD433" s="50"/>
      <c r="AE433" s="379"/>
      <c r="AF433" s="379"/>
      <c r="AG433" s="156"/>
      <c r="AH433" s="60"/>
      <c r="AI433" s="379"/>
      <c r="AJ433" s="379"/>
      <c r="AK433" s="156"/>
      <c r="AL433" s="379"/>
      <c r="AM433" s="50"/>
      <c r="AN433" s="50"/>
    </row>
    <row r="434" spans="1:40" x14ac:dyDescent="0.25">
      <c r="A434" s="53"/>
      <c r="C434" s="54"/>
      <c r="F434" s="449"/>
      <c r="H434" s="449"/>
      <c r="I434" s="449"/>
      <c r="J434" s="221"/>
      <c r="K434" s="221"/>
      <c r="L434" s="379"/>
      <c r="M434" s="379"/>
      <c r="N434" s="50"/>
      <c r="O434" s="50"/>
      <c r="P434" s="379"/>
      <c r="Q434" s="379"/>
      <c r="R434" s="379"/>
      <c r="T434" s="54"/>
      <c r="V434" s="379"/>
      <c r="Y434" s="379"/>
      <c r="Z434" s="221"/>
      <c r="AA434" s="379"/>
      <c r="AB434" s="379"/>
      <c r="AC434" s="50"/>
      <c r="AD434" s="50"/>
      <c r="AE434" s="379"/>
      <c r="AF434" s="379"/>
      <c r="AG434" s="156"/>
      <c r="AH434" s="60"/>
      <c r="AI434" s="379"/>
      <c r="AJ434" s="379"/>
      <c r="AK434" s="156"/>
      <c r="AL434" s="379"/>
      <c r="AM434" s="50"/>
      <c r="AN434" s="50"/>
    </row>
    <row r="435" spans="1:40" x14ac:dyDescent="0.25">
      <c r="F435" s="381"/>
      <c r="H435" s="381"/>
      <c r="I435" s="381"/>
      <c r="J435" s="221"/>
      <c r="K435" s="221"/>
      <c r="L435" s="381"/>
      <c r="M435" s="381"/>
      <c r="N435" s="381"/>
      <c r="O435" s="381"/>
      <c r="P435" s="381"/>
      <c r="Q435" s="381"/>
      <c r="R435" s="381"/>
      <c r="V435" s="381"/>
      <c r="Y435" s="381"/>
      <c r="Z435" s="221"/>
      <c r="AA435" s="381"/>
      <c r="AB435" s="381"/>
      <c r="AC435" s="381"/>
      <c r="AD435" s="381"/>
      <c r="AE435" s="381"/>
      <c r="AF435" s="381"/>
      <c r="AI435" s="381"/>
      <c r="AJ435" s="381"/>
      <c r="AK435" s="162"/>
      <c r="AL435" s="381"/>
    </row>
    <row r="436" spans="1:40" x14ac:dyDescent="0.25">
      <c r="A436" s="53"/>
      <c r="C436" s="56"/>
      <c r="F436" s="379"/>
      <c r="H436" s="379"/>
      <c r="I436" s="379"/>
      <c r="J436" s="65"/>
      <c r="K436" s="65"/>
      <c r="L436" s="379"/>
      <c r="M436" s="379"/>
      <c r="N436" s="60"/>
      <c r="O436" s="60"/>
      <c r="P436" s="379"/>
      <c r="Q436" s="379"/>
      <c r="R436" s="379"/>
      <c r="T436" s="56"/>
      <c r="V436" s="379"/>
      <c r="Y436" s="379"/>
      <c r="Z436" s="65"/>
      <c r="AA436" s="379"/>
      <c r="AB436" s="379"/>
      <c r="AC436" s="379"/>
      <c r="AD436" s="379"/>
      <c r="AE436" s="379"/>
      <c r="AF436" s="379"/>
      <c r="AG436" s="156"/>
      <c r="AH436" s="60"/>
      <c r="AI436" s="379"/>
      <c r="AJ436" s="379"/>
      <c r="AK436" s="156"/>
      <c r="AL436" s="379"/>
      <c r="AM436" s="50"/>
      <c r="AN436" s="50"/>
    </row>
    <row r="437" spans="1:40" x14ac:dyDescent="0.25">
      <c r="F437" s="381"/>
      <c r="H437" s="381"/>
      <c r="I437" s="381"/>
      <c r="J437" s="221"/>
      <c r="K437" s="221"/>
      <c r="L437" s="381"/>
      <c r="M437" s="381"/>
      <c r="N437" s="381"/>
      <c r="O437" s="381"/>
      <c r="P437" s="381"/>
      <c r="Q437" s="381"/>
      <c r="R437" s="381"/>
      <c r="V437" s="381"/>
      <c r="Y437" s="381"/>
      <c r="Z437" s="221"/>
      <c r="AA437" s="381"/>
      <c r="AB437" s="381"/>
      <c r="AC437" s="381"/>
      <c r="AD437" s="381"/>
      <c r="AE437" s="381"/>
      <c r="AF437" s="381"/>
      <c r="AI437" s="381"/>
      <c r="AJ437" s="381"/>
      <c r="AK437" s="162"/>
      <c r="AL437" s="381"/>
    </row>
    <row r="438" spans="1:40" x14ac:dyDescent="0.25">
      <c r="A438" s="53"/>
      <c r="C438" s="54"/>
      <c r="J438" s="65"/>
      <c r="K438" s="65"/>
      <c r="T438" s="54"/>
      <c r="Z438" s="65"/>
    </row>
    <row r="439" spans="1:40" x14ac:dyDescent="0.25">
      <c r="A439" s="53"/>
      <c r="C439" s="54"/>
      <c r="J439" s="65"/>
      <c r="K439" s="65"/>
      <c r="T439" s="54"/>
      <c r="Z439" s="65"/>
    </row>
    <row r="440" spans="1:40" x14ac:dyDescent="0.25">
      <c r="A440" s="53"/>
      <c r="C440" s="54"/>
      <c r="F440" s="449"/>
      <c r="H440" s="449"/>
      <c r="I440" s="449"/>
      <c r="J440" s="221"/>
      <c r="K440" s="221"/>
      <c r="L440" s="379"/>
      <c r="M440" s="379"/>
      <c r="N440" s="50"/>
      <c r="O440" s="50"/>
      <c r="P440" s="379"/>
      <c r="Q440" s="379"/>
      <c r="R440" s="379"/>
      <c r="T440" s="54"/>
      <c r="V440" s="379"/>
      <c r="Y440" s="379"/>
      <c r="Z440" s="221"/>
      <c r="AA440" s="379"/>
      <c r="AB440" s="379"/>
      <c r="AC440" s="50"/>
      <c r="AD440" s="50"/>
      <c r="AE440" s="379"/>
      <c r="AF440" s="379"/>
      <c r="AG440" s="156"/>
      <c r="AH440" s="60"/>
      <c r="AI440" s="379"/>
      <c r="AJ440" s="379"/>
      <c r="AK440" s="156"/>
      <c r="AL440" s="379"/>
      <c r="AM440" s="50"/>
      <c r="AN440" s="50"/>
    </row>
    <row r="441" spans="1:40" x14ac:dyDescent="0.25">
      <c r="A441" s="53"/>
      <c r="C441" s="54"/>
      <c r="F441" s="449"/>
      <c r="H441" s="449"/>
      <c r="I441" s="449"/>
      <c r="J441" s="221"/>
      <c r="K441" s="221"/>
      <c r="L441" s="379"/>
      <c r="M441" s="379"/>
      <c r="N441" s="50"/>
      <c r="O441" s="50"/>
      <c r="P441" s="379"/>
      <c r="Q441" s="379"/>
      <c r="R441" s="379"/>
      <c r="T441" s="54"/>
      <c r="V441" s="379"/>
      <c r="Y441" s="379"/>
      <c r="Z441" s="221"/>
      <c r="AA441" s="379"/>
      <c r="AB441" s="379"/>
      <c r="AC441" s="50"/>
      <c r="AD441" s="50"/>
      <c r="AE441" s="379"/>
      <c r="AF441" s="379"/>
      <c r="AG441" s="156"/>
      <c r="AH441" s="60"/>
      <c r="AI441" s="379"/>
      <c r="AJ441" s="379"/>
      <c r="AK441" s="156"/>
      <c r="AL441" s="379"/>
      <c r="AM441" s="50"/>
      <c r="AN441" s="50"/>
    </row>
    <row r="442" spans="1:40" x14ac:dyDescent="0.25">
      <c r="A442" s="53"/>
      <c r="C442" s="54"/>
      <c r="F442" s="449"/>
      <c r="H442" s="449"/>
      <c r="I442" s="449"/>
      <c r="J442" s="221"/>
      <c r="K442" s="221"/>
      <c r="L442" s="379"/>
      <c r="M442" s="379"/>
      <c r="N442" s="50"/>
      <c r="O442" s="50"/>
      <c r="P442" s="379"/>
      <c r="Q442" s="379"/>
      <c r="R442" s="379"/>
      <c r="T442" s="54"/>
      <c r="V442" s="379"/>
      <c r="Y442" s="379"/>
      <c r="Z442" s="221"/>
      <c r="AA442" s="379"/>
      <c r="AB442" s="379"/>
      <c r="AC442" s="50"/>
      <c r="AD442" s="50"/>
      <c r="AE442" s="379"/>
      <c r="AF442" s="379"/>
      <c r="AG442" s="156"/>
      <c r="AH442" s="60"/>
      <c r="AI442" s="379"/>
      <c r="AJ442" s="379"/>
      <c r="AK442" s="156"/>
      <c r="AL442" s="379"/>
      <c r="AM442" s="50"/>
      <c r="AN442" s="50"/>
    </row>
    <row r="443" spans="1:40" x14ac:dyDescent="0.25">
      <c r="A443" s="53"/>
      <c r="C443" s="54"/>
      <c r="F443" s="449"/>
      <c r="H443" s="449"/>
      <c r="I443" s="449"/>
      <c r="J443" s="221"/>
      <c r="K443" s="221"/>
      <c r="L443" s="379"/>
      <c r="M443" s="379"/>
      <c r="N443" s="50"/>
      <c r="O443" s="50"/>
      <c r="P443" s="379"/>
      <c r="Q443" s="379"/>
      <c r="R443" s="379"/>
      <c r="T443" s="54"/>
      <c r="V443" s="379"/>
      <c r="Y443" s="379"/>
      <c r="Z443" s="221"/>
      <c r="AA443" s="379"/>
      <c r="AB443" s="379"/>
      <c r="AC443" s="50"/>
      <c r="AD443" s="50"/>
      <c r="AE443" s="379"/>
      <c r="AF443" s="379"/>
      <c r="AG443" s="156"/>
      <c r="AH443" s="60"/>
      <c r="AI443" s="379"/>
      <c r="AJ443" s="379"/>
      <c r="AK443" s="156"/>
      <c r="AL443" s="379"/>
      <c r="AM443" s="50"/>
      <c r="AN443" s="50"/>
    </row>
    <row r="444" spans="1:40" x14ac:dyDescent="0.25">
      <c r="A444" s="53"/>
      <c r="C444" s="54"/>
      <c r="F444" s="449"/>
      <c r="H444" s="449"/>
      <c r="I444" s="449"/>
      <c r="J444" s="221"/>
      <c r="K444" s="221"/>
      <c r="L444" s="379"/>
      <c r="M444" s="379"/>
      <c r="N444" s="50"/>
      <c r="O444" s="50"/>
      <c r="P444" s="379"/>
      <c r="Q444" s="379"/>
      <c r="R444" s="379"/>
      <c r="T444" s="54"/>
      <c r="V444" s="379"/>
      <c r="Y444" s="379"/>
      <c r="Z444" s="221"/>
      <c r="AA444" s="379"/>
      <c r="AB444" s="379"/>
      <c r="AC444" s="50"/>
      <c r="AD444" s="50"/>
      <c r="AE444" s="379"/>
      <c r="AF444" s="379"/>
      <c r="AG444" s="156"/>
      <c r="AH444" s="60"/>
      <c r="AI444" s="379"/>
      <c r="AJ444" s="379"/>
      <c r="AK444" s="156"/>
      <c r="AL444" s="379"/>
      <c r="AM444" s="50"/>
      <c r="AN444" s="50"/>
    </row>
    <row r="445" spans="1:40" x14ac:dyDescent="0.25">
      <c r="A445" s="53"/>
      <c r="C445" s="54"/>
      <c r="F445" s="449"/>
      <c r="H445" s="449"/>
      <c r="I445" s="449"/>
      <c r="J445" s="221"/>
      <c r="K445" s="221"/>
      <c r="L445" s="379"/>
      <c r="M445" s="379"/>
      <c r="N445" s="50"/>
      <c r="O445" s="50"/>
      <c r="P445" s="379"/>
      <c r="Q445" s="379"/>
      <c r="R445" s="379"/>
      <c r="T445" s="54"/>
      <c r="V445" s="379"/>
      <c r="Y445" s="379"/>
      <c r="Z445" s="221"/>
      <c r="AA445" s="379"/>
      <c r="AB445" s="379"/>
      <c r="AC445" s="50"/>
      <c r="AD445" s="50"/>
      <c r="AE445" s="379"/>
      <c r="AF445" s="379"/>
      <c r="AG445" s="156"/>
      <c r="AH445" s="60"/>
      <c r="AI445" s="379"/>
      <c r="AJ445" s="379"/>
      <c r="AK445" s="156"/>
      <c r="AL445" s="379"/>
      <c r="AM445" s="50"/>
      <c r="AN445" s="50"/>
    </row>
    <row r="446" spans="1:40" x14ac:dyDescent="0.25">
      <c r="A446" s="53"/>
      <c r="C446" s="54"/>
      <c r="F446" s="449"/>
      <c r="H446" s="449"/>
      <c r="I446" s="449"/>
      <c r="J446" s="221"/>
      <c r="K446" s="221"/>
      <c r="L446" s="379"/>
      <c r="M446" s="379"/>
      <c r="N446" s="50"/>
      <c r="O446" s="50"/>
      <c r="P446" s="379"/>
      <c r="Q446" s="379"/>
      <c r="R446" s="379"/>
      <c r="T446" s="54"/>
      <c r="V446" s="379"/>
      <c r="Y446" s="379"/>
      <c r="Z446" s="221"/>
      <c r="AA446" s="379"/>
      <c r="AB446" s="379"/>
      <c r="AC446" s="50"/>
      <c r="AD446" s="50"/>
      <c r="AE446" s="379"/>
      <c r="AF446" s="379"/>
      <c r="AG446" s="156"/>
      <c r="AH446" s="60"/>
      <c r="AI446" s="379"/>
      <c r="AJ446" s="379"/>
      <c r="AK446" s="156"/>
      <c r="AL446" s="379"/>
      <c r="AM446" s="50"/>
      <c r="AN446" s="50"/>
    </row>
    <row r="447" spans="1:40" x14ac:dyDescent="0.25">
      <c r="A447" s="53"/>
      <c r="C447" s="54"/>
      <c r="J447" s="65"/>
      <c r="K447" s="65"/>
      <c r="T447" s="54"/>
      <c r="Z447" s="65"/>
    </row>
    <row r="448" spans="1:40" x14ac:dyDescent="0.25">
      <c r="A448" s="53"/>
      <c r="C448" s="54"/>
      <c r="F448" s="449"/>
      <c r="H448" s="449"/>
      <c r="I448" s="449"/>
      <c r="J448" s="221"/>
      <c r="K448" s="221"/>
      <c r="L448" s="379"/>
      <c r="M448" s="379"/>
      <c r="N448" s="50"/>
      <c r="O448" s="50"/>
      <c r="P448" s="379"/>
      <c r="Q448" s="379"/>
      <c r="R448" s="379"/>
      <c r="T448" s="54"/>
      <c r="V448" s="379"/>
      <c r="Y448" s="379"/>
      <c r="Z448" s="221"/>
      <c r="AA448" s="379"/>
      <c r="AB448" s="379"/>
      <c r="AC448" s="50"/>
      <c r="AD448" s="50"/>
      <c r="AE448" s="379"/>
      <c r="AF448" s="379"/>
      <c r="AG448" s="156"/>
      <c r="AH448" s="60"/>
      <c r="AI448" s="379"/>
      <c r="AJ448" s="379"/>
      <c r="AK448" s="156"/>
      <c r="AL448" s="379"/>
      <c r="AM448" s="50"/>
      <c r="AN448" s="50"/>
    </row>
    <row r="449" spans="1:40" x14ac:dyDescent="0.25">
      <c r="A449" s="53"/>
      <c r="C449" s="54"/>
      <c r="F449" s="449"/>
      <c r="H449" s="449"/>
      <c r="I449" s="449"/>
      <c r="J449" s="221"/>
      <c r="K449" s="221"/>
      <c r="L449" s="379"/>
      <c r="M449" s="379"/>
      <c r="N449" s="50"/>
      <c r="O449" s="50"/>
      <c r="P449" s="379"/>
      <c r="Q449" s="379"/>
      <c r="R449" s="379"/>
      <c r="T449" s="54"/>
      <c r="V449" s="379"/>
      <c r="Y449" s="379"/>
      <c r="Z449" s="221"/>
      <c r="AA449" s="379"/>
      <c r="AB449" s="379"/>
      <c r="AC449" s="50"/>
      <c r="AD449" s="50"/>
      <c r="AE449" s="379"/>
      <c r="AF449" s="379"/>
      <c r="AG449" s="156"/>
      <c r="AH449" s="60"/>
      <c r="AI449" s="379"/>
      <c r="AJ449" s="379"/>
      <c r="AK449" s="156"/>
      <c r="AL449" s="379"/>
      <c r="AM449" s="50"/>
      <c r="AN449" s="50"/>
    </row>
    <row r="450" spans="1:40" x14ac:dyDescent="0.25">
      <c r="A450" s="53"/>
      <c r="C450" s="54"/>
      <c r="F450" s="449"/>
      <c r="H450" s="449"/>
      <c r="I450" s="449"/>
      <c r="J450" s="221"/>
      <c r="K450" s="221"/>
      <c r="L450" s="379"/>
      <c r="M450" s="379"/>
      <c r="N450" s="50"/>
      <c r="O450" s="50"/>
      <c r="P450" s="379"/>
      <c r="Q450" s="379"/>
      <c r="R450" s="379"/>
      <c r="T450" s="54"/>
      <c r="V450" s="379"/>
      <c r="Y450" s="379"/>
      <c r="Z450" s="221"/>
      <c r="AA450" s="379"/>
      <c r="AB450" s="379"/>
      <c r="AC450" s="50"/>
      <c r="AD450" s="50"/>
      <c r="AE450" s="379"/>
      <c r="AF450" s="379"/>
      <c r="AG450" s="156"/>
      <c r="AH450" s="60"/>
      <c r="AI450" s="379"/>
      <c r="AJ450" s="379"/>
      <c r="AK450" s="156"/>
      <c r="AL450" s="379"/>
      <c r="AM450" s="50"/>
      <c r="AN450" s="50"/>
    </row>
    <row r="451" spans="1:40" x14ac:dyDescent="0.25">
      <c r="A451" s="53"/>
      <c r="C451" s="54"/>
      <c r="F451" s="449"/>
      <c r="H451" s="449"/>
      <c r="I451" s="449"/>
      <c r="J451" s="221"/>
      <c r="K451" s="221"/>
      <c r="L451" s="379"/>
      <c r="M451" s="379"/>
      <c r="N451" s="50"/>
      <c r="O451" s="50"/>
      <c r="P451" s="379"/>
      <c r="Q451" s="379"/>
      <c r="R451" s="379"/>
      <c r="T451" s="54"/>
      <c r="V451" s="379"/>
      <c r="Y451" s="379"/>
      <c r="Z451" s="221"/>
      <c r="AA451" s="379"/>
      <c r="AB451" s="379"/>
      <c r="AC451" s="50"/>
      <c r="AD451" s="50"/>
      <c r="AE451" s="379"/>
      <c r="AF451" s="379"/>
      <c r="AG451" s="156"/>
      <c r="AH451" s="60"/>
      <c r="AI451" s="379"/>
      <c r="AJ451" s="379"/>
      <c r="AK451" s="156"/>
      <c r="AL451" s="379"/>
      <c r="AM451" s="50"/>
      <c r="AN451" s="50"/>
    </row>
    <row r="452" spans="1:40" x14ac:dyDescent="0.25">
      <c r="A452" s="53"/>
      <c r="C452" s="54"/>
      <c r="J452" s="65"/>
      <c r="K452" s="65"/>
      <c r="T452" s="54"/>
      <c r="Z452" s="65"/>
    </row>
    <row r="453" spans="1:40" x14ac:dyDescent="0.25">
      <c r="A453" s="53"/>
      <c r="C453" s="54"/>
      <c r="F453" s="449"/>
      <c r="H453" s="449"/>
      <c r="I453" s="449"/>
      <c r="J453" s="221"/>
      <c r="K453" s="221"/>
      <c r="L453" s="379"/>
      <c r="M453" s="379"/>
      <c r="N453" s="50"/>
      <c r="O453" s="50"/>
      <c r="P453" s="379"/>
      <c r="Q453" s="379"/>
      <c r="R453" s="379"/>
      <c r="T453" s="54"/>
      <c r="V453" s="379"/>
      <c r="Y453" s="379"/>
      <c r="Z453" s="221"/>
      <c r="AA453" s="379"/>
      <c r="AB453" s="379"/>
      <c r="AC453" s="50"/>
      <c r="AD453" s="50"/>
      <c r="AE453" s="379"/>
      <c r="AF453" s="379"/>
      <c r="AG453" s="156"/>
      <c r="AH453" s="60"/>
      <c r="AI453" s="379"/>
      <c r="AJ453" s="379"/>
      <c r="AK453" s="156"/>
      <c r="AL453" s="379"/>
      <c r="AM453" s="50"/>
      <c r="AN453" s="50"/>
    </row>
    <row r="454" spans="1:40" x14ac:dyDescent="0.25">
      <c r="A454" s="53"/>
      <c r="C454" s="54"/>
      <c r="F454" s="449"/>
      <c r="H454" s="449"/>
      <c r="I454" s="449"/>
      <c r="J454" s="221"/>
      <c r="K454" s="221"/>
      <c r="L454" s="379"/>
      <c r="M454" s="379"/>
      <c r="N454" s="50"/>
      <c r="O454" s="50"/>
      <c r="P454" s="379"/>
      <c r="Q454" s="379"/>
      <c r="R454" s="379"/>
      <c r="T454" s="54"/>
      <c r="V454" s="379"/>
      <c r="Y454" s="379"/>
      <c r="Z454" s="221"/>
      <c r="AA454" s="379"/>
      <c r="AB454" s="379"/>
      <c r="AC454" s="50"/>
      <c r="AD454" s="50"/>
      <c r="AE454" s="379"/>
      <c r="AF454" s="379"/>
      <c r="AG454" s="156"/>
      <c r="AH454" s="60"/>
      <c r="AI454" s="379"/>
      <c r="AJ454" s="379"/>
      <c r="AK454" s="156"/>
      <c r="AL454" s="379"/>
      <c r="AM454" s="50"/>
      <c r="AN454" s="50"/>
    </row>
    <row r="455" spans="1:40" x14ac:dyDescent="0.25">
      <c r="A455" s="53"/>
      <c r="C455" s="54"/>
      <c r="F455" s="449"/>
      <c r="H455" s="449"/>
      <c r="I455" s="449"/>
      <c r="J455" s="221"/>
      <c r="K455" s="221"/>
      <c r="L455" s="379"/>
      <c r="M455" s="379"/>
      <c r="N455" s="50"/>
      <c r="O455" s="50"/>
      <c r="P455" s="379"/>
      <c r="Q455" s="379"/>
      <c r="R455" s="379"/>
      <c r="T455" s="54"/>
      <c r="V455" s="379"/>
      <c r="Y455" s="379"/>
      <c r="Z455" s="221"/>
      <c r="AA455" s="379"/>
      <c r="AB455" s="379"/>
      <c r="AC455" s="50"/>
      <c r="AD455" s="50"/>
      <c r="AE455" s="379"/>
      <c r="AF455" s="379"/>
      <c r="AG455" s="156"/>
      <c r="AH455" s="60"/>
      <c r="AI455" s="379"/>
      <c r="AJ455" s="379"/>
      <c r="AK455" s="156"/>
      <c r="AL455" s="379"/>
      <c r="AM455" s="50"/>
      <c r="AN455" s="50"/>
    </row>
    <row r="456" spans="1:40" x14ac:dyDescent="0.25">
      <c r="A456" s="53"/>
      <c r="C456" s="54"/>
      <c r="F456" s="449"/>
      <c r="H456" s="449"/>
      <c r="I456" s="449"/>
      <c r="J456" s="221"/>
      <c r="K456" s="221"/>
      <c r="L456" s="379"/>
      <c r="M456" s="379"/>
      <c r="N456" s="50"/>
      <c r="O456" s="50"/>
      <c r="P456" s="379"/>
      <c r="Q456" s="379"/>
      <c r="R456" s="379"/>
      <c r="T456" s="54"/>
      <c r="V456" s="379"/>
      <c r="Y456" s="379"/>
      <c r="Z456" s="221"/>
      <c r="AA456" s="379"/>
      <c r="AB456" s="379"/>
      <c r="AC456" s="50"/>
      <c r="AD456" s="50"/>
      <c r="AE456" s="379"/>
      <c r="AF456" s="379"/>
      <c r="AG456" s="156"/>
      <c r="AH456" s="60"/>
      <c r="AI456" s="379"/>
      <c r="AJ456" s="379"/>
      <c r="AK456" s="156"/>
      <c r="AL456" s="379"/>
      <c r="AM456" s="50"/>
      <c r="AN456" s="50"/>
    </row>
    <row r="457" spans="1:40" x14ac:dyDescent="0.25">
      <c r="A457" s="53"/>
      <c r="C457" s="54"/>
      <c r="F457" s="449"/>
      <c r="H457" s="449"/>
      <c r="I457" s="449"/>
      <c r="J457" s="221"/>
      <c r="K457" s="221"/>
      <c r="L457" s="379"/>
      <c r="M457" s="379"/>
      <c r="N457" s="50"/>
      <c r="O457" s="50"/>
      <c r="P457" s="379"/>
      <c r="Q457" s="379"/>
      <c r="R457" s="379"/>
      <c r="T457" s="54"/>
      <c r="V457" s="379"/>
      <c r="Y457" s="379"/>
      <c r="Z457" s="221"/>
      <c r="AA457" s="379"/>
      <c r="AB457" s="379"/>
      <c r="AC457" s="50"/>
      <c r="AD457" s="50"/>
      <c r="AE457" s="379"/>
      <c r="AF457" s="379"/>
      <c r="AG457" s="156"/>
      <c r="AH457" s="60"/>
      <c r="AI457" s="379"/>
      <c r="AJ457" s="379"/>
      <c r="AK457" s="156"/>
      <c r="AL457" s="379"/>
      <c r="AM457" s="50"/>
      <c r="AN457" s="50"/>
    </row>
    <row r="458" spans="1:40" x14ac:dyDescent="0.25">
      <c r="F458" s="381"/>
      <c r="H458" s="381"/>
      <c r="I458" s="381"/>
      <c r="J458" s="464"/>
      <c r="K458" s="464"/>
      <c r="L458" s="381"/>
      <c r="M458" s="381"/>
      <c r="N458" s="381"/>
      <c r="O458" s="381"/>
      <c r="P458" s="381"/>
      <c r="Q458" s="381"/>
      <c r="R458" s="381"/>
      <c r="V458" s="381"/>
      <c r="Y458" s="381"/>
      <c r="Z458" s="221"/>
      <c r="AA458" s="381"/>
      <c r="AB458" s="381"/>
      <c r="AC458" s="381"/>
      <c r="AD458" s="381"/>
      <c r="AE458" s="381"/>
      <c r="AF458" s="381"/>
      <c r="AI458" s="381"/>
      <c r="AJ458" s="381"/>
      <c r="AK458" s="162"/>
      <c r="AL458" s="381"/>
    </row>
    <row r="459" spans="1:40" x14ac:dyDescent="0.25">
      <c r="A459" s="53"/>
      <c r="C459" s="54"/>
      <c r="F459" s="379"/>
      <c r="H459" s="379"/>
      <c r="I459" s="379"/>
      <c r="L459" s="379"/>
      <c r="M459" s="379"/>
      <c r="N459" s="60"/>
      <c r="O459" s="60"/>
      <c r="P459" s="379"/>
      <c r="Q459" s="379"/>
      <c r="R459" s="379"/>
      <c r="T459" s="54"/>
      <c r="V459" s="379"/>
      <c r="Y459" s="379"/>
      <c r="AA459" s="379"/>
      <c r="AB459" s="379"/>
      <c r="AC459" s="50"/>
      <c r="AD459" s="50"/>
      <c r="AE459" s="379"/>
      <c r="AF459" s="379"/>
      <c r="AG459" s="156"/>
      <c r="AH459" s="60"/>
      <c r="AI459" s="379"/>
      <c r="AJ459" s="379"/>
      <c r="AK459" s="156"/>
      <c r="AL459" s="379"/>
      <c r="AM459" s="50"/>
      <c r="AN459" s="50"/>
    </row>
    <row r="460" spans="1:40" x14ac:dyDescent="0.25">
      <c r="F460" s="381"/>
      <c r="H460" s="381"/>
      <c r="I460" s="381"/>
      <c r="J460" s="464"/>
      <c r="K460" s="464"/>
      <c r="L460" s="381"/>
      <c r="M460" s="381"/>
      <c r="N460" s="381"/>
      <c r="O460" s="381"/>
      <c r="P460" s="381"/>
      <c r="Q460" s="381"/>
      <c r="R460" s="381"/>
      <c r="V460" s="381"/>
      <c r="Y460" s="381"/>
      <c r="Z460" s="464"/>
      <c r="AA460" s="381"/>
      <c r="AB460" s="381"/>
      <c r="AC460" s="381"/>
      <c r="AD460" s="381"/>
      <c r="AE460" s="381"/>
      <c r="AF460" s="381"/>
      <c r="AI460" s="381"/>
      <c r="AJ460" s="381"/>
      <c r="AK460" s="162"/>
      <c r="AL460" s="381"/>
    </row>
    <row r="461" spans="1:40" x14ac:dyDescent="0.25">
      <c r="A461" s="53"/>
      <c r="C461" s="54"/>
      <c r="T461" s="54"/>
    </row>
    <row r="462" spans="1:40" x14ac:dyDescent="0.25">
      <c r="A462" s="53"/>
      <c r="C462" s="54"/>
      <c r="F462" s="449"/>
      <c r="H462" s="449"/>
      <c r="I462" s="449"/>
      <c r="J462" s="461"/>
      <c r="K462" s="461"/>
      <c r="L462" s="379"/>
      <c r="M462" s="379"/>
      <c r="N462" s="50"/>
      <c r="O462" s="50"/>
      <c r="P462" s="379"/>
      <c r="Q462" s="379"/>
      <c r="R462" s="379"/>
      <c r="T462" s="54"/>
      <c r="V462" s="379"/>
      <c r="Y462" s="379"/>
      <c r="Z462" s="461"/>
      <c r="AA462" s="379"/>
      <c r="AB462" s="379"/>
      <c r="AC462" s="50"/>
      <c r="AD462" s="50"/>
      <c r="AE462" s="379"/>
      <c r="AF462" s="379"/>
      <c r="AG462" s="156"/>
      <c r="AH462" s="60"/>
      <c r="AI462" s="379"/>
      <c r="AJ462" s="379"/>
      <c r="AK462" s="156"/>
      <c r="AL462" s="379"/>
      <c r="AM462" s="50"/>
      <c r="AN462" s="50"/>
    </row>
    <row r="463" spans="1:40" x14ac:dyDescent="0.25">
      <c r="A463" s="53"/>
      <c r="C463" s="54"/>
      <c r="F463" s="449"/>
      <c r="H463" s="449"/>
      <c r="I463" s="449"/>
      <c r="J463" s="461"/>
      <c r="K463" s="461"/>
      <c r="L463" s="379"/>
      <c r="M463" s="379"/>
      <c r="N463" s="50"/>
      <c r="O463" s="50"/>
      <c r="P463" s="379"/>
      <c r="Q463" s="379"/>
      <c r="R463" s="379"/>
      <c r="T463" s="54"/>
      <c r="V463" s="379"/>
      <c r="Y463" s="379"/>
      <c r="Z463" s="461"/>
      <c r="AA463" s="379"/>
      <c r="AB463" s="379"/>
      <c r="AC463" s="50"/>
      <c r="AD463" s="50"/>
      <c r="AE463" s="379"/>
      <c r="AF463" s="379"/>
      <c r="AG463" s="156"/>
      <c r="AH463" s="60"/>
      <c r="AI463" s="379"/>
      <c r="AJ463" s="379"/>
      <c r="AK463" s="156"/>
      <c r="AL463" s="379"/>
      <c r="AM463" s="50"/>
      <c r="AN463" s="50"/>
    </row>
    <row r="464" spans="1:40" x14ac:dyDescent="0.25">
      <c r="F464" s="381"/>
      <c r="H464" s="379"/>
      <c r="I464" s="379"/>
      <c r="J464" s="464"/>
      <c r="K464" s="464"/>
      <c r="L464" s="381"/>
      <c r="M464" s="381"/>
      <c r="N464" s="381"/>
      <c r="O464" s="381"/>
      <c r="P464" s="381"/>
      <c r="Q464" s="381"/>
      <c r="R464" s="381"/>
      <c r="V464" s="381"/>
      <c r="Y464" s="379"/>
      <c r="Z464" s="464"/>
      <c r="AA464" s="381"/>
      <c r="AB464" s="381"/>
      <c r="AC464" s="381"/>
      <c r="AD464" s="381"/>
      <c r="AE464" s="381"/>
      <c r="AF464" s="381"/>
      <c r="AI464" s="381"/>
      <c r="AJ464" s="381"/>
      <c r="AK464" s="162"/>
      <c r="AL464" s="381"/>
    </row>
    <row r="465" spans="1:40" x14ac:dyDescent="0.25">
      <c r="F465" s="379"/>
      <c r="H465" s="379"/>
      <c r="I465" s="379"/>
      <c r="J465" s="464"/>
      <c r="K465" s="464"/>
      <c r="L465" s="379"/>
      <c r="M465" s="379"/>
      <c r="N465" s="379"/>
      <c r="O465" s="379"/>
      <c r="P465" s="379"/>
      <c r="Q465" s="379"/>
      <c r="R465" s="379"/>
      <c r="V465" s="379"/>
      <c r="Y465" s="379"/>
      <c r="Z465" s="464"/>
      <c r="AA465" s="379"/>
      <c r="AB465" s="379"/>
      <c r="AC465" s="379"/>
      <c r="AD465" s="379"/>
      <c r="AE465" s="379"/>
      <c r="AF465" s="379"/>
      <c r="AI465" s="379"/>
      <c r="AJ465" s="379"/>
      <c r="AK465" s="156"/>
      <c r="AL465" s="379"/>
    </row>
    <row r="466" spans="1:40" x14ac:dyDescent="0.25">
      <c r="A466" s="53"/>
      <c r="C466" s="54"/>
      <c r="F466" s="379"/>
      <c r="H466" s="379"/>
      <c r="I466" s="379"/>
      <c r="L466" s="379"/>
      <c r="M466" s="379"/>
      <c r="N466" s="50"/>
      <c r="O466" s="50"/>
      <c r="P466" s="379"/>
      <c r="Q466" s="379"/>
      <c r="R466" s="379"/>
      <c r="T466" s="54"/>
      <c r="V466" s="379"/>
      <c r="Y466" s="379"/>
      <c r="AA466" s="379"/>
      <c r="AB466" s="379"/>
      <c r="AC466" s="50"/>
      <c r="AD466" s="50"/>
      <c r="AE466" s="379"/>
      <c r="AF466" s="379"/>
      <c r="AG466" s="156"/>
      <c r="AH466" s="60"/>
      <c r="AI466" s="449"/>
      <c r="AJ466" s="449"/>
      <c r="AK466" s="156"/>
      <c r="AL466" s="379"/>
      <c r="AM466" s="50"/>
      <c r="AN466" s="50"/>
    </row>
    <row r="467" spans="1:40" x14ac:dyDescent="0.25">
      <c r="F467" s="381"/>
      <c r="H467" s="381"/>
      <c r="I467" s="381"/>
      <c r="J467" s="464"/>
      <c r="K467" s="464"/>
      <c r="L467" s="381"/>
      <c r="M467" s="381"/>
      <c r="N467" s="381"/>
      <c r="O467" s="381"/>
      <c r="P467" s="381"/>
      <c r="Q467" s="381"/>
      <c r="R467" s="381"/>
      <c r="V467" s="381"/>
      <c r="Y467" s="381"/>
      <c r="Z467" s="464"/>
      <c r="AA467" s="381"/>
      <c r="AB467" s="381"/>
      <c r="AC467" s="381"/>
      <c r="AD467" s="381"/>
      <c r="AE467" s="381"/>
      <c r="AF467" s="381"/>
      <c r="AI467" s="381"/>
      <c r="AJ467" s="381"/>
      <c r="AK467" s="162"/>
      <c r="AL467" s="381"/>
    </row>
    <row r="469" spans="1:40" x14ac:dyDescent="0.25">
      <c r="A469" s="54"/>
      <c r="T469" s="54"/>
    </row>
    <row r="470" spans="1:40" x14ac:dyDescent="0.25">
      <c r="A470" s="54"/>
      <c r="T470" s="54"/>
    </row>
    <row r="471" spans="1:40" x14ac:dyDescent="0.25">
      <c r="A471" s="54"/>
      <c r="T471" s="54"/>
    </row>
    <row r="472" spans="1:40" x14ac:dyDescent="0.25">
      <c r="A472" s="54"/>
      <c r="T472" s="54"/>
    </row>
    <row r="473" spans="1:40" x14ac:dyDescent="0.25">
      <c r="A473" s="54"/>
      <c r="T473" s="54"/>
    </row>
    <row r="474" spans="1:40" x14ac:dyDescent="0.25">
      <c r="A474" s="54"/>
      <c r="T474" s="54"/>
    </row>
    <row r="475" spans="1:40" x14ac:dyDescent="0.25">
      <c r="A475" s="54"/>
      <c r="T475" s="54"/>
    </row>
    <row r="476" spans="1:40" x14ac:dyDescent="0.25">
      <c r="A476" s="54"/>
      <c r="T476" s="54"/>
    </row>
    <row r="477" spans="1:40" x14ac:dyDescent="0.25">
      <c r="A477" s="54"/>
      <c r="T477" s="54"/>
    </row>
    <row r="479" spans="1:40" x14ac:dyDescent="0.25">
      <c r="A479" s="54"/>
    </row>
    <row r="480" spans="1:40" x14ac:dyDescent="0.25">
      <c r="J480" s="53"/>
      <c r="K480" s="53"/>
      <c r="Z480" s="53"/>
    </row>
    <row r="481" spans="1:40" x14ac:dyDescent="0.25">
      <c r="H481" s="54"/>
      <c r="I481" s="54"/>
      <c r="Y481" s="54"/>
    </row>
    <row r="482" spans="1:40" x14ac:dyDescent="0.25">
      <c r="J482" s="53"/>
      <c r="K482" s="53"/>
      <c r="Z482" s="53"/>
    </row>
    <row r="483" spans="1:40" x14ac:dyDescent="0.25">
      <c r="L483" s="54"/>
      <c r="M483" s="54"/>
      <c r="AA483" s="54"/>
      <c r="AB483" s="54"/>
    </row>
    <row r="484" spans="1:40" x14ac:dyDescent="0.25">
      <c r="A484" s="53"/>
      <c r="R484" s="54"/>
      <c r="AK484" s="161"/>
      <c r="AL484" s="54"/>
    </row>
    <row r="485" spans="1:40" x14ac:dyDescent="0.25">
      <c r="A485" s="53"/>
      <c r="R485" s="54"/>
      <c r="AK485" s="161"/>
      <c r="AL485" s="54"/>
    </row>
    <row r="486" spans="1:40" x14ac:dyDescent="0.25">
      <c r="A486" s="54"/>
      <c r="R486" s="54"/>
      <c r="AK486" s="161"/>
      <c r="AL486" s="54"/>
    </row>
    <row r="487" spans="1:40" x14ac:dyDescent="0.25">
      <c r="L487" s="54"/>
      <c r="M487" s="54"/>
      <c r="R487" s="53"/>
      <c r="AA487" s="54"/>
      <c r="AB487" s="54"/>
      <c r="AK487" s="156"/>
      <c r="AL487" s="53"/>
    </row>
    <row r="488" spans="1:40" x14ac:dyDescent="0.25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154"/>
      <c r="AH488" s="55"/>
      <c r="AI488" s="55"/>
      <c r="AJ488" s="55"/>
      <c r="AK488" s="154"/>
      <c r="AL488" s="55"/>
      <c r="AM488" s="55"/>
      <c r="AN488" s="55"/>
    </row>
    <row r="489" spans="1:40" x14ac:dyDescent="0.25">
      <c r="L489" s="56"/>
      <c r="M489" s="56"/>
      <c r="N489" s="56"/>
      <c r="O489" s="56"/>
      <c r="R489" s="56"/>
      <c r="AA489" s="56"/>
      <c r="AB489" s="56"/>
      <c r="AC489" s="56"/>
      <c r="AD489" s="56"/>
      <c r="AE489" s="56"/>
      <c r="AF489" s="56"/>
      <c r="AG489" s="155"/>
      <c r="AH489" s="56"/>
      <c r="AK489" s="155"/>
      <c r="AL489" s="56"/>
      <c r="AM489" s="56"/>
      <c r="AN489" s="56"/>
    </row>
    <row r="490" spans="1:40" x14ac:dyDescent="0.25">
      <c r="L490" s="56"/>
      <c r="M490" s="56"/>
      <c r="N490" s="56"/>
      <c r="O490" s="56"/>
      <c r="R490" s="56"/>
      <c r="Z490" s="56"/>
      <c r="AA490" s="56"/>
      <c r="AB490" s="56"/>
      <c r="AC490" s="56"/>
      <c r="AD490" s="56"/>
      <c r="AE490" s="56"/>
      <c r="AF490" s="56"/>
      <c r="AG490" s="155"/>
      <c r="AH490" s="56"/>
      <c r="AK490" s="155"/>
      <c r="AL490" s="56"/>
      <c r="AM490" s="56"/>
      <c r="AN490" s="56"/>
    </row>
    <row r="491" spans="1:40" x14ac:dyDescent="0.25">
      <c r="A491" s="56"/>
      <c r="C491" s="56"/>
      <c r="D491" s="56"/>
      <c r="E491" s="56"/>
      <c r="F491" s="56"/>
      <c r="J491" s="56"/>
      <c r="K491" s="56"/>
      <c r="L491" s="56"/>
      <c r="M491" s="56"/>
      <c r="N491" s="56"/>
      <c r="O491" s="56"/>
      <c r="P491" s="56"/>
      <c r="Q491" s="56"/>
      <c r="R491" s="56"/>
      <c r="T491" s="56"/>
      <c r="U491" s="56"/>
      <c r="V491" s="56"/>
      <c r="Z491" s="56"/>
      <c r="AA491" s="56"/>
      <c r="AB491" s="56"/>
      <c r="AC491" s="56"/>
      <c r="AD491" s="56"/>
      <c r="AE491" s="56"/>
      <c r="AF491" s="56"/>
      <c r="AG491" s="155"/>
      <c r="AH491" s="56"/>
      <c r="AI491" s="56"/>
      <c r="AJ491" s="56"/>
      <c r="AK491" s="155"/>
      <c r="AL491" s="56"/>
      <c r="AM491" s="56"/>
      <c r="AN491" s="56"/>
    </row>
    <row r="492" spans="1:40" x14ac:dyDescent="0.25">
      <c r="A492" s="56"/>
      <c r="C492" s="56"/>
      <c r="D492" s="56"/>
      <c r="E492" s="56"/>
      <c r="F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T492" s="56"/>
      <c r="U492" s="56"/>
      <c r="V492" s="56"/>
      <c r="Y492" s="56"/>
      <c r="Z492" s="56"/>
      <c r="AA492" s="56"/>
      <c r="AB492" s="56"/>
      <c r="AC492" s="56"/>
      <c r="AD492" s="56"/>
      <c r="AE492" s="56"/>
      <c r="AF492" s="56"/>
      <c r="AG492" s="155"/>
      <c r="AH492" s="56"/>
      <c r="AI492" s="56"/>
      <c r="AJ492" s="56"/>
      <c r="AK492" s="155"/>
      <c r="AL492" s="56"/>
      <c r="AM492" s="56"/>
      <c r="AN492" s="56"/>
    </row>
    <row r="493" spans="1:40" x14ac:dyDescent="0.25">
      <c r="C493" s="56"/>
      <c r="D493" s="56"/>
      <c r="E493" s="56"/>
      <c r="F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T493" s="56"/>
      <c r="U493" s="56"/>
      <c r="V493" s="56"/>
      <c r="Y493" s="56"/>
      <c r="Z493" s="56"/>
      <c r="AA493" s="56"/>
      <c r="AB493" s="56"/>
      <c r="AC493" s="56"/>
      <c r="AD493" s="56"/>
      <c r="AE493" s="56"/>
      <c r="AF493" s="56"/>
      <c r="AG493" s="155"/>
      <c r="AH493" s="56"/>
      <c r="AI493" s="56"/>
      <c r="AJ493" s="56"/>
      <c r="AK493" s="155"/>
      <c r="AL493" s="56"/>
      <c r="AM493" s="56"/>
      <c r="AN493" s="56"/>
    </row>
    <row r="494" spans="1:40" x14ac:dyDescent="0.25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154"/>
      <c r="AH494" s="55"/>
      <c r="AI494" s="55"/>
      <c r="AJ494" s="55"/>
      <c r="AK494" s="154"/>
      <c r="AL494" s="55"/>
      <c r="AM494" s="55"/>
      <c r="AN494" s="55"/>
    </row>
    <row r="495" spans="1:40" x14ac:dyDescent="0.25"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Y495" s="56"/>
      <c r="Z495" s="56"/>
      <c r="AA495" s="56"/>
      <c r="AB495" s="56"/>
      <c r="AC495" s="56"/>
      <c r="AD495" s="56"/>
      <c r="AE495" s="56"/>
      <c r="AF495" s="56"/>
      <c r="AG495" s="155"/>
      <c r="AH495" s="56"/>
      <c r="AI495" s="56"/>
      <c r="AJ495" s="56"/>
      <c r="AK495" s="155"/>
      <c r="AL495" s="56"/>
      <c r="AM495" s="56"/>
      <c r="AN495" s="56"/>
    </row>
    <row r="496" spans="1:40" x14ac:dyDescent="0.25">
      <c r="A496" s="53"/>
      <c r="C496" s="54"/>
      <c r="D496" s="54"/>
      <c r="E496" s="54"/>
      <c r="T496" s="54"/>
      <c r="U496" s="54"/>
    </row>
    <row r="497" spans="1:40" x14ac:dyDescent="0.25">
      <c r="A497" s="53"/>
      <c r="D497" s="54"/>
      <c r="E497" s="54"/>
      <c r="U497" s="54"/>
    </row>
    <row r="499" spans="1:40" x14ac:dyDescent="0.25">
      <c r="A499" s="53"/>
      <c r="C499" s="54"/>
      <c r="F499" s="379"/>
      <c r="J499" s="62"/>
      <c r="K499" s="62"/>
      <c r="L499" s="379"/>
      <c r="M499" s="379"/>
      <c r="R499" s="379"/>
      <c r="T499" s="54"/>
      <c r="V499" s="379"/>
      <c r="Z499" s="62"/>
      <c r="AA499" s="379"/>
      <c r="AB499" s="379"/>
      <c r="AG499" s="156"/>
      <c r="AH499" s="379"/>
      <c r="AK499" s="156"/>
      <c r="AL499" s="379"/>
    </row>
    <row r="500" spans="1:40" x14ac:dyDescent="0.25">
      <c r="A500" s="53"/>
      <c r="C500" s="54"/>
      <c r="F500" s="379"/>
      <c r="R500" s="379"/>
      <c r="T500" s="54"/>
      <c r="V500" s="379"/>
      <c r="AG500" s="156"/>
      <c r="AH500" s="379"/>
      <c r="AK500" s="156"/>
      <c r="AL500" s="379"/>
    </row>
    <row r="501" spans="1:40" x14ac:dyDescent="0.25">
      <c r="AI501" s="379"/>
      <c r="AJ501" s="379"/>
      <c r="AK501" s="156"/>
      <c r="AL501" s="379"/>
      <c r="AM501" s="50"/>
      <c r="AN501" s="50"/>
    </row>
    <row r="502" spans="1:40" x14ac:dyDescent="0.25">
      <c r="A502" s="53"/>
      <c r="C502" s="54"/>
      <c r="F502" s="449"/>
      <c r="H502" s="449"/>
      <c r="I502" s="449"/>
      <c r="J502" s="477"/>
      <c r="K502" s="477"/>
      <c r="L502" s="379"/>
      <c r="M502" s="379"/>
      <c r="N502" s="50"/>
      <c r="O502" s="50"/>
      <c r="P502" s="379"/>
      <c r="Q502" s="379"/>
      <c r="R502" s="379"/>
      <c r="T502" s="54"/>
      <c r="V502" s="379"/>
      <c r="Y502" s="379"/>
      <c r="Z502" s="477"/>
      <c r="AA502" s="379"/>
      <c r="AB502" s="379"/>
      <c r="AC502" s="50"/>
      <c r="AD502" s="50"/>
      <c r="AE502" s="379"/>
      <c r="AF502" s="379"/>
      <c r="AG502" s="156"/>
      <c r="AH502" s="60"/>
      <c r="AI502" s="379"/>
      <c r="AJ502" s="379"/>
      <c r="AK502" s="156"/>
      <c r="AL502" s="379"/>
      <c r="AM502" s="50"/>
      <c r="AN502" s="50"/>
    </row>
    <row r="503" spans="1:40" x14ac:dyDescent="0.25">
      <c r="F503" s="379"/>
      <c r="H503" s="379"/>
      <c r="I503" s="379"/>
      <c r="J503" s="59"/>
      <c r="K503" s="59"/>
      <c r="L503" s="379"/>
      <c r="M503" s="379"/>
      <c r="P503" s="379"/>
      <c r="Q503" s="379"/>
      <c r="R503" s="379"/>
      <c r="V503" s="379"/>
      <c r="Y503" s="379"/>
      <c r="Z503" s="59"/>
      <c r="AA503" s="379"/>
      <c r="AB503" s="379"/>
      <c r="AI503" s="379"/>
      <c r="AJ503" s="379"/>
      <c r="AK503" s="156"/>
      <c r="AL503" s="379"/>
      <c r="AM503" s="50"/>
      <c r="AN503" s="50"/>
    </row>
    <row r="504" spans="1:40" x14ac:dyDescent="0.25">
      <c r="F504" s="379"/>
      <c r="R504" s="379"/>
      <c r="V504" s="379"/>
      <c r="AK504" s="156"/>
      <c r="AL504" s="379"/>
      <c r="AM504" s="50"/>
      <c r="AN504" s="50"/>
    </row>
    <row r="505" spans="1:40" x14ac:dyDescent="0.25">
      <c r="A505" s="53"/>
      <c r="C505" s="54"/>
      <c r="F505" s="379"/>
      <c r="J505" s="62"/>
      <c r="K505" s="62"/>
      <c r="L505" s="379"/>
      <c r="M505" s="379"/>
      <c r="N505" s="50"/>
      <c r="O505" s="50"/>
      <c r="R505" s="379"/>
      <c r="T505" s="54"/>
      <c r="V505" s="379"/>
      <c r="Z505" s="62"/>
      <c r="AA505" s="379"/>
      <c r="AB505" s="379"/>
      <c r="AC505" s="50"/>
      <c r="AD505" s="50"/>
      <c r="AK505" s="156"/>
      <c r="AL505" s="379"/>
      <c r="AM505" s="50"/>
      <c r="AN505" s="50"/>
    </row>
    <row r="506" spans="1:40" x14ac:dyDescent="0.25">
      <c r="A506" s="53"/>
      <c r="C506" s="54"/>
      <c r="F506" s="379"/>
      <c r="H506" s="379"/>
      <c r="I506" s="379"/>
      <c r="J506" s="62"/>
      <c r="K506" s="62"/>
      <c r="L506" s="379"/>
      <c r="M506" s="379"/>
      <c r="N506" s="50"/>
      <c r="O506" s="50"/>
      <c r="P506" s="379"/>
      <c r="Q506" s="379"/>
      <c r="R506" s="379"/>
      <c r="T506" s="54"/>
      <c r="V506" s="379"/>
      <c r="Y506" s="379"/>
      <c r="Z506" s="62"/>
      <c r="AA506" s="379"/>
      <c r="AB506" s="379"/>
      <c r="AC506" s="50"/>
      <c r="AD506" s="50"/>
      <c r="AI506" s="379"/>
      <c r="AJ506" s="379"/>
      <c r="AK506" s="156"/>
      <c r="AL506" s="379"/>
      <c r="AM506" s="50"/>
      <c r="AN506" s="50"/>
    </row>
    <row r="507" spans="1:40" x14ac:dyDescent="0.25">
      <c r="A507" s="53"/>
      <c r="C507" s="54"/>
      <c r="T507" s="54"/>
      <c r="AM507" s="50"/>
      <c r="AN507" s="50"/>
    </row>
    <row r="508" spans="1:40" x14ac:dyDescent="0.25">
      <c r="A508" s="53"/>
      <c r="C508" s="54"/>
      <c r="T508" s="54"/>
      <c r="AM508" s="50"/>
      <c r="AN508" s="50"/>
    </row>
    <row r="509" spans="1:40" x14ac:dyDescent="0.25">
      <c r="AM509" s="50"/>
      <c r="AN509" s="50"/>
    </row>
    <row r="510" spans="1:40" x14ac:dyDescent="0.25">
      <c r="A510" s="53"/>
      <c r="C510" s="54"/>
      <c r="F510" s="449"/>
      <c r="H510" s="449"/>
      <c r="I510" s="449"/>
      <c r="J510" s="477"/>
      <c r="K510" s="477"/>
      <c r="L510" s="379"/>
      <c r="M510" s="379"/>
      <c r="N510" s="50"/>
      <c r="O510" s="50"/>
      <c r="P510" s="379"/>
      <c r="Q510" s="379"/>
      <c r="R510" s="379"/>
      <c r="T510" s="54"/>
      <c r="V510" s="379"/>
      <c r="Y510" s="379"/>
      <c r="Z510" s="477"/>
      <c r="AA510" s="379"/>
      <c r="AB510" s="379"/>
      <c r="AC510" s="50"/>
      <c r="AD510" s="50"/>
      <c r="AE510" s="379"/>
      <c r="AF510" s="379"/>
      <c r="AG510" s="156"/>
      <c r="AH510" s="60"/>
      <c r="AI510" s="379"/>
      <c r="AJ510" s="379"/>
      <c r="AK510" s="156"/>
      <c r="AL510" s="379"/>
      <c r="AM510" s="50"/>
      <c r="AN510" s="50"/>
    </row>
    <row r="511" spans="1:40" x14ac:dyDescent="0.25">
      <c r="F511" s="381"/>
      <c r="H511" s="381"/>
      <c r="I511" s="381"/>
      <c r="J511" s="464"/>
      <c r="K511" s="464"/>
      <c r="L511" s="381"/>
      <c r="M511" s="381"/>
      <c r="N511" s="381"/>
      <c r="O511" s="381"/>
      <c r="P511" s="381"/>
      <c r="Q511" s="381"/>
      <c r="R511" s="381"/>
      <c r="V511" s="381"/>
      <c r="Y511" s="381"/>
      <c r="Z511" s="464"/>
      <c r="AA511" s="381"/>
      <c r="AB511" s="381"/>
      <c r="AC511" s="381"/>
      <c r="AD511" s="381"/>
      <c r="AE511" s="381"/>
      <c r="AF511" s="381"/>
      <c r="AI511" s="381"/>
      <c r="AJ511" s="381"/>
      <c r="AK511" s="162"/>
      <c r="AL511" s="381"/>
      <c r="AM511" s="50"/>
      <c r="AN511" s="50"/>
    </row>
    <row r="512" spans="1:40" x14ac:dyDescent="0.25">
      <c r="H512" s="379"/>
      <c r="I512" s="379"/>
      <c r="Y512" s="379"/>
      <c r="AM512" s="50"/>
      <c r="AN512" s="50"/>
    </row>
    <row r="513" spans="1:40" x14ac:dyDescent="0.25">
      <c r="A513" s="53"/>
      <c r="C513" s="54"/>
      <c r="F513" s="379"/>
      <c r="H513" s="379"/>
      <c r="I513" s="379"/>
      <c r="L513" s="379"/>
      <c r="M513" s="379"/>
      <c r="N513" s="50"/>
      <c r="O513" s="50"/>
      <c r="P513" s="449"/>
      <c r="Q513" s="449"/>
      <c r="R513" s="379"/>
      <c r="T513" s="54"/>
      <c r="V513" s="379"/>
      <c r="Y513" s="379"/>
      <c r="AA513" s="379"/>
      <c r="AB513" s="379"/>
      <c r="AC513" s="50"/>
      <c r="AD513" s="50"/>
      <c r="AE513" s="379"/>
      <c r="AF513" s="379"/>
      <c r="AG513" s="156"/>
      <c r="AH513" s="60"/>
      <c r="AI513" s="449"/>
      <c r="AJ513" s="449"/>
      <c r="AK513" s="156"/>
      <c r="AL513" s="379"/>
      <c r="AM513" s="50"/>
      <c r="AN513" s="50"/>
    </row>
    <row r="514" spans="1:40" x14ac:dyDescent="0.25">
      <c r="F514" s="381"/>
      <c r="H514" s="381"/>
      <c r="I514" s="381"/>
      <c r="J514" s="464"/>
      <c r="K514" s="464"/>
      <c r="L514" s="381"/>
      <c r="M514" s="381"/>
      <c r="N514" s="381"/>
      <c r="O514" s="381"/>
      <c r="P514" s="381"/>
      <c r="Q514" s="381"/>
      <c r="R514" s="381"/>
      <c r="V514" s="381"/>
      <c r="Y514" s="381"/>
      <c r="Z514" s="464"/>
      <c r="AA514" s="381"/>
      <c r="AB514" s="381"/>
      <c r="AC514" s="381"/>
      <c r="AD514" s="381"/>
      <c r="AE514" s="381"/>
      <c r="AF514" s="381"/>
      <c r="AI514" s="381"/>
      <c r="AJ514" s="381"/>
      <c r="AK514" s="162"/>
      <c r="AL514" s="381"/>
      <c r="AM514" s="50"/>
      <c r="AN514" s="50"/>
    </row>
    <row r="516" spans="1:40" x14ac:dyDescent="0.25">
      <c r="F516" s="379"/>
      <c r="H516" s="379"/>
      <c r="I516" s="379"/>
      <c r="J516" s="59"/>
      <c r="K516" s="59"/>
      <c r="L516" s="379"/>
      <c r="M516" s="379"/>
      <c r="N516" s="379"/>
      <c r="O516" s="379"/>
      <c r="P516" s="379"/>
      <c r="Q516" s="379"/>
      <c r="R516" s="379"/>
      <c r="V516" s="379"/>
      <c r="Y516" s="379"/>
      <c r="Z516" s="59"/>
      <c r="AA516" s="379"/>
      <c r="AB516" s="379"/>
      <c r="AC516" s="379"/>
      <c r="AD516" s="379"/>
      <c r="AE516" s="379"/>
      <c r="AF516" s="379"/>
      <c r="AG516" s="156"/>
      <c r="AH516" s="379"/>
      <c r="AI516" s="379"/>
      <c r="AJ516" s="379"/>
      <c r="AK516" s="156"/>
      <c r="AL516" s="379"/>
    </row>
    <row r="517" spans="1:40" x14ac:dyDescent="0.25">
      <c r="A517" s="54"/>
    </row>
    <row r="518" spans="1:40" x14ac:dyDescent="0.25">
      <c r="J518" s="53"/>
      <c r="K518" s="53"/>
      <c r="Z518" s="53"/>
    </row>
    <row r="519" spans="1:40" x14ac:dyDescent="0.25">
      <c r="H519" s="54"/>
      <c r="I519" s="54"/>
      <c r="Y519" s="54"/>
    </row>
    <row r="520" spans="1:40" x14ac:dyDescent="0.25">
      <c r="J520" s="53"/>
      <c r="K520" s="53"/>
      <c r="Z520" s="53"/>
    </row>
    <row r="521" spans="1:40" x14ac:dyDescent="0.25">
      <c r="L521" s="54"/>
      <c r="M521" s="54"/>
      <c r="AA521" s="54"/>
      <c r="AB521" s="54"/>
    </row>
    <row r="522" spans="1:40" x14ac:dyDescent="0.25">
      <c r="A522" s="53"/>
      <c r="R522" s="54"/>
      <c r="AK522" s="161"/>
      <c r="AL522" s="54"/>
    </row>
    <row r="523" spans="1:40" x14ac:dyDescent="0.25">
      <c r="A523" s="53"/>
      <c r="R523" s="54"/>
      <c r="AK523" s="161"/>
      <c r="AL523" s="54"/>
    </row>
    <row r="524" spans="1:40" x14ac:dyDescent="0.25">
      <c r="A524" s="54"/>
      <c r="R524" s="54"/>
      <c r="AK524" s="161"/>
      <c r="AL524" s="54"/>
    </row>
    <row r="525" spans="1:40" x14ac:dyDescent="0.25">
      <c r="L525" s="54"/>
      <c r="M525" s="54"/>
      <c r="R525" s="53"/>
      <c r="AA525" s="54"/>
      <c r="AB525" s="54"/>
      <c r="AK525" s="156"/>
      <c r="AL525" s="53"/>
    </row>
    <row r="526" spans="1:40" x14ac:dyDescent="0.25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154"/>
      <c r="AH526" s="55"/>
      <c r="AI526" s="55"/>
      <c r="AJ526" s="55"/>
      <c r="AK526" s="154"/>
      <c r="AL526" s="55"/>
      <c r="AM526" s="55"/>
      <c r="AN526" s="55"/>
    </row>
    <row r="527" spans="1:40" x14ac:dyDescent="0.25">
      <c r="L527" s="56"/>
      <c r="M527" s="56"/>
      <c r="N527" s="56"/>
      <c r="O527" s="56"/>
      <c r="R527" s="56"/>
      <c r="AA527" s="56"/>
      <c r="AB527" s="56"/>
      <c r="AC527" s="56"/>
      <c r="AD527" s="56"/>
      <c r="AE527" s="56"/>
      <c r="AF527" s="56"/>
      <c r="AG527" s="155"/>
      <c r="AH527" s="56"/>
      <c r="AK527" s="155"/>
      <c r="AL527" s="56"/>
      <c r="AM527" s="56"/>
      <c r="AN527" s="56"/>
    </row>
    <row r="528" spans="1:40" x14ac:dyDescent="0.25">
      <c r="L528" s="56"/>
      <c r="M528" s="56"/>
      <c r="N528" s="56"/>
      <c r="O528" s="56"/>
      <c r="R528" s="56"/>
      <c r="Z528" s="56"/>
      <c r="AA528" s="56"/>
      <c r="AB528" s="56"/>
      <c r="AC528" s="56"/>
      <c r="AD528" s="56"/>
      <c r="AE528" s="56"/>
      <c r="AF528" s="56"/>
      <c r="AG528" s="155"/>
      <c r="AH528" s="56"/>
      <c r="AK528" s="155"/>
      <c r="AL528" s="56"/>
      <c r="AM528" s="56"/>
      <c r="AN528" s="56"/>
    </row>
    <row r="529" spans="1:40" x14ac:dyDescent="0.25">
      <c r="A529" s="56"/>
      <c r="C529" s="56"/>
      <c r="D529" s="56"/>
      <c r="E529" s="56"/>
      <c r="F529" s="56"/>
      <c r="J529" s="56"/>
      <c r="K529" s="56"/>
      <c r="L529" s="56"/>
      <c r="M529" s="56"/>
      <c r="N529" s="56"/>
      <c r="O529" s="56"/>
      <c r="P529" s="56"/>
      <c r="Q529" s="56"/>
      <c r="R529" s="56"/>
      <c r="T529" s="56"/>
      <c r="U529" s="56"/>
      <c r="V529" s="56"/>
      <c r="Z529" s="56"/>
      <c r="AA529" s="56"/>
      <c r="AB529" s="56"/>
      <c r="AC529" s="56"/>
      <c r="AD529" s="56"/>
      <c r="AE529" s="56"/>
      <c r="AF529" s="56"/>
      <c r="AG529" s="155"/>
      <c r="AH529" s="56"/>
      <c r="AI529" s="56"/>
      <c r="AJ529" s="56"/>
      <c r="AK529" s="155"/>
      <c r="AL529" s="56"/>
      <c r="AM529" s="56"/>
      <c r="AN529" s="56"/>
    </row>
    <row r="530" spans="1:40" x14ac:dyDescent="0.25">
      <c r="A530" s="56"/>
      <c r="C530" s="56"/>
      <c r="D530" s="56"/>
      <c r="E530" s="56"/>
      <c r="F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T530" s="56"/>
      <c r="U530" s="56"/>
      <c r="V530" s="56"/>
      <c r="Y530" s="56"/>
      <c r="Z530" s="56"/>
      <c r="AA530" s="56"/>
      <c r="AB530" s="56"/>
      <c r="AC530" s="56"/>
      <c r="AD530" s="56"/>
      <c r="AE530" s="56"/>
      <c r="AF530" s="56"/>
      <c r="AG530" s="155"/>
      <c r="AH530" s="56"/>
      <c r="AI530" s="56"/>
      <c r="AJ530" s="56"/>
      <c r="AK530" s="155"/>
      <c r="AL530" s="56"/>
      <c r="AM530" s="56"/>
      <c r="AN530" s="56"/>
    </row>
    <row r="531" spans="1:40" x14ac:dyDescent="0.25">
      <c r="C531" s="56"/>
      <c r="D531" s="56"/>
      <c r="E531" s="56"/>
      <c r="F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T531" s="56"/>
      <c r="U531" s="56"/>
      <c r="V531" s="56"/>
      <c r="Y531" s="56"/>
      <c r="Z531" s="56"/>
      <c r="AA531" s="56"/>
      <c r="AB531" s="56"/>
      <c r="AC531" s="56"/>
      <c r="AD531" s="56"/>
      <c r="AE531" s="56"/>
      <c r="AF531" s="56"/>
      <c r="AG531" s="155"/>
      <c r="AH531" s="56"/>
      <c r="AI531" s="56"/>
      <c r="AJ531" s="56"/>
      <c r="AK531" s="155"/>
      <c r="AL531" s="56"/>
      <c r="AM531" s="56"/>
      <c r="AN531" s="56"/>
    </row>
    <row r="532" spans="1:40" x14ac:dyDescent="0.25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154"/>
      <c r="AH532" s="55"/>
      <c r="AI532" s="55"/>
      <c r="AJ532" s="55"/>
      <c r="AK532" s="154"/>
      <c r="AL532" s="55"/>
      <c r="AM532" s="55"/>
      <c r="AN532" s="55"/>
    </row>
    <row r="533" spans="1:40" x14ac:dyDescent="0.25"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Y533" s="56"/>
      <c r="Z533" s="56"/>
      <c r="AA533" s="56"/>
      <c r="AB533" s="56"/>
      <c r="AC533" s="56"/>
      <c r="AD533" s="56"/>
      <c r="AE533" s="56"/>
      <c r="AF533" s="56"/>
      <c r="AG533" s="155"/>
      <c r="AH533" s="56"/>
      <c r="AI533" s="56"/>
      <c r="AJ533" s="56"/>
      <c r="AK533" s="155"/>
      <c r="AL533" s="56"/>
      <c r="AM533" s="56"/>
      <c r="AN533" s="56"/>
    </row>
    <row r="534" spans="1:40" x14ac:dyDescent="0.25">
      <c r="A534" s="53"/>
      <c r="C534" s="54"/>
      <c r="D534" s="54"/>
      <c r="E534" s="54"/>
      <c r="T534" s="54"/>
      <c r="U534" s="54"/>
      <c r="V534" s="379"/>
      <c r="W534" s="379"/>
      <c r="X534" s="379"/>
      <c r="Y534" s="379"/>
      <c r="Z534" s="477"/>
    </row>
    <row r="536" spans="1:40" x14ac:dyDescent="0.25">
      <c r="A536" s="53"/>
      <c r="C536" s="54"/>
      <c r="T536" s="54"/>
      <c r="V536" s="379"/>
      <c r="W536" s="379"/>
      <c r="X536" s="379"/>
      <c r="Y536" s="379"/>
      <c r="Z536" s="477"/>
    </row>
    <row r="537" spans="1:40" x14ac:dyDescent="0.25">
      <c r="A537" s="53"/>
      <c r="C537" s="54"/>
      <c r="F537" s="449"/>
      <c r="H537" s="449"/>
      <c r="I537" s="449"/>
      <c r="J537" s="221"/>
      <c r="K537" s="221"/>
      <c r="L537" s="379"/>
      <c r="M537" s="379"/>
      <c r="N537" s="50"/>
      <c r="O537" s="50"/>
      <c r="P537" s="379"/>
      <c r="Q537" s="379"/>
      <c r="R537" s="379"/>
      <c r="T537" s="54"/>
      <c r="V537" s="379"/>
      <c r="W537" s="379"/>
      <c r="X537" s="379"/>
      <c r="Y537" s="379"/>
      <c r="Z537" s="221"/>
      <c r="AA537" s="379"/>
      <c r="AB537" s="379"/>
      <c r="AC537" s="50"/>
      <c r="AD537" s="50"/>
      <c r="AE537" s="379"/>
      <c r="AF537" s="379"/>
      <c r="AG537" s="156"/>
      <c r="AH537" s="60"/>
      <c r="AI537" s="379"/>
      <c r="AJ537" s="379"/>
      <c r="AK537" s="156"/>
      <c r="AL537" s="379"/>
      <c r="AM537" s="50"/>
      <c r="AN537" s="50"/>
    </row>
    <row r="538" spans="1:40" x14ac:dyDescent="0.25">
      <c r="A538" s="53"/>
      <c r="C538" s="54"/>
      <c r="F538" s="449"/>
      <c r="H538" s="449"/>
      <c r="I538" s="449"/>
      <c r="J538" s="221"/>
      <c r="K538" s="221"/>
      <c r="L538" s="379"/>
      <c r="M538" s="379"/>
      <c r="N538" s="50"/>
      <c r="O538" s="50"/>
      <c r="P538" s="379"/>
      <c r="Q538" s="379"/>
      <c r="R538" s="379"/>
      <c r="T538" s="54"/>
      <c r="V538" s="379"/>
      <c r="W538" s="379"/>
      <c r="X538" s="379"/>
      <c r="Y538" s="379"/>
      <c r="Z538" s="221"/>
      <c r="AA538" s="379"/>
      <c r="AB538" s="379"/>
      <c r="AC538" s="50"/>
      <c r="AD538" s="50"/>
      <c r="AE538" s="379"/>
      <c r="AF538" s="379"/>
      <c r="AG538" s="156"/>
      <c r="AH538" s="60"/>
      <c r="AI538" s="379"/>
      <c r="AJ538" s="379"/>
      <c r="AK538" s="156"/>
      <c r="AL538" s="379"/>
      <c r="AM538" s="50"/>
      <c r="AN538" s="50"/>
    </row>
    <row r="539" spans="1:40" x14ac:dyDescent="0.25">
      <c r="A539" s="53"/>
      <c r="C539" s="54"/>
      <c r="F539" s="449"/>
      <c r="H539" s="449"/>
      <c r="I539" s="449"/>
      <c r="J539" s="221"/>
      <c r="K539" s="221"/>
      <c r="L539" s="379"/>
      <c r="M539" s="379"/>
      <c r="N539" s="50"/>
      <c r="O539" s="50"/>
      <c r="P539" s="379"/>
      <c r="Q539" s="379"/>
      <c r="R539" s="379"/>
      <c r="T539" s="54"/>
      <c r="V539" s="379"/>
      <c r="W539" s="379"/>
      <c r="X539" s="379"/>
      <c r="Y539" s="379"/>
      <c r="Z539" s="221"/>
      <c r="AA539" s="379"/>
      <c r="AB539" s="379"/>
      <c r="AC539" s="50"/>
      <c r="AD539" s="50"/>
      <c r="AE539" s="379"/>
      <c r="AF539" s="379"/>
      <c r="AG539" s="156"/>
      <c r="AH539" s="60"/>
      <c r="AI539" s="379"/>
      <c r="AJ539" s="379"/>
      <c r="AK539" s="156"/>
      <c r="AL539" s="379"/>
      <c r="AM539" s="50"/>
      <c r="AN539" s="50"/>
    </row>
    <row r="540" spans="1:40" x14ac:dyDescent="0.25">
      <c r="A540" s="53"/>
      <c r="C540" s="54"/>
      <c r="F540" s="449"/>
      <c r="H540" s="449"/>
      <c r="I540" s="449"/>
      <c r="J540" s="221"/>
      <c r="K540" s="221"/>
      <c r="L540" s="379"/>
      <c r="M540" s="379"/>
      <c r="N540" s="50"/>
      <c r="O540" s="50"/>
      <c r="P540" s="379"/>
      <c r="Q540" s="379"/>
      <c r="R540" s="379"/>
      <c r="T540" s="54"/>
      <c r="V540" s="379"/>
      <c r="W540" s="379"/>
      <c r="X540" s="379"/>
      <c r="Y540" s="379"/>
      <c r="Z540" s="221"/>
      <c r="AA540" s="379"/>
      <c r="AB540" s="379"/>
      <c r="AC540" s="50"/>
      <c r="AD540" s="50"/>
      <c r="AE540" s="379"/>
      <c r="AF540" s="379"/>
      <c r="AG540" s="156"/>
      <c r="AH540" s="60"/>
      <c r="AI540" s="379"/>
      <c r="AJ540" s="379"/>
      <c r="AK540" s="156"/>
      <c r="AL540" s="379"/>
      <c r="AM540" s="50"/>
      <c r="AN540" s="50"/>
    </row>
    <row r="541" spans="1:40" x14ac:dyDescent="0.25">
      <c r="J541" s="65"/>
      <c r="K541" s="65"/>
      <c r="V541" s="379"/>
      <c r="W541" s="379"/>
      <c r="X541" s="379"/>
      <c r="Y541" s="379"/>
      <c r="Z541" s="221"/>
    </row>
    <row r="542" spans="1:40" x14ac:dyDescent="0.25">
      <c r="A542" s="53"/>
      <c r="C542" s="54"/>
      <c r="F542" s="449"/>
      <c r="H542" s="449"/>
      <c r="I542" s="449"/>
      <c r="J542" s="221"/>
      <c r="K542" s="221"/>
      <c r="L542" s="379"/>
      <c r="M542" s="379"/>
      <c r="N542" s="50"/>
      <c r="O542" s="50"/>
      <c r="P542" s="379"/>
      <c r="Q542" s="379"/>
      <c r="R542" s="379"/>
      <c r="T542" s="54"/>
      <c r="V542" s="379"/>
      <c r="W542" s="379"/>
      <c r="X542" s="379"/>
      <c r="Y542" s="379"/>
      <c r="Z542" s="221"/>
      <c r="AA542" s="379"/>
      <c r="AB542" s="379"/>
      <c r="AC542" s="50"/>
      <c r="AD542" s="50"/>
      <c r="AE542" s="379"/>
      <c r="AF542" s="379"/>
      <c r="AG542" s="156"/>
      <c r="AH542" s="60"/>
      <c r="AI542" s="379"/>
      <c r="AJ542" s="379"/>
      <c r="AK542" s="156"/>
      <c r="AL542" s="379"/>
      <c r="AM542" s="60"/>
      <c r="AN542" s="60"/>
    </row>
    <row r="543" spans="1:40" x14ac:dyDescent="0.25">
      <c r="A543" s="53"/>
      <c r="C543" s="54"/>
      <c r="J543" s="65"/>
      <c r="K543" s="65"/>
      <c r="T543" s="54"/>
      <c r="V543" s="379"/>
      <c r="W543" s="379"/>
      <c r="X543" s="379"/>
      <c r="Y543" s="379"/>
      <c r="Z543" s="221"/>
    </row>
    <row r="544" spans="1:40" x14ac:dyDescent="0.25">
      <c r="A544" s="53"/>
      <c r="C544" s="54"/>
      <c r="F544" s="449"/>
      <c r="H544" s="449"/>
      <c r="I544" s="449"/>
      <c r="J544" s="221"/>
      <c r="K544" s="221"/>
      <c r="L544" s="379"/>
      <c r="M544" s="379"/>
      <c r="N544" s="50"/>
      <c r="O544" s="50"/>
      <c r="P544" s="379"/>
      <c r="Q544" s="379"/>
      <c r="R544" s="379"/>
      <c r="T544" s="54"/>
      <c r="V544" s="379"/>
      <c r="W544" s="379"/>
      <c r="X544" s="379"/>
      <c r="Y544" s="379"/>
      <c r="Z544" s="221"/>
      <c r="AA544" s="379"/>
      <c r="AB544" s="379"/>
      <c r="AC544" s="50"/>
      <c r="AD544" s="50"/>
      <c r="AE544" s="379"/>
      <c r="AF544" s="379"/>
      <c r="AG544" s="156"/>
      <c r="AH544" s="60"/>
      <c r="AI544" s="379"/>
      <c r="AJ544" s="379"/>
      <c r="AK544" s="156"/>
      <c r="AL544" s="379"/>
      <c r="AM544" s="60"/>
      <c r="AN544" s="60"/>
    </row>
    <row r="545" spans="1:40" x14ac:dyDescent="0.25">
      <c r="J545" s="65"/>
      <c r="K545" s="65"/>
      <c r="Z545" s="65"/>
    </row>
    <row r="546" spans="1:40" x14ac:dyDescent="0.25">
      <c r="A546" s="53"/>
      <c r="C546" s="54"/>
      <c r="J546" s="65"/>
      <c r="K546" s="65"/>
      <c r="T546" s="54"/>
      <c r="V546" s="379"/>
      <c r="W546" s="379"/>
      <c r="X546" s="379"/>
      <c r="Y546" s="379"/>
      <c r="Z546" s="221"/>
    </row>
    <row r="547" spans="1:40" x14ac:dyDescent="0.25">
      <c r="A547" s="53"/>
      <c r="C547" s="54"/>
      <c r="F547" s="449"/>
      <c r="H547" s="449"/>
      <c r="I547" s="449"/>
      <c r="J547" s="221"/>
      <c r="K547" s="221"/>
      <c r="L547" s="379"/>
      <c r="M547" s="379"/>
      <c r="N547" s="50"/>
      <c r="O547" s="50"/>
      <c r="P547" s="379"/>
      <c r="Q547" s="379"/>
      <c r="R547" s="379"/>
      <c r="T547" s="54"/>
      <c r="V547" s="379"/>
      <c r="W547" s="379"/>
      <c r="X547" s="379"/>
      <c r="Y547" s="379"/>
      <c r="Z547" s="221"/>
      <c r="AA547" s="379"/>
      <c r="AB547" s="379"/>
      <c r="AC547" s="50"/>
      <c r="AD547" s="50"/>
      <c r="AE547" s="379"/>
      <c r="AF547" s="379"/>
      <c r="AG547" s="156"/>
      <c r="AH547" s="60"/>
      <c r="AI547" s="379"/>
      <c r="AJ547" s="379"/>
      <c r="AK547" s="156"/>
      <c r="AL547" s="379"/>
      <c r="AM547" s="60"/>
      <c r="AN547" s="60"/>
    </row>
    <row r="548" spans="1:40" x14ac:dyDescent="0.25">
      <c r="A548" s="53"/>
      <c r="C548" s="54"/>
      <c r="F548" s="449"/>
      <c r="H548" s="449"/>
      <c r="I548" s="449"/>
      <c r="J548" s="221"/>
      <c r="K548" s="221"/>
      <c r="L548" s="379"/>
      <c r="M548" s="379"/>
      <c r="N548" s="50"/>
      <c r="O548" s="50"/>
      <c r="P548" s="379"/>
      <c r="Q548" s="379"/>
      <c r="R548" s="379"/>
      <c r="T548" s="54"/>
      <c r="V548" s="379"/>
      <c r="W548" s="379"/>
      <c r="X548" s="379"/>
      <c r="Y548" s="379"/>
      <c r="Z548" s="221"/>
      <c r="AA548" s="379"/>
      <c r="AB548" s="379"/>
      <c r="AC548" s="50"/>
      <c r="AD548" s="50"/>
      <c r="AE548" s="379"/>
      <c r="AF548" s="379"/>
      <c r="AG548" s="156"/>
      <c r="AH548" s="60"/>
      <c r="AI548" s="379"/>
      <c r="AJ548" s="379"/>
      <c r="AK548" s="156"/>
      <c r="AL548" s="379"/>
      <c r="AM548" s="60"/>
      <c r="AN548" s="60"/>
    </row>
    <row r="549" spans="1:40" x14ac:dyDescent="0.25">
      <c r="F549" s="381"/>
      <c r="H549" s="381"/>
      <c r="I549" s="381"/>
      <c r="J549" s="221"/>
      <c r="K549" s="221"/>
      <c r="L549" s="381"/>
      <c r="M549" s="381"/>
      <c r="N549" s="381"/>
      <c r="O549" s="381"/>
      <c r="P549" s="381"/>
      <c r="Q549" s="381"/>
      <c r="R549" s="381"/>
      <c r="V549" s="381"/>
      <c r="Y549" s="381"/>
      <c r="Z549" s="464"/>
      <c r="AA549" s="381"/>
      <c r="AB549" s="381"/>
      <c r="AC549" s="381"/>
      <c r="AD549" s="381"/>
      <c r="AE549" s="381"/>
      <c r="AF549" s="381"/>
      <c r="AI549" s="381"/>
      <c r="AJ549" s="381"/>
      <c r="AK549" s="162"/>
      <c r="AL549" s="381"/>
    </row>
    <row r="550" spans="1:40" x14ac:dyDescent="0.25">
      <c r="A550" s="53"/>
      <c r="C550" s="54"/>
      <c r="F550" s="379"/>
      <c r="H550" s="379"/>
      <c r="I550" s="379"/>
      <c r="L550" s="379"/>
      <c r="M550" s="379"/>
      <c r="N550" s="50"/>
      <c r="O550" s="50"/>
      <c r="P550" s="449"/>
      <c r="Q550" s="449"/>
      <c r="R550" s="379"/>
      <c r="T550" s="54"/>
      <c r="V550" s="379"/>
      <c r="W550" s="379"/>
      <c r="X550" s="379"/>
      <c r="Y550" s="379"/>
      <c r="Z550" s="477"/>
      <c r="AA550" s="379"/>
      <c r="AB550" s="379"/>
      <c r="AC550" s="50"/>
      <c r="AD550" s="50"/>
      <c r="AE550" s="379"/>
      <c r="AF550" s="379"/>
      <c r="AG550" s="156"/>
      <c r="AH550" s="60"/>
      <c r="AI550" s="449"/>
      <c r="AJ550" s="449"/>
      <c r="AK550" s="156"/>
      <c r="AL550" s="379"/>
      <c r="AM550" s="60"/>
      <c r="AN550" s="60"/>
    </row>
    <row r="551" spans="1:40" x14ac:dyDescent="0.25">
      <c r="F551" s="381"/>
      <c r="H551" s="381"/>
      <c r="I551" s="381"/>
      <c r="J551" s="464"/>
      <c r="K551" s="464"/>
      <c r="L551" s="381"/>
      <c r="M551" s="381"/>
      <c r="N551" s="381"/>
      <c r="O551" s="381"/>
      <c r="P551" s="381"/>
      <c r="Q551" s="381"/>
      <c r="R551" s="381"/>
      <c r="V551" s="381"/>
      <c r="Y551" s="381"/>
      <c r="Z551" s="464"/>
      <c r="AA551" s="381"/>
      <c r="AB551" s="381"/>
      <c r="AC551" s="381"/>
      <c r="AD551" s="381"/>
      <c r="AE551" s="381"/>
      <c r="AF551" s="381"/>
      <c r="AI551" s="381"/>
      <c r="AJ551" s="381"/>
      <c r="AK551" s="162"/>
      <c r="AL551" s="381"/>
    </row>
    <row r="553" spans="1:40" x14ac:dyDescent="0.25">
      <c r="C553" s="53"/>
      <c r="T553" s="53"/>
    </row>
    <row r="554" spans="1:40" x14ac:dyDescent="0.25">
      <c r="A554" s="54"/>
    </row>
    <row r="555" spans="1:40" x14ac:dyDescent="0.25">
      <c r="J555" s="53"/>
      <c r="K555" s="53"/>
      <c r="Z555" s="53"/>
    </row>
    <row r="556" spans="1:40" x14ac:dyDescent="0.25">
      <c r="H556" s="54"/>
      <c r="I556" s="54"/>
      <c r="Y556" s="54"/>
    </row>
    <row r="557" spans="1:40" x14ac:dyDescent="0.25">
      <c r="J557" s="53"/>
      <c r="K557" s="53"/>
      <c r="Z557" s="53"/>
    </row>
    <row r="558" spans="1:40" x14ac:dyDescent="0.25">
      <c r="L558" s="54"/>
      <c r="M558" s="54"/>
      <c r="AA558" s="54"/>
      <c r="AB558" s="54"/>
    </row>
    <row r="559" spans="1:40" x14ac:dyDescent="0.25">
      <c r="A559" s="53"/>
      <c r="R559" s="54"/>
      <c r="AK559" s="161"/>
      <c r="AL559" s="54"/>
    </row>
    <row r="560" spans="1:40" x14ac:dyDescent="0.25">
      <c r="A560" s="53"/>
      <c r="R560" s="54"/>
      <c r="AK560" s="161"/>
      <c r="AL560" s="54"/>
    </row>
    <row r="561" spans="1:40" x14ac:dyDescent="0.25">
      <c r="A561" s="54"/>
      <c r="R561" s="54"/>
      <c r="AK561" s="161"/>
      <c r="AL561" s="54"/>
    </row>
    <row r="562" spans="1:40" x14ac:dyDescent="0.25">
      <c r="L562" s="54"/>
      <c r="M562" s="54"/>
      <c r="R562" s="53"/>
      <c r="AA562" s="54"/>
      <c r="AB562" s="54"/>
      <c r="AK562" s="156"/>
      <c r="AL562" s="53"/>
    </row>
    <row r="563" spans="1:40" x14ac:dyDescent="0.25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154"/>
      <c r="AH563" s="55"/>
      <c r="AI563" s="55"/>
      <c r="AJ563" s="55"/>
      <c r="AK563" s="154"/>
      <c r="AL563" s="55"/>
      <c r="AM563" s="55"/>
      <c r="AN563" s="55"/>
    </row>
    <row r="564" spans="1:40" x14ac:dyDescent="0.25">
      <c r="L564" s="56"/>
      <c r="M564" s="56"/>
      <c r="N564" s="56"/>
      <c r="O564" s="56"/>
      <c r="R564" s="56"/>
      <c r="AA564" s="56"/>
      <c r="AB564" s="56"/>
      <c r="AC564" s="56"/>
      <c r="AD564" s="56"/>
      <c r="AE564" s="56"/>
      <c r="AF564" s="56"/>
      <c r="AG564" s="155"/>
      <c r="AH564" s="56"/>
      <c r="AK564" s="155"/>
      <c r="AL564" s="56"/>
      <c r="AM564" s="56"/>
      <c r="AN564" s="56"/>
    </row>
    <row r="565" spans="1:40" x14ac:dyDescent="0.25">
      <c r="L565" s="56"/>
      <c r="M565" s="56"/>
      <c r="N565" s="56"/>
      <c r="O565" s="56"/>
      <c r="R565" s="56"/>
      <c r="Z565" s="56"/>
      <c r="AA565" s="56"/>
      <c r="AB565" s="56"/>
      <c r="AC565" s="56"/>
      <c r="AD565" s="56"/>
      <c r="AE565" s="56"/>
      <c r="AF565" s="56"/>
      <c r="AG565" s="155"/>
      <c r="AH565" s="56"/>
      <c r="AK565" s="155"/>
      <c r="AL565" s="56"/>
      <c r="AM565" s="56"/>
      <c r="AN565" s="56"/>
    </row>
    <row r="566" spans="1:40" x14ac:dyDescent="0.25">
      <c r="A566" s="56"/>
      <c r="C566" s="56"/>
      <c r="D566" s="56"/>
      <c r="E566" s="56"/>
      <c r="F566" s="56"/>
      <c r="J566" s="56"/>
      <c r="K566" s="56"/>
      <c r="L566" s="56"/>
      <c r="M566" s="56"/>
      <c r="N566" s="56"/>
      <c r="O566" s="56"/>
      <c r="P566" s="56"/>
      <c r="Q566" s="56"/>
      <c r="R566" s="56"/>
      <c r="T566" s="56"/>
      <c r="U566" s="56"/>
      <c r="V566" s="56"/>
      <c r="Z566" s="56"/>
      <c r="AA566" s="56"/>
      <c r="AB566" s="56"/>
      <c r="AC566" s="56"/>
      <c r="AD566" s="56"/>
      <c r="AE566" s="56"/>
      <c r="AF566" s="56"/>
      <c r="AG566" s="155"/>
      <c r="AH566" s="56"/>
      <c r="AI566" s="56"/>
      <c r="AJ566" s="56"/>
      <c r="AK566" s="155"/>
      <c r="AL566" s="56"/>
      <c r="AM566" s="56"/>
      <c r="AN566" s="56"/>
    </row>
    <row r="567" spans="1:40" x14ac:dyDescent="0.25">
      <c r="A567" s="56"/>
      <c r="C567" s="56"/>
      <c r="D567" s="56"/>
      <c r="E567" s="56"/>
      <c r="F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T567" s="56"/>
      <c r="U567" s="56"/>
      <c r="V567" s="56"/>
      <c r="Y567" s="56"/>
      <c r="Z567" s="56"/>
      <c r="AA567" s="56"/>
      <c r="AB567" s="56"/>
      <c r="AC567" s="56"/>
      <c r="AD567" s="56"/>
      <c r="AE567" s="56"/>
      <c r="AF567" s="56"/>
      <c r="AG567" s="155"/>
      <c r="AH567" s="56"/>
      <c r="AI567" s="56"/>
      <c r="AJ567" s="56"/>
      <c r="AK567" s="155"/>
      <c r="AL567" s="56"/>
      <c r="AM567" s="56"/>
      <c r="AN567" s="56"/>
    </row>
    <row r="568" spans="1:40" x14ac:dyDescent="0.25">
      <c r="C568" s="56"/>
      <c r="D568" s="56"/>
      <c r="E568" s="56"/>
      <c r="F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T568" s="56"/>
      <c r="U568" s="56"/>
      <c r="V568" s="56"/>
      <c r="Y568" s="56"/>
      <c r="Z568" s="56"/>
      <c r="AA568" s="56"/>
      <c r="AB568" s="56"/>
      <c r="AC568" s="56"/>
      <c r="AD568" s="56"/>
      <c r="AE568" s="56"/>
      <c r="AF568" s="56"/>
      <c r="AG568" s="155"/>
      <c r="AH568" s="56"/>
      <c r="AI568" s="56"/>
      <c r="AJ568" s="56"/>
      <c r="AK568" s="155"/>
      <c r="AL568" s="56"/>
      <c r="AM568" s="56"/>
      <c r="AN568" s="56"/>
    </row>
    <row r="569" spans="1:40" x14ac:dyDescent="0.25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154"/>
      <c r="AH569" s="55"/>
      <c r="AI569" s="55"/>
      <c r="AJ569" s="55"/>
      <c r="AK569" s="154"/>
      <c r="AL569" s="55"/>
      <c r="AM569" s="55"/>
      <c r="AN569" s="55"/>
    </row>
    <row r="570" spans="1:40" x14ac:dyDescent="0.25"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Y570" s="56"/>
      <c r="Z570" s="56"/>
      <c r="AA570" s="56"/>
      <c r="AB570" s="56"/>
      <c r="AC570" s="56"/>
      <c r="AD570" s="56"/>
      <c r="AE570" s="56"/>
      <c r="AF570" s="56"/>
      <c r="AG570" s="155"/>
      <c r="AH570" s="56"/>
      <c r="AI570" s="56"/>
      <c r="AJ570" s="56"/>
      <c r="AK570" s="155"/>
      <c r="AL570" s="56"/>
      <c r="AM570" s="56"/>
      <c r="AN570" s="56"/>
    </row>
    <row r="571" spans="1:40" x14ac:dyDescent="0.25">
      <c r="A571" s="53"/>
      <c r="C571" s="54"/>
      <c r="D571" s="54"/>
      <c r="E571" s="54"/>
      <c r="T571" s="54"/>
      <c r="U571" s="54"/>
    </row>
    <row r="573" spans="1:40" x14ac:dyDescent="0.25">
      <c r="A573" s="53"/>
      <c r="C573" s="54"/>
      <c r="T573" s="54"/>
    </row>
    <row r="574" spans="1:40" x14ac:dyDescent="0.25">
      <c r="A574" s="53"/>
      <c r="C574" s="54"/>
      <c r="T574" s="54"/>
    </row>
    <row r="575" spans="1:40" x14ac:dyDescent="0.25">
      <c r="A575" s="53"/>
      <c r="C575" s="54"/>
      <c r="F575" s="449"/>
      <c r="H575" s="449"/>
      <c r="I575" s="449"/>
      <c r="J575" s="221"/>
      <c r="K575" s="221"/>
      <c r="L575" s="379"/>
      <c r="M575" s="379"/>
      <c r="N575" s="50"/>
      <c r="O575" s="50"/>
      <c r="P575" s="379"/>
      <c r="Q575" s="379"/>
      <c r="R575" s="379"/>
      <c r="T575" s="54"/>
      <c r="V575" s="379"/>
      <c r="W575" s="379"/>
      <c r="X575" s="379"/>
      <c r="Y575" s="379"/>
      <c r="Z575" s="221"/>
      <c r="AA575" s="379"/>
      <c r="AB575" s="379"/>
      <c r="AC575" s="50"/>
      <c r="AD575" s="50"/>
      <c r="AE575" s="379"/>
      <c r="AF575" s="379"/>
      <c r="AG575" s="156"/>
      <c r="AH575" s="60"/>
      <c r="AI575" s="379"/>
      <c r="AJ575" s="379"/>
      <c r="AK575" s="156"/>
      <c r="AL575" s="379"/>
      <c r="AM575" s="60"/>
      <c r="AN575" s="60"/>
    </row>
    <row r="576" spans="1:40" x14ac:dyDescent="0.25">
      <c r="A576" s="53"/>
      <c r="C576" s="54"/>
      <c r="F576" s="379"/>
      <c r="H576" s="379"/>
      <c r="I576" s="379"/>
      <c r="J576" s="65"/>
      <c r="K576" s="65"/>
      <c r="L576" s="379"/>
      <c r="M576" s="379"/>
      <c r="N576" s="50"/>
      <c r="O576" s="50"/>
      <c r="P576" s="379"/>
      <c r="Q576" s="379"/>
      <c r="R576" s="379"/>
      <c r="T576" s="54"/>
      <c r="V576" s="379"/>
      <c r="W576" s="379"/>
      <c r="X576" s="379"/>
      <c r="Y576" s="379"/>
      <c r="Z576" s="65"/>
      <c r="AA576" s="379"/>
      <c r="AB576" s="379"/>
      <c r="AC576" s="50"/>
      <c r="AD576" s="50"/>
      <c r="AE576" s="379"/>
      <c r="AF576" s="379"/>
      <c r="AG576" s="156"/>
      <c r="AH576" s="60"/>
      <c r="AI576" s="379"/>
      <c r="AJ576" s="379"/>
      <c r="AK576" s="156"/>
      <c r="AL576" s="379"/>
      <c r="AM576" s="60"/>
      <c r="AN576" s="60"/>
    </row>
    <row r="577" spans="1:40" x14ac:dyDescent="0.25">
      <c r="A577" s="53"/>
      <c r="C577" s="54"/>
      <c r="F577" s="379"/>
      <c r="H577" s="379"/>
      <c r="I577" s="379"/>
      <c r="J577" s="65"/>
      <c r="K577" s="65"/>
      <c r="L577" s="379"/>
      <c r="M577" s="379"/>
      <c r="N577" s="50"/>
      <c r="O577" s="50"/>
      <c r="P577" s="379"/>
      <c r="Q577" s="379"/>
      <c r="R577" s="379"/>
      <c r="T577" s="54"/>
      <c r="V577" s="379"/>
      <c r="W577" s="379"/>
      <c r="X577" s="379"/>
      <c r="Y577" s="379"/>
      <c r="Z577" s="65"/>
      <c r="AA577" s="379"/>
      <c r="AB577" s="379"/>
      <c r="AC577" s="50"/>
      <c r="AD577" s="50"/>
      <c r="AE577" s="379"/>
      <c r="AF577" s="379"/>
      <c r="AG577" s="156"/>
      <c r="AH577" s="60"/>
      <c r="AI577" s="379"/>
      <c r="AJ577" s="379"/>
      <c r="AK577" s="156"/>
      <c r="AL577" s="379"/>
      <c r="AM577" s="60"/>
      <c r="AN577" s="60"/>
    </row>
    <row r="578" spans="1:40" x14ac:dyDescent="0.25">
      <c r="A578" s="53"/>
      <c r="C578" s="54"/>
      <c r="F578" s="379"/>
      <c r="H578" s="379"/>
      <c r="I578" s="379"/>
      <c r="J578" s="65"/>
      <c r="K578" s="65"/>
      <c r="T578" s="54"/>
      <c r="V578" s="379"/>
      <c r="Z578" s="65"/>
    </row>
    <row r="579" spans="1:40" x14ac:dyDescent="0.25">
      <c r="A579" s="53"/>
      <c r="C579" s="54"/>
      <c r="F579" s="449"/>
      <c r="H579" s="449"/>
      <c r="I579" s="449"/>
      <c r="J579" s="221"/>
      <c r="K579" s="221"/>
      <c r="L579" s="379"/>
      <c r="M579" s="379"/>
      <c r="N579" s="50"/>
      <c r="O579" s="50"/>
      <c r="P579" s="379"/>
      <c r="Q579" s="379"/>
      <c r="R579" s="379"/>
      <c r="T579" s="54"/>
      <c r="V579" s="379"/>
      <c r="W579" s="379"/>
      <c r="X579" s="379"/>
      <c r="Y579" s="379"/>
      <c r="Z579" s="221"/>
      <c r="AA579" s="379"/>
      <c r="AB579" s="379"/>
      <c r="AC579" s="50"/>
      <c r="AD579" s="50"/>
      <c r="AE579" s="379"/>
      <c r="AF579" s="379"/>
      <c r="AG579" s="156"/>
      <c r="AH579" s="60"/>
      <c r="AI579" s="379"/>
      <c r="AJ579" s="379"/>
      <c r="AK579" s="156"/>
      <c r="AL579" s="379"/>
      <c r="AM579" s="60"/>
      <c r="AN579" s="60"/>
    </row>
    <row r="580" spans="1:40" x14ac:dyDescent="0.25">
      <c r="A580" s="53"/>
      <c r="C580" s="54"/>
      <c r="F580" s="379"/>
      <c r="H580" s="379"/>
      <c r="I580" s="379"/>
      <c r="J580" s="65"/>
      <c r="K580" s="65"/>
      <c r="T580" s="54"/>
      <c r="V580" s="379"/>
      <c r="W580" s="379"/>
      <c r="X580" s="379"/>
      <c r="Y580" s="379"/>
      <c r="Z580" s="65"/>
      <c r="AC580" s="50"/>
      <c r="AD580" s="50"/>
      <c r="AE580" s="379"/>
      <c r="AF580" s="379"/>
      <c r="AG580" s="156"/>
      <c r="AH580" s="60"/>
      <c r="AI580" s="379"/>
      <c r="AJ580" s="379"/>
      <c r="AK580" s="156"/>
      <c r="AL580" s="379"/>
      <c r="AM580" s="60"/>
      <c r="AN580" s="60"/>
    </row>
    <row r="581" spans="1:40" x14ac:dyDescent="0.25">
      <c r="A581" s="53"/>
      <c r="C581" s="54"/>
      <c r="F581" s="449"/>
      <c r="H581" s="449"/>
      <c r="I581" s="449"/>
      <c r="J581" s="221"/>
      <c r="K581" s="221"/>
      <c r="L581" s="379"/>
      <c r="M581" s="379"/>
      <c r="N581" s="50"/>
      <c r="O581" s="50"/>
      <c r="P581" s="379"/>
      <c r="Q581" s="379"/>
      <c r="R581" s="379"/>
      <c r="T581" s="54"/>
      <c r="V581" s="379"/>
      <c r="W581" s="379"/>
      <c r="X581" s="379"/>
      <c r="Y581" s="379"/>
      <c r="Z581" s="221"/>
      <c r="AA581" s="379"/>
      <c r="AB581" s="379"/>
      <c r="AC581" s="50"/>
      <c r="AD581" s="50"/>
      <c r="AE581" s="379"/>
      <c r="AF581" s="379"/>
      <c r="AG581" s="156"/>
      <c r="AH581" s="60"/>
      <c r="AI581" s="379"/>
      <c r="AJ581" s="379"/>
      <c r="AK581" s="156"/>
      <c r="AL581" s="379"/>
      <c r="AM581" s="60"/>
      <c r="AN581" s="60"/>
    </row>
    <row r="582" spans="1:40" x14ac:dyDescent="0.25">
      <c r="A582" s="53"/>
      <c r="C582" s="54"/>
      <c r="F582" s="379"/>
      <c r="H582" s="379"/>
      <c r="I582" s="379"/>
      <c r="J582" s="65"/>
      <c r="K582" s="65"/>
      <c r="L582" s="379"/>
      <c r="M582" s="379"/>
      <c r="N582" s="50"/>
      <c r="O582" s="50"/>
      <c r="P582" s="379"/>
      <c r="Q582" s="379"/>
      <c r="R582" s="379"/>
      <c r="T582" s="54"/>
      <c r="V582" s="379"/>
      <c r="W582" s="379"/>
      <c r="X582" s="379"/>
      <c r="Y582" s="379"/>
      <c r="Z582" s="65"/>
      <c r="AA582" s="379"/>
      <c r="AB582" s="379"/>
      <c r="AC582" s="50"/>
      <c r="AD582" s="50"/>
      <c r="AE582" s="379"/>
      <c r="AF582" s="379"/>
      <c r="AG582" s="156"/>
      <c r="AH582" s="60"/>
      <c r="AI582" s="379"/>
      <c r="AJ582" s="379"/>
      <c r="AK582" s="156"/>
      <c r="AL582" s="379"/>
      <c r="AM582" s="60"/>
      <c r="AN582" s="60"/>
    </row>
    <row r="583" spans="1:40" x14ac:dyDescent="0.25">
      <c r="F583" s="379"/>
      <c r="H583" s="379"/>
      <c r="I583" s="379"/>
      <c r="J583" s="65"/>
      <c r="K583" s="65"/>
      <c r="Z583" s="65"/>
    </row>
    <row r="584" spans="1:40" x14ac:dyDescent="0.25">
      <c r="A584" s="53"/>
      <c r="C584" s="54"/>
      <c r="F584" s="379"/>
      <c r="H584" s="449"/>
      <c r="I584" s="449"/>
      <c r="J584" s="221"/>
      <c r="K584" s="221"/>
      <c r="L584" s="379"/>
      <c r="M584" s="379"/>
      <c r="N584" s="50"/>
      <c r="O584" s="50"/>
      <c r="P584" s="379"/>
      <c r="Q584" s="379"/>
      <c r="R584" s="379"/>
      <c r="T584" s="54"/>
      <c r="V584" s="379"/>
      <c r="W584" s="379"/>
      <c r="X584" s="379"/>
      <c r="Y584" s="379"/>
      <c r="Z584" s="221"/>
      <c r="AA584" s="379"/>
      <c r="AB584" s="379"/>
      <c r="AC584" s="50"/>
      <c r="AD584" s="50"/>
      <c r="AE584" s="379"/>
      <c r="AF584" s="379"/>
      <c r="AG584" s="156"/>
      <c r="AH584" s="60"/>
      <c r="AI584" s="379"/>
      <c r="AJ584" s="379"/>
      <c r="AK584" s="156"/>
      <c r="AL584" s="379"/>
      <c r="AM584" s="60"/>
      <c r="AN584" s="60"/>
    </row>
    <row r="585" spans="1:40" x14ac:dyDescent="0.25">
      <c r="F585" s="381"/>
      <c r="H585" s="381"/>
      <c r="I585" s="381"/>
      <c r="J585" s="221"/>
      <c r="K585" s="221"/>
      <c r="L585" s="381"/>
      <c r="M585" s="381"/>
      <c r="N585" s="381"/>
      <c r="O585" s="381"/>
      <c r="P585" s="381"/>
      <c r="Q585" s="381"/>
      <c r="R585" s="381"/>
      <c r="V585" s="381"/>
      <c r="Y585" s="381"/>
      <c r="Z585" s="221"/>
      <c r="AA585" s="381"/>
      <c r="AB585" s="381"/>
      <c r="AC585" s="381"/>
      <c r="AD585" s="381"/>
      <c r="AE585" s="381"/>
      <c r="AF585" s="381"/>
      <c r="AI585" s="381"/>
      <c r="AJ585" s="381"/>
      <c r="AK585" s="162"/>
      <c r="AL585" s="381"/>
    </row>
    <row r="586" spans="1:40" x14ac:dyDescent="0.25">
      <c r="A586" s="53"/>
      <c r="C586" s="54"/>
      <c r="F586" s="379"/>
      <c r="H586" s="379"/>
      <c r="I586" s="379"/>
      <c r="J586" s="65"/>
      <c r="K586" s="65"/>
      <c r="L586" s="379"/>
      <c r="M586" s="379"/>
      <c r="N586" s="53"/>
      <c r="O586" s="53"/>
      <c r="P586" s="379"/>
      <c r="Q586" s="379"/>
      <c r="R586" s="379"/>
      <c r="T586" s="54"/>
      <c r="V586" s="379"/>
      <c r="Y586" s="379"/>
      <c r="Z586" s="65"/>
      <c r="AA586" s="379"/>
      <c r="AB586" s="379"/>
      <c r="AC586" s="60"/>
      <c r="AD586" s="60"/>
      <c r="AE586" s="379"/>
      <c r="AF586" s="379"/>
      <c r="AG586" s="156"/>
      <c r="AH586" s="60"/>
      <c r="AI586" s="379"/>
      <c r="AJ586" s="379"/>
      <c r="AK586" s="156"/>
      <c r="AL586" s="379"/>
      <c r="AM586" s="60"/>
      <c r="AN586" s="60"/>
    </row>
    <row r="587" spans="1:40" x14ac:dyDescent="0.25">
      <c r="F587" s="381"/>
      <c r="H587" s="381"/>
      <c r="I587" s="381"/>
      <c r="J587" s="221"/>
      <c r="K587" s="221"/>
      <c r="L587" s="381"/>
      <c r="M587" s="381"/>
      <c r="N587" s="381"/>
      <c r="O587" s="381"/>
      <c r="P587" s="381"/>
      <c r="Q587" s="381"/>
      <c r="R587" s="381"/>
      <c r="V587" s="381"/>
      <c r="Y587" s="381"/>
      <c r="Z587" s="221"/>
      <c r="AA587" s="381"/>
      <c r="AB587" s="381"/>
      <c r="AC587" s="381"/>
      <c r="AD587" s="381"/>
      <c r="AE587" s="381"/>
      <c r="AF587" s="381"/>
      <c r="AI587" s="381"/>
      <c r="AJ587" s="381"/>
      <c r="AK587" s="162"/>
      <c r="AL587" s="381"/>
    </row>
    <row r="588" spans="1:40" x14ac:dyDescent="0.25">
      <c r="J588" s="65"/>
      <c r="K588" s="65"/>
      <c r="Z588" s="65"/>
    </row>
    <row r="589" spans="1:40" x14ac:dyDescent="0.25">
      <c r="A589" s="53"/>
      <c r="C589" s="54"/>
      <c r="J589" s="65"/>
      <c r="K589" s="65"/>
      <c r="T589" s="54"/>
      <c r="Z589" s="65"/>
    </row>
    <row r="590" spans="1:40" x14ac:dyDescent="0.25">
      <c r="A590" s="53"/>
      <c r="C590" s="54"/>
      <c r="J590" s="65"/>
      <c r="K590" s="65"/>
      <c r="T590" s="54"/>
      <c r="Z590" s="65"/>
    </row>
    <row r="591" spans="1:40" x14ac:dyDescent="0.25">
      <c r="A591" s="53"/>
      <c r="C591" s="54"/>
      <c r="F591" s="449"/>
      <c r="H591" s="449"/>
      <c r="I591" s="449"/>
      <c r="J591" s="221"/>
      <c r="K591" s="221"/>
      <c r="L591" s="379"/>
      <c r="M591" s="379"/>
      <c r="N591" s="50"/>
      <c r="O591" s="50"/>
      <c r="P591" s="379"/>
      <c r="Q591" s="379"/>
      <c r="R591" s="379"/>
      <c r="T591" s="54"/>
      <c r="V591" s="379"/>
      <c r="W591" s="379"/>
      <c r="X591" s="379"/>
      <c r="Y591" s="379"/>
      <c r="Z591" s="221"/>
      <c r="AA591" s="379"/>
      <c r="AB591" s="379"/>
      <c r="AC591" s="50"/>
      <c r="AD591" s="50"/>
      <c r="AE591" s="379"/>
      <c r="AF591" s="379"/>
      <c r="AG591" s="156"/>
      <c r="AH591" s="60"/>
      <c r="AI591" s="379"/>
      <c r="AJ591" s="379"/>
      <c r="AK591" s="156"/>
      <c r="AL591" s="379"/>
      <c r="AM591" s="60"/>
      <c r="AN591" s="60"/>
    </row>
    <row r="592" spans="1:40" x14ac:dyDescent="0.25">
      <c r="A592" s="53"/>
      <c r="C592" s="54"/>
      <c r="J592" s="65"/>
      <c r="K592" s="65"/>
      <c r="T592" s="54"/>
      <c r="Z592" s="65"/>
    </row>
    <row r="593" spans="1:40" x14ac:dyDescent="0.25">
      <c r="A593" s="53"/>
      <c r="C593" s="54"/>
      <c r="F593" s="449"/>
      <c r="H593" s="449"/>
      <c r="I593" s="449"/>
      <c r="J593" s="221"/>
      <c r="K593" s="221"/>
      <c r="L593" s="379"/>
      <c r="M593" s="379"/>
      <c r="N593" s="50"/>
      <c r="O593" s="50"/>
      <c r="P593" s="379"/>
      <c r="Q593" s="379"/>
      <c r="R593" s="379"/>
      <c r="T593" s="54"/>
      <c r="V593" s="379"/>
      <c r="W593" s="379"/>
      <c r="X593" s="379"/>
      <c r="Y593" s="379"/>
      <c r="Z593" s="221"/>
      <c r="AA593" s="379"/>
      <c r="AB593" s="379"/>
      <c r="AC593" s="50"/>
      <c r="AD593" s="50"/>
      <c r="AE593" s="379"/>
      <c r="AF593" s="379"/>
      <c r="AG593" s="156"/>
      <c r="AH593" s="60"/>
      <c r="AI593" s="379"/>
      <c r="AJ593" s="379"/>
      <c r="AK593" s="156"/>
      <c r="AL593" s="379"/>
      <c r="AM593" s="60"/>
      <c r="AN593" s="60"/>
    </row>
    <row r="594" spans="1:40" x14ac:dyDescent="0.25">
      <c r="F594" s="381"/>
      <c r="H594" s="381"/>
      <c r="I594" s="381"/>
      <c r="J594" s="221"/>
      <c r="K594" s="221"/>
      <c r="L594" s="381"/>
      <c r="M594" s="381"/>
      <c r="N594" s="381"/>
      <c r="O594" s="381"/>
      <c r="P594" s="381"/>
      <c r="Q594" s="381"/>
      <c r="R594" s="381"/>
      <c r="V594" s="381"/>
      <c r="Y594" s="381"/>
      <c r="Z594" s="221"/>
      <c r="AA594" s="381"/>
      <c r="AB594" s="381"/>
      <c r="AC594" s="381"/>
      <c r="AD594" s="381"/>
      <c r="AE594" s="381"/>
      <c r="AF594" s="381"/>
      <c r="AI594" s="381"/>
      <c r="AJ594" s="381"/>
      <c r="AK594" s="162"/>
      <c r="AL594" s="381"/>
    </row>
    <row r="595" spans="1:40" x14ac:dyDescent="0.25">
      <c r="A595" s="53"/>
      <c r="C595" s="54"/>
      <c r="F595" s="379"/>
      <c r="H595" s="379"/>
      <c r="I595" s="379"/>
      <c r="J595" s="65"/>
      <c r="K595" s="65"/>
      <c r="L595" s="379"/>
      <c r="M595" s="379"/>
      <c r="N595" s="60"/>
      <c r="O595" s="60"/>
      <c r="P595" s="379"/>
      <c r="Q595" s="379"/>
      <c r="R595" s="379"/>
      <c r="T595" s="54"/>
      <c r="V595" s="379"/>
      <c r="Y595" s="379"/>
      <c r="Z595" s="65"/>
      <c r="AA595" s="379"/>
      <c r="AB595" s="379"/>
      <c r="AC595" s="60"/>
      <c r="AD595" s="60"/>
      <c r="AE595" s="379"/>
      <c r="AF595" s="379"/>
      <c r="AG595" s="156"/>
      <c r="AH595" s="60"/>
      <c r="AI595" s="379"/>
      <c r="AJ595" s="379"/>
      <c r="AK595" s="156"/>
      <c r="AL595" s="379"/>
      <c r="AM595" s="60"/>
      <c r="AN595" s="60"/>
    </row>
    <row r="596" spans="1:40" x14ac:dyDescent="0.25">
      <c r="F596" s="381"/>
      <c r="H596" s="381"/>
      <c r="I596" s="381"/>
      <c r="J596" s="221"/>
      <c r="K596" s="221"/>
      <c r="L596" s="381"/>
      <c r="M596" s="381"/>
      <c r="N596" s="381"/>
      <c r="O596" s="381"/>
      <c r="P596" s="381"/>
      <c r="Q596" s="381"/>
      <c r="R596" s="381"/>
      <c r="V596" s="381"/>
      <c r="Y596" s="381"/>
      <c r="Z596" s="464"/>
      <c r="AA596" s="381"/>
      <c r="AB596" s="381"/>
      <c r="AC596" s="381"/>
      <c r="AD596" s="381"/>
      <c r="AE596" s="381"/>
      <c r="AF596" s="381"/>
      <c r="AI596" s="381"/>
      <c r="AJ596" s="381"/>
      <c r="AK596" s="162"/>
      <c r="AL596" s="381"/>
    </row>
    <row r="597" spans="1:40" x14ac:dyDescent="0.25">
      <c r="J597" s="65"/>
      <c r="K597" s="65"/>
    </row>
    <row r="598" spans="1:40" x14ac:dyDescent="0.25">
      <c r="A598" s="53"/>
      <c r="C598" s="54"/>
      <c r="F598" s="379"/>
      <c r="H598" s="379"/>
      <c r="I598" s="379"/>
      <c r="J598" s="65"/>
      <c r="K598" s="65"/>
      <c r="L598" s="379"/>
      <c r="M598" s="379"/>
      <c r="N598" s="50"/>
      <c r="O598" s="50"/>
      <c r="P598" s="449"/>
      <c r="Q598" s="449"/>
      <c r="R598" s="379"/>
      <c r="T598" s="54"/>
      <c r="V598" s="379"/>
      <c r="Y598" s="379"/>
      <c r="AA598" s="379"/>
      <c r="AB598" s="379"/>
      <c r="AC598" s="60"/>
      <c r="AD598" s="60"/>
      <c r="AE598" s="379"/>
      <c r="AF598" s="379"/>
      <c r="AG598" s="156"/>
      <c r="AH598" s="60"/>
      <c r="AI598" s="449"/>
      <c r="AJ598" s="449"/>
      <c r="AK598" s="156"/>
      <c r="AL598" s="379"/>
      <c r="AM598" s="60"/>
      <c r="AN598" s="60"/>
    </row>
    <row r="599" spans="1:40" x14ac:dyDescent="0.25">
      <c r="F599" s="381"/>
      <c r="H599" s="381"/>
      <c r="I599" s="381"/>
      <c r="J599" s="221"/>
      <c r="K599" s="221"/>
      <c r="L599" s="381"/>
      <c r="M599" s="381"/>
      <c r="N599" s="381"/>
      <c r="O599" s="381"/>
      <c r="P599" s="381"/>
      <c r="Q599" s="381"/>
      <c r="R599" s="381"/>
      <c r="V599" s="381"/>
      <c r="Y599" s="381"/>
      <c r="Z599" s="464"/>
      <c r="AA599" s="381"/>
      <c r="AB599" s="381"/>
      <c r="AC599" s="381"/>
      <c r="AD599" s="381"/>
      <c r="AE599" s="381"/>
      <c r="AF599" s="381"/>
      <c r="AI599" s="381"/>
      <c r="AJ599" s="381"/>
      <c r="AK599" s="162"/>
      <c r="AL599" s="381"/>
    </row>
    <row r="601" spans="1:40" x14ac:dyDescent="0.25">
      <c r="C601" s="53"/>
      <c r="T601" s="53"/>
    </row>
    <row r="602" spans="1:40" x14ac:dyDescent="0.25">
      <c r="A602" s="54"/>
    </row>
    <row r="603" spans="1:40" x14ac:dyDescent="0.25">
      <c r="J603" s="53"/>
      <c r="K603" s="53"/>
      <c r="Z603" s="53"/>
    </row>
    <row r="604" spans="1:40" x14ac:dyDescent="0.25">
      <c r="H604" s="54"/>
      <c r="I604" s="54"/>
      <c r="Y604" s="54"/>
    </row>
    <row r="605" spans="1:40" x14ac:dyDescent="0.25">
      <c r="J605" s="53"/>
      <c r="K605" s="53"/>
      <c r="Z605" s="53"/>
    </row>
    <row r="606" spans="1:40" x14ac:dyDescent="0.25">
      <c r="L606" s="54"/>
      <c r="M606" s="54"/>
      <c r="AA606" s="54"/>
      <c r="AB606" s="54"/>
    </row>
    <row r="607" spans="1:40" x14ac:dyDescent="0.25">
      <c r="A607" s="53"/>
      <c r="R607" s="54"/>
      <c r="AK607" s="161"/>
      <c r="AL607" s="54"/>
    </row>
    <row r="608" spans="1:40" x14ac:dyDescent="0.25">
      <c r="A608" s="53"/>
      <c r="R608" s="54"/>
      <c r="AK608" s="161"/>
      <c r="AL608" s="54"/>
    </row>
    <row r="609" spans="1:40" x14ac:dyDescent="0.25">
      <c r="A609" s="54"/>
      <c r="R609" s="54"/>
      <c r="AK609" s="161"/>
      <c r="AL609" s="54"/>
    </row>
    <row r="610" spans="1:40" x14ac:dyDescent="0.25">
      <c r="L610" s="54"/>
      <c r="M610" s="54"/>
      <c r="R610" s="53"/>
      <c r="AA610" s="54"/>
      <c r="AB610" s="54"/>
      <c r="AK610" s="156"/>
      <c r="AL610" s="53"/>
    </row>
    <row r="611" spans="1:40" x14ac:dyDescent="0.25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154"/>
      <c r="AH611" s="55"/>
      <c r="AI611" s="55"/>
      <c r="AJ611" s="55"/>
      <c r="AK611" s="154"/>
      <c r="AL611" s="55"/>
      <c r="AM611" s="55"/>
      <c r="AN611" s="55"/>
    </row>
    <row r="612" spans="1:40" x14ac:dyDescent="0.25">
      <c r="L612" s="56"/>
      <c r="M612" s="56"/>
      <c r="N612" s="56"/>
      <c r="O612" s="56"/>
      <c r="R612" s="56"/>
      <c r="AA612" s="56"/>
      <c r="AB612" s="56"/>
      <c r="AC612" s="56"/>
      <c r="AD612" s="56"/>
      <c r="AE612" s="56"/>
      <c r="AF612" s="56"/>
      <c r="AG612" s="155"/>
      <c r="AH612" s="56"/>
      <c r="AK612" s="155"/>
      <c r="AL612" s="56"/>
      <c r="AM612" s="56"/>
      <c r="AN612" s="56"/>
    </row>
    <row r="613" spans="1:40" x14ac:dyDescent="0.25">
      <c r="L613" s="56"/>
      <c r="M613" s="56"/>
      <c r="N613" s="56"/>
      <c r="O613" s="56"/>
      <c r="R613" s="56"/>
      <c r="Z613" s="56"/>
      <c r="AA613" s="56"/>
      <c r="AB613" s="56"/>
      <c r="AC613" s="56"/>
      <c r="AD613" s="56"/>
      <c r="AE613" s="56"/>
      <c r="AF613" s="56"/>
      <c r="AG613" s="155"/>
      <c r="AH613" s="56"/>
      <c r="AK613" s="155"/>
      <c r="AL613" s="56"/>
      <c r="AM613" s="56"/>
      <c r="AN613" s="56"/>
    </row>
    <row r="614" spans="1:40" x14ac:dyDescent="0.25">
      <c r="A614" s="56"/>
      <c r="C614" s="56"/>
      <c r="D614" s="56"/>
      <c r="E614" s="56"/>
      <c r="F614" s="56"/>
      <c r="J614" s="56"/>
      <c r="K614" s="56"/>
      <c r="L614" s="56"/>
      <c r="M614" s="56"/>
      <c r="N614" s="56"/>
      <c r="O614" s="56"/>
      <c r="P614" s="56"/>
      <c r="Q614" s="56"/>
      <c r="R614" s="56"/>
      <c r="T614" s="56"/>
      <c r="U614" s="56"/>
      <c r="V614" s="56"/>
      <c r="Z614" s="56"/>
      <c r="AA614" s="56"/>
      <c r="AB614" s="56"/>
      <c r="AC614" s="56"/>
      <c r="AD614" s="56"/>
      <c r="AE614" s="56"/>
      <c r="AF614" s="56"/>
      <c r="AG614" s="155"/>
      <c r="AH614" s="56"/>
      <c r="AI614" s="56"/>
      <c r="AJ614" s="56"/>
      <c r="AK614" s="155"/>
      <c r="AL614" s="56"/>
      <c r="AM614" s="56"/>
      <c r="AN614" s="56"/>
    </row>
    <row r="615" spans="1:40" x14ac:dyDescent="0.25">
      <c r="A615" s="56"/>
      <c r="C615" s="56"/>
      <c r="D615" s="56"/>
      <c r="E615" s="56"/>
      <c r="F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T615" s="56"/>
      <c r="U615" s="56"/>
      <c r="V615" s="56"/>
      <c r="Y615" s="56"/>
      <c r="Z615" s="56"/>
      <c r="AA615" s="56"/>
      <c r="AB615" s="56"/>
      <c r="AC615" s="56"/>
      <c r="AD615" s="56"/>
      <c r="AE615" s="56"/>
      <c r="AF615" s="56"/>
      <c r="AG615" s="155"/>
      <c r="AH615" s="56"/>
      <c r="AI615" s="56"/>
      <c r="AJ615" s="56"/>
      <c r="AK615" s="155"/>
      <c r="AL615" s="56"/>
      <c r="AM615" s="56"/>
      <c r="AN615" s="56"/>
    </row>
    <row r="616" spans="1:40" x14ac:dyDescent="0.25">
      <c r="C616" s="56"/>
      <c r="D616" s="56"/>
      <c r="E616" s="56"/>
      <c r="F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T616" s="56"/>
      <c r="U616" s="56"/>
      <c r="V616" s="56"/>
      <c r="Y616" s="56"/>
      <c r="Z616" s="56"/>
      <c r="AA616" s="56"/>
      <c r="AB616" s="56"/>
      <c r="AC616" s="56"/>
      <c r="AD616" s="56"/>
      <c r="AE616" s="56"/>
      <c r="AF616" s="56"/>
      <c r="AG616" s="155"/>
      <c r="AH616" s="56"/>
      <c r="AI616" s="56"/>
      <c r="AJ616" s="56"/>
      <c r="AK616" s="155"/>
      <c r="AL616" s="56"/>
      <c r="AM616" s="56"/>
      <c r="AN616" s="56"/>
    </row>
    <row r="617" spans="1:40" x14ac:dyDescent="0.25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154"/>
      <c r="AH617" s="55"/>
      <c r="AI617" s="55"/>
      <c r="AJ617" s="55"/>
      <c r="AK617" s="154"/>
      <c r="AL617" s="55"/>
      <c r="AM617" s="55"/>
      <c r="AN617" s="55"/>
    </row>
    <row r="618" spans="1:40" x14ac:dyDescent="0.25"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Y618" s="56"/>
      <c r="Z618" s="56"/>
      <c r="AA618" s="56"/>
      <c r="AB618" s="56"/>
      <c r="AC618" s="56"/>
      <c r="AD618" s="56"/>
      <c r="AE618" s="56"/>
      <c r="AF618" s="56"/>
      <c r="AG618" s="155"/>
      <c r="AH618" s="56"/>
      <c r="AI618" s="56"/>
      <c r="AJ618" s="56"/>
      <c r="AK618" s="155"/>
      <c r="AL618" s="56"/>
      <c r="AM618" s="56"/>
      <c r="AN618" s="56"/>
    </row>
    <row r="619" spans="1:40" x14ac:dyDescent="0.25">
      <c r="A619" s="53"/>
      <c r="C619" s="54"/>
      <c r="D619" s="54"/>
      <c r="E619" s="54"/>
      <c r="T619" s="54"/>
      <c r="U619" s="54"/>
    </row>
    <row r="621" spans="1:40" x14ac:dyDescent="0.25">
      <c r="A621" s="53"/>
      <c r="C621" s="54"/>
      <c r="D621" s="54"/>
      <c r="E621" s="54"/>
      <c r="T621" s="54"/>
      <c r="U621" s="54"/>
    </row>
    <row r="622" spans="1:40" x14ac:dyDescent="0.25">
      <c r="A622" s="53"/>
      <c r="C622" s="54"/>
      <c r="T622" s="54"/>
    </row>
    <row r="623" spans="1:40" x14ac:dyDescent="0.25">
      <c r="A623" s="53"/>
      <c r="C623" s="54"/>
      <c r="T623" s="54"/>
    </row>
    <row r="624" spans="1:40" x14ac:dyDescent="0.25">
      <c r="A624" s="53"/>
      <c r="C624" s="54"/>
      <c r="F624" s="449"/>
      <c r="H624" s="449"/>
      <c r="I624" s="449"/>
      <c r="J624" s="221"/>
      <c r="K624" s="221"/>
      <c r="L624" s="379"/>
      <c r="M624" s="379"/>
      <c r="N624" s="50"/>
      <c r="O624" s="50"/>
      <c r="P624" s="379"/>
      <c r="Q624" s="379"/>
      <c r="R624" s="379"/>
      <c r="T624" s="54"/>
      <c r="V624" s="379"/>
      <c r="W624" s="379"/>
      <c r="X624" s="379"/>
      <c r="Y624" s="379"/>
      <c r="Z624" s="221"/>
      <c r="AA624" s="379"/>
      <c r="AB624" s="379"/>
      <c r="AC624" s="50"/>
      <c r="AD624" s="50"/>
      <c r="AE624" s="379"/>
      <c r="AF624" s="379"/>
      <c r="AG624" s="156"/>
      <c r="AH624" s="60"/>
      <c r="AI624" s="379"/>
      <c r="AJ624" s="379"/>
      <c r="AK624" s="156"/>
      <c r="AL624" s="379"/>
      <c r="AM624" s="50"/>
      <c r="AN624" s="50"/>
    </row>
    <row r="625" spans="1:40" x14ac:dyDescent="0.25">
      <c r="A625" s="53"/>
      <c r="C625" s="54"/>
      <c r="J625" s="65"/>
      <c r="K625" s="65"/>
      <c r="T625" s="54"/>
      <c r="V625" s="379"/>
      <c r="W625" s="379"/>
      <c r="X625" s="379"/>
      <c r="Y625" s="379"/>
      <c r="Z625" s="221"/>
    </row>
    <row r="626" spans="1:40" x14ac:dyDescent="0.25">
      <c r="A626" s="53"/>
      <c r="C626" s="54"/>
      <c r="F626" s="449"/>
      <c r="H626" s="449"/>
      <c r="I626" s="449"/>
      <c r="J626" s="221"/>
      <c r="K626" s="221"/>
      <c r="L626" s="379"/>
      <c r="M626" s="379"/>
      <c r="N626" s="50"/>
      <c r="O626" s="50"/>
      <c r="P626" s="379"/>
      <c r="Q626" s="379"/>
      <c r="R626" s="379"/>
      <c r="T626" s="54"/>
      <c r="V626" s="379"/>
      <c r="W626" s="379"/>
      <c r="X626" s="379"/>
      <c r="Y626" s="379"/>
      <c r="Z626" s="221"/>
      <c r="AA626" s="379"/>
      <c r="AB626" s="379"/>
      <c r="AC626" s="50"/>
      <c r="AD626" s="50"/>
      <c r="AE626" s="379"/>
      <c r="AF626" s="379"/>
      <c r="AG626" s="156"/>
      <c r="AH626" s="60"/>
      <c r="AI626" s="379"/>
      <c r="AJ626" s="379"/>
      <c r="AK626" s="156"/>
      <c r="AL626" s="379"/>
      <c r="AM626" s="50"/>
      <c r="AN626" s="50"/>
    </row>
    <row r="627" spans="1:40" x14ac:dyDescent="0.25">
      <c r="A627" s="53"/>
      <c r="C627" s="54"/>
      <c r="J627" s="65"/>
      <c r="K627" s="65"/>
      <c r="T627" s="54"/>
      <c r="V627" s="379"/>
      <c r="W627" s="379"/>
      <c r="X627" s="379"/>
      <c r="Y627" s="379"/>
      <c r="Z627" s="221"/>
    </row>
    <row r="628" spans="1:40" x14ac:dyDescent="0.25">
      <c r="A628" s="53"/>
      <c r="C628" s="54"/>
      <c r="F628" s="449"/>
      <c r="H628" s="449"/>
      <c r="I628" s="449"/>
      <c r="J628" s="221"/>
      <c r="K628" s="221"/>
      <c r="L628" s="379"/>
      <c r="M628" s="379"/>
      <c r="N628" s="50"/>
      <c r="O628" s="50"/>
      <c r="P628" s="379"/>
      <c r="Q628" s="379"/>
      <c r="R628" s="379"/>
      <c r="T628" s="54"/>
      <c r="V628" s="379"/>
      <c r="W628" s="379"/>
      <c r="X628" s="379"/>
      <c r="Y628" s="379"/>
      <c r="Z628" s="221"/>
      <c r="AA628" s="379"/>
      <c r="AB628" s="379"/>
      <c r="AC628" s="50"/>
      <c r="AD628" s="50"/>
      <c r="AE628" s="379"/>
      <c r="AF628" s="379"/>
      <c r="AG628" s="156"/>
      <c r="AH628" s="60"/>
      <c r="AI628" s="379"/>
      <c r="AJ628" s="379"/>
      <c r="AK628" s="156"/>
      <c r="AL628" s="379"/>
      <c r="AM628" s="50"/>
      <c r="AN628" s="50"/>
    </row>
    <row r="629" spans="1:40" x14ac:dyDescent="0.25">
      <c r="A629" s="53"/>
      <c r="C629" s="54"/>
      <c r="J629" s="65"/>
      <c r="K629" s="65"/>
      <c r="T629" s="54"/>
      <c r="V629" s="379"/>
      <c r="W629" s="379"/>
      <c r="X629" s="379"/>
      <c r="Y629" s="379"/>
      <c r="Z629" s="221"/>
    </row>
    <row r="630" spans="1:40" x14ac:dyDescent="0.25">
      <c r="A630" s="53"/>
      <c r="C630" s="54"/>
      <c r="F630" s="449"/>
      <c r="H630" s="449"/>
      <c r="I630" s="449"/>
      <c r="J630" s="221"/>
      <c r="K630" s="221"/>
      <c r="L630" s="379"/>
      <c r="M630" s="379"/>
      <c r="N630" s="50"/>
      <c r="O630" s="50"/>
      <c r="P630" s="379"/>
      <c r="Q630" s="379"/>
      <c r="R630" s="379"/>
      <c r="T630" s="54"/>
      <c r="V630" s="379"/>
      <c r="W630" s="379"/>
      <c r="X630" s="379"/>
      <c r="Y630" s="379"/>
      <c r="Z630" s="221"/>
      <c r="AA630" s="379"/>
      <c r="AB630" s="379"/>
      <c r="AC630" s="50"/>
      <c r="AD630" s="50"/>
      <c r="AE630" s="379"/>
      <c r="AF630" s="379"/>
      <c r="AG630" s="156"/>
      <c r="AH630" s="60"/>
      <c r="AI630" s="379"/>
      <c r="AJ630" s="379"/>
      <c r="AK630" s="156"/>
      <c r="AL630" s="379"/>
      <c r="AM630" s="50"/>
      <c r="AN630" s="50"/>
    </row>
    <row r="631" spans="1:40" x14ac:dyDescent="0.25">
      <c r="A631" s="53"/>
      <c r="C631" s="54"/>
      <c r="J631" s="65"/>
      <c r="K631" s="65"/>
      <c r="T631" s="54"/>
      <c r="V631" s="379"/>
      <c r="W631" s="379"/>
      <c r="X631" s="379"/>
      <c r="Y631" s="379"/>
      <c r="Z631" s="221"/>
    </row>
    <row r="632" spans="1:40" x14ac:dyDescent="0.25">
      <c r="A632" s="53"/>
      <c r="C632" s="54"/>
      <c r="F632" s="449"/>
      <c r="H632" s="449"/>
      <c r="I632" s="449"/>
      <c r="J632" s="221"/>
      <c r="K632" s="221"/>
      <c r="L632" s="379"/>
      <c r="M632" s="379"/>
      <c r="N632" s="50"/>
      <c r="O632" s="50"/>
      <c r="P632" s="379"/>
      <c r="Q632" s="379"/>
      <c r="R632" s="379"/>
      <c r="T632" s="54"/>
      <c r="V632" s="379"/>
      <c r="W632" s="379"/>
      <c r="X632" s="379"/>
      <c r="Y632" s="379"/>
      <c r="Z632" s="221"/>
      <c r="AA632" s="379"/>
      <c r="AB632" s="379"/>
      <c r="AC632" s="50"/>
      <c r="AD632" s="50"/>
      <c r="AE632" s="379"/>
      <c r="AF632" s="379"/>
      <c r="AG632" s="156"/>
      <c r="AH632" s="60"/>
      <c r="AI632" s="379"/>
      <c r="AJ632" s="379"/>
      <c r="AK632" s="156"/>
      <c r="AL632" s="379"/>
      <c r="AM632" s="50"/>
      <c r="AN632" s="50"/>
    </row>
    <row r="633" spans="1:40" x14ac:dyDescent="0.25">
      <c r="A633" s="53"/>
      <c r="C633" s="54"/>
      <c r="J633" s="65"/>
      <c r="K633" s="65"/>
      <c r="T633" s="54"/>
      <c r="V633" s="379"/>
      <c r="W633" s="379"/>
      <c r="X633" s="379"/>
      <c r="Y633" s="379"/>
      <c r="Z633" s="221"/>
    </row>
    <row r="634" spans="1:40" x14ac:dyDescent="0.25">
      <c r="A634" s="53"/>
      <c r="C634" s="54"/>
      <c r="F634" s="449"/>
      <c r="H634" s="449"/>
      <c r="I634" s="449"/>
      <c r="J634" s="221"/>
      <c r="K634" s="221"/>
      <c r="L634" s="379"/>
      <c r="M634" s="379"/>
      <c r="N634" s="50"/>
      <c r="O634" s="50"/>
      <c r="P634" s="379"/>
      <c r="Q634" s="379"/>
      <c r="R634" s="379"/>
      <c r="T634" s="54"/>
      <c r="V634" s="379"/>
      <c r="W634" s="379"/>
      <c r="X634" s="379"/>
      <c r="Y634" s="379"/>
      <c r="Z634" s="221"/>
      <c r="AA634" s="379"/>
      <c r="AB634" s="379"/>
      <c r="AC634" s="50"/>
      <c r="AD634" s="50"/>
      <c r="AE634" s="379"/>
      <c r="AF634" s="379"/>
      <c r="AG634" s="156"/>
      <c r="AH634" s="60"/>
      <c r="AI634" s="379"/>
      <c r="AJ634" s="379"/>
      <c r="AK634" s="156"/>
      <c r="AL634" s="379"/>
      <c r="AM634" s="50"/>
      <c r="AN634" s="50"/>
    </row>
    <row r="635" spans="1:40" x14ac:dyDescent="0.25">
      <c r="F635" s="381"/>
      <c r="H635" s="381"/>
      <c r="I635" s="381"/>
      <c r="J635" s="221"/>
      <c r="K635" s="221"/>
      <c r="L635" s="381"/>
      <c r="M635" s="381"/>
      <c r="N635" s="381"/>
      <c r="O635" s="381"/>
      <c r="P635" s="381"/>
      <c r="Q635" s="381"/>
      <c r="R635" s="381"/>
      <c r="V635" s="381"/>
      <c r="Y635" s="381"/>
      <c r="Z635" s="221"/>
      <c r="AA635" s="381"/>
      <c r="AB635" s="381"/>
      <c r="AC635" s="381"/>
      <c r="AD635" s="381"/>
      <c r="AE635" s="381"/>
      <c r="AF635" s="381"/>
      <c r="AI635" s="381"/>
      <c r="AJ635" s="381"/>
      <c r="AK635" s="162"/>
      <c r="AL635" s="381"/>
      <c r="AM635" s="50"/>
      <c r="AN635" s="50"/>
    </row>
    <row r="636" spans="1:40" x14ac:dyDescent="0.25">
      <c r="A636" s="53"/>
      <c r="C636" s="54"/>
      <c r="F636" s="379"/>
      <c r="H636" s="379"/>
      <c r="I636" s="379"/>
      <c r="J636" s="65"/>
      <c r="K636" s="65"/>
      <c r="L636" s="379"/>
      <c r="M636" s="379"/>
      <c r="N636" s="50"/>
      <c r="O636" s="50"/>
      <c r="P636" s="449"/>
      <c r="Q636" s="449"/>
      <c r="R636" s="379"/>
      <c r="T636" s="54"/>
      <c r="V636" s="379"/>
      <c r="W636" s="379"/>
      <c r="X636" s="379"/>
      <c r="Y636" s="379"/>
      <c r="Z636" s="221"/>
      <c r="AA636" s="379"/>
      <c r="AB636" s="379"/>
      <c r="AC636" s="50"/>
      <c r="AD636" s="50"/>
      <c r="AE636" s="379"/>
      <c r="AF636" s="379"/>
      <c r="AG636" s="156"/>
      <c r="AH636" s="60"/>
      <c r="AI636" s="449"/>
      <c r="AJ636" s="449"/>
      <c r="AK636" s="156"/>
      <c r="AL636" s="379"/>
      <c r="AM636" s="50"/>
      <c r="AN636" s="50"/>
    </row>
    <row r="637" spans="1:40" x14ac:dyDescent="0.25">
      <c r="F637" s="381"/>
      <c r="H637" s="381"/>
      <c r="I637" s="381"/>
      <c r="J637" s="221"/>
      <c r="K637" s="221"/>
      <c r="L637" s="381"/>
      <c r="M637" s="381"/>
      <c r="N637" s="381"/>
      <c r="O637" s="381"/>
      <c r="P637" s="381"/>
      <c r="Q637" s="381"/>
      <c r="R637" s="381"/>
      <c r="V637" s="381"/>
      <c r="Y637" s="381"/>
      <c r="Z637" s="221"/>
      <c r="AA637" s="381"/>
      <c r="AB637" s="381"/>
      <c r="AC637" s="381"/>
      <c r="AD637" s="381"/>
      <c r="AE637" s="381"/>
      <c r="AF637" s="381"/>
      <c r="AI637" s="381"/>
      <c r="AJ637" s="381"/>
      <c r="AK637" s="162"/>
      <c r="AL637" s="381"/>
    </row>
    <row r="638" spans="1:40" x14ac:dyDescent="0.25">
      <c r="A638" s="53"/>
      <c r="C638" s="54"/>
      <c r="D638" s="54"/>
      <c r="E638" s="54"/>
      <c r="J638" s="65"/>
      <c r="K638" s="65"/>
      <c r="T638" s="54"/>
      <c r="U638" s="54"/>
      <c r="V638" s="379"/>
      <c r="W638" s="379"/>
      <c r="X638" s="379"/>
      <c r="Y638" s="379"/>
      <c r="Z638" s="221"/>
    </row>
    <row r="639" spans="1:40" x14ac:dyDescent="0.25">
      <c r="A639" s="53"/>
      <c r="C639" s="54"/>
      <c r="J639" s="65"/>
      <c r="K639" s="65"/>
      <c r="T639" s="54"/>
      <c r="V639" s="379"/>
      <c r="W639" s="379"/>
      <c r="X639" s="379"/>
      <c r="Y639" s="379"/>
      <c r="Z639" s="221"/>
    </row>
    <row r="640" spans="1:40" x14ac:dyDescent="0.25">
      <c r="A640" s="53"/>
      <c r="C640" s="54"/>
      <c r="J640" s="65"/>
      <c r="K640" s="65"/>
      <c r="T640" s="54"/>
      <c r="V640" s="379"/>
      <c r="W640" s="379"/>
      <c r="X640" s="379"/>
      <c r="Y640" s="379"/>
      <c r="Z640" s="221"/>
    </row>
    <row r="641" spans="1:40" x14ac:dyDescent="0.25">
      <c r="A641" s="53"/>
      <c r="C641" s="54"/>
      <c r="F641" s="449"/>
      <c r="H641" s="449"/>
      <c r="I641" s="449"/>
      <c r="J641" s="221"/>
      <c r="K641" s="221"/>
      <c r="L641" s="379"/>
      <c r="M641" s="379"/>
      <c r="N641" s="50"/>
      <c r="O641" s="50"/>
      <c r="P641" s="379"/>
      <c r="Q641" s="379"/>
      <c r="R641" s="379"/>
      <c r="T641" s="54"/>
      <c r="V641" s="379"/>
      <c r="W641" s="379"/>
      <c r="X641" s="379"/>
      <c r="Y641" s="379"/>
      <c r="Z641" s="221"/>
      <c r="AA641" s="379"/>
      <c r="AB641" s="379"/>
      <c r="AC641" s="50"/>
      <c r="AD641" s="50"/>
      <c r="AE641" s="379"/>
      <c r="AF641" s="379"/>
      <c r="AG641" s="156"/>
      <c r="AH641" s="60"/>
      <c r="AI641" s="379"/>
      <c r="AJ641" s="379"/>
      <c r="AK641" s="156"/>
      <c r="AL641" s="379"/>
      <c r="AM641" s="50"/>
      <c r="AN641" s="50"/>
    </row>
    <row r="642" spans="1:40" x14ac:dyDescent="0.25">
      <c r="A642" s="53"/>
      <c r="C642" s="54"/>
      <c r="J642" s="65"/>
      <c r="K642" s="65"/>
      <c r="T642" s="54"/>
      <c r="V642" s="379"/>
      <c r="W642" s="379"/>
      <c r="X642" s="379"/>
      <c r="Y642" s="379"/>
      <c r="Z642" s="221"/>
    </row>
    <row r="643" spans="1:40" x14ac:dyDescent="0.25">
      <c r="A643" s="53"/>
      <c r="C643" s="54"/>
      <c r="F643" s="449"/>
      <c r="H643" s="449"/>
      <c r="I643" s="449"/>
      <c r="J643" s="221"/>
      <c r="K643" s="221"/>
      <c r="L643" s="379"/>
      <c r="M643" s="379"/>
      <c r="N643" s="50"/>
      <c r="O643" s="50"/>
      <c r="P643" s="379"/>
      <c r="Q643" s="379"/>
      <c r="R643" s="379"/>
      <c r="T643" s="54"/>
      <c r="V643" s="379"/>
      <c r="W643" s="379"/>
      <c r="X643" s="379"/>
      <c r="Y643" s="379"/>
      <c r="Z643" s="221"/>
      <c r="AA643" s="379"/>
      <c r="AB643" s="379"/>
      <c r="AC643" s="50"/>
      <c r="AD643" s="50"/>
      <c r="AE643" s="379"/>
      <c r="AF643" s="379"/>
      <c r="AG643" s="156"/>
      <c r="AH643" s="60"/>
      <c r="AI643" s="379"/>
      <c r="AJ643" s="379"/>
      <c r="AK643" s="156"/>
      <c r="AL643" s="379"/>
      <c r="AM643" s="50"/>
      <c r="AN643" s="50"/>
    </row>
    <row r="644" spans="1:40" x14ac:dyDescent="0.25">
      <c r="F644" s="381"/>
      <c r="H644" s="381"/>
      <c r="I644" s="381"/>
      <c r="J644" s="221"/>
      <c r="K644" s="221"/>
      <c r="L644" s="381"/>
      <c r="M644" s="381"/>
      <c r="N644" s="381"/>
      <c r="O644" s="381"/>
      <c r="P644" s="381"/>
      <c r="Q644" s="381"/>
      <c r="R644" s="381"/>
      <c r="V644" s="381"/>
      <c r="Y644" s="381"/>
      <c r="Z644" s="464"/>
      <c r="AA644" s="381"/>
      <c r="AB644" s="381"/>
      <c r="AC644" s="381"/>
      <c r="AD644" s="381"/>
      <c r="AE644" s="381"/>
      <c r="AF644" s="381"/>
      <c r="AI644" s="381"/>
      <c r="AJ644" s="381"/>
      <c r="AK644" s="162"/>
      <c r="AL644" s="381"/>
    </row>
    <row r="645" spans="1:40" x14ac:dyDescent="0.25">
      <c r="A645" s="53"/>
      <c r="C645" s="54"/>
      <c r="F645" s="379"/>
      <c r="H645" s="379"/>
      <c r="I645" s="379"/>
      <c r="L645" s="379"/>
      <c r="M645" s="379"/>
      <c r="N645" s="50"/>
      <c r="O645" s="50"/>
      <c r="P645" s="449"/>
      <c r="Q645" s="449"/>
      <c r="R645" s="379"/>
      <c r="T645" s="54"/>
      <c r="V645" s="379"/>
      <c r="W645" s="379"/>
      <c r="X645" s="379"/>
      <c r="Y645" s="379"/>
      <c r="Z645" s="477"/>
      <c r="AA645" s="379"/>
      <c r="AB645" s="379"/>
      <c r="AC645" s="50"/>
      <c r="AD645" s="50"/>
      <c r="AE645" s="379"/>
      <c r="AF645" s="379"/>
      <c r="AG645" s="156"/>
      <c r="AH645" s="60"/>
      <c r="AI645" s="449"/>
      <c r="AJ645" s="449"/>
      <c r="AK645" s="156"/>
      <c r="AL645" s="379"/>
      <c r="AM645" s="50"/>
      <c r="AN645" s="50"/>
    </row>
    <row r="646" spans="1:40" x14ac:dyDescent="0.25">
      <c r="F646" s="381"/>
      <c r="H646" s="381"/>
      <c r="I646" s="381"/>
      <c r="J646" s="464"/>
      <c r="K646" s="464"/>
      <c r="L646" s="381"/>
      <c r="M646" s="381"/>
      <c r="N646" s="381"/>
      <c r="O646" s="381"/>
      <c r="P646" s="381"/>
      <c r="Q646" s="381"/>
      <c r="R646" s="381"/>
      <c r="V646" s="381"/>
      <c r="Y646" s="381"/>
      <c r="Z646" s="464"/>
      <c r="AA646" s="381"/>
      <c r="AB646" s="381"/>
      <c r="AC646" s="381"/>
      <c r="AD646" s="381"/>
      <c r="AE646" s="381"/>
      <c r="AF646" s="381"/>
      <c r="AI646" s="381"/>
      <c r="AJ646" s="381"/>
      <c r="AK646" s="162"/>
      <c r="AL646" s="381"/>
    </row>
    <row r="647" spans="1:40" x14ac:dyDescent="0.25">
      <c r="A647" s="53"/>
      <c r="C647" s="54"/>
      <c r="D647" s="54"/>
      <c r="E647" s="54"/>
      <c r="T647" s="54"/>
      <c r="U647" s="54"/>
      <c r="V647" s="379"/>
      <c r="W647" s="379"/>
      <c r="X647" s="379"/>
      <c r="Y647" s="379"/>
      <c r="Z647" s="477"/>
    </row>
    <row r="648" spans="1:40" x14ac:dyDescent="0.25">
      <c r="A648" s="53"/>
      <c r="C648" s="54"/>
      <c r="T648" s="54"/>
      <c r="V648" s="379"/>
      <c r="W648" s="379"/>
      <c r="X648" s="379"/>
      <c r="Y648" s="379"/>
      <c r="Z648" s="477"/>
    </row>
    <row r="649" spans="1:40" x14ac:dyDescent="0.25">
      <c r="A649" s="53"/>
      <c r="C649" s="54"/>
      <c r="F649" s="449"/>
      <c r="H649" s="449"/>
      <c r="I649" s="449"/>
      <c r="J649" s="477"/>
      <c r="K649" s="477"/>
      <c r="L649" s="379"/>
      <c r="M649" s="379"/>
      <c r="N649" s="50"/>
      <c r="O649" s="50"/>
      <c r="P649" s="379"/>
      <c r="Q649" s="379"/>
      <c r="R649" s="379"/>
      <c r="T649" s="54"/>
      <c r="V649" s="379"/>
      <c r="W649" s="379"/>
      <c r="X649" s="379"/>
      <c r="Y649" s="379"/>
      <c r="Z649" s="477"/>
      <c r="AA649" s="379"/>
      <c r="AB649" s="379"/>
      <c r="AC649" s="50"/>
      <c r="AD649" s="50"/>
      <c r="AE649" s="379"/>
      <c r="AF649" s="379"/>
      <c r="AG649" s="156"/>
      <c r="AH649" s="60"/>
      <c r="AI649" s="379"/>
      <c r="AJ649" s="379"/>
      <c r="AK649" s="156"/>
      <c r="AL649" s="379"/>
      <c r="AM649" s="50"/>
      <c r="AN649" s="50"/>
    </row>
    <row r="650" spans="1:40" x14ac:dyDescent="0.25">
      <c r="A650" s="53"/>
      <c r="C650" s="54"/>
      <c r="T650" s="54"/>
      <c r="V650" s="379"/>
      <c r="W650" s="379"/>
      <c r="X650" s="379"/>
      <c r="Y650" s="379"/>
      <c r="Z650" s="477"/>
    </row>
    <row r="651" spans="1:40" x14ac:dyDescent="0.25">
      <c r="A651" s="53"/>
      <c r="C651" s="54"/>
      <c r="F651" s="449"/>
      <c r="H651" s="449"/>
      <c r="I651" s="449"/>
      <c r="J651" s="477"/>
      <c r="K651" s="477"/>
      <c r="L651" s="379"/>
      <c r="M651" s="379"/>
      <c r="N651" s="50"/>
      <c r="O651" s="50"/>
      <c r="P651" s="379"/>
      <c r="Q651" s="379"/>
      <c r="R651" s="379"/>
      <c r="T651" s="54"/>
      <c r="V651" s="379"/>
      <c r="W651" s="379"/>
      <c r="X651" s="379"/>
      <c r="Y651" s="379"/>
      <c r="Z651" s="477"/>
      <c r="AA651" s="379"/>
      <c r="AB651" s="379"/>
      <c r="AC651" s="50"/>
      <c r="AD651" s="50"/>
      <c r="AE651" s="379"/>
      <c r="AF651" s="379"/>
      <c r="AG651" s="156"/>
      <c r="AH651" s="60"/>
      <c r="AI651" s="379"/>
      <c r="AJ651" s="379"/>
      <c r="AK651" s="156"/>
      <c r="AL651" s="379"/>
      <c r="AM651" s="50"/>
      <c r="AN651" s="50"/>
    </row>
    <row r="652" spans="1:40" x14ac:dyDescent="0.25">
      <c r="A652" s="53"/>
      <c r="C652" s="54"/>
      <c r="T652" s="54"/>
      <c r="V652" s="379"/>
      <c r="W652" s="379"/>
      <c r="X652" s="379"/>
      <c r="Y652" s="379"/>
      <c r="Z652" s="477"/>
    </row>
    <row r="653" spans="1:40" x14ac:dyDescent="0.25">
      <c r="A653" s="53"/>
      <c r="C653" s="54"/>
      <c r="F653" s="449"/>
      <c r="H653" s="449"/>
      <c r="I653" s="449"/>
      <c r="J653" s="477"/>
      <c r="K653" s="477"/>
      <c r="L653" s="379"/>
      <c r="M653" s="379"/>
      <c r="N653" s="50"/>
      <c r="O653" s="50"/>
      <c r="P653" s="379"/>
      <c r="Q653" s="379"/>
      <c r="R653" s="379"/>
      <c r="T653" s="54"/>
      <c r="V653" s="379"/>
      <c r="W653" s="379"/>
      <c r="X653" s="379"/>
      <c r="Y653" s="379"/>
      <c r="Z653" s="477"/>
      <c r="AA653" s="379"/>
      <c r="AB653" s="379"/>
      <c r="AC653" s="50"/>
      <c r="AD653" s="50"/>
      <c r="AE653" s="379"/>
      <c r="AF653" s="379"/>
      <c r="AG653" s="156"/>
      <c r="AH653" s="60"/>
      <c r="AI653" s="379"/>
      <c r="AJ653" s="379"/>
      <c r="AK653" s="156"/>
      <c r="AL653" s="379"/>
      <c r="AM653" s="50"/>
      <c r="AN653" s="50"/>
    </row>
    <row r="654" spans="1:40" x14ac:dyDescent="0.25">
      <c r="A654" s="53"/>
      <c r="C654" s="54"/>
      <c r="T654" s="54"/>
      <c r="V654" s="379"/>
      <c r="W654" s="379"/>
      <c r="X654" s="379"/>
      <c r="Y654" s="379"/>
      <c r="Z654" s="477"/>
    </row>
    <row r="655" spans="1:40" x14ac:dyDescent="0.25">
      <c r="A655" s="53"/>
      <c r="C655" s="54"/>
      <c r="F655" s="449"/>
      <c r="H655" s="449"/>
      <c r="I655" s="449"/>
      <c r="J655" s="477"/>
      <c r="K655" s="477"/>
      <c r="L655" s="379"/>
      <c r="M655" s="379"/>
      <c r="N655" s="50"/>
      <c r="O655" s="50"/>
      <c r="P655" s="379"/>
      <c r="Q655" s="379"/>
      <c r="R655" s="379"/>
      <c r="T655" s="54"/>
      <c r="V655" s="379"/>
      <c r="W655" s="379"/>
      <c r="X655" s="379"/>
      <c r="Y655" s="379"/>
      <c r="Z655" s="477"/>
      <c r="AA655" s="379"/>
      <c r="AB655" s="379"/>
      <c r="AC655" s="50"/>
      <c r="AD655" s="50"/>
      <c r="AE655" s="379"/>
      <c r="AF655" s="379"/>
      <c r="AG655" s="156"/>
      <c r="AH655" s="60"/>
      <c r="AI655" s="379"/>
      <c r="AJ655" s="379"/>
      <c r="AK655" s="156"/>
      <c r="AL655" s="379"/>
      <c r="AM655" s="50"/>
      <c r="AN655" s="50"/>
    </row>
    <row r="656" spans="1:40" x14ac:dyDescent="0.25">
      <c r="F656" s="381"/>
      <c r="H656" s="381"/>
      <c r="I656" s="381"/>
      <c r="J656" s="464"/>
      <c r="K656" s="464"/>
      <c r="L656" s="381"/>
      <c r="M656" s="381"/>
      <c r="N656" s="381"/>
      <c r="O656" s="381"/>
      <c r="P656" s="381"/>
      <c r="Q656" s="381"/>
      <c r="R656" s="381"/>
      <c r="V656" s="381"/>
      <c r="Y656" s="381"/>
      <c r="Z656" s="464"/>
      <c r="AA656" s="381"/>
      <c r="AB656" s="381"/>
      <c r="AC656" s="381"/>
      <c r="AD656" s="381"/>
      <c r="AE656" s="381"/>
      <c r="AF656" s="381"/>
      <c r="AI656" s="381"/>
      <c r="AJ656" s="381"/>
      <c r="AK656" s="162"/>
      <c r="AL656" s="381"/>
    </row>
    <row r="657" spans="1:40" x14ac:dyDescent="0.25">
      <c r="A657" s="53"/>
      <c r="C657" s="54"/>
      <c r="F657" s="379"/>
      <c r="H657" s="379"/>
      <c r="I657" s="379"/>
      <c r="L657" s="379"/>
      <c r="M657" s="379"/>
      <c r="N657" s="50"/>
      <c r="O657" s="50"/>
      <c r="P657" s="449"/>
      <c r="Q657" s="449"/>
      <c r="R657" s="379"/>
      <c r="T657" s="54"/>
      <c r="V657" s="379"/>
      <c r="W657" s="379"/>
      <c r="X657" s="379"/>
      <c r="Y657" s="379"/>
      <c r="Z657" s="477"/>
      <c r="AA657" s="379"/>
      <c r="AB657" s="379"/>
      <c r="AC657" s="50"/>
      <c r="AD657" s="50"/>
      <c r="AE657" s="379"/>
      <c r="AF657" s="379"/>
      <c r="AG657" s="156"/>
      <c r="AH657" s="60"/>
      <c r="AI657" s="449"/>
      <c r="AJ657" s="449"/>
      <c r="AK657" s="156"/>
      <c r="AL657" s="379"/>
      <c r="AM657" s="50"/>
      <c r="AN657" s="50"/>
    </row>
    <row r="658" spans="1:40" x14ac:dyDescent="0.25">
      <c r="F658" s="381"/>
      <c r="H658" s="381"/>
      <c r="I658" s="381"/>
      <c r="J658" s="464"/>
      <c r="K658" s="464"/>
      <c r="L658" s="381"/>
      <c r="M658" s="381"/>
      <c r="N658" s="381"/>
      <c r="O658" s="381"/>
      <c r="P658" s="381"/>
      <c r="Q658" s="381"/>
      <c r="R658" s="381"/>
      <c r="V658" s="381"/>
      <c r="Y658" s="381"/>
      <c r="Z658" s="464"/>
      <c r="AA658" s="381"/>
      <c r="AB658" s="381"/>
      <c r="AC658" s="381"/>
      <c r="AD658" s="381"/>
      <c r="AE658" s="381"/>
      <c r="AF658" s="381"/>
      <c r="AI658" s="381"/>
      <c r="AJ658" s="381"/>
      <c r="AK658" s="162"/>
      <c r="AL658" s="381"/>
    </row>
    <row r="659" spans="1:40" x14ac:dyDescent="0.25">
      <c r="A659" s="53"/>
      <c r="C659" s="54"/>
      <c r="F659" s="379"/>
      <c r="H659" s="379"/>
      <c r="I659" s="379"/>
      <c r="L659" s="379"/>
      <c r="M659" s="379"/>
      <c r="N659" s="50"/>
      <c r="O659" s="50"/>
      <c r="P659" s="379"/>
      <c r="Q659" s="379"/>
      <c r="R659" s="379"/>
      <c r="T659" s="54"/>
      <c r="V659" s="379"/>
      <c r="W659" s="379"/>
      <c r="X659" s="379"/>
      <c r="Y659" s="379"/>
      <c r="AA659" s="379"/>
      <c r="AB659" s="379"/>
      <c r="AC659" s="50"/>
      <c r="AD659" s="50"/>
      <c r="AE659" s="379"/>
      <c r="AF659" s="379"/>
      <c r="AG659" s="156"/>
      <c r="AH659" s="60"/>
      <c r="AI659" s="379"/>
      <c r="AJ659" s="379"/>
      <c r="AK659" s="156"/>
      <c r="AL659" s="379"/>
      <c r="AM659" s="60"/>
      <c r="AN659" s="60"/>
    </row>
    <row r="660" spans="1:40" x14ac:dyDescent="0.25">
      <c r="F660" s="381"/>
      <c r="H660" s="381"/>
      <c r="I660" s="381"/>
      <c r="J660" s="464"/>
      <c r="K660" s="464"/>
      <c r="L660" s="381"/>
      <c r="M660" s="381"/>
      <c r="N660" s="381"/>
      <c r="O660" s="381"/>
      <c r="P660" s="381"/>
      <c r="Q660" s="381"/>
      <c r="R660" s="381"/>
      <c r="V660" s="381"/>
      <c r="Y660" s="381"/>
      <c r="Z660" s="464"/>
      <c r="AA660" s="381"/>
      <c r="AB660" s="381"/>
      <c r="AC660" s="381"/>
      <c r="AD660" s="381"/>
      <c r="AE660" s="381"/>
      <c r="AF660" s="381"/>
      <c r="AI660" s="381"/>
      <c r="AJ660" s="381"/>
      <c r="AK660" s="162"/>
      <c r="AL660" s="381"/>
    </row>
    <row r="662" spans="1:40" x14ac:dyDescent="0.25">
      <c r="C662" s="53"/>
      <c r="T662" s="53"/>
    </row>
    <row r="663" spans="1:40" x14ac:dyDescent="0.25">
      <c r="A663" s="54"/>
    </row>
    <row r="664" spans="1:40" x14ac:dyDescent="0.25">
      <c r="J664" s="53"/>
      <c r="K664" s="53"/>
      <c r="Z664" s="53"/>
    </row>
    <row r="665" spans="1:40" x14ac:dyDescent="0.25">
      <c r="H665" s="54"/>
      <c r="I665" s="54"/>
      <c r="Y665" s="54"/>
    </row>
    <row r="666" spans="1:40" x14ac:dyDescent="0.25">
      <c r="J666" s="53"/>
      <c r="K666" s="53"/>
      <c r="Z666" s="53"/>
    </row>
    <row r="667" spans="1:40" x14ac:dyDescent="0.25">
      <c r="L667" s="54"/>
      <c r="M667" s="54"/>
      <c r="AA667" s="54"/>
      <c r="AB667" s="54"/>
    </row>
    <row r="668" spans="1:40" x14ac:dyDescent="0.25">
      <c r="A668" s="53"/>
      <c r="R668" s="54"/>
      <c r="AK668" s="161"/>
      <c r="AL668" s="54"/>
    </row>
    <row r="669" spans="1:40" x14ac:dyDescent="0.25">
      <c r="A669" s="53"/>
      <c r="R669" s="54"/>
      <c r="AK669" s="161"/>
      <c r="AL669" s="54"/>
    </row>
    <row r="670" spans="1:40" x14ac:dyDescent="0.25">
      <c r="A670" s="54"/>
      <c r="R670" s="54"/>
      <c r="AK670" s="161"/>
      <c r="AL670" s="54"/>
    </row>
    <row r="671" spans="1:40" x14ac:dyDescent="0.25">
      <c r="L671" s="54"/>
      <c r="M671" s="54"/>
      <c r="R671" s="53"/>
      <c r="AA671" s="54"/>
      <c r="AB671" s="54"/>
      <c r="AK671" s="156"/>
      <c r="AL671" s="53"/>
    </row>
    <row r="672" spans="1:40" x14ac:dyDescent="0.25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154"/>
      <c r="AH672" s="55"/>
      <c r="AI672" s="55"/>
      <c r="AJ672" s="55"/>
      <c r="AK672" s="154"/>
      <c r="AL672" s="55"/>
      <c r="AM672" s="55"/>
      <c r="AN672" s="55"/>
    </row>
    <row r="673" spans="1:40" x14ac:dyDescent="0.25">
      <c r="L673" s="56"/>
      <c r="M673" s="56"/>
      <c r="N673" s="56"/>
      <c r="O673" s="56"/>
      <c r="R673" s="56"/>
      <c r="AA673" s="56"/>
      <c r="AB673" s="56"/>
      <c r="AC673" s="56"/>
      <c r="AD673" s="56"/>
      <c r="AE673" s="56"/>
      <c r="AF673" s="56"/>
      <c r="AG673" s="155"/>
      <c r="AH673" s="56"/>
      <c r="AK673" s="155"/>
      <c r="AL673" s="56"/>
      <c r="AM673" s="56"/>
      <c r="AN673" s="56"/>
    </row>
    <row r="674" spans="1:40" x14ac:dyDescent="0.25">
      <c r="L674" s="56"/>
      <c r="M674" s="56"/>
      <c r="N674" s="56"/>
      <c r="O674" s="56"/>
      <c r="R674" s="56"/>
      <c r="Z674" s="56"/>
      <c r="AA674" s="56"/>
      <c r="AB674" s="56"/>
      <c r="AC674" s="56"/>
      <c r="AD674" s="56"/>
      <c r="AE674" s="56"/>
      <c r="AF674" s="56"/>
      <c r="AG674" s="155"/>
      <c r="AH674" s="56"/>
      <c r="AK674" s="155"/>
      <c r="AL674" s="56"/>
      <c r="AM674" s="56"/>
      <c r="AN674" s="56"/>
    </row>
    <row r="675" spans="1:40" x14ac:dyDescent="0.25">
      <c r="A675" s="56"/>
      <c r="C675" s="56"/>
      <c r="D675" s="56"/>
      <c r="E675" s="56"/>
      <c r="F675" s="56"/>
      <c r="J675" s="56"/>
      <c r="K675" s="56"/>
      <c r="L675" s="56"/>
      <c r="M675" s="56"/>
      <c r="N675" s="56"/>
      <c r="O675" s="56"/>
      <c r="P675" s="56"/>
      <c r="Q675" s="56"/>
      <c r="R675" s="56"/>
      <c r="T675" s="56"/>
      <c r="U675" s="56"/>
      <c r="V675" s="56"/>
      <c r="Z675" s="56"/>
      <c r="AA675" s="56"/>
      <c r="AB675" s="56"/>
      <c r="AC675" s="56"/>
      <c r="AD675" s="56"/>
      <c r="AE675" s="56"/>
      <c r="AF675" s="56"/>
      <c r="AG675" s="155"/>
      <c r="AH675" s="56"/>
      <c r="AI675" s="56"/>
      <c r="AJ675" s="56"/>
      <c r="AK675" s="155"/>
      <c r="AL675" s="56"/>
      <c r="AM675" s="56"/>
      <c r="AN675" s="56"/>
    </row>
    <row r="676" spans="1:40" x14ac:dyDescent="0.25">
      <c r="A676" s="56"/>
      <c r="C676" s="56"/>
      <c r="D676" s="56"/>
      <c r="E676" s="56"/>
      <c r="F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T676" s="56"/>
      <c r="U676" s="56"/>
      <c r="V676" s="56"/>
      <c r="Y676" s="56"/>
      <c r="Z676" s="56"/>
      <c r="AA676" s="56"/>
      <c r="AB676" s="56"/>
      <c r="AC676" s="56"/>
      <c r="AD676" s="56"/>
      <c r="AE676" s="56"/>
      <c r="AF676" s="56"/>
      <c r="AG676" s="155"/>
      <c r="AH676" s="56"/>
      <c r="AI676" s="56"/>
      <c r="AJ676" s="56"/>
      <c r="AK676" s="155"/>
      <c r="AL676" s="56"/>
      <c r="AM676" s="56"/>
      <c r="AN676" s="56"/>
    </row>
    <row r="677" spans="1:40" x14ac:dyDescent="0.25">
      <c r="C677" s="56"/>
      <c r="D677" s="56"/>
      <c r="E677" s="56"/>
      <c r="F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T677" s="56"/>
      <c r="U677" s="56"/>
      <c r="V677" s="56"/>
      <c r="Y677" s="56"/>
      <c r="Z677" s="56"/>
      <c r="AA677" s="56"/>
      <c r="AB677" s="56"/>
      <c r="AC677" s="56"/>
      <c r="AD677" s="56"/>
      <c r="AE677" s="56"/>
      <c r="AF677" s="56"/>
      <c r="AG677" s="155"/>
      <c r="AH677" s="56"/>
      <c r="AI677" s="56"/>
      <c r="AJ677" s="56"/>
      <c r="AK677" s="155"/>
      <c r="AL677" s="56"/>
      <c r="AM677" s="56"/>
      <c r="AN677" s="56"/>
    </row>
    <row r="678" spans="1:40" x14ac:dyDescent="0.25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154"/>
      <c r="AH678" s="55"/>
      <c r="AI678" s="55"/>
      <c r="AJ678" s="55"/>
      <c r="AK678" s="154"/>
      <c r="AL678" s="55"/>
      <c r="AM678" s="55"/>
      <c r="AN678" s="55"/>
    </row>
    <row r="679" spans="1:40" x14ac:dyDescent="0.25"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Y679" s="56"/>
      <c r="Z679" s="56"/>
      <c r="AA679" s="56"/>
      <c r="AB679" s="56"/>
      <c r="AC679" s="56"/>
      <c r="AD679" s="56"/>
      <c r="AE679" s="56"/>
      <c r="AF679" s="56"/>
      <c r="AG679" s="155"/>
      <c r="AH679" s="56"/>
      <c r="AI679" s="56"/>
      <c r="AJ679" s="56"/>
      <c r="AK679" s="155"/>
      <c r="AL679" s="56"/>
      <c r="AM679" s="56"/>
      <c r="AN679" s="56"/>
    </row>
    <row r="680" spans="1:40" x14ac:dyDescent="0.25">
      <c r="A680" s="53"/>
      <c r="C680" s="54"/>
      <c r="D680" s="54"/>
      <c r="E680" s="54"/>
      <c r="F680" s="379"/>
      <c r="H680" s="379"/>
      <c r="I680" s="379"/>
      <c r="J680" s="59"/>
      <c r="K680" s="59"/>
      <c r="L680" s="379"/>
      <c r="M680" s="379"/>
      <c r="N680" s="59"/>
      <c r="O680" s="59"/>
      <c r="P680" s="379"/>
      <c r="Q680" s="379"/>
      <c r="R680" s="379"/>
      <c r="T680" s="54"/>
      <c r="U680" s="54"/>
      <c r="V680" s="379"/>
      <c r="Y680" s="379"/>
      <c r="Z680" s="59"/>
      <c r="AA680" s="379"/>
      <c r="AB680" s="379"/>
      <c r="AC680" s="59"/>
      <c r="AD680" s="59"/>
      <c r="AE680" s="379"/>
      <c r="AF680" s="379"/>
      <c r="AG680" s="156"/>
      <c r="AH680" s="60"/>
      <c r="AI680" s="379"/>
      <c r="AJ680" s="379"/>
      <c r="AK680" s="156"/>
      <c r="AL680" s="379"/>
      <c r="AM680" s="50"/>
      <c r="AN680" s="50"/>
    </row>
    <row r="681" spans="1:40" x14ac:dyDescent="0.25">
      <c r="F681" s="381"/>
      <c r="H681" s="381"/>
      <c r="I681" s="381"/>
      <c r="J681" s="464"/>
      <c r="K681" s="464"/>
      <c r="L681" s="381"/>
      <c r="M681" s="381"/>
      <c r="N681" s="381"/>
      <c r="O681" s="381"/>
      <c r="P681" s="381"/>
      <c r="Q681" s="381"/>
      <c r="R681" s="381"/>
      <c r="V681" s="381"/>
      <c r="Y681" s="381"/>
      <c r="Z681" s="464"/>
      <c r="AA681" s="381"/>
      <c r="AB681" s="381"/>
      <c r="AC681" s="381"/>
      <c r="AD681" s="381"/>
      <c r="AE681" s="381"/>
      <c r="AF681" s="381"/>
      <c r="AI681" s="381"/>
      <c r="AJ681" s="381"/>
      <c r="AK681" s="162"/>
      <c r="AL681" s="381"/>
      <c r="AM681" s="50"/>
      <c r="AN681" s="50"/>
    </row>
    <row r="682" spans="1:40" x14ac:dyDescent="0.25">
      <c r="A682" s="53"/>
      <c r="C682" s="54"/>
      <c r="F682" s="379"/>
      <c r="H682" s="379"/>
      <c r="I682" s="379"/>
      <c r="J682" s="59"/>
      <c r="K682" s="59"/>
      <c r="L682" s="379"/>
      <c r="M682" s="379"/>
      <c r="N682" s="59"/>
      <c r="O682" s="59"/>
      <c r="P682" s="379"/>
      <c r="Q682" s="379"/>
      <c r="R682" s="379"/>
      <c r="T682" s="54"/>
      <c r="V682" s="379"/>
      <c r="Y682" s="379"/>
      <c r="Z682" s="59"/>
      <c r="AA682" s="379"/>
      <c r="AB682" s="379"/>
      <c r="AC682" s="59"/>
      <c r="AD682" s="59"/>
      <c r="AE682" s="379"/>
      <c r="AF682" s="379"/>
      <c r="AG682" s="156"/>
      <c r="AH682" s="60"/>
      <c r="AI682" s="379"/>
      <c r="AJ682" s="379"/>
      <c r="AK682" s="156"/>
      <c r="AL682" s="379"/>
      <c r="AM682" s="50"/>
      <c r="AN682" s="50"/>
    </row>
    <row r="683" spans="1:40" x14ac:dyDescent="0.25">
      <c r="F683" s="379"/>
      <c r="H683" s="379"/>
      <c r="I683" s="379"/>
      <c r="J683" s="59"/>
      <c r="K683" s="59"/>
      <c r="L683" s="379"/>
      <c r="M683" s="379"/>
      <c r="N683" s="59"/>
      <c r="O683" s="59"/>
      <c r="P683" s="379"/>
      <c r="Q683" s="379"/>
      <c r="R683" s="379"/>
      <c r="V683" s="379"/>
      <c r="Y683" s="379"/>
      <c r="Z683" s="59"/>
      <c r="AA683" s="379"/>
      <c r="AB683" s="379"/>
      <c r="AC683" s="59"/>
      <c r="AD683" s="59"/>
      <c r="AG683" s="156"/>
      <c r="AH683" s="60"/>
      <c r="AI683" s="379"/>
      <c r="AJ683" s="379"/>
      <c r="AK683" s="156"/>
      <c r="AL683" s="379"/>
      <c r="AM683" s="50"/>
      <c r="AN683" s="50"/>
    </row>
    <row r="684" spans="1:40" x14ac:dyDescent="0.25">
      <c r="A684" s="53"/>
      <c r="C684" s="54"/>
      <c r="D684" s="54"/>
      <c r="E684" s="54"/>
      <c r="F684" s="379"/>
      <c r="H684" s="379"/>
      <c r="I684" s="379"/>
      <c r="J684" s="59"/>
      <c r="K684" s="59"/>
      <c r="L684" s="379"/>
      <c r="M684" s="379"/>
      <c r="N684" s="59"/>
      <c r="O684" s="59"/>
      <c r="P684" s="379"/>
      <c r="Q684" s="379"/>
      <c r="R684" s="379"/>
      <c r="T684" s="54"/>
      <c r="U684" s="54"/>
      <c r="V684" s="379"/>
      <c r="Y684" s="379"/>
      <c r="Z684" s="59"/>
      <c r="AA684" s="379"/>
      <c r="AB684" s="379"/>
      <c r="AC684" s="59"/>
      <c r="AD684" s="59"/>
      <c r="AE684" s="379"/>
      <c r="AF684" s="379"/>
      <c r="AG684" s="156"/>
      <c r="AH684" s="60"/>
      <c r="AI684" s="379"/>
      <c r="AJ684" s="379"/>
      <c r="AK684" s="156"/>
      <c r="AL684" s="379"/>
      <c r="AM684" s="50"/>
      <c r="AN684" s="50"/>
    </row>
    <row r="685" spans="1:40" x14ac:dyDescent="0.25">
      <c r="A685" s="53"/>
      <c r="C685" s="54"/>
      <c r="D685" s="54"/>
      <c r="E685" s="54"/>
      <c r="F685" s="379"/>
      <c r="H685" s="379"/>
      <c r="I685" s="379"/>
      <c r="J685" s="59"/>
      <c r="K685" s="59"/>
      <c r="L685" s="379"/>
      <c r="M685" s="379"/>
      <c r="N685" s="59"/>
      <c r="O685" s="59"/>
      <c r="P685" s="379"/>
      <c r="Q685" s="379"/>
      <c r="R685" s="379"/>
      <c r="T685" s="54"/>
      <c r="U685" s="54"/>
      <c r="V685" s="379"/>
      <c r="Y685" s="379"/>
      <c r="Z685" s="59"/>
      <c r="AA685" s="379"/>
      <c r="AB685" s="379"/>
      <c r="AC685" s="59"/>
      <c r="AD685" s="59"/>
      <c r="AE685" s="379"/>
      <c r="AF685" s="379"/>
      <c r="AG685" s="156"/>
      <c r="AH685" s="60"/>
      <c r="AI685" s="379"/>
      <c r="AJ685" s="379"/>
      <c r="AK685" s="156"/>
      <c r="AL685" s="379"/>
      <c r="AM685" s="50"/>
      <c r="AN685" s="50"/>
    </row>
    <row r="686" spans="1:40" x14ac:dyDescent="0.25">
      <c r="A686" s="53"/>
      <c r="C686" s="54"/>
      <c r="D686" s="54"/>
      <c r="E686" s="54"/>
      <c r="F686" s="379"/>
      <c r="H686" s="379"/>
      <c r="I686" s="379"/>
      <c r="J686" s="59"/>
      <c r="K686" s="59"/>
      <c r="L686" s="379"/>
      <c r="M686" s="379"/>
      <c r="N686" s="59"/>
      <c r="O686" s="59"/>
      <c r="P686" s="379"/>
      <c r="Q686" s="379"/>
      <c r="R686" s="379"/>
      <c r="T686" s="54"/>
      <c r="U686" s="54"/>
      <c r="V686" s="379"/>
      <c r="Y686" s="379"/>
      <c r="Z686" s="59"/>
      <c r="AA686" s="379"/>
      <c r="AB686" s="379"/>
      <c r="AC686" s="59"/>
      <c r="AD686" s="59"/>
      <c r="AE686" s="379"/>
      <c r="AF686" s="379"/>
      <c r="AG686" s="156"/>
      <c r="AH686" s="60"/>
      <c r="AI686" s="379"/>
      <c r="AJ686" s="379"/>
      <c r="AK686" s="156"/>
      <c r="AL686" s="379"/>
      <c r="AM686" s="50"/>
      <c r="AN686" s="50"/>
    </row>
    <row r="687" spans="1:40" x14ac:dyDescent="0.25">
      <c r="A687" s="53"/>
      <c r="C687" s="54"/>
      <c r="D687" s="54"/>
      <c r="E687" s="54"/>
      <c r="F687" s="379"/>
      <c r="H687" s="379"/>
      <c r="I687" s="379"/>
      <c r="J687" s="59"/>
      <c r="K687" s="59"/>
      <c r="L687" s="379"/>
      <c r="M687" s="379"/>
      <c r="N687" s="59"/>
      <c r="O687" s="59"/>
      <c r="P687" s="379"/>
      <c r="Q687" s="379"/>
      <c r="R687" s="379"/>
      <c r="T687" s="54"/>
      <c r="U687" s="54"/>
      <c r="V687" s="379"/>
      <c r="Y687" s="379"/>
      <c r="Z687" s="59"/>
      <c r="AA687" s="379"/>
      <c r="AB687" s="379"/>
      <c r="AC687" s="59"/>
      <c r="AD687" s="59"/>
      <c r="AE687" s="379"/>
      <c r="AF687" s="379"/>
      <c r="AG687" s="156"/>
      <c r="AH687" s="60"/>
      <c r="AI687" s="379"/>
      <c r="AJ687" s="379"/>
      <c r="AK687" s="156"/>
      <c r="AL687" s="379"/>
      <c r="AM687" s="50"/>
      <c r="AN687" s="50"/>
    </row>
    <row r="688" spans="1:40" x14ac:dyDescent="0.25">
      <c r="A688" s="53"/>
      <c r="C688" s="54"/>
      <c r="D688" s="54"/>
      <c r="E688" s="54"/>
      <c r="F688" s="379"/>
      <c r="H688" s="379"/>
      <c r="I688" s="379"/>
      <c r="J688" s="59"/>
      <c r="K688" s="59"/>
      <c r="L688" s="379"/>
      <c r="M688" s="379"/>
      <c r="N688" s="59"/>
      <c r="O688" s="59"/>
      <c r="P688" s="379"/>
      <c r="Q688" s="379"/>
      <c r="R688" s="379"/>
      <c r="T688" s="54"/>
      <c r="U688" s="54"/>
      <c r="V688" s="379"/>
      <c r="Y688" s="379"/>
      <c r="Z688" s="59"/>
      <c r="AA688" s="379"/>
      <c r="AB688" s="379"/>
      <c r="AC688" s="59"/>
      <c r="AD688" s="59"/>
      <c r="AE688" s="379"/>
      <c r="AF688" s="379"/>
      <c r="AG688" s="156"/>
      <c r="AH688" s="60"/>
      <c r="AI688" s="379"/>
      <c r="AJ688" s="379"/>
      <c r="AK688" s="156"/>
      <c r="AL688" s="379"/>
      <c r="AM688" s="50"/>
      <c r="AN688" s="50"/>
    </row>
    <row r="689" spans="1:40" x14ac:dyDescent="0.25">
      <c r="A689" s="53"/>
      <c r="C689" s="54"/>
      <c r="D689" s="54"/>
      <c r="E689" s="54"/>
      <c r="F689" s="379"/>
      <c r="H689" s="379"/>
      <c r="I689" s="379"/>
      <c r="J689" s="59"/>
      <c r="K689" s="59"/>
      <c r="L689" s="379"/>
      <c r="M689" s="379"/>
      <c r="N689" s="59"/>
      <c r="O689" s="59"/>
      <c r="P689" s="379"/>
      <c r="Q689" s="379"/>
      <c r="R689" s="379"/>
      <c r="T689" s="54"/>
      <c r="U689" s="54"/>
      <c r="V689" s="379"/>
      <c r="Y689" s="379"/>
      <c r="Z689" s="59"/>
      <c r="AA689" s="379"/>
      <c r="AB689" s="379"/>
      <c r="AC689" s="59"/>
      <c r="AD689" s="59"/>
      <c r="AE689" s="379"/>
      <c r="AF689" s="379"/>
      <c r="AG689" s="156"/>
      <c r="AH689" s="60"/>
      <c r="AI689" s="379"/>
      <c r="AJ689" s="379"/>
      <c r="AK689" s="156"/>
      <c r="AL689" s="379"/>
      <c r="AM689" s="50"/>
      <c r="AN689" s="50"/>
    </row>
    <row r="690" spans="1:40" x14ac:dyDescent="0.25">
      <c r="F690" s="381"/>
      <c r="H690" s="381"/>
      <c r="I690" s="381"/>
      <c r="J690" s="464"/>
      <c r="K690" s="464"/>
      <c r="L690" s="381"/>
      <c r="M690" s="381"/>
      <c r="N690" s="381"/>
      <c r="O690" s="381"/>
      <c r="P690" s="381"/>
      <c r="Q690" s="381"/>
      <c r="R690" s="381"/>
      <c r="V690" s="381"/>
      <c r="Y690" s="381"/>
      <c r="Z690" s="464"/>
      <c r="AA690" s="381"/>
      <c r="AB690" s="381"/>
      <c r="AC690" s="381"/>
      <c r="AD690" s="381"/>
      <c r="AE690" s="381"/>
      <c r="AF690" s="381"/>
      <c r="AI690" s="381"/>
      <c r="AJ690" s="381"/>
      <c r="AK690" s="162"/>
      <c r="AL690" s="381"/>
      <c r="AM690" s="50"/>
      <c r="AN690" s="50"/>
    </row>
    <row r="691" spans="1:40" x14ac:dyDescent="0.25">
      <c r="A691" s="53"/>
      <c r="C691" s="54"/>
      <c r="F691" s="379"/>
      <c r="H691" s="379"/>
      <c r="I691" s="379"/>
      <c r="J691" s="59"/>
      <c r="K691" s="59"/>
      <c r="L691" s="379"/>
      <c r="M691" s="379"/>
      <c r="N691" s="59"/>
      <c r="O691" s="59"/>
      <c r="P691" s="379"/>
      <c r="Q691" s="379"/>
      <c r="R691" s="379"/>
      <c r="T691" s="54"/>
      <c r="V691" s="379"/>
      <c r="Y691" s="379"/>
      <c r="Z691" s="59"/>
      <c r="AA691" s="379"/>
      <c r="AB691" s="379"/>
      <c r="AC691" s="59"/>
      <c r="AD691" s="59"/>
      <c r="AE691" s="379"/>
      <c r="AF691" s="379"/>
      <c r="AG691" s="156"/>
      <c r="AH691" s="60"/>
      <c r="AI691" s="379"/>
      <c r="AJ691" s="379"/>
      <c r="AK691" s="156"/>
      <c r="AL691" s="379"/>
      <c r="AM691" s="50"/>
      <c r="AN691" s="50"/>
    </row>
    <row r="692" spans="1:40" x14ac:dyDescent="0.25">
      <c r="F692" s="379"/>
      <c r="H692" s="379"/>
      <c r="I692" s="379"/>
      <c r="J692" s="59"/>
      <c r="K692" s="59"/>
      <c r="L692" s="379"/>
      <c r="M692" s="379"/>
      <c r="N692" s="59"/>
      <c r="O692" s="59"/>
      <c r="P692" s="379"/>
      <c r="Q692" s="379"/>
      <c r="R692" s="379"/>
      <c r="V692" s="379"/>
      <c r="Y692" s="379"/>
      <c r="Z692" s="59"/>
      <c r="AA692" s="379"/>
      <c r="AB692" s="379"/>
      <c r="AC692" s="59"/>
      <c r="AD692" s="59"/>
      <c r="AG692" s="156"/>
      <c r="AH692" s="60"/>
      <c r="AI692" s="379"/>
      <c r="AJ692" s="379"/>
      <c r="AK692" s="156"/>
      <c r="AL692" s="379"/>
      <c r="AM692" s="50"/>
      <c r="AN692" s="50"/>
    </row>
    <row r="693" spans="1:40" x14ac:dyDescent="0.25">
      <c r="A693" s="53"/>
      <c r="C693" s="54"/>
      <c r="D693" s="54"/>
      <c r="E693" s="54"/>
      <c r="F693" s="379"/>
      <c r="H693" s="379"/>
      <c r="I693" s="379"/>
      <c r="J693" s="59"/>
      <c r="K693" s="59"/>
      <c r="L693" s="379"/>
      <c r="M693" s="379"/>
      <c r="N693" s="59"/>
      <c r="O693" s="59"/>
      <c r="P693" s="379"/>
      <c r="Q693" s="379"/>
      <c r="R693" s="379"/>
      <c r="T693" s="54"/>
      <c r="U693" s="54"/>
      <c r="V693" s="379"/>
      <c r="Y693" s="379"/>
      <c r="Z693" s="59"/>
      <c r="AA693" s="379"/>
      <c r="AB693" s="379"/>
      <c r="AC693" s="59"/>
      <c r="AD693" s="59"/>
      <c r="AE693" s="379"/>
      <c r="AF693" s="379"/>
      <c r="AG693" s="156"/>
      <c r="AH693" s="60"/>
      <c r="AI693" s="379"/>
      <c r="AJ693" s="379"/>
      <c r="AK693" s="156"/>
      <c r="AL693" s="379"/>
      <c r="AM693" s="50"/>
      <c r="AN693" s="50"/>
    </row>
    <row r="694" spans="1:40" x14ac:dyDescent="0.25">
      <c r="F694" s="381"/>
      <c r="H694" s="381"/>
      <c r="I694" s="381"/>
      <c r="J694" s="464"/>
      <c r="K694" s="464"/>
      <c r="L694" s="381"/>
      <c r="M694" s="381"/>
      <c r="N694" s="381"/>
      <c r="O694" s="381"/>
      <c r="P694" s="381"/>
      <c r="Q694" s="381"/>
      <c r="R694" s="381"/>
      <c r="V694" s="381"/>
      <c r="Y694" s="381"/>
      <c r="Z694" s="464"/>
      <c r="AA694" s="381"/>
      <c r="AB694" s="381"/>
      <c r="AC694" s="381"/>
      <c r="AD694" s="381"/>
      <c r="AE694" s="381"/>
      <c r="AF694" s="381"/>
      <c r="AI694" s="381"/>
      <c r="AJ694" s="381"/>
      <c r="AK694" s="162"/>
      <c r="AL694" s="381"/>
      <c r="AM694" s="50"/>
      <c r="AN694" s="50"/>
    </row>
    <row r="695" spans="1:40" x14ac:dyDescent="0.25">
      <c r="A695" s="53"/>
      <c r="C695" s="54"/>
      <c r="F695" s="379"/>
      <c r="H695" s="379"/>
      <c r="I695" s="379"/>
      <c r="J695" s="59"/>
      <c r="K695" s="59"/>
      <c r="L695" s="379"/>
      <c r="M695" s="379"/>
      <c r="N695" s="59"/>
      <c r="O695" s="59"/>
      <c r="P695" s="379"/>
      <c r="Q695" s="379"/>
      <c r="R695" s="379"/>
      <c r="T695" s="54"/>
      <c r="V695" s="379"/>
      <c r="Y695" s="379"/>
      <c r="Z695" s="59"/>
      <c r="AA695" s="379"/>
      <c r="AB695" s="379"/>
      <c r="AC695" s="59"/>
      <c r="AD695" s="59"/>
      <c r="AE695" s="379"/>
      <c r="AF695" s="379"/>
      <c r="AG695" s="156"/>
      <c r="AH695" s="60"/>
      <c r="AI695" s="379"/>
      <c r="AJ695" s="379"/>
      <c r="AK695" s="156"/>
      <c r="AL695" s="379"/>
      <c r="AM695" s="50"/>
      <c r="AN695" s="50"/>
    </row>
    <row r="696" spans="1:40" x14ac:dyDescent="0.25">
      <c r="F696" s="379"/>
      <c r="H696" s="379"/>
      <c r="I696" s="379"/>
      <c r="J696" s="59"/>
      <c r="K696" s="59"/>
      <c r="L696" s="379"/>
      <c r="M696" s="379"/>
      <c r="N696" s="59"/>
      <c r="O696" s="59"/>
      <c r="P696" s="379"/>
      <c r="Q696" s="379"/>
      <c r="R696" s="379"/>
      <c r="V696" s="379"/>
      <c r="Y696" s="379"/>
      <c r="Z696" s="59"/>
      <c r="AA696" s="379"/>
      <c r="AB696" s="379"/>
      <c r="AC696" s="59"/>
      <c r="AD696" s="59"/>
      <c r="AG696" s="156"/>
      <c r="AH696" s="60"/>
      <c r="AI696" s="379"/>
      <c r="AJ696" s="379"/>
      <c r="AK696" s="156"/>
      <c r="AL696" s="379"/>
      <c r="AM696" s="50"/>
      <c r="AN696" s="50"/>
    </row>
    <row r="697" spans="1:40" x14ac:dyDescent="0.25">
      <c r="A697" s="53"/>
      <c r="C697" s="54"/>
      <c r="D697" s="54"/>
      <c r="E697" s="54"/>
      <c r="F697" s="379"/>
      <c r="H697" s="379"/>
      <c r="I697" s="379"/>
      <c r="J697" s="59"/>
      <c r="K697" s="59"/>
      <c r="L697" s="379"/>
      <c r="M697" s="379"/>
      <c r="N697" s="59"/>
      <c r="O697" s="59"/>
      <c r="P697" s="379"/>
      <c r="Q697" s="379"/>
      <c r="R697" s="379"/>
      <c r="T697" s="54"/>
      <c r="U697" s="54"/>
      <c r="V697" s="379"/>
      <c r="Y697" s="379"/>
      <c r="Z697" s="59"/>
      <c r="AA697" s="379"/>
      <c r="AB697" s="379"/>
      <c r="AC697" s="59"/>
      <c r="AD697" s="59"/>
      <c r="AE697" s="379"/>
      <c r="AF697" s="379"/>
      <c r="AG697" s="156"/>
      <c r="AH697" s="60"/>
      <c r="AI697" s="379"/>
      <c r="AJ697" s="379"/>
      <c r="AK697" s="156"/>
      <c r="AL697" s="379"/>
      <c r="AM697" s="50"/>
      <c r="AN697" s="50"/>
    </row>
    <row r="698" spans="1:40" x14ac:dyDescent="0.25">
      <c r="A698" s="53"/>
      <c r="C698" s="54"/>
      <c r="D698" s="54"/>
      <c r="E698" s="54"/>
      <c r="F698" s="379"/>
      <c r="G698" s="379"/>
      <c r="H698" s="379"/>
      <c r="I698" s="379"/>
      <c r="J698" s="59"/>
      <c r="K698" s="59"/>
      <c r="L698" s="379"/>
      <c r="M698" s="379"/>
      <c r="N698" s="59"/>
      <c r="O698" s="59"/>
      <c r="P698" s="379"/>
      <c r="Q698" s="379"/>
      <c r="R698" s="379"/>
      <c r="T698" s="54"/>
      <c r="U698" s="54"/>
      <c r="V698" s="379"/>
      <c r="W698" s="379"/>
      <c r="X698" s="379"/>
      <c r="Y698" s="379"/>
      <c r="Z698" s="59"/>
      <c r="AA698" s="379"/>
      <c r="AB698" s="379"/>
      <c r="AC698" s="59"/>
      <c r="AD698" s="59"/>
      <c r="AE698" s="379"/>
      <c r="AF698" s="379"/>
      <c r="AG698" s="156"/>
      <c r="AH698" s="60"/>
      <c r="AI698" s="379"/>
      <c r="AJ698" s="379"/>
      <c r="AK698" s="156"/>
      <c r="AL698" s="379"/>
      <c r="AM698" s="50"/>
      <c r="AN698" s="50"/>
    </row>
    <row r="699" spans="1:40" x14ac:dyDescent="0.25">
      <c r="A699" s="53"/>
      <c r="C699" s="54"/>
      <c r="D699" s="54"/>
      <c r="E699" s="54"/>
      <c r="F699" s="379"/>
      <c r="G699" s="379"/>
      <c r="H699" s="379"/>
      <c r="I699" s="379"/>
      <c r="J699" s="59"/>
      <c r="K699" s="59"/>
      <c r="L699" s="379"/>
      <c r="M699" s="379"/>
      <c r="N699" s="59"/>
      <c r="O699" s="59"/>
      <c r="P699" s="379"/>
      <c r="Q699" s="379"/>
      <c r="R699" s="379"/>
      <c r="T699" s="54"/>
      <c r="U699" s="54"/>
      <c r="V699" s="379"/>
      <c r="W699" s="379"/>
      <c r="X699" s="379"/>
      <c r="Y699" s="379"/>
      <c r="Z699" s="59"/>
      <c r="AA699" s="379"/>
      <c r="AB699" s="379"/>
      <c r="AC699" s="59"/>
      <c r="AD699" s="59"/>
      <c r="AE699" s="379"/>
      <c r="AF699" s="379"/>
      <c r="AG699" s="156"/>
      <c r="AH699" s="60"/>
      <c r="AI699" s="379"/>
      <c r="AJ699" s="379"/>
      <c r="AK699" s="156"/>
      <c r="AL699" s="379"/>
      <c r="AM699" s="50"/>
      <c r="AN699" s="50"/>
    </row>
    <row r="700" spans="1:40" x14ac:dyDescent="0.25">
      <c r="A700" s="53"/>
      <c r="C700" s="54"/>
      <c r="D700" s="54"/>
      <c r="E700" s="54"/>
      <c r="F700" s="379"/>
      <c r="H700" s="379"/>
      <c r="I700" s="379"/>
      <c r="J700" s="59"/>
      <c r="K700" s="59"/>
      <c r="L700" s="379"/>
      <c r="M700" s="379"/>
      <c r="N700" s="59"/>
      <c r="O700" s="59"/>
      <c r="P700" s="379"/>
      <c r="Q700" s="379"/>
      <c r="R700" s="379"/>
      <c r="T700" s="54"/>
      <c r="U700" s="54"/>
      <c r="V700" s="379"/>
      <c r="Y700" s="379"/>
      <c r="Z700" s="59"/>
      <c r="AA700" s="379"/>
      <c r="AB700" s="379"/>
      <c r="AC700" s="59"/>
      <c r="AD700" s="59"/>
      <c r="AE700" s="379"/>
      <c r="AF700" s="379"/>
      <c r="AG700" s="156"/>
      <c r="AH700" s="60"/>
      <c r="AI700" s="379"/>
      <c r="AJ700" s="379"/>
      <c r="AK700" s="156"/>
      <c r="AL700" s="379"/>
      <c r="AM700" s="50"/>
      <c r="AN700" s="50"/>
    </row>
    <row r="701" spans="1:40" x14ac:dyDescent="0.25">
      <c r="A701" s="53"/>
      <c r="C701" s="54"/>
      <c r="D701" s="54"/>
      <c r="E701" s="54"/>
      <c r="F701" s="379"/>
      <c r="H701" s="379"/>
      <c r="I701" s="379"/>
      <c r="J701" s="59"/>
      <c r="K701" s="59"/>
      <c r="L701" s="379"/>
      <c r="M701" s="379"/>
      <c r="N701" s="59"/>
      <c r="O701" s="59"/>
      <c r="P701" s="379"/>
      <c r="Q701" s="379"/>
      <c r="R701" s="379"/>
      <c r="T701" s="54"/>
      <c r="U701" s="54"/>
      <c r="V701" s="379"/>
      <c r="Y701" s="379"/>
      <c r="Z701" s="59"/>
      <c r="AA701" s="379"/>
      <c r="AB701" s="379"/>
      <c r="AC701" s="59"/>
      <c r="AD701" s="59"/>
      <c r="AE701" s="379"/>
      <c r="AF701" s="379"/>
      <c r="AG701" s="156"/>
      <c r="AH701" s="60"/>
      <c r="AI701" s="379"/>
      <c r="AJ701" s="379"/>
      <c r="AK701" s="156"/>
      <c r="AL701" s="379"/>
      <c r="AM701" s="50"/>
      <c r="AN701" s="50"/>
    </row>
    <row r="702" spans="1:40" x14ac:dyDescent="0.25">
      <c r="A702" s="53"/>
      <c r="C702" s="54"/>
      <c r="D702" s="54"/>
      <c r="E702" s="54"/>
      <c r="F702" s="379"/>
      <c r="H702" s="379"/>
      <c r="I702" s="379"/>
      <c r="J702" s="59"/>
      <c r="K702" s="59"/>
      <c r="L702" s="379"/>
      <c r="M702" s="379"/>
      <c r="N702" s="59"/>
      <c r="O702" s="59"/>
      <c r="P702" s="379"/>
      <c r="Q702" s="379"/>
      <c r="R702" s="379"/>
      <c r="T702" s="54"/>
      <c r="U702" s="54"/>
      <c r="V702" s="379"/>
      <c r="Y702" s="379"/>
      <c r="Z702" s="59"/>
      <c r="AA702" s="379"/>
      <c r="AB702" s="379"/>
      <c r="AC702" s="59"/>
      <c r="AD702" s="59"/>
      <c r="AE702" s="379"/>
      <c r="AF702" s="379"/>
      <c r="AG702" s="156"/>
      <c r="AH702" s="60"/>
      <c r="AI702" s="379"/>
      <c r="AJ702" s="379"/>
      <c r="AK702" s="156"/>
      <c r="AL702" s="379"/>
      <c r="AM702" s="50"/>
      <c r="AN702" s="50"/>
    </row>
    <row r="703" spans="1:40" x14ac:dyDescent="0.25">
      <c r="A703" s="53"/>
      <c r="C703" s="54"/>
      <c r="D703" s="54"/>
      <c r="E703" s="54"/>
      <c r="F703" s="379"/>
      <c r="H703" s="379"/>
      <c r="I703" s="379"/>
      <c r="J703" s="59"/>
      <c r="K703" s="59"/>
      <c r="L703" s="379"/>
      <c r="M703" s="379"/>
      <c r="N703" s="59"/>
      <c r="O703" s="59"/>
      <c r="P703" s="379"/>
      <c r="Q703" s="379"/>
      <c r="R703" s="379"/>
      <c r="T703" s="54"/>
      <c r="U703" s="54"/>
      <c r="V703" s="379"/>
      <c r="Y703" s="379"/>
      <c r="Z703" s="59"/>
      <c r="AA703" s="379"/>
      <c r="AB703" s="379"/>
      <c r="AC703" s="59"/>
      <c r="AD703" s="59"/>
      <c r="AE703" s="379"/>
      <c r="AF703" s="379"/>
      <c r="AG703" s="156"/>
      <c r="AH703" s="60"/>
      <c r="AI703" s="379"/>
      <c r="AJ703" s="379"/>
      <c r="AK703" s="156"/>
      <c r="AL703" s="379"/>
      <c r="AM703" s="50"/>
      <c r="AN703" s="50"/>
    </row>
    <row r="704" spans="1:40" x14ac:dyDescent="0.25">
      <c r="F704" s="381"/>
      <c r="H704" s="381"/>
      <c r="I704" s="381"/>
      <c r="J704" s="464"/>
      <c r="K704" s="464"/>
      <c r="L704" s="381"/>
      <c r="M704" s="381"/>
      <c r="N704" s="381"/>
      <c r="O704" s="381"/>
      <c r="P704" s="381"/>
      <c r="Q704" s="381"/>
      <c r="R704" s="381"/>
      <c r="V704" s="381"/>
      <c r="Y704" s="381"/>
      <c r="Z704" s="464"/>
      <c r="AA704" s="381"/>
      <c r="AB704" s="381"/>
      <c r="AC704" s="381"/>
      <c r="AD704" s="381"/>
      <c r="AE704" s="381"/>
      <c r="AF704" s="381"/>
      <c r="AI704" s="381"/>
      <c r="AJ704" s="381"/>
      <c r="AK704" s="162"/>
      <c r="AL704" s="381"/>
      <c r="AM704" s="50"/>
      <c r="AN704" s="50"/>
    </row>
    <row r="705" spans="1:40" x14ac:dyDescent="0.25">
      <c r="A705" s="53"/>
      <c r="C705" s="54"/>
      <c r="F705" s="379"/>
      <c r="H705" s="379"/>
      <c r="I705" s="379"/>
      <c r="J705" s="59"/>
      <c r="K705" s="59"/>
      <c r="L705" s="379"/>
      <c r="M705" s="379"/>
      <c r="N705" s="59"/>
      <c r="O705" s="59"/>
      <c r="P705" s="379"/>
      <c r="Q705" s="379"/>
      <c r="R705" s="379"/>
      <c r="T705" s="54"/>
      <c r="V705" s="379"/>
      <c r="Y705" s="379"/>
      <c r="Z705" s="59"/>
      <c r="AA705" s="379"/>
      <c r="AB705" s="379"/>
      <c r="AC705" s="59"/>
      <c r="AD705" s="59"/>
      <c r="AE705" s="379"/>
      <c r="AF705" s="379"/>
      <c r="AG705" s="156"/>
      <c r="AH705" s="60"/>
      <c r="AI705" s="379"/>
      <c r="AJ705" s="379"/>
      <c r="AK705" s="156"/>
      <c r="AL705" s="379"/>
      <c r="AM705" s="50"/>
      <c r="AN705" s="50"/>
    </row>
    <row r="706" spans="1:40" x14ac:dyDescent="0.25">
      <c r="V706" s="379"/>
      <c r="Y706" s="379"/>
      <c r="Z706" s="464"/>
      <c r="AA706" s="379"/>
      <c r="AB706" s="379"/>
      <c r="AC706" s="379"/>
      <c r="AD706" s="379"/>
      <c r="AE706" s="379"/>
      <c r="AF706" s="379"/>
      <c r="AI706" s="379"/>
      <c r="AJ706" s="379"/>
      <c r="AK706" s="156"/>
      <c r="AL706" s="379"/>
      <c r="AM706" s="50"/>
      <c r="AN706" s="50"/>
    </row>
    <row r="707" spans="1:40" x14ac:dyDescent="0.25">
      <c r="A707" s="53"/>
      <c r="C707" s="54"/>
      <c r="D707" s="54"/>
      <c r="E707" s="54"/>
      <c r="L707" s="379"/>
      <c r="M707" s="379"/>
      <c r="N707" s="59"/>
      <c r="O707" s="59"/>
      <c r="P707" s="53"/>
      <c r="Q707" s="53"/>
      <c r="R707" s="379"/>
      <c r="T707" s="54"/>
      <c r="U707" s="54"/>
      <c r="AA707" s="379"/>
      <c r="AB707" s="379"/>
      <c r="AC707" s="59"/>
      <c r="AD707" s="59"/>
      <c r="AE707" s="379"/>
      <c r="AF707" s="379"/>
      <c r="AG707" s="156"/>
      <c r="AH707" s="60"/>
      <c r="AI707" s="53"/>
      <c r="AJ707" s="53"/>
      <c r="AK707" s="156"/>
      <c r="AL707" s="379"/>
      <c r="AM707" s="50"/>
      <c r="AN707" s="50"/>
    </row>
    <row r="708" spans="1:40" x14ac:dyDescent="0.25">
      <c r="A708" s="53"/>
      <c r="D708" s="54"/>
      <c r="E708" s="54"/>
      <c r="F708" s="449"/>
      <c r="H708" s="449"/>
      <c r="I708" s="449"/>
      <c r="J708" s="59"/>
      <c r="K708" s="59"/>
      <c r="L708" s="379"/>
      <c r="M708" s="379"/>
      <c r="N708" s="59"/>
      <c r="O708" s="59"/>
      <c r="P708" s="449"/>
      <c r="Q708" s="449"/>
      <c r="R708" s="379"/>
      <c r="U708" s="54"/>
      <c r="V708" s="379"/>
      <c r="Y708" s="379"/>
      <c r="Z708" s="59"/>
      <c r="AA708" s="379"/>
      <c r="AB708" s="379"/>
      <c r="AC708" s="59"/>
      <c r="AD708" s="59"/>
      <c r="AE708" s="379"/>
      <c r="AF708" s="379"/>
      <c r="AG708" s="156"/>
      <c r="AH708" s="60"/>
      <c r="AI708" s="379"/>
      <c r="AJ708" s="379"/>
      <c r="AK708" s="156"/>
      <c r="AL708" s="379"/>
      <c r="AM708" s="50"/>
      <c r="AN708" s="50"/>
    </row>
    <row r="709" spans="1:40" x14ac:dyDescent="0.25">
      <c r="F709" s="381"/>
      <c r="H709" s="381"/>
      <c r="I709" s="381"/>
      <c r="J709" s="464"/>
      <c r="K709" s="464"/>
      <c r="L709" s="381"/>
      <c r="M709" s="381"/>
      <c r="N709" s="381"/>
      <c r="O709" s="381"/>
      <c r="P709" s="381"/>
      <c r="Q709" s="381"/>
      <c r="R709" s="381"/>
      <c r="V709" s="381"/>
      <c r="Y709" s="381"/>
      <c r="Z709" s="464"/>
      <c r="AA709" s="381"/>
      <c r="AB709" s="381"/>
      <c r="AC709" s="381"/>
      <c r="AD709" s="381"/>
      <c r="AE709" s="381"/>
      <c r="AF709" s="381"/>
      <c r="AI709" s="381"/>
      <c r="AJ709" s="381"/>
      <c r="AK709" s="162"/>
      <c r="AL709" s="381"/>
      <c r="AM709" s="50"/>
      <c r="AN709" s="50"/>
    </row>
    <row r="710" spans="1:40" x14ac:dyDescent="0.25">
      <c r="A710" s="53"/>
      <c r="C710" s="54"/>
      <c r="F710" s="379"/>
      <c r="H710" s="379"/>
      <c r="I710" s="379"/>
      <c r="J710" s="59"/>
      <c r="K710" s="59"/>
      <c r="L710" s="379"/>
      <c r="M710" s="379"/>
      <c r="N710" s="59"/>
      <c r="O710" s="59"/>
      <c r="P710" s="379"/>
      <c r="Q710" s="379"/>
      <c r="R710" s="379"/>
      <c r="T710" s="54"/>
      <c r="V710" s="379"/>
      <c r="Y710" s="379"/>
      <c r="Z710" s="59"/>
      <c r="AA710" s="379"/>
      <c r="AB710" s="379"/>
      <c r="AC710" s="59"/>
      <c r="AD710" s="59"/>
      <c r="AE710" s="379"/>
      <c r="AF710" s="379"/>
      <c r="AG710" s="156"/>
      <c r="AH710" s="60"/>
      <c r="AI710" s="379"/>
      <c r="AJ710" s="379"/>
      <c r="AK710" s="156"/>
      <c r="AL710" s="379"/>
      <c r="AM710" s="50"/>
      <c r="AN710" s="50"/>
    </row>
    <row r="711" spans="1:40" x14ac:dyDescent="0.25">
      <c r="F711" s="379"/>
      <c r="H711" s="379"/>
      <c r="I711" s="379"/>
      <c r="J711" s="59"/>
      <c r="K711" s="59"/>
      <c r="L711" s="379"/>
      <c r="M711" s="379"/>
      <c r="N711" s="59"/>
      <c r="O711" s="59"/>
      <c r="P711" s="379"/>
      <c r="Q711" s="379"/>
      <c r="R711" s="379"/>
      <c r="V711" s="379"/>
      <c r="Y711" s="379"/>
      <c r="Z711" s="59"/>
      <c r="AA711" s="379"/>
      <c r="AB711" s="379"/>
      <c r="AC711" s="59"/>
      <c r="AD711" s="59"/>
      <c r="AG711" s="156"/>
      <c r="AH711" s="60"/>
      <c r="AI711" s="379"/>
      <c r="AJ711" s="379"/>
      <c r="AK711" s="156"/>
      <c r="AL711" s="379"/>
      <c r="AM711" s="50"/>
      <c r="AN711" s="50"/>
    </row>
    <row r="712" spans="1:40" x14ac:dyDescent="0.25">
      <c r="A712" s="53"/>
      <c r="D712" s="54"/>
      <c r="E712" s="54"/>
      <c r="F712" s="379"/>
      <c r="H712" s="379"/>
      <c r="I712" s="379"/>
      <c r="J712" s="59"/>
      <c r="K712" s="59"/>
      <c r="L712" s="449"/>
      <c r="M712" s="449"/>
      <c r="N712" s="59"/>
      <c r="O712" s="59"/>
      <c r="P712" s="379"/>
      <c r="Q712" s="379"/>
      <c r="R712" s="379"/>
      <c r="U712" s="54"/>
      <c r="V712" s="379"/>
      <c r="Y712" s="379"/>
      <c r="Z712" s="59"/>
      <c r="AA712" s="449"/>
      <c r="AB712" s="449"/>
      <c r="AC712" s="59"/>
      <c r="AD712" s="59"/>
      <c r="AE712" s="379"/>
      <c r="AF712" s="379"/>
      <c r="AG712" s="156"/>
      <c r="AH712" s="60"/>
      <c r="AI712" s="379"/>
      <c r="AJ712" s="379"/>
      <c r="AK712" s="156"/>
      <c r="AL712" s="379"/>
      <c r="AM712" s="50"/>
      <c r="AN712" s="50"/>
    </row>
    <row r="713" spans="1:40" x14ac:dyDescent="0.25">
      <c r="A713" s="53"/>
      <c r="D713" s="54"/>
      <c r="E713" s="54"/>
      <c r="F713" s="379"/>
      <c r="H713" s="379"/>
      <c r="I713" s="379"/>
      <c r="J713" s="59"/>
      <c r="K713" s="59"/>
      <c r="L713" s="449"/>
      <c r="M713" s="449"/>
      <c r="N713" s="59"/>
      <c r="O713" s="59"/>
      <c r="P713" s="379"/>
      <c r="Q713" s="379"/>
      <c r="R713" s="379"/>
      <c r="U713" s="54"/>
      <c r="V713" s="379"/>
      <c r="Y713" s="379"/>
      <c r="Z713" s="59"/>
      <c r="AA713" s="449"/>
      <c r="AB713" s="449"/>
      <c r="AC713" s="59"/>
      <c r="AD713" s="59"/>
      <c r="AE713" s="379"/>
      <c r="AF713" s="379"/>
      <c r="AG713" s="156"/>
      <c r="AH713" s="60"/>
      <c r="AI713" s="379"/>
      <c r="AJ713" s="379"/>
      <c r="AK713" s="156"/>
      <c r="AL713" s="379"/>
      <c r="AM713" s="50"/>
      <c r="AN713" s="50"/>
    </row>
    <row r="714" spans="1:40" x14ac:dyDescent="0.25">
      <c r="A714" s="53"/>
      <c r="D714" s="54"/>
      <c r="E714" s="54"/>
      <c r="F714" s="379"/>
      <c r="H714" s="379"/>
      <c r="I714" s="379"/>
      <c r="J714" s="59"/>
      <c r="K714" s="59"/>
      <c r="L714" s="449"/>
      <c r="M714" s="449"/>
      <c r="N714" s="59"/>
      <c r="O714" s="59"/>
      <c r="P714" s="379"/>
      <c r="Q714" s="379"/>
      <c r="R714" s="379"/>
      <c r="U714" s="54"/>
      <c r="V714" s="379"/>
      <c r="Y714" s="379"/>
      <c r="Z714" s="59"/>
      <c r="AA714" s="449"/>
      <c r="AB714" s="449"/>
      <c r="AC714" s="59"/>
      <c r="AD714" s="59"/>
      <c r="AE714" s="379"/>
      <c r="AF714" s="379"/>
      <c r="AG714" s="156"/>
      <c r="AH714" s="60"/>
      <c r="AI714" s="379"/>
      <c r="AJ714" s="379"/>
      <c r="AK714" s="156"/>
      <c r="AL714" s="379"/>
      <c r="AM714" s="50"/>
      <c r="AN714" s="50"/>
    </row>
    <row r="715" spans="1:40" x14ac:dyDescent="0.25">
      <c r="F715" s="381"/>
      <c r="H715" s="381"/>
      <c r="I715" s="381"/>
      <c r="J715" s="464"/>
      <c r="K715" s="464"/>
      <c r="L715" s="381"/>
      <c r="M715" s="381"/>
      <c r="N715" s="381"/>
      <c r="O715" s="381"/>
      <c r="P715" s="381"/>
      <c r="Q715" s="381"/>
      <c r="R715" s="381"/>
      <c r="V715" s="381"/>
      <c r="Y715" s="381"/>
      <c r="Z715" s="464"/>
      <c r="AA715" s="381"/>
      <c r="AB715" s="381"/>
      <c r="AC715" s="381"/>
      <c r="AD715" s="381"/>
      <c r="AE715" s="381"/>
      <c r="AF715" s="381"/>
      <c r="AI715" s="381"/>
      <c r="AJ715" s="381"/>
      <c r="AK715" s="162"/>
      <c r="AL715" s="381"/>
      <c r="AM715" s="50"/>
      <c r="AN715" s="50"/>
    </row>
    <row r="716" spans="1:40" x14ac:dyDescent="0.25">
      <c r="A716" s="53"/>
      <c r="C716" s="54"/>
      <c r="F716" s="379"/>
      <c r="H716" s="379"/>
      <c r="I716" s="379"/>
      <c r="J716" s="59"/>
      <c r="K716" s="59"/>
      <c r="L716" s="379"/>
      <c r="M716" s="379"/>
      <c r="N716" s="59"/>
      <c r="O716" s="59"/>
      <c r="P716" s="379"/>
      <c r="Q716" s="379"/>
      <c r="R716" s="379"/>
      <c r="T716" s="54"/>
      <c r="V716" s="379"/>
      <c r="Y716" s="379"/>
      <c r="Z716" s="59"/>
      <c r="AA716" s="379"/>
      <c r="AB716" s="379"/>
      <c r="AC716" s="59"/>
      <c r="AD716" s="59"/>
      <c r="AE716" s="379"/>
      <c r="AF716" s="379"/>
      <c r="AG716" s="156"/>
      <c r="AH716" s="60"/>
      <c r="AI716" s="379"/>
      <c r="AJ716" s="379"/>
      <c r="AK716" s="156"/>
      <c r="AL716" s="379"/>
      <c r="AM716" s="50"/>
      <c r="AN716" s="50"/>
    </row>
    <row r="717" spans="1:40" x14ac:dyDescent="0.25">
      <c r="F717" s="379"/>
      <c r="H717" s="379"/>
      <c r="I717" s="379"/>
      <c r="J717" s="59"/>
      <c r="K717" s="59"/>
      <c r="L717" s="379"/>
      <c r="M717" s="379"/>
      <c r="N717" s="59"/>
      <c r="O717" s="59"/>
      <c r="P717" s="379"/>
      <c r="Q717" s="379"/>
      <c r="R717" s="379"/>
      <c r="V717" s="379"/>
      <c r="Y717" s="379"/>
      <c r="Z717" s="59"/>
      <c r="AA717" s="379"/>
      <c r="AB717" s="379"/>
      <c r="AC717" s="59"/>
      <c r="AD717" s="59"/>
      <c r="AG717" s="156"/>
      <c r="AH717" s="60"/>
      <c r="AI717" s="379"/>
      <c r="AJ717" s="379"/>
      <c r="AK717" s="156"/>
      <c r="AL717" s="379"/>
      <c r="AM717" s="50"/>
      <c r="AN717" s="50"/>
    </row>
    <row r="718" spans="1:40" x14ac:dyDescent="0.25">
      <c r="A718" s="53"/>
      <c r="C718" s="54"/>
      <c r="F718" s="379"/>
      <c r="H718" s="379"/>
      <c r="I718" s="379"/>
      <c r="J718" s="59"/>
      <c r="K718" s="59"/>
      <c r="L718" s="379"/>
      <c r="M718" s="379"/>
      <c r="N718" s="59"/>
      <c r="O718" s="59"/>
      <c r="P718" s="379"/>
      <c r="Q718" s="379"/>
      <c r="R718" s="379"/>
      <c r="T718" s="54"/>
      <c r="V718" s="379"/>
      <c r="Y718" s="379"/>
      <c r="Z718" s="59"/>
      <c r="AA718" s="379"/>
      <c r="AB718" s="379"/>
      <c r="AC718" s="59"/>
      <c r="AD718" s="59"/>
      <c r="AE718" s="379"/>
      <c r="AF718" s="379"/>
      <c r="AG718" s="156"/>
      <c r="AH718" s="60"/>
      <c r="AI718" s="379"/>
      <c r="AJ718" s="379"/>
      <c r="AK718" s="156"/>
      <c r="AL718" s="379"/>
      <c r="AM718" s="50"/>
      <c r="AN718" s="50"/>
    </row>
    <row r="719" spans="1:40" x14ac:dyDescent="0.25">
      <c r="F719" s="381"/>
      <c r="H719" s="381"/>
      <c r="I719" s="381"/>
      <c r="J719" s="464"/>
      <c r="K719" s="464"/>
      <c r="L719" s="381"/>
      <c r="M719" s="381"/>
      <c r="N719" s="381"/>
      <c r="O719" s="381"/>
      <c r="P719" s="381"/>
      <c r="Q719" s="381"/>
      <c r="R719" s="381"/>
      <c r="V719" s="381"/>
      <c r="Y719" s="381"/>
      <c r="Z719" s="464"/>
      <c r="AA719" s="381"/>
      <c r="AB719" s="381"/>
      <c r="AC719" s="381"/>
      <c r="AD719" s="381"/>
      <c r="AE719" s="381"/>
      <c r="AF719" s="381"/>
      <c r="AI719" s="381"/>
      <c r="AJ719" s="381"/>
      <c r="AK719" s="162"/>
      <c r="AL719" s="381"/>
    </row>
    <row r="721" spans="1:20" x14ac:dyDescent="0.25">
      <c r="C721" s="54"/>
      <c r="L721" s="379"/>
      <c r="M721" s="379"/>
      <c r="P721" s="379"/>
      <c r="Q721" s="379"/>
      <c r="R721" s="379"/>
      <c r="T721" s="54"/>
    </row>
    <row r="722" spans="1:20" x14ac:dyDescent="0.25">
      <c r="A722" s="54"/>
      <c r="L722" s="379"/>
      <c r="M722" s="379"/>
      <c r="P722" s="379"/>
      <c r="Q722" s="379"/>
      <c r="R722" s="379"/>
    </row>
    <row r="723" spans="1:20" x14ac:dyDescent="0.25">
      <c r="L723" s="379"/>
      <c r="M723" s="379"/>
      <c r="P723" s="379"/>
      <c r="Q723" s="379"/>
      <c r="R723" s="379"/>
    </row>
    <row r="724" spans="1:20" x14ac:dyDescent="0.25">
      <c r="L724" s="379"/>
      <c r="M724" s="379"/>
      <c r="P724" s="379"/>
      <c r="Q724" s="379"/>
      <c r="R724" s="379"/>
    </row>
    <row r="725" spans="1:20" x14ac:dyDescent="0.25">
      <c r="L725" s="379"/>
      <c r="M725" s="379"/>
      <c r="P725" s="379"/>
      <c r="Q725" s="379"/>
      <c r="R725" s="379"/>
    </row>
    <row r="726" spans="1:20" x14ac:dyDescent="0.25">
      <c r="L726" s="379"/>
      <c r="M726" s="379"/>
      <c r="P726" s="379"/>
      <c r="Q726" s="379"/>
      <c r="R726" s="379"/>
    </row>
    <row r="727" spans="1:20" x14ac:dyDescent="0.25">
      <c r="L727" s="379"/>
      <c r="M727" s="379"/>
      <c r="P727" s="379"/>
      <c r="Q727" s="379"/>
      <c r="R727" s="379"/>
    </row>
    <row r="760" spans="49:49" x14ac:dyDescent="0.25">
      <c r="AW760" s="379"/>
    </row>
    <row r="761" spans="49:49" x14ac:dyDescent="0.25">
      <c r="AW761" s="379"/>
    </row>
    <row r="762" spans="49:49" x14ac:dyDescent="0.25">
      <c r="AW762" s="379"/>
    </row>
    <row r="763" spans="49:49" x14ac:dyDescent="0.25">
      <c r="AW763" s="379"/>
    </row>
    <row r="764" spans="49:49" x14ac:dyDescent="0.25">
      <c r="AW764" s="379"/>
    </row>
    <row r="765" spans="49:49" x14ac:dyDescent="0.25">
      <c r="AW765" s="379"/>
    </row>
    <row r="768" spans="49:49" x14ac:dyDescent="0.25">
      <c r="AW768" s="379"/>
    </row>
    <row r="769" spans="49:49" x14ac:dyDescent="0.25">
      <c r="AW769" s="379"/>
    </row>
    <row r="770" spans="49:49" x14ac:dyDescent="0.25">
      <c r="AW770" s="379"/>
    </row>
    <row r="771" spans="49:49" x14ac:dyDescent="0.25">
      <c r="AW771" s="379"/>
    </row>
    <row r="772" spans="49:49" x14ac:dyDescent="0.25">
      <c r="AW772" s="379"/>
    </row>
    <row r="773" spans="49:49" x14ac:dyDescent="0.25">
      <c r="AW773" s="379"/>
    </row>
    <row r="774" spans="49:49" x14ac:dyDescent="0.25">
      <c r="AW774" s="379"/>
    </row>
    <row r="775" spans="49:49" x14ac:dyDescent="0.25">
      <c r="AW775" s="379"/>
    </row>
    <row r="778" spans="49:49" x14ac:dyDescent="0.25">
      <c r="AW778" s="379"/>
    </row>
    <row r="779" spans="49:49" x14ac:dyDescent="0.25">
      <c r="AW779" s="379"/>
    </row>
    <row r="782" spans="49:49" x14ac:dyDescent="0.25">
      <c r="AW782" s="379"/>
    </row>
    <row r="783" spans="49:49" x14ac:dyDescent="0.25">
      <c r="AW783" s="379"/>
    </row>
    <row r="784" spans="49:49" x14ac:dyDescent="0.25">
      <c r="AW784" s="379"/>
    </row>
    <row r="785" spans="45:57" x14ac:dyDescent="0.25">
      <c r="AW785" s="379"/>
    </row>
    <row r="791" spans="45:57" x14ac:dyDescent="0.25">
      <c r="AY791" s="53"/>
    </row>
    <row r="792" spans="45:57" x14ac:dyDescent="0.25">
      <c r="AY792" s="53"/>
    </row>
    <row r="793" spans="45:57" x14ac:dyDescent="0.25">
      <c r="AY793" s="54"/>
    </row>
    <row r="794" spans="45:57" x14ac:dyDescent="0.25">
      <c r="AY794" s="54"/>
    </row>
    <row r="795" spans="45:57" x14ac:dyDescent="0.25">
      <c r="AS795" s="53"/>
      <c r="BD795" s="54"/>
    </row>
    <row r="796" spans="45:57" x14ac:dyDescent="0.25">
      <c r="AS796" s="53"/>
      <c r="BD796" s="54"/>
    </row>
    <row r="797" spans="45:57" x14ac:dyDescent="0.25">
      <c r="AS797" s="54"/>
      <c r="BD797" s="54"/>
    </row>
    <row r="798" spans="45:57" x14ac:dyDescent="0.25">
      <c r="BD798" s="53"/>
    </row>
    <row r="799" spans="45:57" x14ac:dyDescent="0.25"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</row>
    <row r="800" spans="45:57" x14ac:dyDescent="0.25">
      <c r="AX800" s="54"/>
    </row>
    <row r="801" spans="45:69" x14ac:dyDescent="0.25">
      <c r="AX801" s="55"/>
      <c r="AY801" s="55"/>
      <c r="AZ801" s="55"/>
      <c r="BA801" s="55"/>
      <c r="BC801" s="56"/>
      <c r="BD801" s="56"/>
    </row>
    <row r="802" spans="45:69" x14ac:dyDescent="0.25">
      <c r="AV802" s="56"/>
      <c r="AW802" s="56"/>
      <c r="AZ802" s="56"/>
      <c r="BA802" s="56"/>
      <c r="BC802" s="56"/>
      <c r="BD802" s="56"/>
      <c r="BE802" s="56"/>
      <c r="BG802" s="55"/>
      <c r="BH802" s="54"/>
      <c r="BK802" s="55"/>
      <c r="BM802" s="55"/>
      <c r="BN802" s="54"/>
      <c r="BQ802" s="55"/>
    </row>
    <row r="803" spans="45:69" x14ac:dyDescent="0.25"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H803" s="56"/>
      <c r="BI803" s="56"/>
      <c r="BJ803" s="56"/>
      <c r="BN803" s="56"/>
      <c r="BO803" s="56"/>
      <c r="BP803" s="56"/>
    </row>
    <row r="804" spans="45:69" x14ac:dyDescent="0.25">
      <c r="AS804" s="56"/>
      <c r="AU804" s="54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G804" s="56"/>
      <c r="BH804" s="56"/>
      <c r="BI804" s="56"/>
      <c r="BJ804" s="56"/>
      <c r="BK804" s="56"/>
      <c r="BM804" s="56"/>
      <c r="BN804" s="56"/>
      <c r="BO804" s="56"/>
      <c r="BP804" s="56"/>
      <c r="BQ804" s="56"/>
    </row>
    <row r="805" spans="45:69" x14ac:dyDescent="0.25">
      <c r="AS805" s="56"/>
      <c r="AU805" s="54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G805" s="56"/>
      <c r="BH805" s="56"/>
      <c r="BI805" s="56"/>
      <c r="BJ805" s="56"/>
      <c r="BK805" s="56"/>
      <c r="BM805" s="56"/>
      <c r="BN805" s="56"/>
      <c r="BO805" s="56"/>
      <c r="BP805" s="56"/>
      <c r="BQ805" s="56"/>
    </row>
    <row r="806" spans="45:69" x14ac:dyDescent="0.25"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G806" s="55"/>
      <c r="BH806" s="55"/>
      <c r="BI806" s="55"/>
      <c r="BJ806" s="55"/>
      <c r="BK806" s="55"/>
      <c r="BM806" s="55"/>
      <c r="BN806" s="55"/>
      <c r="BO806" s="55"/>
      <c r="BP806" s="55"/>
      <c r="BQ806" s="55"/>
    </row>
    <row r="807" spans="45:69" x14ac:dyDescent="0.25"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</row>
    <row r="808" spans="45:69" x14ac:dyDescent="0.25">
      <c r="AS808" s="53"/>
      <c r="AU808" s="54"/>
      <c r="AV808" s="56"/>
      <c r="AY808" s="59"/>
    </row>
    <row r="809" spans="45:69" x14ac:dyDescent="0.25">
      <c r="AS809" s="53"/>
      <c r="AV809" s="56"/>
      <c r="AW809" s="379"/>
      <c r="AX809" s="65"/>
      <c r="AY809" s="65"/>
      <c r="AZ809" s="65"/>
      <c r="BA809" s="50"/>
      <c r="BB809" s="65"/>
      <c r="BC809" s="59"/>
      <c r="BD809" s="59"/>
      <c r="BE809" s="50"/>
      <c r="BG809" s="65"/>
      <c r="BH809" s="65"/>
      <c r="BI809" s="65"/>
      <c r="BJ809" s="65"/>
      <c r="BK809" s="65"/>
      <c r="BM809" s="65"/>
      <c r="BN809" s="65"/>
      <c r="BO809" s="65"/>
      <c r="BP809" s="65"/>
      <c r="BQ809" s="65"/>
    </row>
    <row r="810" spans="45:69" x14ac:dyDescent="0.25">
      <c r="AS810" s="53"/>
      <c r="AV810" s="56"/>
      <c r="AW810" s="379"/>
      <c r="AX810" s="65"/>
      <c r="AY810" s="65"/>
      <c r="AZ810" s="65"/>
      <c r="BA810" s="50"/>
      <c r="BB810" s="65"/>
      <c r="BC810" s="59"/>
      <c r="BD810" s="59"/>
      <c r="BE810" s="50"/>
      <c r="BG810" s="65"/>
      <c r="BH810" s="65"/>
      <c r="BI810" s="65"/>
      <c r="BJ810" s="65"/>
      <c r="BK810" s="65"/>
      <c r="BM810" s="65"/>
      <c r="BN810" s="65"/>
      <c r="BO810" s="65"/>
      <c r="BP810" s="65"/>
      <c r="BQ810" s="65"/>
    </row>
    <row r="811" spans="45:69" x14ac:dyDescent="0.25">
      <c r="AS811" s="53"/>
      <c r="AV811" s="56"/>
      <c r="AW811" s="379"/>
      <c r="AX811" s="65"/>
      <c r="AY811" s="65"/>
      <c r="AZ811" s="65"/>
      <c r="BA811" s="50"/>
      <c r="BB811" s="65"/>
      <c r="BC811" s="59"/>
      <c r="BD811" s="59"/>
      <c r="BE811" s="50"/>
      <c r="BG811" s="65"/>
      <c r="BH811" s="65"/>
      <c r="BI811" s="65"/>
      <c r="BJ811" s="65"/>
      <c r="BK811" s="65"/>
      <c r="BM811" s="65"/>
      <c r="BN811" s="65"/>
      <c r="BO811" s="65"/>
      <c r="BP811" s="65"/>
      <c r="BQ811" s="65"/>
    </row>
    <row r="812" spans="45:69" x14ac:dyDescent="0.25">
      <c r="AS812" s="53"/>
      <c r="AV812" s="56"/>
      <c r="AW812" s="379"/>
      <c r="AX812" s="65"/>
      <c r="AY812" s="65"/>
      <c r="AZ812" s="65"/>
      <c r="BA812" s="50"/>
      <c r="BB812" s="65"/>
      <c r="BC812" s="59"/>
      <c r="BD812" s="59"/>
      <c r="BE812" s="50"/>
      <c r="BG812" s="65"/>
      <c r="BH812" s="65"/>
      <c r="BI812" s="65"/>
      <c r="BJ812" s="65"/>
      <c r="BK812" s="65"/>
      <c r="BM812" s="65"/>
      <c r="BN812" s="65"/>
      <c r="BO812" s="65"/>
      <c r="BP812" s="65"/>
      <c r="BQ812" s="65"/>
    </row>
    <row r="813" spans="45:69" x14ac:dyDescent="0.25">
      <c r="AS813" s="53"/>
      <c r="AV813" s="56"/>
      <c r="AW813" s="379"/>
      <c r="AX813" s="65"/>
      <c r="AY813" s="65"/>
      <c r="AZ813" s="65"/>
      <c r="BA813" s="50"/>
      <c r="BB813" s="65"/>
      <c r="BC813" s="59"/>
      <c r="BD813" s="59"/>
      <c r="BE813" s="50"/>
      <c r="BG813" s="65"/>
      <c r="BH813" s="65"/>
      <c r="BI813" s="65"/>
      <c r="BJ813" s="65"/>
      <c r="BK813" s="65"/>
      <c r="BM813" s="65"/>
      <c r="BN813" s="65"/>
      <c r="BO813" s="65"/>
      <c r="BP813" s="65"/>
      <c r="BQ813" s="65"/>
    </row>
    <row r="814" spans="45:69" x14ac:dyDescent="0.25">
      <c r="AS814" s="53"/>
      <c r="AV814" s="56"/>
      <c r="AW814" s="379"/>
      <c r="AX814" s="65"/>
      <c r="AY814" s="65"/>
      <c r="AZ814" s="65"/>
      <c r="BA814" s="50"/>
      <c r="BB814" s="65"/>
      <c r="BC814" s="59"/>
      <c r="BD814" s="59"/>
      <c r="BE814" s="50"/>
      <c r="BG814" s="65"/>
      <c r="BH814" s="65"/>
      <c r="BI814" s="65"/>
      <c r="BJ814" s="65"/>
      <c r="BK814" s="65"/>
      <c r="BM814" s="65"/>
      <c r="BN814" s="65"/>
      <c r="BO814" s="65"/>
      <c r="BP814" s="65"/>
      <c r="BQ814" s="65"/>
    </row>
    <row r="815" spans="45:69" x14ac:dyDescent="0.25">
      <c r="AS815" s="53"/>
      <c r="AV815" s="56"/>
      <c r="AW815" s="379"/>
      <c r="AX815" s="65"/>
      <c r="AY815" s="65"/>
      <c r="AZ815" s="65"/>
      <c r="BA815" s="50"/>
      <c r="BB815" s="65"/>
      <c r="BC815" s="59"/>
      <c r="BD815" s="59"/>
      <c r="BE815" s="50"/>
      <c r="BG815" s="65"/>
      <c r="BH815" s="65"/>
      <c r="BI815" s="65"/>
      <c r="BJ815" s="65"/>
      <c r="BK815" s="65"/>
      <c r="BM815" s="65"/>
      <c r="BN815" s="65"/>
      <c r="BO815" s="65"/>
      <c r="BP815" s="65"/>
      <c r="BQ815" s="65"/>
    </row>
    <row r="816" spans="45:69" x14ac:dyDescent="0.25">
      <c r="AY816" s="59"/>
      <c r="AZ816" s="65"/>
      <c r="BA816" s="50"/>
      <c r="BB816" s="65"/>
      <c r="BC816" s="59"/>
      <c r="BD816" s="59"/>
      <c r="BE816" s="50"/>
      <c r="BK816" s="65"/>
      <c r="BQ816" s="65"/>
    </row>
    <row r="817" spans="45:69" x14ac:dyDescent="0.25">
      <c r="AS817" s="53"/>
      <c r="AV817" s="56"/>
      <c r="AY817" s="59"/>
      <c r="AZ817" s="65"/>
      <c r="BA817" s="50"/>
      <c r="BB817" s="65"/>
      <c r="BC817" s="59"/>
      <c r="BD817" s="59"/>
      <c r="BE817" s="50"/>
      <c r="BK817" s="65"/>
      <c r="BQ817" s="65"/>
    </row>
    <row r="818" spans="45:69" x14ac:dyDescent="0.25">
      <c r="AS818" s="53"/>
      <c r="AV818" s="56"/>
      <c r="AW818" s="379"/>
      <c r="AX818" s="65"/>
      <c r="AY818" s="65"/>
      <c r="AZ818" s="65"/>
      <c r="BA818" s="50"/>
      <c r="BB818" s="65"/>
      <c r="BC818" s="59"/>
      <c r="BD818" s="59"/>
      <c r="BE818" s="50"/>
      <c r="BG818" s="65"/>
      <c r="BH818" s="65"/>
      <c r="BI818" s="65"/>
      <c r="BJ818" s="65"/>
      <c r="BK818" s="65"/>
      <c r="BM818" s="65"/>
      <c r="BN818" s="65"/>
      <c r="BO818" s="65"/>
      <c r="BP818" s="65"/>
      <c r="BQ818" s="65"/>
    </row>
    <row r="819" spans="45:69" x14ac:dyDescent="0.25">
      <c r="AS819" s="53"/>
      <c r="AV819" s="56"/>
      <c r="AW819" s="379"/>
      <c r="AX819" s="65"/>
      <c r="AY819" s="65"/>
      <c r="AZ819" s="65"/>
      <c r="BA819" s="50"/>
      <c r="BB819" s="65"/>
      <c r="BC819" s="59"/>
      <c r="BD819" s="59"/>
      <c r="BE819" s="50"/>
      <c r="BG819" s="65"/>
      <c r="BH819" s="65"/>
      <c r="BI819" s="65"/>
      <c r="BJ819" s="65"/>
      <c r="BK819" s="65"/>
      <c r="BM819" s="65"/>
      <c r="BN819" s="65"/>
      <c r="BO819" s="65"/>
      <c r="BP819" s="65"/>
      <c r="BQ819" s="65"/>
    </row>
    <row r="820" spans="45:69" x14ac:dyDescent="0.25">
      <c r="AS820" s="53"/>
      <c r="AV820" s="56"/>
      <c r="AW820" s="379"/>
      <c r="AX820" s="65"/>
      <c r="AY820" s="65"/>
      <c r="AZ820" s="65"/>
      <c r="BA820" s="50"/>
      <c r="BB820" s="65"/>
      <c r="BC820" s="59"/>
      <c r="BD820" s="59"/>
      <c r="BE820" s="50"/>
      <c r="BG820" s="65"/>
      <c r="BH820" s="65"/>
      <c r="BI820" s="65"/>
      <c r="BJ820" s="65"/>
      <c r="BK820" s="65"/>
      <c r="BM820" s="65"/>
      <c r="BN820" s="65"/>
      <c r="BO820" s="65"/>
      <c r="BP820" s="65"/>
      <c r="BQ820" s="65"/>
    </row>
    <row r="821" spans="45:69" x14ac:dyDescent="0.25">
      <c r="AS821" s="53"/>
      <c r="AV821" s="56"/>
      <c r="AW821" s="379"/>
      <c r="AX821" s="65"/>
      <c r="AY821" s="65"/>
      <c r="AZ821" s="65"/>
      <c r="BA821" s="50"/>
      <c r="BB821" s="65"/>
      <c r="BC821" s="59"/>
      <c r="BD821" s="59"/>
      <c r="BE821" s="50"/>
      <c r="BG821" s="65"/>
      <c r="BH821" s="65"/>
      <c r="BI821" s="65"/>
      <c r="BJ821" s="65"/>
      <c r="BK821" s="65"/>
      <c r="BM821" s="65"/>
      <c r="BN821" s="65"/>
      <c r="BO821" s="65"/>
      <c r="BP821" s="65"/>
      <c r="BQ821" s="65"/>
    </row>
    <row r="822" spans="45:69" x14ac:dyDescent="0.25">
      <c r="AS822" s="53"/>
      <c r="AV822" s="56"/>
      <c r="AW822" s="379"/>
      <c r="AX822" s="65"/>
      <c r="AY822" s="65"/>
      <c r="AZ822" s="65"/>
      <c r="BA822" s="50"/>
      <c r="BB822" s="65"/>
      <c r="BC822" s="59"/>
      <c r="BD822" s="59"/>
      <c r="BE822" s="50"/>
      <c r="BG822" s="65"/>
      <c r="BH822" s="65"/>
      <c r="BI822" s="65"/>
      <c r="BJ822" s="65"/>
      <c r="BK822" s="65"/>
      <c r="BM822" s="65"/>
      <c r="BN822" s="65"/>
      <c r="BO822" s="65"/>
      <c r="BP822" s="65"/>
      <c r="BQ822" s="65"/>
    </row>
    <row r="823" spans="45:69" x14ac:dyDescent="0.25">
      <c r="AS823" s="53"/>
      <c r="AV823" s="56"/>
      <c r="AW823" s="379"/>
      <c r="AX823" s="65"/>
      <c r="AY823" s="65"/>
      <c r="AZ823" s="65"/>
      <c r="BA823" s="50"/>
      <c r="BB823" s="65"/>
      <c r="BC823" s="59"/>
      <c r="BD823" s="59"/>
      <c r="BE823" s="50"/>
      <c r="BG823" s="65"/>
      <c r="BH823" s="65"/>
      <c r="BI823" s="65"/>
      <c r="BJ823" s="65"/>
      <c r="BK823" s="65"/>
      <c r="BM823" s="65"/>
      <c r="BN823" s="65"/>
      <c r="BO823" s="65"/>
      <c r="BP823" s="65"/>
      <c r="BQ823" s="65"/>
    </row>
    <row r="824" spans="45:69" x14ac:dyDescent="0.25">
      <c r="AS824" s="53"/>
      <c r="AV824" s="56"/>
      <c r="AW824" s="379"/>
      <c r="AX824" s="65"/>
      <c r="AY824" s="65"/>
      <c r="AZ824" s="65"/>
      <c r="BA824" s="50"/>
      <c r="BB824" s="65"/>
      <c r="BC824" s="59"/>
      <c r="BD824" s="59"/>
      <c r="BE824" s="50"/>
      <c r="BG824" s="65"/>
      <c r="BH824" s="65"/>
      <c r="BI824" s="65"/>
      <c r="BJ824" s="65"/>
      <c r="BK824" s="65"/>
      <c r="BM824" s="65"/>
      <c r="BN824" s="65"/>
      <c r="BO824" s="65"/>
      <c r="BP824" s="65"/>
      <c r="BQ824" s="65"/>
    </row>
    <row r="825" spans="45:69" x14ac:dyDescent="0.25">
      <c r="AS825" s="53"/>
      <c r="AV825" s="56"/>
      <c r="AW825" s="379"/>
      <c r="AX825" s="65"/>
      <c r="AY825" s="65"/>
      <c r="AZ825" s="65"/>
      <c r="BA825" s="50"/>
      <c r="BB825" s="65"/>
      <c r="BC825" s="59"/>
      <c r="BD825" s="59"/>
      <c r="BE825" s="50"/>
      <c r="BG825" s="65"/>
      <c r="BH825" s="65"/>
      <c r="BI825" s="65"/>
      <c r="BJ825" s="65"/>
      <c r="BK825" s="65"/>
      <c r="BM825" s="65"/>
      <c r="BN825" s="65"/>
      <c r="BO825" s="65"/>
      <c r="BP825" s="65"/>
      <c r="BQ825" s="65"/>
    </row>
    <row r="826" spans="45:69" x14ac:dyDescent="0.25">
      <c r="AY826" s="59"/>
      <c r="AZ826" s="65"/>
      <c r="BA826" s="50"/>
      <c r="BB826" s="65"/>
      <c r="BC826" s="59"/>
      <c r="BD826" s="59"/>
      <c r="BE826" s="50"/>
      <c r="BK826" s="65"/>
      <c r="BQ826" s="65"/>
    </row>
    <row r="827" spans="45:69" x14ac:dyDescent="0.25">
      <c r="AU827" s="54"/>
      <c r="AZ827" s="65"/>
      <c r="BB827" s="65"/>
      <c r="BG827" s="65"/>
      <c r="BH827" s="65"/>
      <c r="BJ827" s="65"/>
      <c r="BK827" s="65"/>
    </row>
    <row r="828" spans="45:69" x14ac:dyDescent="0.25">
      <c r="AZ828" s="65"/>
      <c r="BB828" s="65"/>
    </row>
    <row r="829" spans="45:69" x14ac:dyDescent="0.25">
      <c r="AS829" s="54"/>
      <c r="AZ829" s="65"/>
      <c r="BB829" s="65"/>
      <c r="BI829" s="65"/>
    </row>
    <row r="830" spans="45:69" x14ac:dyDescent="0.25">
      <c r="AY830" s="53"/>
      <c r="AZ830" s="65"/>
      <c r="BB830" s="65"/>
    </row>
    <row r="831" spans="45:69" x14ac:dyDescent="0.25">
      <c r="AY831" s="65"/>
      <c r="BB831" s="65"/>
    </row>
    <row r="832" spans="45:69" x14ac:dyDescent="0.25">
      <c r="AY832" s="54"/>
      <c r="AZ832" s="65"/>
      <c r="BB832" s="65"/>
    </row>
    <row r="833" spans="45:75" x14ac:dyDescent="0.25">
      <c r="AY833" s="54"/>
      <c r="AZ833" s="65"/>
      <c r="BB833" s="65"/>
    </row>
    <row r="834" spans="45:75" x14ac:dyDescent="0.25">
      <c r="AS834" s="53"/>
      <c r="AZ834" s="65"/>
      <c r="BB834" s="65"/>
      <c r="BD834" s="54"/>
    </row>
    <row r="835" spans="45:75" x14ac:dyDescent="0.25">
      <c r="AS835" s="53"/>
      <c r="AZ835" s="65"/>
      <c r="BB835" s="65"/>
      <c r="BD835" s="54"/>
    </row>
    <row r="836" spans="45:75" x14ac:dyDescent="0.25">
      <c r="AS836" s="54"/>
      <c r="AZ836" s="65"/>
      <c r="BB836" s="65"/>
      <c r="BD836" s="54"/>
    </row>
    <row r="837" spans="45:75" x14ac:dyDescent="0.25">
      <c r="AZ837" s="65"/>
      <c r="BB837" s="65"/>
      <c r="BD837" s="53"/>
    </row>
    <row r="838" spans="45:75" x14ac:dyDescent="0.25">
      <c r="AS838" s="55"/>
      <c r="AT838" s="55"/>
      <c r="AU838" s="55"/>
      <c r="AV838" s="55"/>
      <c r="AW838" s="55"/>
      <c r="AX838" s="55"/>
      <c r="AY838" s="55"/>
      <c r="AZ838" s="66"/>
      <c r="BA838" s="55"/>
      <c r="BB838" s="66"/>
      <c r="BC838" s="55"/>
      <c r="BD838" s="55"/>
      <c r="BE838" s="55"/>
    </row>
    <row r="839" spans="45:75" x14ac:dyDescent="0.25">
      <c r="AX839" s="54"/>
      <c r="AZ839" s="65"/>
      <c r="BB839" s="65"/>
    </row>
    <row r="840" spans="45:75" x14ac:dyDescent="0.25">
      <c r="AX840" s="55"/>
      <c r="AY840" s="55"/>
      <c r="AZ840" s="66"/>
      <c r="BA840" s="55"/>
      <c r="BB840" s="65"/>
      <c r="BC840" s="56"/>
      <c r="BD840" s="56"/>
    </row>
    <row r="841" spans="45:75" x14ac:dyDescent="0.25">
      <c r="AV841" s="56"/>
      <c r="AW841" s="56"/>
      <c r="AZ841" s="67"/>
      <c r="BA841" s="56"/>
      <c r="BB841" s="65"/>
      <c r="BC841" s="56"/>
      <c r="BD841" s="56"/>
      <c r="BE841" s="56"/>
      <c r="BG841" s="55"/>
      <c r="BH841" s="55"/>
      <c r="BI841" s="54"/>
      <c r="BM841" s="55"/>
      <c r="BN841" s="55"/>
      <c r="BP841" s="55"/>
      <c r="BQ841" s="55"/>
      <c r="BR841" s="54"/>
      <c r="BV841" s="55"/>
      <c r="BW841" s="55"/>
    </row>
    <row r="842" spans="45:75" x14ac:dyDescent="0.25">
      <c r="AV842" s="56"/>
      <c r="AW842" s="56"/>
      <c r="AX842" s="56"/>
      <c r="AY842" s="56"/>
      <c r="AZ842" s="67"/>
      <c r="BA842" s="56"/>
      <c r="BB842" s="67"/>
      <c r="BC842" s="56"/>
      <c r="BD842" s="56"/>
      <c r="BE842" s="56"/>
      <c r="BH842" s="56"/>
      <c r="BI842" s="56"/>
      <c r="BJ842" s="56"/>
      <c r="BK842" s="56"/>
      <c r="BL842" s="56"/>
      <c r="BM842" s="56"/>
      <c r="BQ842" s="56"/>
      <c r="BR842" s="56"/>
      <c r="BS842" s="56"/>
      <c r="BT842" s="56"/>
      <c r="BU842" s="56"/>
      <c r="BV842" s="56"/>
    </row>
    <row r="843" spans="45:75" x14ac:dyDescent="0.25">
      <c r="AS843" s="56"/>
      <c r="AU843" s="54"/>
      <c r="AV843" s="56"/>
      <c r="AW843" s="56"/>
      <c r="AX843" s="56"/>
      <c r="AY843" s="56"/>
      <c r="AZ843" s="67"/>
      <c r="BA843" s="56"/>
      <c r="BB843" s="67"/>
      <c r="BC843" s="56"/>
      <c r="BD843" s="56"/>
      <c r="BE843" s="56"/>
      <c r="BG843" s="56"/>
      <c r="BH843" s="56"/>
      <c r="BI843" s="56"/>
      <c r="BJ843" s="56"/>
      <c r="BK843" s="56"/>
      <c r="BL843" s="56"/>
      <c r="BM843" s="56"/>
      <c r="BN843" s="56"/>
      <c r="BP843" s="56"/>
      <c r="BQ843" s="56"/>
      <c r="BR843" s="56"/>
      <c r="BS843" s="56"/>
      <c r="BT843" s="56"/>
      <c r="BU843" s="56"/>
      <c r="BV843" s="56"/>
      <c r="BW843" s="56"/>
    </row>
    <row r="844" spans="45:75" x14ac:dyDescent="0.25">
      <c r="AS844" s="56"/>
      <c r="AU844" s="54"/>
      <c r="AV844" s="56"/>
      <c r="AW844" s="56"/>
      <c r="AX844" s="56"/>
      <c r="AY844" s="56"/>
      <c r="AZ844" s="67"/>
      <c r="BA844" s="56"/>
      <c r="BB844" s="67"/>
      <c r="BC844" s="56"/>
      <c r="BD844" s="56"/>
      <c r="BE844" s="56"/>
      <c r="BG844" s="56"/>
      <c r="BH844" s="56"/>
      <c r="BI844" s="56"/>
      <c r="BJ844" s="56"/>
      <c r="BK844" s="56"/>
      <c r="BL844" s="56"/>
      <c r="BM844" s="56"/>
      <c r="BN844" s="56"/>
      <c r="BP844" s="56"/>
      <c r="BQ844" s="56"/>
      <c r="BR844" s="56"/>
      <c r="BS844" s="56"/>
      <c r="BT844" s="56"/>
      <c r="BU844" s="56"/>
      <c r="BV844" s="56"/>
      <c r="BW844" s="56"/>
    </row>
    <row r="845" spans="45:75" x14ac:dyDescent="0.25">
      <c r="AS845" s="55"/>
      <c r="AT845" s="55"/>
      <c r="AU845" s="55"/>
      <c r="AV845" s="55"/>
      <c r="AW845" s="55"/>
      <c r="AX845" s="55"/>
      <c r="AY845" s="55"/>
      <c r="AZ845" s="66"/>
      <c r="BA845" s="55"/>
      <c r="BB845" s="66"/>
      <c r="BC845" s="55"/>
      <c r="BD845" s="55"/>
      <c r="BE845" s="55"/>
      <c r="BG845" s="55"/>
      <c r="BH845" s="55"/>
      <c r="BI845" s="55"/>
      <c r="BJ845" s="55"/>
      <c r="BK845" s="55"/>
      <c r="BL845" s="55"/>
      <c r="BM845" s="55"/>
      <c r="BN845" s="55"/>
      <c r="BP845" s="55"/>
      <c r="BQ845" s="55"/>
      <c r="BR845" s="55"/>
      <c r="BS845" s="55"/>
      <c r="BT845" s="55"/>
      <c r="BU845" s="55"/>
      <c r="BV845" s="55"/>
      <c r="BW845" s="55"/>
    </row>
    <row r="846" spans="45:75" x14ac:dyDescent="0.25">
      <c r="AV846" s="56"/>
      <c r="AW846" s="56"/>
      <c r="AX846" s="56"/>
      <c r="AY846" s="56"/>
      <c r="AZ846" s="67"/>
      <c r="BA846" s="56"/>
      <c r="BB846" s="67"/>
      <c r="BC846" s="56"/>
      <c r="BD846" s="56"/>
      <c r="BE846" s="56"/>
      <c r="BG846" s="65"/>
      <c r="BH846" s="65"/>
      <c r="BI846" s="65"/>
      <c r="BJ846" s="65"/>
      <c r="BK846" s="65"/>
      <c r="BL846" s="65"/>
      <c r="BM846" s="65"/>
      <c r="BN846" s="65"/>
      <c r="BO846" s="65"/>
      <c r="BP846" s="65"/>
      <c r="BQ846" s="65"/>
      <c r="BR846" s="65"/>
      <c r="BS846" s="65"/>
      <c r="BT846" s="65"/>
      <c r="BU846" s="65"/>
      <c r="BV846" s="65"/>
      <c r="BW846" s="65"/>
    </row>
    <row r="847" spans="45:75" x14ac:dyDescent="0.25">
      <c r="AS847" s="53"/>
      <c r="AU847" s="54"/>
      <c r="AV847" s="53"/>
      <c r="AW847" s="379"/>
      <c r="AX847" s="65"/>
      <c r="AY847" s="65"/>
      <c r="AZ847" s="65"/>
      <c r="BA847" s="60"/>
      <c r="BB847" s="65"/>
      <c r="BC847" s="65"/>
      <c r="BD847" s="65"/>
      <c r="BE847" s="60"/>
      <c r="BG847" s="65"/>
      <c r="BH847" s="65"/>
      <c r="BI847" s="65"/>
      <c r="BJ847" s="65"/>
      <c r="BK847" s="65"/>
      <c r="BL847" s="65"/>
      <c r="BM847" s="65"/>
      <c r="BN847" s="65"/>
      <c r="BO847" s="65"/>
      <c r="BP847" s="65"/>
      <c r="BQ847" s="65"/>
      <c r="BR847" s="65"/>
      <c r="BS847" s="65"/>
      <c r="BT847" s="65"/>
      <c r="BU847" s="65"/>
      <c r="BV847" s="65"/>
      <c r="BW847" s="65"/>
    </row>
    <row r="848" spans="45:75" x14ac:dyDescent="0.25">
      <c r="AS848" s="53"/>
      <c r="AV848" s="53"/>
      <c r="AW848" s="379"/>
      <c r="AX848" s="65"/>
      <c r="AY848" s="65"/>
      <c r="AZ848" s="65"/>
      <c r="BA848" s="60"/>
      <c r="BB848" s="65"/>
      <c r="BC848" s="65"/>
      <c r="BD848" s="65"/>
      <c r="BE848" s="60"/>
      <c r="BG848" s="65"/>
      <c r="BH848" s="65"/>
      <c r="BI848" s="65"/>
      <c r="BJ848" s="65"/>
      <c r="BK848" s="65"/>
      <c r="BL848" s="65"/>
      <c r="BM848" s="65"/>
      <c r="BN848" s="65"/>
      <c r="BO848" s="65"/>
      <c r="BP848" s="65"/>
      <c r="BQ848" s="65"/>
      <c r="BR848" s="65"/>
      <c r="BS848" s="65"/>
      <c r="BT848" s="65"/>
      <c r="BU848" s="65"/>
      <c r="BV848" s="65"/>
      <c r="BW848" s="65"/>
    </row>
    <row r="849" spans="45:75" x14ac:dyDescent="0.25">
      <c r="AS849" s="53"/>
      <c r="AV849" s="53"/>
      <c r="AW849" s="379"/>
      <c r="AX849" s="65"/>
      <c r="AY849" s="65"/>
      <c r="AZ849" s="65"/>
      <c r="BA849" s="60"/>
      <c r="BB849" s="65"/>
      <c r="BC849" s="65"/>
      <c r="BD849" s="65"/>
      <c r="BE849" s="60"/>
      <c r="BG849" s="65"/>
      <c r="BH849" s="65"/>
      <c r="BI849" s="65"/>
      <c r="BJ849" s="65"/>
      <c r="BK849" s="65"/>
      <c r="BL849" s="65"/>
      <c r="BM849" s="65"/>
      <c r="BN849" s="65"/>
      <c r="BO849" s="65"/>
      <c r="BP849" s="65"/>
      <c r="BQ849" s="65"/>
      <c r="BR849" s="65"/>
      <c r="BS849" s="65"/>
      <c r="BT849" s="65"/>
      <c r="BU849" s="65"/>
      <c r="BV849" s="65"/>
      <c r="BW849" s="65"/>
    </row>
    <row r="850" spans="45:75" x14ac:dyDescent="0.25">
      <c r="AS850" s="53"/>
      <c r="AV850" s="53"/>
      <c r="AW850" s="379"/>
      <c r="AX850" s="65"/>
      <c r="AY850" s="65"/>
      <c r="AZ850" s="65"/>
      <c r="BA850" s="60"/>
      <c r="BB850" s="65"/>
      <c r="BC850" s="65"/>
      <c r="BD850" s="65"/>
      <c r="BE850" s="60"/>
      <c r="BG850" s="65"/>
      <c r="BH850" s="65"/>
      <c r="BI850" s="65"/>
      <c r="BJ850" s="65"/>
      <c r="BK850" s="65"/>
      <c r="BL850" s="65"/>
      <c r="BM850" s="65"/>
      <c r="BN850" s="65"/>
      <c r="BO850" s="65"/>
      <c r="BP850" s="65"/>
      <c r="BQ850" s="65"/>
      <c r="BR850" s="65"/>
      <c r="BS850" s="65"/>
      <c r="BT850" s="65"/>
      <c r="BU850" s="65"/>
      <c r="BV850" s="65"/>
      <c r="BW850" s="65"/>
    </row>
    <row r="851" spans="45:75" x14ac:dyDescent="0.25">
      <c r="AS851" s="53"/>
      <c r="AV851" s="53"/>
      <c r="AW851" s="379"/>
      <c r="AX851" s="65"/>
      <c r="AY851" s="65"/>
      <c r="AZ851" s="65"/>
      <c r="BA851" s="60"/>
      <c r="BB851" s="65"/>
      <c r="BC851" s="65"/>
      <c r="BD851" s="65"/>
      <c r="BE851" s="60"/>
      <c r="BG851" s="65"/>
      <c r="BH851" s="65"/>
      <c r="BI851" s="65"/>
      <c r="BJ851" s="65"/>
      <c r="BK851" s="65"/>
      <c r="BL851" s="65"/>
      <c r="BM851" s="65"/>
      <c r="BN851" s="65"/>
      <c r="BO851" s="65"/>
      <c r="BP851" s="65"/>
      <c r="BQ851" s="65"/>
      <c r="BR851" s="65"/>
      <c r="BS851" s="65"/>
      <c r="BT851" s="65"/>
      <c r="BU851" s="65"/>
      <c r="BV851" s="65"/>
      <c r="BW851" s="65"/>
    </row>
    <row r="852" spans="45:75" x14ac:dyDescent="0.25">
      <c r="AS852" s="53"/>
      <c r="AV852" s="53"/>
      <c r="AW852" s="379"/>
      <c r="AX852" s="65"/>
      <c r="AY852" s="65"/>
      <c r="AZ852" s="65"/>
      <c r="BA852" s="60"/>
      <c r="BB852" s="65"/>
      <c r="BC852" s="65"/>
      <c r="BD852" s="65"/>
      <c r="BE852" s="60"/>
      <c r="BG852" s="65"/>
      <c r="BH852" s="65"/>
      <c r="BI852" s="65"/>
      <c r="BJ852" s="65"/>
      <c r="BK852" s="65"/>
      <c r="BL852" s="65"/>
      <c r="BM852" s="65"/>
      <c r="BN852" s="65"/>
      <c r="BO852" s="65"/>
      <c r="BP852" s="65"/>
      <c r="BQ852" s="65"/>
      <c r="BR852" s="65"/>
      <c r="BS852" s="65"/>
      <c r="BT852" s="65"/>
      <c r="BU852" s="65"/>
      <c r="BV852" s="65"/>
      <c r="BW852" s="65"/>
    </row>
    <row r="853" spans="45:75" x14ac:dyDescent="0.25">
      <c r="AS853" s="53"/>
      <c r="AV853" s="53"/>
      <c r="AW853" s="379"/>
      <c r="AX853" s="65"/>
      <c r="AY853" s="65"/>
      <c r="AZ853" s="65"/>
      <c r="BA853" s="60"/>
      <c r="BB853" s="65"/>
      <c r="BC853" s="65"/>
      <c r="BD853" s="65"/>
      <c r="BE853" s="60"/>
      <c r="BG853" s="65"/>
      <c r="BH853" s="65"/>
      <c r="BI853" s="65"/>
      <c r="BJ853" s="65"/>
      <c r="BK853" s="65"/>
      <c r="BL853" s="65"/>
      <c r="BM853" s="65"/>
      <c r="BN853" s="65"/>
      <c r="BO853" s="65"/>
      <c r="BP853" s="65"/>
      <c r="BQ853" s="65"/>
      <c r="BR853" s="65"/>
      <c r="BS853" s="65"/>
      <c r="BT853" s="65"/>
      <c r="BU853" s="65"/>
      <c r="BV853" s="65"/>
      <c r="BW853" s="65"/>
    </row>
    <row r="854" spans="45:75" x14ac:dyDescent="0.25">
      <c r="AS854" s="53"/>
      <c r="AV854" s="53"/>
      <c r="AW854" s="379"/>
      <c r="AX854" s="65"/>
      <c r="AY854" s="65"/>
      <c r="AZ854" s="65"/>
      <c r="BA854" s="60"/>
      <c r="BB854" s="65"/>
      <c r="BC854" s="65"/>
      <c r="BD854" s="65"/>
      <c r="BE854" s="60"/>
      <c r="BG854" s="65"/>
      <c r="BH854" s="65"/>
      <c r="BI854" s="65"/>
      <c r="BJ854" s="65"/>
      <c r="BK854" s="65"/>
      <c r="BL854" s="65"/>
      <c r="BM854" s="65"/>
      <c r="BN854" s="65"/>
      <c r="BO854" s="65"/>
      <c r="BP854" s="65"/>
      <c r="BQ854" s="65"/>
      <c r="BR854" s="65"/>
      <c r="BS854" s="65"/>
      <c r="BT854" s="65"/>
      <c r="BU854" s="65"/>
      <c r="BV854" s="65"/>
      <c r="BW854" s="65"/>
    </row>
    <row r="855" spans="45:75" x14ac:dyDescent="0.25">
      <c r="AS855" s="53"/>
      <c r="AV855" s="53"/>
      <c r="AW855" s="379"/>
      <c r="AX855" s="65"/>
      <c r="AY855" s="65"/>
      <c r="AZ855" s="65"/>
      <c r="BA855" s="60"/>
      <c r="BB855" s="65"/>
      <c r="BC855" s="65"/>
      <c r="BD855" s="65"/>
      <c r="BE855" s="60"/>
      <c r="BG855" s="65"/>
      <c r="BH855" s="65"/>
      <c r="BI855" s="65"/>
      <c r="BJ855" s="65"/>
      <c r="BK855" s="65"/>
      <c r="BL855" s="65"/>
      <c r="BM855" s="65"/>
      <c r="BN855" s="65"/>
      <c r="BO855" s="65"/>
      <c r="BP855" s="65"/>
      <c r="BQ855" s="65"/>
      <c r="BR855" s="65"/>
      <c r="BS855" s="65"/>
      <c r="BT855" s="65"/>
      <c r="BU855" s="65"/>
      <c r="BV855" s="65"/>
      <c r="BW855" s="65"/>
    </row>
    <row r="856" spans="45:75" x14ac:dyDescent="0.25">
      <c r="AS856" s="53"/>
      <c r="AV856" s="53"/>
      <c r="AW856" s="379"/>
      <c r="AX856" s="65"/>
      <c r="AY856" s="65"/>
      <c r="AZ856" s="65"/>
      <c r="BA856" s="60"/>
      <c r="BB856" s="65"/>
      <c r="BC856" s="65"/>
      <c r="BD856" s="65"/>
      <c r="BE856" s="60"/>
      <c r="BG856" s="65"/>
      <c r="BH856" s="65"/>
      <c r="BI856" s="65"/>
      <c r="BJ856" s="65"/>
      <c r="BK856" s="65"/>
      <c r="BL856" s="65"/>
      <c r="BM856" s="65"/>
      <c r="BN856" s="65"/>
      <c r="BO856" s="65"/>
      <c r="BP856" s="65"/>
      <c r="BQ856" s="65"/>
      <c r="BR856" s="65"/>
      <c r="BS856" s="65"/>
      <c r="BT856" s="65"/>
      <c r="BU856" s="65"/>
      <c r="BV856" s="65"/>
      <c r="BW856" s="65"/>
    </row>
    <row r="857" spans="45:75" x14ac:dyDescent="0.25">
      <c r="AS857" s="53"/>
      <c r="AV857" s="53"/>
      <c r="AW857" s="379"/>
      <c r="AX857" s="65"/>
      <c r="AY857" s="65"/>
      <c r="AZ857" s="65"/>
      <c r="BA857" s="60"/>
      <c r="BB857" s="65"/>
      <c r="BC857" s="65"/>
      <c r="BD857" s="65"/>
      <c r="BE857" s="60"/>
      <c r="BG857" s="65"/>
      <c r="BH857" s="65"/>
      <c r="BI857" s="65"/>
      <c r="BJ857" s="65"/>
      <c r="BK857" s="65"/>
      <c r="BL857" s="65"/>
      <c r="BM857" s="65"/>
      <c r="BN857" s="65"/>
      <c r="BO857" s="65"/>
      <c r="BP857" s="65"/>
      <c r="BQ857" s="65"/>
      <c r="BR857" s="65"/>
      <c r="BS857" s="65"/>
      <c r="BT857" s="65"/>
      <c r="BU857" s="65"/>
      <c r="BV857" s="65"/>
      <c r="BW857" s="65"/>
    </row>
    <row r="858" spans="45:75" x14ac:dyDescent="0.25">
      <c r="AS858" s="53"/>
      <c r="AV858" s="53"/>
      <c r="AW858" s="379"/>
      <c r="AX858" s="65"/>
      <c r="AY858" s="65"/>
      <c r="AZ858" s="65"/>
      <c r="BA858" s="60"/>
      <c r="BB858" s="65"/>
      <c r="BC858" s="65"/>
      <c r="BD858" s="65"/>
      <c r="BE858" s="60"/>
      <c r="BG858" s="65"/>
      <c r="BH858" s="65"/>
      <c r="BI858" s="65"/>
      <c r="BJ858" s="65"/>
      <c r="BK858" s="65"/>
      <c r="BL858" s="65"/>
      <c r="BM858" s="65"/>
      <c r="BN858" s="65"/>
      <c r="BO858" s="65"/>
      <c r="BP858" s="65"/>
      <c r="BQ858" s="65"/>
      <c r="BR858" s="65"/>
      <c r="BS858" s="65"/>
      <c r="BT858" s="65"/>
      <c r="BU858" s="65"/>
      <c r="BV858" s="65"/>
      <c r="BW858" s="65"/>
    </row>
    <row r="859" spans="45:75" x14ac:dyDescent="0.25">
      <c r="AS859" s="53"/>
      <c r="AV859" s="53"/>
      <c r="AW859" s="379"/>
      <c r="AX859" s="65"/>
      <c r="AY859" s="65"/>
      <c r="AZ859" s="65"/>
      <c r="BA859" s="60"/>
      <c r="BB859" s="65"/>
      <c r="BC859" s="65"/>
      <c r="BD859" s="65"/>
      <c r="BE859" s="60"/>
      <c r="BG859" s="65"/>
      <c r="BH859" s="65"/>
      <c r="BI859" s="65"/>
      <c r="BJ859" s="65"/>
      <c r="BK859" s="65"/>
      <c r="BL859" s="65"/>
      <c r="BM859" s="65"/>
      <c r="BN859" s="65"/>
      <c r="BO859" s="65"/>
      <c r="BP859" s="65"/>
      <c r="BQ859" s="65"/>
      <c r="BR859" s="65"/>
      <c r="BS859" s="65"/>
      <c r="BT859" s="65"/>
      <c r="BU859" s="65"/>
      <c r="BV859" s="65"/>
      <c r="BW859" s="65"/>
    </row>
    <row r="860" spans="45:75" x14ac:dyDescent="0.25">
      <c r="AS860" s="53"/>
      <c r="AV860" s="53"/>
      <c r="AW860" s="379"/>
      <c r="AX860" s="65"/>
      <c r="AY860" s="65"/>
      <c r="AZ860" s="65"/>
      <c r="BA860" s="60"/>
      <c r="BB860" s="65"/>
      <c r="BC860" s="65"/>
      <c r="BD860" s="65"/>
      <c r="BE860" s="60"/>
      <c r="BG860" s="65"/>
      <c r="BH860" s="65"/>
      <c r="BI860" s="65"/>
      <c r="BJ860" s="65"/>
      <c r="BK860" s="65"/>
      <c r="BL860" s="65"/>
      <c r="BM860" s="65"/>
      <c r="BN860" s="65"/>
      <c r="BO860" s="65"/>
      <c r="BP860" s="65"/>
      <c r="BQ860" s="65"/>
      <c r="BR860" s="65"/>
      <c r="BS860" s="65"/>
      <c r="BT860" s="65"/>
      <c r="BU860" s="65"/>
      <c r="BV860" s="65"/>
      <c r="BW860" s="65"/>
    </row>
    <row r="861" spans="45:75" x14ac:dyDescent="0.25">
      <c r="AS861" s="53"/>
      <c r="AV861" s="53"/>
      <c r="AW861" s="379"/>
      <c r="AX861" s="65"/>
      <c r="AY861" s="65"/>
      <c r="AZ861" s="65"/>
      <c r="BA861" s="60"/>
      <c r="BB861" s="65"/>
      <c r="BC861" s="65"/>
      <c r="BD861" s="65"/>
      <c r="BE861" s="60"/>
      <c r="BG861" s="65"/>
      <c r="BH861" s="65"/>
      <c r="BI861" s="65"/>
      <c r="BJ861" s="65"/>
      <c r="BK861" s="65"/>
      <c r="BL861" s="65"/>
      <c r="BM861" s="65"/>
      <c r="BN861" s="65"/>
      <c r="BO861" s="65"/>
      <c r="BP861" s="65"/>
      <c r="BQ861" s="65"/>
      <c r="BR861" s="65"/>
      <c r="BS861" s="65"/>
      <c r="BT861" s="65"/>
      <c r="BU861" s="65"/>
      <c r="BV861" s="65"/>
      <c r="BW861" s="65"/>
    </row>
    <row r="862" spans="45:75" x14ac:dyDescent="0.25">
      <c r="AS862" s="53"/>
      <c r="AV862" s="53"/>
      <c r="AW862" s="379"/>
      <c r="AX862" s="65"/>
      <c r="AY862" s="65"/>
      <c r="AZ862" s="65"/>
      <c r="BA862" s="60"/>
      <c r="BB862" s="65"/>
      <c r="BC862" s="65"/>
      <c r="BD862" s="65"/>
      <c r="BE862" s="60"/>
      <c r="BG862" s="65"/>
      <c r="BH862" s="65"/>
      <c r="BI862" s="65"/>
      <c r="BJ862" s="65"/>
      <c r="BK862" s="65"/>
      <c r="BL862" s="65"/>
      <c r="BM862" s="65"/>
      <c r="BN862" s="65"/>
      <c r="BO862" s="65"/>
      <c r="BP862" s="65"/>
      <c r="BQ862" s="65"/>
      <c r="BR862" s="65"/>
      <c r="BS862" s="65"/>
      <c r="BT862" s="65"/>
      <c r="BU862" s="65"/>
      <c r="BV862" s="65"/>
      <c r="BW862" s="65"/>
    </row>
    <row r="863" spans="45:75" x14ac:dyDescent="0.25">
      <c r="AS863" s="53"/>
      <c r="AV863" s="53"/>
      <c r="AW863" s="379"/>
      <c r="AX863" s="65"/>
      <c r="AY863" s="65"/>
      <c r="AZ863" s="65"/>
      <c r="BA863" s="60"/>
      <c r="BB863" s="65"/>
      <c r="BC863" s="65"/>
      <c r="BD863" s="65"/>
      <c r="BE863" s="60"/>
      <c r="BG863" s="65"/>
      <c r="BH863" s="65"/>
      <c r="BI863" s="65"/>
      <c r="BJ863" s="65"/>
      <c r="BK863" s="65"/>
      <c r="BL863" s="65"/>
      <c r="BM863" s="65"/>
      <c r="BN863" s="65"/>
      <c r="BO863" s="65"/>
      <c r="BP863" s="65"/>
      <c r="BQ863" s="65"/>
      <c r="BR863" s="65"/>
      <c r="BS863" s="65"/>
      <c r="BT863" s="65"/>
      <c r="BU863" s="65"/>
      <c r="BV863" s="65"/>
      <c r="BW863" s="65"/>
    </row>
    <row r="864" spans="45:75" x14ac:dyDescent="0.25">
      <c r="AS864" s="53"/>
      <c r="AV864" s="53"/>
      <c r="AW864" s="379"/>
      <c r="AX864" s="65"/>
      <c r="AY864" s="65"/>
      <c r="AZ864" s="65"/>
      <c r="BA864" s="60"/>
      <c r="BB864" s="65"/>
      <c r="BC864" s="65"/>
      <c r="BD864" s="65"/>
      <c r="BE864" s="60"/>
      <c r="BG864" s="65"/>
      <c r="BH864" s="65"/>
      <c r="BI864" s="65"/>
      <c r="BJ864" s="65"/>
      <c r="BK864" s="65"/>
      <c r="BL864" s="65"/>
      <c r="BM864" s="65"/>
      <c r="BN864" s="65"/>
      <c r="BO864" s="65"/>
      <c r="BP864" s="65"/>
      <c r="BQ864" s="65"/>
      <c r="BR864" s="65"/>
      <c r="BS864" s="65"/>
      <c r="BT864" s="65"/>
      <c r="BU864" s="65"/>
      <c r="BV864" s="65"/>
      <c r="BW864" s="65"/>
    </row>
    <row r="865" spans="45:75" x14ac:dyDescent="0.25">
      <c r="AS865" s="53"/>
      <c r="AV865" s="53"/>
      <c r="AW865" s="379"/>
      <c r="AX865" s="65"/>
      <c r="AY865" s="65"/>
      <c r="AZ865" s="65"/>
      <c r="BA865" s="60"/>
      <c r="BB865" s="65"/>
      <c r="BC865" s="65"/>
      <c r="BD865" s="65"/>
      <c r="BE865" s="60"/>
      <c r="BG865" s="65"/>
      <c r="BH865" s="65"/>
      <c r="BI865" s="65"/>
      <c r="BJ865" s="65"/>
      <c r="BK865" s="65"/>
      <c r="BL865" s="65"/>
      <c r="BM865" s="65"/>
      <c r="BN865" s="65"/>
      <c r="BO865" s="65"/>
      <c r="BP865" s="65"/>
      <c r="BQ865" s="65"/>
      <c r="BR865" s="65"/>
      <c r="BS865" s="65"/>
      <c r="BT865" s="65"/>
      <c r="BU865" s="65"/>
      <c r="BV865" s="65"/>
      <c r="BW865" s="65"/>
    </row>
    <row r="866" spans="45:75" x14ac:dyDescent="0.25">
      <c r="AS866" s="53"/>
      <c r="AV866" s="53"/>
      <c r="AW866" s="379"/>
      <c r="AX866" s="65"/>
      <c r="AY866" s="65"/>
      <c r="AZ866" s="65"/>
      <c r="BA866" s="60"/>
      <c r="BB866" s="65"/>
      <c r="BC866" s="65"/>
      <c r="BD866" s="65"/>
      <c r="BE866" s="60"/>
      <c r="BG866" s="65"/>
      <c r="BH866" s="65"/>
      <c r="BI866" s="65"/>
      <c r="BJ866" s="65"/>
      <c r="BK866" s="65"/>
      <c r="BL866" s="65"/>
      <c r="BM866" s="65"/>
      <c r="BN866" s="65"/>
      <c r="BO866" s="65"/>
      <c r="BP866" s="65"/>
      <c r="BQ866" s="65"/>
      <c r="BR866" s="65"/>
      <c r="BS866" s="65"/>
      <c r="BT866" s="65"/>
      <c r="BU866" s="65"/>
      <c r="BV866" s="65"/>
      <c r="BW866" s="65"/>
    </row>
    <row r="867" spans="45:75" x14ac:dyDescent="0.25">
      <c r="AS867" s="53"/>
      <c r="AV867" s="53"/>
      <c r="AW867" s="379"/>
      <c r="AX867" s="65"/>
      <c r="AY867" s="65"/>
      <c r="AZ867" s="65"/>
      <c r="BA867" s="60"/>
      <c r="BB867" s="65"/>
      <c r="BC867" s="65"/>
      <c r="BD867" s="65"/>
      <c r="BE867" s="60"/>
      <c r="BG867" s="65"/>
      <c r="BH867" s="65"/>
      <c r="BI867" s="65"/>
      <c r="BJ867" s="65"/>
      <c r="BK867" s="65"/>
      <c r="BL867" s="65"/>
      <c r="BM867" s="65"/>
      <c r="BN867" s="65"/>
      <c r="BO867" s="65"/>
      <c r="BP867" s="65"/>
      <c r="BQ867" s="65"/>
      <c r="BR867" s="65"/>
      <c r="BS867" s="65"/>
      <c r="BT867" s="65"/>
      <c r="BU867" s="65"/>
      <c r="BV867" s="65"/>
      <c r="BW867" s="65"/>
    </row>
    <row r="868" spans="45:75" x14ac:dyDescent="0.25">
      <c r="AW868" s="379"/>
      <c r="AX868" s="65"/>
      <c r="AY868" s="65"/>
      <c r="AZ868" s="65"/>
      <c r="BA868" s="60"/>
      <c r="BB868" s="65"/>
      <c r="BC868" s="65"/>
      <c r="BD868" s="65"/>
      <c r="BE868" s="60"/>
      <c r="BG868" s="55"/>
      <c r="BH868" s="55"/>
      <c r="BI868" s="54"/>
      <c r="BM868" s="55"/>
      <c r="BN868" s="55"/>
      <c r="BO868" s="65"/>
      <c r="BP868" s="55"/>
      <c r="BQ868" s="55"/>
      <c r="BR868" s="54"/>
      <c r="BV868" s="55"/>
      <c r="BW868" s="55"/>
    </row>
    <row r="869" spans="45:75" x14ac:dyDescent="0.25">
      <c r="AS869" s="53"/>
      <c r="AU869" s="54"/>
      <c r="AV869" s="56"/>
      <c r="AW869" s="379"/>
      <c r="AX869" s="65"/>
      <c r="AY869" s="65"/>
      <c r="AZ869" s="65"/>
      <c r="BA869" s="60"/>
      <c r="BB869" s="65"/>
      <c r="BC869" s="65"/>
      <c r="BD869" s="65"/>
      <c r="BE869" s="60"/>
      <c r="BG869" s="67"/>
      <c r="BH869" s="65"/>
      <c r="BI869" s="65"/>
      <c r="BJ869" s="65"/>
      <c r="BK869" s="67"/>
      <c r="BL869" s="68"/>
      <c r="BM869" s="65"/>
      <c r="BN869" s="67"/>
      <c r="BO869" s="65"/>
      <c r="BP869" s="67"/>
      <c r="BQ869" s="65"/>
      <c r="BR869" s="65"/>
      <c r="BS869" s="65"/>
      <c r="BT869" s="67"/>
      <c r="BU869" s="68"/>
      <c r="BV869" s="65"/>
      <c r="BW869" s="67"/>
    </row>
    <row r="870" spans="45:75" x14ac:dyDescent="0.25">
      <c r="AS870" s="53"/>
      <c r="AV870" s="56"/>
      <c r="AW870" s="379"/>
      <c r="AX870" s="65"/>
      <c r="AY870" s="65"/>
      <c r="AZ870" s="65"/>
      <c r="BA870" s="60"/>
      <c r="BB870" s="65"/>
      <c r="BC870" s="65"/>
      <c r="BD870" s="65"/>
      <c r="BE870" s="60"/>
      <c r="BG870" s="65"/>
      <c r="BH870" s="65"/>
      <c r="BI870" s="65"/>
      <c r="BJ870" s="65"/>
      <c r="BK870" s="65"/>
      <c r="BL870" s="68"/>
      <c r="BM870" s="65"/>
      <c r="BN870" s="65"/>
      <c r="BO870" s="65"/>
      <c r="BP870" s="65"/>
      <c r="BQ870" s="65"/>
      <c r="BR870" s="65"/>
      <c r="BS870" s="65"/>
      <c r="BT870" s="65"/>
      <c r="BU870" s="68"/>
      <c r="BV870" s="65"/>
      <c r="BW870" s="65"/>
    </row>
    <row r="871" spans="45:75" x14ac:dyDescent="0.25">
      <c r="AS871" s="53"/>
      <c r="AV871" s="56"/>
      <c r="AW871" s="379"/>
      <c r="AX871" s="65"/>
      <c r="AY871" s="65"/>
      <c r="AZ871" s="65"/>
      <c r="BA871" s="60"/>
      <c r="BB871" s="65"/>
      <c r="BC871" s="65"/>
      <c r="BD871" s="65"/>
      <c r="BE871" s="60"/>
      <c r="BG871" s="65"/>
      <c r="BH871" s="65"/>
      <c r="BI871" s="65"/>
      <c r="BJ871" s="65"/>
      <c r="BK871" s="65"/>
      <c r="BL871" s="68"/>
      <c r="BM871" s="65"/>
      <c r="BN871" s="65"/>
      <c r="BO871" s="65"/>
      <c r="BP871" s="65"/>
      <c r="BQ871" s="65"/>
      <c r="BR871" s="65"/>
      <c r="BS871" s="65"/>
      <c r="BT871" s="65"/>
      <c r="BU871" s="68"/>
      <c r="BV871" s="65"/>
      <c r="BW871" s="65"/>
    </row>
    <row r="872" spans="45:75" x14ac:dyDescent="0.25">
      <c r="AS872" s="53"/>
      <c r="AV872" s="56"/>
      <c r="AW872" s="379"/>
      <c r="AX872" s="65"/>
      <c r="AY872" s="65"/>
      <c r="AZ872" s="65"/>
      <c r="BA872" s="60"/>
      <c r="BB872" s="65"/>
      <c r="BC872" s="65"/>
      <c r="BD872" s="65"/>
      <c r="BE872" s="60"/>
      <c r="BG872" s="65"/>
      <c r="BH872" s="65"/>
      <c r="BI872" s="65"/>
      <c r="BJ872" s="65"/>
      <c r="BK872" s="65"/>
      <c r="BL872" s="68"/>
      <c r="BM872" s="65"/>
      <c r="BN872" s="65"/>
      <c r="BO872" s="65"/>
      <c r="BP872" s="65"/>
      <c r="BQ872" s="65"/>
      <c r="BR872" s="65"/>
      <c r="BS872" s="65"/>
      <c r="BT872" s="65"/>
      <c r="BU872" s="68"/>
      <c r="BV872" s="65"/>
      <c r="BW872" s="65"/>
    </row>
    <row r="873" spans="45:75" x14ac:dyDescent="0.25">
      <c r="AX873" s="65"/>
      <c r="AY873" s="65"/>
      <c r="AZ873" s="65"/>
      <c r="BA873" s="60"/>
      <c r="BB873" s="65"/>
      <c r="BC873" s="65"/>
      <c r="BD873" s="65"/>
      <c r="BE873" s="60"/>
      <c r="BG873" s="65"/>
      <c r="BH873" s="65"/>
      <c r="BI873" s="65"/>
      <c r="BJ873" s="65"/>
      <c r="BK873" s="65"/>
      <c r="BL873" s="65"/>
      <c r="BM873" s="65"/>
      <c r="BN873" s="65"/>
      <c r="BO873" s="65"/>
      <c r="BP873" s="65"/>
      <c r="BQ873" s="65"/>
      <c r="BR873" s="65"/>
      <c r="BS873" s="65"/>
      <c r="BT873" s="65"/>
      <c r="BU873" s="65"/>
      <c r="BV873" s="65"/>
    </row>
    <row r="874" spans="45:75" x14ac:dyDescent="0.25">
      <c r="AU874" s="54"/>
    </row>
    <row r="875" spans="45:75" x14ac:dyDescent="0.25">
      <c r="AU875" s="54"/>
      <c r="AZ875" s="65"/>
      <c r="BA875" s="60"/>
      <c r="BB875" s="65"/>
      <c r="BC875" s="65"/>
      <c r="BD875" s="65"/>
      <c r="BE875" s="60"/>
      <c r="BG875" s="65"/>
      <c r="BH875" s="65"/>
      <c r="BI875" s="65"/>
      <c r="BJ875" s="65"/>
      <c r="BK875" s="65"/>
      <c r="BL875" s="65"/>
      <c r="BM875" s="65"/>
      <c r="BN875" s="65"/>
      <c r="BO875" s="65"/>
      <c r="BP875" s="65"/>
      <c r="BQ875" s="65"/>
      <c r="BR875" s="65"/>
      <c r="BS875" s="65"/>
      <c r="BT875" s="65"/>
      <c r="BU875" s="65"/>
      <c r="BV875" s="65"/>
    </row>
    <row r="876" spans="45:75" x14ac:dyDescent="0.25">
      <c r="AS876" s="54"/>
      <c r="AZ876" s="65"/>
      <c r="BB876" s="65"/>
    </row>
    <row r="877" spans="45:75" x14ac:dyDescent="0.25">
      <c r="AY877" s="53"/>
      <c r="AZ877" s="65"/>
      <c r="BB877" s="65"/>
      <c r="BO877" s="65"/>
      <c r="BP877" s="65"/>
      <c r="BQ877" s="65"/>
      <c r="BR877" s="65"/>
      <c r="BS877" s="65"/>
      <c r="BT877" s="65"/>
      <c r="BU877" s="65"/>
      <c r="BV877" s="65"/>
    </row>
    <row r="878" spans="45:75" x14ac:dyDescent="0.25">
      <c r="AY878" s="65"/>
      <c r="AZ878" s="65"/>
      <c r="BB878" s="65"/>
      <c r="BO878" s="65"/>
      <c r="BP878" s="65"/>
      <c r="BQ878" s="65"/>
      <c r="BR878" s="65"/>
      <c r="BS878" s="65"/>
      <c r="BT878" s="65"/>
      <c r="BU878" s="65"/>
      <c r="BV878" s="65"/>
    </row>
    <row r="879" spans="45:75" x14ac:dyDescent="0.25">
      <c r="AY879" s="54"/>
      <c r="AZ879" s="65"/>
      <c r="BB879" s="65"/>
      <c r="BO879" s="65"/>
      <c r="BP879" s="65"/>
      <c r="BQ879" s="65"/>
      <c r="BR879" s="65"/>
      <c r="BS879" s="65"/>
      <c r="BT879" s="65"/>
      <c r="BU879" s="65"/>
      <c r="BV879" s="65"/>
    </row>
    <row r="880" spans="45:75" x14ac:dyDescent="0.25">
      <c r="AY880" s="54"/>
      <c r="AZ880" s="65"/>
      <c r="BB880" s="65"/>
      <c r="BO880" s="65"/>
      <c r="BP880" s="65"/>
      <c r="BQ880" s="65"/>
      <c r="BR880" s="65"/>
      <c r="BS880" s="65"/>
      <c r="BT880" s="65"/>
      <c r="BU880" s="65"/>
      <c r="BV880" s="65"/>
    </row>
    <row r="881" spans="45:74" x14ac:dyDescent="0.25">
      <c r="AS881" s="53"/>
      <c r="AZ881" s="65"/>
      <c r="BB881" s="65"/>
      <c r="BD881" s="54"/>
      <c r="BO881" s="65"/>
      <c r="BP881" s="65"/>
      <c r="BQ881" s="65"/>
      <c r="BR881" s="65"/>
      <c r="BS881" s="65"/>
      <c r="BT881" s="65"/>
      <c r="BU881" s="65"/>
      <c r="BV881" s="65"/>
    </row>
    <row r="882" spans="45:74" x14ac:dyDescent="0.25">
      <c r="AS882" s="53"/>
      <c r="AZ882" s="65"/>
      <c r="BB882" s="65"/>
      <c r="BD882" s="54"/>
      <c r="BO882" s="65"/>
      <c r="BP882" s="65"/>
      <c r="BQ882" s="65"/>
      <c r="BR882" s="65"/>
      <c r="BS882" s="65"/>
      <c r="BT882" s="65"/>
      <c r="BU882" s="65"/>
      <c r="BV882" s="65"/>
    </row>
    <row r="883" spans="45:74" x14ac:dyDescent="0.25">
      <c r="AS883" s="54"/>
      <c r="AZ883" s="65"/>
      <c r="BB883" s="65"/>
      <c r="BD883" s="54"/>
      <c r="BO883" s="65"/>
      <c r="BP883" s="65"/>
      <c r="BQ883" s="65"/>
      <c r="BR883" s="65"/>
      <c r="BS883" s="65"/>
      <c r="BT883" s="65"/>
      <c r="BU883" s="65"/>
      <c r="BV883" s="65"/>
    </row>
    <row r="884" spans="45:74" x14ac:dyDescent="0.25">
      <c r="AZ884" s="65"/>
      <c r="BB884" s="65"/>
      <c r="BD884" s="53"/>
      <c r="BO884" s="65"/>
      <c r="BP884" s="65"/>
      <c r="BQ884" s="65"/>
      <c r="BR884" s="65"/>
      <c r="BS884" s="65"/>
      <c r="BT884" s="65"/>
      <c r="BU884" s="65"/>
      <c r="BV884" s="65"/>
    </row>
    <row r="885" spans="45:74" x14ac:dyDescent="0.25">
      <c r="AS885" s="55"/>
      <c r="AT885" s="55"/>
      <c r="AU885" s="55"/>
      <c r="AV885" s="55"/>
      <c r="AW885" s="55"/>
      <c r="AX885" s="55"/>
      <c r="AY885" s="55"/>
      <c r="AZ885" s="66"/>
      <c r="BA885" s="55"/>
      <c r="BB885" s="66"/>
      <c r="BC885" s="55"/>
      <c r="BD885" s="55"/>
      <c r="BE885" s="55"/>
      <c r="BO885" s="65"/>
      <c r="BP885" s="65"/>
      <c r="BQ885" s="65"/>
      <c r="BR885" s="65"/>
      <c r="BS885" s="65"/>
      <c r="BT885" s="65"/>
      <c r="BU885" s="65"/>
      <c r="BV885" s="65"/>
    </row>
    <row r="886" spans="45:74" x14ac:dyDescent="0.25">
      <c r="AX886" s="54"/>
      <c r="AZ886" s="65"/>
      <c r="BB886" s="65"/>
      <c r="BO886" s="65"/>
      <c r="BP886" s="65"/>
      <c r="BQ886" s="65"/>
      <c r="BR886" s="65"/>
      <c r="BS886" s="65"/>
      <c r="BT886" s="65"/>
      <c r="BU886" s="65"/>
      <c r="BV886" s="65"/>
    </row>
    <row r="887" spans="45:74" x14ac:dyDescent="0.25">
      <c r="AX887" s="55"/>
      <c r="AY887" s="55"/>
      <c r="AZ887" s="66"/>
      <c r="BA887" s="55"/>
      <c r="BB887" s="65"/>
      <c r="BC887" s="56"/>
      <c r="BD887" s="56"/>
      <c r="BO887" s="65"/>
      <c r="BP887" s="65"/>
      <c r="BQ887" s="65"/>
      <c r="BR887" s="65"/>
      <c r="BS887" s="65"/>
      <c r="BT887" s="65"/>
      <c r="BU887" s="65"/>
      <c r="BV887" s="65"/>
    </row>
    <row r="888" spans="45:74" x14ac:dyDescent="0.25">
      <c r="AV888" s="56"/>
      <c r="AW888" s="56"/>
      <c r="AZ888" s="67"/>
      <c r="BA888" s="56"/>
      <c r="BB888" s="65"/>
      <c r="BC888" s="56"/>
      <c r="BD888" s="56"/>
      <c r="BE888" s="56"/>
      <c r="BG888" s="55"/>
      <c r="BH888" s="54"/>
      <c r="BK888" s="55"/>
      <c r="BM888" s="55"/>
      <c r="BN888" s="54"/>
      <c r="BQ888" s="55"/>
    </row>
    <row r="889" spans="45:74" x14ac:dyDescent="0.25">
      <c r="AV889" s="56"/>
      <c r="AW889" s="56"/>
      <c r="AX889" s="56"/>
      <c r="AY889" s="56"/>
      <c r="AZ889" s="67"/>
      <c r="BA889" s="56"/>
      <c r="BB889" s="67"/>
      <c r="BC889" s="56"/>
      <c r="BD889" s="56"/>
      <c r="BE889" s="56"/>
      <c r="BH889" s="56"/>
      <c r="BI889" s="56"/>
      <c r="BN889" s="56"/>
      <c r="BO889" s="56"/>
    </row>
    <row r="890" spans="45:74" x14ac:dyDescent="0.25">
      <c r="AS890" s="56"/>
      <c r="AU890" s="54"/>
      <c r="AV890" s="56"/>
      <c r="AW890" s="56"/>
      <c r="AX890" s="56"/>
      <c r="AY890" s="56"/>
      <c r="AZ890" s="67"/>
      <c r="BA890" s="56"/>
      <c r="BB890" s="67"/>
      <c r="BC890" s="56"/>
      <c r="BD890" s="56"/>
      <c r="BE890" s="56"/>
      <c r="BG890" s="56"/>
      <c r="BH890" s="56"/>
      <c r="BI890" s="56"/>
      <c r="BJ890" s="56"/>
      <c r="BK890" s="56"/>
      <c r="BM890" s="56"/>
      <c r="BN890" s="56"/>
      <c r="BO890" s="56"/>
      <c r="BP890" s="56"/>
      <c r="BQ890" s="56"/>
    </row>
    <row r="891" spans="45:74" x14ac:dyDescent="0.25">
      <c r="AS891" s="56"/>
      <c r="AU891" s="54"/>
      <c r="AV891" s="56"/>
      <c r="AW891" s="56"/>
      <c r="AX891" s="56"/>
      <c r="AY891" s="56"/>
      <c r="AZ891" s="67"/>
      <c r="BA891" s="56"/>
      <c r="BB891" s="67"/>
      <c r="BC891" s="56"/>
      <c r="BD891" s="56"/>
      <c r="BE891" s="56"/>
      <c r="BG891" s="56"/>
      <c r="BH891" s="56"/>
      <c r="BI891" s="56"/>
      <c r="BJ891" s="56"/>
      <c r="BK891" s="56"/>
      <c r="BM891" s="56"/>
      <c r="BN891" s="56"/>
      <c r="BO891" s="56"/>
      <c r="BP891" s="56"/>
      <c r="BQ891" s="56"/>
    </row>
    <row r="892" spans="45:74" x14ac:dyDescent="0.25">
      <c r="AS892" s="55"/>
      <c r="AT892" s="55"/>
      <c r="AU892" s="55"/>
      <c r="AV892" s="55"/>
      <c r="AW892" s="55"/>
      <c r="AX892" s="55"/>
      <c r="AY892" s="55"/>
      <c r="AZ892" s="66"/>
      <c r="BA892" s="55"/>
      <c r="BB892" s="66"/>
      <c r="BC892" s="55"/>
      <c r="BD892" s="55"/>
      <c r="BE892" s="55"/>
      <c r="BG892" s="55"/>
      <c r="BH892" s="55"/>
      <c r="BI892" s="55"/>
      <c r="BJ892" s="55"/>
      <c r="BK892" s="55"/>
      <c r="BM892" s="55"/>
      <c r="BN892" s="55"/>
      <c r="BO892" s="55"/>
      <c r="BP892" s="55"/>
      <c r="BQ892" s="55"/>
    </row>
    <row r="893" spans="45:74" x14ac:dyDescent="0.25">
      <c r="AV893" s="56"/>
      <c r="AW893" s="56"/>
      <c r="AX893" s="56"/>
      <c r="AY893" s="56"/>
      <c r="AZ893" s="67"/>
      <c r="BA893" s="56"/>
      <c r="BB893" s="67"/>
      <c r="BC893" s="56"/>
      <c r="BD893" s="56"/>
      <c r="BE893" s="56"/>
      <c r="BG893" s="65"/>
      <c r="BH893" s="65"/>
      <c r="BI893" s="65"/>
      <c r="BJ893" s="65"/>
      <c r="BK893" s="65"/>
      <c r="BL893" s="65"/>
      <c r="BM893" s="65"/>
      <c r="BN893" s="65"/>
      <c r="BO893" s="65"/>
      <c r="BP893" s="65"/>
      <c r="BQ893" s="65"/>
    </row>
    <row r="894" spans="45:74" x14ac:dyDescent="0.25">
      <c r="AS894" s="53"/>
      <c r="AT894" s="54"/>
      <c r="AV894" s="379"/>
      <c r="AW894" s="379"/>
      <c r="AX894" s="65"/>
      <c r="AY894" s="65"/>
      <c r="AZ894" s="65"/>
      <c r="BA894" s="60"/>
      <c r="BB894" s="65"/>
      <c r="BC894" s="65"/>
      <c r="BD894" s="65"/>
      <c r="BE894" s="60"/>
      <c r="BG894" s="65"/>
      <c r="BH894" s="65"/>
      <c r="BI894" s="65"/>
      <c r="BJ894" s="65"/>
      <c r="BK894" s="65"/>
      <c r="BL894" s="65"/>
      <c r="BM894" s="65"/>
      <c r="BN894" s="65"/>
      <c r="BO894" s="65"/>
      <c r="BP894" s="65"/>
      <c r="BQ894" s="65"/>
      <c r="BR894" s="65"/>
      <c r="BS894" s="65"/>
    </row>
    <row r="895" spans="45:74" x14ac:dyDescent="0.25">
      <c r="AS895" s="53"/>
      <c r="AV895" s="379"/>
      <c r="AW895" s="379"/>
      <c r="AX895" s="65"/>
      <c r="AY895" s="65"/>
      <c r="AZ895" s="65"/>
      <c r="BA895" s="60"/>
      <c r="BB895" s="65"/>
      <c r="BC895" s="65"/>
      <c r="BD895" s="65"/>
      <c r="BE895" s="60"/>
      <c r="BG895" s="65"/>
      <c r="BH895" s="65"/>
      <c r="BI895" s="65"/>
      <c r="BJ895" s="65"/>
      <c r="BK895" s="65"/>
      <c r="BL895" s="65"/>
      <c r="BM895" s="65"/>
      <c r="BN895" s="65"/>
      <c r="BO895" s="65"/>
      <c r="BP895" s="65"/>
      <c r="BQ895" s="65"/>
      <c r="BR895" s="65"/>
      <c r="BS895" s="65"/>
    </row>
    <row r="896" spans="45:74" x14ac:dyDescent="0.25">
      <c r="AS896" s="53"/>
      <c r="AV896" s="379"/>
      <c r="AW896" s="379"/>
      <c r="AX896" s="65"/>
      <c r="AY896" s="65"/>
      <c r="AZ896" s="65"/>
      <c r="BA896" s="60"/>
      <c r="BB896" s="65"/>
      <c r="BC896" s="65"/>
      <c r="BD896" s="65"/>
      <c r="BE896" s="60"/>
      <c r="BG896" s="65"/>
      <c r="BH896" s="65"/>
      <c r="BI896" s="65"/>
      <c r="BJ896" s="65"/>
      <c r="BK896" s="65"/>
      <c r="BL896" s="65"/>
      <c r="BM896" s="65"/>
      <c r="BN896" s="65"/>
      <c r="BO896" s="65"/>
      <c r="BP896" s="65"/>
      <c r="BQ896" s="65"/>
      <c r="BR896" s="65"/>
      <c r="BS896" s="65"/>
    </row>
    <row r="897" spans="45:71" x14ac:dyDescent="0.25">
      <c r="AS897" s="53"/>
      <c r="AV897" s="379"/>
      <c r="AW897" s="379"/>
      <c r="AX897" s="65"/>
      <c r="AY897" s="65"/>
      <c r="AZ897" s="65"/>
      <c r="BA897" s="60"/>
      <c r="BB897" s="65"/>
      <c r="BC897" s="65"/>
      <c r="BD897" s="65"/>
      <c r="BE897" s="60"/>
      <c r="BG897" s="65"/>
      <c r="BH897" s="65"/>
      <c r="BI897" s="65"/>
      <c r="BJ897" s="65"/>
      <c r="BK897" s="65"/>
      <c r="BL897" s="65"/>
      <c r="BM897" s="65"/>
      <c r="BN897" s="65"/>
      <c r="BO897" s="65"/>
      <c r="BP897" s="65"/>
      <c r="BQ897" s="65"/>
      <c r="BR897" s="65"/>
      <c r="BS897" s="65"/>
    </row>
    <row r="898" spans="45:71" x14ac:dyDescent="0.25">
      <c r="AS898" s="53"/>
      <c r="AV898" s="379"/>
      <c r="AW898" s="379"/>
      <c r="AX898" s="65"/>
      <c r="AY898" s="65"/>
      <c r="AZ898" s="65"/>
      <c r="BA898" s="60"/>
      <c r="BB898" s="65"/>
      <c r="BC898" s="65"/>
      <c r="BD898" s="65"/>
      <c r="BE898" s="60"/>
      <c r="BG898" s="65"/>
      <c r="BH898" s="65"/>
      <c r="BI898" s="65"/>
      <c r="BJ898" s="65"/>
      <c r="BK898" s="65"/>
      <c r="BL898" s="65"/>
      <c r="BM898" s="65"/>
      <c r="BN898" s="65"/>
      <c r="BO898" s="65"/>
      <c r="BP898" s="65"/>
      <c r="BQ898" s="65"/>
      <c r="BR898" s="65"/>
      <c r="BS898" s="65"/>
    </row>
    <row r="899" spans="45:71" x14ac:dyDescent="0.25">
      <c r="AS899" s="53"/>
      <c r="AV899" s="379"/>
      <c r="AW899" s="379"/>
      <c r="AX899" s="65"/>
      <c r="AY899" s="65"/>
      <c r="AZ899" s="65"/>
      <c r="BA899" s="60"/>
      <c r="BB899" s="65"/>
      <c r="BC899" s="65"/>
      <c r="BD899" s="65"/>
      <c r="BE899" s="60"/>
      <c r="BG899" s="65"/>
      <c r="BH899" s="65"/>
      <c r="BI899" s="65"/>
      <c r="BJ899" s="65"/>
      <c r="BK899" s="65"/>
      <c r="BL899" s="65"/>
      <c r="BM899" s="65"/>
      <c r="BN899" s="65"/>
      <c r="BO899" s="65"/>
      <c r="BP899" s="65"/>
      <c r="BQ899" s="65"/>
      <c r="BR899" s="65"/>
      <c r="BS899" s="65"/>
    </row>
    <row r="900" spans="45:71" x14ac:dyDescent="0.25">
      <c r="AS900" s="53"/>
      <c r="AV900" s="379"/>
      <c r="AW900" s="379"/>
      <c r="AX900" s="65"/>
      <c r="AY900" s="65"/>
      <c r="AZ900" s="65"/>
      <c r="BA900" s="60"/>
      <c r="BB900" s="65"/>
      <c r="BC900" s="65"/>
      <c r="BD900" s="65"/>
      <c r="BE900" s="60"/>
      <c r="BG900" s="65"/>
      <c r="BH900" s="65"/>
      <c r="BI900" s="65"/>
      <c r="BJ900" s="65"/>
      <c r="BK900" s="65"/>
      <c r="BL900" s="65"/>
      <c r="BM900" s="65"/>
      <c r="BN900" s="65"/>
      <c r="BO900" s="65"/>
      <c r="BP900" s="65"/>
      <c r="BQ900" s="65"/>
      <c r="BR900" s="65"/>
      <c r="BS900" s="65"/>
    </row>
    <row r="901" spans="45:71" x14ac:dyDescent="0.25">
      <c r="AS901" s="53"/>
      <c r="AV901" s="379"/>
      <c r="AW901" s="379"/>
      <c r="AX901" s="65"/>
      <c r="AY901" s="65"/>
      <c r="AZ901" s="65"/>
      <c r="BA901" s="60"/>
      <c r="BB901" s="65"/>
      <c r="BC901" s="65"/>
      <c r="BD901" s="65"/>
      <c r="BE901" s="60"/>
      <c r="BG901" s="65"/>
      <c r="BH901" s="65"/>
      <c r="BI901" s="65"/>
      <c r="BJ901" s="65"/>
      <c r="BK901" s="65"/>
      <c r="BL901" s="65"/>
      <c r="BM901" s="65"/>
      <c r="BN901" s="65"/>
      <c r="BO901" s="65"/>
      <c r="BP901" s="65"/>
      <c r="BQ901" s="65"/>
      <c r="BR901" s="65"/>
      <c r="BS901" s="65"/>
    </row>
    <row r="902" spans="45:71" x14ac:dyDescent="0.25">
      <c r="AS902" s="53"/>
      <c r="AV902" s="379"/>
      <c r="AW902" s="379"/>
      <c r="AX902" s="65"/>
      <c r="AY902" s="65"/>
      <c r="AZ902" s="65"/>
      <c r="BA902" s="60"/>
      <c r="BB902" s="65"/>
      <c r="BC902" s="65"/>
      <c r="BD902" s="65"/>
      <c r="BE902" s="60"/>
      <c r="BG902" s="65"/>
      <c r="BH902" s="65"/>
      <c r="BI902" s="65"/>
      <c r="BJ902" s="65"/>
      <c r="BK902" s="65"/>
      <c r="BL902" s="65"/>
      <c r="BM902" s="65"/>
      <c r="BN902" s="65"/>
      <c r="BO902" s="65"/>
      <c r="BP902" s="65"/>
      <c r="BQ902" s="65"/>
      <c r="BR902" s="65"/>
      <c r="BS902" s="65"/>
    </row>
    <row r="903" spans="45:71" x14ac:dyDescent="0.25">
      <c r="AS903" s="53"/>
      <c r="AV903" s="379"/>
      <c r="AW903" s="379"/>
      <c r="AX903" s="65"/>
      <c r="AY903" s="65"/>
      <c r="AZ903" s="65"/>
      <c r="BA903" s="60"/>
      <c r="BB903" s="65"/>
      <c r="BC903" s="65"/>
      <c r="BD903" s="65"/>
      <c r="BE903" s="60"/>
      <c r="BG903" s="65"/>
      <c r="BH903" s="65"/>
      <c r="BI903" s="65"/>
      <c r="BJ903" s="65"/>
      <c r="BK903" s="65"/>
      <c r="BL903" s="65"/>
      <c r="BM903" s="65"/>
      <c r="BN903" s="65"/>
      <c r="BO903" s="65"/>
      <c r="BP903" s="65"/>
      <c r="BQ903" s="65"/>
      <c r="BR903" s="65"/>
      <c r="BS903" s="65"/>
    </row>
    <row r="904" spans="45:71" x14ac:dyDescent="0.25">
      <c r="AS904" s="53"/>
      <c r="AV904" s="379"/>
      <c r="AW904" s="379"/>
      <c r="AX904" s="65"/>
      <c r="AY904" s="65"/>
      <c r="AZ904" s="65"/>
      <c r="BA904" s="60"/>
      <c r="BB904" s="65"/>
      <c r="BC904" s="65"/>
      <c r="BD904" s="65"/>
      <c r="BE904" s="60"/>
      <c r="BG904" s="65"/>
      <c r="BH904" s="65"/>
      <c r="BI904" s="65"/>
      <c r="BJ904" s="65"/>
      <c r="BK904" s="65"/>
      <c r="BL904" s="65"/>
      <c r="BM904" s="65"/>
      <c r="BN904" s="65"/>
      <c r="BO904" s="65"/>
      <c r="BP904" s="65"/>
      <c r="BQ904" s="65"/>
      <c r="BR904" s="65"/>
      <c r="BS904" s="65"/>
    </row>
    <row r="905" spans="45:71" x14ac:dyDescent="0.25">
      <c r="AS905" s="53"/>
      <c r="AV905" s="379"/>
      <c r="AW905" s="379"/>
      <c r="AX905" s="65"/>
      <c r="AY905" s="65"/>
      <c r="AZ905" s="65"/>
      <c r="BA905" s="60"/>
      <c r="BB905" s="65"/>
      <c r="BC905" s="65"/>
      <c r="BD905" s="65"/>
      <c r="BE905" s="60"/>
      <c r="BG905" s="65"/>
      <c r="BH905" s="65"/>
      <c r="BI905" s="65"/>
      <c r="BJ905" s="65"/>
      <c r="BK905" s="65"/>
      <c r="BL905" s="65"/>
      <c r="BM905" s="65"/>
      <c r="BN905" s="65"/>
      <c r="BO905" s="65"/>
      <c r="BP905" s="65"/>
      <c r="BQ905" s="65"/>
      <c r="BR905" s="65"/>
      <c r="BS905" s="65"/>
    </row>
    <row r="906" spans="45:71" x14ac:dyDescent="0.25">
      <c r="AS906" s="53"/>
      <c r="AV906" s="379"/>
      <c r="AW906" s="379"/>
      <c r="AX906" s="65"/>
      <c r="AY906" s="65"/>
      <c r="AZ906" s="65"/>
      <c r="BA906" s="60"/>
      <c r="BB906" s="65"/>
      <c r="BC906" s="65"/>
      <c r="BD906" s="65"/>
      <c r="BE906" s="60"/>
      <c r="BG906" s="65"/>
      <c r="BH906" s="65"/>
      <c r="BI906" s="65"/>
      <c r="BJ906" s="65"/>
      <c r="BK906" s="65"/>
      <c r="BL906" s="65"/>
      <c r="BM906" s="65"/>
      <c r="BN906" s="65"/>
      <c r="BO906" s="65"/>
      <c r="BP906" s="65"/>
      <c r="BQ906" s="65"/>
      <c r="BR906" s="65"/>
      <c r="BS906" s="65"/>
    </row>
    <row r="907" spans="45:71" x14ac:dyDescent="0.25">
      <c r="AS907" s="53"/>
      <c r="AV907" s="379"/>
      <c r="AW907" s="379"/>
      <c r="AX907" s="65"/>
      <c r="AY907" s="65"/>
      <c r="AZ907" s="65"/>
      <c r="BA907" s="60"/>
      <c r="BB907" s="65"/>
      <c r="BC907" s="65"/>
      <c r="BD907" s="65"/>
      <c r="BE907" s="60"/>
      <c r="BG907" s="65"/>
      <c r="BH907" s="65"/>
      <c r="BI907" s="65"/>
      <c r="BJ907" s="65"/>
      <c r="BK907" s="65"/>
      <c r="BL907" s="65"/>
      <c r="BM907" s="65"/>
      <c r="BN907" s="65"/>
      <c r="BO907" s="65"/>
      <c r="BP907" s="65"/>
      <c r="BQ907" s="65"/>
      <c r="BR907" s="65"/>
      <c r="BS907" s="65"/>
    </row>
    <row r="908" spans="45:71" x14ac:dyDescent="0.25">
      <c r="AS908" s="53"/>
      <c r="AV908" s="379"/>
      <c r="AW908" s="379"/>
      <c r="AX908" s="65"/>
      <c r="AY908" s="65"/>
      <c r="AZ908" s="65"/>
      <c r="BA908" s="60"/>
      <c r="BB908" s="65"/>
      <c r="BC908" s="65"/>
      <c r="BD908" s="65"/>
      <c r="BE908" s="60"/>
      <c r="BG908" s="65"/>
      <c r="BH908" s="65"/>
      <c r="BI908" s="65"/>
      <c r="BJ908" s="65"/>
      <c r="BK908" s="65"/>
      <c r="BL908" s="65"/>
      <c r="BM908" s="65"/>
      <c r="BN908" s="65"/>
      <c r="BO908" s="65"/>
      <c r="BP908" s="65"/>
      <c r="BQ908" s="65"/>
      <c r="BR908" s="65"/>
      <c r="BS908" s="65"/>
    </row>
    <row r="909" spans="45:71" x14ac:dyDescent="0.25">
      <c r="AS909" s="53"/>
      <c r="AV909" s="379"/>
      <c r="AW909" s="379"/>
      <c r="AX909" s="65"/>
      <c r="AY909" s="65"/>
      <c r="AZ909" s="65"/>
      <c r="BA909" s="60"/>
      <c r="BB909" s="65"/>
      <c r="BC909" s="65"/>
      <c r="BD909" s="65"/>
      <c r="BE909" s="60"/>
      <c r="BG909" s="65"/>
      <c r="BH909" s="65"/>
      <c r="BI909" s="65"/>
      <c r="BJ909" s="65"/>
      <c r="BK909" s="65"/>
      <c r="BL909" s="65"/>
      <c r="BM909" s="65"/>
      <c r="BN909" s="65"/>
      <c r="BO909" s="65"/>
      <c r="BP909" s="65"/>
      <c r="BQ909" s="65"/>
      <c r="BR909" s="65"/>
      <c r="BS909" s="65"/>
    </row>
    <row r="910" spans="45:71" x14ac:dyDescent="0.25">
      <c r="AS910" s="53"/>
      <c r="AV910" s="379"/>
      <c r="AW910" s="379"/>
      <c r="AX910" s="65"/>
      <c r="AY910" s="65"/>
      <c r="AZ910" s="65"/>
      <c r="BA910" s="60"/>
      <c r="BB910" s="65"/>
      <c r="BC910" s="65"/>
      <c r="BD910" s="65"/>
      <c r="BE910" s="60"/>
      <c r="BG910" s="65"/>
      <c r="BH910" s="65"/>
      <c r="BI910" s="65"/>
      <c r="BJ910" s="65"/>
      <c r="BK910" s="65"/>
      <c r="BL910" s="65"/>
      <c r="BM910" s="65"/>
      <c r="BN910" s="65"/>
      <c r="BO910" s="65"/>
      <c r="BP910" s="65"/>
      <c r="BQ910" s="65"/>
      <c r="BR910" s="65"/>
      <c r="BS910" s="65"/>
    </row>
    <row r="911" spans="45:71" x14ac:dyDescent="0.25">
      <c r="AS911" s="53"/>
      <c r="AV911" s="379"/>
      <c r="AW911" s="379"/>
      <c r="AX911" s="65"/>
      <c r="AY911" s="65"/>
      <c r="AZ911" s="65"/>
      <c r="BA911" s="60"/>
      <c r="BB911" s="65"/>
      <c r="BC911" s="65"/>
      <c r="BD911" s="65"/>
      <c r="BE911" s="60"/>
      <c r="BG911" s="65"/>
      <c r="BH911" s="65"/>
      <c r="BI911" s="65"/>
      <c r="BJ911" s="65"/>
      <c r="BK911" s="65"/>
      <c r="BL911" s="65"/>
      <c r="BM911" s="65"/>
      <c r="BN911" s="65"/>
      <c r="BO911" s="65"/>
      <c r="BP911" s="65"/>
      <c r="BQ911" s="65"/>
      <c r="BR911" s="65"/>
      <c r="BS911" s="65"/>
    </row>
    <row r="912" spans="45:71" x14ac:dyDescent="0.25">
      <c r="AZ912" s="65"/>
      <c r="BB912" s="65"/>
      <c r="BC912" s="65"/>
      <c r="BD912" s="65"/>
      <c r="BG912" s="65"/>
      <c r="BH912" s="65"/>
      <c r="BI912" s="65"/>
      <c r="BJ912" s="65"/>
      <c r="BK912" s="65"/>
      <c r="BL912" s="65"/>
      <c r="BM912" s="65"/>
      <c r="BN912" s="65"/>
      <c r="BO912" s="65"/>
      <c r="BP912" s="65"/>
      <c r="BQ912" s="65"/>
      <c r="BR912" s="65"/>
      <c r="BS912" s="65"/>
    </row>
    <row r="913" spans="45:57" x14ac:dyDescent="0.25">
      <c r="AS913" s="53"/>
      <c r="AT913" s="54"/>
      <c r="AV913" s="379"/>
      <c r="AW913" s="379"/>
      <c r="AX913" s="65"/>
      <c r="AY913" s="65"/>
      <c r="AZ913" s="65"/>
      <c r="BA913" s="60"/>
      <c r="BB913" s="65"/>
      <c r="BC913" s="65"/>
      <c r="BD913" s="65"/>
      <c r="BE913" s="60"/>
    </row>
    <row r="914" spans="45:57" x14ac:dyDescent="0.25">
      <c r="AS914" s="53"/>
      <c r="AV914" s="379"/>
      <c r="AW914" s="379"/>
      <c r="AX914" s="65"/>
      <c r="AY914" s="65"/>
      <c r="AZ914" s="65"/>
      <c r="BA914" s="60"/>
      <c r="BB914" s="65"/>
      <c r="BC914" s="65"/>
      <c r="BD914" s="65"/>
      <c r="BE914" s="60"/>
    </row>
    <row r="915" spans="45:57" x14ac:dyDescent="0.25">
      <c r="AS915" s="53"/>
      <c r="AV915" s="379"/>
      <c r="AW915" s="379"/>
      <c r="AX915" s="65"/>
      <c r="AY915" s="65"/>
      <c r="AZ915" s="65"/>
      <c r="BA915" s="60"/>
      <c r="BB915" s="65"/>
      <c r="BC915" s="65"/>
      <c r="BD915" s="65"/>
      <c r="BE915" s="60"/>
    </row>
    <row r="916" spans="45:57" x14ac:dyDescent="0.25">
      <c r="AS916" s="53"/>
      <c r="AV916" s="379"/>
      <c r="AW916" s="379"/>
      <c r="AX916" s="65"/>
      <c r="AY916" s="65"/>
      <c r="AZ916" s="65"/>
      <c r="BA916" s="60"/>
      <c r="BB916" s="65"/>
      <c r="BC916" s="65"/>
      <c r="BD916" s="65"/>
      <c r="BE916" s="60"/>
    </row>
    <row r="917" spans="45:57" x14ac:dyDescent="0.25">
      <c r="AS917" s="53"/>
      <c r="AV917" s="379"/>
      <c r="AW917" s="379"/>
      <c r="AX917" s="65"/>
      <c r="AY917" s="65"/>
      <c r="AZ917" s="65"/>
      <c r="BA917" s="60"/>
      <c r="BB917" s="65"/>
      <c r="BC917" s="65"/>
      <c r="BD917" s="65"/>
      <c r="BE917" s="60"/>
    </row>
    <row r="918" spans="45:57" x14ac:dyDescent="0.25">
      <c r="AS918" s="53"/>
      <c r="AV918" s="379"/>
      <c r="AW918" s="379"/>
      <c r="AX918" s="65"/>
      <c r="AY918" s="65"/>
      <c r="AZ918" s="65"/>
      <c r="BA918" s="60"/>
      <c r="BB918" s="65"/>
      <c r="BC918" s="65"/>
      <c r="BD918" s="65"/>
      <c r="BE918" s="60"/>
    </row>
    <row r="919" spans="45:57" x14ac:dyDescent="0.25">
      <c r="AS919" s="53"/>
      <c r="AV919" s="379"/>
      <c r="AW919" s="379"/>
      <c r="AX919" s="65"/>
      <c r="AY919" s="65"/>
      <c r="AZ919" s="65"/>
      <c r="BA919" s="60"/>
      <c r="BB919" s="65"/>
      <c r="BC919" s="65"/>
      <c r="BD919" s="65"/>
      <c r="BE919" s="60"/>
    </row>
    <row r="920" spans="45:57" x14ac:dyDescent="0.25">
      <c r="AS920" s="53"/>
      <c r="AV920" s="379"/>
      <c r="AW920" s="379"/>
      <c r="AX920" s="65"/>
      <c r="AY920" s="65"/>
      <c r="AZ920" s="65"/>
      <c r="BA920" s="60"/>
      <c r="BB920" s="65"/>
      <c r="BC920" s="65"/>
      <c r="BD920" s="65"/>
      <c r="BE920" s="60"/>
    </row>
    <row r="921" spans="45:57" x14ac:dyDescent="0.25">
      <c r="AS921" s="53"/>
      <c r="AV921" s="379"/>
      <c r="AW921" s="379"/>
      <c r="AX921" s="65"/>
      <c r="AY921" s="65"/>
      <c r="AZ921" s="65"/>
      <c r="BA921" s="60"/>
      <c r="BB921" s="65"/>
      <c r="BC921" s="65"/>
      <c r="BD921" s="65"/>
      <c r="BE921" s="60"/>
    </row>
    <row r="922" spans="45:57" x14ac:dyDescent="0.25">
      <c r="AS922" s="53"/>
      <c r="AV922" s="379"/>
      <c r="AW922" s="379"/>
      <c r="AX922" s="65"/>
      <c r="AY922" s="65"/>
      <c r="AZ922" s="65"/>
      <c r="BA922" s="60"/>
      <c r="BB922" s="65"/>
      <c r="BC922" s="65"/>
      <c r="BD922" s="65"/>
      <c r="BE922" s="60"/>
    </row>
    <row r="923" spans="45:57" x14ac:dyDescent="0.25">
      <c r="AS923" s="53"/>
      <c r="AV923" s="379"/>
      <c r="AW923" s="379"/>
      <c r="AX923" s="65"/>
      <c r="AY923" s="65"/>
      <c r="AZ923" s="65"/>
      <c r="BA923" s="60"/>
      <c r="BB923" s="65"/>
      <c r="BC923" s="65"/>
      <c r="BD923" s="65"/>
      <c r="BE923" s="60"/>
    </row>
    <row r="924" spans="45:57" x14ac:dyDescent="0.25">
      <c r="AS924" s="53"/>
      <c r="AV924" s="379"/>
      <c r="AW924" s="379"/>
      <c r="AX924" s="65"/>
      <c r="AY924" s="65"/>
      <c r="AZ924" s="65"/>
      <c r="BA924" s="60"/>
      <c r="BB924" s="65"/>
      <c r="BC924" s="65"/>
      <c r="BD924" s="65"/>
      <c r="BE924" s="60"/>
    </row>
    <row r="925" spans="45:57" x14ac:dyDescent="0.25">
      <c r="AS925" s="53"/>
      <c r="AV925" s="379"/>
      <c r="AW925" s="379"/>
      <c r="AX925" s="65"/>
      <c r="AY925" s="65"/>
      <c r="AZ925" s="65"/>
      <c r="BA925" s="60"/>
      <c r="BB925" s="65"/>
      <c r="BC925" s="65"/>
      <c r="BD925" s="65"/>
      <c r="BE925" s="60"/>
    </row>
    <row r="926" spans="45:57" x14ac:dyDescent="0.25">
      <c r="AS926" s="53"/>
      <c r="AV926" s="379"/>
      <c r="AW926" s="379"/>
      <c r="AX926" s="65"/>
      <c r="AY926" s="65"/>
      <c r="AZ926" s="65"/>
      <c r="BA926" s="60"/>
      <c r="BB926" s="65"/>
      <c r="BC926" s="65"/>
      <c r="BD926" s="65"/>
      <c r="BE926" s="60"/>
    </row>
    <row r="927" spans="45:57" x14ac:dyDescent="0.25">
      <c r="AS927" s="53"/>
      <c r="AV927" s="379"/>
      <c r="AW927" s="379"/>
      <c r="AX927" s="65"/>
      <c r="AY927" s="65"/>
      <c r="AZ927" s="65"/>
      <c r="BA927" s="60"/>
      <c r="BB927" s="65"/>
      <c r="BC927" s="65"/>
      <c r="BD927" s="65"/>
      <c r="BE927" s="60"/>
    </row>
    <row r="928" spans="45:57" x14ac:dyDescent="0.25">
      <c r="AS928" s="53"/>
      <c r="AV928" s="379"/>
      <c r="AW928" s="379"/>
      <c r="AX928" s="65"/>
      <c r="AY928" s="65"/>
      <c r="AZ928" s="65"/>
      <c r="BA928" s="60"/>
      <c r="BB928" s="65"/>
      <c r="BC928" s="65"/>
      <c r="BD928" s="65"/>
      <c r="BE928" s="60"/>
    </row>
    <row r="929" spans="45:57" x14ac:dyDescent="0.25">
      <c r="AS929" s="53"/>
      <c r="AV929" s="379"/>
      <c r="AW929" s="379"/>
      <c r="AX929" s="65"/>
      <c r="AY929" s="65"/>
      <c r="AZ929" s="65"/>
      <c r="BA929" s="60"/>
      <c r="BB929" s="65"/>
      <c r="BC929" s="65"/>
      <c r="BD929" s="65"/>
      <c r="BE929" s="60"/>
    </row>
    <row r="930" spans="45:57" x14ac:dyDescent="0.25">
      <c r="AS930" s="53"/>
      <c r="AV930" s="379"/>
      <c r="AW930" s="379"/>
      <c r="AX930" s="65"/>
      <c r="AY930" s="65"/>
      <c r="AZ930" s="65"/>
      <c r="BA930" s="60"/>
      <c r="BB930" s="65"/>
      <c r="BC930" s="65"/>
      <c r="BD930" s="65"/>
      <c r="BE930" s="60"/>
    </row>
    <row r="931" spans="45:57" x14ac:dyDescent="0.25">
      <c r="BB931" s="65"/>
    </row>
    <row r="932" spans="45:57" x14ac:dyDescent="0.25">
      <c r="AU932" s="54"/>
      <c r="BB932" s="65"/>
    </row>
    <row r="933" spans="45:57" x14ac:dyDescent="0.25">
      <c r="AU933" s="54"/>
    </row>
    <row r="934" spans="45:57" x14ac:dyDescent="0.25">
      <c r="AU934" s="54"/>
      <c r="BB934" s="65"/>
    </row>
    <row r="935" spans="45:57" x14ac:dyDescent="0.25">
      <c r="AS935" s="54"/>
      <c r="AZ935" s="65"/>
      <c r="BB935" s="65"/>
    </row>
    <row r="936" spans="45:57" x14ac:dyDescent="0.25">
      <c r="AY936" s="53"/>
      <c r="AZ936" s="65"/>
      <c r="BB936" s="65"/>
    </row>
    <row r="937" spans="45:57" x14ac:dyDescent="0.25">
      <c r="AY937" s="65"/>
      <c r="AZ937" s="65"/>
      <c r="BB937" s="65"/>
    </row>
    <row r="938" spans="45:57" x14ac:dyDescent="0.25">
      <c r="AY938" s="54"/>
      <c r="AZ938" s="65"/>
      <c r="BB938" s="65"/>
    </row>
    <row r="939" spans="45:57" x14ac:dyDescent="0.25">
      <c r="AY939" s="54"/>
      <c r="AZ939" s="65"/>
      <c r="BB939" s="65"/>
    </row>
    <row r="940" spans="45:57" x14ac:dyDescent="0.25">
      <c r="AS940" s="53"/>
      <c r="AZ940" s="65"/>
      <c r="BB940" s="65"/>
      <c r="BD940" s="54"/>
    </row>
    <row r="941" spans="45:57" x14ac:dyDescent="0.25">
      <c r="AS941" s="53"/>
      <c r="AZ941" s="65"/>
      <c r="BB941" s="65"/>
      <c r="BD941" s="54"/>
    </row>
    <row r="942" spans="45:57" x14ac:dyDescent="0.25">
      <c r="AS942" s="54"/>
      <c r="AZ942" s="65"/>
      <c r="BB942" s="65"/>
      <c r="BD942" s="54"/>
    </row>
    <row r="943" spans="45:57" x14ac:dyDescent="0.25">
      <c r="AZ943" s="65"/>
      <c r="BB943" s="65"/>
      <c r="BD943" s="53"/>
    </row>
    <row r="944" spans="45:57" x14ac:dyDescent="0.25">
      <c r="AS944" s="55"/>
      <c r="AT944" s="55"/>
      <c r="AU944" s="55"/>
      <c r="AV944" s="55"/>
      <c r="AW944" s="55"/>
      <c r="AX944" s="55"/>
      <c r="AY944" s="55"/>
      <c r="AZ944" s="66"/>
      <c r="BA944" s="55"/>
      <c r="BB944" s="66"/>
      <c r="BC944" s="55"/>
      <c r="BD944" s="55"/>
      <c r="BE944" s="55"/>
    </row>
    <row r="945" spans="45:57" x14ac:dyDescent="0.25">
      <c r="AX945" s="54"/>
      <c r="AZ945" s="65"/>
      <c r="BB945" s="65"/>
    </row>
    <row r="946" spans="45:57" x14ac:dyDescent="0.25">
      <c r="AX946" s="55"/>
      <c r="AY946" s="55"/>
      <c r="AZ946" s="66"/>
      <c r="BA946" s="55"/>
      <c r="BB946" s="65"/>
      <c r="BC946" s="56"/>
      <c r="BD946" s="56"/>
    </row>
    <row r="947" spans="45:57" x14ac:dyDescent="0.25">
      <c r="AV947" s="56"/>
      <c r="AW947" s="56"/>
      <c r="AZ947" s="67"/>
      <c r="BA947" s="56"/>
      <c r="BB947" s="65"/>
      <c r="BC947" s="56"/>
      <c r="BD947" s="56"/>
      <c r="BE947" s="56"/>
    </row>
    <row r="948" spans="45:57" x14ac:dyDescent="0.25">
      <c r="AV948" s="56"/>
      <c r="AW948" s="56"/>
      <c r="AX948" s="56"/>
      <c r="AY948" s="56"/>
      <c r="AZ948" s="67"/>
      <c r="BA948" s="56"/>
      <c r="BB948" s="67"/>
      <c r="BC948" s="56"/>
      <c r="BD948" s="56"/>
      <c r="BE948" s="56"/>
    </row>
    <row r="949" spans="45:57" x14ac:dyDescent="0.25">
      <c r="AS949" s="56"/>
      <c r="AU949" s="54"/>
      <c r="AV949" s="56"/>
      <c r="AW949" s="56"/>
      <c r="AX949" s="56"/>
      <c r="AY949" s="56"/>
      <c r="AZ949" s="67"/>
      <c r="BA949" s="56"/>
      <c r="BB949" s="67"/>
      <c r="BC949" s="56"/>
      <c r="BD949" s="56"/>
      <c r="BE949" s="56"/>
    </row>
    <row r="950" spans="45:57" x14ac:dyDescent="0.25">
      <c r="AS950" s="56"/>
      <c r="AU950" s="54"/>
      <c r="AV950" s="56"/>
      <c r="AW950" s="56"/>
      <c r="AX950" s="56"/>
      <c r="AY950" s="56"/>
      <c r="AZ950" s="67"/>
      <c r="BA950" s="56"/>
      <c r="BB950" s="67"/>
      <c r="BC950" s="56"/>
      <c r="BD950" s="56"/>
      <c r="BE950" s="56"/>
    </row>
    <row r="951" spans="45:57" x14ac:dyDescent="0.25">
      <c r="AS951" s="55"/>
      <c r="AT951" s="55"/>
      <c r="AU951" s="55"/>
      <c r="AV951" s="55"/>
      <c r="AW951" s="55"/>
      <c r="AX951" s="55"/>
      <c r="AY951" s="55"/>
      <c r="AZ951" s="66"/>
      <c r="BA951" s="55"/>
      <c r="BB951" s="66"/>
      <c r="BC951" s="55"/>
      <c r="BD951" s="55"/>
      <c r="BE951" s="55"/>
    </row>
    <row r="952" spans="45:57" x14ac:dyDescent="0.25">
      <c r="AV952" s="56"/>
      <c r="AW952" s="56"/>
      <c r="AX952" s="56"/>
      <c r="AY952" s="56"/>
      <c r="AZ952" s="67"/>
      <c r="BA952" s="56"/>
      <c r="BB952" s="67"/>
      <c r="BC952" s="56"/>
      <c r="BD952" s="56"/>
      <c r="BE952" s="56"/>
    </row>
    <row r="953" spans="45:57" x14ac:dyDescent="0.25">
      <c r="AS953" s="53"/>
      <c r="AT953" s="54"/>
      <c r="AV953" s="379"/>
      <c r="AW953" s="379"/>
      <c r="AX953" s="65"/>
      <c r="AY953" s="65"/>
      <c r="AZ953" s="65"/>
      <c r="BA953" s="60"/>
      <c r="BB953" s="65"/>
      <c r="BC953" s="65"/>
      <c r="BD953" s="65"/>
      <c r="BE953" s="60"/>
    </row>
    <row r="954" spans="45:57" x14ac:dyDescent="0.25">
      <c r="AS954" s="53"/>
      <c r="AV954" s="379"/>
      <c r="AW954" s="379"/>
      <c r="AX954" s="65"/>
      <c r="AY954" s="65"/>
      <c r="AZ954" s="65"/>
      <c r="BA954" s="60"/>
      <c r="BB954" s="65"/>
      <c r="BC954" s="65"/>
      <c r="BD954" s="65"/>
      <c r="BE954" s="60"/>
    </row>
    <row r="955" spans="45:57" x14ac:dyDescent="0.25">
      <c r="AS955" s="53"/>
      <c r="AV955" s="379"/>
      <c r="AW955" s="379"/>
      <c r="AX955" s="65"/>
      <c r="AY955" s="65"/>
      <c r="AZ955" s="65"/>
      <c r="BA955" s="60"/>
      <c r="BB955" s="65"/>
      <c r="BC955" s="65"/>
      <c r="BD955" s="65"/>
      <c r="BE955" s="60"/>
    </row>
    <row r="956" spans="45:57" x14ac:dyDescent="0.25">
      <c r="AS956" s="53"/>
      <c r="AV956" s="379"/>
      <c r="AW956" s="379"/>
      <c r="AX956" s="65"/>
      <c r="AY956" s="65"/>
      <c r="AZ956" s="65"/>
      <c r="BA956" s="60"/>
      <c r="BB956" s="65"/>
      <c r="BC956" s="65"/>
      <c r="BD956" s="65"/>
      <c r="BE956" s="60"/>
    </row>
    <row r="957" spans="45:57" x14ac:dyDescent="0.25">
      <c r="AS957" s="53"/>
      <c r="AV957" s="379"/>
      <c r="AW957" s="379"/>
      <c r="AX957" s="65"/>
      <c r="AY957" s="65"/>
      <c r="AZ957" s="65"/>
      <c r="BA957" s="60"/>
      <c r="BB957" s="65"/>
      <c r="BC957" s="65"/>
      <c r="BD957" s="65"/>
      <c r="BE957" s="60"/>
    </row>
    <row r="958" spans="45:57" x14ac:dyDescent="0.25">
      <c r="AS958" s="53"/>
      <c r="AV958" s="379"/>
      <c r="AW958" s="379"/>
      <c r="AX958" s="65"/>
      <c r="AY958" s="65"/>
      <c r="AZ958" s="65"/>
      <c r="BA958" s="60"/>
      <c r="BB958" s="65"/>
      <c r="BC958" s="65"/>
      <c r="BD958" s="65"/>
      <c r="BE958" s="60"/>
    </row>
    <row r="959" spans="45:57" x14ac:dyDescent="0.25">
      <c r="AS959" s="53"/>
      <c r="AV959" s="379"/>
      <c r="AW959" s="379"/>
      <c r="AX959" s="65"/>
      <c r="AY959" s="65"/>
      <c r="AZ959" s="65"/>
      <c r="BA959" s="60"/>
      <c r="BB959" s="65"/>
      <c r="BC959" s="65"/>
      <c r="BD959" s="65"/>
      <c r="BE959" s="60"/>
    </row>
    <row r="960" spans="45:57" x14ac:dyDescent="0.25">
      <c r="AS960" s="53"/>
      <c r="AV960" s="379"/>
      <c r="AW960" s="379"/>
      <c r="AX960" s="65"/>
      <c r="AY960" s="65"/>
      <c r="AZ960" s="65"/>
      <c r="BA960" s="60"/>
      <c r="BB960" s="65"/>
      <c r="BC960" s="65"/>
      <c r="BD960" s="65"/>
      <c r="BE960" s="60"/>
    </row>
    <row r="961" spans="45:57" x14ac:dyDescent="0.25">
      <c r="AS961" s="53"/>
      <c r="AV961" s="379"/>
      <c r="AW961" s="379"/>
      <c r="AX961" s="65"/>
      <c r="AY961" s="65"/>
      <c r="AZ961" s="65"/>
      <c r="BA961" s="60"/>
      <c r="BB961" s="65"/>
      <c r="BC961" s="65"/>
      <c r="BD961" s="65"/>
      <c r="BE961" s="60"/>
    </row>
    <row r="962" spans="45:57" x14ac:dyDescent="0.25">
      <c r="AS962" s="53"/>
      <c r="AV962" s="379"/>
      <c r="AW962" s="379"/>
      <c r="AX962" s="65"/>
      <c r="AY962" s="65"/>
      <c r="AZ962" s="65"/>
      <c r="BA962" s="60"/>
      <c r="BB962" s="65"/>
      <c r="BC962" s="65"/>
      <c r="BD962" s="65"/>
      <c r="BE962" s="60"/>
    </row>
    <row r="963" spans="45:57" x14ac:dyDescent="0.25">
      <c r="AV963" s="379"/>
      <c r="AW963" s="379"/>
      <c r="BB963" s="65"/>
    </row>
    <row r="964" spans="45:57" x14ac:dyDescent="0.25">
      <c r="AS964" s="53"/>
      <c r="AT964" s="54"/>
      <c r="AV964" s="379"/>
      <c r="AW964" s="379"/>
      <c r="AX964" s="65"/>
      <c r="AY964" s="65"/>
      <c r="AZ964" s="65"/>
      <c r="BA964" s="60"/>
      <c r="BB964" s="65"/>
      <c r="BC964" s="65"/>
      <c r="BD964" s="65"/>
      <c r="BE964" s="60"/>
    </row>
    <row r="965" spans="45:57" x14ac:dyDescent="0.25">
      <c r="AS965" s="53"/>
      <c r="AV965" s="379"/>
      <c r="AW965" s="379"/>
      <c r="AX965" s="65"/>
      <c r="AY965" s="65"/>
      <c r="AZ965" s="65"/>
      <c r="BA965" s="60"/>
      <c r="BB965" s="65"/>
      <c r="BC965" s="65"/>
      <c r="BD965" s="65"/>
      <c r="BE965" s="60"/>
    </row>
    <row r="966" spans="45:57" x14ac:dyDescent="0.25">
      <c r="AS966" s="53"/>
      <c r="AV966" s="379"/>
      <c r="AW966" s="379"/>
      <c r="AX966" s="65"/>
      <c r="AY966" s="65"/>
      <c r="AZ966" s="65"/>
      <c r="BA966" s="60"/>
      <c r="BB966" s="65"/>
      <c r="BC966" s="65"/>
      <c r="BD966" s="65"/>
      <c r="BE966" s="60"/>
    </row>
    <row r="967" spans="45:57" x14ac:dyDescent="0.25">
      <c r="AS967" s="53"/>
      <c r="AV967" s="379"/>
      <c r="AW967" s="379"/>
      <c r="AX967" s="65"/>
      <c r="AY967" s="65"/>
      <c r="AZ967" s="65"/>
      <c r="BA967" s="60"/>
      <c r="BB967" s="65"/>
      <c r="BC967" s="65"/>
      <c r="BD967" s="65"/>
      <c r="BE967" s="60"/>
    </row>
    <row r="968" spans="45:57" x14ac:dyDescent="0.25">
      <c r="AS968" s="53"/>
      <c r="AV968" s="379"/>
      <c r="AW968" s="379"/>
      <c r="AX968" s="65"/>
      <c r="AY968" s="65"/>
      <c r="AZ968" s="65"/>
      <c r="BA968" s="60"/>
      <c r="BB968" s="65"/>
      <c r="BC968" s="65"/>
      <c r="BD968" s="65"/>
      <c r="BE968" s="60"/>
    </row>
    <row r="969" spans="45:57" x14ac:dyDescent="0.25">
      <c r="AS969" s="53"/>
      <c r="AV969" s="379"/>
      <c r="AW969" s="379"/>
      <c r="AX969" s="65"/>
      <c r="AY969" s="65"/>
      <c r="AZ969" s="65"/>
      <c r="BA969" s="60"/>
      <c r="BB969" s="65"/>
      <c r="BC969" s="65"/>
      <c r="BD969" s="65"/>
      <c r="BE969" s="60"/>
    </row>
    <row r="970" spans="45:57" x14ac:dyDescent="0.25">
      <c r="AS970" s="53"/>
      <c r="AV970" s="379"/>
      <c r="AW970" s="379"/>
      <c r="AX970" s="65"/>
      <c r="AY970" s="65"/>
      <c r="AZ970" s="65"/>
      <c r="BA970" s="60"/>
      <c r="BB970" s="65"/>
      <c r="BC970" s="65"/>
      <c r="BD970" s="65"/>
      <c r="BE970" s="60"/>
    </row>
    <row r="971" spans="45:57" x14ac:dyDescent="0.25">
      <c r="AS971" s="53"/>
      <c r="AV971" s="379"/>
      <c r="AW971" s="379"/>
      <c r="AX971" s="65"/>
      <c r="AY971" s="65"/>
      <c r="AZ971" s="65"/>
      <c r="BA971" s="60"/>
      <c r="BB971" s="65"/>
      <c r="BC971" s="65"/>
      <c r="BD971" s="65"/>
      <c r="BE971" s="60"/>
    </row>
    <row r="972" spans="45:57" x14ac:dyDescent="0.25">
      <c r="AS972" s="53"/>
      <c r="AV972" s="379"/>
      <c r="AW972" s="379"/>
      <c r="AX972" s="65"/>
      <c r="AY972" s="65"/>
      <c r="AZ972" s="65"/>
      <c r="BA972" s="60"/>
      <c r="BB972" s="65"/>
      <c r="BC972" s="65"/>
      <c r="BD972" s="65"/>
      <c r="BE972" s="60"/>
    </row>
    <row r="973" spans="45:57" x14ac:dyDescent="0.25">
      <c r="AS973" s="53"/>
      <c r="AV973" s="379"/>
      <c r="AW973" s="379"/>
      <c r="AX973" s="65"/>
      <c r="AY973" s="65"/>
      <c r="AZ973" s="65"/>
      <c r="BA973" s="60"/>
      <c r="BB973" s="65"/>
      <c r="BC973" s="65"/>
      <c r="BD973" s="65"/>
      <c r="BE973" s="60"/>
    </row>
    <row r="975" spans="45:57" x14ac:dyDescent="0.25">
      <c r="AU975" s="54"/>
    </row>
    <row r="976" spans="45:57" x14ac:dyDescent="0.25">
      <c r="AU976" s="54"/>
    </row>
    <row r="977" spans="45:47" x14ac:dyDescent="0.25">
      <c r="AU977" s="54"/>
    </row>
    <row r="978" spans="45:47" x14ac:dyDescent="0.25">
      <c r="AS978" s="54"/>
    </row>
    <row r="999" spans="52:71" x14ac:dyDescent="0.25">
      <c r="AZ999" s="65"/>
      <c r="BB999" s="65"/>
      <c r="BC999" s="65"/>
      <c r="BD999" s="65"/>
      <c r="BG999" s="65"/>
      <c r="BH999" s="65"/>
      <c r="BI999" s="65"/>
      <c r="BJ999" s="65"/>
      <c r="BK999" s="65"/>
      <c r="BL999" s="65"/>
      <c r="BM999" s="65"/>
      <c r="BN999" s="65"/>
      <c r="BO999" s="65"/>
      <c r="BP999" s="65"/>
      <c r="BQ999" s="65"/>
      <c r="BR999" s="65"/>
      <c r="BS999" s="65"/>
    </row>
    <row r="1000" spans="52:71" x14ac:dyDescent="0.25">
      <c r="AZ1000" s="65"/>
      <c r="BB1000" s="65"/>
      <c r="BC1000" s="65"/>
      <c r="BD1000" s="65"/>
      <c r="BG1000" s="65"/>
      <c r="BH1000" s="65"/>
      <c r="BI1000" s="65"/>
      <c r="BJ1000" s="65"/>
      <c r="BK1000" s="65"/>
      <c r="BL1000" s="65"/>
      <c r="BM1000" s="65"/>
      <c r="BN1000" s="65"/>
      <c r="BO1000" s="65"/>
      <c r="BP1000" s="65"/>
      <c r="BQ1000" s="65"/>
      <c r="BR1000" s="65"/>
      <c r="BS1000" s="65"/>
    </row>
    <row r="1001" spans="52:71" x14ac:dyDescent="0.25">
      <c r="AZ1001" s="65"/>
      <c r="BB1001" s="65"/>
      <c r="BC1001" s="65"/>
      <c r="BD1001" s="65"/>
      <c r="BG1001" s="65"/>
      <c r="BH1001" s="65"/>
      <c r="BI1001" s="65"/>
      <c r="BJ1001" s="65"/>
      <c r="BK1001" s="65"/>
      <c r="BL1001" s="65"/>
      <c r="BM1001" s="65"/>
      <c r="BN1001" s="65"/>
      <c r="BO1001" s="65"/>
      <c r="BP1001" s="65"/>
      <c r="BQ1001" s="65"/>
      <c r="BR1001" s="65"/>
      <c r="BS1001" s="65"/>
    </row>
    <row r="1002" spans="52:71" x14ac:dyDescent="0.25">
      <c r="AZ1002" s="65"/>
      <c r="BB1002" s="65"/>
      <c r="BC1002" s="65"/>
      <c r="BD1002" s="65"/>
      <c r="BG1002" s="65"/>
      <c r="BH1002" s="65"/>
      <c r="BI1002" s="65"/>
      <c r="BJ1002" s="65"/>
      <c r="BK1002" s="65"/>
      <c r="BL1002" s="65"/>
      <c r="BM1002" s="65"/>
      <c r="BN1002" s="65"/>
      <c r="BO1002" s="65"/>
      <c r="BP1002" s="65"/>
      <c r="BQ1002" s="65"/>
      <c r="BR1002" s="65"/>
      <c r="BS1002" s="65"/>
    </row>
    <row r="1003" spans="52:71" x14ac:dyDescent="0.25">
      <c r="AZ1003" s="65"/>
      <c r="BB1003" s="65"/>
      <c r="BC1003" s="65"/>
      <c r="BD1003" s="65"/>
      <c r="BG1003" s="65"/>
      <c r="BH1003" s="65"/>
      <c r="BI1003" s="65"/>
      <c r="BJ1003" s="65"/>
      <c r="BK1003" s="65"/>
      <c r="BL1003" s="65"/>
      <c r="BM1003" s="65"/>
      <c r="BN1003" s="65"/>
      <c r="BO1003" s="65"/>
      <c r="BP1003" s="65"/>
      <c r="BQ1003" s="65"/>
      <c r="BR1003" s="65"/>
      <c r="BS1003" s="65"/>
    </row>
    <row r="1004" spans="52:71" x14ac:dyDescent="0.25">
      <c r="AZ1004" s="65"/>
      <c r="BB1004" s="65"/>
      <c r="BC1004" s="65"/>
      <c r="BD1004" s="65"/>
      <c r="BG1004" s="65"/>
      <c r="BH1004" s="65"/>
      <c r="BI1004" s="65"/>
      <c r="BJ1004" s="65"/>
      <c r="BK1004" s="65"/>
      <c r="BL1004" s="65"/>
      <c r="BM1004" s="65"/>
      <c r="BN1004" s="65"/>
      <c r="BO1004" s="65"/>
      <c r="BP1004" s="65"/>
      <c r="BQ1004" s="65"/>
      <c r="BR1004" s="65"/>
      <c r="BS1004" s="65"/>
    </row>
    <row r="1005" spans="52:71" x14ac:dyDescent="0.25">
      <c r="AZ1005" s="65"/>
      <c r="BB1005" s="65"/>
      <c r="BC1005" s="65"/>
      <c r="BD1005" s="65"/>
      <c r="BG1005" s="65"/>
      <c r="BH1005" s="65"/>
      <c r="BI1005" s="65"/>
      <c r="BJ1005" s="65"/>
      <c r="BK1005" s="65"/>
      <c r="BL1005" s="65"/>
      <c r="BM1005" s="65"/>
      <c r="BN1005" s="65"/>
      <c r="BO1005" s="65"/>
      <c r="BP1005" s="65"/>
      <c r="BQ1005" s="65"/>
      <c r="BR1005" s="65"/>
      <c r="BS1005" s="65"/>
    </row>
    <row r="1006" spans="52:71" x14ac:dyDescent="0.25">
      <c r="AZ1006" s="65"/>
      <c r="BB1006" s="65"/>
      <c r="BC1006" s="65"/>
      <c r="BD1006" s="65"/>
      <c r="BG1006" s="65"/>
      <c r="BH1006" s="65"/>
      <c r="BI1006" s="65"/>
      <c r="BJ1006" s="65"/>
      <c r="BK1006" s="65"/>
      <c r="BL1006" s="65"/>
      <c r="BM1006" s="65"/>
      <c r="BN1006" s="65"/>
      <c r="BO1006" s="65"/>
      <c r="BP1006" s="65"/>
      <c r="BQ1006" s="65"/>
      <c r="BR1006" s="65"/>
      <c r="BS1006" s="65"/>
    </row>
    <row r="1007" spans="52:71" x14ac:dyDescent="0.25">
      <c r="AZ1007" s="65"/>
      <c r="BB1007" s="65"/>
      <c r="BC1007" s="65"/>
      <c r="BD1007" s="65"/>
      <c r="BG1007" s="65"/>
      <c r="BH1007" s="65"/>
      <c r="BI1007" s="65"/>
      <c r="BJ1007" s="65"/>
      <c r="BK1007" s="65"/>
      <c r="BL1007" s="65"/>
      <c r="BM1007" s="65"/>
      <c r="BN1007" s="65"/>
      <c r="BO1007" s="65"/>
      <c r="BP1007" s="65"/>
      <c r="BQ1007" s="65"/>
      <c r="BR1007" s="65"/>
      <c r="BS1007" s="65"/>
    </row>
    <row r="1008" spans="52:71" x14ac:dyDescent="0.25">
      <c r="AZ1008" s="65"/>
      <c r="BB1008" s="65"/>
      <c r="BC1008" s="65"/>
      <c r="BD1008" s="65"/>
      <c r="BG1008" s="65"/>
      <c r="BH1008" s="65"/>
      <c r="BI1008" s="65"/>
      <c r="BJ1008" s="65"/>
      <c r="BK1008" s="65"/>
      <c r="BL1008" s="65"/>
      <c r="BM1008" s="65"/>
      <c r="BN1008" s="65"/>
      <c r="BO1008" s="65"/>
      <c r="BP1008" s="65"/>
      <c r="BQ1008" s="65"/>
      <c r="BR1008" s="65"/>
      <c r="BS1008" s="65"/>
    </row>
    <row r="1009" spans="52:71" x14ac:dyDescent="0.25">
      <c r="AZ1009" s="65"/>
      <c r="BB1009" s="65"/>
      <c r="BC1009" s="65"/>
      <c r="BD1009" s="65"/>
      <c r="BG1009" s="65"/>
      <c r="BH1009" s="65"/>
      <c r="BI1009" s="65"/>
      <c r="BJ1009" s="65"/>
      <c r="BK1009" s="65"/>
      <c r="BL1009" s="65"/>
      <c r="BM1009" s="65"/>
      <c r="BN1009" s="65"/>
      <c r="BO1009" s="65"/>
      <c r="BP1009" s="65"/>
      <c r="BQ1009" s="65"/>
      <c r="BR1009" s="65"/>
      <c r="BS1009" s="65"/>
    </row>
    <row r="1010" spans="52:71" x14ac:dyDescent="0.25">
      <c r="AZ1010" s="65"/>
      <c r="BB1010" s="65"/>
      <c r="BC1010" s="65"/>
      <c r="BD1010" s="65"/>
      <c r="BG1010" s="65"/>
      <c r="BH1010" s="65"/>
      <c r="BI1010" s="65"/>
      <c r="BJ1010" s="65"/>
      <c r="BK1010" s="65"/>
      <c r="BL1010" s="65"/>
      <c r="BM1010" s="65"/>
      <c r="BN1010" s="65"/>
      <c r="BO1010" s="65"/>
      <c r="BP1010" s="65"/>
      <c r="BQ1010" s="65"/>
      <c r="BR1010" s="65"/>
      <c r="BS1010" s="65"/>
    </row>
    <row r="1011" spans="52:71" x14ac:dyDescent="0.25">
      <c r="AZ1011" s="65"/>
      <c r="BG1011" s="65"/>
      <c r="BH1011" s="65"/>
      <c r="BI1011" s="65"/>
      <c r="BJ1011" s="65"/>
      <c r="BK1011" s="65"/>
      <c r="BL1011" s="65"/>
      <c r="BM1011" s="65"/>
      <c r="BN1011" s="65"/>
      <c r="BO1011" s="65"/>
      <c r="BP1011" s="65"/>
      <c r="BQ1011" s="65"/>
      <c r="BR1011" s="65"/>
      <c r="BS1011" s="65"/>
    </row>
    <row r="1012" spans="52:71" x14ac:dyDescent="0.25">
      <c r="AZ1012" s="65"/>
      <c r="BG1012" s="65"/>
      <c r="BH1012" s="65"/>
      <c r="BI1012" s="65"/>
      <c r="BJ1012" s="65"/>
      <c r="BK1012" s="65"/>
      <c r="BL1012" s="65"/>
      <c r="BM1012" s="65"/>
      <c r="BN1012" s="65"/>
      <c r="BO1012" s="65"/>
      <c r="BP1012" s="65"/>
      <c r="BQ1012" s="65"/>
      <c r="BR1012" s="65"/>
      <c r="BS1012" s="65"/>
    </row>
    <row r="1013" spans="52:71" x14ac:dyDescent="0.25">
      <c r="AZ1013" s="65"/>
      <c r="BG1013" s="65"/>
      <c r="BH1013" s="65"/>
      <c r="BI1013" s="65"/>
      <c r="BJ1013" s="65"/>
      <c r="BK1013" s="65"/>
      <c r="BL1013" s="65"/>
      <c r="BM1013" s="65"/>
      <c r="BN1013" s="65"/>
      <c r="BO1013" s="65"/>
      <c r="BP1013" s="65"/>
      <c r="BQ1013" s="65"/>
      <c r="BR1013" s="65"/>
      <c r="BS1013" s="65"/>
    </row>
    <row r="1014" spans="52:71" x14ac:dyDescent="0.25">
      <c r="AZ1014" s="65"/>
      <c r="BG1014" s="65"/>
      <c r="BH1014" s="65"/>
      <c r="BI1014" s="65"/>
      <c r="BJ1014" s="65"/>
      <c r="BK1014" s="65"/>
      <c r="BL1014" s="65"/>
      <c r="BM1014" s="65"/>
      <c r="BN1014" s="65"/>
      <c r="BO1014" s="65"/>
      <c r="BP1014" s="65"/>
      <c r="BQ1014" s="65"/>
      <c r="BR1014" s="65"/>
      <c r="BS1014" s="65"/>
    </row>
    <row r="1015" spans="52:71" x14ac:dyDescent="0.25">
      <c r="AZ1015" s="65"/>
      <c r="BG1015" s="65"/>
      <c r="BH1015" s="65"/>
      <c r="BI1015" s="65"/>
      <c r="BJ1015" s="65"/>
      <c r="BK1015" s="65"/>
      <c r="BL1015" s="65"/>
      <c r="BM1015" s="65"/>
      <c r="BN1015" s="65"/>
      <c r="BO1015" s="65"/>
      <c r="BP1015" s="65"/>
      <c r="BQ1015" s="65"/>
      <c r="BR1015" s="65"/>
      <c r="BS1015" s="65"/>
    </row>
    <row r="1016" spans="52:71" x14ac:dyDescent="0.25">
      <c r="AZ1016" s="65"/>
      <c r="BG1016" s="65"/>
      <c r="BH1016" s="65"/>
      <c r="BI1016" s="65"/>
      <c r="BJ1016" s="65"/>
      <c r="BK1016" s="65"/>
      <c r="BL1016" s="65"/>
      <c r="BM1016" s="65"/>
      <c r="BN1016" s="65"/>
      <c r="BO1016" s="65"/>
      <c r="BP1016" s="65"/>
      <c r="BQ1016" s="65"/>
      <c r="BR1016" s="65"/>
      <c r="BS1016" s="65"/>
    </row>
    <row r="1017" spans="52:71" x14ac:dyDescent="0.25">
      <c r="AZ1017" s="65"/>
      <c r="BG1017" s="65"/>
      <c r="BH1017" s="65"/>
      <c r="BI1017" s="65"/>
      <c r="BJ1017" s="65"/>
      <c r="BK1017" s="65"/>
      <c r="BL1017" s="65"/>
      <c r="BM1017" s="65"/>
      <c r="BN1017" s="65"/>
      <c r="BO1017" s="65"/>
      <c r="BP1017" s="65"/>
      <c r="BQ1017" s="65"/>
      <c r="BR1017" s="65"/>
      <c r="BS1017" s="65"/>
    </row>
    <row r="1018" spans="52:71" x14ac:dyDescent="0.25">
      <c r="AZ1018" s="65"/>
    </row>
    <row r="1019" spans="52:71" x14ac:dyDescent="0.25">
      <c r="AZ1019" s="65"/>
    </row>
    <row r="1033" spans="1:28" x14ac:dyDescent="0.25">
      <c r="A1033" s="54"/>
    </row>
    <row r="1036" spans="1:28" x14ac:dyDescent="0.25">
      <c r="Y1036" s="54"/>
    </row>
    <row r="1037" spans="1:28" x14ac:dyDescent="0.25">
      <c r="A1037" s="54"/>
      <c r="H1037" s="54"/>
      <c r="I1037" s="54"/>
    </row>
    <row r="1038" spans="1:28" x14ac:dyDescent="0.25">
      <c r="A1038" s="54"/>
      <c r="V1038" s="56"/>
      <c r="AA1038" s="56"/>
      <c r="AB1038" s="56"/>
    </row>
    <row r="1039" spans="1:28" x14ac:dyDescent="0.25">
      <c r="A1039" s="54"/>
      <c r="V1039" s="55"/>
      <c r="AA1039" s="55"/>
      <c r="AB1039" s="55"/>
    </row>
    <row r="1040" spans="1:28" x14ac:dyDescent="0.25">
      <c r="A1040" s="54"/>
      <c r="U1040" s="54"/>
      <c r="AA1040" s="56"/>
      <c r="AB1040" s="56"/>
    </row>
    <row r="1041" spans="1:28" x14ac:dyDescent="0.25">
      <c r="A1041" s="54"/>
    </row>
    <row r="1042" spans="1:28" x14ac:dyDescent="0.25">
      <c r="A1042" s="54"/>
      <c r="U1042" s="54"/>
      <c r="AA1042" s="56"/>
      <c r="AB1042" s="56"/>
    </row>
    <row r="1043" spans="1:28" x14ac:dyDescent="0.25">
      <c r="A1043" s="54"/>
    </row>
    <row r="1044" spans="1:28" x14ac:dyDescent="0.25">
      <c r="A1044" s="54"/>
      <c r="U1044" s="54"/>
      <c r="V1044" s="480"/>
      <c r="AA1044" s="56"/>
      <c r="AB1044" s="56"/>
    </row>
    <row r="1045" spans="1:28" x14ac:dyDescent="0.25">
      <c r="A1045" s="54"/>
    </row>
    <row r="1046" spans="1:28" x14ac:dyDescent="0.25">
      <c r="A1046" s="54"/>
      <c r="U1046" s="54"/>
      <c r="AA1046" s="56"/>
      <c r="AB1046" s="56"/>
    </row>
    <row r="1047" spans="1:28" x14ac:dyDescent="0.25">
      <c r="A1047" s="54"/>
    </row>
    <row r="1048" spans="1:28" x14ac:dyDescent="0.25">
      <c r="A1048" s="54"/>
      <c r="U1048" s="54"/>
      <c r="AA1048" s="56"/>
      <c r="AB1048" s="56"/>
    </row>
    <row r="1049" spans="1:28" x14ac:dyDescent="0.25">
      <c r="A1049" s="54"/>
    </row>
    <row r="1050" spans="1:28" x14ac:dyDescent="0.25">
      <c r="A1050" s="54"/>
    </row>
    <row r="1051" spans="1:28" x14ac:dyDescent="0.25">
      <c r="A1051" s="54"/>
    </row>
    <row r="1052" spans="1:28" x14ac:dyDescent="0.25">
      <c r="A1052" s="54"/>
    </row>
    <row r="1053" spans="1:28" x14ac:dyDescent="0.25">
      <c r="A1053" s="54"/>
    </row>
    <row r="1054" spans="1:28" x14ac:dyDescent="0.25">
      <c r="A1054" s="54"/>
    </row>
    <row r="1055" spans="1:28" x14ac:dyDescent="0.25">
      <c r="A1055" s="54"/>
    </row>
    <row r="1056" spans="1:28" x14ac:dyDescent="0.25">
      <c r="A1056" s="54"/>
    </row>
    <row r="1057" spans="1:9" x14ac:dyDescent="0.25">
      <c r="A1057" s="54"/>
    </row>
    <row r="1058" spans="1:9" x14ac:dyDescent="0.25">
      <c r="A1058" s="54"/>
    </row>
    <row r="1059" spans="1:9" x14ac:dyDescent="0.25">
      <c r="A1059" s="54"/>
      <c r="H1059" s="54"/>
      <c r="I1059" s="54"/>
    </row>
    <row r="1062" spans="1:9" x14ac:dyDescent="0.25">
      <c r="A1062" s="54"/>
    </row>
    <row r="1065" spans="1:9" x14ac:dyDescent="0.25">
      <c r="A1065" s="54"/>
    </row>
    <row r="1068" spans="1:9" x14ac:dyDescent="0.25">
      <c r="A1068" s="54"/>
    </row>
    <row r="1069" spans="1:9" x14ac:dyDescent="0.25">
      <c r="A1069" s="54"/>
    </row>
    <row r="1070" spans="1:9" x14ac:dyDescent="0.25">
      <c r="A1070" s="54"/>
    </row>
    <row r="1071" spans="1:9" x14ac:dyDescent="0.25">
      <c r="A1071" s="54"/>
    </row>
    <row r="1072" spans="1:9" x14ac:dyDescent="0.25">
      <c r="A1072" s="54"/>
    </row>
    <row r="1073" spans="1:1" x14ac:dyDescent="0.25">
      <c r="A1073" s="54"/>
    </row>
    <row r="1074" spans="1:1" x14ac:dyDescent="0.25">
      <c r="A1074" s="54"/>
    </row>
    <row r="1075" spans="1:1" x14ac:dyDescent="0.25">
      <c r="A1075" s="54"/>
    </row>
    <row r="1076" spans="1:1" x14ac:dyDescent="0.25">
      <c r="A1076" s="54"/>
    </row>
    <row r="1077" spans="1:1" x14ac:dyDescent="0.25">
      <c r="A1077" s="54"/>
    </row>
    <row r="1078" spans="1:1" x14ac:dyDescent="0.25">
      <c r="A1078" s="54"/>
    </row>
    <row r="1079" spans="1:1" x14ac:dyDescent="0.25">
      <c r="A1079" s="54"/>
    </row>
    <row r="1080" spans="1:1" x14ac:dyDescent="0.25">
      <c r="A1080" s="54"/>
    </row>
    <row r="1081" spans="1:1" x14ac:dyDescent="0.25">
      <c r="A1081" s="54"/>
    </row>
    <row r="1082" spans="1:1" x14ac:dyDescent="0.25">
      <c r="A1082" s="54"/>
    </row>
    <row r="1083" spans="1:1" x14ac:dyDescent="0.25">
      <c r="A1083" s="54"/>
    </row>
    <row r="1084" spans="1:1" x14ac:dyDescent="0.25">
      <c r="A1084" s="54"/>
    </row>
    <row r="1085" spans="1:1" x14ac:dyDescent="0.25">
      <c r="A1085" s="54"/>
    </row>
    <row r="1086" spans="1:1" x14ac:dyDescent="0.25">
      <c r="A1086" s="54"/>
    </row>
    <row r="1087" spans="1:1" x14ac:dyDescent="0.25">
      <c r="A1087" s="54"/>
    </row>
    <row r="1088" spans="1:1" x14ac:dyDescent="0.25">
      <c r="A1088" s="54"/>
    </row>
    <row r="1089" spans="1:1" x14ac:dyDescent="0.25">
      <c r="A1089" s="54"/>
    </row>
    <row r="1090" spans="1:1" x14ac:dyDescent="0.25">
      <c r="A1090" s="54"/>
    </row>
    <row r="1091" spans="1:1" x14ac:dyDescent="0.25">
      <c r="A1091" s="54"/>
    </row>
    <row r="1092" spans="1:1" x14ac:dyDescent="0.25">
      <c r="A1092" s="54"/>
    </row>
    <row r="1093" spans="1:1" x14ac:dyDescent="0.25">
      <c r="A1093" s="54"/>
    </row>
    <row r="1094" spans="1:1" x14ac:dyDescent="0.25">
      <c r="A1094" s="54"/>
    </row>
    <row r="1095" spans="1:1" x14ac:dyDescent="0.25">
      <c r="A1095" s="54"/>
    </row>
    <row r="1096" spans="1:1" x14ac:dyDescent="0.25">
      <c r="A1096" s="54"/>
    </row>
    <row r="1097" spans="1:1" x14ac:dyDescent="0.25">
      <c r="A1097" s="54"/>
    </row>
    <row r="1098" spans="1:1" x14ac:dyDescent="0.25">
      <c r="A1098" s="54"/>
    </row>
    <row r="1099" spans="1:1" x14ac:dyDescent="0.25">
      <c r="A1099" s="54"/>
    </row>
    <row r="1100" spans="1:1" x14ac:dyDescent="0.25">
      <c r="A1100" s="54"/>
    </row>
    <row r="1101" spans="1:1" x14ac:dyDescent="0.25">
      <c r="A1101" s="54"/>
    </row>
    <row r="1102" spans="1:1" x14ac:dyDescent="0.25">
      <c r="A1102" s="54"/>
    </row>
    <row r="1107" spans="1:1" x14ac:dyDescent="0.25">
      <c r="A1107" s="54"/>
    </row>
    <row r="1108" spans="1:1" x14ac:dyDescent="0.25">
      <c r="A1108" s="54"/>
    </row>
    <row r="1111" spans="1:1" x14ac:dyDescent="0.25">
      <c r="A1111" s="54"/>
    </row>
    <row r="1113" spans="1:1" x14ac:dyDescent="0.25">
      <c r="A1113" s="54"/>
    </row>
    <row r="1115" spans="1:1" x14ac:dyDescent="0.25">
      <c r="A1115" s="54"/>
    </row>
    <row r="1117" spans="1:1" x14ac:dyDescent="0.25">
      <c r="A1117" s="54"/>
    </row>
    <row r="1120" spans="1:1" x14ac:dyDescent="0.25">
      <c r="A1120" s="54"/>
    </row>
    <row r="1121" spans="1:1" x14ac:dyDescent="0.25">
      <c r="A1121" s="54"/>
    </row>
    <row r="1122" spans="1:1" x14ac:dyDescent="0.25">
      <c r="A1122" s="54"/>
    </row>
    <row r="1123" spans="1:1" x14ac:dyDescent="0.25">
      <c r="A1123" s="54"/>
    </row>
    <row r="1124" spans="1:1" x14ac:dyDescent="0.25">
      <c r="A1124" s="54"/>
    </row>
    <row r="1125" spans="1:1" x14ac:dyDescent="0.25">
      <c r="A1125" s="54"/>
    </row>
    <row r="1126" spans="1:1" x14ac:dyDescent="0.25">
      <c r="A1126" s="54"/>
    </row>
    <row r="1127" spans="1:1" x14ac:dyDescent="0.25">
      <c r="A1127" s="54"/>
    </row>
  </sheetData>
  <customSheetViews>
    <customSheetView guid="{195DF303-1BBD-4236-94B5-47432850B006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Y55">
      <selection activeCell="R8" sqref="R8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4"/>
      <headerFooter alignWithMargins="0"/>
    </customSheetView>
    <customSheetView guid="{2EA35095-1ADC-4CC7-8C3C-B487D65FA247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sqref="A1:R41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8"/>
      <headerFooter alignWithMargins="0"/>
    </customSheetView>
    <customSheetView guid="{0BC1F393-8A13-47D5-BC6C-0C99615B5AB9}" scale="75" fitToPage="1" showRuler="0">
      <selection sqref="A1:R41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B11">
      <selection activeCell="J50" sqref="J50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B11">
      <selection activeCell="J50" sqref="J50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1"/>
      <headerFooter alignWithMargins="0"/>
    </customSheetView>
    <customSheetView guid="{F562D92E-120C-4AE9-9663-89E64D41DC53}" scale="75" fitToPage="1" topLeftCell="P70">
      <selection activeCell="P37" sqref="P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3" orientation="landscape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  <legacyDrawing r:id="rId1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34" transitionEvaluation="1" transitionEntry="1" codeName="Sheet12"/>
  <dimension ref="A1:BX1095"/>
  <sheetViews>
    <sheetView tabSelected="1" view="pageBreakPreview" topLeftCell="A34" zoomScale="60" zoomScaleNormal="75" workbookViewId="0">
      <selection sqref="A1:J1"/>
    </sheetView>
  </sheetViews>
  <sheetFormatPr defaultColWidth="9.77734375" defaultRowHeight="15.75" x14ac:dyDescent="0.25"/>
  <cols>
    <col min="1" max="1" width="5.21875" style="380" customWidth="1"/>
    <col min="2" max="2" width="0.44140625" style="380" customWidth="1"/>
    <col min="3" max="3" width="6.77734375" style="380" customWidth="1"/>
    <col min="4" max="4" width="36.6640625" style="380" customWidth="1"/>
    <col min="5" max="5" width="0.664062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0.6640625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2.77734375" style="380" customWidth="1"/>
    <col min="15" max="15" width="0.5546875" style="380" customWidth="1"/>
    <col min="16" max="16" width="14.77734375" style="380" customWidth="1"/>
    <col min="17" max="17" width="0.5546875" style="380" customWidth="1"/>
    <col min="18" max="18" width="18.6640625" style="380" customWidth="1"/>
    <col min="19" max="19" width="6.77734375" style="380" customWidth="1"/>
    <col min="20" max="20" width="5.44140625" style="380" customWidth="1"/>
    <col min="21" max="21" width="0.5546875" style="380" customWidth="1"/>
    <col min="22" max="22" width="4.5546875" style="380" customWidth="1"/>
    <col min="23" max="23" width="40.21875" style="380" customWidth="1"/>
    <col min="24" max="24" width="0.6640625" style="380" customWidth="1"/>
    <col min="25" max="25" width="9.6640625" style="380" customWidth="1"/>
    <col min="26" max="26" width="0.6640625" style="380" customWidth="1"/>
    <col min="27" max="27" width="13.33203125" style="380" customWidth="1"/>
    <col min="28" max="28" width="0.6640625" style="380" customWidth="1"/>
    <col min="29" max="29" width="10" style="380" customWidth="1"/>
    <col min="30" max="30" width="0.88671875" style="380" customWidth="1"/>
    <col min="31" max="31" width="12.88671875" style="380" customWidth="1"/>
    <col min="32" max="32" width="0.77734375" style="380" customWidth="1"/>
    <col min="33" max="33" width="13.6640625" style="153" customWidth="1"/>
    <col min="34" max="34" width="0.6640625" style="380" customWidth="1"/>
    <col min="35" max="35" width="14.33203125" style="380" customWidth="1"/>
    <col min="36" max="36" width="0.77734375" style="380" customWidth="1"/>
    <col min="37" max="37" width="14.5546875" style="153" customWidth="1"/>
    <col min="38" max="38" width="0.5546875" style="380" customWidth="1"/>
    <col min="39" max="39" width="12.109375" style="380" customWidth="1"/>
    <col min="40" max="40" width="0.5546875" style="380" customWidth="1"/>
    <col min="41" max="41" width="13.21875" style="380" customWidth="1"/>
    <col min="42" max="42" width="0.6640625" style="380" customWidth="1"/>
    <col min="43" max="43" width="11.21875" style="153" customWidth="1"/>
    <col min="44" max="44" width="14.77734375" style="380" customWidth="1"/>
    <col min="45" max="45" width="4.77734375" style="380" customWidth="1"/>
    <col min="46" max="46" width="5.77734375" style="380" customWidth="1"/>
    <col min="47" max="47" width="10.77734375" style="380" customWidth="1"/>
    <col min="48" max="48" width="11.77734375" style="380" customWidth="1"/>
    <col min="49" max="49" width="12.77734375" style="380" customWidth="1"/>
    <col min="50" max="52" width="15.77734375" style="380" customWidth="1"/>
    <col min="53" max="53" width="12.77734375" style="380" customWidth="1"/>
    <col min="54" max="56" width="15.77734375" style="380" customWidth="1"/>
    <col min="57" max="57" width="12.77734375" style="380" customWidth="1"/>
    <col min="58" max="59" width="9.77734375" style="380"/>
    <col min="60" max="62" width="12.77734375" style="380" customWidth="1"/>
    <col min="63" max="63" width="14.77734375" style="380" customWidth="1"/>
    <col min="64" max="65" width="9.77734375" style="380"/>
    <col min="66" max="68" width="12.77734375" style="380" customWidth="1"/>
    <col min="69" max="69" width="14.77734375" style="380" customWidth="1"/>
    <col min="70" max="76" width="9.77734375" style="380"/>
    <col min="77" max="77" width="1.77734375" style="380" customWidth="1"/>
    <col min="78" max="79" width="9.77734375" style="380"/>
    <col min="80" max="80" width="10.77734375" style="380" customWidth="1"/>
    <col min="81" max="82" width="9.77734375" style="380"/>
    <col min="83" max="83" width="7.77734375" style="380" customWidth="1"/>
    <col min="84" max="16384" width="9.77734375" style="380"/>
  </cols>
  <sheetData>
    <row r="1" spans="1:40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4"/>
      <c r="K1" s="44"/>
      <c r="L1" s="43"/>
      <c r="M1" s="43"/>
      <c r="N1" s="43"/>
      <c r="O1" s="43"/>
      <c r="P1" s="43"/>
      <c r="Q1" s="43"/>
      <c r="R1" s="43"/>
      <c r="Z1" s="53"/>
    </row>
    <row r="2" spans="1:40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4"/>
      <c r="K2" s="44"/>
      <c r="L2" s="43"/>
      <c r="M2" s="43"/>
      <c r="N2" s="43"/>
      <c r="O2" s="43"/>
      <c r="P2" s="43"/>
      <c r="Q2" s="43"/>
      <c r="R2" s="43"/>
      <c r="Z2" s="53"/>
    </row>
    <row r="3" spans="1:40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Y3" s="54"/>
    </row>
    <row r="4" spans="1:4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4"/>
      <c r="K4" s="44"/>
      <c r="L4" s="43"/>
      <c r="M4" s="43"/>
      <c r="N4" s="43"/>
      <c r="O4" s="43"/>
      <c r="P4" s="43"/>
      <c r="Q4" s="43"/>
      <c r="R4" s="43"/>
      <c r="Z4" s="53"/>
    </row>
    <row r="5" spans="1:4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4"/>
      <c r="M5" s="44"/>
      <c r="N5" s="43"/>
      <c r="O5" s="43"/>
      <c r="P5" s="43"/>
      <c r="Q5" s="43"/>
      <c r="R5" s="43"/>
      <c r="AA5" s="54"/>
      <c r="AB5" s="54"/>
    </row>
    <row r="6" spans="1:40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K6" s="161"/>
      <c r="AL6" s="54"/>
    </row>
    <row r="7" spans="1:40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9 OF "&amp;TEXT(Page_Num_2.3,"00")</f>
        <v>PAGE 9 OF 23</v>
      </c>
      <c r="AK7" s="161"/>
      <c r="AL7" s="54"/>
    </row>
    <row r="8" spans="1:40" x14ac:dyDescent="0.25">
      <c r="A8" s="46" t="s">
        <v>177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K8" s="161"/>
      <c r="AL8" s="54"/>
    </row>
    <row r="9" spans="1:40" x14ac:dyDescent="0.25">
      <c r="A9" s="218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M9" s="46"/>
      <c r="N9" s="378"/>
      <c r="O9" s="378"/>
      <c r="P9" s="378"/>
      <c r="Q9" s="378"/>
      <c r="R9" s="45" t="str">
        <f>WIT</f>
        <v>J. L. Kern</v>
      </c>
      <c r="AK9" s="161"/>
      <c r="AL9" s="54"/>
    </row>
    <row r="10" spans="1:40" x14ac:dyDescent="0.25">
      <c r="A10" s="218" t="str">
        <f>INPUT!B5</f>
        <v>6 Months Actual Ending May 31, 2019</v>
      </c>
      <c r="B10" s="378"/>
      <c r="C10" s="378"/>
      <c r="D10" s="378"/>
      <c r="E10" s="378"/>
      <c r="F10" s="378"/>
      <c r="G10" s="378"/>
      <c r="H10" s="378"/>
      <c r="I10" s="378"/>
      <c r="J10" s="378"/>
      <c r="K10" s="378"/>
      <c r="M10" s="46"/>
      <c r="N10" s="378"/>
      <c r="O10" s="378"/>
      <c r="P10" s="378"/>
      <c r="Q10" s="378"/>
      <c r="R10" s="45"/>
      <c r="AK10" s="161"/>
      <c r="AL10" s="54"/>
    </row>
    <row r="11" spans="1:40" x14ac:dyDescent="0.25">
      <c r="A11" s="44" t="s">
        <v>136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4"/>
      <c r="M11" s="44"/>
      <c r="N11" s="43"/>
      <c r="O11" s="43"/>
      <c r="P11" s="43"/>
      <c r="Q11" s="43"/>
      <c r="R11" s="44"/>
      <c r="AK11" s="161"/>
      <c r="AL11" s="54"/>
    </row>
    <row r="12" spans="1:40" x14ac:dyDescent="0.25">
      <c r="A12" s="72"/>
      <c r="B12" s="72"/>
      <c r="C12" s="72"/>
      <c r="D12" s="72"/>
      <c r="E12" s="72"/>
      <c r="F12" s="378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AA12" s="54"/>
      <c r="AB12" s="54"/>
      <c r="AK12" s="156"/>
      <c r="AL12" s="53"/>
    </row>
    <row r="13" spans="1:40" ht="18" customHeight="1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4" t="s">
        <v>6</v>
      </c>
      <c r="M13" s="74"/>
      <c r="N13" s="74" t="s">
        <v>7</v>
      </c>
      <c r="O13" s="74"/>
      <c r="P13" s="73"/>
      <c r="Q13" s="73"/>
      <c r="R13" s="74" t="s">
        <v>6</v>
      </c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154"/>
      <c r="AH13" s="55"/>
      <c r="AI13" s="55"/>
      <c r="AJ13" s="55"/>
      <c r="AK13" s="154"/>
      <c r="AL13" s="55"/>
      <c r="AM13" s="55"/>
      <c r="AN13" s="55"/>
    </row>
    <row r="14" spans="1:40" x14ac:dyDescent="0.25">
      <c r="A14" s="378"/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426" t="s">
        <v>12</v>
      </c>
      <c r="M14" s="426"/>
      <c r="N14" s="426" t="s">
        <v>13</v>
      </c>
      <c r="O14" s="426"/>
      <c r="P14" s="378"/>
      <c r="Q14" s="378"/>
      <c r="R14" s="426" t="s">
        <v>11</v>
      </c>
      <c r="AA14" s="56"/>
      <c r="AB14" s="56"/>
      <c r="AC14" s="56"/>
      <c r="AD14" s="56"/>
      <c r="AE14" s="56"/>
      <c r="AF14" s="56"/>
      <c r="AG14" s="155"/>
      <c r="AH14" s="56"/>
      <c r="AK14" s="155"/>
      <c r="AL14" s="56"/>
      <c r="AM14" s="56"/>
      <c r="AN14" s="56"/>
    </row>
    <row r="15" spans="1:40" x14ac:dyDescent="0.25">
      <c r="A15" s="426" t="s">
        <v>17</v>
      </c>
      <c r="B15" s="378"/>
      <c r="C15" s="426" t="s">
        <v>18</v>
      </c>
      <c r="D15" s="426" t="s">
        <v>19</v>
      </c>
      <c r="E15" s="426"/>
      <c r="F15" s="426" t="s">
        <v>20</v>
      </c>
      <c r="G15" s="378"/>
      <c r="H15" s="378"/>
      <c r="I15" s="378"/>
      <c r="J15" s="426" t="s">
        <v>6</v>
      </c>
      <c r="K15" s="426"/>
      <c r="L15" s="426" t="s">
        <v>21</v>
      </c>
      <c r="M15" s="426"/>
      <c r="N15" s="426" t="s">
        <v>21</v>
      </c>
      <c r="O15" s="426"/>
      <c r="P15" s="426" t="s">
        <v>21</v>
      </c>
      <c r="Q15" s="426"/>
      <c r="R15" s="426" t="s">
        <v>9</v>
      </c>
      <c r="Z15" s="56"/>
      <c r="AA15" s="56"/>
      <c r="AB15" s="56"/>
      <c r="AC15" s="56"/>
      <c r="AD15" s="56"/>
      <c r="AE15" s="56"/>
      <c r="AF15" s="56"/>
      <c r="AG15" s="155"/>
      <c r="AH15" s="56"/>
      <c r="AK15" s="155"/>
      <c r="AL15" s="56"/>
      <c r="AM15" s="56"/>
      <c r="AN15" s="56"/>
    </row>
    <row r="16" spans="1:40" x14ac:dyDescent="0.25">
      <c r="A16" s="426" t="s">
        <v>24</v>
      </c>
      <c r="B16" s="378"/>
      <c r="C16" s="426" t="s">
        <v>25</v>
      </c>
      <c r="D16" s="426" t="s">
        <v>26</v>
      </c>
      <c r="E16" s="426"/>
      <c r="F16" s="426" t="s">
        <v>27</v>
      </c>
      <c r="G16" s="378"/>
      <c r="H16" s="426" t="s">
        <v>28</v>
      </c>
      <c r="I16" s="426"/>
      <c r="J16" s="426" t="s">
        <v>29</v>
      </c>
      <c r="K16" s="426"/>
      <c r="L16" s="426" t="s">
        <v>9</v>
      </c>
      <c r="M16" s="426"/>
      <c r="N16" s="426" t="s">
        <v>9</v>
      </c>
      <c r="O16" s="426"/>
      <c r="P16" s="426" t="s">
        <v>379</v>
      </c>
      <c r="Q16" s="426"/>
      <c r="R16" s="265" t="s">
        <v>30</v>
      </c>
      <c r="T16" s="56"/>
      <c r="U16" s="56"/>
      <c r="V16" s="56"/>
      <c r="Z16" s="56"/>
      <c r="AA16" s="56"/>
      <c r="AB16" s="56"/>
      <c r="AC16" s="56"/>
      <c r="AD16" s="56"/>
      <c r="AE16" s="56"/>
      <c r="AF16" s="56"/>
      <c r="AG16" s="155"/>
      <c r="AH16" s="56"/>
      <c r="AI16" s="56"/>
      <c r="AJ16" s="56"/>
      <c r="AK16" s="155"/>
      <c r="AL16" s="56"/>
      <c r="AM16" s="56"/>
      <c r="AN16" s="56"/>
    </row>
    <row r="17" spans="1:40" x14ac:dyDescent="0.25">
      <c r="A17" s="378"/>
      <c r="B17" s="378"/>
      <c r="C17" s="265" t="s">
        <v>35</v>
      </c>
      <c r="D17" s="265" t="s">
        <v>36</v>
      </c>
      <c r="E17" s="265"/>
      <c r="F17" s="265" t="s">
        <v>37</v>
      </c>
      <c r="G17" s="218"/>
      <c r="H17" s="265" t="s">
        <v>38</v>
      </c>
      <c r="I17" s="265"/>
      <c r="J17" s="265" t="s">
        <v>39</v>
      </c>
      <c r="K17" s="265"/>
      <c r="L17" s="265" t="s">
        <v>40</v>
      </c>
      <c r="M17" s="265"/>
      <c r="N17" s="265" t="s">
        <v>41</v>
      </c>
      <c r="O17" s="265"/>
      <c r="P17" s="265" t="s">
        <v>42</v>
      </c>
      <c r="Q17" s="265"/>
      <c r="R17" s="265" t="s">
        <v>43</v>
      </c>
      <c r="T17" s="56"/>
      <c r="U17" s="56"/>
      <c r="V17" s="56"/>
      <c r="Y17" s="56"/>
      <c r="Z17" s="56"/>
      <c r="AA17" s="56"/>
      <c r="AB17" s="56"/>
      <c r="AC17" s="56"/>
      <c r="AD17" s="56"/>
      <c r="AE17" s="56"/>
      <c r="AF17" s="56"/>
      <c r="AG17" s="155"/>
      <c r="AH17" s="56"/>
      <c r="AI17" s="56"/>
      <c r="AJ17" s="56"/>
      <c r="AK17" s="155"/>
      <c r="AL17" s="56"/>
      <c r="AM17" s="56"/>
      <c r="AN17" s="56"/>
    </row>
    <row r="18" spans="1:40" ht="17.100000000000001" customHeight="1" x14ac:dyDescent="0.25">
      <c r="A18" s="73"/>
      <c r="B18" s="73"/>
      <c r="C18" s="73"/>
      <c r="D18" s="73"/>
      <c r="E18" s="73"/>
      <c r="F18" s="73"/>
      <c r="G18" s="73"/>
      <c r="H18" s="495" t="s">
        <v>203</v>
      </c>
      <c r="I18" s="496"/>
      <c r="J18" s="495" t="s">
        <v>390</v>
      </c>
      <c r="K18" s="496"/>
      <c r="L18" s="496" t="s">
        <v>52</v>
      </c>
      <c r="M18" s="496"/>
      <c r="N18" s="496" t="s">
        <v>53</v>
      </c>
      <c r="O18" s="496"/>
      <c r="P18" s="496" t="s">
        <v>52</v>
      </c>
      <c r="Q18" s="496"/>
      <c r="R18" s="496" t="s">
        <v>52</v>
      </c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154"/>
      <c r="AH18" s="55"/>
      <c r="AI18" s="55"/>
      <c r="AJ18" s="55"/>
      <c r="AK18" s="154"/>
      <c r="AL18" s="55"/>
      <c r="AM18" s="55"/>
      <c r="AN18" s="55"/>
    </row>
    <row r="19" spans="1:40" x14ac:dyDescent="0.25">
      <c r="A19" s="45">
        <v>1</v>
      </c>
      <c r="B19" s="378"/>
      <c r="C19" s="222" t="s">
        <v>62</v>
      </c>
      <c r="D19" s="222" t="s">
        <v>63</v>
      </c>
      <c r="E19" s="46"/>
      <c r="F19" s="2"/>
      <c r="G19" s="2"/>
      <c r="H19" s="459"/>
      <c r="I19" s="459"/>
      <c r="J19" s="460" t="s">
        <v>384</v>
      </c>
      <c r="K19" s="459"/>
      <c r="L19" s="459"/>
      <c r="M19" s="459"/>
      <c r="N19" s="459"/>
      <c r="O19" s="459"/>
      <c r="P19" s="459"/>
      <c r="Q19" s="459"/>
      <c r="R19" s="459"/>
      <c r="Y19" s="56"/>
      <c r="Z19" s="56"/>
      <c r="AA19" s="56"/>
      <c r="AB19" s="56"/>
      <c r="AC19" s="56"/>
      <c r="AD19" s="56"/>
      <c r="AE19" s="56"/>
      <c r="AF19" s="56"/>
      <c r="AG19" s="155"/>
      <c r="AH19" s="56"/>
      <c r="AI19" s="56"/>
      <c r="AJ19" s="56"/>
      <c r="AK19" s="155"/>
      <c r="AL19" s="56"/>
      <c r="AM19" s="56"/>
      <c r="AN19" s="56"/>
    </row>
    <row r="20" spans="1:40" x14ac:dyDescent="0.25">
      <c r="A20" s="45">
        <v>2</v>
      </c>
      <c r="B20" s="378"/>
      <c r="C20" s="222" t="s">
        <v>56</v>
      </c>
      <c r="D20" s="378"/>
      <c r="E20" s="378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T20" s="54"/>
      <c r="U20" s="54"/>
    </row>
    <row r="21" spans="1:40" x14ac:dyDescent="0.25">
      <c r="A21" s="45">
        <v>3</v>
      </c>
      <c r="B21" s="378"/>
      <c r="C21" s="222" t="s">
        <v>64</v>
      </c>
      <c r="D21" s="378"/>
      <c r="E21" s="378"/>
      <c r="F21" s="449">
        <v>52</v>
      </c>
      <c r="G21" s="2"/>
      <c r="H21" s="86"/>
      <c r="I21" s="86"/>
      <c r="J21" s="450">
        <f>INPUT!D122</f>
        <v>500</v>
      </c>
      <c r="K21" s="96"/>
      <c r="L21" s="81">
        <f>ROUND(F21*J21,0)</f>
        <v>26000</v>
      </c>
      <c r="M21" s="5"/>
      <c r="N21" s="88">
        <f>ROUND((L21/$L$56)*100,1)</f>
        <v>0.2</v>
      </c>
      <c r="O21" s="6"/>
      <c r="P21" s="81"/>
      <c r="Q21" s="1"/>
      <c r="R21" s="81">
        <f>L21+P21</f>
        <v>26000</v>
      </c>
    </row>
    <row r="22" spans="1:40" x14ac:dyDescent="0.25">
      <c r="A22" s="45"/>
      <c r="B22" s="378"/>
      <c r="C22" s="46"/>
      <c r="D22" s="378"/>
      <c r="E22" s="378"/>
      <c r="F22" s="94"/>
      <c r="G22" s="2"/>
      <c r="H22" s="86"/>
      <c r="I22" s="86"/>
      <c r="J22" s="450"/>
      <c r="K22" s="96"/>
      <c r="L22" s="83"/>
      <c r="M22" s="5"/>
      <c r="N22" s="91"/>
      <c r="O22" s="6"/>
      <c r="P22" s="83"/>
      <c r="Q22" s="1"/>
      <c r="R22" s="83"/>
    </row>
    <row r="23" spans="1:40" x14ac:dyDescent="0.25">
      <c r="A23" s="45">
        <v>4</v>
      </c>
      <c r="B23" s="378"/>
      <c r="C23" s="222" t="s">
        <v>65</v>
      </c>
      <c r="D23" s="378"/>
      <c r="E23" s="378"/>
      <c r="F23" s="86"/>
      <c r="G23" s="2"/>
      <c r="H23" s="86"/>
      <c r="I23" s="86"/>
      <c r="J23" s="497"/>
      <c r="K23" s="481"/>
      <c r="L23" s="5"/>
      <c r="M23" s="5"/>
      <c r="N23" s="6"/>
      <c r="O23" s="6"/>
      <c r="P23" s="5"/>
      <c r="Q23" s="5"/>
      <c r="R23" s="5"/>
      <c r="S23" s="379"/>
      <c r="V23" s="381"/>
      <c r="Y23" s="379"/>
      <c r="Z23" s="449"/>
      <c r="AA23" s="379"/>
      <c r="AB23" s="379"/>
      <c r="AC23" s="50"/>
      <c r="AD23" s="50"/>
      <c r="AE23" s="379"/>
      <c r="AF23" s="379"/>
      <c r="AI23" s="379"/>
      <c r="AJ23" s="379"/>
      <c r="AK23" s="156"/>
      <c r="AL23" s="379"/>
    </row>
    <row r="24" spans="1:40" x14ac:dyDescent="0.25">
      <c r="A24" s="45">
        <v>5</v>
      </c>
      <c r="B24" s="378"/>
      <c r="C24" s="46" t="s">
        <v>66</v>
      </c>
      <c r="D24" s="378"/>
      <c r="E24" s="378"/>
      <c r="F24" s="86"/>
      <c r="G24" s="2"/>
      <c r="H24" s="392">
        <v>163686</v>
      </c>
      <c r="I24" s="86"/>
      <c r="J24" s="450">
        <f>INPUT!D128</f>
        <v>8.75</v>
      </c>
      <c r="K24" s="96"/>
      <c r="L24" s="5">
        <f>ROUND(H24*J24,0)</f>
        <v>1432253</v>
      </c>
      <c r="M24" s="5"/>
      <c r="N24" s="91">
        <f>ROUND((L24/$L$56)*100,1)</f>
        <v>9.1999999999999993</v>
      </c>
      <c r="O24" s="6"/>
      <c r="P24" s="5"/>
      <c r="Q24" s="5"/>
      <c r="R24" s="5">
        <f>L24+P24</f>
        <v>1432253</v>
      </c>
      <c r="S24" s="379"/>
      <c r="V24" s="381"/>
      <c r="Y24" s="381"/>
      <c r="Z24" s="464"/>
      <c r="AA24" s="381"/>
      <c r="AB24" s="381"/>
      <c r="AC24" s="381"/>
      <c r="AD24" s="381"/>
      <c r="AE24" s="381"/>
      <c r="AF24" s="381"/>
      <c r="AI24" s="381"/>
      <c r="AJ24" s="381"/>
      <c r="AK24" s="162"/>
      <c r="AL24" s="381"/>
      <c r="AM24" s="50"/>
      <c r="AN24" s="50"/>
    </row>
    <row r="25" spans="1:40" x14ac:dyDescent="0.25">
      <c r="A25" s="45">
        <v>6</v>
      </c>
      <c r="B25" s="378"/>
      <c r="C25" s="46" t="s">
        <v>67</v>
      </c>
      <c r="D25" s="378"/>
      <c r="E25" s="378"/>
      <c r="F25" s="94"/>
      <c r="G25" s="2"/>
      <c r="H25" s="452">
        <v>6185</v>
      </c>
      <c r="I25" s="86"/>
      <c r="J25" s="450">
        <f>INPUT!D129</f>
        <v>1.32</v>
      </c>
      <c r="K25" s="96"/>
      <c r="L25" s="81">
        <f>ROUND(H25*J25,0)</f>
        <v>8164</v>
      </c>
      <c r="M25" s="5"/>
      <c r="N25" s="88">
        <f>ROUND((L25/$L$56)*100,1)</f>
        <v>0.1</v>
      </c>
      <c r="O25" s="6"/>
      <c r="P25" s="81"/>
      <c r="Q25" s="5"/>
      <c r="R25" s="81">
        <f>L25+P25</f>
        <v>8164</v>
      </c>
      <c r="S25" s="379"/>
      <c r="V25" s="449"/>
      <c r="Y25" s="449"/>
      <c r="Z25" s="464"/>
      <c r="AA25" s="379"/>
      <c r="AB25" s="379"/>
      <c r="AC25" s="50"/>
      <c r="AD25" s="50"/>
      <c r="AE25" s="379"/>
      <c r="AF25" s="379"/>
      <c r="AI25" s="379"/>
      <c r="AJ25" s="379"/>
      <c r="AK25" s="156"/>
      <c r="AL25" s="379"/>
      <c r="AM25" s="50"/>
      <c r="AN25" s="50"/>
    </row>
    <row r="26" spans="1:40" ht="20.100000000000001" customHeight="1" x14ac:dyDescent="0.25">
      <c r="A26" s="45">
        <v>7</v>
      </c>
      <c r="B26" s="378"/>
      <c r="C26" s="222" t="s">
        <v>68</v>
      </c>
      <c r="D26" s="378"/>
      <c r="E26" s="378"/>
      <c r="F26" s="83"/>
      <c r="G26" s="2"/>
      <c r="H26" s="81">
        <f>SUM(H24:H25)</f>
        <v>169871</v>
      </c>
      <c r="I26" s="5"/>
      <c r="J26" s="9"/>
      <c r="K26" s="9"/>
      <c r="L26" s="81">
        <f>SUM(L24:L25)</f>
        <v>1440417</v>
      </c>
      <c r="M26" s="5"/>
      <c r="N26" s="88">
        <f>ROUND((L26/$L$56)*100,1)</f>
        <v>9.1999999999999993</v>
      </c>
      <c r="O26" s="6"/>
      <c r="P26" s="81"/>
      <c r="Q26" s="5"/>
      <c r="R26" s="81">
        <f>SUM(R24:R25)</f>
        <v>1440417</v>
      </c>
      <c r="S26" s="379"/>
      <c r="V26" s="381"/>
      <c r="Y26" s="381"/>
      <c r="Z26" s="464"/>
      <c r="AA26" s="381"/>
      <c r="AB26" s="381"/>
      <c r="AC26" s="381"/>
      <c r="AD26" s="381"/>
      <c r="AE26" s="381"/>
      <c r="AF26" s="381"/>
      <c r="AI26" s="381"/>
      <c r="AJ26" s="381"/>
      <c r="AK26" s="162"/>
      <c r="AL26" s="381"/>
      <c r="AM26" s="50"/>
      <c r="AN26" s="50"/>
    </row>
    <row r="27" spans="1:40" x14ac:dyDescent="0.25">
      <c r="A27" s="45"/>
      <c r="B27" s="378"/>
      <c r="C27" s="46"/>
      <c r="D27" s="378"/>
      <c r="E27" s="378"/>
      <c r="F27" s="83"/>
      <c r="G27" s="2"/>
      <c r="H27" s="83"/>
      <c r="I27" s="5"/>
      <c r="J27" s="9"/>
      <c r="K27" s="9"/>
      <c r="L27" s="83"/>
      <c r="M27" s="5"/>
      <c r="N27" s="91"/>
      <c r="O27" s="6"/>
      <c r="P27" s="83"/>
      <c r="Q27" s="5"/>
      <c r="R27" s="83"/>
      <c r="S27" s="379"/>
      <c r="V27" s="381"/>
      <c r="Y27" s="381"/>
      <c r="Z27" s="464"/>
      <c r="AA27" s="381"/>
      <c r="AB27" s="381"/>
      <c r="AC27" s="381"/>
      <c r="AD27" s="381"/>
      <c r="AE27" s="381"/>
      <c r="AF27" s="381"/>
      <c r="AI27" s="381"/>
      <c r="AJ27" s="381"/>
      <c r="AK27" s="162"/>
      <c r="AL27" s="381"/>
      <c r="AM27" s="50"/>
      <c r="AN27" s="50"/>
    </row>
    <row r="28" spans="1:40" x14ac:dyDescent="0.25">
      <c r="A28" s="45">
        <v>8</v>
      </c>
      <c r="B28" s="378"/>
      <c r="C28" s="222" t="s">
        <v>432</v>
      </c>
      <c r="D28" s="378"/>
      <c r="E28" s="378"/>
      <c r="F28" s="83"/>
      <c r="G28" s="2"/>
      <c r="H28" s="5"/>
      <c r="I28" s="5"/>
      <c r="J28" s="9"/>
      <c r="K28" s="9"/>
      <c r="L28" s="5"/>
      <c r="M28" s="5"/>
      <c r="N28" s="6"/>
      <c r="O28" s="6"/>
      <c r="P28" s="5"/>
      <c r="Q28" s="5"/>
      <c r="R28" s="5"/>
      <c r="S28" s="379"/>
      <c r="T28" s="54"/>
      <c r="AA28" s="379"/>
      <c r="AB28" s="379"/>
      <c r="AC28" s="379"/>
      <c r="AD28" s="379"/>
      <c r="AI28" s="379"/>
      <c r="AJ28" s="379"/>
      <c r="AK28" s="156"/>
      <c r="AL28" s="379"/>
    </row>
    <row r="29" spans="1:40" x14ac:dyDescent="0.25">
      <c r="A29" s="45">
        <v>9</v>
      </c>
      <c r="B29" s="378"/>
      <c r="C29" s="46" t="s">
        <v>445</v>
      </c>
      <c r="D29" s="378"/>
      <c r="E29" s="378"/>
      <c r="F29" s="83"/>
      <c r="G29" s="2"/>
      <c r="H29" s="449">
        <v>26206262</v>
      </c>
      <c r="I29" s="5"/>
      <c r="J29" s="224">
        <f>PRO_SUM_TT_ON_KWH</f>
        <v>5.3206999999999997E-2</v>
      </c>
      <c r="K29" s="489"/>
      <c r="L29" s="83">
        <f>ROUND((H29*J29),0)</f>
        <v>1394357</v>
      </c>
      <c r="M29" s="83"/>
      <c r="N29" s="91">
        <f>ROUND((L29/$L$56)*100,1)</f>
        <v>8.9</v>
      </c>
      <c r="O29" s="91"/>
      <c r="P29" s="83"/>
      <c r="Q29" s="83"/>
      <c r="R29" s="83">
        <f>L29+P29</f>
        <v>1394357</v>
      </c>
      <c r="S29" s="379"/>
      <c r="T29" s="54"/>
      <c r="AA29" s="379"/>
      <c r="AB29" s="379"/>
      <c r="AC29" s="379"/>
      <c r="AD29" s="379"/>
      <c r="AI29" s="379"/>
      <c r="AJ29" s="379"/>
      <c r="AK29" s="156"/>
      <c r="AL29" s="379"/>
    </row>
    <row r="30" spans="1:40" x14ac:dyDescent="0.25">
      <c r="A30" s="45">
        <v>10</v>
      </c>
      <c r="B30" s="378"/>
      <c r="C30" s="46" t="s">
        <v>446</v>
      </c>
      <c r="D30" s="378"/>
      <c r="E30" s="378"/>
      <c r="F30" s="81"/>
      <c r="G30" s="2"/>
      <c r="H30" s="452">
        <v>48926302</v>
      </c>
      <c r="I30" s="86"/>
      <c r="J30" s="453">
        <f>PRO_TT_OFF</f>
        <v>4.3570999999999999E-2</v>
      </c>
      <c r="K30" s="454"/>
      <c r="L30" s="81">
        <f>ROUND((H30*J30),0)</f>
        <v>2131768</v>
      </c>
      <c r="M30" s="5"/>
      <c r="N30" s="88">
        <f>ROUND((L30/$L$56)*100,1)</f>
        <v>13.7</v>
      </c>
      <c r="O30" s="6"/>
      <c r="P30" s="81"/>
      <c r="Q30" s="5"/>
      <c r="R30" s="81">
        <f>L30+P30</f>
        <v>2131768</v>
      </c>
      <c r="Z30" s="53"/>
    </row>
    <row r="31" spans="1:40" x14ac:dyDescent="0.25">
      <c r="A31" s="45">
        <v>11</v>
      </c>
      <c r="B31" s="378"/>
      <c r="C31" s="222" t="s">
        <v>149</v>
      </c>
      <c r="D31" s="378"/>
      <c r="E31" s="378"/>
      <c r="F31" s="83"/>
      <c r="G31" s="2"/>
      <c r="H31" s="81">
        <f>SUM(H29:H30)</f>
        <v>75132564</v>
      </c>
      <c r="I31" s="5"/>
      <c r="J31" s="9"/>
      <c r="K31" s="9"/>
      <c r="L31" s="81">
        <f>SUM(L29:L30)</f>
        <v>3526125</v>
      </c>
      <c r="M31" s="5"/>
      <c r="N31" s="88">
        <f>ROUND((L31/$L$56)*100,1)</f>
        <v>22.6</v>
      </c>
      <c r="O31" s="6"/>
      <c r="P31" s="81"/>
      <c r="Q31" s="5"/>
      <c r="R31" s="81">
        <f>SUM(R29:R30)</f>
        <v>3526125</v>
      </c>
      <c r="Z31" s="53"/>
    </row>
    <row r="32" spans="1:40" ht="20.100000000000001" customHeight="1" x14ac:dyDescent="0.25">
      <c r="A32" s="45">
        <v>12</v>
      </c>
      <c r="B32" s="378"/>
      <c r="C32" s="222" t="s">
        <v>58</v>
      </c>
      <c r="D32" s="378"/>
      <c r="E32" s="378"/>
      <c r="F32" s="90">
        <f>F21</f>
        <v>52</v>
      </c>
      <c r="G32" s="2"/>
      <c r="H32" s="90">
        <f>H31</f>
        <v>75132564</v>
      </c>
      <c r="I32" s="5"/>
      <c r="J32" s="446"/>
      <c r="K32" s="446"/>
      <c r="L32" s="90">
        <f>L21+L26+L31</f>
        <v>4992542</v>
      </c>
      <c r="M32" s="5"/>
      <c r="N32" s="88">
        <f>ROUND((L32/$L$56)*100,1)</f>
        <v>32</v>
      </c>
      <c r="O32" s="6"/>
      <c r="P32" s="90"/>
      <c r="Q32" s="5"/>
      <c r="R32" s="90">
        <f>R21+R26+R31</f>
        <v>4992542</v>
      </c>
    </row>
    <row r="33" spans="1:43" x14ac:dyDescent="0.25">
      <c r="D33" s="378"/>
      <c r="E33" s="378"/>
      <c r="F33" s="86"/>
      <c r="G33" s="2"/>
      <c r="H33" s="86"/>
      <c r="I33" s="86"/>
      <c r="J33" s="446"/>
      <c r="K33" s="446"/>
      <c r="L33" s="5"/>
      <c r="M33" s="5"/>
      <c r="N33" s="6"/>
      <c r="O33" s="6"/>
      <c r="P33" s="5"/>
      <c r="Q33" s="5"/>
      <c r="R33" s="5"/>
    </row>
    <row r="34" spans="1:43" x14ac:dyDescent="0.25">
      <c r="A34" s="45">
        <v>13</v>
      </c>
      <c r="B34" s="378"/>
      <c r="C34" s="222" t="s">
        <v>59</v>
      </c>
      <c r="D34" s="378"/>
      <c r="E34" s="378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</row>
    <row r="35" spans="1:43" x14ac:dyDescent="0.25">
      <c r="A35" s="45">
        <v>14</v>
      </c>
      <c r="B35" s="378"/>
      <c r="C35" s="222" t="s">
        <v>64</v>
      </c>
      <c r="D35" s="378"/>
      <c r="E35" s="378"/>
      <c r="F35" s="449">
        <v>103</v>
      </c>
      <c r="G35" s="2"/>
      <c r="H35" s="86"/>
      <c r="I35" s="86"/>
      <c r="J35" s="96">
        <f>J21</f>
        <v>500</v>
      </c>
      <c r="K35" s="96"/>
      <c r="L35" s="81">
        <f>ROUND(F35*J35,0)</f>
        <v>51500</v>
      </c>
      <c r="M35" s="5"/>
      <c r="N35" s="88">
        <f>ROUND((L35/L$56)*100,1)</f>
        <v>0.3</v>
      </c>
      <c r="O35" s="6"/>
      <c r="P35" s="109"/>
      <c r="Q35" s="1"/>
      <c r="R35" s="81">
        <f>L35+P35</f>
        <v>51500</v>
      </c>
    </row>
    <row r="36" spans="1:43" x14ac:dyDescent="0.25">
      <c r="A36" s="45"/>
      <c r="B36" s="378"/>
      <c r="C36" s="46"/>
      <c r="D36" s="378"/>
      <c r="E36" s="378"/>
      <c r="F36" s="94"/>
      <c r="G36" s="2"/>
      <c r="H36" s="86"/>
      <c r="I36" s="86"/>
      <c r="J36" s="450"/>
      <c r="K36" s="96"/>
      <c r="L36" s="83"/>
      <c r="M36" s="5"/>
      <c r="N36" s="91"/>
      <c r="O36" s="6"/>
      <c r="P36" s="97"/>
      <c r="Q36" s="1"/>
      <c r="R36" s="83"/>
    </row>
    <row r="37" spans="1:43" x14ac:dyDescent="0.25">
      <c r="A37" s="45">
        <v>15</v>
      </c>
      <c r="B37" s="378"/>
      <c r="C37" s="222" t="s">
        <v>65</v>
      </c>
      <c r="D37" s="378"/>
      <c r="E37" s="378"/>
      <c r="F37" s="86"/>
      <c r="G37" s="2"/>
      <c r="H37" s="86"/>
      <c r="I37" s="86"/>
      <c r="J37" s="497"/>
      <c r="K37" s="481"/>
      <c r="L37" s="5"/>
      <c r="M37" s="5"/>
      <c r="N37" s="6"/>
      <c r="O37" s="6"/>
      <c r="P37" s="5"/>
      <c r="Q37" s="5"/>
      <c r="R37" s="5"/>
      <c r="T37" s="58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158"/>
      <c r="AH37" s="57"/>
      <c r="AI37" s="57"/>
      <c r="AJ37" s="57"/>
      <c r="AK37" s="158"/>
      <c r="AL37" s="57"/>
      <c r="AM37" s="57"/>
      <c r="AN37" s="57"/>
      <c r="AO37" s="57"/>
      <c r="AP37" s="57"/>
      <c r="AQ37" s="158"/>
    </row>
    <row r="38" spans="1:43" x14ac:dyDescent="0.25">
      <c r="A38" s="45">
        <v>16</v>
      </c>
      <c r="B38" s="378"/>
      <c r="C38" s="46" t="s">
        <v>66</v>
      </c>
      <c r="D38" s="378"/>
      <c r="E38" s="378"/>
      <c r="F38" s="86"/>
      <c r="G38" s="2"/>
      <c r="H38" s="392">
        <v>315522.20000000007</v>
      </c>
      <c r="I38" s="86"/>
      <c r="J38" s="450">
        <f>INPUT!D130</f>
        <v>7.18</v>
      </c>
      <c r="K38" s="96"/>
      <c r="L38" s="5">
        <f>ROUND(H38*J38,0)</f>
        <v>2265449</v>
      </c>
      <c r="M38" s="5"/>
      <c r="N38" s="91">
        <f>ROUND((L38/$L$56)*100,1)</f>
        <v>14.5</v>
      </c>
      <c r="O38" s="6"/>
      <c r="P38" s="5"/>
      <c r="Q38" s="5"/>
      <c r="R38" s="5">
        <f>L38+P38</f>
        <v>2265449</v>
      </c>
      <c r="T38" s="57"/>
      <c r="U38" s="57"/>
      <c r="V38" s="57"/>
      <c r="W38" s="57"/>
      <c r="X38" s="57"/>
      <c r="Y38" s="57"/>
      <c r="Z38" s="57"/>
      <c r="AA38" s="57"/>
      <c r="AB38" s="57"/>
      <c r="AC38" s="58"/>
      <c r="AD38" s="58"/>
      <c r="AE38" s="57"/>
      <c r="AF38" s="57"/>
      <c r="AG38" s="158"/>
      <c r="AH38" s="57"/>
      <c r="AI38" s="57"/>
      <c r="AJ38" s="57"/>
      <c r="AK38" s="158"/>
      <c r="AL38" s="57"/>
      <c r="AM38" s="57"/>
      <c r="AN38" s="57"/>
      <c r="AO38" s="57"/>
      <c r="AP38" s="57"/>
      <c r="AQ38" s="158"/>
    </row>
    <row r="39" spans="1:43" x14ac:dyDescent="0.25">
      <c r="A39" s="45">
        <v>17</v>
      </c>
      <c r="B39" s="378"/>
      <c r="C39" s="46" t="s">
        <v>67</v>
      </c>
      <c r="D39" s="378"/>
      <c r="E39" s="378"/>
      <c r="F39" s="94"/>
      <c r="G39" s="2"/>
      <c r="H39" s="452">
        <v>11740.4</v>
      </c>
      <c r="I39" s="86"/>
      <c r="J39" s="450">
        <f>INPUT!D131</f>
        <v>1.32</v>
      </c>
      <c r="K39" s="96"/>
      <c r="L39" s="81">
        <f>ROUND(H39*J39,0)</f>
        <v>15497</v>
      </c>
      <c r="M39" s="5"/>
      <c r="N39" s="88">
        <f>ROUND((L39/$L$56)*100,1)</f>
        <v>0.1</v>
      </c>
      <c r="O39" s="6"/>
      <c r="P39" s="81"/>
      <c r="Q39" s="5"/>
      <c r="R39" s="81">
        <f>L39+P39</f>
        <v>15497</v>
      </c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8"/>
      <c r="AF39" s="58"/>
      <c r="AG39" s="158"/>
      <c r="AH39" s="57"/>
      <c r="AI39" s="57"/>
      <c r="AJ39" s="57"/>
      <c r="AK39" s="158"/>
      <c r="AL39" s="57"/>
      <c r="AM39" s="57"/>
      <c r="AN39" s="57"/>
      <c r="AO39" s="57"/>
      <c r="AP39" s="57"/>
      <c r="AQ39" s="158"/>
    </row>
    <row r="40" spans="1:43" ht="20.100000000000001" customHeight="1" x14ac:dyDescent="0.25">
      <c r="A40" s="45">
        <v>18</v>
      </c>
      <c r="B40" s="378"/>
      <c r="C40" s="222" t="s">
        <v>68</v>
      </c>
      <c r="D40" s="378"/>
      <c r="E40" s="378"/>
      <c r="F40" s="83"/>
      <c r="G40" s="2"/>
      <c r="H40" s="81">
        <f>SUM(H38:H39)</f>
        <v>327262.60000000009</v>
      </c>
      <c r="I40" s="5"/>
      <c r="J40" s="51"/>
      <c r="K40" s="9"/>
      <c r="L40" s="81">
        <f>L38+L39</f>
        <v>2280946</v>
      </c>
      <c r="M40" s="5"/>
      <c r="N40" s="88">
        <f>ROUND((L40/$L$56)*100,1)</f>
        <v>14.6</v>
      </c>
      <c r="O40" s="6"/>
      <c r="P40" s="81"/>
      <c r="Q40" s="5"/>
      <c r="R40" s="81">
        <f>L40+P40</f>
        <v>2280946</v>
      </c>
      <c r="T40" s="53"/>
      <c r="AO40" s="54"/>
      <c r="AP40" s="54"/>
    </row>
    <row r="41" spans="1:43" x14ac:dyDescent="0.25">
      <c r="A41" s="45"/>
      <c r="B41" s="378"/>
      <c r="C41" s="46"/>
      <c r="D41" s="378"/>
      <c r="E41" s="378"/>
      <c r="F41" s="83"/>
      <c r="G41" s="2"/>
      <c r="H41" s="83"/>
      <c r="I41" s="5"/>
      <c r="J41" s="51"/>
      <c r="K41" s="9"/>
      <c r="L41" s="83"/>
      <c r="M41" s="5"/>
      <c r="N41" s="91"/>
      <c r="O41" s="6"/>
      <c r="P41" s="83"/>
      <c r="Q41" s="5"/>
      <c r="R41" s="83"/>
      <c r="T41" s="53"/>
      <c r="AO41" s="54"/>
      <c r="AP41" s="54"/>
    </row>
    <row r="42" spans="1:43" x14ac:dyDescent="0.25">
      <c r="A42" s="45">
        <v>19</v>
      </c>
      <c r="B42" s="378"/>
      <c r="C42" s="222" t="s">
        <v>432</v>
      </c>
      <c r="D42" s="378"/>
      <c r="E42" s="378"/>
      <c r="F42" s="83"/>
      <c r="G42" s="2"/>
      <c r="H42" s="5"/>
      <c r="I42" s="5"/>
      <c r="J42" s="51"/>
      <c r="K42" s="9"/>
      <c r="L42" s="5"/>
      <c r="M42" s="5"/>
      <c r="N42" s="6"/>
      <c r="O42" s="6"/>
      <c r="P42" s="5"/>
      <c r="Q42" s="5"/>
      <c r="R42" s="5"/>
      <c r="T42" s="54"/>
      <c r="AO42" s="53"/>
      <c r="AP42" s="53"/>
    </row>
    <row r="43" spans="1:43" x14ac:dyDescent="0.25">
      <c r="A43" s="45">
        <v>20</v>
      </c>
      <c r="B43" s="378"/>
      <c r="C43" s="46" t="s">
        <v>445</v>
      </c>
      <c r="D43" s="378"/>
      <c r="E43" s="378"/>
      <c r="F43" s="83"/>
      <c r="G43" s="2"/>
      <c r="H43" s="449">
        <v>45565318</v>
      </c>
      <c r="I43" s="5"/>
      <c r="J43" s="224">
        <f>PRO_WIN_TT_ON_KWH</f>
        <v>5.0793999999999999E-2</v>
      </c>
      <c r="K43" s="9"/>
      <c r="L43" s="83">
        <f>ROUND((H43*J43),0)</f>
        <v>2314445</v>
      </c>
      <c r="M43" s="5"/>
      <c r="N43" s="91">
        <f>ROUND((L43/$L$56)*100,1)</f>
        <v>14.8</v>
      </c>
      <c r="O43" s="91"/>
      <c r="P43" s="83"/>
      <c r="Q43" s="83"/>
      <c r="R43" s="83">
        <f>L43+P43</f>
        <v>2314445</v>
      </c>
      <c r="T43" s="54"/>
      <c r="AO43" s="53"/>
      <c r="AP43" s="53"/>
    </row>
    <row r="44" spans="1:43" x14ac:dyDescent="0.25">
      <c r="A44" s="45">
        <v>21</v>
      </c>
      <c r="B44" s="378"/>
      <c r="C44" s="46" t="s">
        <v>446</v>
      </c>
      <c r="D44" s="378"/>
      <c r="E44" s="378"/>
      <c r="F44" s="81"/>
      <c r="G44" s="2"/>
      <c r="H44" s="452">
        <v>103358288</v>
      </c>
      <c r="I44" s="86"/>
      <c r="J44" s="453">
        <f>PRO_TT_OFF</f>
        <v>4.3570999999999999E-2</v>
      </c>
      <c r="K44" s="454"/>
      <c r="L44" s="81">
        <f>ROUND((H44*J44),0)</f>
        <v>4503424</v>
      </c>
      <c r="M44" s="5"/>
      <c r="N44" s="88">
        <f>ROUND((L44/$L$56)*100,1)</f>
        <v>28.9</v>
      </c>
      <c r="O44" s="6"/>
      <c r="P44" s="81"/>
      <c r="Q44" s="5"/>
      <c r="R44" s="81">
        <f>L44+P44</f>
        <v>4503424</v>
      </c>
      <c r="T44" s="58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158"/>
      <c r="AH44" s="57"/>
      <c r="AI44" s="57"/>
      <c r="AJ44" s="57"/>
      <c r="AK44" s="158"/>
      <c r="AL44" s="57"/>
      <c r="AM44" s="57"/>
      <c r="AN44" s="57"/>
      <c r="AO44" s="57"/>
      <c r="AP44" s="57"/>
      <c r="AQ44" s="158"/>
    </row>
    <row r="45" spans="1:43" x14ac:dyDescent="0.25">
      <c r="A45" s="45">
        <v>22</v>
      </c>
      <c r="B45" s="378"/>
      <c r="C45" s="222" t="s">
        <v>149</v>
      </c>
      <c r="D45" s="378"/>
      <c r="E45" s="378"/>
      <c r="F45" s="83"/>
      <c r="G45" s="2"/>
      <c r="H45" s="81">
        <f>SUM(H43:H44)</f>
        <v>148923606</v>
      </c>
      <c r="I45" s="5"/>
      <c r="J45" s="9"/>
      <c r="K45" s="9"/>
      <c r="L45" s="81">
        <f>SUM(L43:L44)</f>
        <v>6817869</v>
      </c>
      <c r="M45" s="5"/>
      <c r="N45" s="88">
        <f>ROUND((L45/$L$56)*100,1)</f>
        <v>43.7</v>
      </c>
      <c r="O45" s="6"/>
      <c r="P45" s="81"/>
      <c r="Q45" s="5"/>
      <c r="R45" s="81">
        <f>SUM(R43:R44)</f>
        <v>6817869</v>
      </c>
      <c r="T45" s="58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158"/>
      <c r="AH45" s="57"/>
      <c r="AI45" s="57"/>
      <c r="AJ45" s="57"/>
      <c r="AK45" s="158"/>
      <c r="AL45" s="57"/>
      <c r="AM45" s="57"/>
      <c r="AN45" s="57"/>
      <c r="AO45" s="57"/>
      <c r="AP45" s="57"/>
      <c r="AQ45" s="158"/>
    </row>
    <row r="46" spans="1:43" ht="20.100000000000001" customHeight="1" x14ac:dyDescent="0.25">
      <c r="A46" s="45">
        <v>23</v>
      </c>
      <c r="B46" s="378"/>
      <c r="C46" s="222" t="s">
        <v>60</v>
      </c>
      <c r="D46" s="378"/>
      <c r="E46" s="378"/>
      <c r="F46" s="90">
        <f>F35</f>
        <v>103</v>
      </c>
      <c r="G46" s="2"/>
      <c r="H46" s="90">
        <f>H45</f>
        <v>148923606</v>
      </c>
      <c r="I46" s="5"/>
      <c r="J46" s="446"/>
      <c r="K46" s="446"/>
      <c r="L46" s="90">
        <f>L35+L40+L45</f>
        <v>9150315</v>
      </c>
      <c r="M46" s="5"/>
      <c r="N46" s="88">
        <f>ROUND((L46/$L$56)*100,1)</f>
        <v>58.6</v>
      </c>
      <c r="O46" s="6"/>
      <c r="P46" s="90"/>
      <c r="Q46" s="5"/>
      <c r="R46" s="90">
        <f>R35+R40+R45</f>
        <v>9150315</v>
      </c>
      <c r="AC46" s="56"/>
      <c r="AD46" s="56"/>
      <c r="AE46" s="56"/>
      <c r="AF46" s="56"/>
      <c r="AG46" s="155"/>
      <c r="AH46" s="56"/>
      <c r="AI46" s="56"/>
      <c r="AJ46" s="56"/>
      <c r="AK46" s="155"/>
      <c r="AL46" s="56"/>
      <c r="AO46" s="56"/>
      <c r="AP46" s="56"/>
      <c r="AQ46" s="155"/>
    </row>
    <row r="47" spans="1:43" ht="20.100000000000001" customHeight="1" x14ac:dyDescent="0.25">
      <c r="A47" s="45">
        <v>24</v>
      </c>
      <c r="B47" s="378"/>
      <c r="C47" s="444" t="s">
        <v>527</v>
      </c>
      <c r="D47" s="378"/>
      <c r="E47" s="378"/>
      <c r="F47" s="90">
        <f>F32+F46</f>
        <v>155</v>
      </c>
      <c r="G47" s="2"/>
      <c r="H47" s="90">
        <f>H46+H32</f>
        <v>224056170</v>
      </c>
      <c r="I47" s="5"/>
      <c r="J47" s="446"/>
      <c r="K47" s="446"/>
      <c r="L47" s="90">
        <f>L46+L32</f>
        <v>14142857</v>
      </c>
      <c r="M47" s="5"/>
      <c r="N47" s="93">
        <f>ROUND((L47/L$56)*100,1)</f>
        <v>90.6</v>
      </c>
      <c r="O47" s="6"/>
      <c r="P47" s="90"/>
      <c r="Q47" s="5"/>
      <c r="R47" s="90">
        <f>R46+R32</f>
        <v>14142857</v>
      </c>
      <c r="AC47" s="56"/>
      <c r="AD47" s="56"/>
      <c r="AE47" s="56"/>
      <c r="AF47" s="56"/>
      <c r="AG47" s="155"/>
      <c r="AH47" s="56"/>
      <c r="AI47" s="56"/>
      <c r="AJ47" s="56"/>
      <c r="AK47" s="155"/>
      <c r="AL47" s="56"/>
      <c r="AO47" s="56"/>
      <c r="AP47" s="56"/>
      <c r="AQ47" s="155"/>
    </row>
    <row r="48" spans="1:43" ht="15.75" customHeight="1" x14ac:dyDescent="0.25">
      <c r="A48" s="45"/>
      <c r="B48" s="378"/>
      <c r="C48" s="46"/>
      <c r="D48" s="378"/>
      <c r="E48" s="378"/>
      <c r="F48" s="83"/>
      <c r="G48" s="2"/>
      <c r="H48" s="83"/>
      <c r="I48" s="5"/>
      <c r="J48" s="446"/>
      <c r="K48" s="446"/>
      <c r="L48" s="83"/>
      <c r="M48" s="5"/>
      <c r="N48" s="91"/>
      <c r="O48" s="6"/>
      <c r="P48" s="83"/>
      <c r="Q48" s="5"/>
      <c r="R48" s="83"/>
      <c r="AC48" s="56"/>
      <c r="AD48" s="56"/>
      <c r="AE48" s="56"/>
      <c r="AF48" s="56"/>
      <c r="AG48" s="155"/>
      <c r="AH48" s="56"/>
      <c r="AI48" s="56"/>
      <c r="AJ48" s="56"/>
      <c r="AK48" s="155"/>
      <c r="AL48" s="56"/>
      <c r="AO48" s="56"/>
      <c r="AP48" s="56"/>
      <c r="AQ48" s="155"/>
    </row>
    <row r="49" spans="1:76" ht="15.75" customHeight="1" x14ac:dyDescent="0.25">
      <c r="A49" s="45">
        <v>25</v>
      </c>
      <c r="B49" s="378"/>
      <c r="C49" s="222" t="s">
        <v>504</v>
      </c>
      <c r="D49" s="378"/>
      <c r="E49" s="378"/>
      <c r="F49" s="83"/>
      <c r="G49" s="2"/>
      <c r="H49" s="83"/>
      <c r="I49" s="5"/>
      <c r="J49" s="446"/>
      <c r="K49" s="446"/>
      <c r="L49" s="83"/>
      <c r="M49" s="5"/>
      <c r="N49" s="91"/>
      <c r="O49" s="6"/>
      <c r="P49" s="83"/>
      <c r="Q49" s="5"/>
      <c r="R49" s="83"/>
      <c r="AC49" s="56"/>
      <c r="AD49" s="56"/>
      <c r="AE49" s="56"/>
      <c r="AF49" s="56"/>
      <c r="AG49" s="155"/>
      <c r="AH49" s="56"/>
      <c r="AI49" s="56"/>
      <c r="AJ49" s="56"/>
      <c r="AK49" s="155"/>
      <c r="AL49" s="56"/>
      <c r="AO49" s="56"/>
      <c r="AP49" s="56"/>
      <c r="AQ49" s="155"/>
    </row>
    <row r="50" spans="1:76" ht="15.75" customHeight="1" x14ac:dyDescent="0.25">
      <c r="A50" s="45">
        <v>26</v>
      </c>
      <c r="B50" s="378"/>
      <c r="C50" s="216" t="str">
        <f>DSMR_Name</f>
        <v>DEMAND SIDE MANAGEMENT RIDER (DSMR)</v>
      </c>
      <c r="D50" s="378"/>
      <c r="E50" s="378"/>
      <c r="F50" s="83"/>
      <c r="G50" s="2"/>
      <c r="H50" s="83"/>
      <c r="I50" s="5"/>
      <c r="J50" s="457">
        <f>PRO_DSM_TRANS</f>
        <v>4.6299999999999998E-4</v>
      </c>
      <c r="K50" s="446"/>
      <c r="L50" s="83">
        <f>ROUND($H$47*J50,0)</f>
        <v>103738</v>
      </c>
      <c r="M50" s="5"/>
      <c r="N50" s="149">
        <f>ROUND((L50/L$56)*100,1)</f>
        <v>0.7</v>
      </c>
      <c r="O50" s="6"/>
      <c r="P50" s="83"/>
      <c r="Q50" s="5"/>
      <c r="R50" s="5">
        <f>L50+P50</f>
        <v>103738</v>
      </c>
      <c r="AC50" s="56"/>
      <c r="AD50" s="56"/>
      <c r="AE50" s="56"/>
      <c r="AF50" s="56"/>
      <c r="AG50" s="155"/>
      <c r="AH50" s="56"/>
      <c r="AI50" s="56"/>
      <c r="AJ50" s="56"/>
      <c r="AK50" s="155"/>
      <c r="AL50" s="56"/>
      <c r="AO50" s="56"/>
      <c r="AP50" s="56"/>
      <c r="AQ50" s="155"/>
    </row>
    <row r="51" spans="1:76" ht="15.75" customHeight="1" x14ac:dyDescent="0.25">
      <c r="A51" s="45">
        <v>27</v>
      </c>
      <c r="B51" s="378"/>
      <c r="C51" s="216" t="str">
        <f>ESM_Name</f>
        <v>ENVIRONMENTAL SURCHARGE MECHANISM RIDER (ESM)</v>
      </c>
      <c r="D51" s="378"/>
      <c r="E51" s="378"/>
      <c r="F51" s="83"/>
      <c r="G51" s="2"/>
      <c r="H51" s="83"/>
      <c r="I51" s="5"/>
      <c r="J51" s="457"/>
      <c r="K51" s="446"/>
      <c r="L51" s="83">
        <f>AE115</f>
        <v>1399101</v>
      </c>
      <c r="M51" s="5"/>
      <c r="N51" s="149">
        <f>ROUND((L51/L$56)*100,1)</f>
        <v>9</v>
      </c>
      <c r="O51" s="6"/>
      <c r="P51" s="83"/>
      <c r="Q51" s="5"/>
      <c r="R51" s="5">
        <f t="shared" ref="R51" si="0">L51+P51</f>
        <v>1399101</v>
      </c>
      <c r="AC51" s="56"/>
      <c r="AD51" s="56"/>
      <c r="AE51" s="56"/>
      <c r="AF51" s="56"/>
      <c r="AG51" s="155"/>
      <c r="AH51" s="56"/>
      <c r="AI51" s="56"/>
      <c r="AJ51" s="56"/>
      <c r="AK51" s="155"/>
      <c r="AL51" s="56"/>
      <c r="AO51" s="56"/>
      <c r="AP51" s="56"/>
      <c r="AQ51" s="155"/>
    </row>
    <row r="52" spans="1:76" ht="15.75" customHeight="1" x14ac:dyDescent="0.25">
      <c r="A52" s="45">
        <v>28</v>
      </c>
      <c r="B52" s="378"/>
      <c r="C52" s="216" t="str">
        <f>FAC_Name</f>
        <v>FUEL ADJUSTMENT CLAUSE (FAC)</v>
      </c>
      <c r="D52" s="378"/>
      <c r="E52" s="378"/>
      <c r="F52" s="83"/>
      <c r="G52" s="2"/>
      <c r="H52" s="83"/>
      <c r="I52" s="5"/>
      <c r="J52" s="457">
        <f>PRO_FAC</f>
        <v>6.8099999999999996E-4</v>
      </c>
      <c r="K52" s="446"/>
      <c r="L52" s="83"/>
      <c r="M52" s="5"/>
      <c r="N52" s="149"/>
      <c r="O52" s="6"/>
      <c r="P52" s="83">
        <f>ROUND(H47*PRO_FAC,0)</f>
        <v>152582</v>
      </c>
      <c r="Q52" s="5"/>
      <c r="R52" s="5">
        <f t="shared" ref="R52:R53" si="1">L52+P52</f>
        <v>152582</v>
      </c>
      <c r="AC52" s="56"/>
      <c r="AD52" s="56"/>
      <c r="AE52" s="56"/>
      <c r="AF52" s="56"/>
      <c r="AG52" s="155"/>
      <c r="AH52" s="56"/>
      <c r="AI52" s="56"/>
      <c r="AJ52" s="56"/>
      <c r="AK52" s="155"/>
      <c r="AL52" s="56"/>
      <c r="AO52" s="56"/>
      <c r="AP52" s="56"/>
      <c r="AQ52" s="155"/>
    </row>
    <row r="53" spans="1:76" ht="15.75" customHeight="1" x14ac:dyDescent="0.25">
      <c r="A53" s="45">
        <v>30</v>
      </c>
      <c r="B53" s="378"/>
      <c r="C53" s="216" t="str">
        <f>PSM_Name</f>
        <v>PROFIT SHARING MECHANISM (PSM)</v>
      </c>
      <c r="D53" s="378"/>
      <c r="E53" s="378"/>
      <c r="F53" s="83"/>
      <c r="G53" s="2"/>
      <c r="H53" s="83"/>
      <c r="I53" s="5"/>
      <c r="J53" s="457">
        <f>PRO_PSM</f>
        <v>-1.63E-4</v>
      </c>
      <c r="K53" s="446"/>
      <c r="L53" s="81">
        <f>ROUND(H47*PRO_PSM,0)</f>
        <v>-36521</v>
      </c>
      <c r="M53" s="5"/>
      <c r="N53" s="148">
        <f>ROUND((L53/L$56)*100,1)</f>
        <v>-0.2</v>
      </c>
      <c r="O53" s="6"/>
      <c r="P53" s="81"/>
      <c r="Q53" s="5"/>
      <c r="R53" s="81">
        <f t="shared" si="1"/>
        <v>-36521</v>
      </c>
      <c r="AC53" s="56"/>
      <c r="AD53" s="56"/>
      <c r="AE53" s="56"/>
      <c r="AF53" s="56"/>
      <c r="AG53" s="155"/>
      <c r="AH53" s="56"/>
      <c r="AI53" s="56"/>
      <c r="AJ53" s="56"/>
      <c r="AK53" s="155"/>
      <c r="AL53" s="56"/>
      <c r="AO53" s="56"/>
      <c r="AP53" s="56"/>
      <c r="AQ53" s="155"/>
    </row>
    <row r="54" spans="1:76" ht="20.100000000000001" customHeight="1" x14ac:dyDescent="0.25">
      <c r="A54" s="45">
        <v>31</v>
      </c>
      <c r="B54" s="378"/>
      <c r="C54" s="222" t="s">
        <v>510</v>
      </c>
      <c r="D54" s="378"/>
      <c r="E54" s="378"/>
      <c r="F54" s="81"/>
      <c r="G54" s="2"/>
      <c r="H54" s="81"/>
      <c r="I54" s="5"/>
      <c r="J54" s="446"/>
      <c r="K54" s="446"/>
      <c r="L54" s="90">
        <f>SUM(L50:L53)</f>
        <v>1466318</v>
      </c>
      <c r="M54" s="5"/>
      <c r="N54" s="150">
        <f>ROUND((L54/L$56)*100,1)</f>
        <v>9.4</v>
      </c>
      <c r="O54" s="6"/>
      <c r="P54" s="90">
        <f>SUM(P50:P53)</f>
        <v>152582</v>
      </c>
      <c r="Q54" s="5"/>
      <c r="R54" s="90">
        <f>SUM(R50:R53)</f>
        <v>1618900</v>
      </c>
      <c r="AC54" s="56"/>
      <c r="AD54" s="56"/>
      <c r="AE54" s="56"/>
      <c r="AF54" s="56"/>
      <c r="AG54" s="155"/>
      <c r="AH54" s="56"/>
      <c r="AI54" s="56"/>
      <c r="AJ54" s="56"/>
      <c r="AK54" s="155"/>
      <c r="AL54" s="56"/>
      <c r="AO54" s="56"/>
      <c r="AP54" s="56"/>
      <c r="AQ54" s="155"/>
    </row>
    <row r="55" spans="1:76" x14ac:dyDescent="0.25">
      <c r="A55" s="45"/>
      <c r="B55" s="378"/>
      <c r="C55" s="46"/>
      <c r="D55" s="378"/>
      <c r="E55" s="378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T55" s="56"/>
      <c r="V55" s="56"/>
      <c r="W55" s="56"/>
      <c r="X55" s="56"/>
      <c r="Y55" s="56"/>
      <c r="AA55" s="56"/>
      <c r="AB55" s="56"/>
      <c r="AC55" s="56"/>
      <c r="AD55" s="56"/>
      <c r="AE55" s="56"/>
      <c r="AF55" s="56"/>
      <c r="AG55" s="155"/>
      <c r="AH55" s="56"/>
      <c r="AI55" s="56"/>
      <c r="AJ55" s="56"/>
      <c r="AK55" s="155"/>
      <c r="AL55" s="56"/>
      <c r="AM55" s="56"/>
      <c r="AN55" s="56"/>
      <c r="AO55" s="56"/>
      <c r="AP55" s="56"/>
      <c r="AQ55" s="155"/>
      <c r="AS55" s="379"/>
      <c r="AT55" s="379"/>
      <c r="AU55" s="50"/>
      <c r="BX55" s="470"/>
    </row>
    <row r="56" spans="1:76" ht="20.100000000000001" customHeight="1" thickBot="1" x14ac:dyDescent="0.3">
      <c r="A56" s="45">
        <v>32</v>
      </c>
      <c r="B56" s="378"/>
      <c r="C56" s="444" t="s">
        <v>528</v>
      </c>
      <c r="D56" s="378"/>
      <c r="E56" s="378"/>
      <c r="F56" s="82">
        <f>F32+F46</f>
        <v>155</v>
      </c>
      <c r="G56" s="2"/>
      <c r="H56" s="82">
        <f>H32+H46</f>
        <v>224056170</v>
      </c>
      <c r="I56" s="5"/>
      <c r="J56" s="2"/>
      <c r="K56" s="2"/>
      <c r="L56" s="82">
        <f>L54+L47</f>
        <v>15609175</v>
      </c>
      <c r="M56" s="5"/>
      <c r="N56" s="92">
        <v>100</v>
      </c>
      <c r="O56" s="6"/>
      <c r="P56" s="82">
        <f>P54+P47</f>
        <v>152582</v>
      </c>
      <c r="Q56" s="86"/>
      <c r="R56" s="82">
        <f>R54+R47</f>
        <v>15761757</v>
      </c>
      <c r="V56" s="56"/>
      <c r="W56" s="56"/>
      <c r="X56" s="56"/>
      <c r="Y56" s="56"/>
      <c r="AA56" s="56"/>
      <c r="AB56" s="56"/>
      <c r="AC56" s="56"/>
      <c r="AD56" s="56"/>
      <c r="AE56" s="56"/>
      <c r="AF56" s="56"/>
      <c r="AG56" s="155"/>
      <c r="AH56" s="56"/>
      <c r="AI56" s="56"/>
      <c r="AJ56" s="56"/>
      <c r="AK56" s="155"/>
      <c r="AL56" s="56"/>
      <c r="AM56" s="56"/>
      <c r="AN56" s="56"/>
      <c r="AO56" s="56"/>
      <c r="AP56" s="56"/>
      <c r="AQ56" s="155"/>
      <c r="AS56" s="379"/>
      <c r="AT56" s="379"/>
      <c r="AU56" s="50"/>
    </row>
    <row r="57" spans="1:76" ht="16.5" thickTop="1" x14ac:dyDescent="0.25">
      <c r="A57" s="378"/>
      <c r="B57" s="378"/>
      <c r="C57" s="378"/>
      <c r="D57" s="378"/>
      <c r="E57" s="378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AA57" s="56"/>
      <c r="AB57" s="56"/>
      <c r="AC57" s="56"/>
      <c r="AD57" s="56"/>
      <c r="AE57" s="56"/>
      <c r="AF57" s="56"/>
      <c r="AG57" s="155"/>
      <c r="AH57" s="56"/>
      <c r="AI57" s="56"/>
      <c r="AJ57" s="56"/>
      <c r="AK57" s="155"/>
      <c r="AL57" s="56"/>
      <c r="AM57" s="56"/>
      <c r="AN57" s="56"/>
      <c r="AO57" s="56"/>
      <c r="AP57" s="56"/>
      <c r="AQ57" s="155"/>
      <c r="AS57" s="379"/>
      <c r="AT57" s="379"/>
      <c r="AU57" s="476"/>
    </row>
    <row r="58" spans="1:76" x14ac:dyDescent="0.25">
      <c r="A58" s="378"/>
      <c r="B58" s="378"/>
      <c r="C58" s="222" t="s">
        <v>61</v>
      </c>
      <c r="D58" s="378"/>
      <c r="E58" s="378"/>
      <c r="F58" s="2"/>
      <c r="G58" s="2"/>
      <c r="H58" s="2"/>
      <c r="I58" s="2"/>
      <c r="J58" s="2"/>
      <c r="K58" s="2"/>
      <c r="L58" s="5"/>
      <c r="M58" s="5"/>
      <c r="N58" s="5"/>
      <c r="O58" s="5"/>
      <c r="P58" s="5"/>
      <c r="Q58" s="5"/>
      <c r="R58" s="5"/>
      <c r="T58" s="53"/>
      <c r="V58" s="54"/>
      <c r="W58" s="54"/>
      <c r="X58" s="54"/>
      <c r="AS58" s="379"/>
      <c r="AT58" s="379"/>
      <c r="AU58" s="50"/>
    </row>
    <row r="59" spans="1:76" x14ac:dyDescent="0.25">
      <c r="A59" s="378"/>
      <c r="B59" s="378"/>
      <c r="C59" s="222" t="str">
        <f>"(2) REFLECTS FUEL COMPONENT OF "&amp;TEXT(PRO_FAC,"$0.000000;($0.000000)")&amp;"  PER KWH."</f>
        <v>(2) REFLECTS FUEL COMPONENT OF $0.000681  PER KWH.</v>
      </c>
      <c r="D59" s="378"/>
      <c r="E59" s="378"/>
      <c r="F59" s="2"/>
      <c r="G59" s="2"/>
      <c r="H59" s="2"/>
      <c r="I59" s="2"/>
      <c r="J59" s="2"/>
      <c r="K59" s="2"/>
      <c r="L59" s="5"/>
      <c r="M59" s="5"/>
      <c r="N59" s="5"/>
      <c r="O59" s="5"/>
      <c r="P59" s="5"/>
      <c r="Q59" s="5"/>
      <c r="R59" s="5"/>
      <c r="T59" s="53"/>
      <c r="V59" s="54"/>
      <c r="W59" s="54"/>
      <c r="X59" s="54"/>
      <c r="AS59" s="379"/>
      <c r="AT59" s="379"/>
      <c r="AU59" s="50"/>
    </row>
    <row r="60" spans="1:76" x14ac:dyDescent="0.25">
      <c r="A60" s="46"/>
      <c r="B60" s="378"/>
      <c r="C60" s="222" t="str">
        <f>"(3) REFLECTS FUEL COST RECOVERY INCLUDED IN BASE RATES OF "&amp;TEXT(PRO_BASE_FUEL,"$0.000000;($0.000000)")&amp;"  PER KWH."</f>
        <v>(3) REFLECTS FUEL COST RECOVERY INCLUDED IN BASE RATES OF $0.023837  PER KWH.</v>
      </c>
      <c r="D60" s="378"/>
      <c r="E60" s="378"/>
      <c r="F60" s="378"/>
      <c r="G60" s="378"/>
      <c r="H60" s="378"/>
      <c r="I60" s="378"/>
      <c r="J60" s="378"/>
      <c r="K60" s="378"/>
      <c r="L60" s="378"/>
      <c r="M60" s="378"/>
      <c r="N60" s="378"/>
      <c r="O60" s="378"/>
      <c r="P60" s="378"/>
      <c r="Q60" s="378"/>
      <c r="R60" s="378"/>
      <c r="T60" s="53"/>
      <c r="W60" s="54"/>
      <c r="X60" s="54"/>
      <c r="AS60" s="379"/>
      <c r="AT60" s="379"/>
      <c r="AU60" s="50"/>
    </row>
    <row r="61" spans="1:76" x14ac:dyDescent="0.25">
      <c r="A61" s="53"/>
      <c r="C61" s="54"/>
      <c r="F61" s="379"/>
      <c r="H61" s="379"/>
      <c r="I61" s="379"/>
      <c r="J61" s="59"/>
      <c r="K61" s="59"/>
      <c r="L61" s="379"/>
      <c r="M61" s="379"/>
      <c r="N61" s="50"/>
      <c r="O61" s="50"/>
      <c r="P61" s="379"/>
      <c r="Q61" s="379"/>
      <c r="R61" s="379"/>
      <c r="AS61" s="379"/>
      <c r="AT61" s="379"/>
      <c r="AU61" s="50"/>
    </row>
    <row r="62" spans="1:76" x14ac:dyDescent="0.25">
      <c r="F62" s="381"/>
      <c r="H62" s="381"/>
      <c r="I62" s="381"/>
      <c r="J62" s="464"/>
      <c r="K62" s="464"/>
      <c r="L62" s="381"/>
      <c r="M62" s="381"/>
      <c r="N62" s="381"/>
      <c r="O62" s="381"/>
      <c r="P62" s="381"/>
      <c r="Q62" s="381"/>
      <c r="R62" s="381"/>
      <c r="T62" s="53"/>
      <c r="V62" s="54"/>
      <c r="Y62" s="379"/>
      <c r="AC62" s="62"/>
      <c r="AD62" s="62"/>
      <c r="AE62" s="379"/>
      <c r="AF62" s="379"/>
      <c r="AO62" s="379"/>
      <c r="AP62" s="379"/>
      <c r="AS62" s="379"/>
      <c r="AT62" s="379"/>
      <c r="AU62" s="50"/>
    </row>
    <row r="63" spans="1:76" x14ac:dyDescent="0.25">
      <c r="A63" s="53"/>
      <c r="C63" s="54"/>
      <c r="F63" s="379"/>
      <c r="H63" s="379"/>
      <c r="I63" s="379"/>
      <c r="J63" s="59"/>
      <c r="K63" s="59"/>
      <c r="L63" s="379"/>
      <c r="M63" s="379"/>
      <c r="N63" s="50"/>
      <c r="O63" s="50"/>
      <c r="P63" s="379"/>
      <c r="Q63" s="379"/>
      <c r="R63" s="379"/>
      <c r="Y63" s="379"/>
      <c r="AO63" s="379"/>
      <c r="AP63" s="379"/>
      <c r="AR63" s="53"/>
      <c r="AS63" s="379"/>
      <c r="AT63" s="379"/>
      <c r="AU63" s="50"/>
    </row>
    <row r="64" spans="1:76" x14ac:dyDescent="0.25">
      <c r="A64" s="54"/>
      <c r="F64" s="379"/>
      <c r="H64" s="379"/>
      <c r="I64" s="379"/>
      <c r="J64" s="53"/>
      <c r="K64" s="59"/>
      <c r="L64" s="379"/>
      <c r="M64" s="379"/>
      <c r="N64" s="379"/>
      <c r="O64" s="379"/>
      <c r="P64" s="379"/>
      <c r="Q64" s="379"/>
      <c r="R64" s="379"/>
      <c r="T64" s="53"/>
      <c r="V64" s="54"/>
      <c r="Y64" s="379"/>
      <c r="AA64" s="379"/>
      <c r="AB64" s="379"/>
      <c r="AC64" s="461"/>
      <c r="AD64" s="461"/>
      <c r="AE64" s="379"/>
      <c r="AF64" s="379"/>
      <c r="AG64" s="156"/>
      <c r="AH64" s="50"/>
      <c r="AI64" s="379"/>
      <c r="AJ64" s="379"/>
      <c r="AK64" s="156"/>
      <c r="AL64" s="60"/>
      <c r="AM64" s="379"/>
      <c r="AN64" s="379"/>
      <c r="AO64" s="379"/>
      <c r="AP64" s="379"/>
      <c r="AQ64" s="156"/>
      <c r="AR64" s="379"/>
      <c r="AS64" s="379"/>
      <c r="AT64" s="379"/>
      <c r="AU64" s="50"/>
    </row>
    <row r="65" spans="1:47" x14ac:dyDescent="0.25">
      <c r="L65" s="379"/>
      <c r="M65" s="379"/>
      <c r="N65" s="379"/>
      <c r="O65" s="379"/>
      <c r="P65" s="379"/>
      <c r="Q65" s="379"/>
      <c r="R65" s="379"/>
      <c r="T65" s="43" t="str">
        <f>NAME</f>
        <v>DUKE ENERGY KENTUCKY, INC.</v>
      </c>
      <c r="U65" s="43"/>
      <c r="V65" s="43"/>
      <c r="W65" s="43"/>
      <c r="X65" s="43"/>
      <c r="Y65" s="43"/>
      <c r="Z65" s="43"/>
      <c r="AA65" s="43"/>
      <c r="AB65" s="43"/>
      <c r="AC65" s="44"/>
      <c r="AD65" s="44"/>
      <c r="AE65" s="43"/>
      <c r="AF65" s="57"/>
      <c r="AG65" s="144"/>
      <c r="AH65" s="57"/>
      <c r="AI65" s="43"/>
      <c r="AJ65" s="43"/>
      <c r="AK65" s="144"/>
      <c r="AL65" s="43"/>
      <c r="AM65" s="43"/>
      <c r="AN65" s="57"/>
      <c r="AO65" s="43"/>
      <c r="AP65" s="43"/>
      <c r="AQ65" s="144"/>
      <c r="AR65" s="379"/>
      <c r="AS65" s="379"/>
      <c r="AT65" s="379"/>
      <c r="AU65" s="50"/>
    </row>
    <row r="66" spans="1:47" x14ac:dyDescent="0.25">
      <c r="L66" s="379"/>
      <c r="M66" s="379"/>
      <c r="N66" s="379"/>
      <c r="O66" s="379"/>
      <c r="P66" s="379"/>
      <c r="Q66" s="379"/>
      <c r="R66" s="379"/>
      <c r="T66" s="43" t="str">
        <f>CASE_NO</f>
        <v>CASE NO.   2019-000271</v>
      </c>
      <c r="U66" s="43"/>
      <c r="V66" s="43"/>
      <c r="W66" s="43"/>
      <c r="X66" s="43"/>
      <c r="Y66" s="43"/>
      <c r="Z66" s="43"/>
      <c r="AA66" s="43"/>
      <c r="AB66" s="43"/>
      <c r="AC66" s="44"/>
      <c r="AD66" s="44"/>
      <c r="AE66" s="43"/>
      <c r="AF66" s="57"/>
      <c r="AG66" s="144"/>
      <c r="AH66" s="57"/>
      <c r="AI66" s="43"/>
      <c r="AJ66" s="43"/>
      <c r="AK66" s="144"/>
      <c r="AL66" s="43"/>
      <c r="AM66" s="43"/>
      <c r="AN66" s="57"/>
      <c r="AO66" s="43"/>
      <c r="AP66" s="43"/>
      <c r="AQ66" s="144"/>
      <c r="AR66" s="379"/>
      <c r="AS66" s="379"/>
      <c r="AT66" s="379"/>
      <c r="AU66" s="50"/>
    </row>
    <row r="67" spans="1:47" x14ac:dyDescent="0.25">
      <c r="H67" s="54"/>
      <c r="I67" s="54"/>
      <c r="T67" s="44" t="str">
        <f>TITLE</f>
        <v>ANNUALIZED BASE YEAR REVENUES AT PROPOSED VS. MOST CURRENT RATES</v>
      </c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57"/>
      <c r="AG67" s="144"/>
      <c r="AH67" s="57"/>
      <c r="AI67" s="43"/>
      <c r="AJ67" s="43"/>
      <c r="AK67" s="144"/>
      <c r="AL67" s="43"/>
      <c r="AM67" s="43"/>
      <c r="AN67" s="57"/>
      <c r="AO67" s="43"/>
      <c r="AP67" s="43"/>
      <c r="AQ67" s="144"/>
      <c r="AR67" s="379"/>
    </row>
    <row r="68" spans="1:47" x14ac:dyDescent="0.25">
      <c r="L68" s="54"/>
      <c r="M68" s="54"/>
      <c r="T68" s="43" t="str">
        <f>DATE</f>
        <v>FOR THE TWELVE MONTHS ENDED November 30, 2019</v>
      </c>
      <c r="U68" s="43"/>
      <c r="V68" s="43"/>
      <c r="W68" s="43"/>
      <c r="X68" s="43"/>
      <c r="Y68" s="43"/>
      <c r="Z68" s="43"/>
      <c r="AA68" s="43"/>
      <c r="AB68" s="43"/>
      <c r="AC68" s="44"/>
      <c r="AD68" s="44"/>
      <c r="AE68" s="43"/>
      <c r="AF68" s="57"/>
      <c r="AG68" s="144"/>
      <c r="AH68" s="57"/>
      <c r="AI68" s="43"/>
      <c r="AJ68" s="43"/>
      <c r="AK68" s="144"/>
      <c r="AL68" s="43"/>
      <c r="AM68" s="43"/>
      <c r="AN68" s="57"/>
      <c r="AO68" s="43"/>
      <c r="AP68" s="43"/>
      <c r="AQ68" s="144"/>
      <c r="AR68" s="449"/>
    </row>
    <row r="69" spans="1:47" x14ac:dyDescent="0.25">
      <c r="A69" s="53"/>
      <c r="R69" s="54"/>
      <c r="T69" s="43" t="str">
        <f>SERVICE</f>
        <v>(ELECTRIC SERVICE)</v>
      </c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4"/>
      <c r="AF69" s="58"/>
      <c r="AG69" s="144"/>
      <c r="AH69" s="57"/>
      <c r="AI69" s="43"/>
      <c r="AJ69" s="43"/>
      <c r="AK69" s="144"/>
      <c r="AL69" s="43"/>
      <c r="AM69" s="43"/>
      <c r="AN69" s="57"/>
      <c r="AO69" s="43"/>
      <c r="AP69" s="43"/>
      <c r="AQ69" s="144"/>
      <c r="AR69" s="449"/>
    </row>
    <row r="70" spans="1:47" x14ac:dyDescent="0.25">
      <c r="A70" s="53"/>
      <c r="R70" s="54"/>
      <c r="T70" s="45" t="str">
        <f>DATA_PERIOD</f>
        <v>DATA: __X__ BASE PERIOD   ____FORECASTED PERIOD</v>
      </c>
      <c r="U70" s="378"/>
      <c r="V70" s="378"/>
      <c r="W70" s="378"/>
      <c r="X70" s="378"/>
      <c r="Y70" s="378"/>
      <c r="Z70" s="378"/>
      <c r="AA70" s="378"/>
      <c r="AB70" s="378"/>
      <c r="AC70" s="378"/>
      <c r="AD70" s="378"/>
      <c r="AE70" s="378"/>
      <c r="AG70" s="143"/>
      <c r="AI70" s="378"/>
      <c r="AJ70" s="378"/>
      <c r="AK70" s="143"/>
      <c r="AL70" s="378"/>
      <c r="AM70" s="378"/>
      <c r="AO70" s="46" t="s">
        <v>164</v>
      </c>
      <c r="AP70" s="46"/>
      <c r="AQ70" s="143"/>
      <c r="AR70" s="379"/>
    </row>
    <row r="71" spans="1:47" x14ac:dyDescent="0.25">
      <c r="A71" s="54"/>
      <c r="R71" s="54"/>
      <c r="T71" s="45" t="str">
        <f>TYPE</f>
        <v>TYPE OF FILING: _X_ ORIGINAL   ___UPDATED  ___ REVISED</v>
      </c>
      <c r="U71" s="378"/>
      <c r="V71" s="378"/>
      <c r="W71" s="378"/>
      <c r="X71" s="378"/>
      <c r="Y71" s="378"/>
      <c r="Z71" s="378"/>
      <c r="AA71" s="378"/>
      <c r="AB71" s="378"/>
      <c r="AC71" s="378"/>
      <c r="AD71" s="378"/>
      <c r="AE71" s="378"/>
      <c r="AG71" s="143"/>
      <c r="AI71" s="378"/>
      <c r="AJ71" s="378"/>
      <c r="AK71" s="143"/>
      <c r="AL71" s="378"/>
      <c r="AM71" s="378"/>
      <c r="AO71" s="52" t="str">
        <f>"PAGE 9 OF "&amp;TEXT(Page_Num_2.2,"00")</f>
        <v>PAGE 9 OF 22</v>
      </c>
      <c r="AP71" s="46"/>
      <c r="AQ71" s="143"/>
      <c r="AR71" s="379"/>
    </row>
    <row r="72" spans="1:47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T72" s="46" t="s">
        <v>177</v>
      </c>
      <c r="U72" s="378"/>
      <c r="V72" s="378"/>
      <c r="W72" s="378"/>
      <c r="X72" s="378"/>
      <c r="Y72" s="378"/>
      <c r="Z72" s="378"/>
      <c r="AA72" s="378"/>
      <c r="AB72" s="378"/>
      <c r="AC72" s="378"/>
      <c r="AD72" s="378"/>
      <c r="AE72" s="378"/>
      <c r="AF72" s="378"/>
      <c r="AG72" s="143"/>
      <c r="AH72" s="378"/>
      <c r="AI72" s="378"/>
      <c r="AJ72" s="378"/>
      <c r="AK72" s="143"/>
      <c r="AL72" s="378"/>
      <c r="AM72" s="378"/>
      <c r="AN72" s="378"/>
      <c r="AO72" s="46" t="s">
        <v>3</v>
      </c>
      <c r="AP72" s="46"/>
      <c r="AQ72" s="143"/>
    </row>
    <row r="73" spans="1:47" x14ac:dyDescent="0.25">
      <c r="L73" s="56"/>
      <c r="M73" s="56"/>
      <c r="N73" s="56"/>
      <c r="O73" s="56"/>
      <c r="R73" s="56"/>
      <c r="T73" s="218" t="str">
        <f>TIME</f>
        <v>6 Months Actual and 6 Months Projected with Riders</v>
      </c>
      <c r="U73" s="378"/>
      <c r="V73" s="378"/>
      <c r="W73" s="378"/>
      <c r="X73" s="378"/>
      <c r="Y73" s="378"/>
      <c r="Z73" s="378"/>
      <c r="AA73" s="378"/>
      <c r="AB73" s="378"/>
      <c r="AC73" s="378"/>
      <c r="AD73" s="378"/>
      <c r="AF73" s="46"/>
      <c r="AG73" s="143"/>
      <c r="AH73" s="378"/>
      <c r="AI73" s="378"/>
      <c r="AJ73" s="378"/>
      <c r="AK73" s="143"/>
      <c r="AL73" s="378"/>
      <c r="AM73" s="378"/>
      <c r="AN73" s="378"/>
      <c r="AO73" s="45" t="str">
        <f>WIT</f>
        <v>J. L. Kern</v>
      </c>
      <c r="AP73" s="45"/>
      <c r="AQ73" s="143"/>
    </row>
    <row r="74" spans="1:47" x14ac:dyDescent="0.25">
      <c r="L74" s="56"/>
      <c r="M74" s="56"/>
      <c r="N74" s="56"/>
      <c r="O74" s="56"/>
      <c r="R74" s="56"/>
      <c r="T74" s="218" t="str">
        <f>INPUT!B5</f>
        <v>6 Months Actual Ending May 31, 2019</v>
      </c>
      <c r="U74" s="378"/>
      <c r="V74" s="378"/>
      <c r="W74" s="378"/>
      <c r="X74" s="378"/>
      <c r="Y74" s="378"/>
      <c r="Z74" s="378"/>
      <c r="AA74" s="378"/>
      <c r="AB74" s="378"/>
      <c r="AC74" s="378"/>
      <c r="AD74" s="378"/>
      <c r="AF74" s="46"/>
      <c r="AG74" s="143"/>
      <c r="AH74" s="378"/>
      <c r="AI74" s="378"/>
      <c r="AJ74" s="378"/>
      <c r="AK74" s="143"/>
      <c r="AL74" s="378"/>
      <c r="AM74" s="378"/>
      <c r="AN74" s="378"/>
      <c r="AO74" s="45"/>
      <c r="AP74" s="45"/>
      <c r="AQ74" s="143"/>
    </row>
    <row r="75" spans="1:47" x14ac:dyDescent="0.25">
      <c r="L75" s="56"/>
      <c r="M75" s="56"/>
      <c r="N75" s="56"/>
      <c r="O75" s="56"/>
      <c r="R75" s="56"/>
      <c r="T75" s="44" t="s">
        <v>137</v>
      </c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4"/>
      <c r="AF75" s="44"/>
      <c r="AG75" s="144"/>
      <c r="AH75" s="43"/>
      <c r="AI75" s="43"/>
      <c r="AJ75" s="43"/>
      <c r="AK75" s="144"/>
      <c r="AL75" s="43"/>
      <c r="AM75" s="43"/>
      <c r="AN75" s="43"/>
      <c r="AO75" s="44"/>
      <c r="AP75" s="44"/>
      <c r="AQ75" s="144"/>
    </row>
    <row r="76" spans="1:47" x14ac:dyDescent="0.25">
      <c r="C76" s="56"/>
      <c r="D76" s="56"/>
      <c r="E76" s="56"/>
      <c r="F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159"/>
      <c r="AH76" s="72"/>
      <c r="AI76" s="72"/>
      <c r="AJ76" s="72"/>
      <c r="AK76" s="159"/>
      <c r="AL76" s="72"/>
      <c r="AM76" s="72"/>
      <c r="AN76" s="72"/>
      <c r="AO76" s="72"/>
      <c r="AP76" s="72"/>
      <c r="AQ76" s="159"/>
    </row>
    <row r="77" spans="1:47" ht="18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4" t="s">
        <v>8</v>
      </c>
      <c r="AF77" s="74"/>
      <c r="AG77" s="160" t="s">
        <v>7</v>
      </c>
      <c r="AH77" s="74"/>
      <c r="AI77" s="74" t="s">
        <v>9</v>
      </c>
      <c r="AJ77" s="74"/>
      <c r="AK77" s="160" t="s">
        <v>10</v>
      </c>
      <c r="AL77" s="74"/>
      <c r="AM77" s="73"/>
      <c r="AN77" s="73"/>
      <c r="AO77" s="74" t="s">
        <v>8</v>
      </c>
      <c r="AP77" s="74"/>
      <c r="AQ77" s="160" t="s">
        <v>11</v>
      </c>
    </row>
    <row r="78" spans="1:47" x14ac:dyDescent="0.25"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T78" s="378"/>
      <c r="U78" s="378"/>
      <c r="V78" s="378"/>
      <c r="W78" s="378"/>
      <c r="X78" s="378"/>
      <c r="Y78" s="378"/>
      <c r="Z78" s="378"/>
      <c r="AA78" s="378"/>
      <c r="AB78" s="378"/>
      <c r="AC78" s="426" t="s">
        <v>14</v>
      </c>
      <c r="AD78" s="426"/>
      <c r="AE78" s="426" t="s">
        <v>12</v>
      </c>
      <c r="AF78" s="426"/>
      <c r="AG78" s="146" t="s">
        <v>13</v>
      </c>
      <c r="AH78" s="426"/>
      <c r="AI78" s="426" t="s">
        <v>15</v>
      </c>
      <c r="AJ78" s="426"/>
      <c r="AK78" s="146" t="s">
        <v>16</v>
      </c>
      <c r="AL78" s="426"/>
      <c r="AM78" s="378"/>
      <c r="AN78" s="378"/>
      <c r="AO78" s="426" t="s">
        <v>11</v>
      </c>
      <c r="AP78" s="426"/>
      <c r="AQ78" s="146" t="s">
        <v>9</v>
      </c>
    </row>
    <row r="79" spans="1:47" x14ac:dyDescent="0.25">
      <c r="A79" s="53"/>
      <c r="C79" s="54"/>
      <c r="D79" s="54"/>
      <c r="E79" s="54"/>
      <c r="T79" s="426" t="s">
        <v>17</v>
      </c>
      <c r="U79" s="378"/>
      <c r="V79" s="426" t="s">
        <v>18</v>
      </c>
      <c r="W79" s="426" t="s">
        <v>19</v>
      </c>
      <c r="X79" s="426"/>
      <c r="Y79" s="426" t="s">
        <v>20</v>
      </c>
      <c r="Z79" s="378"/>
      <c r="AA79" s="378"/>
      <c r="AB79" s="378"/>
      <c r="AC79" s="426" t="s">
        <v>8</v>
      </c>
      <c r="AD79" s="426"/>
      <c r="AE79" s="426" t="s">
        <v>21</v>
      </c>
      <c r="AF79" s="426"/>
      <c r="AG79" s="146" t="s">
        <v>21</v>
      </c>
      <c r="AH79" s="426"/>
      <c r="AI79" s="426" t="s">
        <v>22</v>
      </c>
      <c r="AJ79" s="426"/>
      <c r="AK79" s="146" t="s">
        <v>22</v>
      </c>
      <c r="AL79" s="426"/>
      <c r="AM79" s="426" t="s">
        <v>21</v>
      </c>
      <c r="AN79" s="426"/>
      <c r="AO79" s="426" t="s">
        <v>9</v>
      </c>
      <c r="AP79" s="426"/>
      <c r="AQ79" s="146" t="s">
        <v>23</v>
      </c>
    </row>
    <row r="80" spans="1:47" x14ac:dyDescent="0.25">
      <c r="A80" s="53"/>
      <c r="C80" s="54"/>
      <c r="T80" s="426" t="s">
        <v>24</v>
      </c>
      <c r="U80" s="378"/>
      <c r="V80" s="426" t="s">
        <v>25</v>
      </c>
      <c r="W80" s="426" t="s">
        <v>26</v>
      </c>
      <c r="X80" s="426"/>
      <c r="Y80" s="426" t="s">
        <v>27</v>
      </c>
      <c r="Z80" s="378"/>
      <c r="AA80" s="426" t="s">
        <v>28</v>
      </c>
      <c r="AB80" s="426"/>
      <c r="AC80" s="426" t="s">
        <v>29</v>
      </c>
      <c r="AD80" s="426"/>
      <c r="AE80" s="426" t="s">
        <v>9</v>
      </c>
      <c r="AF80" s="426"/>
      <c r="AG80" s="146" t="s">
        <v>9</v>
      </c>
      <c r="AH80" s="426"/>
      <c r="AI80" s="265" t="s">
        <v>31</v>
      </c>
      <c r="AJ80" s="265"/>
      <c r="AK80" s="440" t="s">
        <v>32</v>
      </c>
      <c r="AL80" s="426"/>
      <c r="AM80" s="426" t="s">
        <v>379</v>
      </c>
      <c r="AN80" s="426"/>
      <c r="AO80" s="265" t="s">
        <v>33</v>
      </c>
      <c r="AP80" s="265"/>
      <c r="AQ80" s="440" t="s">
        <v>34</v>
      </c>
    </row>
    <row r="81" spans="1:43" x14ac:dyDescent="0.25">
      <c r="T81" s="378"/>
      <c r="U81" s="378"/>
      <c r="V81" s="265" t="s">
        <v>35</v>
      </c>
      <c r="W81" s="265" t="s">
        <v>36</v>
      </c>
      <c r="X81" s="265"/>
      <c r="Y81" s="265" t="s">
        <v>37</v>
      </c>
      <c r="Z81" s="218"/>
      <c r="AA81" s="265" t="s">
        <v>38</v>
      </c>
      <c r="AB81" s="265"/>
      <c r="AC81" s="265" t="s">
        <v>44</v>
      </c>
      <c r="AD81" s="265"/>
      <c r="AE81" s="265" t="s">
        <v>45</v>
      </c>
      <c r="AF81" s="265"/>
      <c r="AG81" s="440" t="s">
        <v>46</v>
      </c>
      <c r="AH81" s="265"/>
      <c r="AI81" s="265" t="s">
        <v>47</v>
      </c>
      <c r="AJ81" s="265"/>
      <c r="AK81" s="440" t="s">
        <v>48</v>
      </c>
      <c r="AL81" s="265"/>
      <c r="AM81" s="265" t="s">
        <v>42</v>
      </c>
      <c r="AN81" s="265"/>
      <c r="AO81" s="265" t="s">
        <v>49</v>
      </c>
      <c r="AP81" s="265"/>
      <c r="AQ81" s="440" t="s">
        <v>50</v>
      </c>
    </row>
    <row r="82" spans="1:43" ht="17.100000000000001" customHeight="1" x14ac:dyDescent="0.25">
      <c r="A82" s="53"/>
      <c r="C82" s="54"/>
      <c r="F82" s="449"/>
      <c r="H82" s="449"/>
      <c r="I82" s="449"/>
      <c r="J82" s="461"/>
      <c r="K82" s="461"/>
      <c r="L82" s="379"/>
      <c r="M82" s="379"/>
      <c r="N82" s="50"/>
      <c r="O82" s="50"/>
      <c r="P82" s="53"/>
      <c r="Q82" s="53"/>
      <c r="R82" s="379"/>
      <c r="T82" s="73"/>
      <c r="U82" s="73"/>
      <c r="V82" s="73"/>
      <c r="W82" s="73"/>
      <c r="X82" s="73"/>
      <c r="Y82" s="73"/>
      <c r="Z82" s="73"/>
      <c r="AA82" s="495" t="s">
        <v>203</v>
      </c>
      <c r="AB82" s="496"/>
      <c r="AC82" s="495" t="s">
        <v>390</v>
      </c>
      <c r="AD82" s="496"/>
      <c r="AE82" s="496" t="s">
        <v>52</v>
      </c>
      <c r="AF82" s="496"/>
      <c r="AG82" s="498" t="s">
        <v>53</v>
      </c>
      <c r="AH82" s="496"/>
      <c r="AI82" s="496" t="s">
        <v>52</v>
      </c>
      <c r="AJ82" s="496"/>
      <c r="AK82" s="498" t="s">
        <v>53</v>
      </c>
      <c r="AL82" s="496"/>
      <c r="AM82" s="496" t="s">
        <v>52</v>
      </c>
      <c r="AN82" s="496"/>
      <c r="AO82" s="496" t="s">
        <v>52</v>
      </c>
      <c r="AP82" s="496"/>
      <c r="AQ82" s="498" t="s">
        <v>53</v>
      </c>
    </row>
    <row r="83" spans="1:43" x14ac:dyDescent="0.25">
      <c r="A83" s="53"/>
      <c r="C83" s="54"/>
      <c r="F83" s="449"/>
      <c r="H83" s="449"/>
      <c r="I83" s="449"/>
      <c r="J83" s="461"/>
      <c r="K83" s="461"/>
      <c r="L83" s="379"/>
      <c r="M83" s="379"/>
      <c r="N83" s="50"/>
      <c r="O83" s="50"/>
      <c r="P83" s="53"/>
      <c r="Q83" s="53"/>
      <c r="R83" s="379"/>
      <c r="T83" s="45">
        <f>A19</f>
        <v>1</v>
      </c>
      <c r="U83" s="378"/>
      <c r="V83" s="222" t="s">
        <v>62</v>
      </c>
      <c r="W83" s="222" t="s">
        <v>63</v>
      </c>
      <c r="X83" s="46"/>
      <c r="Y83" s="2"/>
      <c r="Z83" s="2"/>
      <c r="AA83" s="459"/>
      <c r="AB83" s="459"/>
      <c r="AC83" s="460" t="s">
        <v>384</v>
      </c>
      <c r="AD83" s="459"/>
      <c r="AE83" s="459"/>
      <c r="AF83" s="459"/>
      <c r="AG83" s="469"/>
      <c r="AH83" s="459"/>
      <c r="AI83" s="459"/>
      <c r="AJ83" s="459"/>
      <c r="AK83" s="469"/>
      <c r="AL83" s="459"/>
      <c r="AM83" s="459"/>
      <c r="AN83" s="459"/>
      <c r="AO83" s="459"/>
      <c r="AP83" s="459"/>
      <c r="AQ83" s="469"/>
    </row>
    <row r="84" spans="1:43" x14ac:dyDescent="0.25">
      <c r="A84" s="53"/>
      <c r="C84" s="54"/>
      <c r="F84" s="449"/>
      <c r="H84" s="449"/>
      <c r="I84" s="449"/>
      <c r="J84" s="461"/>
      <c r="K84" s="461"/>
      <c r="L84" s="379"/>
      <c r="M84" s="379"/>
      <c r="N84" s="50"/>
      <c r="O84" s="50"/>
      <c r="P84" s="53"/>
      <c r="Q84" s="53"/>
      <c r="R84" s="379"/>
      <c r="T84" s="45">
        <f>A20</f>
        <v>2</v>
      </c>
      <c r="U84" s="378"/>
      <c r="V84" s="222" t="s">
        <v>56</v>
      </c>
      <c r="W84" s="218"/>
      <c r="X84" s="378"/>
      <c r="Y84" s="2"/>
      <c r="Z84" s="2"/>
      <c r="AA84" s="2"/>
      <c r="AB84" s="2"/>
      <c r="AC84" s="2"/>
      <c r="AD84" s="2"/>
      <c r="AE84" s="2"/>
      <c r="AF84" s="2"/>
      <c r="AG84" s="147"/>
      <c r="AH84" s="2"/>
      <c r="AI84" s="2"/>
      <c r="AJ84" s="2"/>
      <c r="AK84" s="147"/>
      <c r="AL84" s="2"/>
      <c r="AM84" s="2"/>
      <c r="AN84" s="2"/>
      <c r="AO84" s="2"/>
      <c r="AP84" s="2"/>
      <c r="AQ84" s="147"/>
    </row>
    <row r="85" spans="1:43" x14ac:dyDescent="0.25">
      <c r="A85" s="53"/>
      <c r="C85" s="54"/>
      <c r="F85" s="379"/>
      <c r="H85" s="379"/>
      <c r="I85" s="379"/>
      <c r="J85" s="464"/>
      <c r="K85" s="464"/>
      <c r="L85" s="379"/>
      <c r="M85" s="379"/>
      <c r="N85" s="50"/>
      <c r="O85" s="50"/>
      <c r="P85" s="379"/>
      <c r="Q85" s="379"/>
      <c r="R85" s="379"/>
      <c r="T85" s="45">
        <f>A21</f>
        <v>3</v>
      </c>
      <c r="U85" s="378"/>
      <c r="V85" s="222" t="s">
        <v>64</v>
      </c>
      <c r="W85" s="378"/>
      <c r="X85" s="378"/>
      <c r="Y85" s="83">
        <f>F21</f>
        <v>52</v>
      </c>
      <c r="Z85" s="2"/>
      <c r="AA85" s="86"/>
      <c r="AB85" s="86"/>
      <c r="AC85" s="450">
        <f>INPUT!C122</f>
        <v>500</v>
      </c>
      <c r="AD85" s="96"/>
      <c r="AE85" s="81">
        <f>ROUND(Y85*AC85,0)</f>
        <v>26000</v>
      </c>
      <c r="AF85" s="5"/>
      <c r="AG85" s="148">
        <f>ROUND((AE85/AE$120)*100,1)</f>
        <v>0.2</v>
      </c>
      <c r="AH85" s="6"/>
      <c r="AI85" s="81">
        <f>L21-AE85</f>
        <v>0</v>
      </c>
      <c r="AJ85" s="5"/>
      <c r="AK85" s="163">
        <f>IF(AE85=0,"0.0 ",ROUND((AI85/AE85)*100,1))</f>
        <v>0</v>
      </c>
      <c r="AL85" s="8"/>
      <c r="AM85" s="109"/>
      <c r="AN85" s="1"/>
      <c r="AO85" s="81">
        <f>AE85+AM85</f>
        <v>26000</v>
      </c>
      <c r="AP85" s="5"/>
      <c r="AQ85" s="164">
        <f>IF(AO85=0,"0.0 ",ROUND((AI85/AO85)*100,1))</f>
        <v>0</v>
      </c>
    </row>
    <row r="86" spans="1:43" x14ac:dyDescent="0.25">
      <c r="A86" s="53"/>
      <c r="C86" s="54"/>
      <c r="F86" s="379"/>
      <c r="H86" s="379"/>
      <c r="I86" s="379"/>
      <c r="J86" s="464"/>
      <c r="K86" s="464"/>
      <c r="L86" s="379"/>
      <c r="M86" s="379"/>
      <c r="N86" s="50"/>
      <c r="O86" s="50"/>
      <c r="P86" s="379"/>
      <c r="Q86" s="379"/>
      <c r="R86" s="379"/>
      <c r="T86" s="45"/>
      <c r="U86" s="378"/>
      <c r="V86" s="46"/>
      <c r="W86" s="378"/>
      <c r="X86" s="378"/>
      <c r="Y86" s="83"/>
      <c r="Z86" s="2"/>
      <c r="AA86" s="86"/>
      <c r="AB86" s="86"/>
      <c r="AC86" s="450"/>
      <c r="AD86" s="96"/>
      <c r="AE86" s="83"/>
      <c r="AF86" s="5"/>
      <c r="AG86" s="383"/>
      <c r="AH86" s="6"/>
      <c r="AI86" s="83"/>
      <c r="AJ86" s="5"/>
      <c r="AK86" s="149"/>
      <c r="AL86" s="8"/>
      <c r="AM86" s="97"/>
      <c r="AN86" s="1"/>
      <c r="AO86" s="83"/>
      <c r="AP86" s="5"/>
      <c r="AQ86" s="149"/>
    </row>
    <row r="87" spans="1:43" x14ac:dyDescent="0.25">
      <c r="A87" s="53"/>
      <c r="C87" s="54"/>
      <c r="F87" s="449"/>
      <c r="H87" s="449"/>
      <c r="I87" s="449"/>
      <c r="J87" s="477"/>
      <c r="K87" s="477"/>
      <c r="L87" s="379"/>
      <c r="M87" s="379"/>
      <c r="N87" s="50"/>
      <c r="O87" s="50"/>
      <c r="P87" s="379"/>
      <c r="Q87" s="379"/>
      <c r="R87" s="379"/>
      <c r="S87" s="379"/>
      <c r="T87" s="45">
        <f>A23</f>
        <v>4</v>
      </c>
      <c r="U87" s="378"/>
      <c r="V87" s="222" t="s">
        <v>65</v>
      </c>
      <c r="W87" s="378"/>
      <c r="X87" s="378"/>
      <c r="Y87" s="86"/>
      <c r="Z87" s="2"/>
      <c r="AA87" s="86"/>
      <c r="AB87" s="86"/>
      <c r="AC87" s="497"/>
      <c r="AD87" s="481"/>
      <c r="AE87" s="5"/>
      <c r="AF87" s="5"/>
      <c r="AG87" s="149"/>
      <c r="AH87" s="6"/>
      <c r="AI87" s="5"/>
      <c r="AJ87" s="5"/>
      <c r="AK87" s="149"/>
      <c r="AL87" s="6"/>
      <c r="AM87" s="5"/>
      <c r="AN87" s="5"/>
      <c r="AO87" s="5"/>
      <c r="AP87" s="5"/>
      <c r="AQ87" s="149"/>
    </row>
    <row r="88" spans="1:43" x14ac:dyDescent="0.25">
      <c r="A88" s="53"/>
      <c r="C88" s="54"/>
      <c r="F88" s="449"/>
      <c r="H88" s="449"/>
      <c r="I88" s="449"/>
      <c r="J88" s="461"/>
      <c r="K88" s="461"/>
      <c r="L88" s="379"/>
      <c r="M88" s="379"/>
      <c r="N88" s="50"/>
      <c r="O88" s="50"/>
      <c r="P88" s="379"/>
      <c r="Q88" s="379"/>
      <c r="R88" s="379"/>
      <c r="T88" s="45">
        <f>A24</f>
        <v>5</v>
      </c>
      <c r="U88" s="378"/>
      <c r="V88" s="46" t="s">
        <v>66</v>
      </c>
      <c r="W88" s="378"/>
      <c r="X88" s="378"/>
      <c r="Y88" s="94"/>
      <c r="Z88" s="2"/>
      <c r="AA88" s="5">
        <f>H24</f>
        <v>163686</v>
      </c>
      <c r="AB88" s="5"/>
      <c r="AC88" s="450">
        <f>INPUT!C128</f>
        <v>8.07</v>
      </c>
      <c r="AD88" s="96"/>
      <c r="AE88" s="5">
        <f>ROUND(AA88*AC88,0)</f>
        <v>1320946</v>
      </c>
      <c r="AF88" s="5"/>
      <c r="AG88" s="149">
        <f>ROUND((AE88/AE$120)*100,1)</f>
        <v>9.1</v>
      </c>
      <c r="AH88" s="6"/>
      <c r="AI88" s="83">
        <f>L24-AE88</f>
        <v>111307</v>
      </c>
      <c r="AJ88" s="5"/>
      <c r="AK88" s="164">
        <f>IF(AE88=0,"0.0 ",ROUND((AI88/AE88)*100,1))</f>
        <v>8.4</v>
      </c>
      <c r="AL88" s="8"/>
      <c r="AM88" s="5"/>
      <c r="AN88" s="5"/>
      <c r="AO88" s="5">
        <f>AE88+AM88</f>
        <v>1320946</v>
      </c>
      <c r="AP88" s="5"/>
      <c r="AQ88" s="164">
        <f>IF(AO88=0,"0.0 ",ROUND((AI88/AO88)*100,1))</f>
        <v>8.4</v>
      </c>
    </row>
    <row r="89" spans="1:43" x14ac:dyDescent="0.25">
      <c r="A89" s="53"/>
      <c r="C89" s="54"/>
      <c r="F89" s="449"/>
      <c r="H89" s="449"/>
      <c r="I89" s="449"/>
      <c r="J89" s="461"/>
      <c r="K89" s="461"/>
      <c r="L89" s="379"/>
      <c r="M89" s="379"/>
      <c r="N89" s="50"/>
      <c r="O89" s="50"/>
      <c r="P89" s="379"/>
      <c r="Q89" s="379"/>
      <c r="R89" s="379"/>
      <c r="T89" s="45">
        <f>A25</f>
        <v>6</v>
      </c>
      <c r="U89" s="378"/>
      <c r="V89" s="46" t="s">
        <v>67</v>
      </c>
      <c r="W89" s="378"/>
      <c r="X89" s="378"/>
      <c r="Y89" s="94"/>
      <c r="Z89" s="2"/>
      <c r="AA89" s="81">
        <f>H25</f>
        <v>6185</v>
      </c>
      <c r="AB89" s="5"/>
      <c r="AC89" s="450">
        <f>INPUT!C129</f>
        <v>1.22</v>
      </c>
      <c r="AD89" s="96"/>
      <c r="AE89" s="81">
        <f>ROUND(AA89*AC89,0)</f>
        <v>7546</v>
      </c>
      <c r="AF89" s="5"/>
      <c r="AG89" s="148">
        <f>ROUND((AE89/AE$120)*100,1)</f>
        <v>0.1</v>
      </c>
      <c r="AH89" s="6"/>
      <c r="AI89" s="81">
        <f>L25-AE89</f>
        <v>618</v>
      </c>
      <c r="AJ89" s="5"/>
      <c r="AK89" s="163">
        <f>IF(AE89=0,"0.0 ",ROUND((AI89/AE89)*100,1))</f>
        <v>8.1999999999999993</v>
      </c>
      <c r="AL89" s="8"/>
      <c r="AM89" s="81"/>
      <c r="AN89" s="5"/>
      <c r="AO89" s="81">
        <f>AE89+AM89</f>
        <v>7546</v>
      </c>
      <c r="AP89" s="5"/>
      <c r="AQ89" s="164">
        <f>IF(AO89=0,"0.0 ",ROUND((AI89/AO89)*100,1))</f>
        <v>8.1999999999999993</v>
      </c>
    </row>
    <row r="90" spans="1:43" ht="20.100000000000001" customHeight="1" x14ac:dyDescent="0.25">
      <c r="A90" s="53"/>
      <c r="C90" s="54"/>
      <c r="F90" s="379"/>
      <c r="H90" s="379"/>
      <c r="I90" s="379"/>
      <c r="J90" s="464"/>
      <c r="K90" s="464"/>
      <c r="L90" s="379"/>
      <c r="M90" s="379"/>
      <c r="N90" s="50"/>
      <c r="O90" s="50"/>
      <c r="P90" s="379"/>
      <c r="Q90" s="379"/>
      <c r="R90" s="379"/>
      <c r="T90" s="45">
        <f>A26</f>
        <v>7</v>
      </c>
      <c r="U90" s="378"/>
      <c r="V90" s="222" t="s">
        <v>68</v>
      </c>
      <c r="W90" s="378"/>
      <c r="X90" s="378"/>
      <c r="Y90" s="83"/>
      <c r="Z90" s="2"/>
      <c r="AA90" s="81">
        <f>H26</f>
        <v>169871</v>
      </c>
      <c r="AB90" s="5"/>
      <c r="AC90" s="51"/>
      <c r="AD90" s="9"/>
      <c r="AE90" s="81">
        <f>AE88+AE89</f>
        <v>1328492</v>
      </c>
      <c r="AF90" s="5"/>
      <c r="AG90" s="148">
        <f>ROUND((AE90/AE$120)*100,1)</f>
        <v>9.1999999999999993</v>
      </c>
      <c r="AH90" s="6"/>
      <c r="AI90" s="81">
        <f>SUM(AI88:AI89)</f>
        <v>111925</v>
      </c>
      <c r="AJ90" s="5"/>
      <c r="AK90" s="165">
        <f>IF(AE90=0,"0.0 ",ROUND((AI90/AE90)*100,1))</f>
        <v>8.4</v>
      </c>
      <c r="AL90" s="8"/>
      <c r="AM90" s="81"/>
      <c r="AN90" s="5"/>
      <c r="AO90" s="81">
        <f>AO88+AO89</f>
        <v>1328492</v>
      </c>
      <c r="AP90" s="5"/>
      <c r="AQ90" s="164">
        <f>IF(AO90=0,"0.0 ",ROUND((AI90/AO90)*100,1))</f>
        <v>8.4</v>
      </c>
    </row>
    <row r="91" spans="1:43" x14ac:dyDescent="0.25">
      <c r="A91" s="53"/>
      <c r="C91" s="54"/>
      <c r="F91" s="379"/>
      <c r="H91" s="379"/>
      <c r="I91" s="379"/>
      <c r="J91" s="464"/>
      <c r="K91" s="464"/>
      <c r="L91" s="379"/>
      <c r="M91" s="379"/>
      <c r="N91" s="50"/>
      <c r="O91" s="50"/>
      <c r="P91" s="379"/>
      <c r="Q91" s="379"/>
      <c r="R91" s="379"/>
      <c r="T91" s="45"/>
      <c r="U91" s="378"/>
      <c r="V91" s="46"/>
      <c r="W91" s="378"/>
      <c r="X91" s="378"/>
      <c r="Y91" s="83"/>
      <c r="Z91" s="2"/>
      <c r="AA91" s="83"/>
      <c r="AB91" s="5"/>
      <c r="AC91" s="51"/>
      <c r="AD91" s="9"/>
      <c r="AE91" s="83"/>
      <c r="AF91" s="5"/>
      <c r="AG91" s="383"/>
      <c r="AH91" s="6"/>
      <c r="AI91" s="83"/>
      <c r="AJ91" s="5"/>
      <c r="AK91" s="168"/>
      <c r="AL91" s="8"/>
      <c r="AM91" s="83"/>
      <c r="AN91" s="5"/>
      <c r="AO91" s="83"/>
      <c r="AP91" s="5"/>
      <c r="AQ91" s="164"/>
    </row>
    <row r="92" spans="1:43" x14ac:dyDescent="0.25">
      <c r="A92" s="53"/>
      <c r="C92" s="54"/>
      <c r="F92" s="379"/>
      <c r="H92" s="379"/>
      <c r="I92" s="379"/>
      <c r="J92" s="464"/>
      <c r="K92" s="464"/>
      <c r="L92" s="379"/>
      <c r="M92" s="379"/>
      <c r="N92" s="379"/>
      <c r="O92" s="379"/>
      <c r="P92" s="379"/>
      <c r="Q92" s="379"/>
      <c r="R92" s="379"/>
      <c r="T92" s="45">
        <f>A28</f>
        <v>8</v>
      </c>
      <c r="U92" s="378"/>
      <c r="V92" s="222" t="s">
        <v>432</v>
      </c>
      <c r="W92" s="378"/>
      <c r="X92" s="378"/>
      <c r="Y92" s="83"/>
      <c r="Z92" s="2"/>
      <c r="AA92" s="5"/>
      <c r="AB92" s="5"/>
      <c r="AC92" s="51"/>
      <c r="AD92" s="9"/>
      <c r="AE92" s="5"/>
      <c r="AF92" s="5"/>
      <c r="AG92" s="149"/>
      <c r="AH92" s="6"/>
      <c r="AI92" s="5"/>
      <c r="AJ92" s="5"/>
      <c r="AK92" s="149"/>
      <c r="AL92" s="8"/>
      <c r="AM92" s="5"/>
      <c r="AN92" s="5"/>
      <c r="AO92" s="5"/>
      <c r="AP92" s="5"/>
      <c r="AQ92" s="149"/>
    </row>
    <row r="93" spans="1:43" x14ac:dyDescent="0.25">
      <c r="A93" s="53"/>
      <c r="C93" s="54"/>
      <c r="F93" s="379"/>
      <c r="H93" s="379"/>
      <c r="I93" s="379"/>
      <c r="J93" s="464"/>
      <c r="K93" s="464"/>
      <c r="L93" s="379"/>
      <c r="M93" s="379"/>
      <c r="N93" s="379"/>
      <c r="O93" s="379"/>
      <c r="P93" s="379"/>
      <c r="Q93" s="379"/>
      <c r="R93" s="379"/>
      <c r="T93" s="45">
        <f>A29</f>
        <v>9</v>
      </c>
      <c r="U93" s="378"/>
      <c r="V93" s="46" t="s">
        <v>445</v>
      </c>
      <c r="W93" s="378"/>
      <c r="X93" s="378"/>
      <c r="Y93" s="83"/>
      <c r="Z93" s="2"/>
      <c r="AA93" s="5">
        <f>H29</f>
        <v>26206262</v>
      </c>
      <c r="AB93" s="5"/>
      <c r="AC93" s="499">
        <v>4.9050999999999997E-2</v>
      </c>
      <c r="AD93" s="9"/>
      <c r="AE93" s="83">
        <f>ROUND((AA93*AC93),0)</f>
        <v>1285443</v>
      </c>
      <c r="AF93" s="83"/>
      <c r="AG93" s="383">
        <f>ROUND((AE93/AE$120)*100,1)</f>
        <v>8.9</v>
      </c>
      <c r="AH93" s="91"/>
      <c r="AI93" s="83">
        <f>L29-AE93</f>
        <v>108914</v>
      </c>
      <c r="AJ93" s="83"/>
      <c r="AK93" s="168">
        <f>IF(AE93=0,"0.0 ",ROUND((AI93/AE93)*100,1))</f>
        <v>8.5</v>
      </c>
      <c r="AL93" s="103"/>
      <c r="AM93" s="83"/>
      <c r="AN93" s="83"/>
      <c r="AO93" s="83">
        <f>AE93+AM93</f>
        <v>1285443</v>
      </c>
      <c r="AP93" s="83"/>
      <c r="AQ93" s="168">
        <f>IF(AO93=0,"0.0 ",ROUND((AI93/AO93)*100,1))</f>
        <v>8.5</v>
      </c>
    </row>
    <row r="94" spans="1:43" x14ac:dyDescent="0.25">
      <c r="A94" s="53"/>
      <c r="C94" s="54"/>
      <c r="F94" s="379"/>
      <c r="H94" s="449"/>
      <c r="I94" s="449"/>
      <c r="J94" s="221"/>
      <c r="K94" s="221"/>
      <c r="L94" s="379"/>
      <c r="M94" s="379"/>
      <c r="N94" s="50"/>
      <c r="O94" s="50"/>
      <c r="P94" s="379"/>
      <c r="Q94" s="379"/>
      <c r="R94" s="379"/>
      <c r="T94" s="45">
        <f>A30</f>
        <v>10</v>
      </c>
      <c r="U94" s="378"/>
      <c r="V94" s="46" t="s">
        <v>446</v>
      </c>
      <c r="W94" s="378"/>
      <c r="X94" s="378"/>
      <c r="Y94" s="81"/>
      <c r="Z94" s="2"/>
      <c r="AA94" s="81">
        <f>H30</f>
        <v>48926302</v>
      </c>
      <c r="AB94" s="5"/>
      <c r="AC94" s="499">
        <f>INPUT!C126</f>
        <v>4.0168000000000002E-2</v>
      </c>
      <c r="AD94" s="456"/>
      <c r="AE94" s="81">
        <f>ROUND((AA94*AC94),0)</f>
        <v>1965272</v>
      </c>
      <c r="AF94" s="5"/>
      <c r="AG94" s="148">
        <f>ROUND((AE94/AE$120)*100,1)</f>
        <v>13.5</v>
      </c>
      <c r="AH94" s="6"/>
      <c r="AI94" s="81">
        <f>L30-AE94</f>
        <v>166496</v>
      </c>
      <c r="AJ94" s="5"/>
      <c r="AK94" s="163">
        <f>IF(AE94=0,"0.0 ",ROUND((AI94/AE94)*100,1))</f>
        <v>8.5</v>
      </c>
      <c r="AL94" s="8"/>
      <c r="AM94" s="81"/>
      <c r="AN94" s="5"/>
      <c r="AO94" s="81">
        <f>AE94+AM94</f>
        <v>1965272</v>
      </c>
      <c r="AP94" s="5"/>
      <c r="AQ94" s="164">
        <f>IF(AO94=0,"0.0 ",ROUND((AI94/AO94)*100,1))</f>
        <v>8.5</v>
      </c>
    </row>
    <row r="95" spans="1:43" x14ac:dyDescent="0.25">
      <c r="A95" s="53"/>
      <c r="C95" s="54"/>
      <c r="F95" s="379"/>
      <c r="H95" s="449"/>
      <c r="I95" s="449"/>
      <c r="J95" s="221"/>
      <c r="K95" s="221"/>
      <c r="L95" s="379"/>
      <c r="M95" s="379"/>
      <c r="N95" s="50"/>
      <c r="O95" s="50"/>
      <c r="P95" s="379"/>
      <c r="Q95" s="379"/>
      <c r="R95" s="379"/>
      <c r="T95" s="45">
        <f>A31</f>
        <v>11</v>
      </c>
      <c r="U95" s="378"/>
      <c r="V95" s="222" t="s">
        <v>149</v>
      </c>
      <c r="W95" s="378"/>
      <c r="X95" s="378"/>
      <c r="Y95" s="83"/>
      <c r="Z95" s="2"/>
      <c r="AA95" s="81">
        <f>H31</f>
        <v>75132564</v>
      </c>
      <c r="AB95" s="5"/>
      <c r="AC95" s="51"/>
      <c r="AD95" s="9"/>
      <c r="AE95" s="81">
        <f>AE93+AE94</f>
        <v>3250715</v>
      </c>
      <c r="AF95" s="5"/>
      <c r="AG95" s="148">
        <f>ROUND((AE95/AE$120)*100,1)</f>
        <v>22.4</v>
      </c>
      <c r="AH95" s="6"/>
      <c r="AI95" s="81">
        <f>SUM(AI93:AI94)</f>
        <v>275410</v>
      </c>
      <c r="AJ95" s="5"/>
      <c r="AK95" s="165">
        <f>IF(AE95=0,"0.0 ",ROUND((AI95/AE95)*100,1))</f>
        <v>8.5</v>
      </c>
      <c r="AL95" s="8"/>
      <c r="AM95" s="81"/>
      <c r="AN95" s="5"/>
      <c r="AO95" s="81">
        <f>AO93+AO94</f>
        <v>3250715</v>
      </c>
      <c r="AP95" s="5"/>
      <c r="AQ95" s="164">
        <f>IF(AO95=0,"0.0 ",ROUND((AI95/AO95)*100,1))</f>
        <v>8.5</v>
      </c>
    </row>
    <row r="96" spans="1:43" ht="20.100000000000001" customHeight="1" x14ac:dyDescent="0.25">
      <c r="A96" s="53"/>
      <c r="C96" s="54"/>
      <c r="F96" s="379"/>
      <c r="H96" s="379"/>
      <c r="I96" s="379"/>
      <c r="J96" s="59"/>
      <c r="K96" s="59"/>
      <c r="L96" s="379"/>
      <c r="M96" s="379"/>
      <c r="N96" s="50"/>
      <c r="O96" s="50"/>
      <c r="P96" s="379"/>
      <c r="Q96" s="379"/>
      <c r="R96" s="379"/>
      <c r="T96" s="45">
        <f>A32</f>
        <v>12</v>
      </c>
      <c r="U96" s="378"/>
      <c r="V96" s="222" t="s">
        <v>58</v>
      </c>
      <c r="W96" s="378"/>
      <c r="X96" s="378"/>
      <c r="Y96" s="90">
        <f>F32</f>
        <v>52</v>
      </c>
      <c r="Z96" s="2"/>
      <c r="AA96" s="90">
        <f>H32</f>
        <v>75132564</v>
      </c>
      <c r="AB96" s="5"/>
      <c r="AC96" s="446"/>
      <c r="AD96" s="446"/>
      <c r="AE96" s="90">
        <f>AE85+AE90+AE95</f>
        <v>4605207</v>
      </c>
      <c r="AF96" s="5"/>
      <c r="AG96" s="148">
        <f>ROUND((AE96/AE$120)*100,1)</f>
        <v>31.7</v>
      </c>
      <c r="AH96" s="6"/>
      <c r="AI96" s="90">
        <f>AI85+AI90+AI95</f>
        <v>387335</v>
      </c>
      <c r="AJ96" s="5"/>
      <c r="AK96" s="165">
        <f>IF(AE96=0,"0.0 ",ROUND((AI96/AE96)*100,1))</f>
        <v>8.4</v>
      </c>
      <c r="AL96" s="6"/>
      <c r="AM96" s="482"/>
      <c r="AN96" s="5"/>
      <c r="AO96" s="90">
        <f>AO85+AO90+AO95</f>
        <v>4605207</v>
      </c>
      <c r="AP96" s="5"/>
      <c r="AQ96" s="164">
        <f>IF(AO96=0,"0.0 ",ROUND((AI96/AO96)*100,1))</f>
        <v>8.4</v>
      </c>
    </row>
    <row r="97" spans="1:43" x14ac:dyDescent="0.25">
      <c r="A97" s="53"/>
      <c r="C97" s="54"/>
      <c r="F97" s="379"/>
      <c r="H97" s="379"/>
      <c r="I97" s="379"/>
      <c r="J97" s="59"/>
      <c r="K97" s="59"/>
      <c r="L97" s="379"/>
      <c r="M97" s="379"/>
      <c r="N97" s="50"/>
      <c r="O97" s="50"/>
      <c r="P97" s="379"/>
      <c r="Q97" s="379"/>
      <c r="R97" s="379"/>
      <c r="T97" s="45"/>
      <c r="W97" s="378"/>
      <c r="X97" s="378"/>
      <c r="Y97" s="86"/>
      <c r="Z97" s="2"/>
      <c r="AA97" s="86"/>
      <c r="AB97" s="86"/>
      <c r="AC97" s="446"/>
      <c r="AD97" s="446"/>
      <c r="AE97" s="5"/>
      <c r="AF97" s="5"/>
      <c r="AG97" s="149"/>
      <c r="AH97" s="6"/>
      <c r="AI97" s="5"/>
      <c r="AJ97" s="5"/>
      <c r="AK97" s="147"/>
      <c r="AL97" s="2"/>
      <c r="AM97" s="5"/>
      <c r="AN97" s="5"/>
      <c r="AO97" s="5"/>
      <c r="AP97" s="5"/>
      <c r="AQ97" s="149"/>
    </row>
    <row r="98" spans="1:43" x14ac:dyDescent="0.25">
      <c r="A98" s="53"/>
      <c r="C98" s="54"/>
      <c r="F98" s="379"/>
      <c r="H98" s="449"/>
      <c r="I98" s="449"/>
      <c r="J98" s="472"/>
      <c r="K98" s="472"/>
      <c r="L98" s="379"/>
      <c r="M98" s="379"/>
      <c r="N98" s="50"/>
      <c r="O98" s="50"/>
      <c r="P98" s="379"/>
      <c r="Q98" s="379"/>
      <c r="R98" s="379"/>
      <c r="T98" s="45">
        <f>A34</f>
        <v>13</v>
      </c>
      <c r="U98" s="378"/>
      <c r="V98" s="222" t="s">
        <v>59</v>
      </c>
      <c r="W98" s="378"/>
      <c r="X98" s="378"/>
      <c r="Y98" s="2"/>
      <c r="Z98" s="2"/>
      <c r="AA98" s="2"/>
      <c r="AB98" s="2"/>
      <c r="AC98" s="2"/>
      <c r="AD98" s="2"/>
      <c r="AE98" s="2"/>
      <c r="AF98" s="2"/>
      <c r="AG98" s="147"/>
      <c r="AH98" s="2"/>
      <c r="AI98" s="2"/>
      <c r="AJ98" s="2"/>
      <c r="AK98" s="147"/>
      <c r="AL98" s="2"/>
      <c r="AM98" s="2"/>
      <c r="AN98" s="2"/>
      <c r="AO98" s="2"/>
      <c r="AP98" s="2"/>
      <c r="AQ98" s="147"/>
    </row>
    <row r="99" spans="1:43" x14ac:dyDescent="0.25">
      <c r="F99" s="381"/>
      <c r="H99" s="381"/>
      <c r="I99" s="381"/>
      <c r="J99" s="464"/>
      <c r="K99" s="464"/>
      <c r="L99" s="381"/>
      <c r="M99" s="381"/>
      <c r="N99" s="381"/>
      <c r="O99" s="381"/>
      <c r="P99" s="381"/>
      <c r="Q99" s="381"/>
      <c r="R99" s="381"/>
      <c r="T99" s="45">
        <f>A35</f>
        <v>14</v>
      </c>
      <c r="U99" s="378"/>
      <c r="V99" s="222" t="s">
        <v>64</v>
      </c>
      <c r="W99" s="378"/>
      <c r="X99" s="378"/>
      <c r="Y99" s="83">
        <f>F35</f>
        <v>103</v>
      </c>
      <c r="Z99" s="2"/>
      <c r="AA99" s="86"/>
      <c r="AB99" s="86"/>
      <c r="AC99" s="96">
        <f>AC85</f>
        <v>500</v>
      </c>
      <c r="AD99" s="96"/>
      <c r="AE99" s="81">
        <f>ROUND(Y99*AC99,0)</f>
        <v>51500</v>
      </c>
      <c r="AF99" s="5"/>
      <c r="AG99" s="148">
        <f>ROUND((AE99/AE$120)*100,1)</f>
        <v>0.4</v>
      </c>
      <c r="AH99" s="6"/>
      <c r="AI99" s="81">
        <f>L35-AE99</f>
        <v>0</v>
      </c>
      <c r="AJ99" s="5"/>
      <c r="AK99" s="163">
        <f>IF(AE99=0,"0.0 ",ROUND((AI99/AE99)*100,1))</f>
        <v>0</v>
      </c>
      <c r="AL99" s="8"/>
      <c r="AM99" s="109"/>
      <c r="AN99" s="1"/>
      <c r="AO99" s="81">
        <f>AE99+AM99</f>
        <v>51500</v>
      </c>
      <c r="AP99" s="5"/>
      <c r="AQ99" s="164">
        <f>IF(AO99=0,"0.0 ",ROUND((AI99/AO99)*100,1))</f>
        <v>0</v>
      </c>
    </row>
    <row r="100" spans="1:43" x14ac:dyDescent="0.25">
      <c r="F100" s="381"/>
      <c r="H100" s="381"/>
      <c r="I100" s="381"/>
      <c r="J100" s="464"/>
      <c r="K100" s="464"/>
      <c r="L100" s="381"/>
      <c r="M100" s="381"/>
      <c r="N100" s="381"/>
      <c r="O100" s="381"/>
      <c r="P100" s="381"/>
      <c r="Q100" s="381"/>
      <c r="R100" s="381"/>
      <c r="T100" s="45"/>
      <c r="U100" s="378"/>
      <c r="V100" s="46"/>
      <c r="W100" s="378"/>
      <c r="X100" s="378"/>
      <c r="Y100" s="83"/>
      <c r="Z100" s="2"/>
      <c r="AA100" s="86"/>
      <c r="AB100" s="86"/>
      <c r="AC100" s="96"/>
      <c r="AD100" s="96"/>
      <c r="AE100" s="83"/>
      <c r="AF100" s="5"/>
      <c r="AG100" s="383"/>
      <c r="AH100" s="6"/>
      <c r="AI100" s="83"/>
      <c r="AJ100" s="5"/>
      <c r="AK100" s="149"/>
      <c r="AL100" s="8"/>
      <c r="AM100" s="97"/>
      <c r="AN100" s="1"/>
      <c r="AO100" s="83"/>
      <c r="AP100" s="5"/>
      <c r="AQ100" s="149"/>
    </row>
    <row r="101" spans="1:43" x14ac:dyDescent="0.25">
      <c r="F101" s="381"/>
      <c r="H101" s="381"/>
      <c r="I101" s="381"/>
      <c r="J101" s="464"/>
      <c r="K101" s="464"/>
      <c r="L101" s="381"/>
      <c r="M101" s="381"/>
      <c r="N101" s="381"/>
      <c r="O101" s="381"/>
      <c r="P101" s="381"/>
      <c r="Q101" s="381"/>
      <c r="R101" s="381"/>
      <c r="S101" s="379"/>
      <c r="T101" s="45">
        <f>A37</f>
        <v>15</v>
      </c>
      <c r="U101" s="378"/>
      <c r="V101" s="222" t="s">
        <v>65</v>
      </c>
      <c r="W101" s="378"/>
      <c r="X101" s="378"/>
      <c r="Y101" s="86"/>
      <c r="Z101" s="2"/>
      <c r="AA101" s="86"/>
      <c r="AB101" s="86"/>
      <c r="AC101" s="481"/>
      <c r="AD101" s="481"/>
      <c r="AE101" s="5"/>
      <c r="AF101" s="5"/>
      <c r="AG101" s="149"/>
      <c r="AH101" s="6"/>
      <c r="AI101" s="5"/>
      <c r="AJ101" s="5"/>
      <c r="AK101" s="149"/>
      <c r="AL101" s="6"/>
      <c r="AM101" s="5"/>
      <c r="AN101" s="5"/>
      <c r="AO101" s="5"/>
      <c r="AP101" s="5"/>
      <c r="AQ101" s="149"/>
    </row>
    <row r="102" spans="1:43" x14ac:dyDescent="0.25">
      <c r="A102" s="53"/>
      <c r="C102" s="54"/>
      <c r="F102" s="449"/>
      <c r="H102" s="478"/>
      <c r="I102" s="478"/>
      <c r="J102" s="464"/>
      <c r="K102" s="464"/>
      <c r="L102" s="379"/>
      <c r="M102" s="379"/>
      <c r="N102" s="50"/>
      <c r="O102" s="50"/>
      <c r="P102" s="379"/>
      <c r="Q102" s="379"/>
      <c r="R102" s="379"/>
      <c r="S102" s="379"/>
      <c r="T102" s="45">
        <f>A38</f>
        <v>16</v>
      </c>
      <c r="U102" s="378"/>
      <c r="V102" s="46" t="s">
        <v>66</v>
      </c>
      <c r="W102" s="378"/>
      <c r="X102" s="378"/>
      <c r="Y102" s="94"/>
      <c r="Z102" s="2"/>
      <c r="AA102" s="5">
        <f>H38</f>
        <v>315522.20000000007</v>
      </c>
      <c r="AB102" s="5"/>
      <c r="AC102" s="450">
        <f>INPUT!C130</f>
        <v>6.62</v>
      </c>
      <c r="AD102" s="96"/>
      <c r="AE102" s="5">
        <f>ROUND(AA102*AC102,0)</f>
        <v>2088757</v>
      </c>
      <c r="AF102" s="5"/>
      <c r="AG102" s="383">
        <f>ROUND((AE102/AE$120)*100,1)</f>
        <v>14.4</v>
      </c>
      <c r="AH102" s="6"/>
      <c r="AI102" s="83">
        <f>L38-AE102</f>
        <v>176692</v>
      </c>
      <c r="AJ102" s="5"/>
      <c r="AK102" s="164">
        <f>IF(AE102=0,"0.0 ",ROUND((AI102/AE102)*100,1))</f>
        <v>8.5</v>
      </c>
      <c r="AL102" s="8"/>
      <c r="AM102" s="5"/>
      <c r="AN102" s="5"/>
      <c r="AO102" s="5">
        <f>AE102+AM102</f>
        <v>2088757</v>
      </c>
      <c r="AP102" s="5"/>
      <c r="AQ102" s="164">
        <f>IF(AO102=0,"0.0 ",ROUND((AI102/AO102)*100,1))</f>
        <v>8.5</v>
      </c>
    </row>
    <row r="103" spans="1:43" x14ac:dyDescent="0.25">
      <c r="T103" s="45">
        <f>A39</f>
        <v>17</v>
      </c>
      <c r="U103" s="378"/>
      <c r="V103" s="46" t="s">
        <v>67</v>
      </c>
      <c r="W103" s="378"/>
      <c r="X103" s="378"/>
      <c r="Y103" s="94"/>
      <c r="Z103" s="2"/>
      <c r="AA103" s="81">
        <f>H39</f>
        <v>11740.4</v>
      </c>
      <c r="AB103" s="5"/>
      <c r="AC103" s="450">
        <f>INPUT!C131</f>
        <v>1.22</v>
      </c>
      <c r="AD103" s="96"/>
      <c r="AE103" s="81">
        <f>ROUND(AA103*AC103,0)</f>
        <v>14323</v>
      </c>
      <c r="AF103" s="5"/>
      <c r="AG103" s="148">
        <f>ROUND((AE103/AE$120)*100,1)</f>
        <v>0.1</v>
      </c>
      <c r="AH103" s="6"/>
      <c r="AI103" s="81">
        <f>L39-AE103</f>
        <v>1174</v>
      </c>
      <c r="AJ103" s="5"/>
      <c r="AK103" s="163">
        <f>IF(AE103=0,"0.0 ",ROUND((AI103/AE103)*100,1))</f>
        <v>8.1999999999999993</v>
      </c>
      <c r="AL103" s="8"/>
      <c r="AM103" s="81"/>
      <c r="AN103" s="5"/>
      <c r="AO103" s="81">
        <f>AE103+AM103</f>
        <v>14323</v>
      </c>
      <c r="AP103" s="5"/>
      <c r="AQ103" s="164">
        <f>IF(AO103=0,"0.0 ",ROUND((AI103/AO103)*100,1))</f>
        <v>8.1999999999999993</v>
      </c>
    </row>
    <row r="104" spans="1:43" ht="20.100000000000001" customHeight="1" x14ac:dyDescent="0.25">
      <c r="A104" s="53"/>
      <c r="C104" s="54"/>
      <c r="F104" s="449"/>
      <c r="H104" s="449"/>
      <c r="I104" s="449"/>
      <c r="J104" s="461"/>
      <c r="K104" s="461"/>
      <c r="L104" s="379"/>
      <c r="M104" s="379"/>
      <c r="N104" s="50"/>
      <c r="O104" s="50"/>
      <c r="P104" s="53"/>
      <c r="Q104" s="53"/>
      <c r="R104" s="379"/>
      <c r="T104" s="45">
        <f>A40</f>
        <v>18</v>
      </c>
      <c r="U104" s="378"/>
      <c r="V104" s="222" t="s">
        <v>68</v>
      </c>
      <c r="W104" s="378"/>
      <c r="X104" s="378"/>
      <c r="Y104" s="83"/>
      <c r="Z104" s="2"/>
      <c r="AA104" s="81">
        <f>H40</f>
        <v>327262.60000000009</v>
      </c>
      <c r="AB104" s="5"/>
      <c r="AC104" s="9"/>
      <c r="AD104" s="9"/>
      <c r="AE104" s="81">
        <f>AE102+AE103</f>
        <v>2103080</v>
      </c>
      <c r="AF104" s="5"/>
      <c r="AG104" s="148">
        <f>ROUND((AE104/AE$120)*100,1)</f>
        <v>14.5</v>
      </c>
      <c r="AH104" s="6"/>
      <c r="AI104" s="81">
        <f>SUM(AI102:AI103)</f>
        <v>177866</v>
      </c>
      <c r="AJ104" s="5"/>
      <c r="AK104" s="163">
        <f>IF(AE104=0,"0.0 ",ROUND((AI104/AE104)*100,1))</f>
        <v>8.5</v>
      </c>
      <c r="AL104" s="8"/>
      <c r="AM104" s="81"/>
      <c r="AN104" s="5"/>
      <c r="AO104" s="81">
        <f>AO102+AO103</f>
        <v>2103080</v>
      </c>
      <c r="AP104" s="5"/>
      <c r="AQ104" s="164">
        <f>IF(AO104=0,"0.0 ",ROUND((AI104/AO104)*100,1))</f>
        <v>8.5</v>
      </c>
    </row>
    <row r="105" spans="1:43" x14ac:dyDescent="0.25">
      <c r="A105" s="53"/>
      <c r="C105" s="54"/>
      <c r="F105" s="449"/>
      <c r="H105" s="449"/>
      <c r="I105" s="449"/>
      <c r="J105" s="461"/>
      <c r="K105" s="461"/>
      <c r="L105" s="379"/>
      <c r="M105" s="379"/>
      <c r="N105" s="50"/>
      <c r="O105" s="50"/>
      <c r="P105" s="53"/>
      <c r="Q105" s="53"/>
      <c r="R105" s="379"/>
      <c r="T105" s="45"/>
      <c r="U105" s="378"/>
      <c r="V105" s="46"/>
      <c r="W105" s="378"/>
      <c r="X105" s="378"/>
      <c r="Y105" s="83"/>
      <c r="Z105" s="2"/>
      <c r="AA105" s="83"/>
      <c r="AB105" s="5"/>
      <c r="AC105" s="9"/>
      <c r="AD105" s="9"/>
      <c r="AE105" s="83"/>
      <c r="AF105" s="5"/>
      <c r="AG105" s="383"/>
      <c r="AH105" s="6"/>
      <c r="AI105" s="83"/>
      <c r="AJ105" s="5"/>
      <c r="AK105" s="168"/>
      <c r="AL105" s="8"/>
      <c r="AM105" s="83"/>
      <c r="AN105" s="5"/>
      <c r="AO105" s="83"/>
      <c r="AP105" s="5"/>
      <c r="AQ105" s="164"/>
    </row>
    <row r="106" spans="1:43" x14ac:dyDescent="0.25">
      <c r="A106" s="53"/>
      <c r="C106" s="54"/>
      <c r="F106" s="449"/>
      <c r="H106" s="449"/>
      <c r="I106" s="449"/>
      <c r="J106" s="461"/>
      <c r="K106" s="461"/>
      <c r="L106" s="379"/>
      <c r="M106" s="379"/>
      <c r="N106" s="50"/>
      <c r="O106" s="50"/>
      <c r="P106" s="53"/>
      <c r="Q106" s="53"/>
      <c r="R106" s="379"/>
      <c r="T106" s="45">
        <f t="shared" ref="T106:T111" si="2">A42</f>
        <v>19</v>
      </c>
      <c r="U106" s="378"/>
      <c r="V106" s="222" t="s">
        <v>432</v>
      </c>
      <c r="W106" s="378"/>
      <c r="X106" s="378"/>
      <c r="Y106" s="83"/>
      <c r="Z106" s="2"/>
      <c r="AA106" s="5"/>
      <c r="AB106" s="5"/>
      <c r="AC106" s="9"/>
      <c r="AD106" s="9"/>
      <c r="AE106" s="5"/>
      <c r="AF106" s="5"/>
      <c r="AG106" s="149"/>
      <c r="AH106" s="6"/>
      <c r="AI106" s="5"/>
      <c r="AJ106" s="5"/>
      <c r="AK106" s="149"/>
      <c r="AL106" s="8"/>
      <c r="AM106" s="5"/>
      <c r="AN106" s="5"/>
      <c r="AO106" s="5"/>
      <c r="AP106" s="5"/>
      <c r="AQ106" s="149"/>
    </row>
    <row r="107" spans="1:43" x14ac:dyDescent="0.25">
      <c r="A107" s="53"/>
      <c r="C107" s="54"/>
      <c r="F107" s="449"/>
      <c r="H107" s="449"/>
      <c r="I107" s="449"/>
      <c r="J107" s="461"/>
      <c r="K107" s="461"/>
      <c r="L107" s="379"/>
      <c r="M107" s="379"/>
      <c r="N107" s="50"/>
      <c r="O107" s="50"/>
      <c r="P107" s="53"/>
      <c r="Q107" s="53"/>
      <c r="R107" s="379"/>
      <c r="T107" s="45">
        <f t="shared" si="2"/>
        <v>20</v>
      </c>
      <c r="U107" s="378"/>
      <c r="V107" s="46" t="s">
        <v>445</v>
      </c>
      <c r="W107" s="378"/>
      <c r="X107" s="378"/>
      <c r="Y107" s="83"/>
      <c r="Z107" s="2"/>
      <c r="AA107" s="83">
        <f>H43</f>
        <v>45565318</v>
      </c>
      <c r="AB107" s="83"/>
      <c r="AC107" s="499">
        <f>INPUT!C125</f>
        <v>4.6826E-2</v>
      </c>
      <c r="AD107" s="500"/>
      <c r="AE107" s="83">
        <f>ROUND((AA107*AC107),0)</f>
        <v>2133642</v>
      </c>
      <c r="AF107" s="83"/>
      <c r="AG107" s="383">
        <f>ROUND((AE107/AE$120)*100,1)</f>
        <v>14.7</v>
      </c>
      <c r="AH107" s="91"/>
      <c r="AI107" s="83">
        <f>L43-AE107</f>
        <v>180803</v>
      </c>
      <c r="AJ107" s="83"/>
      <c r="AK107" s="168">
        <f>IF(AE107=0,"0.0 ",ROUND((AI107/AE107)*100,1))</f>
        <v>8.5</v>
      </c>
      <c r="AL107" s="103"/>
      <c r="AM107" s="83"/>
      <c r="AN107" s="83"/>
      <c r="AO107" s="83">
        <f>AE107+AM107</f>
        <v>2133642</v>
      </c>
      <c r="AP107" s="83"/>
      <c r="AQ107" s="168">
        <f>IF(AO107=0,"0.0 ",ROUND((AI107/AO107)*100,1))</f>
        <v>8.5</v>
      </c>
    </row>
    <row r="108" spans="1:43" x14ac:dyDescent="0.25">
      <c r="F108" s="381"/>
      <c r="H108" s="379"/>
      <c r="I108" s="379"/>
      <c r="J108" s="464"/>
      <c r="K108" s="464"/>
      <c r="L108" s="381"/>
      <c r="M108" s="381"/>
      <c r="N108" s="381"/>
      <c r="O108" s="381"/>
      <c r="P108" s="381"/>
      <c r="Q108" s="381"/>
      <c r="R108" s="381"/>
      <c r="T108" s="45">
        <f t="shared" si="2"/>
        <v>21</v>
      </c>
      <c r="U108" s="378"/>
      <c r="V108" s="46" t="s">
        <v>446</v>
      </c>
      <c r="W108" s="378"/>
      <c r="X108" s="378"/>
      <c r="Y108" s="81"/>
      <c r="Z108" s="2"/>
      <c r="AA108" s="81">
        <f>H44</f>
        <v>103358288</v>
      </c>
      <c r="AB108" s="5"/>
      <c r="AC108" s="499">
        <f>INPUT!C126</f>
        <v>4.0168000000000002E-2</v>
      </c>
      <c r="AD108" s="456"/>
      <c r="AE108" s="81">
        <f>ROUND((AA108*AC108),0)</f>
        <v>4151696</v>
      </c>
      <c r="AF108" s="5"/>
      <c r="AG108" s="148">
        <f>ROUND((AE108/AE$120)*100,1)</f>
        <v>28.6</v>
      </c>
      <c r="AH108" s="6"/>
      <c r="AI108" s="81">
        <f>L44-AE108</f>
        <v>351728</v>
      </c>
      <c r="AJ108" s="5"/>
      <c r="AK108" s="163">
        <f>IF(AE108=0,"0.0 ",ROUND((AI108/AE108)*100,1))</f>
        <v>8.5</v>
      </c>
      <c r="AL108" s="8"/>
      <c r="AM108" s="81"/>
      <c r="AN108" s="5"/>
      <c r="AO108" s="81">
        <f>AE108+AM108</f>
        <v>4151696</v>
      </c>
      <c r="AP108" s="5"/>
      <c r="AQ108" s="164">
        <f>IF(AO108=0,"0.0 ",ROUND((AI108/AO108)*100,1))</f>
        <v>8.5</v>
      </c>
    </row>
    <row r="109" spans="1:43" x14ac:dyDescent="0.25">
      <c r="F109" s="381"/>
      <c r="H109" s="379"/>
      <c r="I109" s="379"/>
      <c r="J109" s="464"/>
      <c r="K109" s="464"/>
      <c r="L109" s="381"/>
      <c r="M109" s="381"/>
      <c r="N109" s="381"/>
      <c r="O109" s="381"/>
      <c r="P109" s="381"/>
      <c r="Q109" s="381"/>
      <c r="R109" s="381"/>
      <c r="T109" s="45">
        <f t="shared" si="2"/>
        <v>22</v>
      </c>
      <c r="U109" s="378"/>
      <c r="V109" s="222" t="s">
        <v>149</v>
      </c>
      <c r="W109" s="378"/>
      <c r="X109" s="378"/>
      <c r="Y109" s="83"/>
      <c r="Z109" s="2"/>
      <c r="AA109" s="81">
        <f>H45</f>
        <v>148923606</v>
      </c>
      <c r="AB109" s="5"/>
      <c r="AC109" s="51"/>
      <c r="AD109" s="9"/>
      <c r="AE109" s="81">
        <f>AE107+AE108</f>
        <v>6285338</v>
      </c>
      <c r="AF109" s="5"/>
      <c r="AG109" s="148">
        <f>ROUND((AE109/AE$120)*100,1)</f>
        <v>43.3</v>
      </c>
      <c r="AH109" s="6"/>
      <c r="AI109" s="81">
        <f>SUM(AI107:AI108)</f>
        <v>532531</v>
      </c>
      <c r="AJ109" s="5"/>
      <c r="AK109" s="165">
        <f>IF(AE109=0,"0.0 ",ROUND((AI109/AE109)*100,1))</f>
        <v>8.5</v>
      </c>
      <c r="AL109" s="8"/>
      <c r="AM109" s="81"/>
      <c r="AN109" s="5"/>
      <c r="AO109" s="81">
        <f>AO107+AO108</f>
        <v>6285338</v>
      </c>
      <c r="AP109" s="5"/>
      <c r="AQ109" s="164">
        <f>IF(AO109=0,"0.0 ",ROUND((AI109/AO109)*100,1))</f>
        <v>8.5</v>
      </c>
    </row>
    <row r="110" spans="1:43" ht="20.100000000000001" customHeight="1" x14ac:dyDescent="0.25">
      <c r="A110" s="53"/>
      <c r="C110" s="54"/>
      <c r="F110" s="449"/>
      <c r="H110" s="449"/>
      <c r="I110" s="449"/>
      <c r="J110" s="477"/>
      <c r="K110" s="477"/>
      <c r="L110" s="379"/>
      <c r="M110" s="379"/>
      <c r="N110" s="50"/>
      <c r="O110" s="50"/>
      <c r="P110" s="379"/>
      <c r="Q110" s="379"/>
      <c r="R110" s="379"/>
      <c r="S110" s="379"/>
      <c r="T110" s="45">
        <f t="shared" si="2"/>
        <v>23</v>
      </c>
      <c r="U110" s="378"/>
      <c r="V110" s="222" t="s">
        <v>60</v>
      </c>
      <c r="W110" s="378"/>
      <c r="X110" s="378"/>
      <c r="Y110" s="90">
        <f>F46</f>
        <v>103</v>
      </c>
      <c r="Z110" s="2"/>
      <c r="AA110" s="90">
        <f>H46</f>
        <v>148923606</v>
      </c>
      <c r="AB110" s="5"/>
      <c r="AC110" s="268"/>
      <c r="AD110" s="446"/>
      <c r="AE110" s="90">
        <f>AE99+AE104+AE109</f>
        <v>8439918</v>
      </c>
      <c r="AF110" s="5"/>
      <c r="AG110" s="148">
        <f>ROUND((AE110/AE$120)*100,1)</f>
        <v>58.2</v>
      </c>
      <c r="AH110" s="6"/>
      <c r="AI110" s="90">
        <f>AI99+AI104+AI109</f>
        <v>710397</v>
      </c>
      <c r="AJ110" s="5"/>
      <c r="AK110" s="165">
        <f>IF(AE110=0,"0.0 ",ROUND((AI110/AE110)*100,1))</f>
        <v>8.4</v>
      </c>
      <c r="AL110" s="6"/>
      <c r="AM110" s="482"/>
      <c r="AN110" s="5"/>
      <c r="AO110" s="90">
        <f>AO99+AO104+AO109</f>
        <v>8439918</v>
      </c>
      <c r="AP110" s="5"/>
      <c r="AQ110" s="164">
        <f>IF(AO110=0,"0.0 ",ROUND((AI110/AO110)*100,1))</f>
        <v>8.4</v>
      </c>
    </row>
    <row r="111" spans="1:43" ht="20.100000000000001" customHeight="1" x14ac:dyDescent="0.25">
      <c r="A111" s="53"/>
      <c r="C111" s="54"/>
      <c r="F111" s="449"/>
      <c r="H111" s="449"/>
      <c r="I111" s="449"/>
      <c r="J111" s="461"/>
      <c r="K111" s="461"/>
      <c r="L111" s="379"/>
      <c r="M111" s="379"/>
      <c r="N111" s="50"/>
      <c r="O111" s="50"/>
      <c r="P111" s="379"/>
      <c r="Q111" s="379"/>
      <c r="R111" s="379"/>
      <c r="T111" s="45">
        <f t="shared" si="2"/>
        <v>24</v>
      </c>
      <c r="U111" s="378"/>
      <c r="V111" s="444" t="s">
        <v>527</v>
      </c>
      <c r="W111" s="378"/>
      <c r="X111" s="378"/>
      <c r="Y111" s="115">
        <f>Y96+Y110</f>
        <v>155</v>
      </c>
      <c r="Z111" s="2"/>
      <c r="AA111" s="115">
        <f>AA96+AA110</f>
        <v>224056170</v>
      </c>
      <c r="AB111" s="2"/>
      <c r="AC111" s="270"/>
      <c r="AD111" s="2"/>
      <c r="AE111" s="115">
        <f>AE96+AE110</f>
        <v>13045125</v>
      </c>
      <c r="AF111" s="2"/>
      <c r="AG111" s="148">
        <f>ROUND((AE111/AE$120)*100,1)</f>
        <v>89.9</v>
      </c>
      <c r="AH111" s="2"/>
      <c r="AI111" s="115">
        <f>AI110+AI96</f>
        <v>1097732</v>
      </c>
      <c r="AJ111" s="2"/>
      <c r="AK111" s="165">
        <f>IF(AE111=0,"0.0 ",ROUND((AI111/AE111)*100,1))</f>
        <v>8.4</v>
      </c>
      <c r="AL111" s="2"/>
      <c r="AM111" s="114"/>
      <c r="AN111" s="2"/>
      <c r="AO111" s="115">
        <f>AO110+AO96</f>
        <v>13045125</v>
      </c>
      <c r="AP111" s="2"/>
      <c r="AQ111" s="164">
        <f>IF(AO111=0,"0.0 ",ROUND((AI111/AO111)*100,1))</f>
        <v>8.4</v>
      </c>
    </row>
    <row r="112" spans="1:43" x14ac:dyDescent="0.25">
      <c r="A112" s="53"/>
      <c r="C112" s="54"/>
      <c r="F112" s="449"/>
      <c r="H112" s="449"/>
      <c r="I112" s="449"/>
      <c r="J112" s="461"/>
      <c r="K112" s="461"/>
      <c r="L112" s="379"/>
      <c r="M112" s="379"/>
      <c r="N112" s="50"/>
      <c r="O112" s="50"/>
      <c r="P112" s="379"/>
      <c r="Q112" s="379"/>
      <c r="R112" s="379"/>
      <c r="T112" s="45"/>
      <c r="U112" s="378"/>
      <c r="V112" s="46"/>
      <c r="W112" s="378"/>
      <c r="X112" s="378"/>
      <c r="Y112" s="2"/>
      <c r="Z112" s="2"/>
      <c r="AA112" s="2"/>
      <c r="AB112" s="2"/>
      <c r="AC112" s="270"/>
      <c r="AD112" s="2"/>
      <c r="AE112" s="2"/>
      <c r="AF112" s="2"/>
      <c r="AG112" s="147"/>
      <c r="AH112" s="2"/>
      <c r="AI112" s="2"/>
      <c r="AJ112" s="2"/>
      <c r="AK112" s="147"/>
      <c r="AL112" s="2"/>
      <c r="AM112" s="2"/>
      <c r="AN112" s="2"/>
      <c r="AO112" s="2"/>
      <c r="AP112" s="2"/>
      <c r="AQ112" s="147"/>
    </row>
    <row r="113" spans="1:43" x14ac:dyDescent="0.25">
      <c r="A113" s="53"/>
      <c r="C113" s="54"/>
      <c r="F113" s="449"/>
      <c r="H113" s="449"/>
      <c r="I113" s="449"/>
      <c r="J113" s="461"/>
      <c r="K113" s="461"/>
      <c r="L113" s="379"/>
      <c r="M113" s="379"/>
      <c r="N113" s="50"/>
      <c r="O113" s="50"/>
      <c r="P113" s="379"/>
      <c r="Q113" s="379"/>
      <c r="R113" s="379"/>
      <c r="T113" s="45">
        <f t="shared" ref="T113:T118" si="3">A49</f>
        <v>25</v>
      </c>
      <c r="U113" s="378"/>
      <c r="V113" s="222" t="s">
        <v>504</v>
      </c>
      <c r="W113" s="378"/>
      <c r="X113" s="378"/>
      <c r="Y113" s="2"/>
      <c r="Z113" s="2"/>
      <c r="AA113" s="2"/>
      <c r="AB113" s="2"/>
      <c r="AC113" s="270"/>
      <c r="AD113" s="2"/>
      <c r="AE113" s="2"/>
      <c r="AF113" s="2"/>
      <c r="AG113" s="147"/>
      <c r="AH113" s="2"/>
      <c r="AI113" s="2"/>
      <c r="AJ113" s="2"/>
      <c r="AK113" s="147"/>
      <c r="AL113" s="2"/>
      <c r="AM113" s="2"/>
      <c r="AN113" s="2"/>
      <c r="AO113" s="2"/>
      <c r="AP113" s="2"/>
      <c r="AQ113" s="147"/>
    </row>
    <row r="114" spans="1:43" x14ac:dyDescent="0.25">
      <c r="A114" s="53"/>
      <c r="C114" s="54"/>
      <c r="F114" s="449"/>
      <c r="H114" s="449"/>
      <c r="I114" s="449"/>
      <c r="J114" s="461"/>
      <c r="K114" s="461"/>
      <c r="L114" s="379"/>
      <c r="M114" s="379"/>
      <c r="N114" s="50"/>
      <c r="O114" s="50"/>
      <c r="P114" s="379"/>
      <c r="Q114" s="379"/>
      <c r="R114" s="379"/>
      <c r="T114" s="45">
        <f t="shared" si="3"/>
        <v>26</v>
      </c>
      <c r="U114" s="378"/>
      <c r="V114" s="216" t="str">
        <f>C50</f>
        <v>DEMAND SIDE MANAGEMENT RIDER (DSMR)</v>
      </c>
      <c r="W114" s="378"/>
      <c r="X114" s="378"/>
      <c r="Y114" s="2"/>
      <c r="Z114" s="2"/>
      <c r="AA114" s="2"/>
      <c r="AB114" s="2"/>
      <c r="AC114" s="465">
        <f>DSM_TRANS</f>
        <v>4.6299999999999998E-4</v>
      </c>
      <c r="AD114" s="2"/>
      <c r="AE114" s="108">
        <f>ROUND($AA$111*AC114,0)</f>
        <v>103738</v>
      </c>
      <c r="AF114" s="2"/>
      <c r="AG114" s="149">
        <f>ROUND((AE114/AE$120)*100,1)</f>
        <v>0.7</v>
      </c>
      <c r="AH114" s="2"/>
      <c r="AI114" s="83">
        <f>L50-AE114</f>
        <v>0</v>
      </c>
      <c r="AJ114" s="2"/>
      <c r="AK114" s="164">
        <f t="shared" ref="AK114:AK118" si="4">IF(AE114=0,"0.0 ",ROUND((AI114/AE114)*100,1))</f>
        <v>0</v>
      </c>
      <c r="AL114" s="2"/>
      <c r="AM114" s="108"/>
      <c r="AN114" s="108"/>
      <c r="AO114" s="5">
        <f t="shared" ref="AO114:AO117" si="5">AE114+AM114</f>
        <v>103738</v>
      </c>
      <c r="AP114" s="2"/>
      <c r="AQ114" s="164">
        <f t="shared" ref="AQ114:AQ118" si="6">IF(AO114=0,"0.0 ",ROUND((AI114/AO114)*100,1))</f>
        <v>0</v>
      </c>
    </row>
    <row r="115" spans="1:43" x14ac:dyDescent="0.25">
      <c r="A115" s="53"/>
      <c r="C115" s="54"/>
      <c r="F115" s="449"/>
      <c r="H115" s="449"/>
      <c r="I115" s="449"/>
      <c r="J115" s="461"/>
      <c r="K115" s="461"/>
      <c r="L115" s="379"/>
      <c r="M115" s="379"/>
      <c r="N115" s="50"/>
      <c r="O115" s="50"/>
      <c r="P115" s="379"/>
      <c r="Q115" s="379"/>
      <c r="R115" s="379"/>
      <c r="T115" s="45">
        <f t="shared" si="3"/>
        <v>27</v>
      </c>
      <c r="U115" s="378"/>
      <c r="V115" s="216" t="str">
        <f>C51</f>
        <v>ENVIRONMENTAL SURCHARGE MECHANISM RIDER (ESM)</v>
      </c>
      <c r="W115" s="378"/>
      <c r="X115" s="378"/>
      <c r="Y115" s="2"/>
      <c r="Z115" s="2"/>
      <c r="AA115" s="2"/>
      <c r="AB115" s="2"/>
      <c r="AC115" s="473">
        <f>CUR_ESM_NONRES</f>
        <v>0.18160000000000001</v>
      </c>
      <c r="AD115" s="9"/>
      <c r="AE115" s="83">
        <f>ROUND((AO111-CUR_BASE_FUEL*AA111)*AC115,0)</f>
        <v>1399101</v>
      </c>
      <c r="AF115" s="2"/>
      <c r="AG115" s="149">
        <f>ROUND((AE115/AE$120)*100,1)</f>
        <v>9.6</v>
      </c>
      <c r="AH115" s="2"/>
      <c r="AI115" s="83">
        <f>L51-AE115</f>
        <v>0</v>
      </c>
      <c r="AJ115" s="2"/>
      <c r="AK115" s="164">
        <f t="shared" ref="AK115" si="7">IF(AE115=0,"0.0 ",ROUND((AI115/AE115)*100,1))</f>
        <v>0</v>
      </c>
      <c r="AL115" s="2"/>
      <c r="AM115" s="108"/>
      <c r="AN115" s="108"/>
      <c r="AO115" s="5">
        <f t="shared" ref="AO115" si="8">AE115+AM115</f>
        <v>1399101</v>
      </c>
      <c r="AP115" s="2"/>
      <c r="AQ115" s="164">
        <f t="shared" ref="AQ115" si="9">IF(AO115=0,"0.0 ",ROUND((AI115/AO115)*100,1))</f>
        <v>0</v>
      </c>
    </row>
    <row r="116" spans="1:43" x14ac:dyDescent="0.25">
      <c r="A116" s="53"/>
      <c r="C116" s="54"/>
      <c r="F116" s="449"/>
      <c r="H116" s="449"/>
      <c r="I116" s="449"/>
      <c r="J116" s="461"/>
      <c r="K116" s="461"/>
      <c r="L116" s="379"/>
      <c r="M116" s="379"/>
      <c r="N116" s="50"/>
      <c r="O116" s="50"/>
      <c r="P116" s="379"/>
      <c r="Q116" s="379"/>
      <c r="R116" s="379"/>
      <c r="T116" s="45">
        <f t="shared" si="3"/>
        <v>28</v>
      </c>
      <c r="U116" s="378"/>
      <c r="V116" s="216" t="str">
        <f>C52</f>
        <v>FUEL ADJUSTMENT CLAUSE (FAC)</v>
      </c>
      <c r="W116" s="378"/>
      <c r="X116" s="378"/>
      <c r="Y116" s="2"/>
      <c r="Z116" s="2"/>
      <c r="AA116" s="2"/>
      <c r="AB116" s="2"/>
      <c r="AC116" s="465">
        <f>CUR_FAC</f>
        <v>6.8099999999999996E-4</v>
      </c>
      <c r="AD116" s="2"/>
      <c r="AE116" s="108"/>
      <c r="AF116" s="2"/>
      <c r="AG116" s="149"/>
      <c r="AH116" s="2"/>
      <c r="AI116" s="83"/>
      <c r="AJ116" s="2"/>
      <c r="AK116" s="164"/>
      <c r="AL116" s="2"/>
      <c r="AM116" s="108">
        <f>ROUND(AA111*CUR_FAC,0)</f>
        <v>152582</v>
      </c>
      <c r="AN116" s="108"/>
      <c r="AO116" s="5">
        <f t="shared" si="5"/>
        <v>152582</v>
      </c>
      <c r="AP116" s="2"/>
      <c r="AQ116" s="164">
        <f>IF(AO116=0,"0.0 ",ROUND(((R52-AO116)/AO116)*100,1))</f>
        <v>0</v>
      </c>
    </row>
    <row r="117" spans="1:43" x14ac:dyDescent="0.25">
      <c r="A117" s="53"/>
      <c r="C117" s="54"/>
      <c r="F117" s="449"/>
      <c r="H117" s="449"/>
      <c r="I117" s="449"/>
      <c r="J117" s="461"/>
      <c r="K117" s="461"/>
      <c r="L117" s="379"/>
      <c r="M117" s="379"/>
      <c r="N117" s="50"/>
      <c r="O117" s="50"/>
      <c r="P117" s="379"/>
      <c r="Q117" s="379"/>
      <c r="R117" s="379"/>
      <c r="T117" s="45">
        <f t="shared" si="3"/>
        <v>30</v>
      </c>
      <c r="U117" s="378"/>
      <c r="V117" s="216" t="str">
        <f>C53</f>
        <v>PROFIT SHARING MECHANISM (PSM)</v>
      </c>
      <c r="W117" s="378"/>
      <c r="X117" s="378"/>
      <c r="Y117" s="2"/>
      <c r="Z117" s="2"/>
      <c r="AA117" s="2"/>
      <c r="AB117" s="2"/>
      <c r="AC117" s="465">
        <f>RS_PSM</f>
        <v>-1.63E-4</v>
      </c>
      <c r="AD117" s="2"/>
      <c r="AE117" s="105">
        <f>ROUND(AA111*RS_PSM,0)</f>
        <v>-36521</v>
      </c>
      <c r="AF117" s="2"/>
      <c r="AG117" s="148">
        <f>ROUND((AE117/AE$120)*100,1)</f>
        <v>-0.3</v>
      </c>
      <c r="AH117" s="2"/>
      <c r="AI117" s="81">
        <f>L53-AE117</f>
        <v>0</v>
      </c>
      <c r="AJ117" s="2"/>
      <c r="AK117" s="163">
        <f t="shared" si="4"/>
        <v>0</v>
      </c>
      <c r="AL117" s="2"/>
      <c r="AM117" s="105"/>
      <c r="AN117" s="108"/>
      <c r="AO117" s="81">
        <f t="shared" si="5"/>
        <v>-36521</v>
      </c>
      <c r="AP117" s="2"/>
      <c r="AQ117" s="164">
        <f t="shared" si="6"/>
        <v>0</v>
      </c>
    </row>
    <row r="118" spans="1:43" x14ac:dyDescent="0.25">
      <c r="A118" s="53"/>
      <c r="C118" s="54"/>
      <c r="F118" s="449"/>
      <c r="H118" s="449"/>
      <c r="I118" s="449"/>
      <c r="J118" s="461"/>
      <c r="K118" s="461"/>
      <c r="L118" s="379"/>
      <c r="M118" s="379"/>
      <c r="N118" s="50"/>
      <c r="O118" s="50"/>
      <c r="P118" s="379"/>
      <c r="Q118" s="379"/>
      <c r="R118" s="379"/>
      <c r="T118" s="45">
        <f t="shared" si="3"/>
        <v>31</v>
      </c>
      <c r="U118" s="378"/>
      <c r="V118" s="222" t="s">
        <v>510</v>
      </c>
      <c r="W118" s="378"/>
      <c r="X118" s="378"/>
      <c r="Y118" s="10"/>
      <c r="Z118" s="2"/>
      <c r="AA118" s="10"/>
      <c r="AB118" s="2"/>
      <c r="AC118" s="465"/>
      <c r="AD118" s="2"/>
      <c r="AE118" s="115">
        <f>SUM(AE114:AE117)</f>
        <v>1466318</v>
      </c>
      <c r="AF118" s="2"/>
      <c r="AG118" s="150">
        <f>ROUND((AE118/AE$120)*100,1)</f>
        <v>10.1</v>
      </c>
      <c r="AH118" s="2"/>
      <c r="AI118" s="115">
        <f>SUM(AI114:AI117)</f>
        <v>0</v>
      </c>
      <c r="AJ118" s="2"/>
      <c r="AK118" s="165">
        <f t="shared" si="4"/>
        <v>0</v>
      </c>
      <c r="AL118" s="2"/>
      <c r="AM118" s="115">
        <f>SUM(AM114:AM117)</f>
        <v>152582</v>
      </c>
      <c r="AN118" s="108"/>
      <c r="AO118" s="115">
        <f>SUM(AO114:AO117)</f>
        <v>1618900</v>
      </c>
      <c r="AP118" s="2"/>
      <c r="AQ118" s="164">
        <f t="shared" si="6"/>
        <v>0</v>
      </c>
    </row>
    <row r="119" spans="1:43" x14ac:dyDescent="0.25">
      <c r="A119" s="53"/>
      <c r="C119" s="54"/>
      <c r="F119" s="449"/>
      <c r="H119" s="449"/>
      <c r="I119" s="449"/>
      <c r="J119" s="461"/>
      <c r="K119" s="461"/>
      <c r="L119" s="379"/>
      <c r="M119" s="379"/>
      <c r="N119" s="50"/>
      <c r="O119" s="50"/>
      <c r="P119" s="379"/>
      <c r="Q119" s="379"/>
      <c r="R119" s="379"/>
      <c r="T119" s="45"/>
      <c r="U119" s="378"/>
      <c r="V119" s="46"/>
      <c r="W119" s="378"/>
      <c r="X119" s="378"/>
      <c r="Y119" s="2"/>
      <c r="Z119" s="2"/>
      <c r="AA119" s="2"/>
      <c r="AB119" s="2"/>
      <c r="AC119" s="2"/>
      <c r="AD119" s="2"/>
      <c r="AE119" s="2"/>
      <c r="AF119" s="2"/>
      <c r="AG119" s="147"/>
      <c r="AH119" s="2"/>
      <c r="AI119" s="2"/>
      <c r="AJ119" s="2"/>
      <c r="AK119" s="147"/>
      <c r="AL119" s="2"/>
      <c r="AM119" s="2"/>
      <c r="AN119" s="2"/>
      <c r="AO119" s="2"/>
      <c r="AP119" s="2"/>
      <c r="AQ119" s="147"/>
    </row>
    <row r="120" spans="1:43" ht="20.100000000000001" customHeight="1" thickBot="1" x14ac:dyDescent="0.3">
      <c r="F120" s="379"/>
      <c r="H120" s="381"/>
      <c r="I120" s="381"/>
      <c r="J120" s="464"/>
      <c r="K120" s="464"/>
      <c r="L120" s="381"/>
      <c r="M120" s="381"/>
      <c r="N120" s="381"/>
      <c r="O120" s="381"/>
      <c r="P120" s="381"/>
      <c r="Q120" s="381"/>
      <c r="R120" s="381"/>
      <c r="T120" s="45">
        <f>A56</f>
        <v>32</v>
      </c>
      <c r="U120" s="378"/>
      <c r="V120" s="444" t="s">
        <v>528</v>
      </c>
      <c r="W120" s="378"/>
      <c r="X120" s="378"/>
      <c r="Y120" s="82">
        <f>Y111</f>
        <v>155</v>
      </c>
      <c r="Z120" s="2"/>
      <c r="AA120" s="82">
        <f>AA111</f>
        <v>224056170</v>
      </c>
      <c r="AB120" s="5"/>
      <c r="AC120" s="2"/>
      <c r="AD120" s="2"/>
      <c r="AE120" s="82">
        <f>AE111+AE118</f>
        <v>14511443</v>
      </c>
      <c r="AF120" s="5"/>
      <c r="AG120" s="151">
        <v>100</v>
      </c>
      <c r="AH120" s="6"/>
      <c r="AI120" s="82">
        <f>AI111+AI118</f>
        <v>1097732</v>
      </c>
      <c r="AJ120" s="5"/>
      <c r="AK120" s="166">
        <f>IF(AE120=0,"0.0 ",ROUND((AI120/AE120)*100,1))</f>
        <v>7.6</v>
      </c>
      <c r="AL120" s="6"/>
      <c r="AM120" s="82">
        <f>AM111+AM118</f>
        <v>152582</v>
      </c>
      <c r="AN120" s="86"/>
      <c r="AO120" s="82">
        <f>AO111+AO118</f>
        <v>14664025</v>
      </c>
      <c r="AP120" s="5"/>
      <c r="AQ120" s="164">
        <f>IF(AO120=0,"0.0 ",ROUND((AI120/AO120)*100,1))</f>
        <v>7.5</v>
      </c>
    </row>
    <row r="121" spans="1:43" ht="16.5" thickTop="1" x14ac:dyDescent="0.25">
      <c r="F121" s="379"/>
      <c r="H121" s="381"/>
      <c r="I121" s="381"/>
      <c r="J121" s="464"/>
      <c r="K121" s="464"/>
      <c r="L121" s="381"/>
      <c r="M121" s="381"/>
      <c r="N121" s="381"/>
      <c r="O121" s="381"/>
      <c r="P121" s="381"/>
      <c r="Q121" s="381"/>
      <c r="R121" s="381"/>
      <c r="T121" s="378"/>
      <c r="U121" s="378"/>
      <c r="V121" s="378"/>
      <c r="W121" s="378"/>
      <c r="X121" s="378"/>
      <c r="Y121" s="2"/>
      <c r="Z121" s="2"/>
      <c r="AA121" s="2"/>
      <c r="AB121" s="2"/>
      <c r="AC121" s="2"/>
      <c r="AD121" s="2"/>
      <c r="AE121" s="2"/>
      <c r="AF121" s="2"/>
      <c r="AG121" s="147"/>
      <c r="AH121" s="2"/>
      <c r="AI121" s="2"/>
      <c r="AJ121" s="2"/>
      <c r="AK121" s="147"/>
      <c r="AL121" s="2"/>
      <c r="AM121" s="2"/>
      <c r="AN121" s="2"/>
      <c r="AO121" s="2"/>
      <c r="AP121" s="2"/>
      <c r="AQ121" s="147"/>
    </row>
    <row r="122" spans="1:43" x14ac:dyDescent="0.25">
      <c r="A122" s="53"/>
      <c r="C122" s="54"/>
      <c r="F122" s="379"/>
      <c r="H122" s="379"/>
      <c r="I122" s="379"/>
      <c r="J122" s="464"/>
      <c r="K122" s="464"/>
      <c r="L122" s="379"/>
      <c r="M122" s="379"/>
      <c r="N122" s="379"/>
      <c r="O122" s="379"/>
      <c r="P122" s="379"/>
      <c r="Q122" s="379"/>
      <c r="R122" s="379"/>
      <c r="T122" s="378"/>
      <c r="U122" s="378"/>
      <c r="V122" s="243" t="s">
        <v>61</v>
      </c>
      <c r="W122" s="378"/>
      <c r="X122" s="378"/>
      <c r="Y122" s="378"/>
      <c r="Z122" s="378"/>
      <c r="AA122" s="378"/>
      <c r="AB122" s="378"/>
      <c r="AC122" s="378"/>
      <c r="AD122" s="378"/>
      <c r="AE122" s="48"/>
      <c r="AF122" s="48"/>
      <c r="AG122" s="152"/>
      <c r="AH122" s="48"/>
      <c r="AI122" s="378"/>
      <c r="AJ122" s="378"/>
      <c r="AK122" s="143"/>
      <c r="AL122" s="378"/>
      <c r="AM122" s="48"/>
      <c r="AN122" s="48"/>
      <c r="AO122" s="48"/>
      <c r="AP122" s="48"/>
      <c r="AQ122" s="143"/>
    </row>
    <row r="123" spans="1:43" x14ac:dyDescent="0.25">
      <c r="A123" s="53"/>
      <c r="C123" s="54"/>
      <c r="F123" s="379"/>
      <c r="H123" s="379"/>
      <c r="I123" s="379"/>
      <c r="J123" s="464"/>
      <c r="K123" s="464"/>
      <c r="L123" s="379"/>
      <c r="M123" s="379"/>
      <c r="N123" s="379"/>
      <c r="O123" s="379"/>
      <c r="P123" s="379"/>
      <c r="Q123" s="379"/>
      <c r="R123" s="379"/>
      <c r="T123" s="378"/>
      <c r="U123" s="378"/>
      <c r="V123" s="243" t="str">
        <f>"(2) REFLECTS FUEL COMPONENT OF "&amp;TEXT(CUR_FAC,"$0.000000;($0.000000)")&amp;"  PER KWH."</f>
        <v>(2) REFLECTS FUEL COMPONENT OF $0.000681  PER KWH.</v>
      </c>
      <c r="W123" s="378"/>
      <c r="X123" s="378"/>
      <c r="Y123" s="378"/>
      <c r="Z123" s="378"/>
      <c r="AA123" s="378"/>
      <c r="AB123" s="378"/>
      <c r="AC123" s="378"/>
      <c r="AD123" s="378"/>
      <c r="AE123" s="48"/>
      <c r="AF123" s="48"/>
      <c r="AG123" s="152"/>
      <c r="AH123" s="48"/>
      <c r="AI123" s="378"/>
      <c r="AJ123" s="378"/>
      <c r="AK123" s="143"/>
      <c r="AL123" s="378"/>
      <c r="AM123" s="48"/>
      <c r="AN123" s="48"/>
      <c r="AO123" s="48"/>
      <c r="AP123" s="48"/>
      <c r="AQ123" s="143"/>
    </row>
    <row r="124" spans="1:43" x14ac:dyDescent="0.25">
      <c r="A124" s="53"/>
      <c r="C124" s="54"/>
      <c r="F124" s="379"/>
      <c r="H124" s="449"/>
      <c r="I124" s="449"/>
      <c r="J124" s="221"/>
      <c r="K124" s="221"/>
      <c r="L124" s="379"/>
      <c r="M124" s="379"/>
      <c r="N124" s="50"/>
      <c r="O124" s="50"/>
      <c r="P124" s="379"/>
      <c r="Q124" s="379"/>
      <c r="R124" s="379"/>
      <c r="T124" s="46"/>
      <c r="U124" s="378"/>
      <c r="V124" s="243" t="str">
        <f>"(3) REFLECTS FUEL COST RECOVERY INCLUDED IN BASE RATES OF "&amp;TEXT(CUR_BASE_FUEL,"$0.000000;($0.000000)")&amp;"  PER KWH."</f>
        <v>(3) REFLECTS FUEL COST RECOVERY INCLUDED IN BASE RATES OF $0.023837  PER KWH.</v>
      </c>
      <c r="W124" s="378"/>
      <c r="X124" s="378"/>
      <c r="Y124" s="378"/>
      <c r="Z124" s="378"/>
      <c r="AA124" s="378"/>
      <c r="AB124" s="378"/>
      <c r="AC124" s="378"/>
      <c r="AD124" s="378"/>
      <c r="AE124" s="378"/>
      <c r="AF124" s="378"/>
      <c r="AG124" s="143"/>
      <c r="AH124" s="378"/>
      <c r="AI124" s="378"/>
      <c r="AJ124" s="378"/>
      <c r="AK124" s="143"/>
      <c r="AL124" s="378"/>
      <c r="AM124" s="378"/>
      <c r="AN124" s="378"/>
      <c r="AO124" s="378"/>
      <c r="AP124" s="378"/>
      <c r="AQ124" s="143"/>
    </row>
    <row r="125" spans="1:43" x14ac:dyDescent="0.25">
      <c r="A125" s="53"/>
      <c r="C125" s="54"/>
      <c r="H125" s="449"/>
      <c r="I125" s="449"/>
      <c r="J125" s="221"/>
      <c r="K125" s="221"/>
      <c r="L125" s="379"/>
      <c r="M125" s="379"/>
      <c r="N125" s="50"/>
      <c r="O125" s="50"/>
      <c r="P125" s="379"/>
      <c r="Q125" s="379"/>
      <c r="R125" s="379"/>
      <c r="T125" s="54"/>
      <c r="V125" s="449"/>
      <c r="Y125" s="449"/>
      <c r="Z125" s="477"/>
      <c r="AA125" s="379"/>
      <c r="AB125" s="379"/>
      <c r="AC125" s="50"/>
      <c r="AD125" s="50"/>
      <c r="AE125" s="379"/>
      <c r="AF125" s="379"/>
      <c r="AG125" s="156"/>
      <c r="AH125" s="50"/>
      <c r="AI125" s="379"/>
      <c r="AJ125" s="379"/>
      <c r="AK125" s="156"/>
      <c r="AL125" s="379"/>
      <c r="AM125" s="50"/>
      <c r="AN125" s="50"/>
    </row>
    <row r="126" spans="1:43" x14ac:dyDescent="0.25">
      <c r="F126" s="379"/>
      <c r="H126" s="379"/>
      <c r="I126" s="379"/>
      <c r="J126" s="464"/>
      <c r="K126" s="464"/>
      <c r="L126" s="381"/>
      <c r="M126" s="381"/>
      <c r="N126" s="381"/>
      <c r="O126" s="381"/>
      <c r="P126" s="381"/>
      <c r="Q126" s="381"/>
      <c r="R126" s="381"/>
      <c r="T126" s="54"/>
      <c r="V126" s="449"/>
      <c r="Y126" s="379"/>
      <c r="Z126" s="461"/>
      <c r="AA126" s="379"/>
      <c r="AB126" s="379"/>
      <c r="AC126" s="50"/>
      <c r="AD126" s="50"/>
      <c r="AE126" s="379"/>
      <c r="AF126" s="379"/>
      <c r="AG126" s="156"/>
      <c r="AH126" s="60"/>
      <c r="AI126" s="379"/>
      <c r="AJ126" s="379"/>
      <c r="AK126" s="156"/>
      <c r="AL126" s="379"/>
      <c r="AM126" s="50"/>
      <c r="AN126" s="50"/>
    </row>
    <row r="127" spans="1:43" x14ac:dyDescent="0.25">
      <c r="A127" s="53"/>
      <c r="C127" s="54"/>
      <c r="F127" s="379"/>
      <c r="H127" s="379"/>
      <c r="I127" s="379"/>
      <c r="J127" s="59"/>
      <c r="K127" s="59"/>
      <c r="L127" s="379"/>
      <c r="M127" s="379"/>
      <c r="N127" s="50"/>
      <c r="O127" s="50"/>
      <c r="P127" s="379"/>
      <c r="Q127" s="379"/>
      <c r="R127" s="379"/>
      <c r="T127" s="54"/>
      <c r="V127" s="449"/>
      <c r="Y127" s="379"/>
      <c r="Z127" s="461"/>
      <c r="AA127" s="379"/>
      <c r="AB127" s="379"/>
      <c r="AC127" s="50"/>
      <c r="AD127" s="50"/>
      <c r="AE127" s="379"/>
      <c r="AF127" s="379"/>
      <c r="AG127" s="156"/>
      <c r="AH127" s="60"/>
      <c r="AI127" s="379"/>
      <c r="AJ127" s="379"/>
      <c r="AK127" s="156"/>
      <c r="AL127" s="379"/>
      <c r="AM127" s="50"/>
      <c r="AN127" s="50"/>
    </row>
    <row r="128" spans="1:43" x14ac:dyDescent="0.25">
      <c r="F128" s="379"/>
      <c r="H128" s="379"/>
      <c r="I128" s="379"/>
      <c r="J128" s="464"/>
      <c r="K128" s="464"/>
      <c r="L128" s="381"/>
      <c r="M128" s="381"/>
      <c r="N128" s="381"/>
      <c r="O128" s="381"/>
      <c r="P128" s="381"/>
      <c r="Q128" s="381"/>
      <c r="R128" s="381"/>
      <c r="V128" s="379"/>
      <c r="Y128" s="381"/>
      <c r="Z128" s="464"/>
      <c r="AA128" s="381"/>
      <c r="AB128" s="381"/>
      <c r="AC128" s="381"/>
      <c r="AD128" s="381"/>
      <c r="AE128" s="381"/>
      <c r="AF128" s="381"/>
      <c r="AI128" s="381"/>
      <c r="AJ128" s="381"/>
      <c r="AK128" s="162"/>
      <c r="AL128" s="381"/>
      <c r="AM128" s="50"/>
      <c r="AN128" s="50"/>
    </row>
    <row r="129" spans="1:40" x14ac:dyDescent="0.25">
      <c r="A129" s="53"/>
      <c r="C129" s="54"/>
      <c r="F129" s="379"/>
      <c r="H129" s="379"/>
      <c r="I129" s="379"/>
      <c r="J129" s="59"/>
      <c r="K129" s="59"/>
      <c r="L129" s="379"/>
      <c r="M129" s="379"/>
      <c r="N129" s="50"/>
      <c r="O129" s="50"/>
      <c r="P129" s="379"/>
      <c r="Q129" s="379"/>
      <c r="R129" s="379"/>
      <c r="T129" s="54"/>
      <c r="V129" s="379"/>
      <c r="Y129" s="379"/>
      <c r="Z129" s="464"/>
      <c r="AA129" s="379"/>
      <c r="AB129" s="379"/>
      <c r="AC129" s="50"/>
      <c r="AD129" s="50"/>
      <c r="AE129" s="379"/>
      <c r="AF129" s="379"/>
      <c r="AG129" s="156"/>
      <c r="AH129" s="60"/>
      <c r="AI129" s="379"/>
      <c r="AJ129" s="379"/>
      <c r="AK129" s="156"/>
      <c r="AL129" s="379"/>
      <c r="AM129" s="50"/>
      <c r="AN129" s="50"/>
    </row>
    <row r="130" spans="1:40" x14ac:dyDescent="0.25">
      <c r="A130" s="53"/>
      <c r="C130" s="54"/>
      <c r="F130" s="449"/>
      <c r="H130" s="449"/>
      <c r="I130" s="449"/>
      <c r="J130" s="472"/>
      <c r="K130" s="472"/>
      <c r="L130" s="379"/>
      <c r="M130" s="379"/>
      <c r="N130" s="50"/>
      <c r="O130" s="50"/>
      <c r="P130" s="379"/>
      <c r="Q130" s="379"/>
      <c r="R130" s="379"/>
      <c r="V130" s="379"/>
      <c r="Y130" s="381"/>
      <c r="Z130" s="464"/>
      <c r="AA130" s="381"/>
      <c r="AB130" s="381"/>
      <c r="AC130" s="381"/>
      <c r="AD130" s="381"/>
      <c r="AE130" s="381"/>
      <c r="AF130" s="381"/>
      <c r="AI130" s="381"/>
      <c r="AJ130" s="381"/>
      <c r="AK130" s="162"/>
      <c r="AL130" s="381"/>
      <c r="AM130" s="50"/>
      <c r="AN130" s="50"/>
    </row>
    <row r="131" spans="1:40" x14ac:dyDescent="0.25">
      <c r="F131" s="381"/>
      <c r="H131" s="381"/>
      <c r="I131" s="381"/>
      <c r="J131" s="464"/>
      <c r="K131" s="464"/>
      <c r="L131" s="381"/>
      <c r="M131" s="381"/>
      <c r="N131" s="381"/>
      <c r="O131" s="381"/>
      <c r="P131" s="381"/>
      <c r="Q131" s="381"/>
      <c r="R131" s="381"/>
      <c r="T131" s="54"/>
      <c r="V131" s="379"/>
      <c r="Y131" s="379"/>
      <c r="Z131" s="464"/>
      <c r="AA131" s="379"/>
      <c r="AB131" s="379"/>
      <c r="AC131" s="379"/>
      <c r="AD131" s="379"/>
      <c r="AE131" s="379"/>
      <c r="AF131" s="379"/>
      <c r="AG131" s="156"/>
      <c r="AH131" s="60"/>
      <c r="AI131" s="379"/>
      <c r="AJ131" s="379"/>
      <c r="AK131" s="156"/>
      <c r="AL131" s="379"/>
      <c r="AM131" s="50"/>
      <c r="AN131" s="50"/>
    </row>
    <row r="132" spans="1:40" x14ac:dyDescent="0.25">
      <c r="A132" s="53"/>
      <c r="C132" s="54"/>
      <c r="F132" s="379"/>
      <c r="H132" s="379"/>
      <c r="I132" s="379"/>
      <c r="J132" s="464"/>
      <c r="K132" s="464"/>
      <c r="L132" s="379"/>
      <c r="M132" s="379"/>
      <c r="N132" s="50"/>
      <c r="O132" s="50"/>
      <c r="P132" s="379"/>
      <c r="Q132" s="379"/>
      <c r="R132" s="379"/>
      <c r="S132" s="379"/>
      <c r="T132" s="54"/>
      <c r="V132" s="379"/>
      <c r="Y132" s="379"/>
      <c r="Z132" s="221"/>
      <c r="AA132" s="379"/>
      <c r="AB132" s="379"/>
      <c r="AC132" s="50"/>
      <c r="AD132" s="50"/>
      <c r="AE132" s="379"/>
      <c r="AF132" s="379"/>
      <c r="AG132" s="156"/>
      <c r="AH132" s="60"/>
      <c r="AI132" s="379"/>
      <c r="AJ132" s="379"/>
      <c r="AK132" s="156"/>
      <c r="AL132" s="379"/>
      <c r="AM132" s="50"/>
      <c r="AN132" s="50"/>
    </row>
    <row r="133" spans="1:40" x14ac:dyDescent="0.25">
      <c r="F133" s="381"/>
      <c r="H133" s="381"/>
      <c r="I133" s="381"/>
      <c r="J133" s="464"/>
      <c r="K133" s="464"/>
      <c r="L133" s="381"/>
      <c r="M133" s="381"/>
      <c r="N133" s="381"/>
      <c r="O133" s="381"/>
      <c r="P133" s="381"/>
      <c r="Q133" s="381"/>
      <c r="R133" s="381"/>
      <c r="S133" s="379"/>
      <c r="T133" s="54"/>
      <c r="Y133" s="379"/>
      <c r="Z133" s="221"/>
      <c r="AA133" s="379"/>
      <c r="AB133" s="379"/>
      <c r="AC133" s="50"/>
      <c r="AD133" s="50"/>
      <c r="AE133" s="379"/>
      <c r="AF133" s="379"/>
      <c r="AG133" s="156"/>
      <c r="AH133" s="60"/>
      <c r="AI133" s="379"/>
      <c r="AJ133" s="379"/>
      <c r="AK133" s="156"/>
      <c r="AL133" s="379"/>
      <c r="AM133" s="50"/>
      <c r="AN133" s="50"/>
    </row>
    <row r="134" spans="1:40" x14ac:dyDescent="0.25">
      <c r="A134" s="53"/>
      <c r="C134" s="54"/>
      <c r="V134" s="379"/>
      <c r="Y134" s="379"/>
      <c r="Z134" s="464"/>
      <c r="AA134" s="381"/>
      <c r="AB134" s="381"/>
      <c r="AC134" s="381"/>
      <c r="AD134" s="381"/>
      <c r="AE134" s="381"/>
      <c r="AF134" s="381"/>
      <c r="AI134" s="381"/>
      <c r="AJ134" s="381"/>
      <c r="AK134" s="162"/>
      <c r="AL134" s="381"/>
      <c r="AM134" s="50"/>
      <c r="AN134" s="50"/>
    </row>
    <row r="135" spans="1:40" x14ac:dyDescent="0.25">
      <c r="A135" s="53"/>
      <c r="C135" s="54"/>
      <c r="F135" s="379"/>
      <c r="H135" s="379"/>
      <c r="I135" s="379"/>
      <c r="L135" s="379"/>
      <c r="M135" s="379"/>
      <c r="N135" s="50"/>
      <c r="O135" s="50"/>
      <c r="P135" s="449"/>
      <c r="Q135" s="449"/>
      <c r="R135" s="379"/>
      <c r="T135" s="54"/>
      <c r="V135" s="379"/>
      <c r="Y135" s="379"/>
      <c r="Z135" s="59"/>
      <c r="AA135" s="379"/>
      <c r="AB135" s="379"/>
      <c r="AC135" s="50"/>
      <c r="AD135" s="50"/>
      <c r="AE135" s="379"/>
      <c r="AF135" s="379"/>
      <c r="AG135" s="156"/>
      <c r="AH135" s="60"/>
      <c r="AI135" s="379"/>
      <c r="AJ135" s="379"/>
      <c r="AK135" s="156"/>
      <c r="AL135" s="379"/>
      <c r="AM135" s="50"/>
      <c r="AN135" s="50"/>
    </row>
    <row r="136" spans="1:40" x14ac:dyDescent="0.25">
      <c r="F136" s="381"/>
      <c r="H136" s="381"/>
      <c r="I136" s="381"/>
      <c r="J136" s="464"/>
      <c r="K136" s="464"/>
      <c r="L136" s="381"/>
      <c r="M136" s="381"/>
      <c r="N136" s="381"/>
      <c r="O136" s="381"/>
      <c r="P136" s="381"/>
      <c r="Q136" s="381"/>
      <c r="R136" s="381"/>
      <c r="V136" s="379"/>
      <c r="Y136" s="379"/>
      <c r="Z136" s="464"/>
      <c r="AA136" s="381"/>
      <c r="AB136" s="381"/>
      <c r="AC136" s="381"/>
      <c r="AD136" s="381"/>
      <c r="AE136" s="381"/>
      <c r="AF136" s="381"/>
      <c r="AI136" s="381"/>
      <c r="AJ136" s="381"/>
      <c r="AK136" s="162"/>
      <c r="AL136" s="381"/>
      <c r="AM136" s="50"/>
      <c r="AN136" s="50"/>
    </row>
    <row r="137" spans="1:40" x14ac:dyDescent="0.25">
      <c r="T137" s="54"/>
      <c r="V137" s="379"/>
      <c r="Y137" s="379"/>
      <c r="Z137" s="59"/>
      <c r="AA137" s="379"/>
      <c r="AB137" s="379"/>
      <c r="AC137" s="50"/>
      <c r="AD137" s="50"/>
      <c r="AE137" s="379"/>
      <c r="AF137" s="379"/>
      <c r="AG137" s="156"/>
      <c r="AH137" s="60"/>
      <c r="AI137" s="379"/>
      <c r="AJ137" s="379"/>
      <c r="AK137" s="156"/>
      <c r="AL137" s="379"/>
      <c r="AM137" s="50"/>
      <c r="AN137" s="50"/>
    </row>
    <row r="138" spans="1:40" x14ac:dyDescent="0.25">
      <c r="C138" s="54"/>
      <c r="L138" s="379"/>
      <c r="M138" s="379"/>
      <c r="N138" s="379"/>
      <c r="O138" s="379"/>
      <c r="P138" s="379"/>
      <c r="Q138" s="379"/>
      <c r="R138" s="379"/>
      <c r="S138" s="379"/>
      <c r="T138" s="54"/>
      <c r="V138" s="449"/>
      <c r="Y138" s="379"/>
      <c r="Z138" s="472"/>
      <c r="AA138" s="379"/>
      <c r="AB138" s="379"/>
      <c r="AC138" s="50"/>
      <c r="AD138" s="50"/>
      <c r="AE138" s="379"/>
      <c r="AF138" s="379"/>
      <c r="AG138" s="156"/>
      <c r="AH138" s="60"/>
      <c r="AI138" s="379"/>
      <c r="AJ138" s="379"/>
      <c r="AK138" s="156"/>
      <c r="AL138" s="379"/>
      <c r="AM138" s="50"/>
      <c r="AN138" s="50"/>
    </row>
    <row r="139" spans="1:40" x14ac:dyDescent="0.25">
      <c r="A139" s="54"/>
      <c r="V139" s="381"/>
      <c r="Y139" s="381"/>
      <c r="Z139" s="464"/>
      <c r="AA139" s="381"/>
      <c r="AB139" s="381"/>
      <c r="AC139" s="381"/>
      <c r="AD139" s="381"/>
      <c r="AE139" s="381"/>
      <c r="AF139" s="381"/>
      <c r="AI139" s="381"/>
      <c r="AJ139" s="381"/>
      <c r="AK139" s="162"/>
      <c r="AL139" s="381"/>
      <c r="AM139" s="50"/>
      <c r="AN139" s="50"/>
    </row>
    <row r="140" spans="1:40" x14ac:dyDescent="0.25">
      <c r="J140" s="53"/>
      <c r="K140" s="53"/>
      <c r="T140" s="54"/>
      <c r="V140" s="379"/>
      <c r="Y140" s="379"/>
      <c r="Z140" s="464"/>
      <c r="AA140" s="379"/>
      <c r="AB140" s="379"/>
      <c r="AC140" s="50"/>
      <c r="AD140" s="50"/>
      <c r="AE140" s="379"/>
      <c r="AF140" s="379"/>
      <c r="AG140" s="156"/>
      <c r="AH140" s="50"/>
      <c r="AI140" s="379"/>
      <c r="AJ140" s="379"/>
      <c r="AK140" s="156"/>
      <c r="AL140" s="379"/>
      <c r="AM140" s="50"/>
      <c r="AN140" s="50"/>
    </row>
    <row r="141" spans="1:40" x14ac:dyDescent="0.25">
      <c r="H141" s="54"/>
      <c r="I141" s="54"/>
      <c r="V141" s="381"/>
      <c r="Y141" s="381"/>
      <c r="Z141" s="464"/>
      <c r="AA141" s="381"/>
      <c r="AB141" s="381"/>
      <c r="AC141" s="381"/>
      <c r="AD141" s="381"/>
      <c r="AE141" s="381"/>
      <c r="AF141" s="381"/>
      <c r="AI141" s="381"/>
      <c r="AJ141" s="381"/>
      <c r="AK141" s="162"/>
      <c r="AL141" s="381"/>
      <c r="AM141" s="50"/>
      <c r="AN141" s="50"/>
    </row>
    <row r="142" spans="1:40" x14ac:dyDescent="0.25">
      <c r="J142" s="53"/>
      <c r="K142" s="53"/>
      <c r="T142" s="54"/>
    </row>
    <row r="143" spans="1:40" x14ac:dyDescent="0.25">
      <c r="L143" s="54"/>
      <c r="M143" s="54"/>
      <c r="AA143" s="54"/>
      <c r="AB143" s="54"/>
    </row>
    <row r="144" spans="1:40" x14ac:dyDescent="0.25">
      <c r="A144" s="53"/>
      <c r="R144" s="54"/>
      <c r="AK144" s="161"/>
      <c r="AL144" s="54"/>
    </row>
    <row r="145" spans="1:40" x14ac:dyDescent="0.25">
      <c r="A145" s="53"/>
      <c r="R145" s="54"/>
      <c r="AK145" s="161"/>
      <c r="AL145" s="54"/>
    </row>
    <row r="146" spans="1:40" x14ac:dyDescent="0.25">
      <c r="A146" s="54"/>
      <c r="R146" s="54"/>
      <c r="AK146" s="161"/>
      <c r="AL146" s="54"/>
    </row>
    <row r="147" spans="1:40" x14ac:dyDescent="0.25">
      <c r="L147" s="54"/>
      <c r="M147" s="54"/>
      <c r="R147" s="53"/>
      <c r="AA147" s="54"/>
      <c r="AB147" s="54"/>
      <c r="AK147" s="156"/>
      <c r="AL147" s="53"/>
    </row>
    <row r="148" spans="1:40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154"/>
      <c r="AH148" s="55"/>
      <c r="AI148" s="55"/>
      <c r="AJ148" s="55"/>
      <c r="AK148" s="154"/>
      <c r="AL148" s="55"/>
      <c r="AM148" s="55"/>
      <c r="AN148" s="55"/>
    </row>
    <row r="149" spans="1:40" x14ac:dyDescent="0.25">
      <c r="L149" s="56"/>
      <c r="M149" s="56"/>
      <c r="N149" s="56"/>
      <c r="O149" s="56"/>
      <c r="R149" s="56"/>
      <c r="AA149" s="56"/>
      <c r="AB149" s="56"/>
      <c r="AC149" s="56"/>
      <c r="AD149" s="56"/>
      <c r="AE149" s="56"/>
      <c r="AF149" s="56"/>
      <c r="AG149" s="155"/>
      <c r="AH149" s="56"/>
      <c r="AK149" s="155"/>
      <c r="AL149" s="56"/>
      <c r="AM149" s="56"/>
      <c r="AN149" s="56"/>
    </row>
    <row r="150" spans="1:40" x14ac:dyDescent="0.25">
      <c r="L150" s="56"/>
      <c r="M150" s="56"/>
      <c r="N150" s="56"/>
      <c r="O150" s="56"/>
      <c r="R150" s="56"/>
      <c r="Z150" s="56"/>
      <c r="AA150" s="56"/>
      <c r="AB150" s="56"/>
      <c r="AC150" s="56"/>
      <c r="AD150" s="56"/>
      <c r="AE150" s="56"/>
      <c r="AF150" s="56"/>
      <c r="AG150" s="155"/>
      <c r="AH150" s="56"/>
      <c r="AK150" s="155"/>
      <c r="AL150" s="56"/>
      <c r="AM150" s="56"/>
      <c r="AN150" s="56"/>
    </row>
    <row r="151" spans="1:40" x14ac:dyDescent="0.25">
      <c r="A151" s="56"/>
      <c r="C151" s="56"/>
      <c r="D151" s="56"/>
      <c r="E151" s="56"/>
      <c r="F151" s="56"/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Z151" s="56"/>
      <c r="AA151" s="56"/>
      <c r="AB151" s="56"/>
      <c r="AC151" s="56"/>
      <c r="AD151" s="56"/>
      <c r="AE151" s="56"/>
      <c r="AF151" s="56"/>
      <c r="AG151" s="155"/>
      <c r="AH151" s="56"/>
      <c r="AI151" s="56"/>
      <c r="AJ151" s="56"/>
      <c r="AK151" s="155"/>
      <c r="AL151" s="56"/>
      <c r="AM151" s="56"/>
      <c r="AN151" s="56"/>
    </row>
    <row r="152" spans="1:40" x14ac:dyDescent="0.25">
      <c r="A152" s="56"/>
      <c r="C152" s="56"/>
      <c r="D152" s="56"/>
      <c r="E152" s="56"/>
      <c r="F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Y152" s="56"/>
      <c r="Z152" s="56"/>
      <c r="AA152" s="56"/>
      <c r="AB152" s="56"/>
      <c r="AC152" s="56"/>
      <c r="AD152" s="56"/>
      <c r="AE152" s="56"/>
      <c r="AF152" s="56"/>
      <c r="AG152" s="155"/>
      <c r="AH152" s="56"/>
      <c r="AI152" s="56"/>
      <c r="AJ152" s="56"/>
      <c r="AK152" s="155"/>
      <c r="AL152" s="56"/>
      <c r="AM152" s="56"/>
      <c r="AN152" s="56"/>
    </row>
    <row r="153" spans="1:40" x14ac:dyDescent="0.25">
      <c r="C153" s="56"/>
      <c r="D153" s="56"/>
      <c r="E153" s="56"/>
      <c r="F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Y153" s="56"/>
      <c r="Z153" s="56"/>
      <c r="AA153" s="56"/>
      <c r="AB153" s="56"/>
      <c r="AC153" s="56"/>
      <c r="AD153" s="56"/>
      <c r="AE153" s="56"/>
      <c r="AF153" s="56"/>
      <c r="AG153" s="155"/>
      <c r="AH153" s="56"/>
      <c r="AI153" s="56"/>
      <c r="AJ153" s="56"/>
      <c r="AK153" s="155"/>
      <c r="AL153" s="56"/>
      <c r="AM153" s="56"/>
      <c r="AN153" s="56"/>
    </row>
    <row r="154" spans="1:40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154"/>
      <c r="AH154" s="55"/>
      <c r="AI154" s="55"/>
      <c r="AJ154" s="55"/>
      <c r="AK154" s="154"/>
      <c r="AL154" s="55"/>
      <c r="AM154" s="55"/>
      <c r="AN154" s="55"/>
    </row>
    <row r="155" spans="1:40" x14ac:dyDescent="0.25"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Y155" s="56"/>
      <c r="Z155" s="56"/>
      <c r="AA155" s="56"/>
      <c r="AB155" s="56"/>
      <c r="AC155" s="56"/>
      <c r="AD155" s="56"/>
      <c r="AE155" s="56"/>
      <c r="AF155" s="56"/>
      <c r="AG155" s="155"/>
      <c r="AH155" s="56"/>
      <c r="AI155" s="56"/>
      <c r="AJ155" s="56"/>
      <c r="AK155" s="155"/>
      <c r="AL155" s="56"/>
      <c r="AM155" s="56"/>
      <c r="AN155" s="56"/>
    </row>
    <row r="156" spans="1:40" x14ac:dyDescent="0.25">
      <c r="A156" s="53"/>
      <c r="C156" s="54"/>
      <c r="D156" s="54"/>
      <c r="E156" s="54"/>
      <c r="T156" s="54"/>
      <c r="U156" s="54"/>
    </row>
    <row r="157" spans="1:40" x14ac:dyDescent="0.25">
      <c r="A157" s="53"/>
      <c r="D157" s="54"/>
      <c r="E157" s="54"/>
      <c r="U157" s="54"/>
    </row>
    <row r="159" spans="1:40" x14ac:dyDescent="0.25">
      <c r="A159" s="53"/>
      <c r="C159" s="54"/>
      <c r="F159" s="449"/>
      <c r="H159" s="449"/>
      <c r="I159" s="449"/>
      <c r="J159" s="461"/>
      <c r="K159" s="461"/>
      <c r="L159" s="379"/>
      <c r="M159" s="379"/>
      <c r="N159" s="50"/>
      <c r="O159" s="50"/>
      <c r="R159" s="379"/>
      <c r="T159" s="54"/>
      <c r="V159" s="379"/>
      <c r="Y159" s="449"/>
      <c r="Z159" s="461"/>
      <c r="AA159" s="379"/>
      <c r="AB159" s="379"/>
      <c r="AC159" s="50"/>
      <c r="AD159" s="50"/>
      <c r="AE159" s="379"/>
      <c r="AF159" s="379"/>
      <c r="AG159" s="474"/>
      <c r="AH159" s="475"/>
      <c r="AK159" s="156"/>
      <c r="AL159" s="379"/>
      <c r="AM159" s="476"/>
      <c r="AN159" s="476"/>
    </row>
    <row r="160" spans="1:40" x14ac:dyDescent="0.25">
      <c r="A160" s="53"/>
      <c r="C160" s="54"/>
      <c r="F160" s="449"/>
      <c r="H160" s="449"/>
      <c r="I160" s="449"/>
      <c r="J160" s="461"/>
      <c r="K160" s="461"/>
      <c r="L160" s="379"/>
      <c r="M160" s="379"/>
      <c r="N160" s="50"/>
      <c r="O160" s="50"/>
      <c r="P160" s="53"/>
      <c r="Q160" s="53"/>
      <c r="R160" s="379"/>
      <c r="T160" s="54"/>
      <c r="V160" s="379"/>
      <c r="Y160" s="449"/>
      <c r="Z160" s="461"/>
      <c r="AA160" s="379"/>
      <c r="AB160" s="379"/>
      <c r="AC160" s="50"/>
      <c r="AD160" s="50"/>
      <c r="AE160" s="379"/>
      <c r="AF160" s="379"/>
      <c r="AG160" s="156"/>
      <c r="AH160" s="60"/>
      <c r="AI160" s="53"/>
      <c r="AJ160" s="53"/>
      <c r="AK160" s="156"/>
      <c r="AL160" s="379"/>
      <c r="AM160" s="50"/>
      <c r="AN160" s="50"/>
    </row>
    <row r="161" spans="1:40" x14ac:dyDescent="0.25">
      <c r="F161" s="381"/>
      <c r="H161" s="379"/>
      <c r="I161" s="379"/>
      <c r="J161" s="464"/>
      <c r="K161" s="464"/>
      <c r="L161" s="381"/>
      <c r="M161" s="381"/>
      <c r="N161" s="381"/>
      <c r="O161" s="381"/>
      <c r="P161" s="381"/>
      <c r="Q161" s="381"/>
      <c r="R161" s="381"/>
      <c r="V161" s="381"/>
      <c r="Y161" s="379"/>
      <c r="Z161" s="464"/>
      <c r="AA161" s="381"/>
      <c r="AB161" s="381"/>
      <c r="AC161" s="381"/>
      <c r="AD161" s="381"/>
      <c r="AE161" s="381"/>
      <c r="AF161" s="381"/>
      <c r="AI161" s="381"/>
      <c r="AJ161" s="381"/>
      <c r="AK161" s="162"/>
      <c r="AL161" s="381"/>
      <c r="AM161" s="50"/>
      <c r="AN161" s="50"/>
    </row>
    <row r="162" spans="1:40" x14ac:dyDescent="0.25">
      <c r="A162" s="53"/>
      <c r="C162" s="54"/>
      <c r="F162" s="379"/>
      <c r="H162" s="379"/>
      <c r="I162" s="379"/>
      <c r="J162" s="464"/>
      <c r="K162" s="464"/>
      <c r="L162" s="379"/>
      <c r="M162" s="379"/>
      <c r="N162" s="50"/>
      <c r="O162" s="50"/>
      <c r="P162" s="379"/>
      <c r="Q162" s="379"/>
      <c r="R162" s="379"/>
      <c r="T162" s="54"/>
      <c r="V162" s="379"/>
      <c r="Y162" s="379"/>
      <c r="Z162" s="59"/>
      <c r="AA162" s="379"/>
      <c r="AB162" s="379"/>
      <c r="AC162" s="50"/>
      <c r="AD162" s="50"/>
      <c r="AE162" s="379"/>
      <c r="AF162" s="379"/>
      <c r="AG162" s="156"/>
      <c r="AH162" s="60"/>
      <c r="AI162" s="379"/>
      <c r="AJ162" s="379"/>
      <c r="AK162" s="156"/>
      <c r="AL162" s="379"/>
      <c r="AM162" s="50"/>
      <c r="AN162" s="50"/>
    </row>
    <row r="163" spans="1:40" x14ac:dyDescent="0.25">
      <c r="F163" s="381"/>
      <c r="H163" s="379"/>
      <c r="I163" s="379"/>
      <c r="J163" s="464"/>
      <c r="K163" s="464"/>
      <c r="L163" s="381"/>
      <c r="M163" s="381"/>
      <c r="N163" s="381"/>
      <c r="O163" s="381"/>
      <c r="P163" s="381"/>
      <c r="Q163" s="381"/>
      <c r="R163" s="381"/>
      <c r="V163" s="381"/>
      <c r="Y163" s="379"/>
      <c r="Z163" s="464"/>
      <c r="AA163" s="381"/>
      <c r="AB163" s="381"/>
      <c r="AC163" s="381"/>
      <c r="AD163" s="381"/>
      <c r="AE163" s="381"/>
      <c r="AF163" s="381"/>
      <c r="AI163" s="381"/>
      <c r="AJ163" s="381"/>
      <c r="AK163" s="162"/>
      <c r="AL163" s="381"/>
      <c r="AM163" s="50"/>
      <c r="AN163" s="50"/>
    </row>
    <row r="164" spans="1:40" x14ac:dyDescent="0.25">
      <c r="F164" s="379"/>
      <c r="H164" s="379"/>
      <c r="I164" s="379"/>
      <c r="J164" s="464"/>
      <c r="K164" s="464"/>
      <c r="L164" s="379"/>
      <c r="M164" s="379"/>
      <c r="N164" s="50"/>
      <c r="O164" s="50"/>
      <c r="P164" s="379"/>
      <c r="Q164" s="379"/>
      <c r="R164" s="379"/>
      <c r="V164" s="379"/>
      <c r="Y164" s="379"/>
      <c r="Z164" s="59"/>
      <c r="AA164" s="379"/>
      <c r="AB164" s="379"/>
      <c r="AC164" s="50"/>
      <c r="AD164" s="50"/>
      <c r="AE164" s="379"/>
      <c r="AF164" s="379"/>
      <c r="AG164" s="156"/>
      <c r="AH164" s="60"/>
      <c r="AI164" s="379"/>
      <c r="AJ164" s="379"/>
      <c r="AK164" s="156"/>
      <c r="AL164" s="379"/>
      <c r="AM164" s="50"/>
      <c r="AN164" s="50"/>
    </row>
    <row r="165" spans="1:40" x14ac:dyDescent="0.25">
      <c r="A165" s="53"/>
      <c r="C165" s="54"/>
      <c r="F165" s="449"/>
      <c r="H165" s="449"/>
      <c r="I165" s="449"/>
      <c r="J165" s="461"/>
      <c r="K165" s="461"/>
      <c r="L165" s="379"/>
      <c r="M165" s="379"/>
      <c r="N165" s="50"/>
      <c r="O165" s="50"/>
      <c r="P165" s="379"/>
      <c r="Q165" s="379"/>
      <c r="R165" s="379"/>
      <c r="T165" s="54"/>
      <c r="V165" s="449"/>
      <c r="Y165" s="379"/>
      <c r="Z165" s="461"/>
      <c r="AA165" s="379"/>
      <c r="AB165" s="379"/>
      <c r="AC165" s="50"/>
      <c r="AD165" s="50"/>
      <c r="AE165" s="379"/>
      <c r="AF165" s="379"/>
      <c r="AG165" s="474"/>
      <c r="AH165" s="475"/>
      <c r="AI165" s="379"/>
      <c r="AJ165" s="379"/>
      <c r="AK165" s="156"/>
      <c r="AL165" s="379"/>
      <c r="AM165" s="476"/>
      <c r="AN165" s="476"/>
    </row>
    <row r="166" spans="1:40" x14ac:dyDescent="0.25">
      <c r="A166" s="53"/>
      <c r="C166" s="54"/>
      <c r="F166" s="449"/>
      <c r="H166" s="449"/>
      <c r="I166" s="449"/>
      <c r="J166" s="461"/>
      <c r="K166" s="461"/>
      <c r="L166" s="379"/>
      <c r="M166" s="379"/>
      <c r="N166" s="50"/>
      <c r="O166" s="50"/>
      <c r="P166" s="379"/>
      <c r="Q166" s="379"/>
      <c r="R166" s="379"/>
      <c r="T166" s="54"/>
      <c r="V166" s="449"/>
      <c r="Y166" s="379"/>
      <c r="Z166" s="461"/>
      <c r="AA166" s="379"/>
      <c r="AB166" s="379"/>
      <c r="AC166" s="50"/>
      <c r="AD166" s="50"/>
      <c r="AE166" s="379"/>
      <c r="AF166" s="379"/>
      <c r="AG166" s="156"/>
      <c r="AH166" s="60"/>
      <c r="AI166" s="379"/>
      <c r="AJ166" s="379"/>
      <c r="AK166" s="156"/>
      <c r="AL166" s="379"/>
      <c r="AM166" s="50"/>
      <c r="AN166" s="50"/>
    </row>
    <row r="167" spans="1:40" x14ac:dyDescent="0.25">
      <c r="F167" s="379"/>
      <c r="H167" s="381"/>
      <c r="I167" s="381"/>
      <c r="J167" s="464"/>
      <c r="K167" s="464"/>
      <c r="L167" s="381"/>
      <c r="M167" s="381"/>
      <c r="N167" s="381"/>
      <c r="O167" s="381"/>
      <c r="P167" s="381"/>
      <c r="Q167" s="381"/>
      <c r="R167" s="381"/>
      <c r="V167" s="379"/>
      <c r="Y167" s="381"/>
      <c r="Z167" s="464"/>
      <c r="AA167" s="381"/>
      <c r="AB167" s="381"/>
      <c r="AC167" s="381"/>
      <c r="AD167" s="381"/>
      <c r="AE167" s="381"/>
      <c r="AF167" s="381"/>
      <c r="AI167" s="381"/>
      <c r="AJ167" s="381"/>
      <c r="AK167" s="162"/>
      <c r="AL167" s="381"/>
      <c r="AM167" s="50"/>
      <c r="AN167" s="50"/>
    </row>
    <row r="168" spans="1:40" x14ac:dyDescent="0.25">
      <c r="A168" s="53"/>
      <c r="C168" s="54"/>
      <c r="F168" s="379"/>
      <c r="H168" s="379"/>
      <c r="I168" s="379"/>
      <c r="J168" s="464"/>
      <c r="K168" s="464"/>
      <c r="L168" s="379"/>
      <c r="M168" s="379"/>
      <c r="N168" s="50"/>
      <c r="O168" s="50"/>
      <c r="P168" s="379"/>
      <c r="Q168" s="379"/>
      <c r="R168" s="379"/>
      <c r="T168" s="54"/>
      <c r="V168" s="379"/>
      <c r="Y168" s="379"/>
      <c r="Z168" s="464"/>
      <c r="AA168" s="379"/>
      <c r="AB168" s="379"/>
      <c r="AC168" s="50"/>
      <c r="AD168" s="50"/>
      <c r="AE168" s="379"/>
      <c r="AF168" s="379"/>
      <c r="AG168" s="156"/>
      <c r="AH168" s="60"/>
      <c r="AI168" s="379"/>
      <c r="AJ168" s="379"/>
      <c r="AK168" s="156"/>
      <c r="AL168" s="379"/>
      <c r="AM168" s="50"/>
      <c r="AN168" s="50"/>
    </row>
    <row r="169" spans="1:40" x14ac:dyDescent="0.25">
      <c r="F169" s="379"/>
      <c r="H169" s="381"/>
      <c r="I169" s="381"/>
      <c r="J169" s="464"/>
      <c r="K169" s="464"/>
      <c r="L169" s="381"/>
      <c r="M169" s="381"/>
      <c r="N169" s="381"/>
      <c r="O169" s="381"/>
      <c r="P169" s="381"/>
      <c r="Q169" s="381"/>
      <c r="R169" s="381"/>
      <c r="V169" s="379"/>
      <c r="Y169" s="381"/>
      <c r="Z169" s="464"/>
      <c r="AA169" s="381"/>
      <c r="AB169" s="381"/>
      <c r="AC169" s="381"/>
      <c r="AD169" s="381"/>
      <c r="AE169" s="381"/>
      <c r="AF169" s="381"/>
      <c r="AI169" s="381"/>
      <c r="AJ169" s="381"/>
      <c r="AK169" s="162"/>
      <c r="AL169" s="381"/>
      <c r="AM169" s="50"/>
      <c r="AN169" s="50"/>
    </row>
    <row r="170" spans="1:40" x14ac:dyDescent="0.25">
      <c r="F170" s="379"/>
      <c r="H170" s="379"/>
      <c r="I170" s="379"/>
      <c r="J170" s="464"/>
      <c r="K170" s="464"/>
      <c r="L170" s="379"/>
      <c r="M170" s="379"/>
      <c r="N170" s="379"/>
      <c r="O170" s="379"/>
      <c r="P170" s="379"/>
      <c r="Q170" s="379"/>
      <c r="R170" s="379"/>
      <c r="V170" s="379"/>
      <c r="Y170" s="379"/>
      <c r="Z170" s="464"/>
      <c r="AA170" s="379"/>
      <c r="AB170" s="379"/>
      <c r="AC170" s="379"/>
      <c r="AD170" s="379"/>
      <c r="AE170" s="379"/>
      <c r="AF170" s="379"/>
      <c r="AG170" s="156"/>
      <c r="AH170" s="60"/>
      <c r="AI170" s="379"/>
      <c r="AJ170" s="379"/>
      <c r="AK170" s="156"/>
      <c r="AL170" s="379"/>
      <c r="AM170" s="50"/>
      <c r="AN170" s="50"/>
    </row>
    <row r="171" spans="1:40" x14ac:dyDescent="0.25">
      <c r="A171" s="53"/>
      <c r="C171" s="54"/>
      <c r="F171" s="449"/>
      <c r="H171" s="449"/>
      <c r="I171" s="449"/>
      <c r="J171" s="472"/>
      <c r="K171" s="472"/>
      <c r="L171" s="379"/>
      <c r="M171" s="379"/>
      <c r="N171" s="50"/>
      <c r="O171" s="50"/>
      <c r="P171" s="449"/>
      <c r="Q171" s="449"/>
      <c r="R171" s="379"/>
      <c r="T171" s="54"/>
      <c r="V171" s="449"/>
      <c r="Y171" s="449"/>
      <c r="Z171" s="477"/>
      <c r="AA171" s="379"/>
      <c r="AB171" s="379"/>
      <c r="AC171" s="50"/>
      <c r="AD171" s="50"/>
      <c r="AE171" s="379"/>
      <c r="AF171" s="379"/>
      <c r="AG171" s="156"/>
      <c r="AH171" s="60"/>
      <c r="AI171" s="449"/>
      <c r="AJ171" s="449"/>
      <c r="AK171" s="156"/>
      <c r="AL171" s="379"/>
      <c r="AM171" s="50"/>
      <c r="AN171" s="50"/>
    </row>
    <row r="172" spans="1:40" x14ac:dyDescent="0.25">
      <c r="A172" s="53"/>
      <c r="C172" s="54"/>
      <c r="F172" s="449"/>
      <c r="H172" s="449"/>
      <c r="I172" s="449"/>
      <c r="J172" s="472"/>
      <c r="K172" s="472"/>
      <c r="L172" s="379"/>
      <c r="M172" s="379"/>
      <c r="N172" s="50"/>
      <c r="O172" s="50"/>
      <c r="P172" s="449"/>
      <c r="Q172" s="449"/>
      <c r="R172" s="379"/>
      <c r="T172" s="54"/>
      <c r="V172" s="449"/>
      <c r="Y172" s="379"/>
      <c r="Z172" s="463"/>
      <c r="AA172" s="379"/>
      <c r="AB172" s="379"/>
      <c r="AC172" s="50"/>
      <c r="AD172" s="50"/>
      <c r="AE172" s="379"/>
      <c r="AF172" s="379"/>
      <c r="AG172" s="156"/>
      <c r="AH172" s="60"/>
      <c r="AI172" s="449"/>
      <c r="AJ172" s="449"/>
      <c r="AK172" s="156"/>
      <c r="AL172" s="379"/>
      <c r="AM172" s="50"/>
      <c r="AN172" s="50"/>
    </row>
    <row r="173" spans="1:40" x14ac:dyDescent="0.25">
      <c r="A173" s="53"/>
      <c r="C173" s="54"/>
      <c r="F173" s="449"/>
      <c r="H173" s="449"/>
      <c r="I173" s="449"/>
      <c r="J173" s="472"/>
      <c r="K173" s="472"/>
      <c r="L173" s="379"/>
      <c r="M173" s="379"/>
      <c r="N173" s="50"/>
      <c r="O173" s="50"/>
      <c r="P173" s="449"/>
      <c r="Q173" s="449"/>
      <c r="R173" s="379"/>
      <c r="T173" s="54"/>
      <c r="V173" s="449"/>
      <c r="Y173" s="379"/>
      <c r="Z173" s="463"/>
      <c r="AA173" s="379"/>
      <c r="AB173" s="379"/>
      <c r="AC173" s="50"/>
      <c r="AD173" s="50"/>
      <c r="AE173" s="379"/>
      <c r="AF173" s="379"/>
      <c r="AG173" s="156"/>
      <c r="AH173" s="60"/>
      <c r="AI173" s="449"/>
      <c r="AJ173" s="449"/>
      <c r="AK173" s="156"/>
      <c r="AL173" s="379"/>
      <c r="AM173" s="50"/>
      <c r="AN173" s="50"/>
    </row>
    <row r="174" spans="1:40" x14ac:dyDescent="0.25">
      <c r="F174" s="381"/>
      <c r="H174" s="381"/>
      <c r="I174" s="381"/>
      <c r="J174" s="464"/>
      <c r="K174" s="464"/>
      <c r="L174" s="381"/>
      <c r="M174" s="381"/>
      <c r="N174" s="381"/>
      <c r="O174" s="381"/>
      <c r="P174" s="381"/>
      <c r="Q174" s="381"/>
      <c r="R174" s="381"/>
      <c r="V174" s="381"/>
      <c r="Y174" s="381"/>
      <c r="Z174" s="464"/>
      <c r="AA174" s="381"/>
      <c r="AB174" s="381"/>
      <c r="AC174" s="381"/>
      <c r="AD174" s="381"/>
      <c r="AE174" s="381"/>
      <c r="AF174" s="381"/>
      <c r="AI174" s="381"/>
      <c r="AJ174" s="381"/>
      <c r="AK174" s="162"/>
      <c r="AL174" s="381"/>
      <c r="AM174" s="50"/>
      <c r="AN174" s="50"/>
    </row>
    <row r="175" spans="1:40" x14ac:dyDescent="0.25">
      <c r="A175" s="53"/>
      <c r="C175" s="54"/>
      <c r="F175" s="379"/>
      <c r="H175" s="379"/>
      <c r="I175" s="379"/>
      <c r="J175" s="59"/>
      <c r="K175" s="59"/>
      <c r="L175" s="379"/>
      <c r="M175" s="379"/>
      <c r="N175" s="50"/>
      <c r="O175" s="50"/>
      <c r="P175" s="379"/>
      <c r="Q175" s="379"/>
      <c r="R175" s="379"/>
      <c r="T175" s="54"/>
      <c r="V175" s="379"/>
      <c r="Y175" s="379"/>
      <c r="Z175" s="59"/>
      <c r="AA175" s="379"/>
      <c r="AB175" s="379"/>
      <c r="AC175" s="50"/>
      <c r="AD175" s="50"/>
      <c r="AE175" s="379"/>
      <c r="AF175" s="379"/>
      <c r="AG175" s="156"/>
      <c r="AH175" s="60"/>
      <c r="AI175" s="379"/>
      <c r="AJ175" s="379"/>
      <c r="AK175" s="156"/>
      <c r="AL175" s="379"/>
      <c r="AM175" s="50"/>
      <c r="AN175" s="50"/>
    </row>
    <row r="176" spans="1:40" x14ac:dyDescent="0.25">
      <c r="F176" s="381"/>
      <c r="H176" s="381"/>
      <c r="I176" s="381"/>
      <c r="J176" s="464"/>
      <c r="K176" s="464"/>
      <c r="L176" s="381"/>
      <c r="M176" s="381"/>
      <c r="N176" s="381"/>
      <c r="O176" s="381"/>
      <c r="P176" s="381"/>
      <c r="Q176" s="381"/>
      <c r="R176" s="381"/>
      <c r="V176" s="381"/>
      <c r="Y176" s="381"/>
      <c r="Z176" s="464"/>
      <c r="AA176" s="381"/>
      <c r="AB176" s="381"/>
      <c r="AC176" s="381"/>
      <c r="AD176" s="381"/>
      <c r="AE176" s="381"/>
      <c r="AF176" s="381"/>
      <c r="AI176" s="381"/>
      <c r="AJ176" s="381"/>
      <c r="AK176" s="162"/>
      <c r="AL176" s="381"/>
      <c r="AM176" s="50"/>
      <c r="AN176" s="50"/>
    </row>
    <row r="177" spans="1:40" x14ac:dyDescent="0.25">
      <c r="A177" s="53"/>
      <c r="C177" s="54"/>
      <c r="F177" s="379"/>
      <c r="H177" s="379"/>
      <c r="I177" s="379"/>
      <c r="J177" s="59"/>
      <c r="K177" s="59"/>
      <c r="L177" s="379"/>
      <c r="M177" s="379"/>
      <c r="N177" s="50"/>
      <c r="O177" s="50"/>
      <c r="P177" s="379"/>
      <c r="Q177" s="379"/>
      <c r="R177" s="379"/>
      <c r="T177" s="54"/>
      <c r="V177" s="379"/>
      <c r="Y177" s="379"/>
      <c r="Z177" s="59"/>
      <c r="AA177" s="379"/>
      <c r="AB177" s="379"/>
      <c r="AC177" s="50"/>
      <c r="AD177" s="50"/>
      <c r="AE177" s="379"/>
      <c r="AF177" s="379"/>
      <c r="AG177" s="156"/>
      <c r="AH177" s="60"/>
      <c r="AI177" s="379"/>
      <c r="AJ177" s="379"/>
      <c r="AK177" s="156"/>
      <c r="AL177" s="379"/>
      <c r="AM177" s="50"/>
      <c r="AN177" s="50"/>
    </row>
    <row r="178" spans="1:40" x14ac:dyDescent="0.25">
      <c r="A178" s="53"/>
      <c r="C178" s="54"/>
      <c r="F178" s="379"/>
      <c r="H178" s="379"/>
      <c r="I178" s="379"/>
      <c r="J178" s="59"/>
      <c r="K178" s="59"/>
      <c r="L178" s="379"/>
      <c r="M178" s="379"/>
      <c r="N178" s="50"/>
      <c r="O178" s="50"/>
      <c r="P178" s="379"/>
      <c r="Q178" s="379"/>
      <c r="R178" s="379"/>
      <c r="T178" s="54"/>
      <c r="V178" s="379"/>
      <c r="Y178" s="379"/>
      <c r="Z178" s="59"/>
      <c r="AA178" s="379"/>
      <c r="AB178" s="379"/>
      <c r="AC178" s="50"/>
      <c r="AD178" s="50"/>
      <c r="AE178" s="379"/>
      <c r="AF178" s="379"/>
      <c r="AG178" s="156"/>
      <c r="AH178" s="60"/>
      <c r="AI178" s="379"/>
      <c r="AJ178" s="379"/>
      <c r="AK178" s="156"/>
      <c r="AL178" s="379"/>
      <c r="AM178" s="50"/>
      <c r="AN178" s="50"/>
    </row>
    <row r="179" spans="1:40" x14ac:dyDescent="0.25">
      <c r="F179" s="381"/>
      <c r="H179" s="381"/>
      <c r="I179" s="381"/>
      <c r="J179" s="464"/>
      <c r="K179" s="464"/>
      <c r="L179" s="381"/>
      <c r="M179" s="381"/>
      <c r="N179" s="381"/>
      <c r="O179" s="381"/>
      <c r="P179" s="381"/>
      <c r="Q179" s="381"/>
      <c r="R179" s="381"/>
      <c r="V179" s="381"/>
      <c r="Y179" s="381"/>
      <c r="Z179" s="464"/>
      <c r="AA179" s="381"/>
      <c r="AB179" s="381"/>
      <c r="AC179" s="381"/>
      <c r="AD179" s="381"/>
      <c r="AE179" s="381"/>
      <c r="AF179" s="381"/>
      <c r="AI179" s="381"/>
      <c r="AJ179" s="381"/>
      <c r="AK179" s="162"/>
      <c r="AL179" s="381"/>
      <c r="AM179" s="379"/>
      <c r="AN179" s="379"/>
    </row>
    <row r="180" spans="1:40" x14ac:dyDescent="0.25">
      <c r="F180" s="379"/>
      <c r="H180" s="379"/>
      <c r="I180" s="379"/>
      <c r="J180" s="59"/>
      <c r="K180" s="59"/>
      <c r="L180" s="379"/>
      <c r="M180" s="379"/>
      <c r="N180" s="379"/>
      <c r="O180" s="379"/>
      <c r="P180" s="379"/>
      <c r="Q180" s="379"/>
      <c r="R180" s="379"/>
      <c r="V180" s="379"/>
      <c r="Y180" s="379"/>
      <c r="Z180" s="59"/>
      <c r="AA180" s="379"/>
      <c r="AB180" s="379"/>
      <c r="AC180" s="379"/>
      <c r="AD180" s="379"/>
    </row>
    <row r="181" spans="1:40" x14ac:dyDescent="0.25">
      <c r="C181" s="54"/>
      <c r="F181" s="379"/>
      <c r="H181" s="379"/>
      <c r="I181" s="379"/>
      <c r="J181" s="59"/>
      <c r="K181" s="59"/>
      <c r="L181" s="379"/>
      <c r="M181" s="379"/>
      <c r="N181" s="379"/>
      <c r="O181" s="379"/>
      <c r="P181" s="379"/>
      <c r="Q181" s="379"/>
      <c r="R181" s="379"/>
      <c r="T181" s="54"/>
      <c r="V181" s="379"/>
      <c r="Y181" s="379"/>
      <c r="Z181" s="59"/>
      <c r="AA181" s="379"/>
      <c r="AB181" s="379"/>
      <c r="AC181" s="379"/>
      <c r="AD181" s="379"/>
    </row>
    <row r="182" spans="1:40" x14ac:dyDescent="0.25">
      <c r="A182" s="54"/>
    </row>
    <row r="183" spans="1:40" x14ac:dyDescent="0.25">
      <c r="J183" s="53"/>
      <c r="K183" s="53"/>
      <c r="Z183" s="53"/>
    </row>
    <row r="184" spans="1:40" x14ac:dyDescent="0.25">
      <c r="H184" s="54"/>
      <c r="I184" s="54"/>
      <c r="Y184" s="54"/>
    </row>
    <row r="185" spans="1:40" x14ac:dyDescent="0.25">
      <c r="J185" s="53"/>
      <c r="K185" s="53"/>
      <c r="Z185" s="53"/>
    </row>
    <row r="186" spans="1:40" x14ac:dyDescent="0.25">
      <c r="L186" s="54"/>
      <c r="M186" s="54"/>
      <c r="AA186" s="54"/>
      <c r="AB186" s="54"/>
    </row>
    <row r="187" spans="1:40" x14ac:dyDescent="0.25">
      <c r="A187" s="53"/>
      <c r="R187" s="54"/>
      <c r="AK187" s="161"/>
      <c r="AL187" s="54"/>
    </row>
    <row r="188" spans="1:40" x14ac:dyDescent="0.25">
      <c r="A188" s="53"/>
      <c r="R188" s="54"/>
      <c r="AK188" s="161"/>
      <c r="AL188" s="54"/>
    </row>
    <row r="189" spans="1:40" x14ac:dyDescent="0.25">
      <c r="A189" s="54"/>
      <c r="R189" s="54"/>
      <c r="AK189" s="161"/>
      <c r="AL189" s="54"/>
    </row>
    <row r="190" spans="1:40" x14ac:dyDescent="0.25">
      <c r="L190" s="54"/>
      <c r="M190" s="54"/>
      <c r="R190" s="53"/>
      <c r="AA190" s="54"/>
      <c r="AB190" s="54"/>
      <c r="AK190" s="156"/>
      <c r="AL190" s="53"/>
    </row>
    <row r="191" spans="1:40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154"/>
      <c r="AH191" s="55"/>
      <c r="AI191" s="55"/>
      <c r="AJ191" s="55"/>
      <c r="AK191" s="154"/>
      <c r="AL191" s="55"/>
      <c r="AM191" s="55"/>
      <c r="AN191" s="55"/>
    </row>
    <row r="192" spans="1:40" x14ac:dyDescent="0.25">
      <c r="L192" s="56"/>
      <c r="M192" s="56"/>
      <c r="N192" s="56"/>
      <c r="O192" s="56"/>
      <c r="R192" s="56"/>
      <c r="AA192" s="56"/>
      <c r="AB192" s="56"/>
      <c r="AC192" s="56"/>
      <c r="AD192" s="56"/>
      <c r="AE192" s="56"/>
      <c r="AF192" s="56"/>
      <c r="AG192" s="155"/>
      <c r="AH192" s="56"/>
      <c r="AK192" s="155"/>
      <c r="AL192" s="56"/>
      <c r="AM192" s="56"/>
      <c r="AN192" s="56"/>
    </row>
    <row r="193" spans="1:40" x14ac:dyDescent="0.25">
      <c r="L193" s="56"/>
      <c r="M193" s="56"/>
      <c r="N193" s="56"/>
      <c r="O193" s="56"/>
      <c r="R193" s="56"/>
      <c r="Z193" s="56"/>
      <c r="AA193" s="56"/>
      <c r="AB193" s="56"/>
      <c r="AC193" s="56"/>
      <c r="AD193" s="56"/>
      <c r="AE193" s="56"/>
      <c r="AF193" s="56"/>
      <c r="AG193" s="155"/>
      <c r="AH193" s="56"/>
      <c r="AK193" s="155"/>
      <c r="AL193" s="56"/>
      <c r="AM193" s="56"/>
      <c r="AN193" s="56"/>
    </row>
    <row r="194" spans="1:40" x14ac:dyDescent="0.25">
      <c r="A194" s="56"/>
      <c r="C194" s="56"/>
      <c r="D194" s="56"/>
      <c r="E194" s="56"/>
      <c r="F194" s="56"/>
      <c r="J194" s="56"/>
      <c r="K194" s="56"/>
      <c r="L194" s="56"/>
      <c r="M194" s="56"/>
      <c r="N194" s="56"/>
      <c r="O194" s="56"/>
      <c r="P194" s="56"/>
      <c r="Q194" s="56"/>
      <c r="R194" s="56"/>
      <c r="T194" s="56"/>
      <c r="U194" s="56"/>
      <c r="V194" s="56"/>
      <c r="Z194" s="56"/>
      <c r="AA194" s="56"/>
      <c r="AB194" s="56"/>
      <c r="AC194" s="56"/>
      <c r="AD194" s="56"/>
      <c r="AE194" s="56"/>
      <c r="AF194" s="56"/>
      <c r="AG194" s="155"/>
      <c r="AH194" s="56"/>
      <c r="AI194" s="56"/>
      <c r="AJ194" s="56"/>
      <c r="AK194" s="155"/>
      <c r="AL194" s="56"/>
      <c r="AM194" s="56"/>
      <c r="AN194" s="56"/>
    </row>
    <row r="195" spans="1:40" x14ac:dyDescent="0.25">
      <c r="A195" s="56"/>
      <c r="C195" s="56"/>
      <c r="D195" s="56"/>
      <c r="E195" s="56"/>
      <c r="F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T195" s="56"/>
      <c r="U195" s="56"/>
      <c r="V195" s="56"/>
      <c r="Y195" s="56"/>
      <c r="Z195" s="56"/>
      <c r="AA195" s="56"/>
      <c r="AB195" s="56"/>
      <c r="AC195" s="56"/>
      <c r="AD195" s="56"/>
      <c r="AE195" s="56"/>
      <c r="AF195" s="56"/>
      <c r="AG195" s="155"/>
      <c r="AH195" s="56"/>
      <c r="AI195" s="56"/>
      <c r="AJ195" s="56"/>
      <c r="AK195" s="155"/>
      <c r="AL195" s="56"/>
      <c r="AM195" s="56"/>
      <c r="AN195" s="56"/>
    </row>
    <row r="196" spans="1:40" x14ac:dyDescent="0.25">
      <c r="C196" s="56"/>
      <c r="D196" s="56"/>
      <c r="E196" s="56"/>
      <c r="F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T196" s="56"/>
      <c r="U196" s="56"/>
      <c r="V196" s="56"/>
      <c r="Y196" s="56"/>
      <c r="Z196" s="56"/>
      <c r="AA196" s="56"/>
      <c r="AB196" s="56"/>
      <c r="AC196" s="56"/>
      <c r="AD196" s="56"/>
      <c r="AE196" s="56"/>
      <c r="AF196" s="56"/>
      <c r="AG196" s="155"/>
      <c r="AH196" s="56"/>
      <c r="AI196" s="56"/>
      <c r="AJ196" s="56"/>
      <c r="AK196" s="155"/>
      <c r="AL196" s="56"/>
      <c r="AM196" s="56"/>
      <c r="AN196" s="56"/>
    </row>
    <row r="197" spans="1:40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154"/>
      <c r="AH197" s="55"/>
      <c r="AI197" s="55"/>
      <c r="AJ197" s="55"/>
      <c r="AK197" s="154"/>
      <c r="AL197" s="55"/>
      <c r="AM197" s="55"/>
      <c r="AN197" s="55"/>
    </row>
    <row r="198" spans="1:40" x14ac:dyDescent="0.25"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Y198" s="56"/>
      <c r="Z198" s="56"/>
      <c r="AA198" s="56"/>
      <c r="AB198" s="56"/>
      <c r="AC198" s="56"/>
      <c r="AD198" s="56"/>
      <c r="AE198" s="56"/>
      <c r="AF198" s="56"/>
      <c r="AG198" s="155"/>
      <c r="AH198" s="56"/>
      <c r="AI198" s="56"/>
      <c r="AJ198" s="56"/>
      <c r="AK198" s="155"/>
      <c r="AL198" s="56"/>
      <c r="AM198" s="56"/>
      <c r="AN198" s="56"/>
    </row>
    <row r="199" spans="1:40" x14ac:dyDescent="0.25">
      <c r="A199" s="53"/>
      <c r="C199" s="54"/>
      <c r="D199" s="54"/>
      <c r="E199" s="54"/>
      <c r="T199" s="54"/>
      <c r="U199" s="54"/>
    </row>
    <row r="201" spans="1:40" x14ac:dyDescent="0.25">
      <c r="A201" s="53"/>
      <c r="C201" s="54"/>
      <c r="F201" s="449"/>
      <c r="H201" s="470"/>
      <c r="I201" s="470"/>
      <c r="J201" s="461"/>
      <c r="K201" s="461"/>
      <c r="L201" s="379"/>
      <c r="M201" s="379"/>
      <c r="N201" s="53"/>
      <c r="O201" s="53"/>
      <c r="P201" s="53"/>
      <c r="Q201" s="53"/>
      <c r="R201" s="379"/>
      <c r="T201" s="54"/>
      <c r="V201" s="379"/>
      <c r="Y201" s="53"/>
      <c r="Z201" s="461"/>
      <c r="AA201" s="379"/>
      <c r="AB201" s="379"/>
      <c r="AC201" s="53"/>
      <c r="AD201" s="53"/>
      <c r="AE201" s="379"/>
      <c r="AF201" s="379"/>
      <c r="AG201" s="474"/>
      <c r="AH201" s="475"/>
      <c r="AI201" s="379"/>
      <c r="AJ201" s="379"/>
      <c r="AK201" s="156"/>
      <c r="AL201" s="379"/>
      <c r="AM201" s="476"/>
      <c r="AN201" s="476"/>
    </row>
    <row r="202" spans="1:40" x14ac:dyDescent="0.25">
      <c r="F202" s="449"/>
      <c r="H202" s="470"/>
      <c r="I202" s="470"/>
      <c r="J202" s="470"/>
      <c r="K202" s="470"/>
      <c r="R202" s="379"/>
      <c r="V202" s="379"/>
      <c r="Z202" s="470"/>
    </row>
    <row r="203" spans="1:40" x14ac:dyDescent="0.25">
      <c r="A203" s="53"/>
      <c r="C203" s="54"/>
      <c r="F203" s="449"/>
      <c r="H203" s="449"/>
      <c r="I203" s="449"/>
      <c r="J203" s="472"/>
      <c r="K203" s="472"/>
      <c r="L203" s="379"/>
      <c r="M203" s="379"/>
      <c r="N203" s="50"/>
      <c r="O203" s="50"/>
      <c r="P203" s="449"/>
      <c r="Q203" s="449"/>
      <c r="R203" s="379"/>
      <c r="T203" s="54"/>
      <c r="V203" s="379"/>
      <c r="Y203" s="379"/>
      <c r="Z203" s="463"/>
      <c r="AA203" s="379"/>
      <c r="AB203" s="379"/>
      <c r="AC203" s="50"/>
      <c r="AD203" s="50"/>
      <c r="AE203" s="379"/>
      <c r="AF203" s="379"/>
      <c r="AG203" s="156"/>
      <c r="AH203" s="60"/>
      <c r="AI203" s="449"/>
      <c r="AJ203" s="449"/>
      <c r="AK203" s="156"/>
      <c r="AL203" s="379"/>
      <c r="AM203" s="50"/>
      <c r="AN203" s="50"/>
    </row>
    <row r="204" spans="1:40" x14ac:dyDescent="0.25">
      <c r="F204" s="381"/>
      <c r="H204" s="381"/>
      <c r="I204" s="381"/>
      <c r="J204" s="464"/>
      <c r="K204" s="464"/>
      <c r="L204" s="381"/>
      <c r="M204" s="381"/>
      <c r="N204" s="381"/>
      <c r="O204" s="381"/>
      <c r="P204" s="381"/>
      <c r="Q204" s="381"/>
      <c r="R204" s="381"/>
      <c r="V204" s="381"/>
      <c r="Y204" s="381"/>
      <c r="Z204" s="464"/>
      <c r="AA204" s="381"/>
      <c r="AB204" s="381"/>
      <c r="AC204" s="381"/>
      <c r="AD204" s="381"/>
      <c r="AE204" s="381"/>
      <c r="AF204" s="381"/>
      <c r="AI204" s="381"/>
      <c r="AJ204" s="381"/>
      <c r="AK204" s="162"/>
      <c r="AL204" s="381"/>
    </row>
    <row r="205" spans="1:40" x14ac:dyDescent="0.25">
      <c r="A205" s="53"/>
      <c r="D205" s="54"/>
      <c r="E205" s="54"/>
      <c r="F205" s="379"/>
      <c r="H205" s="379"/>
      <c r="I205" s="379"/>
      <c r="J205" s="59"/>
      <c r="K205" s="59"/>
      <c r="L205" s="379"/>
      <c r="M205" s="379"/>
      <c r="N205" s="50"/>
      <c r="O205" s="50"/>
      <c r="P205" s="379"/>
      <c r="Q205" s="379"/>
      <c r="R205" s="379"/>
      <c r="U205" s="54"/>
      <c r="V205" s="379"/>
      <c r="Y205" s="379"/>
      <c r="Z205" s="59"/>
      <c r="AA205" s="379"/>
      <c r="AB205" s="379"/>
      <c r="AC205" s="50"/>
      <c r="AD205" s="50"/>
      <c r="AE205" s="379"/>
      <c r="AF205" s="379"/>
      <c r="AG205" s="156"/>
      <c r="AH205" s="60"/>
      <c r="AI205" s="379"/>
      <c r="AJ205" s="379"/>
      <c r="AK205" s="156"/>
      <c r="AL205" s="379"/>
      <c r="AM205" s="50"/>
      <c r="AN205" s="50"/>
    </row>
    <row r="206" spans="1:40" x14ac:dyDescent="0.25">
      <c r="F206" s="381"/>
      <c r="H206" s="381"/>
      <c r="I206" s="381"/>
      <c r="J206" s="464"/>
      <c r="K206" s="464"/>
      <c r="L206" s="381"/>
      <c r="M206" s="381"/>
      <c r="N206" s="381"/>
      <c r="O206" s="381"/>
      <c r="P206" s="381"/>
      <c r="Q206" s="381"/>
      <c r="R206" s="381"/>
      <c r="V206" s="381"/>
      <c r="Y206" s="381"/>
      <c r="Z206" s="464"/>
      <c r="AA206" s="381"/>
      <c r="AB206" s="381"/>
      <c r="AC206" s="381"/>
      <c r="AD206" s="381"/>
      <c r="AE206" s="381"/>
      <c r="AF206" s="381"/>
      <c r="AI206" s="381"/>
      <c r="AJ206" s="381"/>
      <c r="AK206" s="162"/>
      <c r="AL206" s="381"/>
    </row>
    <row r="207" spans="1:40" x14ac:dyDescent="0.25">
      <c r="R207" s="379"/>
    </row>
    <row r="208" spans="1:40" x14ac:dyDescent="0.25">
      <c r="R208" s="379"/>
    </row>
    <row r="209" spans="1:40" x14ac:dyDescent="0.25">
      <c r="R209" s="379"/>
    </row>
    <row r="210" spans="1:40" x14ac:dyDescent="0.25">
      <c r="A210" s="53"/>
      <c r="C210" s="54"/>
      <c r="D210" s="54"/>
      <c r="E210" s="54"/>
      <c r="H210" s="379"/>
      <c r="I210" s="379"/>
      <c r="J210" s="59"/>
      <c r="K210" s="59"/>
      <c r="L210" s="379"/>
      <c r="M210" s="379"/>
      <c r="N210" s="50"/>
      <c r="O210" s="50"/>
      <c r="P210" s="379"/>
      <c r="Q210" s="379"/>
      <c r="R210" s="379"/>
      <c r="T210" s="54"/>
      <c r="U210" s="54"/>
      <c r="Y210" s="379"/>
      <c r="Z210" s="59"/>
      <c r="AA210" s="379"/>
      <c r="AB210" s="379"/>
      <c r="AC210" s="50"/>
      <c r="AD210" s="50"/>
    </row>
    <row r="211" spans="1:40" x14ac:dyDescent="0.25">
      <c r="H211" s="379"/>
      <c r="I211" s="379"/>
      <c r="J211" s="59"/>
      <c r="K211" s="59"/>
      <c r="L211" s="379"/>
      <c r="M211" s="379"/>
      <c r="N211" s="50"/>
      <c r="O211" s="50"/>
      <c r="P211" s="379"/>
      <c r="Q211" s="379"/>
      <c r="R211" s="379"/>
      <c r="Y211" s="379"/>
      <c r="Z211" s="59"/>
      <c r="AA211" s="379"/>
      <c r="AB211" s="379"/>
      <c r="AC211" s="50"/>
      <c r="AD211" s="50"/>
    </row>
    <row r="212" spans="1:40" x14ac:dyDescent="0.25">
      <c r="A212" s="53"/>
      <c r="C212" s="54"/>
      <c r="F212" s="449"/>
      <c r="H212" s="449"/>
      <c r="I212" s="449"/>
      <c r="J212" s="61"/>
      <c r="K212" s="61"/>
      <c r="L212" s="449"/>
      <c r="M212" s="449"/>
      <c r="N212" s="50"/>
      <c r="O212" s="50"/>
      <c r="P212" s="379"/>
      <c r="Q212" s="379"/>
      <c r="R212" s="379"/>
      <c r="T212" s="54"/>
      <c r="V212" s="379"/>
      <c r="Y212" s="379"/>
      <c r="Z212" s="61"/>
      <c r="AA212" s="379"/>
      <c r="AB212" s="379"/>
      <c r="AC212" s="50"/>
      <c r="AD212" s="50"/>
      <c r="AE212" s="379"/>
      <c r="AF212" s="379"/>
      <c r="AG212" s="156"/>
      <c r="AH212" s="60"/>
      <c r="AI212" s="379"/>
      <c r="AJ212" s="379"/>
      <c r="AK212" s="156"/>
      <c r="AL212" s="379"/>
      <c r="AM212" s="50"/>
      <c r="AN212" s="50"/>
    </row>
    <row r="213" spans="1:40" x14ac:dyDescent="0.25">
      <c r="F213" s="449"/>
      <c r="H213" s="470"/>
      <c r="I213" s="470"/>
      <c r="J213" s="470"/>
      <c r="K213" s="470"/>
      <c r="R213" s="379"/>
      <c r="V213" s="379"/>
      <c r="Z213" s="470"/>
    </row>
    <row r="214" spans="1:40" x14ac:dyDescent="0.25">
      <c r="A214" s="53"/>
      <c r="C214" s="54"/>
      <c r="F214" s="449"/>
      <c r="H214" s="449"/>
      <c r="I214" s="449"/>
      <c r="J214" s="461"/>
      <c r="K214" s="461"/>
      <c r="L214" s="379"/>
      <c r="M214" s="379"/>
      <c r="N214" s="50"/>
      <c r="O214" s="50"/>
      <c r="P214" s="379"/>
      <c r="Q214" s="379"/>
      <c r="R214" s="379"/>
      <c r="T214" s="54"/>
      <c r="V214" s="379"/>
      <c r="Y214" s="379"/>
      <c r="Z214" s="461"/>
      <c r="AA214" s="379"/>
      <c r="AB214" s="379"/>
      <c r="AC214" s="50"/>
      <c r="AD214" s="50"/>
      <c r="AE214" s="379"/>
      <c r="AF214" s="379"/>
      <c r="AG214" s="156"/>
      <c r="AH214" s="60"/>
      <c r="AI214" s="379"/>
      <c r="AJ214" s="379"/>
      <c r="AK214" s="156"/>
      <c r="AL214" s="379"/>
      <c r="AM214" s="50"/>
      <c r="AN214" s="50"/>
    </row>
    <row r="215" spans="1:40" x14ac:dyDescent="0.25">
      <c r="F215" s="449"/>
      <c r="H215" s="470"/>
      <c r="I215" s="470"/>
      <c r="J215" s="470"/>
      <c r="K215" s="470"/>
      <c r="R215" s="379"/>
      <c r="V215" s="379"/>
      <c r="Z215" s="470"/>
    </row>
    <row r="216" spans="1:40" x14ac:dyDescent="0.25">
      <c r="A216" s="53"/>
      <c r="C216" s="54"/>
      <c r="F216" s="449"/>
      <c r="H216" s="449"/>
      <c r="I216" s="449"/>
      <c r="J216" s="472"/>
      <c r="K216" s="472"/>
      <c r="L216" s="379"/>
      <c r="M216" s="379"/>
      <c r="N216" s="50"/>
      <c r="O216" s="50"/>
      <c r="P216" s="379"/>
      <c r="Q216" s="379"/>
      <c r="R216" s="379"/>
      <c r="T216" s="54"/>
      <c r="V216" s="379"/>
      <c r="Y216" s="379"/>
      <c r="Z216" s="463"/>
      <c r="AA216" s="379"/>
      <c r="AB216" s="379"/>
      <c r="AC216" s="50"/>
      <c r="AD216" s="50"/>
      <c r="AE216" s="379"/>
      <c r="AF216" s="379"/>
      <c r="AG216" s="156"/>
      <c r="AH216" s="60"/>
      <c r="AI216" s="379"/>
      <c r="AJ216" s="379"/>
      <c r="AK216" s="156"/>
      <c r="AL216" s="379"/>
      <c r="AM216" s="50"/>
      <c r="AN216" s="50"/>
    </row>
    <row r="217" spans="1:40" x14ac:dyDescent="0.25">
      <c r="F217" s="381"/>
      <c r="H217" s="381"/>
      <c r="I217" s="381"/>
      <c r="J217" s="464"/>
      <c r="K217" s="464"/>
      <c r="L217" s="381"/>
      <c r="M217" s="381"/>
      <c r="N217" s="381"/>
      <c r="O217" s="381"/>
      <c r="P217" s="381"/>
      <c r="Q217" s="381"/>
      <c r="R217" s="381"/>
      <c r="S217" s="379"/>
      <c r="V217" s="381"/>
      <c r="Y217" s="381"/>
      <c r="Z217" s="464"/>
      <c r="AA217" s="381"/>
      <c r="AB217" s="381"/>
      <c r="AC217" s="381"/>
      <c r="AD217" s="381"/>
      <c r="AE217" s="381"/>
      <c r="AF217" s="381"/>
      <c r="AI217" s="381"/>
      <c r="AJ217" s="381"/>
      <c r="AK217" s="162"/>
      <c r="AL217" s="381"/>
    </row>
    <row r="218" spans="1:40" x14ac:dyDescent="0.25">
      <c r="A218" s="53"/>
      <c r="D218" s="54"/>
      <c r="E218" s="54"/>
      <c r="F218" s="379"/>
      <c r="H218" s="379"/>
      <c r="I218" s="379"/>
      <c r="J218" s="59"/>
      <c r="K218" s="59"/>
      <c r="L218" s="379"/>
      <c r="M218" s="379"/>
      <c r="N218" s="50"/>
      <c r="O218" s="50"/>
      <c r="P218" s="449"/>
      <c r="Q218" s="449"/>
      <c r="R218" s="379"/>
      <c r="S218" s="379"/>
      <c r="U218" s="54"/>
      <c r="V218" s="379"/>
      <c r="Y218" s="379"/>
      <c r="Z218" s="59"/>
      <c r="AA218" s="379"/>
      <c r="AB218" s="379"/>
      <c r="AC218" s="50"/>
      <c r="AD218" s="50"/>
      <c r="AE218" s="379"/>
      <c r="AF218" s="379"/>
      <c r="AG218" s="156"/>
      <c r="AH218" s="60"/>
      <c r="AI218" s="449"/>
      <c r="AJ218" s="449"/>
      <c r="AK218" s="156"/>
      <c r="AL218" s="379"/>
      <c r="AM218" s="50"/>
      <c r="AN218" s="50"/>
    </row>
    <row r="219" spans="1:40" x14ac:dyDescent="0.25">
      <c r="F219" s="381"/>
      <c r="H219" s="381"/>
      <c r="I219" s="381"/>
      <c r="J219" s="464"/>
      <c r="K219" s="464"/>
      <c r="L219" s="381"/>
      <c r="M219" s="381"/>
      <c r="N219" s="381"/>
      <c r="O219" s="381"/>
      <c r="P219" s="381"/>
      <c r="Q219" s="381"/>
      <c r="R219" s="381"/>
      <c r="S219" s="379"/>
      <c r="V219" s="381"/>
      <c r="Y219" s="381"/>
      <c r="Z219" s="464"/>
      <c r="AA219" s="381"/>
      <c r="AB219" s="381"/>
      <c r="AC219" s="381"/>
      <c r="AD219" s="381"/>
      <c r="AE219" s="381"/>
      <c r="AF219" s="381"/>
      <c r="AI219" s="381"/>
      <c r="AJ219" s="381"/>
      <c r="AK219" s="162"/>
      <c r="AL219" s="381"/>
    </row>
    <row r="220" spans="1:40" x14ac:dyDescent="0.25">
      <c r="R220" s="379"/>
    </row>
    <row r="221" spans="1:40" x14ac:dyDescent="0.25">
      <c r="F221" s="379"/>
      <c r="H221" s="379"/>
      <c r="I221" s="379"/>
      <c r="J221" s="59"/>
      <c r="K221" s="59"/>
      <c r="L221" s="379"/>
      <c r="M221" s="379"/>
      <c r="N221" s="379"/>
      <c r="O221" s="379"/>
      <c r="P221" s="379"/>
      <c r="Q221" s="379"/>
      <c r="R221" s="379"/>
      <c r="V221" s="379"/>
      <c r="Y221" s="379"/>
      <c r="Z221" s="59"/>
      <c r="AA221" s="379"/>
      <c r="AB221" s="379"/>
      <c r="AC221" s="379"/>
      <c r="AD221" s="379"/>
    </row>
    <row r="222" spans="1:40" x14ac:dyDescent="0.25">
      <c r="C222" s="54"/>
      <c r="F222" s="379"/>
      <c r="H222" s="379"/>
      <c r="I222" s="379"/>
      <c r="J222" s="59"/>
      <c r="K222" s="59"/>
      <c r="L222" s="379"/>
      <c r="M222" s="379"/>
      <c r="N222" s="379"/>
      <c r="O222" s="379"/>
      <c r="P222" s="379"/>
      <c r="Q222" s="379"/>
      <c r="R222" s="379"/>
      <c r="T222" s="54"/>
      <c r="V222" s="379"/>
      <c r="Y222" s="379"/>
      <c r="Z222" s="59"/>
      <c r="AA222" s="379"/>
      <c r="AB222" s="379"/>
      <c r="AC222" s="379"/>
      <c r="AD222" s="379"/>
    </row>
    <row r="223" spans="1:40" x14ac:dyDescent="0.25">
      <c r="C223" s="54"/>
      <c r="T223" s="54"/>
    </row>
    <row r="224" spans="1:40" x14ac:dyDescent="0.25">
      <c r="A224" s="54"/>
    </row>
    <row r="226" spans="1:40" x14ac:dyDescent="0.25">
      <c r="J226" s="53"/>
      <c r="K226" s="53"/>
      <c r="Z226" s="53"/>
    </row>
    <row r="227" spans="1:40" x14ac:dyDescent="0.25">
      <c r="H227" s="54"/>
      <c r="I227" s="54"/>
      <c r="Y227" s="54"/>
    </row>
    <row r="228" spans="1:40" x14ac:dyDescent="0.25">
      <c r="J228" s="53"/>
      <c r="K228" s="53"/>
      <c r="Z228" s="53"/>
    </row>
    <row r="229" spans="1:40" x14ac:dyDescent="0.25">
      <c r="L229" s="54"/>
      <c r="M229" s="54"/>
      <c r="AA229" s="54"/>
      <c r="AB229" s="54"/>
    </row>
    <row r="230" spans="1:40" x14ac:dyDescent="0.25">
      <c r="A230" s="53"/>
      <c r="R230" s="54"/>
      <c r="AK230" s="161"/>
      <c r="AL230" s="54"/>
    </row>
    <row r="231" spans="1:40" x14ac:dyDescent="0.25">
      <c r="A231" s="53"/>
      <c r="R231" s="54"/>
      <c r="AK231" s="161"/>
      <c r="AL231" s="54"/>
    </row>
    <row r="232" spans="1:40" x14ac:dyDescent="0.25">
      <c r="A232" s="54"/>
      <c r="R232" s="54"/>
      <c r="AK232" s="161"/>
      <c r="AL232" s="54"/>
    </row>
    <row r="233" spans="1:40" x14ac:dyDescent="0.25">
      <c r="L233" s="54"/>
      <c r="M233" s="54"/>
      <c r="R233" s="53"/>
      <c r="AA233" s="54"/>
      <c r="AB233" s="54"/>
      <c r="AK233" s="156"/>
      <c r="AL233" s="53"/>
    </row>
    <row r="234" spans="1:40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154"/>
      <c r="AH234" s="55"/>
      <c r="AI234" s="55"/>
      <c r="AJ234" s="55"/>
      <c r="AK234" s="154"/>
      <c r="AL234" s="55"/>
      <c r="AM234" s="55"/>
      <c r="AN234" s="55"/>
    </row>
    <row r="235" spans="1:40" x14ac:dyDescent="0.25">
      <c r="L235" s="56"/>
      <c r="M235" s="56"/>
      <c r="N235" s="56"/>
      <c r="O235" s="56"/>
      <c r="R235" s="56"/>
      <c r="AA235" s="56"/>
      <c r="AB235" s="56"/>
      <c r="AC235" s="56"/>
      <c r="AD235" s="56"/>
      <c r="AE235" s="56"/>
      <c r="AF235" s="56"/>
      <c r="AG235" s="155"/>
      <c r="AH235" s="56"/>
      <c r="AK235" s="155"/>
      <c r="AL235" s="56"/>
      <c r="AM235" s="56"/>
      <c r="AN235" s="56"/>
    </row>
    <row r="236" spans="1:40" x14ac:dyDescent="0.25">
      <c r="L236" s="56"/>
      <c r="M236" s="56"/>
      <c r="N236" s="56"/>
      <c r="O236" s="56"/>
      <c r="R236" s="56"/>
      <c r="Z236" s="56"/>
      <c r="AA236" s="56"/>
      <c r="AB236" s="56"/>
      <c r="AC236" s="56"/>
      <c r="AD236" s="56"/>
      <c r="AE236" s="56"/>
      <c r="AF236" s="56"/>
      <c r="AG236" s="155"/>
      <c r="AH236" s="56"/>
      <c r="AK236" s="155"/>
      <c r="AL236" s="56"/>
      <c r="AM236" s="56"/>
      <c r="AN236" s="56"/>
    </row>
    <row r="237" spans="1:40" x14ac:dyDescent="0.25">
      <c r="A237" s="56"/>
      <c r="C237" s="56"/>
      <c r="D237" s="56"/>
      <c r="E237" s="56"/>
      <c r="F237" s="56"/>
      <c r="J237" s="56"/>
      <c r="K237" s="56"/>
      <c r="L237" s="56"/>
      <c r="M237" s="56"/>
      <c r="N237" s="56"/>
      <c r="O237" s="56"/>
      <c r="P237" s="56"/>
      <c r="Q237" s="56"/>
      <c r="R237" s="56"/>
      <c r="T237" s="56"/>
      <c r="U237" s="56"/>
      <c r="V237" s="56"/>
      <c r="Z237" s="56"/>
      <c r="AA237" s="56"/>
      <c r="AB237" s="56"/>
      <c r="AC237" s="56"/>
      <c r="AD237" s="56"/>
      <c r="AE237" s="56"/>
      <c r="AF237" s="56"/>
      <c r="AG237" s="155"/>
      <c r="AH237" s="56"/>
      <c r="AI237" s="56"/>
      <c r="AJ237" s="56"/>
      <c r="AK237" s="155"/>
      <c r="AL237" s="56"/>
      <c r="AM237" s="56"/>
      <c r="AN237" s="56"/>
    </row>
    <row r="238" spans="1:40" x14ac:dyDescent="0.25">
      <c r="A238" s="56"/>
      <c r="C238" s="56"/>
      <c r="D238" s="56"/>
      <c r="E238" s="56"/>
      <c r="F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T238" s="56"/>
      <c r="U238" s="56"/>
      <c r="V238" s="56"/>
      <c r="Y238" s="56"/>
      <c r="Z238" s="56"/>
      <c r="AA238" s="56"/>
      <c r="AB238" s="56"/>
      <c r="AC238" s="56"/>
      <c r="AD238" s="56"/>
      <c r="AE238" s="56"/>
      <c r="AF238" s="56"/>
      <c r="AG238" s="155"/>
      <c r="AH238" s="56"/>
      <c r="AI238" s="56"/>
      <c r="AJ238" s="56"/>
      <c r="AK238" s="155"/>
      <c r="AL238" s="56"/>
      <c r="AM238" s="56"/>
      <c r="AN238" s="56"/>
    </row>
    <row r="239" spans="1:40" x14ac:dyDescent="0.25">
      <c r="C239" s="56"/>
      <c r="D239" s="56"/>
      <c r="E239" s="56"/>
      <c r="F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T239" s="56"/>
      <c r="U239" s="56"/>
      <c r="V239" s="56"/>
      <c r="Y239" s="56"/>
      <c r="Z239" s="56"/>
      <c r="AA239" s="56"/>
      <c r="AB239" s="56"/>
      <c r="AC239" s="56"/>
      <c r="AD239" s="56"/>
      <c r="AE239" s="56"/>
      <c r="AF239" s="56"/>
      <c r="AG239" s="155"/>
      <c r="AH239" s="56"/>
      <c r="AI239" s="56"/>
      <c r="AJ239" s="56"/>
      <c r="AK239" s="155"/>
      <c r="AL239" s="56"/>
      <c r="AM239" s="56"/>
      <c r="AN239" s="56"/>
    </row>
    <row r="240" spans="1:40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154"/>
      <c r="AH240" s="55"/>
      <c r="AI240" s="55"/>
      <c r="AJ240" s="55"/>
      <c r="AK240" s="154"/>
      <c r="AL240" s="55"/>
      <c r="AM240" s="55"/>
      <c r="AN240" s="55"/>
    </row>
    <row r="241" spans="1:40" x14ac:dyDescent="0.25"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Y241" s="56"/>
      <c r="Z241" s="56"/>
      <c r="AA241" s="56"/>
      <c r="AB241" s="56"/>
      <c r="AC241" s="56"/>
      <c r="AD241" s="56"/>
      <c r="AE241" s="56"/>
      <c r="AF241" s="56"/>
      <c r="AG241" s="155"/>
      <c r="AH241" s="56"/>
      <c r="AI241" s="56"/>
      <c r="AJ241" s="56"/>
      <c r="AK241" s="155"/>
      <c r="AL241" s="56"/>
      <c r="AM241" s="56"/>
      <c r="AN241" s="56"/>
    </row>
    <row r="242" spans="1:40" x14ac:dyDescent="0.25">
      <c r="A242" s="53"/>
      <c r="C242" s="54"/>
      <c r="D242" s="54"/>
      <c r="E242" s="54"/>
      <c r="T242" s="54"/>
      <c r="U242" s="54"/>
    </row>
    <row r="243" spans="1:40" x14ac:dyDescent="0.25">
      <c r="A243" s="53"/>
      <c r="D243" s="54"/>
      <c r="E243" s="54"/>
      <c r="U243" s="54"/>
    </row>
    <row r="245" spans="1:40" x14ac:dyDescent="0.25">
      <c r="A245" s="53"/>
      <c r="C245" s="54"/>
      <c r="F245" s="379"/>
      <c r="J245" s="62"/>
      <c r="K245" s="62"/>
      <c r="L245" s="379"/>
      <c r="M245" s="379"/>
      <c r="R245" s="379"/>
      <c r="T245" s="54"/>
      <c r="V245" s="379"/>
      <c r="Z245" s="62"/>
      <c r="AA245" s="379"/>
      <c r="AB245" s="379"/>
      <c r="AK245" s="156"/>
      <c r="AL245" s="379"/>
    </row>
    <row r="246" spans="1:40" x14ac:dyDescent="0.25">
      <c r="F246" s="379"/>
      <c r="R246" s="379"/>
      <c r="V246" s="379"/>
      <c r="AK246" s="156"/>
      <c r="AL246" s="379"/>
    </row>
    <row r="247" spans="1:40" x14ac:dyDescent="0.25">
      <c r="A247" s="53"/>
      <c r="C247" s="54"/>
      <c r="F247" s="449"/>
      <c r="H247" s="449"/>
      <c r="I247" s="449"/>
      <c r="J247" s="461"/>
      <c r="K247" s="461"/>
      <c r="L247" s="379"/>
      <c r="M247" s="379"/>
      <c r="N247" s="50"/>
      <c r="O247" s="50"/>
      <c r="P247" s="379"/>
      <c r="Q247" s="379"/>
      <c r="R247" s="379"/>
      <c r="T247" s="54"/>
      <c r="V247" s="379"/>
      <c r="Y247" s="379"/>
      <c r="Z247" s="461"/>
      <c r="AA247" s="379"/>
      <c r="AB247" s="379"/>
      <c r="AC247" s="50"/>
      <c r="AD247" s="50"/>
      <c r="AE247" s="379"/>
      <c r="AF247" s="379"/>
      <c r="AG247" s="156"/>
      <c r="AH247" s="60"/>
      <c r="AI247" s="379"/>
      <c r="AJ247" s="379"/>
      <c r="AK247" s="156"/>
      <c r="AL247" s="379"/>
      <c r="AM247" s="50"/>
      <c r="AN247" s="50"/>
    </row>
    <row r="248" spans="1:40" x14ac:dyDescent="0.25">
      <c r="A248" s="53"/>
      <c r="C248" s="54"/>
      <c r="F248" s="449"/>
      <c r="H248" s="470"/>
      <c r="I248" s="470"/>
      <c r="J248" s="461"/>
      <c r="K248" s="461"/>
      <c r="L248" s="379"/>
      <c r="M248" s="379"/>
      <c r="N248" s="50"/>
      <c r="O248" s="50"/>
      <c r="P248" s="379"/>
      <c r="Q248" s="379"/>
      <c r="R248" s="379"/>
      <c r="T248" s="54"/>
      <c r="V248" s="379"/>
      <c r="Y248" s="379"/>
      <c r="Z248" s="461"/>
      <c r="AA248" s="379"/>
      <c r="AB248" s="379"/>
      <c r="AC248" s="50"/>
      <c r="AD248" s="50"/>
      <c r="AE248" s="379"/>
      <c r="AF248" s="379"/>
      <c r="AG248" s="156"/>
      <c r="AH248" s="60"/>
      <c r="AI248" s="379"/>
      <c r="AJ248" s="379"/>
      <c r="AK248" s="156"/>
      <c r="AL248" s="379"/>
      <c r="AM248" s="50"/>
      <c r="AN248" s="50"/>
    </row>
    <row r="249" spans="1:40" x14ac:dyDescent="0.25">
      <c r="F249" s="381"/>
      <c r="H249" s="379"/>
      <c r="I249" s="379"/>
      <c r="J249" s="464"/>
      <c r="K249" s="464"/>
      <c r="L249" s="381"/>
      <c r="M249" s="381"/>
      <c r="N249" s="381"/>
      <c r="O249" s="381"/>
      <c r="P249" s="381"/>
      <c r="Q249" s="381"/>
      <c r="R249" s="381"/>
      <c r="V249" s="381"/>
      <c r="Y249" s="379"/>
      <c r="Z249" s="464"/>
      <c r="AA249" s="381"/>
      <c r="AB249" s="381"/>
      <c r="AC249" s="381"/>
      <c r="AD249" s="381"/>
      <c r="AE249" s="381"/>
      <c r="AF249" s="381"/>
      <c r="AI249" s="381"/>
      <c r="AJ249" s="381"/>
      <c r="AK249" s="162"/>
      <c r="AL249" s="381"/>
    </row>
    <row r="250" spans="1:40" x14ac:dyDescent="0.25">
      <c r="A250" s="53"/>
      <c r="C250" s="54"/>
      <c r="F250" s="379"/>
      <c r="H250" s="379"/>
      <c r="I250" s="379"/>
      <c r="J250" s="59"/>
      <c r="K250" s="59"/>
      <c r="L250" s="379"/>
      <c r="M250" s="379"/>
      <c r="N250" s="50"/>
      <c r="O250" s="50"/>
      <c r="P250" s="379"/>
      <c r="Q250" s="379"/>
      <c r="R250" s="379"/>
      <c r="T250" s="54"/>
      <c r="V250" s="379"/>
      <c r="Y250" s="379"/>
      <c r="Z250" s="59"/>
      <c r="AA250" s="379"/>
      <c r="AB250" s="379"/>
      <c r="AC250" s="50"/>
      <c r="AD250" s="50"/>
      <c r="AE250" s="379"/>
      <c r="AF250" s="379"/>
      <c r="AG250" s="156"/>
      <c r="AH250" s="60"/>
      <c r="AI250" s="379"/>
      <c r="AJ250" s="379"/>
      <c r="AK250" s="156"/>
      <c r="AL250" s="379"/>
      <c r="AM250" s="50"/>
      <c r="AN250" s="50"/>
    </row>
    <row r="251" spans="1:40" x14ac:dyDescent="0.25">
      <c r="F251" s="381"/>
      <c r="H251" s="379"/>
      <c r="I251" s="379"/>
      <c r="J251" s="464"/>
      <c r="K251" s="464"/>
      <c r="L251" s="381"/>
      <c r="M251" s="381"/>
      <c r="N251" s="381"/>
      <c r="O251" s="381"/>
      <c r="P251" s="381"/>
      <c r="Q251" s="381"/>
      <c r="R251" s="381"/>
      <c r="V251" s="381"/>
      <c r="Y251" s="379"/>
      <c r="Z251" s="464"/>
      <c r="AA251" s="381"/>
      <c r="AB251" s="381"/>
      <c r="AC251" s="381"/>
      <c r="AD251" s="381"/>
      <c r="AE251" s="381"/>
      <c r="AF251" s="381"/>
      <c r="AI251" s="381"/>
      <c r="AJ251" s="381"/>
      <c r="AK251" s="162"/>
      <c r="AL251" s="381"/>
    </row>
    <row r="252" spans="1:40" x14ac:dyDescent="0.25">
      <c r="F252" s="379"/>
      <c r="R252" s="379"/>
      <c r="V252" s="379"/>
      <c r="AK252" s="156"/>
      <c r="AL252" s="379"/>
    </row>
    <row r="253" spans="1:40" x14ac:dyDescent="0.25">
      <c r="A253" s="53"/>
      <c r="C253" s="54"/>
      <c r="F253" s="379"/>
      <c r="R253" s="379"/>
      <c r="T253" s="54"/>
      <c r="V253" s="379"/>
      <c r="AK253" s="156"/>
      <c r="AL253" s="379"/>
    </row>
    <row r="254" spans="1:40" x14ac:dyDescent="0.25">
      <c r="F254" s="379"/>
      <c r="R254" s="379"/>
      <c r="V254" s="379"/>
      <c r="AK254" s="156"/>
      <c r="AL254" s="379"/>
    </row>
    <row r="255" spans="1:40" x14ac:dyDescent="0.25">
      <c r="A255" s="53"/>
      <c r="C255" s="54"/>
      <c r="F255" s="379"/>
      <c r="H255" s="449"/>
      <c r="I255" s="449"/>
      <c r="J255" s="472"/>
      <c r="K255" s="472"/>
      <c r="L255" s="379"/>
      <c r="M255" s="379"/>
      <c r="N255" s="50"/>
      <c r="O255" s="50"/>
      <c r="P255" s="449"/>
      <c r="Q255" s="449"/>
      <c r="R255" s="379"/>
      <c r="T255" s="54"/>
      <c r="V255" s="379"/>
      <c r="Y255" s="379"/>
      <c r="Z255" s="463"/>
      <c r="AA255" s="379"/>
      <c r="AB255" s="379"/>
      <c r="AC255" s="50"/>
      <c r="AD255" s="50"/>
      <c r="AE255" s="379"/>
      <c r="AF255" s="379"/>
      <c r="AG255" s="156"/>
      <c r="AH255" s="60"/>
      <c r="AI255" s="449"/>
      <c r="AJ255" s="449"/>
      <c r="AK255" s="156"/>
      <c r="AL255" s="379"/>
      <c r="AM255" s="50"/>
      <c r="AN255" s="50"/>
    </row>
    <row r="256" spans="1:40" x14ac:dyDescent="0.25">
      <c r="H256" s="381"/>
      <c r="I256" s="381"/>
      <c r="J256" s="464"/>
      <c r="K256" s="464"/>
      <c r="L256" s="381"/>
      <c r="M256" s="381"/>
      <c r="N256" s="381"/>
      <c r="O256" s="381"/>
      <c r="P256" s="381"/>
      <c r="Q256" s="381"/>
      <c r="R256" s="381"/>
      <c r="V256" s="381"/>
      <c r="Y256" s="381"/>
      <c r="Z256" s="464"/>
      <c r="AA256" s="381"/>
      <c r="AB256" s="381"/>
      <c r="AC256" s="381"/>
      <c r="AD256" s="381"/>
      <c r="AE256" s="381"/>
      <c r="AF256" s="381"/>
      <c r="AI256" s="381"/>
      <c r="AJ256" s="381"/>
      <c r="AK256" s="162"/>
      <c r="AL256" s="381"/>
    </row>
    <row r="257" spans="1:40" x14ac:dyDescent="0.25">
      <c r="F257" s="381"/>
    </row>
    <row r="258" spans="1:40" x14ac:dyDescent="0.25">
      <c r="A258" s="53"/>
      <c r="C258" s="54"/>
      <c r="F258" s="379"/>
      <c r="H258" s="379"/>
      <c r="I258" s="379"/>
      <c r="J258" s="62"/>
      <c r="K258" s="62"/>
      <c r="L258" s="379"/>
      <c r="M258" s="379"/>
      <c r="N258" s="50"/>
      <c r="O258" s="50"/>
      <c r="P258" s="379"/>
      <c r="Q258" s="379"/>
      <c r="R258" s="379"/>
      <c r="T258" s="54"/>
      <c r="V258" s="379"/>
      <c r="Y258" s="379"/>
      <c r="Z258" s="62"/>
      <c r="AA258" s="379"/>
      <c r="AB258" s="379"/>
      <c r="AC258" s="50"/>
      <c r="AD258" s="50"/>
      <c r="AE258" s="379"/>
      <c r="AF258" s="379"/>
      <c r="AG258" s="156"/>
      <c r="AH258" s="60"/>
      <c r="AI258" s="379"/>
      <c r="AJ258" s="379"/>
      <c r="AK258" s="156"/>
      <c r="AL258" s="379"/>
      <c r="AM258" s="50"/>
      <c r="AN258" s="50"/>
    </row>
    <row r="259" spans="1:40" x14ac:dyDescent="0.25">
      <c r="F259" s="381"/>
      <c r="H259" s="381"/>
      <c r="I259" s="381"/>
      <c r="J259" s="464"/>
      <c r="K259" s="464"/>
      <c r="L259" s="381"/>
      <c r="M259" s="381"/>
      <c r="N259" s="381"/>
      <c r="O259" s="381"/>
      <c r="P259" s="381"/>
      <c r="Q259" s="381"/>
      <c r="R259" s="381"/>
      <c r="V259" s="381"/>
      <c r="Y259" s="381"/>
      <c r="Z259" s="464"/>
      <c r="AA259" s="381"/>
      <c r="AB259" s="381"/>
      <c r="AC259" s="381"/>
      <c r="AD259" s="381"/>
      <c r="AE259" s="381"/>
      <c r="AF259" s="381"/>
      <c r="AI259" s="381"/>
      <c r="AJ259" s="381"/>
      <c r="AK259" s="162"/>
      <c r="AL259" s="381"/>
    </row>
    <row r="260" spans="1:40" x14ac:dyDescent="0.25">
      <c r="R260" s="379"/>
      <c r="AG260" s="156"/>
      <c r="AH260" s="379"/>
    </row>
    <row r="261" spans="1:40" x14ac:dyDescent="0.25">
      <c r="F261" s="379"/>
      <c r="H261" s="379"/>
      <c r="I261" s="379"/>
      <c r="J261" s="59"/>
      <c r="K261" s="59"/>
      <c r="L261" s="379"/>
      <c r="M261" s="379"/>
      <c r="N261" s="379"/>
      <c r="O261" s="379"/>
      <c r="P261" s="379"/>
      <c r="Q261" s="379"/>
      <c r="R261" s="379"/>
      <c r="V261" s="379"/>
      <c r="Y261" s="379"/>
      <c r="Z261" s="59"/>
      <c r="AA261" s="379"/>
      <c r="AB261" s="379"/>
      <c r="AC261" s="379"/>
      <c r="AD261" s="379"/>
      <c r="AE261" s="379"/>
      <c r="AF261" s="379"/>
      <c r="AG261" s="156"/>
      <c r="AH261" s="379"/>
    </row>
    <row r="262" spans="1:40" x14ac:dyDescent="0.25">
      <c r="C262" s="54"/>
      <c r="F262" s="379"/>
      <c r="H262" s="379"/>
      <c r="I262" s="379"/>
      <c r="J262" s="59"/>
      <c r="K262" s="59"/>
      <c r="L262" s="379"/>
      <c r="M262" s="379"/>
      <c r="N262" s="379"/>
      <c r="O262" s="379"/>
      <c r="P262" s="379"/>
      <c r="Q262" s="379"/>
      <c r="R262" s="379"/>
      <c r="T262" s="54"/>
      <c r="V262" s="379"/>
      <c r="Y262" s="379"/>
      <c r="Z262" s="59"/>
      <c r="AA262" s="379"/>
      <c r="AB262" s="379"/>
      <c r="AC262" s="379"/>
      <c r="AD262" s="379"/>
      <c r="AE262" s="379"/>
      <c r="AF262" s="379"/>
      <c r="AG262" s="156"/>
      <c r="AH262" s="379"/>
    </row>
    <row r="263" spans="1:40" x14ac:dyDescent="0.25">
      <c r="A263" s="54"/>
    </row>
    <row r="265" spans="1:40" x14ac:dyDescent="0.25">
      <c r="J265" s="53"/>
      <c r="K265" s="53"/>
      <c r="Z265" s="53"/>
    </row>
    <row r="266" spans="1:40" x14ac:dyDescent="0.25">
      <c r="H266" s="54"/>
      <c r="I266" s="54"/>
      <c r="Y266" s="54"/>
    </row>
    <row r="267" spans="1:40" x14ac:dyDescent="0.25">
      <c r="J267" s="53"/>
      <c r="K267" s="53"/>
      <c r="Z267" s="53"/>
    </row>
    <row r="268" spans="1:40" x14ac:dyDescent="0.25">
      <c r="L268" s="54"/>
      <c r="M268" s="54"/>
      <c r="AA268" s="54"/>
      <c r="AB268" s="54"/>
    </row>
    <row r="269" spans="1:40" x14ac:dyDescent="0.25">
      <c r="A269" s="53"/>
      <c r="R269" s="54"/>
      <c r="AK269" s="161"/>
      <c r="AL269" s="54"/>
    </row>
    <row r="270" spans="1:40" x14ac:dyDescent="0.25">
      <c r="A270" s="53"/>
      <c r="R270" s="54"/>
      <c r="AK270" s="161"/>
      <c r="AL270" s="54"/>
    </row>
    <row r="271" spans="1:40" x14ac:dyDescent="0.25">
      <c r="A271" s="54"/>
      <c r="R271" s="54"/>
      <c r="AK271" s="161"/>
      <c r="AL271" s="54"/>
    </row>
    <row r="272" spans="1:40" x14ac:dyDescent="0.25">
      <c r="L272" s="54"/>
      <c r="M272" s="54"/>
      <c r="R272" s="53"/>
      <c r="AA272" s="54"/>
      <c r="AB272" s="54"/>
      <c r="AK272" s="156"/>
      <c r="AL272" s="53"/>
    </row>
    <row r="273" spans="1:40" x14ac:dyDescent="0.25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154"/>
      <c r="AH273" s="55"/>
      <c r="AI273" s="55"/>
      <c r="AJ273" s="55"/>
      <c r="AK273" s="154"/>
      <c r="AL273" s="55"/>
      <c r="AM273" s="55"/>
      <c r="AN273" s="55"/>
    </row>
    <row r="274" spans="1:40" x14ac:dyDescent="0.25">
      <c r="L274" s="56"/>
      <c r="M274" s="56"/>
      <c r="N274" s="56"/>
      <c r="O274" s="56"/>
      <c r="R274" s="56"/>
      <c r="AA274" s="56"/>
      <c r="AB274" s="56"/>
      <c r="AC274" s="56"/>
      <c r="AD274" s="56"/>
      <c r="AE274" s="56"/>
      <c r="AF274" s="56"/>
      <c r="AG274" s="155"/>
      <c r="AH274" s="56"/>
      <c r="AK274" s="155"/>
      <c r="AL274" s="56"/>
      <c r="AM274" s="56"/>
      <c r="AN274" s="56"/>
    </row>
    <row r="275" spans="1:40" x14ac:dyDescent="0.25">
      <c r="L275" s="56"/>
      <c r="M275" s="56"/>
      <c r="N275" s="56"/>
      <c r="O275" s="56"/>
      <c r="R275" s="56"/>
      <c r="Z275" s="56"/>
      <c r="AA275" s="56"/>
      <c r="AB275" s="56"/>
      <c r="AC275" s="56"/>
      <c r="AD275" s="56"/>
      <c r="AE275" s="56"/>
      <c r="AF275" s="56"/>
      <c r="AG275" s="155"/>
      <c r="AH275" s="56"/>
      <c r="AK275" s="155"/>
      <c r="AL275" s="56"/>
      <c r="AM275" s="56"/>
      <c r="AN275" s="56"/>
    </row>
    <row r="276" spans="1:40" x14ac:dyDescent="0.25">
      <c r="A276" s="56"/>
      <c r="C276" s="56"/>
      <c r="D276" s="56"/>
      <c r="E276" s="56"/>
      <c r="F276" s="56"/>
      <c r="J276" s="56"/>
      <c r="K276" s="56"/>
      <c r="L276" s="56"/>
      <c r="M276" s="56"/>
      <c r="N276" s="56"/>
      <c r="O276" s="56"/>
      <c r="P276" s="56"/>
      <c r="Q276" s="56"/>
      <c r="R276" s="56"/>
      <c r="T276" s="56"/>
      <c r="U276" s="56"/>
      <c r="V276" s="56"/>
      <c r="Z276" s="56"/>
      <c r="AA276" s="56"/>
      <c r="AB276" s="56"/>
      <c r="AC276" s="56"/>
      <c r="AD276" s="56"/>
      <c r="AE276" s="56"/>
      <c r="AF276" s="56"/>
      <c r="AG276" s="155"/>
      <c r="AH276" s="56"/>
      <c r="AI276" s="56"/>
      <c r="AJ276" s="56"/>
      <c r="AK276" s="155"/>
      <c r="AL276" s="56"/>
      <c r="AM276" s="56"/>
      <c r="AN276" s="56"/>
    </row>
    <row r="277" spans="1:40" x14ac:dyDescent="0.25">
      <c r="A277" s="56"/>
      <c r="C277" s="56"/>
      <c r="D277" s="56"/>
      <c r="E277" s="56"/>
      <c r="F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T277" s="56"/>
      <c r="U277" s="56"/>
      <c r="V277" s="56"/>
      <c r="Y277" s="56"/>
      <c r="Z277" s="56"/>
      <c r="AA277" s="56"/>
      <c r="AB277" s="56"/>
      <c r="AC277" s="56"/>
      <c r="AD277" s="56"/>
      <c r="AE277" s="56"/>
      <c r="AF277" s="56"/>
      <c r="AG277" s="155"/>
      <c r="AH277" s="56"/>
      <c r="AI277" s="56"/>
      <c r="AJ277" s="56"/>
      <c r="AK277" s="155"/>
      <c r="AL277" s="56"/>
      <c r="AM277" s="56"/>
      <c r="AN277" s="56"/>
    </row>
    <row r="278" spans="1:40" x14ac:dyDescent="0.25">
      <c r="C278" s="56"/>
      <c r="D278" s="56"/>
      <c r="E278" s="56"/>
      <c r="F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T278" s="56"/>
      <c r="U278" s="56"/>
      <c r="V278" s="56"/>
      <c r="Y278" s="56"/>
      <c r="Z278" s="56"/>
      <c r="AA278" s="56"/>
      <c r="AB278" s="56"/>
      <c r="AC278" s="56"/>
      <c r="AD278" s="56"/>
      <c r="AE278" s="56"/>
      <c r="AF278" s="56"/>
      <c r="AG278" s="155"/>
      <c r="AH278" s="56"/>
      <c r="AI278" s="56"/>
      <c r="AJ278" s="56"/>
      <c r="AK278" s="155"/>
      <c r="AL278" s="56"/>
      <c r="AM278" s="56"/>
      <c r="AN278" s="56"/>
    </row>
    <row r="279" spans="1:40" x14ac:dyDescent="0.25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154"/>
      <c r="AH279" s="55"/>
      <c r="AI279" s="55"/>
      <c r="AJ279" s="55"/>
      <c r="AK279" s="154"/>
      <c r="AL279" s="55"/>
      <c r="AM279" s="55"/>
      <c r="AN279" s="55"/>
    </row>
    <row r="280" spans="1:40" x14ac:dyDescent="0.25"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Y280" s="56"/>
      <c r="Z280" s="56"/>
      <c r="AA280" s="56"/>
      <c r="AB280" s="56"/>
      <c r="AC280" s="56"/>
      <c r="AD280" s="56"/>
      <c r="AE280" s="56"/>
      <c r="AF280" s="56"/>
      <c r="AG280" s="155"/>
      <c r="AH280" s="56"/>
      <c r="AI280" s="56"/>
      <c r="AJ280" s="56"/>
      <c r="AK280" s="155"/>
      <c r="AL280" s="56"/>
      <c r="AM280" s="56"/>
      <c r="AN280" s="56"/>
    </row>
    <row r="281" spans="1:40" x14ac:dyDescent="0.25">
      <c r="A281" s="53"/>
      <c r="C281" s="54"/>
      <c r="D281" s="54"/>
      <c r="E281" s="54"/>
      <c r="T281" s="54"/>
      <c r="U281" s="54"/>
    </row>
    <row r="282" spans="1:40" x14ac:dyDescent="0.25">
      <c r="A282" s="53"/>
      <c r="C282" s="54"/>
      <c r="T282" s="54"/>
    </row>
    <row r="284" spans="1:40" x14ac:dyDescent="0.25">
      <c r="A284" s="53"/>
      <c r="C284" s="54"/>
      <c r="F284" s="449"/>
      <c r="H284" s="449"/>
      <c r="I284" s="449"/>
      <c r="J284" s="461"/>
      <c r="K284" s="461"/>
      <c r="L284" s="379"/>
      <c r="M284" s="379"/>
      <c r="N284" s="50"/>
      <c r="O284" s="50"/>
      <c r="P284" s="53"/>
      <c r="Q284" s="53"/>
      <c r="R284" s="379"/>
      <c r="T284" s="54"/>
      <c r="V284" s="379"/>
      <c r="Y284" s="449"/>
      <c r="Z284" s="461"/>
      <c r="AA284" s="379"/>
      <c r="AB284" s="379"/>
      <c r="AC284" s="50"/>
      <c r="AD284" s="50"/>
      <c r="AE284" s="379"/>
      <c r="AF284" s="379"/>
      <c r="AG284" s="156"/>
      <c r="AH284" s="60"/>
      <c r="AI284" s="53"/>
      <c r="AJ284" s="53"/>
      <c r="AK284" s="156"/>
      <c r="AL284" s="379"/>
      <c r="AM284" s="50"/>
      <c r="AN284" s="50"/>
    </row>
    <row r="285" spans="1:40" x14ac:dyDescent="0.25">
      <c r="F285" s="381"/>
      <c r="H285" s="379"/>
      <c r="I285" s="379"/>
      <c r="J285" s="464"/>
      <c r="K285" s="464"/>
      <c r="L285" s="381"/>
      <c r="M285" s="381"/>
      <c r="N285" s="381"/>
      <c r="O285" s="381"/>
      <c r="P285" s="381"/>
      <c r="Q285" s="381"/>
      <c r="R285" s="381"/>
      <c r="V285" s="381"/>
      <c r="Y285" s="379"/>
      <c r="Z285" s="464"/>
      <c r="AA285" s="381"/>
      <c r="AB285" s="381"/>
      <c r="AC285" s="381"/>
      <c r="AD285" s="381"/>
      <c r="AE285" s="381"/>
      <c r="AF285" s="381"/>
      <c r="AI285" s="381"/>
      <c r="AJ285" s="381"/>
      <c r="AK285" s="162"/>
      <c r="AL285" s="381"/>
      <c r="AM285" s="50"/>
      <c r="AN285" s="50"/>
    </row>
    <row r="286" spans="1:40" x14ac:dyDescent="0.25">
      <c r="A286" s="53"/>
      <c r="C286" s="54"/>
      <c r="F286" s="449"/>
      <c r="H286" s="449"/>
      <c r="I286" s="449"/>
      <c r="J286" s="477"/>
      <c r="K286" s="477"/>
      <c r="L286" s="379"/>
      <c r="M286" s="379"/>
      <c r="N286" s="50"/>
      <c r="O286" s="50"/>
      <c r="P286" s="379"/>
      <c r="Q286" s="379"/>
      <c r="R286" s="379"/>
      <c r="S286" s="379"/>
      <c r="T286" s="54"/>
      <c r="V286" s="449"/>
      <c r="Y286" s="449"/>
      <c r="Z286" s="477"/>
      <c r="AA286" s="379"/>
      <c r="AB286" s="379"/>
      <c r="AC286" s="50"/>
      <c r="AD286" s="50"/>
      <c r="AE286" s="379"/>
      <c r="AF286" s="379"/>
      <c r="AG286" s="156"/>
      <c r="AH286" s="50"/>
      <c r="AI286" s="379"/>
      <c r="AJ286" s="379"/>
      <c r="AK286" s="156"/>
      <c r="AL286" s="379"/>
      <c r="AM286" s="50"/>
      <c r="AN286" s="50"/>
    </row>
    <row r="287" spans="1:40" x14ac:dyDescent="0.25">
      <c r="A287" s="53"/>
      <c r="C287" s="54"/>
      <c r="F287" s="449"/>
      <c r="H287" s="449"/>
      <c r="I287" s="449"/>
      <c r="J287" s="461"/>
      <c r="K287" s="461"/>
      <c r="L287" s="379"/>
      <c r="M287" s="379"/>
      <c r="N287" s="50"/>
      <c r="O287" s="50"/>
      <c r="P287" s="379"/>
      <c r="Q287" s="379"/>
      <c r="R287" s="379"/>
      <c r="T287" s="54"/>
      <c r="V287" s="449"/>
      <c r="Y287" s="379"/>
      <c r="Z287" s="461"/>
      <c r="AA287" s="379"/>
      <c r="AB287" s="379"/>
      <c r="AC287" s="50"/>
      <c r="AD287" s="50"/>
      <c r="AE287" s="379"/>
      <c r="AF287" s="379"/>
      <c r="AG287" s="156"/>
      <c r="AH287" s="60"/>
      <c r="AI287" s="379"/>
      <c r="AJ287" s="379"/>
      <c r="AK287" s="156"/>
      <c r="AL287" s="379"/>
      <c r="AM287" s="50"/>
      <c r="AN287" s="50"/>
    </row>
    <row r="288" spans="1:40" x14ac:dyDescent="0.25">
      <c r="A288" s="53"/>
      <c r="C288" s="54"/>
      <c r="F288" s="449"/>
      <c r="H288" s="449"/>
      <c r="I288" s="449"/>
      <c r="J288" s="461"/>
      <c r="K288" s="461"/>
      <c r="L288" s="379"/>
      <c r="M288" s="379"/>
      <c r="N288" s="50"/>
      <c r="O288" s="50"/>
      <c r="P288" s="379"/>
      <c r="Q288" s="379"/>
      <c r="R288" s="379"/>
      <c r="T288" s="54"/>
      <c r="V288" s="449"/>
      <c r="Y288" s="379"/>
      <c r="Z288" s="461"/>
      <c r="AA288" s="379"/>
      <c r="AB288" s="379"/>
      <c r="AC288" s="50"/>
      <c r="AD288" s="50"/>
      <c r="AE288" s="379"/>
      <c r="AF288" s="379"/>
      <c r="AG288" s="156"/>
      <c r="AH288" s="60"/>
      <c r="AI288" s="379"/>
      <c r="AJ288" s="379"/>
      <c r="AK288" s="156"/>
      <c r="AL288" s="379"/>
      <c r="AM288" s="50"/>
      <c r="AN288" s="50"/>
    </row>
    <row r="289" spans="1:40" x14ac:dyDescent="0.25">
      <c r="F289" s="381"/>
      <c r="H289" s="381"/>
      <c r="I289" s="381"/>
      <c r="J289" s="464"/>
      <c r="K289" s="464"/>
      <c r="L289" s="381"/>
      <c r="M289" s="381"/>
      <c r="N289" s="381"/>
      <c r="O289" s="381"/>
      <c r="P289" s="381"/>
      <c r="Q289" s="381"/>
      <c r="R289" s="381"/>
      <c r="V289" s="381"/>
      <c r="Y289" s="381"/>
      <c r="Z289" s="464"/>
      <c r="AA289" s="381"/>
      <c r="AB289" s="381"/>
      <c r="AC289" s="381"/>
      <c r="AD289" s="381"/>
      <c r="AE289" s="381"/>
      <c r="AF289" s="381"/>
      <c r="AI289" s="381"/>
      <c r="AJ289" s="381"/>
      <c r="AK289" s="162"/>
      <c r="AL289" s="381"/>
      <c r="AM289" s="50"/>
      <c r="AN289" s="50"/>
    </row>
    <row r="290" spans="1:40" x14ac:dyDescent="0.25">
      <c r="A290" s="53"/>
      <c r="C290" s="54"/>
      <c r="F290" s="379"/>
      <c r="H290" s="379"/>
      <c r="I290" s="379"/>
      <c r="J290" s="59"/>
      <c r="K290" s="59"/>
      <c r="L290" s="379"/>
      <c r="M290" s="379"/>
      <c r="N290" s="50"/>
      <c r="O290" s="50"/>
      <c r="P290" s="379"/>
      <c r="Q290" s="379"/>
      <c r="R290" s="379"/>
      <c r="T290" s="54"/>
      <c r="V290" s="379"/>
      <c r="Y290" s="379"/>
      <c r="Z290" s="59"/>
      <c r="AA290" s="379"/>
      <c r="AB290" s="379"/>
      <c r="AC290" s="50"/>
      <c r="AD290" s="50"/>
      <c r="AE290" s="379"/>
      <c r="AF290" s="379"/>
      <c r="AG290" s="156"/>
      <c r="AH290" s="60"/>
      <c r="AI290" s="379"/>
      <c r="AJ290" s="379"/>
      <c r="AK290" s="156"/>
      <c r="AL290" s="379"/>
      <c r="AM290" s="50"/>
      <c r="AN290" s="50"/>
    </row>
    <row r="291" spans="1:40" x14ac:dyDescent="0.25">
      <c r="F291" s="381"/>
      <c r="H291" s="381"/>
      <c r="I291" s="381"/>
      <c r="J291" s="464"/>
      <c r="K291" s="464"/>
      <c r="L291" s="381"/>
      <c r="M291" s="381"/>
      <c r="N291" s="381"/>
      <c r="O291" s="381"/>
      <c r="P291" s="381"/>
      <c r="Q291" s="381"/>
      <c r="R291" s="381"/>
      <c r="V291" s="381"/>
      <c r="Y291" s="381"/>
      <c r="Z291" s="464"/>
      <c r="AA291" s="381"/>
      <c r="AB291" s="381"/>
      <c r="AC291" s="381"/>
      <c r="AD291" s="381"/>
      <c r="AE291" s="381"/>
      <c r="AF291" s="381"/>
      <c r="AI291" s="381"/>
      <c r="AJ291" s="381"/>
      <c r="AK291" s="162"/>
      <c r="AL291" s="381"/>
      <c r="AM291" s="50"/>
      <c r="AN291" s="50"/>
    </row>
    <row r="292" spans="1:40" x14ac:dyDescent="0.25">
      <c r="A292" s="53"/>
      <c r="C292" s="54"/>
      <c r="F292" s="379"/>
      <c r="H292" s="379"/>
      <c r="I292" s="379"/>
      <c r="J292" s="59"/>
      <c r="K292" s="59"/>
      <c r="L292" s="379"/>
      <c r="M292" s="379"/>
      <c r="N292" s="50"/>
      <c r="O292" s="50"/>
      <c r="P292" s="379"/>
      <c r="Q292" s="379"/>
      <c r="R292" s="379"/>
      <c r="T292" s="54"/>
      <c r="V292" s="379"/>
      <c r="Y292" s="379"/>
      <c r="Z292" s="59"/>
      <c r="AA292" s="379"/>
      <c r="AB292" s="379"/>
      <c r="AC292" s="50"/>
      <c r="AD292" s="50"/>
      <c r="AE292" s="379"/>
      <c r="AF292" s="379"/>
      <c r="AG292" s="156"/>
      <c r="AH292" s="60"/>
      <c r="AI292" s="379"/>
      <c r="AJ292" s="379"/>
      <c r="AK292" s="156"/>
      <c r="AL292" s="379"/>
      <c r="AM292" s="50"/>
      <c r="AN292" s="50"/>
    </row>
    <row r="293" spans="1:40" x14ac:dyDescent="0.25">
      <c r="A293" s="53"/>
      <c r="C293" s="54"/>
      <c r="F293" s="379"/>
      <c r="H293" s="449"/>
      <c r="I293" s="449"/>
      <c r="J293" s="472"/>
      <c r="K293" s="472"/>
      <c r="L293" s="379"/>
      <c r="M293" s="379"/>
      <c r="N293" s="50"/>
      <c r="O293" s="50"/>
      <c r="P293" s="379"/>
      <c r="Q293" s="379"/>
      <c r="R293" s="379"/>
      <c r="T293" s="54"/>
      <c r="V293" s="379"/>
      <c r="Y293" s="379"/>
      <c r="Z293" s="463"/>
      <c r="AA293" s="379"/>
      <c r="AB293" s="379"/>
      <c r="AC293" s="50"/>
      <c r="AD293" s="50"/>
      <c r="AE293" s="379"/>
      <c r="AF293" s="379"/>
      <c r="AG293" s="156"/>
      <c r="AH293" s="60"/>
      <c r="AI293" s="379"/>
      <c r="AJ293" s="379"/>
      <c r="AK293" s="156"/>
      <c r="AL293" s="379"/>
      <c r="AM293" s="50"/>
      <c r="AN293" s="50"/>
    </row>
    <row r="294" spans="1:40" x14ac:dyDescent="0.25">
      <c r="H294" s="381"/>
      <c r="I294" s="381"/>
      <c r="J294" s="464"/>
      <c r="K294" s="464"/>
      <c r="L294" s="381"/>
      <c r="M294" s="381"/>
      <c r="N294" s="381"/>
      <c r="O294" s="381"/>
      <c r="P294" s="381"/>
      <c r="Q294" s="381"/>
      <c r="R294" s="381"/>
      <c r="V294" s="381"/>
      <c r="Y294" s="381"/>
      <c r="Z294" s="464"/>
      <c r="AA294" s="381"/>
      <c r="AB294" s="381"/>
      <c r="AC294" s="381"/>
      <c r="AD294" s="381"/>
      <c r="AE294" s="381"/>
      <c r="AF294" s="381"/>
      <c r="AI294" s="381"/>
      <c r="AJ294" s="381"/>
      <c r="AK294" s="162"/>
      <c r="AL294" s="381"/>
      <c r="AM294" s="50"/>
      <c r="AN294" s="50"/>
    </row>
    <row r="295" spans="1:40" x14ac:dyDescent="0.25">
      <c r="F295" s="381"/>
    </row>
    <row r="296" spans="1:40" x14ac:dyDescent="0.25">
      <c r="A296" s="53"/>
      <c r="C296" s="54"/>
      <c r="F296" s="379"/>
      <c r="H296" s="379"/>
      <c r="I296" s="379"/>
      <c r="J296" s="464"/>
      <c r="K296" s="464"/>
      <c r="L296" s="379"/>
      <c r="M296" s="379"/>
      <c r="N296" s="50"/>
      <c r="O296" s="50"/>
      <c r="P296" s="379"/>
      <c r="Q296" s="379"/>
      <c r="R296" s="379"/>
      <c r="S296" s="379"/>
      <c r="T296" s="54"/>
      <c r="V296" s="379"/>
      <c r="Y296" s="379"/>
      <c r="Z296" s="464"/>
      <c r="AA296" s="379"/>
      <c r="AB296" s="379"/>
      <c r="AC296" s="50"/>
      <c r="AD296" s="50"/>
      <c r="AE296" s="379"/>
      <c r="AF296" s="379"/>
      <c r="AG296" s="156"/>
      <c r="AH296" s="50"/>
      <c r="AI296" s="379"/>
      <c r="AJ296" s="379"/>
      <c r="AK296" s="156"/>
      <c r="AL296" s="379"/>
      <c r="AM296" s="50"/>
      <c r="AN296" s="50"/>
    </row>
    <row r="297" spans="1:40" x14ac:dyDescent="0.25">
      <c r="F297" s="381"/>
      <c r="H297" s="381"/>
      <c r="I297" s="381"/>
      <c r="J297" s="464"/>
      <c r="K297" s="464"/>
      <c r="L297" s="381"/>
      <c r="M297" s="381"/>
      <c r="N297" s="381"/>
      <c r="O297" s="381"/>
      <c r="P297" s="381"/>
      <c r="Q297" s="381"/>
      <c r="R297" s="381"/>
      <c r="S297" s="379"/>
      <c r="V297" s="381"/>
      <c r="Y297" s="381"/>
      <c r="Z297" s="464"/>
      <c r="AA297" s="381"/>
      <c r="AB297" s="381"/>
      <c r="AC297" s="381"/>
      <c r="AD297" s="381"/>
      <c r="AE297" s="381"/>
      <c r="AF297" s="381"/>
      <c r="AI297" s="381"/>
      <c r="AJ297" s="381"/>
      <c r="AK297" s="162"/>
      <c r="AL297" s="381"/>
      <c r="AM297" s="50"/>
      <c r="AN297" s="50"/>
    </row>
    <row r="298" spans="1:40" x14ac:dyDescent="0.25">
      <c r="A298" s="53"/>
      <c r="C298" s="54"/>
      <c r="H298" s="449"/>
      <c r="I298" s="449"/>
      <c r="J298" s="464"/>
      <c r="K298" s="464"/>
      <c r="L298" s="379"/>
      <c r="M298" s="379"/>
      <c r="N298" s="50"/>
      <c r="O298" s="50"/>
      <c r="P298" s="379"/>
      <c r="Q298" s="379"/>
      <c r="R298" s="379"/>
      <c r="S298" s="379"/>
      <c r="T298" s="54"/>
      <c r="V298" s="449"/>
      <c r="Y298" s="449"/>
      <c r="Z298" s="464"/>
      <c r="AA298" s="379"/>
      <c r="AB298" s="379"/>
      <c r="AC298" s="50"/>
      <c r="AD298" s="50"/>
      <c r="AE298" s="379"/>
      <c r="AF298" s="379"/>
      <c r="AI298" s="379"/>
      <c r="AJ298" s="379"/>
      <c r="AK298" s="156"/>
      <c r="AL298" s="379"/>
      <c r="AM298" s="50"/>
      <c r="AN298" s="50"/>
    </row>
    <row r="299" spans="1:40" x14ac:dyDescent="0.25">
      <c r="F299" s="449"/>
    </row>
    <row r="300" spans="1:40" x14ac:dyDescent="0.25">
      <c r="A300" s="53"/>
      <c r="C300" s="54"/>
      <c r="F300" s="449"/>
      <c r="H300" s="449"/>
      <c r="I300" s="449"/>
      <c r="J300" s="461"/>
      <c r="K300" s="461"/>
      <c r="L300" s="379"/>
      <c r="M300" s="379"/>
      <c r="N300" s="50"/>
      <c r="O300" s="50"/>
      <c r="P300" s="53"/>
      <c r="Q300" s="53"/>
      <c r="R300" s="379"/>
      <c r="T300" s="54"/>
      <c r="V300" s="379"/>
      <c r="Y300" s="449"/>
      <c r="Z300" s="461"/>
      <c r="AA300" s="379"/>
      <c r="AB300" s="379"/>
      <c r="AC300" s="50"/>
      <c r="AD300" s="50"/>
      <c r="AE300" s="379"/>
      <c r="AF300" s="379"/>
      <c r="AG300" s="156"/>
      <c r="AH300" s="60"/>
      <c r="AI300" s="53"/>
      <c r="AJ300" s="53"/>
      <c r="AK300" s="156"/>
      <c r="AL300" s="379"/>
      <c r="AM300" s="50"/>
      <c r="AN300" s="50"/>
    </row>
    <row r="301" spans="1:40" x14ac:dyDescent="0.25">
      <c r="F301" s="381"/>
      <c r="H301" s="379"/>
      <c r="I301" s="379"/>
      <c r="J301" s="464"/>
      <c r="K301" s="464"/>
      <c r="L301" s="381"/>
      <c r="M301" s="381"/>
      <c r="N301" s="381"/>
      <c r="O301" s="381"/>
      <c r="P301" s="381"/>
      <c r="Q301" s="381"/>
      <c r="R301" s="381"/>
      <c r="V301" s="381"/>
      <c r="Y301" s="379"/>
      <c r="Z301" s="464"/>
      <c r="AA301" s="381"/>
      <c r="AB301" s="381"/>
      <c r="AC301" s="381"/>
      <c r="AD301" s="381"/>
      <c r="AE301" s="381"/>
      <c r="AF301" s="381"/>
      <c r="AI301" s="381"/>
      <c r="AJ301" s="381"/>
      <c r="AK301" s="162"/>
      <c r="AL301" s="381"/>
      <c r="AM301" s="50"/>
      <c r="AN301" s="50"/>
    </row>
    <row r="302" spans="1:40" x14ac:dyDescent="0.25">
      <c r="A302" s="53"/>
      <c r="C302" s="54"/>
      <c r="F302" s="449"/>
      <c r="H302" s="449"/>
      <c r="I302" s="449"/>
      <c r="J302" s="477"/>
      <c r="K302" s="477"/>
      <c r="L302" s="379"/>
      <c r="M302" s="379"/>
      <c r="N302" s="50"/>
      <c r="O302" s="50"/>
      <c r="P302" s="379"/>
      <c r="Q302" s="379"/>
      <c r="R302" s="379"/>
      <c r="S302" s="379"/>
      <c r="T302" s="54"/>
      <c r="V302" s="449"/>
      <c r="Y302" s="449"/>
      <c r="Z302" s="477"/>
      <c r="AA302" s="379"/>
      <c r="AB302" s="379"/>
      <c r="AC302" s="50"/>
      <c r="AD302" s="50"/>
      <c r="AE302" s="379"/>
      <c r="AF302" s="379"/>
      <c r="AG302" s="156"/>
      <c r="AH302" s="50"/>
      <c r="AI302" s="379"/>
      <c r="AJ302" s="379"/>
      <c r="AK302" s="156"/>
      <c r="AL302" s="379"/>
      <c r="AM302" s="50"/>
      <c r="AN302" s="50"/>
    </row>
    <row r="303" spans="1:40" x14ac:dyDescent="0.25">
      <c r="A303" s="53"/>
      <c r="C303" s="54"/>
      <c r="F303" s="449"/>
      <c r="H303" s="449"/>
      <c r="I303" s="449"/>
      <c r="J303" s="461"/>
      <c r="K303" s="461"/>
      <c r="L303" s="379"/>
      <c r="M303" s="379"/>
      <c r="N303" s="50"/>
      <c r="O303" s="50"/>
      <c r="P303" s="379"/>
      <c r="Q303" s="379"/>
      <c r="R303" s="379"/>
      <c r="T303" s="54"/>
      <c r="V303" s="449"/>
      <c r="Y303" s="379"/>
      <c r="Z303" s="461"/>
      <c r="AA303" s="379"/>
      <c r="AB303" s="379"/>
      <c r="AC303" s="50"/>
      <c r="AD303" s="50"/>
      <c r="AE303" s="379"/>
      <c r="AF303" s="379"/>
      <c r="AG303" s="156"/>
      <c r="AH303" s="60"/>
      <c r="AI303" s="379"/>
      <c r="AJ303" s="379"/>
      <c r="AK303" s="156"/>
      <c r="AL303" s="379"/>
      <c r="AM303" s="50"/>
      <c r="AN303" s="50"/>
    </row>
    <row r="304" spans="1:40" x14ac:dyDescent="0.25">
      <c r="A304" s="53"/>
      <c r="C304" s="54"/>
      <c r="F304" s="449"/>
      <c r="H304" s="449"/>
      <c r="I304" s="449"/>
      <c r="J304" s="461"/>
      <c r="K304" s="461"/>
      <c r="L304" s="379"/>
      <c r="M304" s="379"/>
      <c r="N304" s="50"/>
      <c r="O304" s="50"/>
      <c r="P304" s="379"/>
      <c r="Q304" s="379"/>
      <c r="R304" s="379"/>
      <c r="T304" s="54"/>
      <c r="V304" s="449"/>
      <c r="Y304" s="379"/>
      <c r="Z304" s="461"/>
      <c r="AA304" s="379"/>
      <c r="AB304" s="379"/>
      <c r="AC304" s="50"/>
      <c r="AD304" s="50"/>
      <c r="AE304" s="379"/>
      <c r="AF304" s="379"/>
      <c r="AG304" s="156"/>
      <c r="AH304" s="60"/>
      <c r="AI304" s="379"/>
      <c r="AJ304" s="379"/>
      <c r="AK304" s="156"/>
      <c r="AL304" s="379"/>
      <c r="AM304" s="50"/>
      <c r="AN304" s="50"/>
    </row>
    <row r="305" spans="1:40" x14ac:dyDescent="0.25">
      <c r="F305" s="381"/>
      <c r="H305" s="381"/>
      <c r="I305" s="381"/>
      <c r="J305" s="464"/>
      <c r="K305" s="464"/>
      <c r="L305" s="381"/>
      <c r="M305" s="381"/>
      <c r="N305" s="381"/>
      <c r="O305" s="381"/>
      <c r="P305" s="381"/>
      <c r="Q305" s="381"/>
      <c r="R305" s="381"/>
      <c r="V305" s="381"/>
      <c r="Y305" s="381"/>
      <c r="Z305" s="464"/>
      <c r="AA305" s="381"/>
      <c r="AB305" s="381"/>
      <c r="AC305" s="381"/>
      <c r="AD305" s="381"/>
      <c r="AE305" s="381"/>
      <c r="AF305" s="381"/>
      <c r="AI305" s="381"/>
      <c r="AJ305" s="381"/>
      <c r="AK305" s="162"/>
      <c r="AL305" s="381"/>
      <c r="AM305" s="50"/>
      <c r="AN305" s="50"/>
    </row>
    <row r="306" spans="1:40" x14ac:dyDescent="0.25">
      <c r="A306" s="53"/>
      <c r="C306" s="54"/>
      <c r="F306" s="379"/>
      <c r="H306" s="379"/>
      <c r="I306" s="379"/>
      <c r="J306" s="59"/>
      <c r="K306" s="59"/>
      <c r="L306" s="379"/>
      <c r="M306" s="379"/>
      <c r="N306" s="50"/>
      <c r="O306" s="50"/>
      <c r="P306" s="379"/>
      <c r="Q306" s="379"/>
      <c r="R306" s="379"/>
      <c r="T306" s="54"/>
      <c r="V306" s="379"/>
      <c r="Y306" s="379"/>
      <c r="Z306" s="59"/>
      <c r="AA306" s="379"/>
      <c r="AB306" s="379"/>
      <c r="AC306" s="50"/>
      <c r="AD306" s="50"/>
      <c r="AE306" s="379"/>
      <c r="AF306" s="379"/>
      <c r="AG306" s="156"/>
      <c r="AH306" s="60"/>
      <c r="AI306" s="379"/>
      <c r="AJ306" s="379"/>
      <c r="AK306" s="156"/>
      <c r="AL306" s="379"/>
      <c r="AM306" s="50"/>
      <c r="AN306" s="50"/>
    </row>
    <row r="307" spans="1:40" x14ac:dyDescent="0.25">
      <c r="F307" s="381"/>
      <c r="H307" s="381"/>
      <c r="I307" s="381"/>
      <c r="J307" s="464"/>
      <c r="K307" s="464"/>
      <c r="L307" s="381"/>
      <c r="M307" s="381"/>
      <c r="N307" s="381"/>
      <c r="O307" s="381"/>
      <c r="P307" s="381"/>
      <c r="Q307" s="381"/>
      <c r="R307" s="381"/>
      <c r="V307" s="381"/>
      <c r="Y307" s="381"/>
      <c r="Z307" s="464"/>
      <c r="AA307" s="381"/>
      <c r="AB307" s="381"/>
      <c r="AC307" s="381"/>
      <c r="AD307" s="381"/>
      <c r="AE307" s="381"/>
      <c r="AF307" s="381"/>
      <c r="AI307" s="381"/>
      <c r="AJ307" s="381"/>
      <c r="AK307" s="162"/>
      <c r="AL307" s="381"/>
      <c r="AM307" s="50"/>
      <c r="AN307" s="50"/>
    </row>
    <row r="308" spans="1:40" x14ac:dyDescent="0.25">
      <c r="A308" s="53"/>
      <c r="C308" s="54"/>
      <c r="F308" s="379"/>
      <c r="H308" s="379"/>
      <c r="I308" s="379"/>
      <c r="J308" s="59"/>
      <c r="K308" s="59"/>
      <c r="L308" s="379"/>
      <c r="M308" s="379"/>
      <c r="N308" s="50"/>
      <c r="O308" s="50"/>
      <c r="P308" s="379"/>
      <c r="Q308" s="379"/>
      <c r="R308" s="379"/>
      <c r="T308" s="54"/>
      <c r="V308" s="379"/>
      <c r="Y308" s="379"/>
      <c r="Z308" s="59"/>
      <c r="AA308" s="379"/>
      <c r="AB308" s="379"/>
      <c r="AC308" s="50"/>
      <c r="AD308" s="50"/>
      <c r="AE308" s="379"/>
      <c r="AF308" s="379"/>
      <c r="AG308" s="156"/>
      <c r="AH308" s="60"/>
      <c r="AI308" s="379"/>
      <c r="AJ308" s="379"/>
      <c r="AK308" s="156"/>
      <c r="AL308" s="379"/>
      <c r="AM308" s="50"/>
      <c r="AN308" s="50"/>
    </row>
    <row r="309" spans="1:40" x14ac:dyDescent="0.25">
      <c r="A309" s="53"/>
      <c r="C309" s="54"/>
      <c r="F309" s="379"/>
      <c r="H309" s="449"/>
      <c r="I309" s="449"/>
      <c r="J309" s="472"/>
      <c r="K309" s="472"/>
      <c r="L309" s="379"/>
      <c r="M309" s="379"/>
      <c r="N309" s="50"/>
      <c r="O309" s="50"/>
      <c r="P309" s="379"/>
      <c r="Q309" s="379"/>
      <c r="R309" s="379"/>
      <c r="T309" s="54"/>
      <c r="V309" s="379"/>
      <c r="Y309" s="379"/>
      <c r="Z309" s="463"/>
      <c r="AA309" s="379"/>
      <c r="AB309" s="379"/>
      <c r="AC309" s="50"/>
      <c r="AD309" s="50"/>
      <c r="AE309" s="379"/>
      <c r="AF309" s="379"/>
      <c r="AG309" s="156"/>
      <c r="AH309" s="60"/>
      <c r="AI309" s="379"/>
      <c r="AJ309" s="379"/>
      <c r="AK309" s="156"/>
      <c r="AL309" s="379"/>
      <c r="AM309" s="50"/>
      <c r="AN309" s="50"/>
    </row>
    <row r="310" spans="1:40" x14ac:dyDescent="0.25">
      <c r="H310" s="381"/>
      <c r="I310" s="381"/>
      <c r="J310" s="464"/>
      <c r="K310" s="464"/>
      <c r="L310" s="381"/>
      <c r="M310" s="381"/>
      <c r="N310" s="381"/>
      <c r="O310" s="381"/>
      <c r="P310" s="381"/>
      <c r="Q310" s="381"/>
      <c r="R310" s="381"/>
      <c r="V310" s="381"/>
      <c r="Y310" s="381"/>
      <c r="Z310" s="464"/>
      <c r="AA310" s="381"/>
      <c r="AB310" s="381"/>
      <c r="AC310" s="381"/>
      <c r="AD310" s="381"/>
      <c r="AE310" s="381"/>
      <c r="AF310" s="381"/>
      <c r="AI310" s="381"/>
      <c r="AJ310" s="381"/>
      <c r="AK310" s="162"/>
      <c r="AL310" s="381"/>
      <c r="AM310" s="50"/>
      <c r="AN310" s="50"/>
    </row>
    <row r="311" spans="1:40" x14ac:dyDescent="0.25">
      <c r="F311" s="381"/>
    </row>
    <row r="312" spans="1:40" x14ac:dyDescent="0.25">
      <c r="A312" s="53"/>
      <c r="C312" s="54"/>
      <c r="F312" s="379"/>
      <c r="H312" s="379"/>
      <c r="I312" s="379"/>
      <c r="J312" s="464"/>
      <c r="K312" s="464"/>
      <c r="L312" s="379"/>
      <c r="M312" s="379"/>
      <c r="N312" s="50"/>
      <c r="O312" s="50"/>
      <c r="P312" s="379"/>
      <c r="Q312" s="379"/>
      <c r="R312" s="379"/>
      <c r="S312" s="379"/>
      <c r="T312" s="54"/>
      <c r="V312" s="379"/>
      <c r="Y312" s="379"/>
      <c r="Z312" s="464"/>
      <c r="AA312" s="379"/>
      <c r="AB312" s="379"/>
      <c r="AC312" s="50"/>
      <c r="AD312" s="50"/>
      <c r="AE312" s="379"/>
      <c r="AF312" s="379"/>
      <c r="AG312" s="156"/>
      <c r="AH312" s="50"/>
      <c r="AI312" s="379"/>
      <c r="AJ312" s="379"/>
      <c r="AK312" s="156"/>
      <c r="AL312" s="379"/>
      <c r="AM312" s="50"/>
      <c r="AN312" s="50"/>
    </row>
    <row r="313" spans="1:40" x14ac:dyDescent="0.25">
      <c r="F313" s="381"/>
      <c r="H313" s="381"/>
      <c r="I313" s="381"/>
      <c r="J313" s="464"/>
      <c r="K313" s="464"/>
      <c r="L313" s="381"/>
      <c r="M313" s="381"/>
      <c r="N313" s="381"/>
      <c r="O313" s="381"/>
      <c r="P313" s="381"/>
      <c r="Q313" s="381"/>
      <c r="R313" s="381"/>
      <c r="S313" s="379"/>
      <c r="V313" s="381"/>
      <c r="Y313" s="381"/>
      <c r="Z313" s="464"/>
      <c r="AA313" s="381"/>
      <c r="AB313" s="381"/>
      <c r="AC313" s="381"/>
      <c r="AD313" s="381"/>
      <c r="AE313" s="381"/>
      <c r="AF313" s="381"/>
      <c r="AI313" s="381"/>
      <c r="AJ313" s="381"/>
      <c r="AK313" s="162"/>
      <c r="AL313" s="381"/>
      <c r="AM313" s="50"/>
      <c r="AN313" s="50"/>
    </row>
    <row r="314" spans="1:40" x14ac:dyDescent="0.25">
      <c r="A314" s="53"/>
      <c r="C314" s="54"/>
      <c r="T314" s="54"/>
    </row>
    <row r="315" spans="1:40" x14ac:dyDescent="0.25">
      <c r="A315" s="53"/>
      <c r="C315" s="54"/>
      <c r="F315" s="379"/>
      <c r="H315" s="379"/>
      <c r="I315" s="379"/>
      <c r="L315" s="379"/>
      <c r="M315" s="379"/>
      <c r="N315" s="50"/>
      <c r="O315" s="50"/>
      <c r="P315" s="449"/>
      <c r="Q315" s="449"/>
      <c r="R315" s="379"/>
      <c r="T315" s="54"/>
      <c r="V315" s="379"/>
      <c r="Y315" s="379"/>
      <c r="AA315" s="379"/>
      <c r="AB315" s="379"/>
      <c r="AC315" s="50"/>
      <c r="AD315" s="50"/>
      <c r="AE315" s="379"/>
      <c r="AF315" s="379"/>
      <c r="AG315" s="156"/>
      <c r="AH315" s="50"/>
      <c r="AI315" s="449"/>
      <c r="AJ315" s="449"/>
      <c r="AK315" s="156"/>
      <c r="AL315" s="379"/>
      <c r="AM315" s="50"/>
      <c r="AN315" s="50"/>
    </row>
    <row r="316" spans="1:40" x14ac:dyDescent="0.25">
      <c r="H316" s="381"/>
      <c r="I316" s="381"/>
      <c r="J316" s="464"/>
      <c r="K316" s="464"/>
      <c r="L316" s="381"/>
      <c r="M316" s="381"/>
      <c r="N316" s="381"/>
      <c r="O316" s="381"/>
      <c r="P316" s="381"/>
      <c r="Q316" s="381"/>
      <c r="R316" s="381"/>
      <c r="V316" s="381"/>
      <c r="Y316" s="381"/>
      <c r="Z316" s="464"/>
      <c r="AA316" s="381"/>
      <c r="AB316" s="381"/>
      <c r="AC316" s="381"/>
      <c r="AD316" s="381"/>
      <c r="AE316" s="381"/>
      <c r="AF316" s="381"/>
      <c r="AI316" s="381"/>
      <c r="AJ316" s="381"/>
      <c r="AK316" s="162"/>
      <c r="AL316" s="381"/>
    </row>
    <row r="317" spans="1:40" x14ac:dyDescent="0.25">
      <c r="F317" s="381"/>
    </row>
    <row r="318" spans="1:40" x14ac:dyDescent="0.25">
      <c r="C318" s="54"/>
      <c r="L318" s="379"/>
      <c r="M318" s="379"/>
      <c r="N318" s="379"/>
      <c r="O318" s="379"/>
      <c r="P318" s="379"/>
      <c r="Q318" s="379"/>
      <c r="R318" s="379"/>
      <c r="S318" s="379"/>
      <c r="T318" s="54"/>
      <c r="AA318" s="379"/>
      <c r="AB318" s="379"/>
      <c r="AC318" s="379"/>
      <c r="AD318" s="379"/>
      <c r="AI318" s="379"/>
      <c r="AJ318" s="379"/>
      <c r="AK318" s="156"/>
      <c r="AL318" s="379"/>
    </row>
    <row r="319" spans="1:40" x14ac:dyDescent="0.25">
      <c r="A319" s="54"/>
    </row>
    <row r="320" spans="1:40" x14ac:dyDescent="0.25">
      <c r="J320" s="53"/>
      <c r="K320" s="53"/>
      <c r="Z320" s="53"/>
    </row>
    <row r="321" spans="1:40" x14ac:dyDescent="0.25">
      <c r="H321" s="54"/>
      <c r="I321" s="54"/>
      <c r="Y321" s="54"/>
    </row>
    <row r="322" spans="1:40" x14ac:dyDescent="0.25">
      <c r="J322" s="53"/>
      <c r="K322" s="53"/>
      <c r="Z322" s="53"/>
    </row>
    <row r="323" spans="1:40" x14ac:dyDescent="0.25">
      <c r="L323" s="54"/>
      <c r="M323" s="54"/>
      <c r="AA323" s="54"/>
      <c r="AB323" s="54"/>
    </row>
    <row r="324" spans="1:40" x14ac:dyDescent="0.25">
      <c r="A324" s="53"/>
      <c r="R324" s="54"/>
      <c r="AK324" s="161"/>
      <c r="AL324" s="54"/>
    </row>
    <row r="325" spans="1:40" x14ac:dyDescent="0.25">
      <c r="A325" s="53"/>
      <c r="R325" s="54"/>
      <c r="AK325" s="161"/>
      <c r="AL325" s="54"/>
    </row>
    <row r="326" spans="1:40" x14ac:dyDescent="0.25">
      <c r="A326" s="54"/>
      <c r="R326" s="54"/>
      <c r="AK326" s="161"/>
      <c r="AL326" s="54"/>
    </row>
    <row r="327" spans="1:40" x14ac:dyDescent="0.25">
      <c r="L327" s="54"/>
      <c r="M327" s="54"/>
      <c r="R327" s="53"/>
      <c r="AA327" s="54"/>
      <c r="AB327" s="54"/>
      <c r="AK327" s="156"/>
      <c r="AL327" s="53"/>
    </row>
    <row r="328" spans="1:40" x14ac:dyDescent="0.25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154"/>
      <c r="AH328" s="55"/>
      <c r="AI328" s="55"/>
      <c r="AJ328" s="55"/>
      <c r="AK328" s="154"/>
      <c r="AL328" s="55"/>
      <c r="AM328" s="55"/>
      <c r="AN328" s="55"/>
    </row>
    <row r="329" spans="1:40" x14ac:dyDescent="0.25">
      <c r="L329" s="56"/>
      <c r="M329" s="56"/>
      <c r="N329" s="56"/>
      <c r="O329" s="56"/>
      <c r="R329" s="56"/>
      <c r="AA329" s="56"/>
      <c r="AB329" s="56"/>
      <c r="AC329" s="56"/>
      <c r="AD329" s="56"/>
      <c r="AE329" s="56"/>
      <c r="AF329" s="56"/>
      <c r="AG329" s="155"/>
      <c r="AH329" s="56"/>
      <c r="AK329" s="155"/>
      <c r="AL329" s="56"/>
      <c r="AM329" s="56"/>
      <c r="AN329" s="56"/>
    </row>
    <row r="330" spans="1:40" x14ac:dyDescent="0.25">
      <c r="L330" s="56"/>
      <c r="M330" s="56"/>
      <c r="N330" s="56"/>
      <c r="O330" s="56"/>
      <c r="R330" s="56"/>
      <c r="Z330" s="56"/>
      <c r="AA330" s="56"/>
      <c r="AB330" s="56"/>
      <c r="AC330" s="56"/>
      <c r="AD330" s="56"/>
      <c r="AE330" s="56"/>
      <c r="AF330" s="56"/>
      <c r="AG330" s="155"/>
      <c r="AH330" s="56"/>
      <c r="AK330" s="155"/>
      <c r="AL330" s="56"/>
      <c r="AM330" s="56"/>
      <c r="AN330" s="56"/>
    </row>
    <row r="331" spans="1:40" x14ac:dyDescent="0.25">
      <c r="A331" s="56"/>
      <c r="C331" s="56"/>
      <c r="D331" s="56"/>
      <c r="E331" s="56"/>
      <c r="F331" s="56"/>
      <c r="J331" s="56"/>
      <c r="K331" s="56"/>
      <c r="L331" s="56"/>
      <c r="M331" s="56"/>
      <c r="N331" s="56"/>
      <c r="O331" s="56"/>
      <c r="P331" s="56"/>
      <c r="Q331" s="56"/>
      <c r="R331" s="56"/>
      <c r="T331" s="56"/>
      <c r="U331" s="56"/>
      <c r="V331" s="56"/>
      <c r="Z331" s="56"/>
      <c r="AA331" s="56"/>
      <c r="AB331" s="56"/>
      <c r="AC331" s="56"/>
      <c r="AD331" s="56"/>
      <c r="AE331" s="56"/>
      <c r="AF331" s="56"/>
      <c r="AG331" s="155"/>
      <c r="AH331" s="56"/>
      <c r="AI331" s="56"/>
      <c r="AJ331" s="56"/>
      <c r="AK331" s="155"/>
      <c r="AL331" s="56"/>
      <c r="AM331" s="56"/>
      <c r="AN331" s="56"/>
    </row>
    <row r="332" spans="1:40" x14ac:dyDescent="0.25">
      <c r="A332" s="56"/>
      <c r="C332" s="56"/>
      <c r="D332" s="56"/>
      <c r="E332" s="56"/>
      <c r="F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T332" s="56"/>
      <c r="U332" s="56"/>
      <c r="V332" s="56"/>
      <c r="Y332" s="56"/>
      <c r="Z332" s="56"/>
      <c r="AA332" s="56"/>
      <c r="AB332" s="56"/>
      <c r="AC332" s="56"/>
      <c r="AD332" s="56"/>
      <c r="AE332" s="56"/>
      <c r="AF332" s="56"/>
      <c r="AG332" s="155"/>
      <c r="AH332" s="56"/>
      <c r="AI332" s="56"/>
      <c r="AJ332" s="56"/>
      <c r="AK332" s="155"/>
      <c r="AL332" s="56"/>
      <c r="AM332" s="56"/>
      <c r="AN332" s="56"/>
    </row>
    <row r="333" spans="1:40" x14ac:dyDescent="0.25">
      <c r="C333" s="56"/>
      <c r="D333" s="56"/>
      <c r="E333" s="56"/>
      <c r="F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T333" s="56"/>
      <c r="U333" s="56"/>
      <c r="V333" s="56"/>
      <c r="Y333" s="56"/>
      <c r="Z333" s="56"/>
      <c r="AA333" s="56"/>
      <c r="AB333" s="56"/>
      <c r="AC333" s="56"/>
      <c r="AD333" s="56"/>
      <c r="AE333" s="56"/>
      <c r="AF333" s="56"/>
      <c r="AG333" s="155"/>
      <c r="AH333" s="56"/>
      <c r="AI333" s="56"/>
      <c r="AJ333" s="56"/>
      <c r="AK333" s="155"/>
      <c r="AL333" s="56"/>
      <c r="AM333" s="56"/>
      <c r="AN333" s="56"/>
    </row>
    <row r="334" spans="1:40" x14ac:dyDescent="0.25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154"/>
      <c r="AH334" s="55"/>
      <c r="AI334" s="55"/>
      <c r="AJ334" s="55"/>
      <c r="AK334" s="154"/>
      <c r="AL334" s="55"/>
      <c r="AM334" s="55"/>
      <c r="AN334" s="55"/>
    </row>
    <row r="335" spans="1:40" x14ac:dyDescent="0.25"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Y335" s="56"/>
      <c r="Z335" s="56"/>
      <c r="AA335" s="56"/>
      <c r="AB335" s="56"/>
      <c r="AC335" s="56"/>
      <c r="AD335" s="56"/>
      <c r="AE335" s="56"/>
      <c r="AF335" s="56"/>
      <c r="AG335" s="155"/>
      <c r="AH335" s="56"/>
      <c r="AI335" s="56"/>
      <c r="AJ335" s="56"/>
      <c r="AK335" s="155"/>
      <c r="AL335" s="56"/>
      <c r="AM335" s="56"/>
      <c r="AN335" s="56"/>
    </row>
    <row r="336" spans="1:40" x14ac:dyDescent="0.25">
      <c r="A336" s="53"/>
      <c r="C336" s="54"/>
      <c r="D336" s="54"/>
      <c r="E336" s="54"/>
      <c r="T336" s="54"/>
      <c r="U336" s="54"/>
    </row>
    <row r="337" spans="1:40" x14ac:dyDescent="0.25">
      <c r="D337" s="54"/>
      <c r="E337" s="54"/>
      <c r="U337" s="54"/>
    </row>
    <row r="339" spans="1:40" x14ac:dyDescent="0.25">
      <c r="A339" s="53"/>
      <c r="C339" s="54"/>
      <c r="T339" s="54"/>
    </row>
    <row r="340" spans="1:40" x14ac:dyDescent="0.25">
      <c r="A340" s="53"/>
      <c r="C340" s="54"/>
      <c r="F340" s="449"/>
      <c r="H340" s="449"/>
      <c r="I340" s="449"/>
      <c r="J340" s="221"/>
      <c r="K340" s="221"/>
      <c r="L340" s="379"/>
      <c r="M340" s="379"/>
      <c r="N340" s="50"/>
      <c r="O340" s="50"/>
      <c r="P340" s="379"/>
      <c r="Q340" s="379"/>
      <c r="R340" s="379"/>
      <c r="T340" s="54"/>
      <c r="V340" s="449"/>
      <c r="W340" s="379"/>
      <c r="X340" s="379"/>
      <c r="Y340" s="449"/>
      <c r="Z340" s="221"/>
      <c r="AA340" s="379"/>
      <c r="AB340" s="379"/>
      <c r="AC340" s="50"/>
      <c r="AD340" s="50"/>
      <c r="AE340" s="379"/>
      <c r="AF340" s="379"/>
      <c r="AG340" s="156"/>
      <c r="AH340" s="60"/>
      <c r="AI340" s="379"/>
      <c r="AJ340" s="379"/>
      <c r="AK340" s="156"/>
      <c r="AL340" s="379"/>
      <c r="AM340" s="50"/>
      <c r="AN340" s="50"/>
    </row>
    <row r="341" spans="1:40" x14ac:dyDescent="0.25">
      <c r="A341" s="53"/>
      <c r="C341" s="54"/>
      <c r="F341" s="379"/>
      <c r="H341" s="379"/>
      <c r="I341" s="379"/>
      <c r="J341" s="464"/>
      <c r="K341" s="464"/>
      <c r="L341" s="379"/>
      <c r="M341" s="379"/>
      <c r="N341" s="50"/>
      <c r="O341" s="50"/>
      <c r="P341" s="379"/>
      <c r="Q341" s="379"/>
      <c r="R341" s="379"/>
      <c r="T341" s="54"/>
      <c r="V341" s="449"/>
      <c r="W341" s="379"/>
      <c r="X341" s="379"/>
      <c r="Y341" s="449"/>
      <c r="Z341" s="464"/>
      <c r="AA341" s="379"/>
      <c r="AB341" s="379"/>
      <c r="AC341" s="50"/>
      <c r="AD341" s="50"/>
      <c r="AE341" s="379"/>
      <c r="AF341" s="379"/>
      <c r="AG341" s="156"/>
      <c r="AH341" s="60"/>
      <c r="AI341" s="379"/>
      <c r="AJ341" s="379"/>
      <c r="AK341" s="156"/>
      <c r="AL341" s="379"/>
      <c r="AM341" s="50"/>
      <c r="AN341" s="50"/>
    </row>
    <row r="342" spans="1:40" x14ac:dyDescent="0.25">
      <c r="A342" s="53"/>
      <c r="C342" s="54"/>
      <c r="F342" s="449"/>
      <c r="H342" s="449"/>
      <c r="I342" s="449"/>
      <c r="J342" s="221"/>
      <c r="K342" s="221"/>
      <c r="L342" s="379"/>
      <c r="M342" s="379"/>
      <c r="N342" s="50"/>
      <c r="O342" s="50"/>
      <c r="P342" s="379"/>
      <c r="Q342" s="379"/>
      <c r="R342" s="379"/>
      <c r="T342" s="54"/>
      <c r="V342" s="449"/>
      <c r="W342" s="379"/>
      <c r="X342" s="379"/>
      <c r="Y342" s="449"/>
      <c r="Z342" s="221"/>
      <c r="AA342" s="379"/>
      <c r="AB342" s="379"/>
      <c r="AC342" s="50"/>
      <c r="AD342" s="50"/>
      <c r="AE342" s="379"/>
      <c r="AF342" s="379"/>
      <c r="AG342" s="156"/>
      <c r="AH342" s="60"/>
      <c r="AI342" s="379"/>
      <c r="AJ342" s="379"/>
      <c r="AK342" s="156"/>
      <c r="AL342" s="379"/>
      <c r="AM342" s="50"/>
      <c r="AN342" s="50"/>
    </row>
    <row r="343" spans="1:40" x14ac:dyDescent="0.25">
      <c r="A343" s="53"/>
      <c r="C343" s="54"/>
      <c r="F343" s="449"/>
      <c r="H343" s="449"/>
      <c r="I343" s="449"/>
      <c r="J343" s="221"/>
      <c r="K343" s="221"/>
      <c r="L343" s="379"/>
      <c r="M343" s="379"/>
      <c r="N343" s="50"/>
      <c r="O343" s="50"/>
      <c r="P343" s="379"/>
      <c r="Q343" s="379"/>
      <c r="R343" s="379"/>
      <c r="T343" s="54"/>
      <c r="V343" s="449"/>
      <c r="W343" s="379"/>
      <c r="X343" s="379"/>
      <c r="Y343" s="449"/>
      <c r="Z343" s="221"/>
      <c r="AA343" s="379"/>
      <c r="AB343" s="379"/>
      <c r="AC343" s="50"/>
      <c r="AD343" s="50"/>
      <c r="AE343" s="379"/>
      <c r="AF343" s="379"/>
      <c r="AG343" s="156"/>
      <c r="AH343" s="60"/>
      <c r="AI343" s="379"/>
      <c r="AJ343" s="379"/>
      <c r="AK343" s="156"/>
      <c r="AL343" s="379"/>
      <c r="AM343" s="50"/>
      <c r="AN343" s="50"/>
    </row>
    <row r="344" spans="1:40" x14ac:dyDescent="0.25">
      <c r="A344" s="53"/>
      <c r="C344" s="54"/>
      <c r="F344" s="449"/>
      <c r="H344" s="449"/>
      <c r="I344" s="449"/>
      <c r="J344" s="221"/>
      <c r="K344" s="221"/>
      <c r="L344" s="379"/>
      <c r="M344" s="379"/>
      <c r="N344" s="50"/>
      <c r="O344" s="50"/>
      <c r="P344" s="379"/>
      <c r="Q344" s="379"/>
      <c r="R344" s="379"/>
      <c r="T344" s="54"/>
      <c r="V344" s="449"/>
      <c r="W344" s="379"/>
      <c r="X344" s="379"/>
      <c r="Y344" s="449"/>
      <c r="Z344" s="221"/>
      <c r="AA344" s="379"/>
      <c r="AB344" s="379"/>
      <c r="AC344" s="50"/>
      <c r="AD344" s="50"/>
      <c r="AE344" s="379"/>
      <c r="AF344" s="379"/>
      <c r="AG344" s="156"/>
      <c r="AH344" s="60"/>
      <c r="AI344" s="379"/>
      <c r="AJ344" s="379"/>
      <c r="AK344" s="156"/>
      <c r="AL344" s="379"/>
      <c r="AM344" s="50"/>
      <c r="AN344" s="50"/>
    </row>
    <row r="345" spans="1:40" x14ac:dyDescent="0.25">
      <c r="A345" s="53"/>
      <c r="C345" s="54"/>
      <c r="F345" s="379"/>
      <c r="H345" s="379"/>
      <c r="I345" s="379"/>
      <c r="J345" s="221"/>
      <c r="K345" s="221"/>
      <c r="L345" s="379"/>
      <c r="M345" s="379"/>
      <c r="N345" s="50"/>
      <c r="O345" s="50"/>
      <c r="P345" s="379"/>
      <c r="Q345" s="379"/>
      <c r="R345" s="379"/>
      <c r="T345" s="54"/>
      <c r="V345" s="449"/>
      <c r="W345" s="379"/>
      <c r="X345" s="379"/>
      <c r="Y345" s="449"/>
      <c r="Z345" s="221"/>
      <c r="AA345" s="379"/>
      <c r="AB345" s="379"/>
      <c r="AC345" s="50"/>
      <c r="AD345" s="50"/>
      <c r="AE345" s="379"/>
      <c r="AF345" s="379"/>
      <c r="AG345" s="156"/>
      <c r="AH345" s="60"/>
      <c r="AI345" s="379"/>
      <c r="AJ345" s="379"/>
      <c r="AK345" s="156"/>
      <c r="AL345" s="379"/>
      <c r="AM345" s="50"/>
      <c r="AN345" s="50"/>
    </row>
    <row r="346" spans="1:40" x14ac:dyDescent="0.25">
      <c r="A346" s="53"/>
      <c r="C346" s="54"/>
      <c r="F346" s="379"/>
      <c r="H346" s="379"/>
      <c r="I346" s="379"/>
      <c r="J346" s="221"/>
      <c r="K346" s="221"/>
      <c r="L346" s="379"/>
      <c r="M346" s="379"/>
      <c r="N346" s="50"/>
      <c r="O346" s="50"/>
      <c r="P346" s="379"/>
      <c r="Q346" s="379"/>
      <c r="R346" s="379"/>
      <c r="T346" s="54"/>
      <c r="V346" s="449"/>
      <c r="W346" s="379"/>
      <c r="X346" s="379"/>
      <c r="Y346" s="449"/>
      <c r="Z346" s="221"/>
      <c r="AA346" s="379"/>
      <c r="AB346" s="379"/>
      <c r="AC346" s="50"/>
      <c r="AD346" s="50"/>
      <c r="AE346" s="379"/>
      <c r="AF346" s="379"/>
      <c r="AG346" s="156"/>
      <c r="AH346" s="60"/>
      <c r="AI346" s="379"/>
      <c r="AJ346" s="379"/>
      <c r="AK346" s="156"/>
      <c r="AL346" s="379"/>
      <c r="AM346" s="50"/>
      <c r="AN346" s="50"/>
    </row>
    <row r="347" spans="1:40" x14ac:dyDescent="0.25">
      <c r="F347" s="63"/>
      <c r="H347" s="479"/>
      <c r="I347" s="479"/>
      <c r="J347" s="221"/>
      <c r="K347" s="221"/>
      <c r="L347" s="63"/>
      <c r="M347" s="63"/>
      <c r="N347" s="381"/>
      <c r="O347" s="381"/>
      <c r="P347" s="63"/>
      <c r="Q347" s="63"/>
      <c r="R347" s="63"/>
      <c r="V347" s="63"/>
      <c r="W347" s="379"/>
      <c r="X347" s="379"/>
      <c r="Y347" s="63"/>
      <c r="Z347" s="221"/>
      <c r="AA347" s="63"/>
      <c r="AB347" s="63"/>
      <c r="AC347" s="64"/>
      <c r="AD347" s="64"/>
      <c r="AE347" s="63"/>
      <c r="AF347" s="63"/>
      <c r="AG347" s="156"/>
      <c r="AH347" s="60"/>
      <c r="AI347" s="63"/>
      <c r="AJ347" s="63"/>
      <c r="AK347" s="154"/>
      <c r="AL347" s="63"/>
      <c r="AM347" s="50"/>
      <c r="AN347" s="50"/>
    </row>
    <row r="348" spans="1:40" x14ac:dyDescent="0.25">
      <c r="A348" s="53"/>
      <c r="C348" s="54"/>
      <c r="F348" s="379"/>
      <c r="H348" s="379"/>
      <c r="I348" s="379"/>
      <c r="J348" s="221"/>
      <c r="K348" s="221"/>
      <c r="L348" s="379"/>
      <c r="M348" s="379"/>
      <c r="N348" s="60"/>
      <c r="O348" s="60"/>
      <c r="P348" s="379"/>
      <c r="Q348" s="379"/>
      <c r="R348" s="379"/>
      <c r="T348" s="56"/>
      <c r="V348" s="379"/>
      <c r="W348" s="379"/>
      <c r="X348" s="379"/>
      <c r="Y348" s="379"/>
      <c r="Z348" s="221"/>
      <c r="AA348" s="379"/>
      <c r="AB348" s="379"/>
      <c r="AC348" s="60"/>
      <c r="AD348" s="60"/>
      <c r="AE348" s="379"/>
      <c r="AF348" s="379"/>
      <c r="AG348" s="156"/>
      <c r="AH348" s="60"/>
      <c r="AI348" s="379"/>
      <c r="AJ348" s="379"/>
      <c r="AK348" s="156"/>
      <c r="AL348" s="379"/>
      <c r="AM348" s="50"/>
      <c r="AN348" s="50"/>
    </row>
    <row r="349" spans="1:40" x14ac:dyDescent="0.25">
      <c r="F349" s="55"/>
      <c r="H349" s="55"/>
      <c r="I349" s="55"/>
      <c r="L349" s="55"/>
      <c r="M349" s="55"/>
      <c r="N349" s="64"/>
      <c r="O349" s="64"/>
      <c r="P349" s="63"/>
      <c r="Q349" s="63"/>
      <c r="R349" s="63"/>
      <c r="V349" s="63"/>
      <c r="Y349" s="63"/>
      <c r="Z349" s="464"/>
      <c r="AA349" s="63"/>
      <c r="AB349" s="63"/>
      <c r="AC349" s="63"/>
      <c r="AD349" s="63"/>
      <c r="AE349" s="63"/>
      <c r="AF349" s="63"/>
      <c r="AI349" s="63"/>
      <c r="AJ349" s="63"/>
      <c r="AK349" s="154"/>
      <c r="AL349" s="63"/>
      <c r="AM349" s="64"/>
      <c r="AN349" s="64"/>
    </row>
    <row r="350" spans="1:40" x14ac:dyDescent="0.25">
      <c r="AI350" s="53"/>
      <c r="AJ350" s="53"/>
    </row>
    <row r="354" spans="1:40" x14ac:dyDescent="0.25">
      <c r="N354" s="379"/>
      <c r="O354" s="379"/>
      <c r="P354" s="379"/>
      <c r="Q354" s="379"/>
      <c r="R354" s="379"/>
      <c r="V354" s="379"/>
      <c r="Y354" s="379"/>
      <c r="Z354" s="59"/>
      <c r="AA354" s="379"/>
      <c r="AB354" s="379"/>
      <c r="AC354" s="50"/>
      <c r="AD354" s="50"/>
      <c r="AE354" s="379"/>
      <c r="AF354" s="379"/>
      <c r="AG354" s="156"/>
      <c r="AH354" s="60"/>
      <c r="AI354" s="379"/>
      <c r="AJ354" s="379"/>
      <c r="AK354" s="156"/>
      <c r="AL354" s="379"/>
      <c r="AM354" s="50"/>
      <c r="AN354" s="50"/>
    </row>
    <row r="355" spans="1:40" x14ac:dyDescent="0.25">
      <c r="A355" s="53"/>
      <c r="C355" s="54"/>
      <c r="D355" s="54"/>
      <c r="E355" s="54"/>
      <c r="J355" s="65"/>
      <c r="K355" s="65"/>
      <c r="T355" s="54"/>
      <c r="U355" s="54"/>
      <c r="Z355" s="65"/>
      <c r="AE355" s="379"/>
      <c r="AF355" s="379"/>
      <c r="AI355" s="379"/>
      <c r="AJ355" s="379"/>
      <c r="AK355" s="156"/>
      <c r="AL355" s="379"/>
      <c r="AM355" s="50"/>
      <c r="AN355" s="50"/>
    </row>
    <row r="356" spans="1:40" x14ac:dyDescent="0.25">
      <c r="D356" s="54"/>
      <c r="E356" s="54"/>
      <c r="F356" s="379"/>
      <c r="H356" s="379"/>
      <c r="I356" s="379"/>
      <c r="J356" s="221"/>
      <c r="K356" s="221"/>
      <c r="L356" s="379"/>
      <c r="M356" s="379"/>
      <c r="N356" s="50"/>
      <c r="O356" s="50"/>
      <c r="P356" s="379"/>
      <c r="Q356" s="379"/>
      <c r="R356" s="379"/>
      <c r="U356" s="54"/>
      <c r="V356" s="379"/>
      <c r="Y356" s="379"/>
      <c r="Z356" s="221"/>
      <c r="AA356" s="379"/>
      <c r="AB356" s="379"/>
      <c r="AC356" s="50"/>
      <c r="AD356" s="50"/>
      <c r="AE356" s="379"/>
      <c r="AF356" s="379"/>
      <c r="AG356" s="156"/>
      <c r="AH356" s="60"/>
      <c r="AI356" s="379"/>
      <c r="AJ356" s="379"/>
      <c r="AK356" s="156"/>
      <c r="AL356" s="379"/>
      <c r="AM356" s="50"/>
      <c r="AN356" s="50"/>
    </row>
    <row r="357" spans="1:40" x14ac:dyDescent="0.25">
      <c r="F357" s="379"/>
      <c r="H357" s="379"/>
      <c r="I357" s="379"/>
      <c r="J357" s="464"/>
      <c r="K357" s="464"/>
      <c r="L357" s="379"/>
      <c r="M357" s="379"/>
      <c r="N357" s="379"/>
      <c r="O357" s="379"/>
      <c r="P357" s="379"/>
      <c r="Q357" s="379"/>
      <c r="R357" s="379"/>
      <c r="V357" s="379"/>
      <c r="Y357" s="379"/>
      <c r="Z357" s="464"/>
      <c r="AA357" s="379"/>
      <c r="AB357" s="379"/>
      <c r="AC357" s="379"/>
      <c r="AD357" s="379"/>
      <c r="AE357" s="379"/>
      <c r="AF357" s="379"/>
      <c r="AG357" s="156"/>
      <c r="AH357" s="60"/>
      <c r="AI357" s="449"/>
      <c r="AJ357" s="449"/>
      <c r="AK357" s="156"/>
      <c r="AL357" s="379"/>
      <c r="AM357" s="50"/>
      <c r="AN357" s="50"/>
    </row>
    <row r="358" spans="1:40" x14ac:dyDescent="0.25">
      <c r="A358" s="53"/>
      <c r="C358" s="54"/>
      <c r="F358" s="449"/>
      <c r="H358" s="449"/>
      <c r="I358" s="449"/>
      <c r="J358" s="463"/>
      <c r="K358" s="463"/>
      <c r="L358" s="379"/>
      <c r="M358" s="379"/>
      <c r="N358" s="50"/>
      <c r="O358" s="50"/>
      <c r="P358" s="379"/>
      <c r="Q358" s="379"/>
      <c r="R358" s="379"/>
      <c r="T358" s="54"/>
      <c r="V358" s="449"/>
      <c r="Y358" s="449"/>
      <c r="Z358" s="463"/>
      <c r="AA358" s="379"/>
      <c r="AB358" s="379"/>
      <c r="AC358" s="50"/>
      <c r="AD358" s="50"/>
      <c r="AE358" s="379"/>
      <c r="AF358" s="379"/>
      <c r="AG358" s="156"/>
      <c r="AH358" s="60"/>
      <c r="AI358" s="379"/>
      <c r="AJ358" s="379"/>
      <c r="AK358" s="156"/>
      <c r="AL358" s="379"/>
      <c r="AM358" s="50"/>
      <c r="AN358" s="50"/>
    </row>
    <row r="359" spans="1:40" x14ac:dyDescent="0.25">
      <c r="F359" s="55"/>
      <c r="H359" s="55"/>
      <c r="I359" s="55"/>
      <c r="L359" s="55"/>
      <c r="M359" s="55"/>
      <c r="N359" s="55"/>
      <c r="O359" s="55"/>
      <c r="P359" s="55"/>
      <c r="Q359" s="55"/>
      <c r="R359" s="55"/>
      <c r="V359" s="55"/>
      <c r="Y359" s="55"/>
      <c r="AA359" s="55"/>
      <c r="AB359" s="55"/>
      <c r="AC359" s="55"/>
      <c r="AD359" s="55"/>
      <c r="AE359" s="55"/>
      <c r="AF359" s="55"/>
      <c r="AG359" s="154"/>
      <c r="AH359" s="55"/>
      <c r="AI359" s="55"/>
      <c r="AJ359" s="55"/>
      <c r="AK359" s="154"/>
      <c r="AL359" s="55"/>
      <c r="AM359" s="55"/>
      <c r="AN359" s="55"/>
    </row>
    <row r="360" spans="1:40" x14ac:dyDescent="0.25">
      <c r="A360" s="53"/>
      <c r="C360" s="56"/>
      <c r="F360" s="449"/>
      <c r="H360" s="449"/>
      <c r="I360" s="449"/>
      <c r="J360" s="461"/>
      <c r="K360" s="461"/>
      <c r="L360" s="449"/>
      <c r="M360" s="449"/>
      <c r="N360" s="50"/>
      <c r="O360" s="50"/>
      <c r="P360" s="449"/>
      <c r="Q360" s="449"/>
      <c r="R360" s="449"/>
      <c r="T360" s="56"/>
      <c r="V360" s="379"/>
      <c r="Y360" s="379"/>
      <c r="Z360" s="59"/>
      <c r="AA360" s="379"/>
      <c r="AB360" s="379"/>
      <c r="AC360" s="50"/>
      <c r="AD360" s="50"/>
      <c r="AE360" s="53"/>
      <c r="AF360" s="53"/>
      <c r="AG360" s="156"/>
      <c r="AH360" s="60"/>
      <c r="AI360" s="379"/>
      <c r="AJ360" s="379"/>
      <c r="AK360" s="156"/>
      <c r="AL360" s="379"/>
      <c r="AM360" s="50"/>
      <c r="AN360" s="50"/>
    </row>
    <row r="361" spans="1:40" x14ac:dyDescent="0.25">
      <c r="F361" s="63"/>
      <c r="H361" s="63"/>
      <c r="I361" s="63"/>
      <c r="J361" s="464"/>
      <c r="K361" s="464"/>
      <c r="L361" s="63"/>
      <c r="M361" s="63"/>
      <c r="N361" s="63"/>
      <c r="O361" s="63"/>
      <c r="P361" s="63"/>
      <c r="Q361" s="63"/>
      <c r="R361" s="63"/>
      <c r="V361" s="55"/>
      <c r="Y361" s="55"/>
      <c r="AA361" s="55"/>
      <c r="AB361" s="55"/>
      <c r="AC361" s="55"/>
      <c r="AD361" s="55"/>
      <c r="AE361" s="55"/>
      <c r="AF361" s="55"/>
      <c r="AG361" s="154"/>
      <c r="AH361" s="55"/>
      <c r="AI361" s="55"/>
      <c r="AJ361" s="55"/>
      <c r="AK361" s="154"/>
      <c r="AL361" s="55"/>
      <c r="AM361" s="55"/>
      <c r="AN361" s="55"/>
    </row>
    <row r="362" spans="1:40" x14ac:dyDescent="0.25">
      <c r="F362" s="449"/>
      <c r="H362" s="449"/>
      <c r="I362" s="449"/>
      <c r="J362" s="477"/>
      <c r="K362" s="477"/>
      <c r="L362" s="379"/>
      <c r="M362" s="379"/>
      <c r="N362" s="50"/>
      <c r="O362" s="50"/>
      <c r="P362" s="379"/>
      <c r="Q362" s="379"/>
      <c r="R362" s="379"/>
    </row>
    <row r="363" spans="1:40" x14ac:dyDescent="0.25">
      <c r="A363" s="54"/>
      <c r="F363" s="449"/>
      <c r="H363" s="449"/>
      <c r="I363" s="449"/>
      <c r="J363" s="461"/>
      <c r="K363" s="461"/>
      <c r="L363" s="379"/>
      <c r="M363" s="379"/>
      <c r="N363" s="50"/>
      <c r="O363" s="50"/>
      <c r="P363" s="379"/>
      <c r="Q363" s="379"/>
      <c r="R363" s="379"/>
    </row>
    <row r="364" spans="1:40" x14ac:dyDescent="0.25">
      <c r="F364" s="449"/>
      <c r="H364" s="449"/>
      <c r="I364" s="449"/>
      <c r="J364" s="461"/>
      <c r="K364" s="461"/>
      <c r="L364" s="379"/>
      <c r="M364" s="379"/>
      <c r="N364" s="50"/>
      <c r="O364" s="50"/>
      <c r="P364" s="379"/>
      <c r="Q364" s="379"/>
      <c r="R364" s="379"/>
    </row>
    <row r="365" spans="1:40" x14ac:dyDescent="0.25">
      <c r="A365" s="54"/>
    </row>
    <row r="367" spans="1:40" x14ac:dyDescent="0.25">
      <c r="J367" s="53"/>
      <c r="K367" s="53"/>
      <c r="Z367" s="53"/>
    </row>
    <row r="368" spans="1:40" x14ac:dyDescent="0.25">
      <c r="H368" s="54"/>
      <c r="I368" s="54"/>
      <c r="Y368" s="54"/>
    </row>
    <row r="369" spans="1:40" x14ac:dyDescent="0.25">
      <c r="J369" s="53"/>
      <c r="K369" s="53"/>
      <c r="Z369" s="53"/>
    </row>
    <row r="370" spans="1:40" x14ac:dyDescent="0.25">
      <c r="L370" s="54"/>
      <c r="M370" s="54"/>
      <c r="AA370" s="54"/>
      <c r="AB370" s="54"/>
    </row>
    <row r="371" spans="1:40" x14ac:dyDescent="0.25">
      <c r="A371" s="53"/>
      <c r="R371" s="54"/>
      <c r="AK371" s="161"/>
      <c r="AL371" s="54"/>
    </row>
    <row r="372" spans="1:40" x14ac:dyDescent="0.25">
      <c r="A372" s="53"/>
      <c r="R372" s="54"/>
      <c r="AK372" s="161"/>
      <c r="AL372" s="54"/>
    </row>
    <row r="373" spans="1:40" x14ac:dyDescent="0.25">
      <c r="A373" s="54"/>
      <c r="R373" s="54"/>
      <c r="AK373" s="161"/>
      <c r="AL373" s="54"/>
    </row>
    <row r="374" spans="1:40" x14ac:dyDescent="0.25">
      <c r="L374" s="54"/>
      <c r="M374" s="54"/>
      <c r="R374" s="53"/>
      <c r="AA374" s="54"/>
      <c r="AB374" s="54"/>
      <c r="AK374" s="156"/>
      <c r="AL374" s="53"/>
    </row>
    <row r="375" spans="1:40" x14ac:dyDescent="0.25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154"/>
      <c r="AH375" s="55"/>
      <c r="AI375" s="55"/>
      <c r="AJ375" s="55"/>
      <c r="AK375" s="154"/>
      <c r="AL375" s="55"/>
      <c r="AM375" s="55"/>
      <c r="AN375" s="55"/>
    </row>
    <row r="376" spans="1:40" x14ac:dyDescent="0.25">
      <c r="L376" s="56"/>
      <c r="M376" s="56"/>
      <c r="N376" s="56"/>
      <c r="O376" s="56"/>
      <c r="R376" s="56"/>
      <c r="AA376" s="56"/>
      <c r="AB376" s="56"/>
      <c r="AC376" s="56"/>
      <c r="AD376" s="56"/>
      <c r="AE376" s="56"/>
      <c r="AF376" s="56"/>
      <c r="AG376" s="155"/>
      <c r="AH376" s="56"/>
      <c r="AK376" s="155"/>
      <c r="AL376" s="56"/>
      <c r="AM376" s="56"/>
      <c r="AN376" s="56"/>
    </row>
    <row r="377" spans="1:40" x14ac:dyDescent="0.25">
      <c r="L377" s="56"/>
      <c r="M377" s="56"/>
      <c r="N377" s="56"/>
      <c r="O377" s="56"/>
      <c r="R377" s="56"/>
      <c r="Z377" s="56"/>
      <c r="AA377" s="56"/>
      <c r="AB377" s="56"/>
      <c r="AC377" s="56"/>
      <c r="AD377" s="56"/>
      <c r="AE377" s="56"/>
      <c r="AF377" s="56"/>
      <c r="AG377" s="155"/>
      <c r="AH377" s="56"/>
      <c r="AK377" s="155"/>
      <c r="AL377" s="56"/>
      <c r="AM377" s="56"/>
      <c r="AN377" s="56"/>
    </row>
    <row r="378" spans="1:40" x14ac:dyDescent="0.25">
      <c r="A378" s="56"/>
      <c r="C378" s="56"/>
      <c r="D378" s="56"/>
      <c r="E378" s="56"/>
      <c r="F378" s="56"/>
      <c r="J378" s="56"/>
      <c r="K378" s="56"/>
      <c r="L378" s="56"/>
      <c r="M378" s="56"/>
      <c r="N378" s="56"/>
      <c r="O378" s="56"/>
      <c r="P378" s="56"/>
      <c r="Q378" s="56"/>
      <c r="R378" s="56"/>
      <c r="T378" s="56"/>
      <c r="U378" s="56"/>
      <c r="V378" s="56"/>
      <c r="Z378" s="56"/>
      <c r="AA378" s="56"/>
      <c r="AB378" s="56"/>
      <c r="AC378" s="56"/>
      <c r="AD378" s="56"/>
      <c r="AE378" s="56"/>
      <c r="AF378" s="56"/>
      <c r="AG378" s="155"/>
      <c r="AH378" s="56"/>
      <c r="AI378" s="56"/>
      <c r="AJ378" s="56"/>
      <c r="AK378" s="155"/>
      <c r="AL378" s="56"/>
      <c r="AM378" s="56"/>
      <c r="AN378" s="56"/>
    </row>
    <row r="379" spans="1:40" x14ac:dyDescent="0.25">
      <c r="A379" s="56"/>
      <c r="C379" s="56"/>
      <c r="D379" s="56"/>
      <c r="E379" s="56"/>
      <c r="F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T379" s="56"/>
      <c r="U379" s="56"/>
      <c r="V379" s="56"/>
      <c r="Y379" s="56"/>
      <c r="Z379" s="56"/>
      <c r="AA379" s="56"/>
      <c r="AB379" s="56"/>
      <c r="AC379" s="56"/>
      <c r="AD379" s="56"/>
      <c r="AE379" s="56"/>
      <c r="AF379" s="56"/>
      <c r="AG379" s="155"/>
      <c r="AH379" s="56"/>
      <c r="AI379" s="56"/>
      <c r="AJ379" s="56"/>
      <c r="AK379" s="155"/>
      <c r="AL379" s="56"/>
      <c r="AM379" s="56"/>
      <c r="AN379" s="56"/>
    </row>
    <row r="380" spans="1:40" x14ac:dyDescent="0.25">
      <c r="C380" s="56"/>
      <c r="D380" s="56"/>
      <c r="E380" s="56"/>
      <c r="F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T380" s="56"/>
      <c r="U380" s="56"/>
      <c r="V380" s="56"/>
      <c r="Y380" s="56"/>
      <c r="Z380" s="56"/>
      <c r="AA380" s="56"/>
      <c r="AB380" s="56"/>
      <c r="AC380" s="56"/>
      <c r="AD380" s="56"/>
      <c r="AE380" s="56"/>
      <c r="AF380" s="56"/>
      <c r="AG380" s="155"/>
      <c r="AH380" s="56"/>
      <c r="AI380" s="56"/>
      <c r="AJ380" s="56"/>
      <c r="AK380" s="155"/>
      <c r="AL380" s="56"/>
      <c r="AM380" s="56"/>
      <c r="AN380" s="56"/>
    </row>
    <row r="381" spans="1:40" x14ac:dyDescent="0.25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154"/>
      <c r="AH381" s="55"/>
      <c r="AI381" s="55"/>
      <c r="AJ381" s="55"/>
      <c r="AK381" s="154"/>
      <c r="AL381" s="55"/>
      <c r="AM381" s="55"/>
      <c r="AN381" s="55"/>
    </row>
    <row r="382" spans="1:40" x14ac:dyDescent="0.25"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Y382" s="56"/>
      <c r="Z382" s="56"/>
      <c r="AA382" s="56"/>
      <c r="AB382" s="56"/>
      <c r="AC382" s="56"/>
      <c r="AD382" s="56"/>
      <c r="AE382" s="56"/>
      <c r="AF382" s="56"/>
      <c r="AG382" s="155"/>
      <c r="AH382" s="56"/>
      <c r="AI382" s="56"/>
      <c r="AJ382" s="56"/>
      <c r="AK382" s="155"/>
      <c r="AL382" s="56"/>
      <c r="AM382" s="56"/>
      <c r="AN382" s="56"/>
    </row>
    <row r="383" spans="1:40" x14ac:dyDescent="0.25">
      <c r="A383" s="53"/>
      <c r="C383" s="54"/>
      <c r="D383" s="54"/>
      <c r="E383" s="54"/>
      <c r="T383" s="54"/>
      <c r="U383" s="54"/>
    </row>
    <row r="385" spans="1:40" x14ac:dyDescent="0.25">
      <c r="A385" s="53"/>
      <c r="C385" s="54"/>
      <c r="T385" s="54"/>
    </row>
    <row r="386" spans="1:40" x14ac:dyDescent="0.25">
      <c r="A386" s="53"/>
      <c r="C386" s="54"/>
      <c r="F386" s="449"/>
      <c r="H386" s="449"/>
      <c r="I386" s="449"/>
      <c r="J386" s="464"/>
      <c r="K386" s="464"/>
      <c r="L386" s="379"/>
      <c r="M386" s="379"/>
      <c r="N386" s="50"/>
      <c r="O386" s="50"/>
      <c r="P386" s="379"/>
      <c r="Q386" s="379"/>
      <c r="R386" s="379"/>
      <c r="T386" s="54"/>
      <c r="V386" s="449"/>
      <c r="Y386" s="449"/>
      <c r="Z386" s="464"/>
      <c r="AA386" s="379"/>
      <c r="AB386" s="379"/>
      <c r="AC386" s="50"/>
      <c r="AD386" s="50"/>
      <c r="AE386" s="379"/>
      <c r="AF386" s="379"/>
      <c r="AG386" s="156"/>
      <c r="AH386" s="60"/>
      <c r="AI386" s="379"/>
      <c r="AJ386" s="379"/>
      <c r="AK386" s="156"/>
      <c r="AL386" s="379"/>
      <c r="AM386" s="50"/>
      <c r="AN386" s="50"/>
    </row>
    <row r="387" spans="1:40" x14ac:dyDescent="0.25">
      <c r="A387" s="53"/>
      <c r="C387" s="54"/>
      <c r="T387" s="54"/>
    </row>
    <row r="388" spans="1:40" x14ac:dyDescent="0.25">
      <c r="A388" s="53"/>
      <c r="C388" s="54"/>
      <c r="F388" s="449"/>
      <c r="H388" s="449"/>
      <c r="I388" s="449"/>
      <c r="J388" s="221"/>
      <c r="K388" s="221"/>
      <c r="L388" s="379"/>
      <c r="M388" s="379"/>
      <c r="N388" s="50"/>
      <c r="O388" s="50"/>
      <c r="P388" s="379"/>
      <c r="Q388" s="379"/>
      <c r="R388" s="379"/>
      <c r="T388" s="54"/>
      <c r="V388" s="379"/>
      <c r="Y388" s="379"/>
      <c r="Z388" s="221"/>
      <c r="AA388" s="379"/>
      <c r="AB388" s="379"/>
      <c r="AC388" s="50"/>
      <c r="AD388" s="50"/>
      <c r="AE388" s="379"/>
      <c r="AF388" s="379"/>
      <c r="AG388" s="156"/>
      <c r="AH388" s="60"/>
      <c r="AI388" s="379"/>
      <c r="AJ388" s="379"/>
      <c r="AK388" s="156"/>
      <c r="AL388" s="379"/>
      <c r="AM388" s="50"/>
      <c r="AN388" s="50"/>
    </row>
    <row r="389" spans="1:40" x14ac:dyDescent="0.25">
      <c r="A389" s="53"/>
      <c r="C389" s="54"/>
      <c r="F389" s="449"/>
      <c r="H389" s="449"/>
      <c r="I389" s="449"/>
      <c r="J389" s="221"/>
      <c r="K389" s="221"/>
      <c r="L389" s="379"/>
      <c r="M389" s="379"/>
      <c r="N389" s="50"/>
      <c r="O389" s="50"/>
      <c r="P389" s="379"/>
      <c r="Q389" s="379"/>
      <c r="R389" s="379"/>
      <c r="T389" s="54"/>
      <c r="V389" s="379"/>
      <c r="Y389" s="379"/>
      <c r="Z389" s="221"/>
      <c r="AA389" s="379"/>
      <c r="AB389" s="379"/>
      <c r="AC389" s="50"/>
      <c r="AD389" s="50"/>
      <c r="AE389" s="379"/>
      <c r="AF389" s="379"/>
      <c r="AG389" s="156"/>
      <c r="AH389" s="60"/>
      <c r="AI389" s="379"/>
      <c r="AJ389" s="379"/>
      <c r="AK389" s="156"/>
      <c r="AL389" s="379"/>
      <c r="AM389" s="50"/>
      <c r="AN389" s="50"/>
    </row>
    <row r="390" spans="1:40" x14ac:dyDescent="0.25">
      <c r="A390" s="53"/>
      <c r="C390" s="54"/>
      <c r="F390" s="449"/>
      <c r="H390" s="449"/>
      <c r="I390" s="449"/>
      <c r="J390" s="221"/>
      <c r="K390" s="221"/>
      <c r="L390" s="379"/>
      <c r="M390" s="379"/>
      <c r="N390" s="50"/>
      <c r="O390" s="50"/>
      <c r="P390" s="379"/>
      <c r="Q390" s="379"/>
      <c r="R390" s="379"/>
      <c r="T390" s="54"/>
      <c r="V390" s="379"/>
      <c r="Y390" s="379"/>
      <c r="Z390" s="221"/>
      <c r="AA390" s="379"/>
      <c r="AB390" s="379"/>
      <c r="AC390" s="50"/>
      <c r="AD390" s="50"/>
      <c r="AE390" s="379"/>
      <c r="AF390" s="379"/>
      <c r="AG390" s="156"/>
      <c r="AH390" s="60"/>
      <c r="AI390" s="379"/>
      <c r="AJ390" s="379"/>
      <c r="AK390" s="156"/>
      <c r="AL390" s="379"/>
      <c r="AM390" s="50"/>
      <c r="AN390" s="50"/>
    </row>
    <row r="391" spans="1:40" x14ac:dyDescent="0.25">
      <c r="A391" s="53"/>
      <c r="C391" s="54"/>
      <c r="F391" s="449"/>
      <c r="H391" s="449"/>
      <c r="I391" s="449"/>
      <c r="J391" s="221"/>
      <c r="K391" s="221"/>
      <c r="L391" s="379"/>
      <c r="M391" s="379"/>
      <c r="N391" s="50"/>
      <c r="O391" s="50"/>
      <c r="P391" s="379"/>
      <c r="Q391" s="379"/>
      <c r="R391" s="379"/>
      <c r="T391" s="54"/>
      <c r="V391" s="379"/>
      <c r="Y391" s="379"/>
      <c r="Z391" s="221"/>
      <c r="AA391" s="379"/>
      <c r="AB391" s="379"/>
      <c r="AC391" s="50"/>
      <c r="AD391" s="50"/>
      <c r="AE391" s="379"/>
      <c r="AF391" s="379"/>
      <c r="AG391" s="156"/>
      <c r="AH391" s="60"/>
      <c r="AI391" s="379"/>
      <c r="AJ391" s="379"/>
      <c r="AK391" s="156"/>
      <c r="AL391" s="379"/>
      <c r="AM391" s="50"/>
      <c r="AN391" s="50"/>
    </row>
    <row r="392" spans="1:40" x14ac:dyDescent="0.25">
      <c r="A392" s="53"/>
      <c r="C392" s="54"/>
      <c r="J392" s="65"/>
      <c r="K392" s="65"/>
      <c r="T392" s="54"/>
      <c r="Z392" s="65"/>
    </row>
    <row r="393" spans="1:40" x14ac:dyDescent="0.25">
      <c r="A393" s="53"/>
      <c r="C393" s="54"/>
      <c r="F393" s="449"/>
      <c r="H393" s="449"/>
      <c r="I393" s="449"/>
      <c r="J393" s="221"/>
      <c r="K393" s="221"/>
      <c r="L393" s="379"/>
      <c r="M393" s="379"/>
      <c r="N393" s="50"/>
      <c r="O393" s="50"/>
      <c r="P393" s="379"/>
      <c r="Q393" s="379"/>
      <c r="R393" s="379"/>
      <c r="T393" s="54"/>
      <c r="V393" s="379"/>
      <c r="Y393" s="379"/>
      <c r="Z393" s="221"/>
      <c r="AA393" s="379"/>
      <c r="AB393" s="379"/>
      <c r="AC393" s="50"/>
      <c r="AD393" s="50"/>
      <c r="AE393" s="379"/>
      <c r="AF393" s="379"/>
      <c r="AG393" s="156"/>
      <c r="AH393" s="60"/>
      <c r="AI393" s="379"/>
      <c r="AJ393" s="379"/>
      <c r="AK393" s="156"/>
      <c r="AL393" s="379"/>
      <c r="AM393" s="50"/>
      <c r="AN393" s="50"/>
    </row>
    <row r="394" spans="1:40" x14ac:dyDescent="0.25">
      <c r="A394" s="53"/>
      <c r="C394" s="54"/>
      <c r="F394" s="449"/>
      <c r="H394" s="449"/>
      <c r="I394" s="449"/>
      <c r="J394" s="221"/>
      <c r="K394" s="221"/>
      <c r="L394" s="379"/>
      <c r="M394" s="379"/>
      <c r="N394" s="50"/>
      <c r="O394" s="50"/>
      <c r="P394" s="379"/>
      <c r="Q394" s="379"/>
      <c r="R394" s="379"/>
      <c r="T394" s="54"/>
      <c r="V394" s="379"/>
      <c r="Y394" s="379"/>
      <c r="Z394" s="221"/>
      <c r="AA394" s="379"/>
      <c r="AB394" s="379"/>
      <c r="AC394" s="50"/>
      <c r="AD394" s="50"/>
      <c r="AE394" s="379"/>
      <c r="AF394" s="379"/>
      <c r="AG394" s="156"/>
      <c r="AH394" s="60"/>
      <c r="AI394" s="379"/>
      <c r="AJ394" s="379"/>
      <c r="AK394" s="156"/>
      <c r="AL394" s="379"/>
      <c r="AM394" s="50"/>
      <c r="AN394" s="50"/>
    </row>
    <row r="395" spans="1:40" x14ac:dyDescent="0.25">
      <c r="A395" s="53"/>
      <c r="C395" s="54"/>
      <c r="F395" s="449"/>
      <c r="H395" s="449"/>
      <c r="I395" s="449"/>
      <c r="J395" s="221"/>
      <c r="K395" s="221"/>
      <c r="L395" s="379"/>
      <c r="M395" s="379"/>
      <c r="N395" s="50"/>
      <c r="O395" s="50"/>
      <c r="P395" s="379"/>
      <c r="Q395" s="379"/>
      <c r="R395" s="379"/>
      <c r="T395" s="54"/>
      <c r="V395" s="379"/>
      <c r="Y395" s="379"/>
      <c r="Z395" s="221"/>
      <c r="AA395" s="379"/>
      <c r="AB395" s="379"/>
      <c r="AC395" s="50"/>
      <c r="AD395" s="50"/>
      <c r="AE395" s="379"/>
      <c r="AF395" s="379"/>
      <c r="AG395" s="156"/>
      <c r="AH395" s="60"/>
      <c r="AI395" s="379"/>
      <c r="AJ395" s="379"/>
      <c r="AK395" s="156"/>
      <c r="AL395" s="379"/>
      <c r="AM395" s="50"/>
      <c r="AN395" s="50"/>
    </row>
    <row r="396" spans="1:40" x14ac:dyDescent="0.25">
      <c r="A396" s="53"/>
      <c r="C396" s="54"/>
      <c r="J396" s="65"/>
      <c r="K396" s="65"/>
      <c r="T396" s="54"/>
      <c r="Z396" s="65"/>
    </row>
    <row r="397" spans="1:40" x14ac:dyDescent="0.25">
      <c r="A397" s="53"/>
      <c r="C397" s="54"/>
      <c r="F397" s="449"/>
      <c r="H397" s="449"/>
      <c r="I397" s="449"/>
      <c r="J397" s="221"/>
      <c r="K397" s="221"/>
      <c r="L397" s="379"/>
      <c r="M397" s="379"/>
      <c r="N397" s="50"/>
      <c r="O397" s="50"/>
      <c r="P397" s="379"/>
      <c r="Q397" s="379"/>
      <c r="R397" s="379"/>
      <c r="T397" s="54"/>
      <c r="V397" s="379"/>
      <c r="Y397" s="379"/>
      <c r="Z397" s="221"/>
      <c r="AA397" s="379"/>
      <c r="AB397" s="379"/>
      <c r="AC397" s="50"/>
      <c r="AD397" s="50"/>
      <c r="AE397" s="379"/>
      <c r="AF397" s="379"/>
      <c r="AG397" s="156"/>
      <c r="AH397" s="60"/>
      <c r="AI397" s="379"/>
      <c r="AJ397" s="379"/>
      <c r="AK397" s="156"/>
      <c r="AL397" s="379"/>
      <c r="AM397" s="50"/>
      <c r="AN397" s="50"/>
    </row>
    <row r="398" spans="1:40" x14ac:dyDescent="0.25">
      <c r="A398" s="53"/>
      <c r="C398" s="54"/>
      <c r="F398" s="449"/>
      <c r="H398" s="449"/>
      <c r="I398" s="449"/>
      <c r="J398" s="221"/>
      <c r="K398" s="221"/>
      <c r="L398" s="379"/>
      <c r="M398" s="379"/>
      <c r="N398" s="50"/>
      <c r="O398" s="50"/>
      <c r="P398" s="379"/>
      <c r="Q398" s="379"/>
      <c r="R398" s="379"/>
      <c r="T398" s="54"/>
      <c r="V398" s="379"/>
      <c r="Y398" s="379"/>
      <c r="Z398" s="221"/>
      <c r="AA398" s="379"/>
      <c r="AB398" s="379"/>
      <c r="AC398" s="50"/>
      <c r="AD398" s="50"/>
      <c r="AE398" s="379"/>
      <c r="AF398" s="379"/>
      <c r="AG398" s="156"/>
      <c r="AH398" s="60"/>
      <c r="AI398" s="379"/>
      <c r="AJ398" s="379"/>
      <c r="AK398" s="156"/>
      <c r="AL398" s="379"/>
      <c r="AM398" s="50"/>
      <c r="AN398" s="50"/>
    </row>
    <row r="399" spans="1:40" x14ac:dyDescent="0.25">
      <c r="A399" s="53"/>
      <c r="C399" s="54"/>
      <c r="J399" s="65"/>
      <c r="K399" s="65"/>
      <c r="T399" s="54"/>
      <c r="Z399" s="65"/>
    </row>
    <row r="400" spans="1:40" x14ac:dyDescent="0.25">
      <c r="A400" s="53"/>
      <c r="C400" s="54"/>
      <c r="F400" s="449"/>
      <c r="H400" s="449"/>
      <c r="I400" s="449"/>
      <c r="J400" s="221"/>
      <c r="K400" s="221"/>
      <c r="L400" s="379"/>
      <c r="M400" s="379"/>
      <c r="N400" s="50"/>
      <c r="O400" s="50"/>
      <c r="P400" s="379"/>
      <c r="Q400" s="379"/>
      <c r="R400" s="379"/>
      <c r="T400" s="54"/>
      <c r="V400" s="379"/>
      <c r="Y400" s="379"/>
      <c r="Z400" s="221"/>
      <c r="AA400" s="379"/>
      <c r="AB400" s="379"/>
      <c r="AC400" s="50"/>
      <c r="AD400" s="50"/>
      <c r="AE400" s="379"/>
      <c r="AF400" s="379"/>
      <c r="AG400" s="156"/>
      <c r="AH400" s="60"/>
      <c r="AI400" s="379"/>
      <c r="AJ400" s="379"/>
      <c r="AK400" s="156"/>
      <c r="AL400" s="379"/>
      <c r="AM400" s="50"/>
      <c r="AN400" s="50"/>
    </row>
    <row r="401" spans="1:40" x14ac:dyDescent="0.25">
      <c r="A401" s="53"/>
      <c r="C401" s="54"/>
      <c r="F401" s="449"/>
      <c r="H401" s="449"/>
      <c r="I401" s="449"/>
      <c r="J401" s="221"/>
      <c r="K401" s="221"/>
      <c r="L401" s="379"/>
      <c r="M401" s="379"/>
      <c r="N401" s="50"/>
      <c r="O401" s="50"/>
      <c r="P401" s="379"/>
      <c r="Q401" s="379"/>
      <c r="R401" s="379"/>
      <c r="T401" s="54"/>
      <c r="V401" s="379"/>
      <c r="Y401" s="379"/>
      <c r="Z401" s="221"/>
      <c r="AA401" s="379"/>
      <c r="AB401" s="379"/>
      <c r="AC401" s="50"/>
      <c r="AD401" s="50"/>
      <c r="AE401" s="379"/>
      <c r="AF401" s="379"/>
      <c r="AG401" s="156"/>
      <c r="AH401" s="60"/>
      <c r="AI401" s="379"/>
      <c r="AJ401" s="379"/>
      <c r="AK401" s="156"/>
      <c r="AL401" s="379"/>
      <c r="AM401" s="50"/>
      <c r="AN401" s="50"/>
    </row>
    <row r="402" spans="1:40" x14ac:dyDescent="0.25">
      <c r="A402" s="53"/>
      <c r="C402" s="54"/>
      <c r="F402" s="449"/>
      <c r="H402" s="449"/>
      <c r="I402" s="449"/>
      <c r="J402" s="221"/>
      <c r="K402" s="221"/>
      <c r="L402" s="379"/>
      <c r="M402" s="379"/>
      <c r="N402" s="50"/>
      <c r="O402" s="50"/>
      <c r="P402" s="379"/>
      <c r="Q402" s="379"/>
      <c r="R402" s="379"/>
      <c r="T402" s="54"/>
      <c r="V402" s="379"/>
      <c r="Y402" s="379"/>
      <c r="Z402" s="221"/>
      <c r="AA402" s="379"/>
      <c r="AB402" s="379"/>
      <c r="AC402" s="50"/>
      <c r="AD402" s="50"/>
      <c r="AE402" s="379"/>
      <c r="AF402" s="379"/>
      <c r="AG402" s="156"/>
      <c r="AH402" s="60"/>
      <c r="AI402" s="379"/>
      <c r="AJ402" s="379"/>
      <c r="AK402" s="156"/>
      <c r="AL402" s="379"/>
      <c r="AM402" s="50"/>
      <c r="AN402" s="50"/>
    </row>
    <row r="403" spans="1:40" x14ac:dyDescent="0.25">
      <c r="F403" s="381"/>
      <c r="H403" s="381"/>
      <c r="I403" s="381"/>
      <c r="J403" s="221"/>
      <c r="K403" s="221"/>
      <c r="L403" s="381"/>
      <c r="M403" s="381"/>
      <c r="N403" s="381"/>
      <c r="O403" s="381"/>
      <c r="P403" s="381"/>
      <c r="Q403" s="381"/>
      <c r="R403" s="381"/>
      <c r="V403" s="381"/>
      <c r="Y403" s="381"/>
      <c r="Z403" s="221"/>
      <c r="AA403" s="381"/>
      <c r="AB403" s="381"/>
      <c r="AC403" s="381"/>
      <c r="AD403" s="381"/>
      <c r="AE403" s="381"/>
      <c r="AF403" s="381"/>
      <c r="AI403" s="381"/>
      <c r="AJ403" s="381"/>
      <c r="AK403" s="162"/>
      <c r="AL403" s="381"/>
    </row>
    <row r="404" spans="1:40" x14ac:dyDescent="0.25">
      <c r="A404" s="53"/>
      <c r="C404" s="56"/>
      <c r="F404" s="379"/>
      <c r="H404" s="379"/>
      <c r="I404" s="379"/>
      <c r="J404" s="65"/>
      <c r="K404" s="65"/>
      <c r="L404" s="379"/>
      <c r="M404" s="379"/>
      <c r="N404" s="60"/>
      <c r="O404" s="60"/>
      <c r="P404" s="379"/>
      <c r="Q404" s="379"/>
      <c r="R404" s="379"/>
      <c r="T404" s="56"/>
      <c r="V404" s="379"/>
      <c r="Y404" s="379"/>
      <c r="Z404" s="65"/>
      <c r="AA404" s="379"/>
      <c r="AB404" s="379"/>
      <c r="AC404" s="379"/>
      <c r="AD404" s="379"/>
      <c r="AE404" s="379"/>
      <c r="AF404" s="379"/>
      <c r="AG404" s="156"/>
      <c r="AH404" s="60"/>
      <c r="AI404" s="379"/>
      <c r="AJ404" s="379"/>
      <c r="AK404" s="156"/>
      <c r="AL404" s="379"/>
      <c r="AM404" s="50"/>
      <c r="AN404" s="50"/>
    </row>
    <row r="405" spans="1:40" x14ac:dyDescent="0.25">
      <c r="F405" s="381"/>
      <c r="H405" s="381"/>
      <c r="I405" s="381"/>
      <c r="J405" s="221"/>
      <c r="K405" s="221"/>
      <c r="L405" s="381"/>
      <c r="M405" s="381"/>
      <c r="N405" s="381"/>
      <c r="O405" s="381"/>
      <c r="P405" s="381"/>
      <c r="Q405" s="381"/>
      <c r="R405" s="381"/>
      <c r="V405" s="381"/>
      <c r="Y405" s="381"/>
      <c r="Z405" s="221"/>
      <c r="AA405" s="381"/>
      <c r="AB405" s="381"/>
      <c r="AC405" s="381"/>
      <c r="AD405" s="381"/>
      <c r="AE405" s="381"/>
      <c r="AF405" s="381"/>
      <c r="AI405" s="381"/>
      <c r="AJ405" s="381"/>
      <c r="AK405" s="162"/>
      <c r="AL405" s="381"/>
    </row>
    <row r="406" spans="1:40" x14ac:dyDescent="0.25">
      <c r="A406" s="53"/>
      <c r="C406" s="54"/>
      <c r="J406" s="65"/>
      <c r="K406" s="65"/>
      <c r="T406" s="54"/>
      <c r="Z406" s="65"/>
    </row>
    <row r="407" spans="1:40" x14ac:dyDescent="0.25">
      <c r="A407" s="53"/>
      <c r="C407" s="54"/>
      <c r="J407" s="65"/>
      <c r="K407" s="65"/>
      <c r="T407" s="54"/>
      <c r="Z407" s="65"/>
    </row>
    <row r="408" spans="1:40" x14ac:dyDescent="0.25">
      <c r="A408" s="53"/>
      <c r="C408" s="54"/>
      <c r="F408" s="449"/>
      <c r="H408" s="449"/>
      <c r="I408" s="449"/>
      <c r="J408" s="221"/>
      <c r="K408" s="221"/>
      <c r="L408" s="379"/>
      <c r="M408" s="379"/>
      <c r="N408" s="50"/>
      <c r="O408" s="50"/>
      <c r="P408" s="379"/>
      <c r="Q408" s="379"/>
      <c r="R408" s="379"/>
      <c r="T408" s="54"/>
      <c r="V408" s="379"/>
      <c r="Y408" s="379"/>
      <c r="Z408" s="221"/>
      <c r="AA408" s="379"/>
      <c r="AB408" s="379"/>
      <c r="AC408" s="50"/>
      <c r="AD408" s="50"/>
      <c r="AE408" s="379"/>
      <c r="AF408" s="379"/>
      <c r="AG408" s="156"/>
      <c r="AH408" s="60"/>
      <c r="AI408" s="379"/>
      <c r="AJ408" s="379"/>
      <c r="AK408" s="156"/>
      <c r="AL408" s="379"/>
      <c r="AM408" s="50"/>
      <c r="AN408" s="50"/>
    </row>
    <row r="409" spans="1:40" x14ac:dyDescent="0.25">
      <c r="A409" s="53"/>
      <c r="C409" s="54"/>
      <c r="F409" s="449"/>
      <c r="H409" s="449"/>
      <c r="I409" s="449"/>
      <c r="J409" s="221"/>
      <c r="K409" s="221"/>
      <c r="L409" s="379"/>
      <c r="M409" s="379"/>
      <c r="N409" s="50"/>
      <c r="O409" s="50"/>
      <c r="P409" s="379"/>
      <c r="Q409" s="379"/>
      <c r="R409" s="379"/>
      <c r="T409" s="54"/>
      <c r="V409" s="379"/>
      <c r="Y409" s="379"/>
      <c r="Z409" s="221"/>
      <c r="AA409" s="379"/>
      <c r="AB409" s="379"/>
      <c r="AC409" s="50"/>
      <c r="AD409" s="50"/>
      <c r="AE409" s="379"/>
      <c r="AF409" s="379"/>
      <c r="AG409" s="156"/>
      <c r="AH409" s="60"/>
      <c r="AI409" s="379"/>
      <c r="AJ409" s="379"/>
      <c r="AK409" s="156"/>
      <c r="AL409" s="379"/>
      <c r="AM409" s="50"/>
      <c r="AN409" s="50"/>
    </row>
    <row r="410" spans="1:40" x14ac:dyDescent="0.25">
      <c r="A410" s="53"/>
      <c r="C410" s="54"/>
      <c r="F410" s="449"/>
      <c r="H410" s="449"/>
      <c r="I410" s="449"/>
      <c r="J410" s="221"/>
      <c r="K410" s="221"/>
      <c r="L410" s="379"/>
      <c r="M410" s="379"/>
      <c r="N410" s="50"/>
      <c r="O410" s="50"/>
      <c r="P410" s="379"/>
      <c r="Q410" s="379"/>
      <c r="R410" s="379"/>
      <c r="T410" s="54"/>
      <c r="V410" s="379"/>
      <c r="Y410" s="379"/>
      <c r="Z410" s="221"/>
      <c r="AA410" s="379"/>
      <c r="AB410" s="379"/>
      <c r="AC410" s="50"/>
      <c r="AD410" s="50"/>
      <c r="AE410" s="379"/>
      <c r="AF410" s="379"/>
      <c r="AG410" s="156"/>
      <c r="AH410" s="60"/>
      <c r="AI410" s="379"/>
      <c r="AJ410" s="379"/>
      <c r="AK410" s="156"/>
      <c r="AL410" s="379"/>
      <c r="AM410" s="50"/>
      <c r="AN410" s="50"/>
    </row>
    <row r="411" spans="1:40" x14ac:dyDescent="0.25">
      <c r="A411" s="53"/>
      <c r="C411" s="54"/>
      <c r="F411" s="449"/>
      <c r="H411" s="449"/>
      <c r="I411" s="449"/>
      <c r="J411" s="221"/>
      <c r="K411" s="221"/>
      <c r="L411" s="379"/>
      <c r="M411" s="379"/>
      <c r="N411" s="50"/>
      <c r="O411" s="50"/>
      <c r="P411" s="379"/>
      <c r="Q411" s="379"/>
      <c r="R411" s="379"/>
      <c r="T411" s="54"/>
      <c r="V411" s="379"/>
      <c r="Y411" s="379"/>
      <c r="Z411" s="221"/>
      <c r="AA411" s="379"/>
      <c r="AB411" s="379"/>
      <c r="AC411" s="50"/>
      <c r="AD411" s="50"/>
      <c r="AE411" s="379"/>
      <c r="AF411" s="379"/>
      <c r="AG411" s="156"/>
      <c r="AH411" s="60"/>
      <c r="AI411" s="379"/>
      <c r="AJ411" s="379"/>
      <c r="AK411" s="156"/>
      <c r="AL411" s="379"/>
      <c r="AM411" s="50"/>
      <c r="AN411" s="50"/>
    </row>
    <row r="412" spans="1:40" x14ac:dyDescent="0.25">
      <c r="A412" s="53"/>
      <c r="C412" s="54"/>
      <c r="F412" s="449"/>
      <c r="H412" s="449"/>
      <c r="I412" s="449"/>
      <c r="J412" s="221"/>
      <c r="K412" s="221"/>
      <c r="L412" s="379"/>
      <c r="M412" s="379"/>
      <c r="N412" s="50"/>
      <c r="O412" s="50"/>
      <c r="P412" s="379"/>
      <c r="Q412" s="379"/>
      <c r="R412" s="379"/>
      <c r="T412" s="54"/>
      <c r="V412" s="379"/>
      <c r="Y412" s="379"/>
      <c r="Z412" s="221"/>
      <c r="AA412" s="379"/>
      <c r="AB412" s="379"/>
      <c r="AC412" s="50"/>
      <c r="AD412" s="50"/>
      <c r="AE412" s="379"/>
      <c r="AF412" s="379"/>
      <c r="AG412" s="156"/>
      <c r="AH412" s="60"/>
      <c r="AI412" s="379"/>
      <c r="AJ412" s="379"/>
      <c r="AK412" s="156"/>
      <c r="AL412" s="379"/>
      <c r="AM412" s="50"/>
      <c r="AN412" s="50"/>
    </row>
    <row r="413" spans="1:40" x14ac:dyDescent="0.25">
      <c r="A413" s="53"/>
      <c r="C413" s="54"/>
      <c r="F413" s="449"/>
      <c r="H413" s="449"/>
      <c r="I413" s="449"/>
      <c r="J413" s="221"/>
      <c r="K413" s="221"/>
      <c r="L413" s="379"/>
      <c r="M413" s="379"/>
      <c r="N413" s="50"/>
      <c r="O413" s="50"/>
      <c r="P413" s="379"/>
      <c r="Q413" s="379"/>
      <c r="R413" s="379"/>
      <c r="T413" s="54"/>
      <c r="V413" s="379"/>
      <c r="Y413" s="379"/>
      <c r="Z413" s="221"/>
      <c r="AA413" s="379"/>
      <c r="AB413" s="379"/>
      <c r="AC413" s="50"/>
      <c r="AD413" s="50"/>
      <c r="AE413" s="379"/>
      <c r="AF413" s="379"/>
      <c r="AG413" s="156"/>
      <c r="AH413" s="60"/>
      <c r="AI413" s="379"/>
      <c r="AJ413" s="379"/>
      <c r="AK413" s="156"/>
      <c r="AL413" s="379"/>
      <c r="AM413" s="50"/>
      <c r="AN413" s="50"/>
    </row>
    <row r="414" spans="1:40" x14ac:dyDescent="0.25">
      <c r="A414" s="53"/>
      <c r="C414" s="54"/>
      <c r="F414" s="449"/>
      <c r="H414" s="449"/>
      <c r="I414" s="449"/>
      <c r="J414" s="221"/>
      <c r="K414" s="221"/>
      <c r="L414" s="379"/>
      <c r="M414" s="379"/>
      <c r="N414" s="50"/>
      <c r="O414" s="50"/>
      <c r="P414" s="379"/>
      <c r="Q414" s="379"/>
      <c r="R414" s="379"/>
      <c r="T414" s="54"/>
      <c r="V414" s="379"/>
      <c r="Y414" s="379"/>
      <c r="Z414" s="221"/>
      <c r="AA414" s="379"/>
      <c r="AB414" s="379"/>
      <c r="AC414" s="50"/>
      <c r="AD414" s="50"/>
      <c r="AE414" s="379"/>
      <c r="AF414" s="379"/>
      <c r="AG414" s="156"/>
      <c r="AH414" s="60"/>
      <c r="AI414" s="379"/>
      <c r="AJ414" s="379"/>
      <c r="AK414" s="156"/>
      <c r="AL414" s="379"/>
      <c r="AM414" s="50"/>
      <c r="AN414" s="50"/>
    </row>
    <row r="415" spans="1:40" x14ac:dyDescent="0.25">
      <c r="A415" s="53"/>
      <c r="C415" s="54"/>
      <c r="J415" s="65"/>
      <c r="K415" s="65"/>
      <c r="T415" s="54"/>
      <c r="Z415" s="65"/>
    </row>
    <row r="416" spans="1:40" x14ac:dyDescent="0.25">
      <c r="A416" s="53"/>
      <c r="C416" s="54"/>
      <c r="F416" s="449"/>
      <c r="H416" s="449"/>
      <c r="I416" s="449"/>
      <c r="J416" s="221"/>
      <c r="K416" s="221"/>
      <c r="L416" s="379"/>
      <c r="M416" s="379"/>
      <c r="N416" s="50"/>
      <c r="O416" s="50"/>
      <c r="P416" s="379"/>
      <c r="Q416" s="379"/>
      <c r="R416" s="379"/>
      <c r="T416" s="54"/>
      <c r="V416" s="379"/>
      <c r="Y416" s="379"/>
      <c r="Z416" s="221"/>
      <c r="AA416" s="379"/>
      <c r="AB416" s="379"/>
      <c r="AC416" s="50"/>
      <c r="AD416" s="50"/>
      <c r="AE416" s="379"/>
      <c r="AF416" s="379"/>
      <c r="AG416" s="156"/>
      <c r="AH416" s="60"/>
      <c r="AI416" s="379"/>
      <c r="AJ416" s="379"/>
      <c r="AK416" s="156"/>
      <c r="AL416" s="379"/>
      <c r="AM416" s="50"/>
      <c r="AN416" s="50"/>
    </row>
    <row r="417" spans="1:40" x14ac:dyDescent="0.25">
      <c r="A417" s="53"/>
      <c r="C417" s="54"/>
      <c r="F417" s="449"/>
      <c r="H417" s="449"/>
      <c r="I417" s="449"/>
      <c r="J417" s="221"/>
      <c r="K417" s="221"/>
      <c r="L417" s="379"/>
      <c r="M417" s="379"/>
      <c r="N417" s="50"/>
      <c r="O417" s="50"/>
      <c r="P417" s="379"/>
      <c r="Q417" s="379"/>
      <c r="R417" s="379"/>
      <c r="T417" s="54"/>
      <c r="V417" s="379"/>
      <c r="Y417" s="379"/>
      <c r="Z417" s="221"/>
      <c r="AA417" s="379"/>
      <c r="AB417" s="379"/>
      <c r="AC417" s="50"/>
      <c r="AD417" s="50"/>
      <c r="AE417" s="379"/>
      <c r="AF417" s="379"/>
      <c r="AG417" s="156"/>
      <c r="AH417" s="60"/>
      <c r="AI417" s="379"/>
      <c r="AJ417" s="379"/>
      <c r="AK417" s="156"/>
      <c r="AL417" s="379"/>
      <c r="AM417" s="50"/>
      <c r="AN417" s="50"/>
    </row>
    <row r="418" spans="1:40" x14ac:dyDescent="0.25">
      <c r="A418" s="53"/>
      <c r="C418" s="54"/>
      <c r="F418" s="449"/>
      <c r="H418" s="449"/>
      <c r="I418" s="449"/>
      <c r="J418" s="221"/>
      <c r="K418" s="221"/>
      <c r="L418" s="379"/>
      <c r="M418" s="379"/>
      <c r="N418" s="50"/>
      <c r="O418" s="50"/>
      <c r="P418" s="379"/>
      <c r="Q418" s="379"/>
      <c r="R418" s="379"/>
      <c r="T418" s="54"/>
      <c r="V418" s="379"/>
      <c r="Y418" s="379"/>
      <c r="Z418" s="221"/>
      <c r="AA418" s="379"/>
      <c r="AB418" s="379"/>
      <c r="AC418" s="50"/>
      <c r="AD418" s="50"/>
      <c r="AE418" s="379"/>
      <c r="AF418" s="379"/>
      <c r="AG418" s="156"/>
      <c r="AH418" s="60"/>
      <c r="AI418" s="379"/>
      <c r="AJ418" s="379"/>
      <c r="AK418" s="156"/>
      <c r="AL418" s="379"/>
      <c r="AM418" s="50"/>
      <c r="AN418" s="50"/>
    </row>
    <row r="419" spans="1:40" x14ac:dyDescent="0.25">
      <c r="A419" s="53"/>
      <c r="C419" s="54"/>
      <c r="F419" s="449"/>
      <c r="H419" s="449"/>
      <c r="I419" s="449"/>
      <c r="J419" s="221"/>
      <c r="K419" s="221"/>
      <c r="L419" s="379"/>
      <c r="M419" s="379"/>
      <c r="N419" s="50"/>
      <c r="O419" s="50"/>
      <c r="P419" s="379"/>
      <c r="Q419" s="379"/>
      <c r="R419" s="379"/>
      <c r="T419" s="54"/>
      <c r="V419" s="379"/>
      <c r="Y419" s="379"/>
      <c r="Z419" s="221"/>
      <c r="AA419" s="379"/>
      <c r="AB419" s="379"/>
      <c r="AC419" s="50"/>
      <c r="AD419" s="50"/>
      <c r="AE419" s="379"/>
      <c r="AF419" s="379"/>
      <c r="AG419" s="156"/>
      <c r="AH419" s="60"/>
      <c r="AI419" s="379"/>
      <c r="AJ419" s="379"/>
      <c r="AK419" s="156"/>
      <c r="AL419" s="379"/>
      <c r="AM419" s="50"/>
      <c r="AN419" s="50"/>
    </row>
    <row r="420" spans="1:40" x14ac:dyDescent="0.25">
      <c r="A420" s="53"/>
      <c r="C420" s="54"/>
      <c r="J420" s="65"/>
      <c r="K420" s="65"/>
      <c r="T420" s="54"/>
      <c r="Z420" s="65"/>
    </row>
    <row r="421" spans="1:40" x14ac:dyDescent="0.25">
      <c r="A421" s="53"/>
      <c r="C421" s="54"/>
      <c r="F421" s="449"/>
      <c r="H421" s="449"/>
      <c r="I421" s="449"/>
      <c r="J421" s="221"/>
      <c r="K421" s="221"/>
      <c r="L421" s="379"/>
      <c r="M421" s="379"/>
      <c r="N421" s="50"/>
      <c r="O421" s="50"/>
      <c r="P421" s="379"/>
      <c r="Q421" s="379"/>
      <c r="R421" s="379"/>
      <c r="T421" s="54"/>
      <c r="V421" s="379"/>
      <c r="Y421" s="379"/>
      <c r="Z421" s="221"/>
      <c r="AA421" s="379"/>
      <c r="AB421" s="379"/>
      <c r="AC421" s="50"/>
      <c r="AD421" s="50"/>
      <c r="AE421" s="379"/>
      <c r="AF421" s="379"/>
      <c r="AG421" s="156"/>
      <c r="AH421" s="60"/>
      <c r="AI421" s="379"/>
      <c r="AJ421" s="379"/>
      <c r="AK421" s="156"/>
      <c r="AL421" s="379"/>
      <c r="AM421" s="50"/>
      <c r="AN421" s="50"/>
    </row>
    <row r="422" spans="1:40" x14ac:dyDescent="0.25">
      <c r="A422" s="53"/>
      <c r="C422" s="54"/>
      <c r="F422" s="449"/>
      <c r="H422" s="449"/>
      <c r="I422" s="449"/>
      <c r="J422" s="221"/>
      <c r="K422" s="221"/>
      <c r="L422" s="379"/>
      <c r="M422" s="379"/>
      <c r="N422" s="50"/>
      <c r="O422" s="50"/>
      <c r="P422" s="379"/>
      <c r="Q422" s="379"/>
      <c r="R422" s="379"/>
      <c r="T422" s="54"/>
      <c r="V422" s="379"/>
      <c r="Y422" s="379"/>
      <c r="Z422" s="221"/>
      <c r="AA422" s="379"/>
      <c r="AB422" s="379"/>
      <c r="AC422" s="50"/>
      <c r="AD422" s="50"/>
      <c r="AE422" s="379"/>
      <c r="AF422" s="379"/>
      <c r="AG422" s="156"/>
      <c r="AH422" s="60"/>
      <c r="AI422" s="379"/>
      <c r="AJ422" s="379"/>
      <c r="AK422" s="156"/>
      <c r="AL422" s="379"/>
      <c r="AM422" s="50"/>
      <c r="AN422" s="50"/>
    </row>
    <row r="423" spans="1:40" x14ac:dyDescent="0.25">
      <c r="A423" s="53"/>
      <c r="C423" s="54"/>
      <c r="F423" s="449"/>
      <c r="H423" s="449"/>
      <c r="I423" s="449"/>
      <c r="J423" s="221"/>
      <c r="K423" s="221"/>
      <c r="L423" s="379"/>
      <c r="M423" s="379"/>
      <c r="N423" s="50"/>
      <c r="O423" s="50"/>
      <c r="P423" s="379"/>
      <c r="Q423" s="379"/>
      <c r="R423" s="379"/>
      <c r="T423" s="54"/>
      <c r="V423" s="379"/>
      <c r="Y423" s="379"/>
      <c r="Z423" s="221"/>
      <c r="AA423" s="379"/>
      <c r="AB423" s="379"/>
      <c r="AC423" s="50"/>
      <c r="AD423" s="50"/>
      <c r="AE423" s="379"/>
      <c r="AF423" s="379"/>
      <c r="AG423" s="156"/>
      <c r="AH423" s="60"/>
      <c r="AI423" s="379"/>
      <c r="AJ423" s="379"/>
      <c r="AK423" s="156"/>
      <c r="AL423" s="379"/>
      <c r="AM423" s="50"/>
      <c r="AN423" s="50"/>
    </row>
    <row r="424" spans="1:40" x14ac:dyDescent="0.25">
      <c r="A424" s="53"/>
      <c r="C424" s="54"/>
      <c r="F424" s="449"/>
      <c r="H424" s="449"/>
      <c r="I424" s="449"/>
      <c r="J424" s="221"/>
      <c r="K424" s="221"/>
      <c r="L424" s="379"/>
      <c r="M424" s="379"/>
      <c r="N424" s="50"/>
      <c r="O424" s="50"/>
      <c r="P424" s="379"/>
      <c r="Q424" s="379"/>
      <c r="R424" s="379"/>
      <c r="T424" s="54"/>
      <c r="V424" s="379"/>
      <c r="Y424" s="379"/>
      <c r="Z424" s="221"/>
      <c r="AA424" s="379"/>
      <c r="AB424" s="379"/>
      <c r="AC424" s="50"/>
      <c r="AD424" s="50"/>
      <c r="AE424" s="379"/>
      <c r="AF424" s="379"/>
      <c r="AG424" s="156"/>
      <c r="AH424" s="60"/>
      <c r="AI424" s="379"/>
      <c r="AJ424" s="379"/>
      <c r="AK424" s="156"/>
      <c r="AL424" s="379"/>
      <c r="AM424" s="50"/>
      <c r="AN424" s="50"/>
    </row>
    <row r="425" spans="1:40" x14ac:dyDescent="0.25">
      <c r="A425" s="53"/>
      <c r="C425" s="54"/>
      <c r="F425" s="449"/>
      <c r="H425" s="449"/>
      <c r="I425" s="449"/>
      <c r="J425" s="221"/>
      <c r="K425" s="221"/>
      <c r="L425" s="379"/>
      <c r="M425" s="379"/>
      <c r="N425" s="50"/>
      <c r="O425" s="50"/>
      <c r="P425" s="379"/>
      <c r="Q425" s="379"/>
      <c r="R425" s="379"/>
      <c r="T425" s="54"/>
      <c r="V425" s="379"/>
      <c r="Y425" s="379"/>
      <c r="Z425" s="221"/>
      <c r="AA425" s="379"/>
      <c r="AB425" s="379"/>
      <c r="AC425" s="50"/>
      <c r="AD425" s="50"/>
      <c r="AE425" s="379"/>
      <c r="AF425" s="379"/>
      <c r="AG425" s="156"/>
      <c r="AH425" s="60"/>
      <c r="AI425" s="379"/>
      <c r="AJ425" s="379"/>
      <c r="AK425" s="156"/>
      <c r="AL425" s="379"/>
      <c r="AM425" s="50"/>
      <c r="AN425" s="50"/>
    </row>
    <row r="426" spans="1:40" x14ac:dyDescent="0.25">
      <c r="F426" s="381"/>
      <c r="H426" s="381"/>
      <c r="I426" s="381"/>
      <c r="J426" s="464"/>
      <c r="K426" s="464"/>
      <c r="L426" s="381"/>
      <c r="M426" s="381"/>
      <c r="N426" s="381"/>
      <c r="O426" s="381"/>
      <c r="P426" s="381"/>
      <c r="Q426" s="381"/>
      <c r="R426" s="381"/>
      <c r="V426" s="381"/>
      <c r="Y426" s="381"/>
      <c r="Z426" s="221"/>
      <c r="AA426" s="381"/>
      <c r="AB426" s="381"/>
      <c r="AC426" s="381"/>
      <c r="AD426" s="381"/>
      <c r="AE426" s="381"/>
      <c r="AF426" s="381"/>
      <c r="AI426" s="381"/>
      <c r="AJ426" s="381"/>
      <c r="AK426" s="162"/>
      <c r="AL426" s="381"/>
    </row>
    <row r="427" spans="1:40" x14ac:dyDescent="0.25">
      <c r="A427" s="53"/>
      <c r="C427" s="54"/>
      <c r="F427" s="379"/>
      <c r="H427" s="379"/>
      <c r="I427" s="379"/>
      <c r="L427" s="379"/>
      <c r="M427" s="379"/>
      <c r="N427" s="60"/>
      <c r="O427" s="60"/>
      <c r="P427" s="379"/>
      <c r="Q427" s="379"/>
      <c r="R427" s="379"/>
      <c r="T427" s="54"/>
      <c r="V427" s="379"/>
      <c r="Y427" s="379"/>
      <c r="AA427" s="379"/>
      <c r="AB427" s="379"/>
      <c r="AC427" s="50"/>
      <c r="AD427" s="50"/>
      <c r="AE427" s="379"/>
      <c r="AF427" s="379"/>
      <c r="AG427" s="156"/>
      <c r="AH427" s="60"/>
      <c r="AI427" s="379"/>
      <c r="AJ427" s="379"/>
      <c r="AK427" s="156"/>
      <c r="AL427" s="379"/>
      <c r="AM427" s="50"/>
      <c r="AN427" s="50"/>
    </row>
    <row r="428" spans="1:40" x14ac:dyDescent="0.25">
      <c r="F428" s="381"/>
      <c r="H428" s="381"/>
      <c r="I428" s="381"/>
      <c r="J428" s="464"/>
      <c r="K428" s="464"/>
      <c r="L428" s="381"/>
      <c r="M428" s="381"/>
      <c r="N428" s="381"/>
      <c r="O428" s="381"/>
      <c r="P428" s="381"/>
      <c r="Q428" s="381"/>
      <c r="R428" s="381"/>
      <c r="V428" s="381"/>
      <c r="Y428" s="381"/>
      <c r="Z428" s="464"/>
      <c r="AA428" s="381"/>
      <c r="AB428" s="381"/>
      <c r="AC428" s="381"/>
      <c r="AD428" s="381"/>
      <c r="AE428" s="381"/>
      <c r="AF428" s="381"/>
      <c r="AI428" s="381"/>
      <c r="AJ428" s="381"/>
      <c r="AK428" s="162"/>
      <c r="AL428" s="381"/>
    </row>
    <row r="429" spans="1:40" x14ac:dyDescent="0.25">
      <c r="A429" s="53"/>
      <c r="C429" s="54"/>
      <c r="T429" s="54"/>
    </row>
    <row r="430" spans="1:40" x14ac:dyDescent="0.25">
      <c r="A430" s="53"/>
      <c r="C430" s="54"/>
      <c r="F430" s="449"/>
      <c r="H430" s="449"/>
      <c r="I430" s="449"/>
      <c r="J430" s="461"/>
      <c r="K430" s="461"/>
      <c r="L430" s="379"/>
      <c r="M430" s="379"/>
      <c r="N430" s="50"/>
      <c r="O430" s="50"/>
      <c r="P430" s="379"/>
      <c r="Q430" s="379"/>
      <c r="R430" s="379"/>
      <c r="T430" s="54"/>
      <c r="V430" s="379"/>
      <c r="Y430" s="379"/>
      <c r="Z430" s="461"/>
      <c r="AA430" s="379"/>
      <c r="AB430" s="379"/>
      <c r="AC430" s="50"/>
      <c r="AD430" s="50"/>
      <c r="AE430" s="379"/>
      <c r="AF430" s="379"/>
      <c r="AG430" s="156"/>
      <c r="AH430" s="60"/>
      <c r="AI430" s="379"/>
      <c r="AJ430" s="379"/>
      <c r="AK430" s="156"/>
      <c r="AL430" s="379"/>
      <c r="AM430" s="50"/>
      <c r="AN430" s="50"/>
    </row>
    <row r="431" spans="1:40" x14ac:dyDescent="0.25">
      <c r="A431" s="53"/>
      <c r="C431" s="54"/>
      <c r="F431" s="449"/>
      <c r="H431" s="449"/>
      <c r="I431" s="449"/>
      <c r="J431" s="461"/>
      <c r="K431" s="461"/>
      <c r="L431" s="379"/>
      <c r="M431" s="379"/>
      <c r="N431" s="50"/>
      <c r="O431" s="50"/>
      <c r="P431" s="379"/>
      <c r="Q431" s="379"/>
      <c r="R431" s="379"/>
      <c r="T431" s="54"/>
      <c r="V431" s="379"/>
      <c r="Y431" s="379"/>
      <c r="Z431" s="461"/>
      <c r="AA431" s="379"/>
      <c r="AB431" s="379"/>
      <c r="AC431" s="50"/>
      <c r="AD431" s="50"/>
      <c r="AE431" s="379"/>
      <c r="AF431" s="379"/>
      <c r="AG431" s="156"/>
      <c r="AH431" s="60"/>
      <c r="AI431" s="379"/>
      <c r="AJ431" s="379"/>
      <c r="AK431" s="156"/>
      <c r="AL431" s="379"/>
      <c r="AM431" s="50"/>
      <c r="AN431" s="50"/>
    </row>
    <row r="432" spans="1:40" x14ac:dyDescent="0.25">
      <c r="F432" s="381"/>
      <c r="H432" s="379"/>
      <c r="I432" s="379"/>
      <c r="J432" s="464"/>
      <c r="K432" s="464"/>
      <c r="L432" s="381"/>
      <c r="M432" s="381"/>
      <c r="N432" s="381"/>
      <c r="O432" s="381"/>
      <c r="P432" s="381"/>
      <c r="Q432" s="381"/>
      <c r="R432" s="381"/>
      <c r="V432" s="381"/>
      <c r="Y432" s="379"/>
      <c r="Z432" s="464"/>
      <c r="AA432" s="381"/>
      <c r="AB432" s="381"/>
      <c r="AC432" s="381"/>
      <c r="AD432" s="381"/>
      <c r="AE432" s="381"/>
      <c r="AF432" s="381"/>
      <c r="AI432" s="381"/>
      <c r="AJ432" s="381"/>
      <c r="AK432" s="162"/>
      <c r="AL432" s="381"/>
    </row>
    <row r="433" spans="1:40" x14ac:dyDescent="0.25">
      <c r="F433" s="379"/>
      <c r="H433" s="379"/>
      <c r="I433" s="379"/>
      <c r="J433" s="464"/>
      <c r="K433" s="464"/>
      <c r="L433" s="379"/>
      <c r="M433" s="379"/>
      <c r="N433" s="379"/>
      <c r="O433" s="379"/>
      <c r="P433" s="379"/>
      <c r="Q433" s="379"/>
      <c r="R433" s="379"/>
      <c r="V433" s="379"/>
      <c r="Y433" s="379"/>
      <c r="Z433" s="464"/>
      <c r="AA433" s="379"/>
      <c r="AB433" s="379"/>
      <c r="AC433" s="379"/>
      <c r="AD433" s="379"/>
      <c r="AE433" s="379"/>
      <c r="AF433" s="379"/>
      <c r="AI433" s="379"/>
      <c r="AJ433" s="379"/>
      <c r="AK433" s="156"/>
      <c r="AL433" s="379"/>
    </row>
    <row r="434" spans="1:40" x14ac:dyDescent="0.25">
      <c r="A434" s="53"/>
      <c r="C434" s="54"/>
      <c r="F434" s="379"/>
      <c r="H434" s="379"/>
      <c r="I434" s="379"/>
      <c r="L434" s="379"/>
      <c r="M434" s="379"/>
      <c r="N434" s="50"/>
      <c r="O434" s="50"/>
      <c r="P434" s="379"/>
      <c r="Q434" s="379"/>
      <c r="R434" s="379"/>
      <c r="T434" s="54"/>
      <c r="V434" s="379"/>
      <c r="Y434" s="379"/>
      <c r="AA434" s="379"/>
      <c r="AB434" s="379"/>
      <c r="AC434" s="50"/>
      <c r="AD434" s="50"/>
      <c r="AE434" s="379"/>
      <c r="AF434" s="379"/>
      <c r="AG434" s="156"/>
      <c r="AH434" s="60"/>
      <c r="AI434" s="449"/>
      <c r="AJ434" s="449"/>
      <c r="AK434" s="156"/>
      <c r="AL434" s="379"/>
      <c r="AM434" s="50"/>
      <c r="AN434" s="50"/>
    </row>
    <row r="435" spans="1:40" x14ac:dyDescent="0.25">
      <c r="H435" s="381"/>
      <c r="I435" s="381"/>
      <c r="J435" s="464"/>
      <c r="K435" s="464"/>
      <c r="L435" s="381"/>
      <c r="M435" s="381"/>
      <c r="N435" s="381"/>
      <c r="O435" s="381"/>
      <c r="P435" s="381"/>
      <c r="Q435" s="381"/>
      <c r="R435" s="381"/>
      <c r="V435" s="381"/>
      <c r="Y435" s="381"/>
      <c r="Z435" s="464"/>
      <c r="AA435" s="381"/>
      <c r="AB435" s="381"/>
      <c r="AC435" s="381"/>
      <c r="AD435" s="381"/>
      <c r="AE435" s="381"/>
      <c r="AF435" s="381"/>
      <c r="AI435" s="381"/>
      <c r="AJ435" s="381"/>
      <c r="AK435" s="162"/>
      <c r="AL435" s="381"/>
    </row>
    <row r="436" spans="1:40" x14ac:dyDescent="0.25">
      <c r="F436" s="381"/>
    </row>
    <row r="437" spans="1:40" x14ac:dyDescent="0.25">
      <c r="A437" s="54"/>
      <c r="T437" s="54"/>
    </row>
    <row r="438" spans="1:40" x14ac:dyDescent="0.25">
      <c r="A438" s="54"/>
      <c r="T438" s="54"/>
    </row>
    <row r="439" spans="1:40" x14ac:dyDescent="0.25">
      <c r="A439" s="54"/>
      <c r="T439" s="54"/>
    </row>
    <row r="440" spans="1:40" x14ac:dyDescent="0.25">
      <c r="A440" s="54"/>
      <c r="T440" s="54"/>
    </row>
    <row r="441" spans="1:40" x14ac:dyDescent="0.25">
      <c r="A441" s="54"/>
      <c r="T441" s="54"/>
    </row>
    <row r="442" spans="1:40" x14ac:dyDescent="0.25">
      <c r="A442" s="54"/>
      <c r="T442" s="54"/>
    </row>
    <row r="443" spans="1:40" x14ac:dyDescent="0.25">
      <c r="A443" s="54"/>
      <c r="T443" s="54"/>
    </row>
    <row r="444" spans="1:40" x14ac:dyDescent="0.25">
      <c r="A444" s="54"/>
      <c r="T444" s="54"/>
    </row>
    <row r="445" spans="1:40" x14ac:dyDescent="0.25">
      <c r="A445" s="54"/>
      <c r="T445" s="54"/>
    </row>
    <row r="447" spans="1:40" x14ac:dyDescent="0.25">
      <c r="A447" s="54"/>
    </row>
    <row r="448" spans="1:40" x14ac:dyDescent="0.25">
      <c r="J448" s="53"/>
      <c r="K448" s="53"/>
      <c r="Z448" s="53"/>
    </row>
    <row r="449" spans="1:40" x14ac:dyDescent="0.25">
      <c r="H449" s="54"/>
      <c r="I449" s="54"/>
      <c r="Y449" s="54"/>
    </row>
    <row r="450" spans="1:40" x14ac:dyDescent="0.25">
      <c r="J450" s="53"/>
      <c r="K450" s="53"/>
      <c r="Z450" s="53"/>
    </row>
    <row r="451" spans="1:40" x14ac:dyDescent="0.25">
      <c r="L451" s="54"/>
      <c r="M451" s="54"/>
      <c r="AA451" s="54"/>
      <c r="AB451" s="54"/>
    </row>
    <row r="452" spans="1:40" x14ac:dyDescent="0.25">
      <c r="A452" s="53"/>
      <c r="R452" s="54"/>
      <c r="AK452" s="161"/>
      <c r="AL452" s="54"/>
    </row>
    <row r="453" spans="1:40" x14ac:dyDescent="0.25">
      <c r="A453" s="53"/>
      <c r="R453" s="54"/>
      <c r="AK453" s="161"/>
      <c r="AL453" s="54"/>
    </row>
    <row r="454" spans="1:40" x14ac:dyDescent="0.25">
      <c r="A454" s="54"/>
      <c r="R454" s="54"/>
      <c r="AK454" s="161"/>
      <c r="AL454" s="54"/>
    </row>
    <row r="455" spans="1:40" x14ac:dyDescent="0.25">
      <c r="L455" s="54"/>
      <c r="M455" s="54"/>
      <c r="R455" s="53"/>
      <c r="AA455" s="54"/>
      <c r="AB455" s="54"/>
      <c r="AK455" s="156"/>
      <c r="AL455" s="53"/>
    </row>
    <row r="456" spans="1:40" x14ac:dyDescent="0.25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154"/>
      <c r="AH456" s="55"/>
      <c r="AI456" s="55"/>
      <c r="AJ456" s="55"/>
      <c r="AK456" s="154"/>
      <c r="AL456" s="55"/>
      <c r="AM456" s="55"/>
      <c r="AN456" s="55"/>
    </row>
    <row r="457" spans="1:40" x14ac:dyDescent="0.25">
      <c r="L457" s="56"/>
      <c r="M457" s="56"/>
      <c r="N457" s="56"/>
      <c r="O457" s="56"/>
      <c r="R457" s="56"/>
      <c r="AA457" s="56"/>
      <c r="AB457" s="56"/>
      <c r="AC457" s="56"/>
      <c r="AD457" s="56"/>
      <c r="AE457" s="56"/>
      <c r="AF457" s="56"/>
      <c r="AG457" s="155"/>
      <c r="AH457" s="56"/>
      <c r="AK457" s="155"/>
      <c r="AL457" s="56"/>
      <c r="AM457" s="56"/>
      <c r="AN457" s="56"/>
    </row>
    <row r="458" spans="1:40" x14ac:dyDescent="0.25">
      <c r="L458" s="56"/>
      <c r="M458" s="56"/>
      <c r="N458" s="56"/>
      <c r="O458" s="56"/>
      <c r="R458" s="56"/>
      <c r="Z458" s="56"/>
      <c r="AA458" s="56"/>
      <c r="AB458" s="56"/>
      <c r="AC458" s="56"/>
      <c r="AD458" s="56"/>
      <c r="AE458" s="56"/>
      <c r="AF458" s="56"/>
      <c r="AG458" s="155"/>
      <c r="AH458" s="56"/>
      <c r="AK458" s="155"/>
      <c r="AL458" s="56"/>
      <c r="AM458" s="56"/>
      <c r="AN458" s="56"/>
    </row>
    <row r="459" spans="1:40" x14ac:dyDescent="0.25">
      <c r="A459" s="56"/>
      <c r="C459" s="56"/>
      <c r="D459" s="56"/>
      <c r="E459" s="56"/>
      <c r="F459" s="56"/>
      <c r="J459" s="56"/>
      <c r="K459" s="56"/>
      <c r="L459" s="56"/>
      <c r="M459" s="56"/>
      <c r="N459" s="56"/>
      <c r="O459" s="56"/>
      <c r="P459" s="56"/>
      <c r="Q459" s="56"/>
      <c r="R459" s="56"/>
      <c r="T459" s="56"/>
      <c r="U459" s="56"/>
      <c r="V459" s="56"/>
      <c r="Z459" s="56"/>
      <c r="AA459" s="56"/>
      <c r="AB459" s="56"/>
      <c r="AC459" s="56"/>
      <c r="AD459" s="56"/>
      <c r="AE459" s="56"/>
      <c r="AF459" s="56"/>
      <c r="AG459" s="155"/>
      <c r="AH459" s="56"/>
      <c r="AI459" s="56"/>
      <c r="AJ459" s="56"/>
      <c r="AK459" s="155"/>
      <c r="AL459" s="56"/>
      <c r="AM459" s="56"/>
      <c r="AN459" s="56"/>
    </row>
    <row r="460" spans="1:40" x14ac:dyDescent="0.25">
      <c r="A460" s="56"/>
      <c r="C460" s="56"/>
      <c r="D460" s="56"/>
      <c r="E460" s="56"/>
      <c r="F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T460" s="56"/>
      <c r="U460" s="56"/>
      <c r="V460" s="56"/>
      <c r="Y460" s="56"/>
      <c r="Z460" s="56"/>
      <c r="AA460" s="56"/>
      <c r="AB460" s="56"/>
      <c r="AC460" s="56"/>
      <c r="AD460" s="56"/>
      <c r="AE460" s="56"/>
      <c r="AF460" s="56"/>
      <c r="AG460" s="155"/>
      <c r="AH460" s="56"/>
      <c r="AI460" s="56"/>
      <c r="AJ460" s="56"/>
      <c r="AK460" s="155"/>
      <c r="AL460" s="56"/>
      <c r="AM460" s="56"/>
      <c r="AN460" s="56"/>
    </row>
    <row r="461" spans="1:40" x14ac:dyDescent="0.25">
      <c r="C461" s="56"/>
      <c r="D461" s="56"/>
      <c r="E461" s="56"/>
      <c r="F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T461" s="56"/>
      <c r="U461" s="56"/>
      <c r="V461" s="56"/>
      <c r="Y461" s="56"/>
      <c r="Z461" s="56"/>
      <c r="AA461" s="56"/>
      <c r="AB461" s="56"/>
      <c r="AC461" s="56"/>
      <c r="AD461" s="56"/>
      <c r="AE461" s="56"/>
      <c r="AF461" s="56"/>
      <c r="AG461" s="155"/>
      <c r="AH461" s="56"/>
      <c r="AI461" s="56"/>
      <c r="AJ461" s="56"/>
      <c r="AK461" s="155"/>
      <c r="AL461" s="56"/>
      <c r="AM461" s="56"/>
      <c r="AN461" s="56"/>
    </row>
    <row r="462" spans="1:40" x14ac:dyDescent="0.25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154"/>
      <c r="AH462" s="55"/>
      <c r="AI462" s="55"/>
      <c r="AJ462" s="55"/>
      <c r="AK462" s="154"/>
      <c r="AL462" s="55"/>
      <c r="AM462" s="55"/>
      <c r="AN462" s="55"/>
    </row>
    <row r="463" spans="1:40" x14ac:dyDescent="0.25"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Y463" s="56"/>
      <c r="Z463" s="56"/>
      <c r="AA463" s="56"/>
      <c r="AB463" s="56"/>
      <c r="AC463" s="56"/>
      <c r="AD463" s="56"/>
      <c r="AE463" s="56"/>
      <c r="AF463" s="56"/>
      <c r="AG463" s="155"/>
      <c r="AH463" s="56"/>
      <c r="AI463" s="56"/>
      <c r="AJ463" s="56"/>
      <c r="AK463" s="155"/>
      <c r="AL463" s="56"/>
      <c r="AM463" s="56"/>
      <c r="AN463" s="56"/>
    </row>
    <row r="464" spans="1:40" x14ac:dyDescent="0.25">
      <c r="A464" s="53"/>
      <c r="C464" s="54"/>
      <c r="D464" s="54"/>
      <c r="E464" s="54"/>
      <c r="T464" s="54"/>
      <c r="U464" s="54"/>
    </row>
    <row r="465" spans="1:40" x14ac:dyDescent="0.25">
      <c r="A465" s="53"/>
      <c r="D465" s="54"/>
      <c r="E465" s="54"/>
      <c r="U465" s="54"/>
    </row>
    <row r="467" spans="1:40" x14ac:dyDescent="0.25">
      <c r="A467" s="53"/>
      <c r="C467" s="54"/>
      <c r="F467" s="379"/>
      <c r="J467" s="62"/>
      <c r="K467" s="62"/>
      <c r="L467" s="379"/>
      <c r="M467" s="379"/>
      <c r="R467" s="379"/>
      <c r="T467" s="54"/>
      <c r="V467" s="379"/>
      <c r="Z467" s="62"/>
      <c r="AA467" s="379"/>
      <c r="AB467" s="379"/>
      <c r="AG467" s="156"/>
      <c r="AH467" s="379"/>
      <c r="AK467" s="156"/>
      <c r="AL467" s="379"/>
    </row>
    <row r="468" spans="1:40" x14ac:dyDescent="0.25">
      <c r="A468" s="53"/>
      <c r="C468" s="54"/>
      <c r="F468" s="379"/>
      <c r="R468" s="379"/>
      <c r="T468" s="54"/>
      <c r="V468" s="379"/>
      <c r="AG468" s="156"/>
      <c r="AH468" s="379"/>
      <c r="AK468" s="156"/>
      <c r="AL468" s="379"/>
    </row>
    <row r="469" spans="1:40" x14ac:dyDescent="0.25">
      <c r="AI469" s="379"/>
      <c r="AJ469" s="379"/>
      <c r="AK469" s="156"/>
      <c r="AL469" s="379"/>
      <c r="AM469" s="50"/>
      <c r="AN469" s="50"/>
    </row>
    <row r="470" spans="1:40" x14ac:dyDescent="0.25">
      <c r="A470" s="53"/>
      <c r="C470" s="54"/>
      <c r="F470" s="449"/>
      <c r="H470" s="449"/>
      <c r="I470" s="449"/>
      <c r="J470" s="477"/>
      <c r="K470" s="477"/>
      <c r="L470" s="379"/>
      <c r="M470" s="379"/>
      <c r="N470" s="50"/>
      <c r="O470" s="50"/>
      <c r="P470" s="379"/>
      <c r="Q470" s="379"/>
      <c r="R470" s="379"/>
      <c r="T470" s="54"/>
      <c r="V470" s="379"/>
      <c r="Y470" s="379"/>
      <c r="Z470" s="477"/>
      <c r="AA470" s="379"/>
      <c r="AB470" s="379"/>
      <c r="AC470" s="50"/>
      <c r="AD470" s="50"/>
      <c r="AE470" s="379"/>
      <c r="AF470" s="379"/>
      <c r="AG470" s="156"/>
      <c r="AH470" s="60"/>
      <c r="AI470" s="379"/>
      <c r="AJ470" s="379"/>
      <c r="AK470" s="156"/>
      <c r="AL470" s="379"/>
      <c r="AM470" s="50"/>
      <c r="AN470" s="50"/>
    </row>
    <row r="471" spans="1:40" x14ac:dyDescent="0.25">
      <c r="F471" s="379"/>
      <c r="H471" s="379"/>
      <c r="I471" s="379"/>
      <c r="J471" s="59"/>
      <c r="K471" s="59"/>
      <c r="L471" s="379"/>
      <c r="M471" s="379"/>
      <c r="P471" s="379"/>
      <c r="Q471" s="379"/>
      <c r="R471" s="379"/>
      <c r="V471" s="379"/>
      <c r="Y471" s="379"/>
      <c r="Z471" s="59"/>
      <c r="AA471" s="379"/>
      <c r="AB471" s="379"/>
      <c r="AI471" s="379"/>
      <c r="AJ471" s="379"/>
      <c r="AK471" s="156"/>
      <c r="AL471" s="379"/>
      <c r="AM471" s="50"/>
      <c r="AN471" s="50"/>
    </row>
    <row r="472" spans="1:40" x14ac:dyDescent="0.25">
      <c r="F472" s="379"/>
      <c r="R472" s="379"/>
      <c r="V472" s="379"/>
      <c r="AK472" s="156"/>
      <c r="AL472" s="379"/>
      <c r="AM472" s="50"/>
      <c r="AN472" s="50"/>
    </row>
    <row r="473" spans="1:40" x14ac:dyDescent="0.25">
      <c r="A473" s="53"/>
      <c r="C473" s="54"/>
      <c r="F473" s="379"/>
      <c r="J473" s="62"/>
      <c r="K473" s="62"/>
      <c r="L473" s="379"/>
      <c r="M473" s="379"/>
      <c r="N473" s="50"/>
      <c r="O473" s="50"/>
      <c r="R473" s="379"/>
      <c r="T473" s="54"/>
      <c r="V473" s="379"/>
      <c r="Z473" s="62"/>
      <c r="AA473" s="379"/>
      <c r="AB473" s="379"/>
      <c r="AC473" s="50"/>
      <c r="AD473" s="50"/>
      <c r="AK473" s="156"/>
      <c r="AL473" s="379"/>
      <c r="AM473" s="50"/>
      <c r="AN473" s="50"/>
    </row>
    <row r="474" spans="1:40" x14ac:dyDescent="0.25">
      <c r="A474" s="53"/>
      <c r="C474" s="54"/>
      <c r="F474" s="379"/>
      <c r="H474" s="379"/>
      <c r="I474" s="379"/>
      <c r="J474" s="62"/>
      <c r="K474" s="62"/>
      <c r="L474" s="379"/>
      <c r="M474" s="379"/>
      <c r="N474" s="50"/>
      <c r="O474" s="50"/>
      <c r="P474" s="379"/>
      <c r="Q474" s="379"/>
      <c r="R474" s="379"/>
      <c r="T474" s="54"/>
      <c r="V474" s="379"/>
      <c r="Y474" s="379"/>
      <c r="Z474" s="62"/>
      <c r="AA474" s="379"/>
      <c r="AB474" s="379"/>
      <c r="AC474" s="50"/>
      <c r="AD474" s="50"/>
      <c r="AI474" s="379"/>
      <c r="AJ474" s="379"/>
      <c r="AK474" s="156"/>
      <c r="AL474" s="379"/>
      <c r="AM474" s="50"/>
      <c r="AN474" s="50"/>
    </row>
    <row r="475" spans="1:40" x14ac:dyDescent="0.25">
      <c r="A475" s="53"/>
      <c r="C475" s="54"/>
      <c r="T475" s="54"/>
      <c r="AM475" s="50"/>
      <c r="AN475" s="50"/>
    </row>
    <row r="476" spans="1:40" x14ac:dyDescent="0.25">
      <c r="A476" s="53"/>
      <c r="C476" s="54"/>
      <c r="T476" s="54"/>
      <c r="AM476" s="50"/>
      <c r="AN476" s="50"/>
    </row>
    <row r="477" spans="1:40" x14ac:dyDescent="0.25">
      <c r="AM477" s="50"/>
      <c r="AN477" s="50"/>
    </row>
    <row r="478" spans="1:40" x14ac:dyDescent="0.25">
      <c r="A478" s="53"/>
      <c r="C478" s="54"/>
      <c r="F478" s="449"/>
      <c r="H478" s="449"/>
      <c r="I478" s="449"/>
      <c r="J478" s="477"/>
      <c r="K478" s="477"/>
      <c r="L478" s="379"/>
      <c r="M478" s="379"/>
      <c r="N478" s="50"/>
      <c r="O478" s="50"/>
      <c r="P478" s="379"/>
      <c r="Q478" s="379"/>
      <c r="R478" s="379"/>
      <c r="T478" s="54"/>
      <c r="V478" s="379"/>
      <c r="Y478" s="379"/>
      <c r="Z478" s="477"/>
      <c r="AA478" s="379"/>
      <c r="AB478" s="379"/>
      <c r="AC478" s="50"/>
      <c r="AD478" s="50"/>
      <c r="AE478" s="379"/>
      <c r="AF478" s="379"/>
      <c r="AG478" s="156"/>
      <c r="AH478" s="60"/>
      <c r="AI478" s="379"/>
      <c r="AJ478" s="379"/>
      <c r="AK478" s="156"/>
      <c r="AL478" s="379"/>
      <c r="AM478" s="50"/>
      <c r="AN478" s="50"/>
    </row>
    <row r="479" spans="1:40" x14ac:dyDescent="0.25">
      <c r="F479" s="381"/>
      <c r="H479" s="381"/>
      <c r="I479" s="381"/>
      <c r="J479" s="464"/>
      <c r="K479" s="464"/>
      <c r="L479" s="381"/>
      <c r="M479" s="381"/>
      <c r="N479" s="381"/>
      <c r="O479" s="381"/>
      <c r="P479" s="381"/>
      <c r="Q479" s="381"/>
      <c r="R479" s="381"/>
      <c r="V479" s="381"/>
      <c r="Y479" s="381"/>
      <c r="Z479" s="464"/>
      <c r="AA479" s="381"/>
      <c r="AB479" s="381"/>
      <c r="AC479" s="381"/>
      <c r="AD479" s="381"/>
      <c r="AE479" s="381"/>
      <c r="AF479" s="381"/>
      <c r="AI479" s="381"/>
      <c r="AJ479" s="381"/>
      <c r="AK479" s="162"/>
      <c r="AL479" s="381"/>
      <c r="AM479" s="50"/>
      <c r="AN479" s="50"/>
    </row>
    <row r="480" spans="1:40" x14ac:dyDescent="0.25">
      <c r="H480" s="379"/>
      <c r="I480" s="379"/>
      <c r="Y480" s="379"/>
      <c r="AM480" s="50"/>
      <c r="AN480" s="50"/>
    </row>
    <row r="481" spans="1:40" x14ac:dyDescent="0.25">
      <c r="A481" s="53"/>
      <c r="C481" s="54"/>
      <c r="F481" s="379"/>
      <c r="H481" s="379"/>
      <c r="I481" s="379"/>
      <c r="L481" s="379"/>
      <c r="M481" s="379"/>
      <c r="N481" s="50"/>
      <c r="O481" s="50"/>
      <c r="P481" s="449"/>
      <c r="Q481" s="449"/>
      <c r="R481" s="379"/>
      <c r="T481" s="54"/>
      <c r="V481" s="379"/>
      <c r="Y481" s="379"/>
      <c r="AA481" s="379"/>
      <c r="AB481" s="379"/>
      <c r="AC481" s="50"/>
      <c r="AD481" s="50"/>
      <c r="AE481" s="379"/>
      <c r="AF481" s="379"/>
      <c r="AG481" s="156"/>
      <c r="AH481" s="60"/>
      <c r="AI481" s="449"/>
      <c r="AJ481" s="449"/>
      <c r="AK481" s="156"/>
      <c r="AL481" s="379"/>
      <c r="AM481" s="50"/>
      <c r="AN481" s="50"/>
    </row>
    <row r="482" spans="1:40" x14ac:dyDescent="0.25">
      <c r="H482" s="381"/>
      <c r="I482" s="381"/>
      <c r="J482" s="464"/>
      <c r="K482" s="464"/>
      <c r="L482" s="381"/>
      <c r="M482" s="381"/>
      <c r="N482" s="381"/>
      <c r="O482" s="381"/>
      <c r="P482" s="381"/>
      <c r="Q482" s="381"/>
      <c r="R482" s="381"/>
      <c r="V482" s="381"/>
      <c r="Y482" s="381"/>
      <c r="Z482" s="464"/>
      <c r="AA482" s="381"/>
      <c r="AB482" s="381"/>
      <c r="AC482" s="381"/>
      <c r="AD482" s="381"/>
      <c r="AE482" s="381"/>
      <c r="AF482" s="381"/>
      <c r="AI482" s="381"/>
      <c r="AJ482" s="381"/>
      <c r="AK482" s="162"/>
      <c r="AL482" s="381"/>
      <c r="AM482" s="50"/>
      <c r="AN482" s="50"/>
    </row>
    <row r="483" spans="1:40" x14ac:dyDescent="0.25">
      <c r="F483" s="381"/>
    </row>
    <row r="484" spans="1:40" x14ac:dyDescent="0.25">
      <c r="F484" s="379"/>
      <c r="H484" s="379"/>
      <c r="I484" s="379"/>
      <c r="J484" s="59"/>
      <c r="K484" s="59"/>
      <c r="L484" s="379"/>
      <c r="M484" s="379"/>
      <c r="N484" s="379"/>
      <c r="O484" s="379"/>
      <c r="P484" s="379"/>
      <c r="Q484" s="379"/>
      <c r="R484" s="379"/>
      <c r="V484" s="379"/>
      <c r="Y484" s="379"/>
      <c r="Z484" s="59"/>
      <c r="AA484" s="379"/>
      <c r="AB484" s="379"/>
      <c r="AC484" s="379"/>
      <c r="AD484" s="379"/>
      <c r="AE484" s="379"/>
      <c r="AF484" s="379"/>
      <c r="AG484" s="156"/>
      <c r="AH484" s="379"/>
      <c r="AI484" s="379"/>
      <c r="AJ484" s="379"/>
      <c r="AK484" s="156"/>
      <c r="AL484" s="379"/>
    </row>
    <row r="485" spans="1:40" x14ac:dyDescent="0.25">
      <c r="A485" s="54"/>
    </row>
    <row r="486" spans="1:40" x14ac:dyDescent="0.25">
      <c r="J486" s="53"/>
      <c r="K486" s="53"/>
      <c r="Z486" s="53"/>
    </row>
    <row r="487" spans="1:40" x14ac:dyDescent="0.25">
      <c r="H487" s="54"/>
      <c r="I487" s="54"/>
      <c r="Y487" s="54"/>
    </row>
    <row r="488" spans="1:40" x14ac:dyDescent="0.25">
      <c r="J488" s="53"/>
      <c r="K488" s="53"/>
      <c r="Z488" s="53"/>
    </row>
    <row r="489" spans="1:40" x14ac:dyDescent="0.25">
      <c r="L489" s="54"/>
      <c r="M489" s="54"/>
      <c r="AA489" s="54"/>
      <c r="AB489" s="54"/>
    </row>
    <row r="490" spans="1:40" x14ac:dyDescent="0.25">
      <c r="A490" s="53"/>
      <c r="R490" s="54"/>
      <c r="AK490" s="161"/>
      <c r="AL490" s="54"/>
    </row>
    <row r="491" spans="1:40" x14ac:dyDescent="0.25">
      <c r="A491" s="53"/>
      <c r="R491" s="54"/>
      <c r="AK491" s="161"/>
      <c r="AL491" s="54"/>
    </row>
    <row r="492" spans="1:40" x14ac:dyDescent="0.25">
      <c r="A492" s="54"/>
      <c r="R492" s="54"/>
      <c r="AK492" s="161"/>
      <c r="AL492" s="54"/>
    </row>
    <row r="493" spans="1:40" x14ac:dyDescent="0.25">
      <c r="L493" s="54"/>
      <c r="M493" s="54"/>
      <c r="R493" s="53"/>
      <c r="AA493" s="54"/>
      <c r="AB493" s="54"/>
      <c r="AK493" s="156"/>
      <c r="AL493" s="53"/>
    </row>
    <row r="494" spans="1:40" x14ac:dyDescent="0.25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154"/>
      <c r="AH494" s="55"/>
      <c r="AI494" s="55"/>
      <c r="AJ494" s="55"/>
      <c r="AK494" s="154"/>
      <c r="AL494" s="55"/>
      <c r="AM494" s="55"/>
      <c r="AN494" s="55"/>
    </row>
    <row r="495" spans="1:40" x14ac:dyDescent="0.25">
      <c r="L495" s="56"/>
      <c r="M495" s="56"/>
      <c r="N495" s="56"/>
      <c r="O495" s="56"/>
      <c r="R495" s="56"/>
      <c r="AA495" s="56"/>
      <c r="AB495" s="56"/>
      <c r="AC495" s="56"/>
      <c r="AD495" s="56"/>
      <c r="AE495" s="56"/>
      <c r="AF495" s="56"/>
      <c r="AG495" s="155"/>
      <c r="AH495" s="56"/>
      <c r="AK495" s="155"/>
      <c r="AL495" s="56"/>
      <c r="AM495" s="56"/>
      <c r="AN495" s="56"/>
    </row>
    <row r="496" spans="1:40" x14ac:dyDescent="0.25">
      <c r="L496" s="56"/>
      <c r="M496" s="56"/>
      <c r="N496" s="56"/>
      <c r="O496" s="56"/>
      <c r="R496" s="56"/>
      <c r="Z496" s="56"/>
      <c r="AA496" s="56"/>
      <c r="AB496" s="56"/>
      <c r="AC496" s="56"/>
      <c r="AD496" s="56"/>
      <c r="AE496" s="56"/>
      <c r="AF496" s="56"/>
      <c r="AG496" s="155"/>
      <c r="AH496" s="56"/>
      <c r="AK496" s="155"/>
      <c r="AL496" s="56"/>
      <c r="AM496" s="56"/>
      <c r="AN496" s="56"/>
    </row>
    <row r="497" spans="1:40" x14ac:dyDescent="0.25">
      <c r="A497" s="56"/>
      <c r="C497" s="56"/>
      <c r="D497" s="56"/>
      <c r="E497" s="56"/>
      <c r="F497" s="56"/>
      <c r="J497" s="56"/>
      <c r="K497" s="56"/>
      <c r="L497" s="56"/>
      <c r="M497" s="56"/>
      <c r="N497" s="56"/>
      <c r="O497" s="56"/>
      <c r="P497" s="56"/>
      <c r="Q497" s="56"/>
      <c r="R497" s="56"/>
      <c r="T497" s="56"/>
      <c r="U497" s="56"/>
      <c r="V497" s="56"/>
      <c r="Z497" s="56"/>
      <c r="AA497" s="56"/>
      <c r="AB497" s="56"/>
      <c r="AC497" s="56"/>
      <c r="AD497" s="56"/>
      <c r="AE497" s="56"/>
      <c r="AF497" s="56"/>
      <c r="AG497" s="155"/>
      <c r="AH497" s="56"/>
      <c r="AI497" s="56"/>
      <c r="AJ497" s="56"/>
      <c r="AK497" s="155"/>
      <c r="AL497" s="56"/>
      <c r="AM497" s="56"/>
      <c r="AN497" s="56"/>
    </row>
    <row r="498" spans="1:40" x14ac:dyDescent="0.25">
      <c r="A498" s="56"/>
      <c r="C498" s="56"/>
      <c r="D498" s="56"/>
      <c r="E498" s="56"/>
      <c r="F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T498" s="56"/>
      <c r="U498" s="56"/>
      <c r="V498" s="56"/>
      <c r="Y498" s="56"/>
      <c r="Z498" s="56"/>
      <c r="AA498" s="56"/>
      <c r="AB498" s="56"/>
      <c r="AC498" s="56"/>
      <c r="AD498" s="56"/>
      <c r="AE498" s="56"/>
      <c r="AF498" s="56"/>
      <c r="AG498" s="155"/>
      <c r="AH498" s="56"/>
      <c r="AI498" s="56"/>
      <c r="AJ498" s="56"/>
      <c r="AK498" s="155"/>
      <c r="AL498" s="56"/>
      <c r="AM498" s="56"/>
      <c r="AN498" s="56"/>
    </row>
    <row r="499" spans="1:40" x14ac:dyDescent="0.25">
      <c r="C499" s="56"/>
      <c r="D499" s="56"/>
      <c r="E499" s="56"/>
      <c r="F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T499" s="56"/>
      <c r="U499" s="56"/>
      <c r="V499" s="56"/>
      <c r="Y499" s="56"/>
      <c r="Z499" s="56"/>
      <c r="AA499" s="56"/>
      <c r="AB499" s="56"/>
      <c r="AC499" s="56"/>
      <c r="AD499" s="56"/>
      <c r="AE499" s="56"/>
      <c r="AF499" s="56"/>
      <c r="AG499" s="155"/>
      <c r="AH499" s="56"/>
      <c r="AI499" s="56"/>
      <c r="AJ499" s="56"/>
      <c r="AK499" s="155"/>
      <c r="AL499" s="56"/>
      <c r="AM499" s="56"/>
      <c r="AN499" s="56"/>
    </row>
    <row r="500" spans="1:40" x14ac:dyDescent="0.25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154"/>
      <c r="AH500" s="55"/>
      <c r="AI500" s="55"/>
      <c r="AJ500" s="55"/>
      <c r="AK500" s="154"/>
      <c r="AL500" s="55"/>
      <c r="AM500" s="55"/>
      <c r="AN500" s="55"/>
    </row>
    <row r="501" spans="1:40" x14ac:dyDescent="0.25"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Y501" s="56"/>
      <c r="Z501" s="56"/>
      <c r="AA501" s="56"/>
      <c r="AB501" s="56"/>
      <c r="AC501" s="56"/>
      <c r="AD501" s="56"/>
      <c r="AE501" s="56"/>
      <c r="AF501" s="56"/>
      <c r="AG501" s="155"/>
      <c r="AH501" s="56"/>
      <c r="AI501" s="56"/>
      <c r="AJ501" s="56"/>
      <c r="AK501" s="155"/>
      <c r="AL501" s="56"/>
      <c r="AM501" s="56"/>
      <c r="AN501" s="56"/>
    </row>
    <row r="502" spans="1:40" x14ac:dyDescent="0.25">
      <c r="A502" s="53"/>
      <c r="C502" s="54"/>
      <c r="D502" s="54"/>
      <c r="E502" s="54"/>
      <c r="T502" s="54"/>
      <c r="U502" s="54"/>
      <c r="V502" s="379"/>
      <c r="W502" s="379"/>
      <c r="X502" s="379"/>
      <c r="Y502" s="379"/>
      <c r="Z502" s="477"/>
    </row>
    <row r="504" spans="1:40" x14ac:dyDescent="0.25">
      <c r="A504" s="53"/>
      <c r="C504" s="54"/>
      <c r="T504" s="54"/>
      <c r="V504" s="379"/>
      <c r="W504" s="379"/>
      <c r="X504" s="379"/>
      <c r="Y504" s="379"/>
      <c r="Z504" s="477"/>
    </row>
    <row r="505" spans="1:40" x14ac:dyDescent="0.25">
      <c r="A505" s="53"/>
      <c r="C505" s="54"/>
      <c r="F505" s="449"/>
      <c r="H505" s="449"/>
      <c r="I505" s="449"/>
      <c r="J505" s="221"/>
      <c r="K505" s="221"/>
      <c r="L505" s="379"/>
      <c r="M505" s="379"/>
      <c r="N505" s="50"/>
      <c r="O505" s="50"/>
      <c r="P505" s="379"/>
      <c r="Q505" s="379"/>
      <c r="R505" s="379"/>
      <c r="T505" s="54"/>
      <c r="V505" s="379"/>
      <c r="W505" s="379"/>
      <c r="X505" s="379"/>
      <c r="Y505" s="379"/>
      <c r="Z505" s="221"/>
      <c r="AA505" s="379"/>
      <c r="AB505" s="379"/>
      <c r="AC505" s="50"/>
      <c r="AD505" s="50"/>
      <c r="AE505" s="379"/>
      <c r="AF505" s="379"/>
      <c r="AG505" s="156"/>
      <c r="AH505" s="60"/>
      <c r="AI505" s="379"/>
      <c r="AJ505" s="379"/>
      <c r="AK505" s="156"/>
      <c r="AL505" s="379"/>
      <c r="AM505" s="50"/>
      <c r="AN505" s="50"/>
    </row>
    <row r="506" spans="1:40" x14ac:dyDescent="0.25">
      <c r="A506" s="53"/>
      <c r="C506" s="54"/>
      <c r="F506" s="449"/>
      <c r="H506" s="449"/>
      <c r="I506" s="449"/>
      <c r="J506" s="221"/>
      <c r="K506" s="221"/>
      <c r="L506" s="379"/>
      <c r="M506" s="379"/>
      <c r="N506" s="50"/>
      <c r="O506" s="50"/>
      <c r="P506" s="379"/>
      <c r="Q506" s="379"/>
      <c r="R506" s="379"/>
      <c r="T506" s="54"/>
      <c r="V506" s="379"/>
      <c r="W506" s="379"/>
      <c r="X506" s="379"/>
      <c r="Y506" s="379"/>
      <c r="Z506" s="221"/>
      <c r="AA506" s="379"/>
      <c r="AB506" s="379"/>
      <c r="AC506" s="50"/>
      <c r="AD506" s="50"/>
      <c r="AE506" s="379"/>
      <c r="AF506" s="379"/>
      <c r="AG506" s="156"/>
      <c r="AH506" s="60"/>
      <c r="AI506" s="379"/>
      <c r="AJ506" s="379"/>
      <c r="AK506" s="156"/>
      <c r="AL506" s="379"/>
      <c r="AM506" s="50"/>
      <c r="AN506" s="50"/>
    </row>
    <row r="507" spans="1:40" x14ac:dyDescent="0.25">
      <c r="A507" s="53"/>
      <c r="C507" s="54"/>
      <c r="F507" s="449"/>
      <c r="H507" s="449"/>
      <c r="I507" s="449"/>
      <c r="J507" s="221"/>
      <c r="K507" s="221"/>
      <c r="L507" s="379"/>
      <c r="M507" s="379"/>
      <c r="N507" s="50"/>
      <c r="O507" s="50"/>
      <c r="P507" s="379"/>
      <c r="Q507" s="379"/>
      <c r="R507" s="379"/>
      <c r="T507" s="54"/>
      <c r="V507" s="379"/>
      <c r="W507" s="379"/>
      <c r="X507" s="379"/>
      <c r="Y507" s="379"/>
      <c r="Z507" s="221"/>
      <c r="AA507" s="379"/>
      <c r="AB507" s="379"/>
      <c r="AC507" s="50"/>
      <c r="AD507" s="50"/>
      <c r="AE507" s="379"/>
      <c r="AF507" s="379"/>
      <c r="AG507" s="156"/>
      <c r="AH507" s="60"/>
      <c r="AI507" s="379"/>
      <c r="AJ507" s="379"/>
      <c r="AK507" s="156"/>
      <c r="AL507" s="379"/>
      <c r="AM507" s="50"/>
      <c r="AN507" s="50"/>
    </row>
    <row r="508" spans="1:40" x14ac:dyDescent="0.25">
      <c r="A508" s="53"/>
      <c r="C508" s="54"/>
      <c r="F508" s="449"/>
      <c r="H508" s="449"/>
      <c r="I508" s="449"/>
      <c r="J508" s="221"/>
      <c r="K508" s="221"/>
      <c r="L508" s="379"/>
      <c r="M508" s="379"/>
      <c r="N508" s="50"/>
      <c r="O508" s="50"/>
      <c r="P508" s="379"/>
      <c r="Q508" s="379"/>
      <c r="R508" s="379"/>
      <c r="T508" s="54"/>
      <c r="V508" s="379"/>
      <c r="W508" s="379"/>
      <c r="X508" s="379"/>
      <c r="Y508" s="379"/>
      <c r="Z508" s="221"/>
      <c r="AA508" s="379"/>
      <c r="AB508" s="379"/>
      <c r="AC508" s="50"/>
      <c r="AD508" s="50"/>
      <c r="AE508" s="379"/>
      <c r="AF508" s="379"/>
      <c r="AG508" s="156"/>
      <c r="AH508" s="60"/>
      <c r="AI508" s="379"/>
      <c r="AJ508" s="379"/>
      <c r="AK508" s="156"/>
      <c r="AL508" s="379"/>
      <c r="AM508" s="50"/>
      <c r="AN508" s="50"/>
    </row>
    <row r="509" spans="1:40" x14ac:dyDescent="0.25">
      <c r="J509" s="65"/>
      <c r="K509" s="65"/>
      <c r="V509" s="379"/>
      <c r="W509" s="379"/>
      <c r="X509" s="379"/>
      <c r="Y509" s="379"/>
      <c r="Z509" s="221"/>
    </row>
    <row r="510" spans="1:40" x14ac:dyDescent="0.25">
      <c r="A510" s="53"/>
      <c r="C510" s="54"/>
      <c r="F510" s="449"/>
      <c r="H510" s="449"/>
      <c r="I510" s="449"/>
      <c r="J510" s="221"/>
      <c r="K510" s="221"/>
      <c r="L510" s="379"/>
      <c r="M510" s="379"/>
      <c r="N510" s="50"/>
      <c r="O510" s="50"/>
      <c r="P510" s="379"/>
      <c r="Q510" s="379"/>
      <c r="R510" s="379"/>
      <c r="T510" s="54"/>
      <c r="V510" s="379"/>
      <c r="W510" s="379"/>
      <c r="X510" s="379"/>
      <c r="Y510" s="379"/>
      <c r="Z510" s="221"/>
      <c r="AA510" s="379"/>
      <c r="AB510" s="379"/>
      <c r="AC510" s="50"/>
      <c r="AD510" s="50"/>
      <c r="AE510" s="379"/>
      <c r="AF510" s="379"/>
      <c r="AG510" s="156"/>
      <c r="AH510" s="60"/>
      <c r="AI510" s="379"/>
      <c r="AJ510" s="379"/>
      <c r="AK510" s="156"/>
      <c r="AL510" s="379"/>
      <c r="AM510" s="60"/>
      <c r="AN510" s="60"/>
    </row>
    <row r="511" spans="1:40" x14ac:dyDescent="0.25">
      <c r="A511" s="53"/>
      <c r="C511" s="54"/>
      <c r="J511" s="65"/>
      <c r="K511" s="65"/>
      <c r="T511" s="54"/>
      <c r="V511" s="379"/>
      <c r="W511" s="379"/>
      <c r="X511" s="379"/>
      <c r="Y511" s="379"/>
      <c r="Z511" s="221"/>
    </row>
    <row r="512" spans="1:40" x14ac:dyDescent="0.25">
      <c r="A512" s="53"/>
      <c r="C512" s="54"/>
      <c r="F512" s="449"/>
      <c r="H512" s="449"/>
      <c r="I512" s="449"/>
      <c r="J512" s="221"/>
      <c r="K512" s="221"/>
      <c r="L512" s="379"/>
      <c r="M512" s="379"/>
      <c r="N512" s="50"/>
      <c r="O512" s="50"/>
      <c r="P512" s="379"/>
      <c r="Q512" s="379"/>
      <c r="R512" s="379"/>
      <c r="T512" s="54"/>
      <c r="V512" s="379"/>
      <c r="W512" s="379"/>
      <c r="X512" s="379"/>
      <c r="Y512" s="379"/>
      <c r="Z512" s="221"/>
      <c r="AA512" s="379"/>
      <c r="AB512" s="379"/>
      <c r="AC512" s="50"/>
      <c r="AD512" s="50"/>
      <c r="AE512" s="379"/>
      <c r="AF512" s="379"/>
      <c r="AG512" s="156"/>
      <c r="AH512" s="60"/>
      <c r="AI512" s="379"/>
      <c r="AJ512" s="379"/>
      <c r="AK512" s="156"/>
      <c r="AL512" s="379"/>
      <c r="AM512" s="60"/>
      <c r="AN512" s="60"/>
    </row>
    <row r="513" spans="1:40" x14ac:dyDescent="0.25">
      <c r="J513" s="65"/>
      <c r="K513" s="65"/>
      <c r="Z513" s="65"/>
    </row>
    <row r="514" spans="1:40" x14ac:dyDescent="0.25">
      <c r="A514" s="53"/>
      <c r="C514" s="54"/>
      <c r="J514" s="65"/>
      <c r="K514" s="65"/>
      <c r="T514" s="54"/>
      <c r="V514" s="379"/>
      <c r="W514" s="379"/>
      <c r="X514" s="379"/>
      <c r="Y514" s="379"/>
      <c r="Z514" s="221"/>
    </row>
    <row r="515" spans="1:40" x14ac:dyDescent="0.25">
      <c r="A515" s="53"/>
      <c r="C515" s="54"/>
      <c r="F515" s="449"/>
      <c r="H515" s="449"/>
      <c r="I515" s="449"/>
      <c r="J515" s="221"/>
      <c r="K515" s="221"/>
      <c r="L515" s="379"/>
      <c r="M515" s="379"/>
      <c r="N515" s="50"/>
      <c r="O515" s="50"/>
      <c r="P515" s="379"/>
      <c r="Q515" s="379"/>
      <c r="R515" s="379"/>
      <c r="T515" s="54"/>
      <c r="V515" s="379"/>
      <c r="W515" s="379"/>
      <c r="X515" s="379"/>
      <c r="Y515" s="379"/>
      <c r="Z515" s="221"/>
      <c r="AA515" s="379"/>
      <c r="AB515" s="379"/>
      <c r="AC515" s="50"/>
      <c r="AD515" s="50"/>
      <c r="AE515" s="379"/>
      <c r="AF515" s="379"/>
      <c r="AG515" s="156"/>
      <c r="AH515" s="60"/>
      <c r="AI515" s="379"/>
      <c r="AJ515" s="379"/>
      <c r="AK515" s="156"/>
      <c r="AL515" s="379"/>
      <c r="AM515" s="60"/>
      <c r="AN515" s="60"/>
    </row>
    <row r="516" spans="1:40" x14ac:dyDescent="0.25">
      <c r="A516" s="53"/>
      <c r="C516" s="54"/>
      <c r="F516" s="449"/>
      <c r="H516" s="449"/>
      <c r="I516" s="449"/>
      <c r="J516" s="221"/>
      <c r="K516" s="221"/>
      <c r="L516" s="379"/>
      <c r="M516" s="379"/>
      <c r="N516" s="50"/>
      <c r="O516" s="50"/>
      <c r="P516" s="379"/>
      <c r="Q516" s="379"/>
      <c r="R516" s="379"/>
      <c r="T516" s="54"/>
      <c r="V516" s="379"/>
      <c r="W516" s="379"/>
      <c r="X516" s="379"/>
      <c r="Y516" s="379"/>
      <c r="Z516" s="221"/>
      <c r="AA516" s="379"/>
      <c r="AB516" s="379"/>
      <c r="AC516" s="50"/>
      <c r="AD516" s="50"/>
      <c r="AE516" s="379"/>
      <c r="AF516" s="379"/>
      <c r="AG516" s="156"/>
      <c r="AH516" s="60"/>
      <c r="AI516" s="379"/>
      <c r="AJ516" s="379"/>
      <c r="AK516" s="156"/>
      <c r="AL516" s="379"/>
      <c r="AM516" s="60"/>
      <c r="AN516" s="60"/>
    </row>
    <row r="517" spans="1:40" x14ac:dyDescent="0.25">
      <c r="F517" s="381"/>
      <c r="H517" s="381"/>
      <c r="I517" s="381"/>
      <c r="J517" s="221"/>
      <c r="K517" s="221"/>
      <c r="L517" s="381"/>
      <c r="M517" s="381"/>
      <c r="N517" s="381"/>
      <c r="O517" s="381"/>
      <c r="P517" s="381"/>
      <c r="Q517" s="381"/>
      <c r="R517" s="381"/>
      <c r="V517" s="381"/>
      <c r="Y517" s="381"/>
      <c r="Z517" s="464"/>
      <c r="AA517" s="381"/>
      <c r="AB517" s="381"/>
      <c r="AC517" s="381"/>
      <c r="AD517" s="381"/>
      <c r="AE517" s="381"/>
      <c r="AF517" s="381"/>
      <c r="AI517" s="381"/>
      <c r="AJ517" s="381"/>
      <c r="AK517" s="162"/>
      <c r="AL517" s="381"/>
    </row>
    <row r="518" spans="1:40" x14ac:dyDescent="0.25">
      <c r="A518" s="53"/>
      <c r="C518" s="54"/>
      <c r="F518" s="379"/>
      <c r="H518" s="379"/>
      <c r="I518" s="379"/>
      <c r="L518" s="379"/>
      <c r="M518" s="379"/>
      <c r="N518" s="50"/>
      <c r="O518" s="50"/>
      <c r="P518" s="449"/>
      <c r="Q518" s="449"/>
      <c r="R518" s="379"/>
      <c r="T518" s="54"/>
      <c r="V518" s="379"/>
      <c r="W518" s="379"/>
      <c r="X518" s="379"/>
      <c r="Y518" s="379"/>
      <c r="Z518" s="477"/>
      <c r="AA518" s="379"/>
      <c r="AB518" s="379"/>
      <c r="AC518" s="50"/>
      <c r="AD518" s="50"/>
      <c r="AE518" s="379"/>
      <c r="AF518" s="379"/>
      <c r="AG518" s="156"/>
      <c r="AH518" s="60"/>
      <c r="AI518" s="449"/>
      <c r="AJ518" s="449"/>
      <c r="AK518" s="156"/>
      <c r="AL518" s="379"/>
      <c r="AM518" s="60"/>
      <c r="AN518" s="60"/>
    </row>
    <row r="519" spans="1:40" x14ac:dyDescent="0.25">
      <c r="H519" s="381"/>
      <c r="I519" s="381"/>
      <c r="J519" s="464"/>
      <c r="K519" s="464"/>
      <c r="L519" s="381"/>
      <c r="M519" s="381"/>
      <c r="N519" s="381"/>
      <c r="O519" s="381"/>
      <c r="P519" s="381"/>
      <c r="Q519" s="381"/>
      <c r="R519" s="381"/>
      <c r="V519" s="381"/>
      <c r="Y519" s="381"/>
      <c r="Z519" s="464"/>
      <c r="AA519" s="381"/>
      <c r="AB519" s="381"/>
      <c r="AC519" s="381"/>
      <c r="AD519" s="381"/>
      <c r="AE519" s="381"/>
      <c r="AF519" s="381"/>
      <c r="AI519" s="381"/>
      <c r="AJ519" s="381"/>
      <c r="AK519" s="162"/>
      <c r="AL519" s="381"/>
    </row>
    <row r="520" spans="1:40" x14ac:dyDescent="0.25">
      <c r="F520" s="381"/>
    </row>
    <row r="521" spans="1:40" x14ac:dyDescent="0.25">
      <c r="C521" s="53"/>
      <c r="T521" s="53"/>
    </row>
    <row r="522" spans="1:40" x14ac:dyDescent="0.25">
      <c r="A522" s="54"/>
    </row>
    <row r="523" spans="1:40" x14ac:dyDescent="0.25">
      <c r="J523" s="53"/>
      <c r="K523" s="53"/>
      <c r="Z523" s="53"/>
    </row>
    <row r="524" spans="1:40" x14ac:dyDescent="0.25">
      <c r="H524" s="54"/>
      <c r="I524" s="54"/>
      <c r="Y524" s="54"/>
    </row>
    <row r="525" spans="1:40" x14ac:dyDescent="0.25">
      <c r="J525" s="53"/>
      <c r="K525" s="53"/>
      <c r="Z525" s="53"/>
    </row>
    <row r="526" spans="1:40" x14ac:dyDescent="0.25">
      <c r="L526" s="54"/>
      <c r="M526" s="54"/>
      <c r="AA526" s="54"/>
      <c r="AB526" s="54"/>
    </row>
    <row r="527" spans="1:40" x14ac:dyDescent="0.25">
      <c r="A527" s="53"/>
      <c r="R527" s="54"/>
      <c r="AK527" s="161"/>
      <c r="AL527" s="54"/>
    </row>
    <row r="528" spans="1:40" x14ac:dyDescent="0.25">
      <c r="A528" s="53"/>
      <c r="R528" s="54"/>
      <c r="AK528" s="161"/>
      <c r="AL528" s="54"/>
    </row>
    <row r="529" spans="1:40" x14ac:dyDescent="0.25">
      <c r="A529" s="54"/>
      <c r="R529" s="54"/>
      <c r="AK529" s="161"/>
      <c r="AL529" s="54"/>
    </row>
    <row r="530" spans="1:40" x14ac:dyDescent="0.25">
      <c r="L530" s="54"/>
      <c r="M530" s="54"/>
      <c r="R530" s="53"/>
      <c r="AA530" s="54"/>
      <c r="AB530" s="54"/>
      <c r="AK530" s="156"/>
      <c r="AL530" s="53"/>
    </row>
    <row r="531" spans="1:40" x14ac:dyDescent="0.25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154"/>
      <c r="AH531" s="55"/>
      <c r="AI531" s="55"/>
      <c r="AJ531" s="55"/>
      <c r="AK531" s="154"/>
      <c r="AL531" s="55"/>
      <c r="AM531" s="55"/>
      <c r="AN531" s="55"/>
    </row>
    <row r="532" spans="1:40" x14ac:dyDescent="0.25">
      <c r="L532" s="56"/>
      <c r="M532" s="56"/>
      <c r="N532" s="56"/>
      <c r="O532" s="56"/>
      <c r="R532" s="56"/>
      <c r="AA532" s="56"/>
      <c r="AB532" s="56"/>
      <c r="AC532" s="56"/>
      <c r="AD532" s="56"/>
      <c r="AE532" s="56"/>
      <c r="AF532" s="56"/>
      <c r="AG532" s="155"/>
      <c r="AH532" s="56"/>
      <c r="AK532" s="155"/>
      <c r="AL532" s="56"/>
      <c r="AM532" s="56"/>
      <c r="AN532" s="56"/>
    </row>
    <row r="533" spans="1:40" x14ac:dyDescent="0.25">
      <c r="L533" s="56"/>
      <c r="M533" s="56"/>
      <c r="N533" s="56"/>
      <c r="O533" s="56"/>
      <c r="R533" s="56"/>
      <c r="Z533" s="56"/>
      <c r="AA533" s="56"/>
      <c r="AB533" s="56"/>
      <c r="AC533" s="56"/>
      <c r="AD533" s="56"/>
      <c r="AE533" s="56"/>
      <c r="AF533" s="56"/>
      <c r="AG533" s="155"/>
      <c r="AH533" s="56"/>
      <c r="AK533" s="155"/>
      <c r="AL533" s="56"/>
      <c r="AM533" s="56"/>
      <c r="AN533" s="56"/>
    </row>
    <row r="534" spans="1:40" x14ac:dyDescent="0.25">
      <c r="A534" s="56"/>
      <c r="C534" s="56"/>
      <c r="D534" s="56"/>
      <c r="E534" s="56"/>
      <c r="F534" s="56"/>
      <c r="J534" s="56"/>
      <c r="K534" s="56"/>
      <c r="L534" s="56"/>
      <c r="M534" s="56"/>
      <c r="N534" s="56"/>
      <c r="O534" s="56"/>
      <c r="P534" s="56"/>
      <c r="Q534" s="56"/>
      <c r="R534" s="56"/>
      <c r="T534" s="56"/>
      <c r="U534" s="56"/>
      <c r="V534" s="56"/>
      <c r="Z534" s="56"/>
      <c r="AA534" s="56"/>
      <c r="AB534" s="56"/>
      <c r="AC534" s="56"/>
      <c r="AD534" s="56"/>
      <c r="AE534" s="56"/>
      <c r="AF534" s="56"/>
      <c r="AG534" s="155"/>
      <c r="AH534" s="56"/>
      <c r="AI534" s="56"/>
      <c r="AJ534" s="56"/>
      <c r="AK534" s="155"/>
      <c r="AL534" s="56"/>
      <c r="AM534" s="56"/>
      <c r="AN534" s="56"/>
    </row>
    <row r="535" spans="1:40" x14ac:dyDescent="0.25">
      <c r="A535" s="56"/>
      <c r="C535" s="56"/>
      <c r="D535" s="56"/>
      <c r="E535" s="56"/>
      <c r="F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T535" s="56"/>
      <c r="U535" s="56"/>
      <c r="V535" s="56"/>
      <c r="Y535" s="56"/>
      <c r="Z535" s="56"/>
      <c r="AA535" s="56"/>
      <c r="AB535" s="56"/>
      <c r="AC535" s="56"/>
      <c r="AD535" s="56"/>
      <c r="AE535" s="56"/>
      <c r="AF535" s="56"/>
      <c r="AG535" s="155"/>
      <c r="AH535" s="56"/>
      <c r="AI535" s="56"/>
      <c r="AJ535" s="56"/>
      <c r="AK535" s="155"/>
      <c r="AL535" s="56"/>
      <c r="AM535" s="56"/>
      <c r="AN535" s="56"/>
    </row>
    <row r="536" spans="1:40" x14ac:dyDescent="0.25">
      <c r="C536" s="56"/>
      <c r="D536" s="56"/>
      <c r="E536" s="56"/>
      <c r="F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T536" s="56"/>
      <c r="U536" s="56"/>
      <c r="V536" s="56"/>
      <c r="Y536" s="56"/>
      <c r="Z536" s="56"/>
      <c r="AA536" s="56"/>
      <c r="AB536" s="56"/>
      <c r="AC536" s="56"/>
      <c r="AD536" s="56"/>
      <c r="AE536" s="56"/>
      <c r="AF536" s="56"/>
      <c r="AG536" s="155"/>
      <c r="AH536" s="56"/>
      <c r="AI536" s="56"/>
      <c r="AJ536" s="56"/>
      <c r="AK536" s="155"/>
      <c r="AL536" s="56"/>
      <c r="AM536" s="56"/>
      <c r="AN536" s="56"/>
    </row>
    <row r="537" spans="1:40" x14ac:dyDescent="0.25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154"/>
      <c r="AH537" s="55"/>
      <c r="AI537" s="55"/>
      <c r="AJ537" s="55"/>
      <c r="AK537" s="154"/>
      <c r="AL537" s="55"/>
      <c r="AM537" s="55"/>
      <c r="AN537" s="55"/>
    </row>
    <row r="538" spans="1:40" x14ac:dyDescent="0.25"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Y538" s="56"/>
      <c r="Z538" s="56"/>
      <c r="AA538" s="56"/>
      <c r="AB538" s="56"/>
      <c r="AC538" s="56"/>
      <c r="AD538" s="56"/>
      <c r="AE538" s="56"/>
      <c r="AF538" s="56"/>
      <c r="AG538" s="155"/>
      <c r="AH538" s="56"/>
      <c r="AI538" s="56"/>
      <c r="AJ538" s="56"/>
      <c r="AK538" s="155"/>
      <c r="AL538" s="56"/>
      <c r="AM538" s="56"/>
      <c r="AN538" s="56"/>
    </row>
    <row r="539" spans="1:40" x14ac:dyDescent="0.25">
      <c r="A539" s="53"/>
      <c r="C539" s="54"/>
      <c r="D539" s="54"/>
      <c r="E539" s="54"/>
      <c r="T539" s="54"/>
      <c r="U539" s="54"/>
    </row>
    <row r="541" spans="1:40" x14ac:dyDescent="0.25">
      <c r="A541" s="53"/>
      <c r="C541" s="54"/>
      <c r="T541" s="54"/>
    </row>
    <row r="542" spans="1:40" x14ac:dyDescent="0.25">
      <c r="A542" s="53"/>
      <c r="C542" s="54"/>
      <c r="T542" s="54"/>
    </row>
    <row r="543" spans="1:40" x14ac:dyDescent="0.25">
      <c r="A543" s="53"/>
      <c r="C543" s="54"/>
      <c r="F543" s="449"/>
      <c r="H543" s="449"/>
      <c r="I543" s="449"/>
      <c r="J543" s="221"/>
      <c r="K543" s="221"/>
      <c r="L543" s="379"/>
      <c r="M543" s="379"/>
      <c r="N543" s="50"/>
      <c r="O543" s="50"/>
      <c r="P543" s="379"/>
      <c r="Q543" s="379"/>
      <c r="R543" s="379"/>
      <c r="T543" s="54"/>
      <c r="V543" s="379"/>
      <c r="W543" s="379"/>
      <c r="X543" s="379"/>
      <c r="Y543" s="379"/>
      <c r="Z543" s="221"/>
      <c r="AA543" s="379"/>
      <c r="AB543" s="379"/>
      <c r="AC543" s="50"/>
      <c r="AD543" s="50"/>
      <c r="AE543" s="379"/>
      <c r="AF543" s="379"/>
      <c r="AG543" s="156"/>
      <c r="AH543" s="60"/>
      <c r="AI543" s="379"/>
      <c r="AJ543" s="379"/>
      <c r="AK543" s="156"/>
      <c r="AL543" s="379"/>
      <c r="AM543" s="60"/>
      <c r="AN543" s="60"/>
    </row>
    <row r="544" spans="1:40" x14ac:dyDescent="0.25">
      <c r="A544" s="53"/>
      <c r="C544" s="54"/>
      <c r="F544" s="379"/>
      <c r="H544" s="379"/>
      <c r="I544" s="379"/>
      <c r="J544" s="65"/>
      <c r="K544" s="65"/>
      <c r="L544" s="379"/>
      <c r="M544" s="379"/>
      <c r="N544" s="50"/>
      <c r="O544" s="50"/>
      <c r="P544" s="379"/>
      <c r="Q544" s="379"/>
      <c r="R544" s="379"/>
      <c r="T544" s="54"/>
      <c r="V544" s="379"/>
      <c r="W544" s="379"/>
      <c r="X544" s="379"/>
      <c r="Y544" s="379"/>
      <c r="Z544" s="65"/>
      <c r="AA544" s="379"/>
      <c r="AB544" s="379"/>
      <c r="AC544" s="50"/>
      <c r="AD544" s="50"/>
      <c r="AE544" s="379"/>
      <c r="AF544" s="379"/>
      <c r="AG544" s="156"/>
      <c r="AH544" s="60"/>
      <c r="AI544" s="379"/>
      <c r="AJ544" s="379"/>
      <c r="AK544" s="156"/>
      <c r="AL544" s="379"/>
      <c r="AM544" s="60"/>
      <c r="AN544" s="60"/>
    </row>
    <row r="545" spans="1:40" x14ac:dyDescent="0.25">
      <c r="A545" s="53"/>
      <c r="C545" s="54"/>
      <c r="F545" s="379"/>
      <c r="H545" s="379"/>
      <c r="I545" s="379"/>
      <c r="J545" s="65"/>
      <c r="K545" s="65"/>
      <c r="L545" s="379"/>
      <c r="M545" s="379"/>
      <c r="N545" s="50"/>
      <c r="O545" s="50"/>
      <c r="P545" s="379"/>
      <c r="Q545" s="379"/>
      <c r="R545" s="379"/>
      <c r="T545" s="54"/>
      <c r="V545" s="379"/>
      <c r="W545" s="379"/>
      <c r="X545" s="379"/>
      <c r="Y545" s="379"/>
      <c r="Z545" s="65"/>
      <c r="AA545" s="379"/>
      <c r="AB545" s="379"/>
      <c r="AC545" s="50"/>
      <c r="AD545" s="50"/>
      <c r="AE545" s="379"/>
      <c r="AF545" s="379"/>
      <c r="AG545" s="156"/>
      <c r="AH545" s="60"/>
      <c r="AI545" s="379"/>
      <c r="AJ545" s="379"/>
      <c r="AK545" s="156"/>
      <c r="AL545" s="379"/>
      <c r="AM545" s="60"/>
      <c r="AN545" s="60"/>
    </row>
    <row r="546" spans="1:40" x14ac:dyDescent="0.25">
      <c r="A546" s="53"/>
      <c r="C546" s="54"/>
      <c r="F546" s="379"/>
      <c r="H546" s="379"/>
      <c r="I546" s="379"/>
      <c r="J546" s="65"/>
      <c r="K546" s="65"/>
      <c r="T546" s="54"/>
      <c r="V546" s="379"/>
      <c r="Z546" s="65"/>
    </row>
    <row r="547" spans="1:40" x14ac:dyDescent="0.25">
      <c r="A547" s="53"/>
      <c r="C547" s="54"/>
      <c r="F547" s="449"/>
      <c r="H547" s="449"/>
      <c r="I547" s="449"/>
      <c r="J547" s="221"/>
      <c r="K547" s="221"/>
      <c r="L547" s="379"/>
      <c r="M547" s="379"/>
      <c r="N547" s="50"/>
      <c r="O547" s="50"/>
      <c r="P547" s="379"/>
      <c r="Q547" s="379"/>
      <c r="R547" s="379"/>
      <c r="T547" s="54"/>
      <c r="V547" s="379"/>
      <c r="W547" s="379"/>
      <c r="X547" s="379"/>
      <c r="Y547" s="379"/>
      <c r="Z547" s="221"/>
      <c r="AA547" s="379"/>
      <c r="AB547" s="379"/>
      <c r="AC547" s="50"/>
      <c r="AD547" s="50"/>
      <c r="AE547" s="379"/>
      <c r="AF547" s="379"/>
      <c r="AG547" s="156"/>
      <c r="AH547" s="60"/>
      <c r="AI547" s="379"/>
      <c r="AJ547" s="379"/>
      <c r="AK547" s="156"/>
      <c r="AL547" s="379"/>
      <c r="AM547" s="60"/>
      <c r="AN547" s="60"/>
    </row>
    <row r="548" spans="1:40" x14ac:dyDescent="0.25">
      <c r="A548" s="53"/>
      <c r="C548" s="54"/>
      <c r="F548" s="379"/>
      <c r="H548" s="379"/>
      <c r="I548" s="379"/>
      <c r="J548" s="65"/>
      <c r="K548" s="65"/>
      <c r="T548" s="54"/>
      <c r="V548" s="379"/>
      <c r="W548" s="379"/>
      <c r="X548" s="379"/>
      <c r="Y548" s="379"/>
      <c r="Z548" s="65"/>
      <c r="AC548" s="50"/>
      <c r="AD548" s="50"/>
      <c r="AE548" s="379"/>
      <c r="AF548" s="379"/>
      <c r="AG548" s="156"/>
      <c r="AH548" s="60"/>
      <c r="AI548" s="379"/>
      <c r="AJ548" s="379"/>
      <c r="AK548" s="156"/>
      <c r="AL548" s="379"/>
      <c r="AM548" s="60"/>
      <c r="AN548" s="60"/>
    </row>
    <row r="549" spans="1:40" x14ac:dyDescent="0.25">
      <c r="A549" s="53"/>
      <c r="C549" s="54"/>
      <c r="F549" s="449"/>
      <c r="H549" s="449"/>
      <c r="I549" s="449"/>
      <c r="J549" s="221"/>
      <c r="K549" s="221"/>
      <c r="L549" s="379"/>
      <c r="M549" s="379"/>
      <c r="N549" s="50"/>
      <c r="O549" s="50"/>
      <c r="P549" s="379"/>
      <c r="Q549" s="379"/>
      <c r="R549" s="379"/>
      <c r="T549" s="54"/>
      <c r="V549" s="379"/>
      <c r="W549" s="379"/>
      <c r="X549" s="379"/>
      <c r="Y549" s="379"/>
      <c r="Z549" s="221"/>
      <c r="AA549" s="379"/>
      <c r="AB549" s="379"/>
      <c r="AC549" s="50"/>
      <c r="AD549" s="50"/>
      <c r="AE549" s="379"/>
      <c r="AF549" s="379"/>
      <c r="AG549" s="156"/>
      <c r="AH549" s="60"/>
      <c r="AI549" s="379"/>
      <c r="AJ549" s="379"/>
      <c r="AK549" s="156"/>
      <c r="AL549" s="379"/>
      <c r="AM549" s="60"/>
      <c r="AN549" s="60"/>
    </row>
    <row r="550" spans="1:40" x14ac:dyDescent="0.25">
      <c r="A550" s="53"/>
      <c r="C550" s="54"/>
      <c r="F550" s="379"/>
      <c r="H550" s="379"/>
      <c r="I550" s="379"/>
      <c r="J550" s="65"/>
      <c r="K550" s="65"/>
      <c r="L550" s="379"/>
      <c r="M550" s="379"/>
      <c r="N550" s="50"/>
      <c r="O550" s="50"/>
      <c r="P550" s="379"/>
      <c r="Q550" s="379"/>
      <c r="R550" s="379"/>
      <c r="T550" s="54"/>
      <c r="V550" s="379"/>
      <c r="W550" s="379"/>
      <c r="X550" s="379"/>
      <c r="Y550" s="379"/>
      <c r="Z550" s="65"/>
      <c r="AA550" s="379"/>
      <c r="AB550" s="379"/>
      <c r="AC550" s="50"/>
      <c r="AD550" s="50"/>
      <c r="AE550" s="379"/>
      <c r="AF550" s="379"/>
      <c r="AG550" s="156"/>
      <c r="AH550" s="60"/>
      <c r="AI550" s="379"/>
      <c r="AJ550" s="379"/>
      <c r="AK550" s="156"/>
      <c r="AL550" s="379"/>
      <c r="AM550" s="60"/>
      <c r="AN550" s="60"/>
    </row>
    <row r="551" spans="1:40" x14ac:dyDescent="0.25">
      <c r="F551" s="379"/>
      <c r="H551" s="379"/>
      <c r="I551" s="379"/>
      <c r="J551" s="65"/>
      <c r="K551" s="65"/>
      <c r="Z551" s="65"/>
    </row>
    <row r="552" spans="1:40" x14ac:dyDescent="0.25">
      <c r="A552" s="53"/>
      <c r="C552" s="54"/>
      <c r="F552" s="379"/>
      <c r="H552" s="449"/>
      <c r="I552" s="449"/>
      <c r="J552" s="221"/>
      <c r="K552" s="221"/>
      <c r="L552" s="379"/>
      <c r="M552" s="379"/>
      <c r="N552" s="50"/>
      <c r="O552" s="50"/>
      <c r="P552" s="379"/>
      <c r="Q552" s="379"/>
      <c r="R552" s="379"/>
      <c r="T552" s="54"/>
      <c r="V552" s="379"/>
      <c r="W552" s="379"/>
      <c r="X552" s="379"/>
      <c r="Y552" s="379"/>
      <c r="Z552" s="221"/>
      <c r="AA552" s="379"/>
      <c r="AB552" s="379"/>
      <c r="AC552" s="50"/>
      <c r="AD552" s="50"/>
      <c r="AE552" s="379"/>
      <c r="AF552" s="379"/>
      <c r="AG552" s="156"/>
      <c r="AH552" s="60"/>
      <c r="AI552" s="379"/>
      <c r="AJ552" s="379"/>
      <c r="AK552" s="156"/>
      <c r="AL552" s="379"/>
      <c r="AM552" s="60"/>
      <c r="AN552" s="60"/>
    </row>
    <row r="553" spans="1:40" x14ac:dyDescent="0.25">
      <c r="F553" s="381"/>
      <c r="H553" s="381"/>
      <c r="I553" s="381"/>
      <c r="J553" s="221"/>
      <c r="K553" s="221"/>
      <c r="L553" s="381"/>
      <c r="M553" s="381"/>
      <c r="N553" s="381"/>
      <c r="O553" s="381"/>
      <c r="P553" s="381"/>
      <c r="Q553" s="381"/>
      <c r="R553" s="381"/>
      <c r="V553" s="381"/>
      <c r="Y553" s="381"/>
      <c r="Z553" s="221"/>
      <c r="AA553" s="381"/>
      <c r="AB553" s="381"/>
      <c r="AC553" s="381"/>
      <c r="AD553" s="381"/>
      <c r="AE553" s="381"/>
      <c r="AF553" s="381"/>
      <c r="AI553" s="381"/>
      <c r="AJ553" s="381"/>
      <c r="AK553" s="162"/>
      <c r="AL553" s="381"/>
    </row>
    <row r="554" spans="1:40" x14ac:dyDescent="0.25">
      <c r="A554" s="53"/>
      <c r="C554" s="54"/>
      <c r="F554" s="379"/>
      <c r="H554" s="379"/>
      <c r="I554" s="379"/>
      <c r="J554" s="65"/>
      <c r="K554" s="65"/>
      <c r="L554" s="379"/>
      <c r="M554" s="379"/>
      <c r="N554" s="53"/>
      <c r="O554" s="53"/>
      <c r="P554" s="379"/>
      <c r="Q554" s="379"/>
      <c r="R554" s="379"/>
      <c r="T554" s="54"/>
      <c r="V554" s="379"/>
      <c r="Y554" s="379"/>
      <c r="Z554" s="65"/>
      <c r="AA554" s="379"/>
      <c r="AB554" s="379"/>
      <c r="AC554" s="60"/>
      <c r="AD554" s="60"/>
      <c r="AE554" s="379"/>
      <c r="AF554" s="379"/>
      <c r="AG554" s="156"/>
      <c r="AH554" s="60"/>
      <c r="AI554" s="379"/>
      <c r="AJ554" s="379"/>
      <c r="AK554" s="156"/>
      <c r="AL554" s="379"/>
      <c r="AM554" s="60"/>
      <c r="AN554" s="60"/>
    </row>
    <row r="555" spans="1:40" x14ac:dyDescent="0.25">
      <c r="F555" s="381"/>
      <c r="H555" s="381"/>
      <c r="I555" s="381"/>
      <c r="J555" s="221"/>
      <c r="K555" s="221"/>
      <c r="L555" s="381"/>
      <c r="M555" s="381"/>
      <c r="N555" s="381"/>
      <c r="O555" s="381"/>
      <c r="P555" s="381"/>
      <c r="Q555" s="381"/>
      <c r="R555" s="381"/>
      <c r="V555" s="381"/>
      <c r="Y555" s="381"/>
      <c r="Z555" s="221"/>
      <c r="AA555" s="381"/>
      <c r="AB555" s="381"/>
      <c r="AC555" s="381"/>
      <c r="AD555" s="381"/>
      <c r="AE555" s="381"/>
      <c r="AF555" s="381"/>
      <c r="AI555" s="381"/>
      <c r="AJ555" s="381"/>
      <c r="AK555" s="162"/>
      <c r="AL555" s="381"/>
    </row>
    <row r="556" spans="1:40" x14ac:dyDescent="0.25">
      <c r="J556" s="65"/>
      <c r="K556" s="65"/>
      <c r="Z556" s="65"/>
    </row>
    <row r="557" spans="1:40" x14ac:dyDescent="0.25">
      <c r="A557" s="53"/>
      <c r="C557" s="54"/>
      <c r="J557" s="65"/>
      <c r="K557" s="65"/>
      <c r="T557" s="54"/>
      <c r="Z557" s="65"/>
    </row>
    <row r="558" spans="1:40" x14ac:dyDescent="0.25">
      <c r="A558" s="53"/>
      <c r="C558" s="54"/>
      <c r="J558" s="65"/>
      <c r="K558" s="65"/>
      <c r="T558" s="54"/>
      <c r="Z558" s="65"/>
    </row>
    <row r="559" spans="1:40" x14ac:dyDescent="0.25">
      <c r="A559" s="53"/>
      <c r="C559" s="54"/>
      <c r="F559" s="449"/>
      <c r="H559" s="449"/>
      <c r="I559" s="449"/>
      <c r="J559" s="221"/>
      <c r="K559" s="221"/>
      <c r="L559" s="379"/>
      <c r="M559" s="379"/>
      <c r="N559" s="50"/>
      <c r="O559" s="50"/>
      <c r="P559" s="379"/>
      <c r="Q559" s="379"/>
      <c r="R559" s="379"/>
      <c r="T559" s="54"/>
      <c r="V559" s="379"/>
      <c r="W559" s="379"/>
      <c r="X559" s="379"/>
      <c r="Y559" s="379"/>
      <c r="Z559" s="221"/>
      <c r="AA559" s="379"/>
      <c r="AB559" s="379"/>
      <c r="AC559" s="50"/>
      <c r="AD559" s="50"/>
      <c r="AE559" s="379"/>
      <c r="AF559" s="379"/>
      <c r="AG559" s="156"/>
      <c r="AH559" s="60"/>
      <c r="AI559" s="379"/>
      <c r="AJ559" s="379"/>
      <c r="AK559" s="156"/>
      <c r="AL559" s="379"/>
      <c r="AM559" s="60"/>
      <c r="AN559" s="60"/>
    </row>
    <row r="560" spans="1:40" x14ac:dyDescent="0.25">
      <c r="A560" s="53"/>
      <c r="C560" s="54"/>
      <c r="J560" s="65"/>
      <c r="K560" s="65"/>
      <c r="T560" s="54"/>
      <c r="Z560" s="65"/>
    </row>
    <row r="561" spans="1:40" x14ac:dyDescent="0.25">
      <c r="A561" s="53"/>
      <c r="C561" s="54"/>
      <c r="F561" s="449"/>
      <c r="H561" s="449"/>
      <c r="I561" s="449"/>
      <c r="J561" s="221"/>
      <c r="K561" s="221"/>
      <c r="L561" s="379"/>
      <c r="M561" s="379"/>
      <c r="N561" s="50"/>
      <c r="O561" s="50"/>
      <c r="P561" s="379"/>
      <c r="Q561" s="379"/>
      <c r="R561" s="379"/>
      <c r="T561" s="54"/>
      <c r="V561" s="379"/>
      <c r="W561" s="379"/>
      <c r="X561" s="379"/>
      <c r="Y561" s="379"/>
      <c r="Z561" s="221"/>
      <c r="AA561" s="379"/>
      <c r="AB561" s="379"/>
      <c r="AC561" s="50"/>
      <c r="AD561" s="50"/>
      <c r="AE561" s="379"/>
      <c r="AF561" s="379"/>
      <c r="AG561" s="156"/>
      <c r="AH561" s="60"/>
      <c r="AI561" s="379"/>
      <c r="AJ561" s="379"/>
      <c r="AK561" s="156"/>
      <c r="AL561" s="379"/>
      <c r="AM561" s="60"/>
      <c r="AN561" s="60"/>
    </row>
    <row r="562" spans="1:40" x14ac:dyDescent="0.25">
      <c r="F562" s="381"/>
      <c r="H562" s="381"/>
      <c r="I562" s="381"/>
      <c r="J562" s="221"/>
      <c r="K562" s="221"/>
      <c r="L562" s="381"/>
      <c r="M562" s="381"/>
      <c r="N562" s="381"/>
      <c r="O562" s="381"/>
      <c r="P562" s="381"/>
      <c r="Q562" s="381"/>
      <c r="R562" s="381"/>
      <c r="V562" s="381"/>
      <c r="Y562" s="381"/>
      <c r="Z562" s="221"/>
      <c r="AA562" s="381"/>
      <c r="AB562" s="381"/>
      <c r="AC562" s="381"/>
      <c r="AD562" s="381"/>
      <c r="AE562" s="381"/>
      <c r="AF562" s="381"/>
      <c r="AI562" s="381"/>
      <c r="AJ562" s="381"/>
      <c r="AK562" s="162"/>
      <c r="AL562" s="381"/>
    </row>
    <row r="563" spans="1:40" x14ac:dyDescent="0.25">
      <c r="A563" s="53"/>
      <c r="C563" s="54"/>
      <c r="F563" s="379"/>
      <c r="H563" s="379"/>
      <c r="I563" s="379"/>
      <c r="J563" s="65"/>
      <c r="K563" s="65"/>
      <c r="L563" s="379"/>
      <c r="M563" s="379"/>
      <c r="N563" s="60"/>
      <c r="O563" s="60"/>
      <c r="P563" s="379"/>
      <c r="Q563" s="379"/>
      <c r="R563" s="379"/>
      <c r="T563" s="54"/>
      <c r="V563" s="379"/>
      <c r="Y563" s="379"/>
      <c r="Z563" s="65"/>
      <c r="AA563" s="379"/>
      <c r="AB563" s="379"/>
      <c r="AC563" s="60"/>
      <c r="AD563" s="60"/>
      <c r="AE563" s="379"/>
      <c r="AF563" s="379"/>
      <c r="AG563" s="156"/>
      <c r="AH563" s="60"/>
      <c r="AI563" s="379"/>
      <c r="AJ563" s="379"/>
      <c r="AK563" s="156"/>
      <c r="AL563" s="379"/>
      <c r="AM563" s="60"/>
      <c r="AN563" s="60"/>
    </row>
    <row r="564" spans="1:40" x14ac:dyDescent="0.25">
      <c r="F564" s="381"/>
      <c r="H564" s="381"/>
      <c r="I564" s="381"/>
      <c r="J564" s="221"/>
      <c r="K564" s="221"/>
      <c r="L564" s="381"/>
      <c r="M564" s="381"/>
      <c r="N564" s="381"/>
      <c r="O564" s="381"/>
      <c r="P564" s="381"/>
      <c r="Q564" s="381"/>
      <c r="R564" s="381"/>
      <c r="V564" s="381"/>
      <c r="Y564" s="381"/>
      <c r="Z564" s="464"/>
      <c r="AA564" s="381"/>
      <c r="AB564" s="381"/>
      <c r="AC564" s="381"/>
      <c r="AD564" s="381"/>
      <c r="AE564" s="381"/>
      <c r="AF564" s="381"/>
      <c r="AI564" s="381"/>
      <c r="AJ564" s="381"/>
      <c r="AK564" s="162"/>
      <c r="AL564" s="381"/>
    </row>
    <row r="565" spans="1:40" x14ac:dyDescent="0.25">
      <c r="J565" s="65"/>
      <c r="K565" s="65"/>
    </row>
    <row r="566" spans="1:40" x14ac:dyDescent="0.25">
      <c r="A566" s="53"/>
      <c r="C566" s="54"/>
      <c r="F566" s="379"/>
      <c r="H566" s="379"/>
      <c r="I566" s="379"/>
      <c r="J566" s="65"/>
      <c r="K566" s="65"/>
      <c r="L566" s="379"/>
      <c r="M566" s="379"/>
      <c r="N566" s="50"/>
      <c r="O566" s="50"/>
      <c r="P566" s="449"/>
      <c r="Q566" s="449"/>
      <c r="R566" s="379"/>
      <c r="T566" s="54"/>
      <c r="V566" s="379"/>
      <c r="Y566" s="379"/>
      <c r="AA566" s="379"/>
      <c r="AB566" s="379"/>
      <c r="AC566" s="60"/>
      <c r="AD566" s="60"/>
      <c r="AE566" s="379"/>
      <c r="AF566" s="379"/>
      <c r="AG566" s="156"/>
      <c r="AH566" s="60"/>
      <c r="AI566" s="449"/>
      <c r="AJ566" s="449"/>
      <c r="AK566" s="156"/>
      <c r="AL566" s="379"/>
      <c r="AM566" s="60"/>
      <c r="AN566" s="60"/>
    </row>
    <row r="567" spans="1:40" x14ac:dyDescent="0.25">
      <c r="H567" s="381"/>
      <c r="I567" s="381"/>
      <c r="J567" s="221"/>
      <c r="K567" s="221"/>
      <c r="L567" s="381"/>
      <c r="M567" s="381"/>
      <c r="N567" s="381"/>
      <c r="O567" s="381"/>
      <c r="P567" s="381"/>
      <c r="Q567" s="381"/>
      <c r="R567" s="381"/>
      <c r="V567" s="381"/>
      <c r="Y567" s="381"/>
      <c r="Z567" s="464"/>
      <c r="AA567" s="381"/>
      <c r="AB567" s="381"/>
      <c r="AC567" s="381"/>
      <c r="AD567" s="381"/>
      <c r="AE567" s="381"/>
      <c r="AF567" s="381"/>
      <c r="AI567" s="381"/>
      <c r="AJ567" s="381"/>
      <c r="AK567" s="162"/>
      <c r="AL567" s="381"/>
    </row>
    <row r="568" spans="1:40" x14ac:dyDescent="0.25">
      <c r="F568" s="381"/>
    </row>
    <row r="569" spans="1:40" x14ac:dyDescent="0.25">
      <c r="C569" s="53"/>
      <c r="T569" s="53"/>
    </row>
    <row r="570" spans="1:40" x14ac:dyDescent="0.25">
      <c r="A570" s="54"/>
    </row>
    <row r="571" spans="1:40" x14ac:dyDescent="0.25">
      <c r="J571" s="53"/>
      <c r="K571" s="53"/>
      <c r="Z571" s="53"/>
    </row>
    <row r="572" spans="1:40" x14ac:dyDescent="0.25">
      <c r="H572" s="54"/>
      <c r="I572" s="54"/>
      <c r="Y572" s="54"/>
    </row>
    <row r="573" spans="1:40" x14ac:dyDescent="0.25">
      <c r="J573" s="53"/>
      <c r="K573" s="53"/>
      <c r="Z573" s="53"/>
    </row>
    <row r="574" spans="1:40" x14ac:dyDescent="0.25">
      <c r="L574" s="54"/>
      <c r="M574" s="54"/>
      <c r="AA574" s="54"/>
      <c r="AB574" s="54"/>
    </row>
    <row r="575" spans="1:40" x14ac:dyDescent="0.25">
      <c r="A575" s="53"/>
      <c r="R575" s="54"/>
      <c r="AK575" s="161"/>
      <c r="AL575" s="54"/>
    </row>
    <row r="576" spans="1:40" x14ac:dyDescent="0.25">
      <c r="A576" s="53"/>
      <c r="R576" s="54"/>
      <c r="AK576" s="161"/>
      <c r="AL576" s="54"/>
    </row>
    <row r="577" spans="1:40" x14ac:dyDescent="0.25">
      <c r="A577" s="54"/>
      <c r="R577" s="54"/>
      <c r="AK577" s="161"/>
      <c r="AL577" s="54"/>
    </row>
    <row r="578" spans="1:40" x14ac:dyDescent="0.25">
      <c r="L578" s="54"/>
      <c r="M578" s="54"/>
      <c r="R578" s="53"/>
      <c r="AA578" s="54"/>
      <c r="AB578" s="54"/>
      <c r="AK578" s="156"/>
      <c r="AL578" s="53"/>
    </row>
    <row r="579" spans="1:40" x14ac:dyDescent="0.25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154"/>
      <c r="AH579" s="55"/>
      <c r="AI579" s="55"/>
      <c r="AJ579" s="55"/>
      <c r="AK579" s="154"/>
      <c r="AL579" s="55"/>
      <c r="AM579" s="55"/>
      <c r="AN579" s="55"/>
    </row>
    <row r="580" spans="1:40" x14ac:dyDescent="0.25">
      <c r="L580" s="56"/>
      <c r="M580" s="56"/>
      <c r="N580" s="56"/>
      <c r="O580" s="56"/>
      <c r="R580" s="56"/>
      <c r="AA580" s="56"/>
      <c r="AB580" s="56"/>
      <c r="AC580" s="56"/>
      <c r="AD580" s="56"/>
      <c r="AE580" s="56"/>
      <c r="AF580" s="56"/>
      <c r="AG580" s="155"/>
      <c r="AH580" s="56"/>
      <c r="AK580" s="155"/>
      <c r="AL580" s="56"/>
      <c r="AM580" s="56"/>
      <c r="AN580" s="56"/>
    </row>
    <row r="581" spans="1:40" x14ac:dyDescent="0.25">
      <c r="L581" s="56"/>
      <c r="M581" s="56"/>
      <c r="N581" s="56"/>
      <c r="O581" s="56"/>
      <c r="R581" s="56"/>
      <c r="Z581" s="56"/>
      <c r="AA581" s="56"/>
      <c r="AB581" s="56"/>
      <c r="AC581" s="56"/>
      <c r="AD581" s="56"/>
      <c r="AE581" s="56"/>
      <c r="AF581" s="56"/>
      <c r="AG581" s="155"/>
      <c r="AH581" s="56"/>
      <c r="AK581" s="155"/>
      <c r="AL581" s="56"/>
      <c r="AM581" s="56"/>
      <c r="AN581" s="56"/>
    </row>
    <row r="582" spans="1:40" x14ac:dyDescent="0.25">
      <c r="A582" s="56"/>
      <c r="C582" s="56"/>
      <c r="D582" s="56"/>
      <c r="E582" s="56"/>
      <c r="F582" s="56"/>
      <c r="J582" s="56"/>
      <c r="K582" s="56"/>
      <c r="L582" s="56"/>
      <c r="M582" s="56"/>
      <c r="N582" s="56"/>
      <c r="O582" s="56"/>
      <c r="P582" s="56"/>
      <c r="Q582" s="56"/>
      <c r="R582" s="56"/>
      <c r="T582" s="56"/>
      <c r="U582" s="56"/>
      <c r="V582" s="56"/>
      <c r="Z582" s="56"/>
      <c r="AA582" s="56"/>
      <c r="AB582" s="56"/>
      <c r="AC582" s="56"/>
      <c r="AD582" s="56"/>
      <c r="AE582" s="56"/>
      <c r="AF582" s="56"/>
      <c r="AG582" s="155"/>
      <c r="AH582" s="56"/>
      <c r="AI582" s="56"/>
      <c r="AJ582" s="56"/>
      <c r="AK582" s="155"/>
      <c r="AL582" s="56"/>
      <c r="AM582" s="56"/>
      <c r="AN582" s="56"/>
    </row>
    <row r="583" spans="1:40" x14ac:dyDescent="0.25">
      <c r="A583" s="56"/>
      <c r="C583" s="56"/>
      <c r="D583" s="56"/>
      <c r="E583" s="56"/>
      <c r="F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T583" s="56"/>
      <c r="U583" s="56"/>
      <c r="V583" s="56"/>
      <c r="Y583" s="56"/>
      <c r="Z583" s="56"/>
      <c r="AA583" s="56"/>
      <c r="AB583" s="56"/>
      <c r="AC583" s="56"/>
      <c r="AD583" s="56"/>
      <c r="AE583" s="56"/>
      <c r="AF583" s="56"/>
      <c r="AG583" s="155"/>
      <c r="AH583" s="56"/>
      <c r="AI583" s="56"/>
      <c r="AJ583" s="56"/>
      <c r="AK583" s="155"/>
      <c r="AL583" s="56"/>
      <c r="AM583" s="56"/>
      <c r="AN583" s="56"/>
    </row>
    <row r="584" spans="1:40" x14ac:dyDescent="0.25">
      <c r="C584" s="56"/>
      <c r="D584" s="56"/>
      <c r="E584" s="56"/>
      <c r="F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T584" s="56"/>
      <c r="U584" s="56"/>
      <c r="V584" s="56"/>
      <c r="Y584" s="56"/>
      <c r="Z584" s="56"/>
      <c r="AA584" s="56"/>
      <c r="AB584" s="56"/>
      <c r="AC584" s="56"/>
      <c r="AD584" s="56"/>
      <c r="AE584" s="56"/>
      <c r="AF584" s="56"/>
      <c r="AG584" s="155"/>
      <c r="AH584" s="56"/>
      <c r="AI584" s="56"/>
      <c r="AJ584" s="56"/>
      <c r="AK584" s="155"/>
      <c r="AL584" s="56"/>
      <c r="AM584" s="56"/>
      <c r="AN584" s="56"/>
    </row>
    <row r="585" spans="1:40" x14ac:dyDescent="0.25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154"/>
      <c r="AH585" s="55"/>
      <c r="AI585" s="55"/>
      <c r="AJ585" s="55"/>
      <c r="AK585" s="154"/>
      <c r="AL585" s="55"/>
      <c r="AM585" s="55"/>
      <c r="AN585" s="55"/>
    </row>
    <row r="586" spans="1:40" x14ac:dyDescent="0.25"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Y586" s="56"/>
      <c r="Z586" s="56"/>
      <c r="AA586" s="56"/>
      <c r="AB586" s="56"/>
      <c r="AC586" s="56"/>
      <c r="AD586" s="56"/>
      <c r="AE586" s="56"/>
      <c r="AF586" s="56"/>
      <c r="AG586" s="155"/>
      <c r="AH586" s="56"/>
      <c r="AI586" s="56"/>
      <c r="AJ586" s="56"/>
      <c r="AK586" s="155"/>
      <c r="AL586" s="56"/>
      <c r="AM586" s="56"/>
      <c r="AN586" s="56"/>
    </row>
    <row r="587" spans="1:40" x14ac:dyDescent="0.25">
      <c r="A587" s="53"/>
      <c r="C587" s="54"/>
      <c r="D587" s="54"/>
      <c r="E587" s="54"/>
      <c r="T587" s="54"/>
      <c r="U587" s="54"/>
    </row>
    <row r="589" spans="1:40" x14ac:dyDescent="0.25">
      <c r="A589" s="53"/>
      <c r="C589" s="54"/>
      <c r="D589" s="54"/>
      <c r="E589" s="54"/>
      <c r="T589" s="54"/>
      <c r="U589" s="54"/>
    </row>
    <row r="590" spans="1:40" x14ac:dyDescent="0.25">
      <c r="A590" s="53"/>
      <c r="C590" s="54"/>
      <c r="T590" s="54"/>
    </row>
    <row r="591" spans="1:40" x14ac:dyDescent="0.25">
      <c r="A591" s="53"/>
      <c r="C591" s="54"/>
      <c r="T591" s="54"/>
    </row>
    <row r="592" spans="1:40" x14ac:dyDescent="0.25">
      <c r="A592" s="53"/>
      <c r="C592" s="54"/>
      <c r="H592" s="449"/>
      <c r="I592" s="449"/>
      <c r="J592" s="221"/>
      <c r="K592" s="221"/>
      <c r="L592" s="379"/>
      <c r="M592" s="379"/>
      <c r="N592" s="50"/>
      <c r="O592" s="50"/>
      <c r="P592" s="379"/>
      <c r="Q592" s="379"/>
      <c r="R592" s="379"/>
      <c r="T592" s="54"/>
      <c r="V592" s="379"/>
      <c r="W592" s="379"/>
      <c r="X592" s="379"/>
      <c r="Y592" s="379"/>
      <c r="Z592" s="221"/>
      <c r="AA592" s="379"/>
      <c r="AB592" s="379"/>
      <c r="AC592" s="50"/>
      <c r="AD592" s="50"/>
      <c r="AE592" s="379"/>
      <c r="AF592" s="379"/>
      <c r="AG592" s="156"/>
      <c r="AH592" s="60"/>
      <c r="AI592" s="379"/>
      <c r="AJ592" s="379"/>
      <c r="AK592" s="156"/>
      <c r="AL592" s="379"/>
      <c r="AM592" s="50"/>
      <c r="AN592" s="50"/>
    </row>
    <row r="593" spans="1:40" x14ac:dyDescent="0.25">
      <c r="A593" s="53"/>
      <c r="C593" s="54"/>
      <c r="F593" s="449"/>
      <c r="J593" s="65"/>
      <c r="K593" s="65"/>
      <c r="T593" s="54"/>
      <c r="V593" s="379"/>
      <c r="W593" s="379"/>
      <c r="X593" s="379"/>
      <c r="Y593" s="379"/>
      <c r="Z593" s="221"/>
    </row>
    <row r="594" spans="1:40" x14ac:dyDescent="0.25">
      <c r="A594" s="53"/>
      <c r="C594" s="54"/>
      <c r="H594" s="449"/>
      <c r="I594" s="449"/>
      <c r="J594" s="221"/>
      <c r="K594" s="221"/>
      <c r="L594" s="379"/>
      <c r="M594" s="379"/>
      <c r="N594" s="50"/>
      <c r="O594" s="50"/>
      <c r="P594" s="379"/>
      <c r="Q594" s="379"/>
      <c r="R594" s="379"/>
      <c r="T594" s="54"/>
      <c r="V594" s="379"/>
      <c r="W594" s="379"/>
      <c r="X594" s="379"/>
      <c r="Y594" s="379"/>
      <c r="Z594" s="221"/>
      <c r="AA594" s="379"/>
      <c r="AB594" s="379"/>
      <c r="AC594" s="50"/>
      <c r="AD594" s="50"/>
      <c r="AE594" s="379"/>
      <c r="AF594" s="379"/>
      <c r="AG594" s="156"/>
      <c r="AH594" s="60"/>
      <c r="AI594" s="379"/>
      <c r="AJ594" s="379"/>
      <c r="AK594" s="156"/>
      <c r="AL594" s="379"/>
      <c r="AM594" s="50"/>
      <c r="AN594" s="50"/>
    </row>
    <row r="595" spans="1:40" x14ac:dyDescent="0.25">
      <c r="A595" s="53"/>
      <c r="C595" s="54"/>
      <c r="F595" s="449"/>
      <c r="J595" s="65"/>
      <c r="K595" s="65"/>
      <c r="T595" s="54"/>
      <c r="V595" s="379"/>
      <c r="W595" s="379"/>
      <c r="X595" s="379"/>
      <c r="Y595" s="379"/>
      <c r="Z595" s="221"/>
    </row>
    <row r="596" spans="1:40" x14ac:dyDescent="0.25">
      <c r="A596" s="53"/>
      <c r="C596" s="54"/>
      <c r="H596" s="449"/>
      <c r="I596" s="449"/>
      <c r="J596" s="221"/>
      <c r="K596" s="221"/>
      <c r="L596" s="379"/>
      <c r="M596" s="379"/>
      <c r="N596" s="50"/>
      <c r="O596" s="50"/>
      <c r="P596" s="379"/>
      <c r="Q596" s="379"/>
      <c r="R596" s="379"/>
      <c r="T596" s="54"/>
      <c r="V596" s="379"/>
      <c r="W596" s="379"/>
      <c r="X596" s="379"/>
      <c r="Y596" s="379"/>
      <c r="Z596" s="221"/>
      <c r="AA596" s="379"/>
      <c r="AB596" s="379"/>
      <c r="AC596" s="50"/>
      <c r="AD596" s="50"/>
      <c r="AE596" s="379"/>
      <c r="AF596" s="379"/>
      <c r="AG596" s="156"/>
      <c r="AH596" s="60"/>
      <c r="AI596" s="379"/>
      <c r="AJ596" s="379"/>
      <c r="AK596" s="156"/>
      <c r="AL596" s="379"/>
      <c r="AM596" s="50"/>
      <c r="AN596" s="50"/>
    </row>
    <row r="597" spans="1:40" x14ac:dyDescent="0.25">
      <c r="A597" s="53"/>
      <c r="C597" s="54"/>
      <c r="F597" s="449"/>
      <c r="J597" s="65"/>
      <c r="K597" s="65"/>
      <c r="T597" s="54"/>
      <c r="V597" s="379"/>
      <c r="W597" s="379"/>
      <c r="X597" s="379"/>
      <c r="Y597" s="379"/>
      <c r="Z597" s="221"/>
    </row>
    <row r="598" spans="1:40" x14ac:dyDescent="0.25">
      <c r="A598" s="53"/>
      <c r="C598" s="54"/>
      <c r="H598" s="449"/>
      <c r="I598" s="449"/>
      <c r="J598" s="221"/>
      <c r="K598" s="221"/>
      <c r="L598" s="379"/>
      <c r="M598" s="379"/>
      <c r="N598" s="50"/>
      <c r="O598" s="50"/>
      <c r="P598" s="379"/>
      <c r="Q598" s="379"/>
      <c r="R598" s="379"/>
      <c r="T598" s="54"/>
      <c r="V598" s="379"/>
      <c r="W598" s="379"/>
      <c r="X598" s="379"/>
      <c r="Y598" s="379"/>
      <c r="Z598" s="221"/>
      <c r="AA598" s="379"/>
      <c r="AB598" s="379"/>
      <c r="AC598" s="50"/>
      <c r="AD598" s="50"/>
      <c r="AE598" s="379"/>
      <c r="AF598" s="379"/>
      <c r="AG598" s="156"/>
      <c r="AH598" s="60"/>
      <c r="AI598" s="379"/>
      <c r="AJ598" s="379"/>
      <c r="AK598" s="156"/>
      <c r="AL598" s="379"/>
      <c r="AM598" s="50"/>
      <c r="AN598" s="50"/>
    </row>
    <row r="599" spans="1:40" x14ac:dyDescent="0.25">
      <c r="A599" s="53"/>
      <c r="C599" s="54"/>
      <c r="F599" s="449"/>
      <c r="J599" s="65"/>
      <c r="K599" s="65"/>
      <c r="T599" s="54"/>
      <c r="V599" s="379"/>
      <c r="W599" s="379"/>
      <c r="X599" s="379"/>
      <c r="Y599" s="379"/>
      <c r="Z599" s="221"/>
    </row>
    <row r="600" spans="1:40" x14ac:dyDescent="0.25">
      <c r="A600" s="53"/>
      <c r="C600" s="54"/>
      <c r="H600" s="449"/>
      <c r="I600" s="449"/>
      <c r="J600" s="221"/>
      <c r="K600" s="221"/>
      <c r="L600" s="379"/>
      <c r="M600" s="379"/>
      <c r="N600" s="50"/>
      <c r="O600" s="50"/>
      <c r="P600" s="379"/>
      <c r="Q600" s="379"/>
      <c r="R600" s="379"/>
      <c r="T600" s="54"/>
      <c r="V600" s="379"/>
      <c r="W600" s="379"/>
      <c r="X600" s="379"/>
      <c r="Y600" s="379"/>
      <c r="Z600" s="221"/>
      <c r="AA600" s="379"/>
      <c r="AB600" s="379"/>
      <c r="AC600" s="50"/>
      <c r="AD600" s="50"/>
      <c r="AE600" s="379"/>
      <c r="AF600" s="379"/>
      <c r="AG600" s="156"/>
      <c r="AH600" s="60"/>
      <c r="AI600" s="379"/>
      <c r="AJ600" s="379"/>
      <c r="AK600" s="156"/>
      <c r="AL600" s="379"/>
      <c r="AM600" s="50"/>
      <c r="AN600" s="50"/>
    </row>
    <row r="601" spans="1:40" x14ac:dyDescent="0.25">
      <c r="A601" s="53"/>
      <c r="C601" s="54"/>
      <c r="F601" s="449"/>
      <c r="J601" s="65"/>
      <c r="K601" s="65"/>
      <c r="T601" s="54"/>
      <c r="V601" s="379"/>
      <c r="W601" s="379"/>
      <c r="X601" s="379"/>
      <c r="Y601" s="379"/>
      <c r="Z601" s="221"/>
    </row>
    <row r="602" spans="1:40" x14ac:dyDescent="0.25">
      <c r="A602" s="53"/>
      <c r="C602" s="54"/>
      <c r="H602" s="449"/>
      <c r="I602" s="449"/>
      <c r="J602" s="221"/>
      <c r="K602" s="221"/>
      <c r="L602" s="379"/>
      <c r="M602" s="379"/>
      <c r="N602" s="50"/>
      <c r="O602" s="50"/>
      <c r="P602" s="379"/>
      <c r="Q602" s="379"/>
      <c r="R602" s="379"/>
      <c r="T602" s="54"/>
      <c r="V602" s="379"/>
      <c r="W602" s="379"/>
      <c r="X602" s="379"/>
      <c r="Y602" s="379"/>
      <c r="Z602" s="221"/>
      <c r="AA602" s="379"/>
      <c r="AB602" s="379"/>
      <c r="AC602" s="50"/>
      <c r="AD602" s="50"/>
      <c r="AE602" s="379"/>
      <c r="AF602" s="379"/>
      <c r="AG602" s="156"/>
      <c r="AH602" s="60"/>
      <c r="AI602" s="379"/>
      <c r="AJ602" s="379"/>
      <c r="AK602" s="156"/>
      <c r="AL602" s="379"/>
      <c r="AM602" s="50"/>
      <c r="AN602" s="50"/>
    </row>
    <row r="603" spans="1:40" x14ac:dyDescent="0.25">
      <c r="F603" s="449"/>
      <c r="H603" s="381"/>
      <c r="I603" s="381"/>
      <c r="J603" s="221"/>
      <c r="K603" s="221"/>
      <c r="L603" s="381"/>
      <c r="M603" s="381"/>
      <c r="N603" s="381"/>
      <c r="O603" s="381"/>
      <c r="P603" s="381"/>
      <c r="Q603" s="381"/>
      <c r="R603" s="381"/>
      <c r="V603" s="381"/>
      <c r="Y603" s="381"/>
      <c r="Z603" s="221"/>
      <c r="AA603" s="381"/>
      <c r="AB603" s="381"/>
      <c r="AC603" s="381"/>
      <c r="AD603" s="381"/>
      <c r="AE603" s="381"/>
      <c r="AF603" s="381"/>
      <c r="AI603" s="381"/>
      <c r="AJ603" s="381"/>
      <c r="AK603" s="162"/>
      <c r="AL603" s="381"/>
      <c r="AM603" s="50"/>
      <c r="AN603" s="50"/>
    </row>
    <row r="604" spans="1:40" x14ac:dyDescent="0.25">
      <c r="A604" s="53"/>
      <c r="C604" s="54"/>
      <c r="F604" s="381"/>
      <c r="H604" s="379"/>
      <c r="I604" s="379"/>
      <c r="J604" s="65"/>
      <c r="K604" s="65"/>
      <c r="L604" s="379"/>
      <c r="M604" s="379"/>
      <c r="N604" s="50"/>
      <c r="O604" s="50"/>
      <c r="P604" s="449"/>
      <c r="Q604" s="449"/>
      <c r="R604" s="379"/>
      <c r="T604" s="54"/>
      <c r="V604" s="379"/>
      <c r="W604" s="379"/>
      <c r="X604" s="379"/>
      <c r="Y604" s="379"/>
      <c r="Z604" s="221"/>
      <c r="AA604" s="379"/>
      <c r="AB604" s="379"/>
      <c r="AC604" s="50"/>
      <c r="AD604" s="50"/>
      <c r="AE604" s="379"/>
      <c r="AF604" s="379"/>
      <c r="AG604" s="156"/>
      <c r="AH604" s="60"/>
      <c r="AI604" s="449"/>
      <c r="AJ604" s="449"/>
      <c r="AK604" s="156"/>
      <c r="AL604" s="379"/>
      <c r="AM604" s="50"/>
      <c r="AN604" s="50"/>
    </row>
    <row r="605" spans="1:40" x14ac:dyDescent="0.25">
      <c r="F605" s="379"/>
      <c r="H605" s="381"/>
      <c r="I605" s="381"/>
      <c r="J605" s="221"/>
      <c r="K605" s="221"/>
      <c r="L605" s="381"/>
      <c r="M605" s="381"/>
      <c r="N605" s="381"/>
      <c r="O605" s="381"/>
      <c r="P605" s="381"/>
      <c r="Q605" s="381"/>
      <c r="R605" s="381"/>
      <c r="V605" s="381"/>
      <c r="Y605" s="381"/>
      <c r="Z605" s="221"/>
      <c r="AA605" s="381"/>
      <c r="AB605" s="381"/>
      <c r="AC605" s="381"/>
      <c r="AD605" s="381"/>
      <c r="AE605" s="381"/>
      <c r="AF605" s="381"/>
      <c r="AI605" s="381"/>
      <c r="AJ605" s="381"/>
      <c r="AK605" s="162"/>
      <c r="AL605" s="381"/>
    </row>
    <row r="606" spans="1:40" x14ac:dyDescent="0.25">
      <c r="A606" s="53"/>
      <c r="C606" s="54"/>
      <c r="D606" s="54"/>
      <c r="E606" s="54"/>
      <c r="F606" s="381"/>
      <c r="J606" s="65"/>
      <c r="K606" s="65"/>
      <c r="T606" s="54"/>
      <c r="U606" s="54"/>
      <c r="V606" s="379"/>
      <c r="W606" s="379"/>
      <c r="X606" s="379"/>
      <c r="Y606" s="379"/>
      <c r="Z606" s="221"/>
    </row>
    <row r="607" spans="1:40" x14ac:dyDescent="0.25">
      <c r="A607" s="53"/>
      <c r="C607" s="54"/>
      <c r="J607" s="65"/>
      <c r="K607" s="65"/>
      <c r="T607" s="54"/>
      <c r="V607" s="379"/>
      <c r="W607" s="379"/>
      <c r="X607" s="379"/>
      <c r="Y607" s="379"/>
      <c r="Z607" s="221"/>
    </row>
    <row r="608" spans="1:40" x14ac:dyDescent="0.25">
      <c r="A608" s="53"/>
      <c r="C608" s="54"/>
      <c r="J608" s="65"/>
      <c r="K608" s="65"/>
      <c r="T608" s="54"/>
      <c r="V608" s="379"/>
      <c r="W608" s="379"/>
      <c r="X608" s="379"/>
      <c r="Y608" s="379"/>
      <c r="Z608" s="221"/>
    </row>
    <row r="609" spans="1:40" x14ac:dyDescent="0.25">
      <c r="A609" s="53"/>
      <c r="C609" s="54"/>
      <c r="H609" s="449"/>
      <c r="I609" s="449"/>
      <c r="J609" s="221"/>
      <c r="K609" s="221"/>
      <c r="L609" s="379"/>
      <c r="M609" s="379"/>
      <c r="N609" s="50"/>
      <c r="O609" s="50"/>
      <c r="P609" s="379"/>
      <c r="Q609" s="379"/>
      <c r="R609" s="379"/>
      <c r="T609" s="54"/>
      <c r="V609" s="379"/>
      <c r="W609" s="379"/>
      <c r="X609" s="379"/>
      <c r="Y609" s="379"/>
      <c r="Z609" s="221"/>
      <c r="AA609" s="379"/>
      <c r="AB609" s="379"/>
      <c r="AC609" s="50"/>
      <c r="AD609" s="50"/>
      <c r="AE609" s="379"/>
      <c r="AF609" s="379"/>
      <c r="AG609" s="156"/>
      <c r="AH609" s="60"/>
      <c r="AI609" s="379"/>
      <c r="AJ609" s="379"/>
      <c r="AK609" s="156"/>
      <c r="AL609" s="379"/>
      <c r="AM609" s="50"/>
      <c r="AN609" s="50"/>
    </row>
    <row r="610" spans="1:40" x14ac:dyDescent="0.25">
      <c r="A610" s="53"/>
      <c r="C610" s="54"/>
      <c r="F610" s="449"/>
      <c r="J610" s="65"/>
      <c r="K610" s="65"/>
      <c r="T610" s="54"/>
      <c r="V610" s="379"/>
      <c r="W610" s="379"/>
      <c r="X610" s="379"/>
      <c r="Y610" s="379"/>
      <c r="Z610" s="221"/>
    </row>
    <row r="611" spans="1:40" x14ac:dyDescent="0.25">
      <c r="A611" s="53"/>
      <c r="C611" s="54"/>
      <c r="H611" s="449"/>
      <c r="I611" s="449"/>
      <c r="J611" s="221"/>
      <c r="K611" s="221"/>
      <c r="L611" s="379"/>
      <c r="M611" s="379"/>
      <c r="N611" s="50"/>
      <c r="O611" s="50"/>
      <c r="P611" s="379"/>
      <c r="Q611" s="379"/>
      <c r="R611" s="379"/>
      <c r="T611" s="54"/>
      <c r="V611" s="379"/>
      <c r="W611" s="379"/>
      <c r="X611" s="379"/>
      <c r="Y611" s="379"/>
      <c r="Z611" s="221"/>
      <c r="AA611" s="379"/>
      <c r="AB611" s="379"/>
      <c r="AC611" s="50"/>
      <c r="AD611" s="50"/>
      <c r="AE611" s="379"/>
      <c r="AF611" s="379"/>
      <c r="AG611" s="156"/>
      <c r="AH611" s="60"/>
      <c r="AI611" s="379"/>
      <c r="AJ611" s="379"/>
      <c r="AK611" s="156"/>
      <c r="AL611" s="379"/>
      <c r="AM611" s="50"/>
      <c r="AN611" s="50"/>
    </row>
    <row r="612" spans="1:40" x14ac:dyDescent="0.25">
      <c r="F612" s="449"/>
      <c r="H612" s="381"/>
      <c r="I612" s="381"/>
      <c r="J612" s="221"/>
      <c r="K612" s="221"/>
      <c r="L612" s="381"/>
      <c r="M612" s="381"/>
      <c r="N612" s="381"/>
      <c r="O612" s="381"/>
      <c r="P612" s="381"/>
      <c r="Q612" s="381"/>
      <c r="R612" s="381"/>
      <c r="V612" s="381"/>
      <c r="Y612" s="381"/>
      <c r="Z612" s="464"/>
      <c r="AA612" s="381"/>
      <c r="AB612" s="381"/>
      <c r="AC612" s="381"/>
      <c r="AD612" s="381"/>
      <c r="AE612" s="381"/>
      <c r="AF612" s="381"/>
      <c r="AI612" s="381"/>
      <c r="AJ612" s="381"/>
      <c r="AK612" s="162"/>
      <c r="AL612" s="381"/>
    </row>
    <row r="613" spans="1:40" x14ac:dyDescent="0.25">
      <c r="A613" s="53"/>
      <c r="C613" s="54"/>
      <c r="F613" s="381"/>
      <c r="H613" s="379"/>
      <c r="I613" s="379"/>
      <c r="L613" s="379"/>
      <c r="M613" s="379"/>
      <c r="N613" s="50"/>
      <c r="O613" s="50"/>
      <c r="P613" s="449"/>
      <c r="Q613" s="449"/>
      <c r="R613" s="379"/>
      <c r="T613" s="54"/>
      <c r="V613" s="379"/>
      <c r="W613" s="379"/>
      <c r="X613" s="379"/>
      <c r="Y613" s="379"/>
      <c r="Z613" s="477"/>
      <c r="AA613" s="379"/>
      <c r="AB613" s="379"/>
      <c r="AC613" s="50"/>
      <c r="AD613" s="50"/>
      <c r="AE613" s="379"/>
      <c r="AF613" s="379"/>
      <c r="AG613" s="156"/>
      <c r="AH613" s="60"/>
      <c r="AI613" s="449"/>
      <c r="AJ613" s="449"/>
      <c r="AK613" s="156"/>
      <c r="AL613" s="379"/>
      <c r="AM613" s="50"/>
      <c r="AN613" s="50"/>
    </row>
    <row r="614" spans="1:40" x14ac:dyDescent="0.25">
      <c r="F614" s="379"/>
      <c r="H614" s="381"/>
      <c r="I614" s="381"/>
      <c r="J614" s="464"/>
      <c r="K614" s="464"/>
      <c r="L614" s="381"/>
      <c r="M614" s="381"/>
      <c r="N614" s="381"/>
      <c r="O614" s="381"/>
      <c r="P614" s="381"/>
      <c r="Q614" s="381"/>
      <c r="R614" s="381"/>
      <c r="V614" s="381"/>
      <c r="Y614" s="381"/>
      <c r="Z614" s="464"/>
      <c r="AA614" s="381"/>
      <c r="AB614" s="381"/>
      <c r="AC614" s="381"/>
      <c r="AD614" s="381"/>
      <c r="AE614" s="381"/>
      <c r="AF614" s="381"/>
      <c r="AI614" s="381"/>
      <c r="AJ614" s="381"/>
      <c r="AK614" s="162"/>
      <c r="AL614" s="381"/>
    </row>
    <row r="615" spans="1:40" x14ac:dyDescent="0.25">
      <c r="A615" s="53"/>
      <c r="C615" s="54"/>
      <c r="D615" s="54"/>
      <c r="E615" s="54"/>
      <c r="F615" s="381"/>
      <c r="T615" s="54"/>
      <c r="U615" s="54"/>
      <c r="V615" s="379"/>
      <c r="W615" s="379"/>
      <c r="X615" s="379"/>
      <c r="Y615" s="379"/>
      <c r="Z615" s="477"/>
    </row>
    <row r="616" spans="1:40" x14ac:dyDescent="0.25">
      <c r="A616" s="53"/>
      <c r="C616" s="54"/>
      <c r="T616" s="54"/>
      <c r="V616" s="379"/>
      <c r="W616" s="379"/>
      <c r="X616" s="379"/>
      <c r="Y616" s="379"/>
      <c r="Z616" s="477"/>
    </row>
    <row r="617" spans="1:40" x14ac:dyDescent="0.25">
      <c r="A617" s="53"/>
      <c r="C617" s="54"/>
      <c r="H617" s="449"/>
      <c r="I617" s="449"/>
      <c r="J617" s="477"/>
      <c r="K617" s="477"/>
      <c r="L617" s="379"/>
      <c r="M617" s="379"/>
      <c r="N617" s="50"/>
      <c r="O617" s="50"/>
      <c r="P617" s="379"/>
      <c r="Q617" s="379"/>
      <c r="R617" s="379"/>
      <c r="T617" s="54"/>
      <c r="V617" s="379"/>
      <c r="W617" s="379"/>
      <c r="X617" s="379"/>
      <c r="Y617" s="379"/>
      <c r="Z617" s="477"/>
      <c r="AA617" s="379"/>
      <c r="AB617" s="379"/>
      <c r="AC617" s="50"/>
      <c r="AD617" s="50"/>
      <c r="AE617" s="379"/>
      <c r="AF617" s="379"/>
      <c r="AG617" s="156"/>
      <c r="AH617" s="60"/>
      <c r="AI617" s="379"/>
      <c r="AJ617" s="379"/>
      <c r="AK617" s="156"/>
      <c r="AL617" s="379"/>
      <c r="AM617" s="50"/>
      <c r="AN617" s="50"/>
    </row>
    <row r="618" spans="1:40" x14ac:dyDescent="0.25">
      <c r="A618" s="53"/>
      <c r="C618" s="54"/>
      <c r="F618" s="449"/>
      <c r="T618" s="54"/>
      <c r="V618" s="379"/>
      <c r="W618" s="379"/>
      <c r="X618" s="379"/>
      <c r="Y618" s="379"/>
      <c r="Z618" s="477"/>
    </row>
    <row r="619" spans="1:40" x14ac:dyDescent="0.25">
      <c r="A619" s="53"/>
      <c r="C619" s="54"/>
      <c r="H619" s="449"/>
      <c r="I619" s="449"/>
      <c r="J619" s="477"/>
      <c r="K619" s="477"/>
      <c r="L619" s="379"/>
      <c r="M619" s="379"/>
      <c r="N619" s="50"/>
      <c r="O619" s="50"/>
      <c r="P619" s="379"/>
      <c r="Q619" s="379"/>
      <c r="R619" s="379"/>
      <c r="T619" s="54"/>
      <c r="V619" s="379"/>
      <c r="W619" s="379"/>
      <c r="X619" s="379"/>
      <c r="Y619" s="379"/>
      <c r="Z619" s="477"/>
      <c r="AA619" s="379"/>
      <c r="AB619" s="379"/>
      <c r="AC619" s="50"/>
      <c r="AD619" s="50"/>
      <c r="AE619" s="379"/>
      <c r="AF619" s="379"/>
      <c r="AG619" s="156"/>
      <c r="AH619" s="60"/>
      <c r="AI619" s="379"/>
      <c r="AJ619" s="379"/>
      <c r="AK619" s="156"/>
      <c r="AL619" s="379"/>
      <c r="AM619" s="50"/>
      <c r="AN619" s="50"/>
    </row>
    <row r="620" spans="1:40" x14ac:dyDescent="0.25">
      <c r="A620" s="53"/>
      <c r="C620" s="54"/>
      <c r="F620" s="449"/>
      <c r="T620" s="54"/>
      <c r="V620" s="379"/>
      <c r="W620" s="379"/>
      <c r="X620" s="379"/>
      <c r="Y620" s="379"/>
      <c r="Z620" s="477"/>
    </row>
    <row r="621" spans="1:40" x14ac:dyDescent="0.25">
      <c r="A621" s="53"/>
      <c r="C621" s="54"/>
      <c r="H621" s="449"/>
      <c r="I621" s="449"/>
      <c r="J621" s="477"/>
      <c r="K621" s="477"/>
      <c r="L621" s="379"/>
      <c r="M621" s="379"/>
      <c r="N621" s="50"/>
      <c r="O621" s="50"/>
      <c r="P621" s="379"/>
      <c r="Q621" s="379"/>
      <c r="R621" s="379"/>
      <c r="T621" s="54"/>
      <c r="V621" s="379"/>
      <c r="W621" s="379"/>
      <c r="X621" s="379"/>
      <c r="Y621" s="379"/>
      <c r="Z621" s="477"/>
      <c r="AA621" s="379"/>
      <c r="AB621" s="379"/>
      <c r="AC621" s="50"/>
      <c r="AD621" s="50"/>
      <c r="AE621" s="379"/>
      <c r="AF621" s="379"/>
      <c r="AG621" s="156"/>
      <c r="AH621" s="60"/>
      <c r="AI621" s="379"/>
      <c r="AJ621" s="379"/>
      <c r="AK621" s="156"/>
      <c r="AL621" s="379"/>
      <c r="AM621" s="50"/>
      <c r="AN621" s="50"/>
    </row>
    <row r="622" spans="1:40" x14ac:dyDescent="0.25">
      <c r="A622" s="53"/>
      <c r="C622" s="54"/>
      <c r="F622" s="449"/>
      <c r="T622" s="54"/>
      <c r="V622" s="379"/>
      <c r="W622" s="379"/>
      <c r="X622" s="379"/>
      <c r="Y622" s="379"/>
      <c r="Z622" s="477"/>
    </row>
    <row r="623" spans="1:40" x14ac:dyDescent="0.25">
      <c r="A623" s="53"/>
      <c r="C623" s="54"/>
      <c r="H623" s="449"/>
      <c r="I623" s="449"/>
      <c r="J623" s="477"/>
      <c r="K623" s="477"/>
      <c r="L623" s="379"/>
      <c r="M623" s="379"/>
      <c r="N623" s="50"/>
      <c r="O623" s="50"/>
      <c r="P623" s="379"/>
      <c r="Q623" s="379"/>
      <c r="R623" s="379"/>
      <c r="T623" s="54"/>
      <c r="V623" s="379"/>
      <c r="W623" s="379"/>
      <c r="X623" s="379"/>
      <c r="Y623" s="379"/>
      <c r="Z623" s="477"/>
      <c r="AA623" s="379"/>
      <c r="AB623" s="379"/>
      <c r="AC623" s="50"/>
      <c r="AD623" s="50"/>
      <c r="AE623" s="379"/>
      <c r="AF623" s="379"/>
      <c r="AG623" s="156"/>
      <c r="AH623" s="60"/>
      <c r="AI623" s="379"/>
      <c r="AJ623" s="379"/>
      <c r="AK623" s="156"/>
      <c r="AL623" s="379"/>
      <c r="AM623" s="50"/>
      <c r="AN623" s="50"/>
    </row>
    <row r="624" spans="1:40" x14ac:dyDescent="0.25">
      <c r="F624" s="449"/>
      <c r="H624" s="381"/>
      <c r="I624" s="381"/>
      <c r="J624" s="464"/>
      <c r="K624" s="464"/>
      <c r="L624" s="381"/>
      <c r="M624" s="381"/>
      <c r="N624" s="381"/>
      <c r="O624" s="381"/>
      <c r="P624" s="381"/>
      <c r="Q624" s="381"/>
      <c r="R624" s="381"/>
      <c r="V624" s="381"/>
      <c r="Y624" s="381"/>
      <c r="Z624" s="464"/>
      <c r="AA624" s="381"/>
      <c r="AB624" s="381"/>
      <c r="AC624" s="381"/>
      <c r="AD624" s="381"/>
      <c r="AE624" s="381"/>
      <c r="AF624" s="381"/>
      <c r="AI624" s="381"/>
      <c r="AJ624" s="381"/>
      <c r="AK624" s="162"/>
      <c r="AL624" s="381"/>
    </row>
    <row r="625" spans="1:40" x14ac:dyDescent="0.25">
      <c r="A625" s="53"/>
      <c r="C625" s="54"/>
      <c r="F625" s="381"/>
      <c r="H625" s="379"/>
      <c r="I625" s="379"/>
      <c r="L625" s="379"/>
      <c r="M625" s="379"/>
      <c r="N625" s="50"/>
      <c r="O625" s="50"/>
      <c r="P625" s="449"/>
      <c r="Q625" s="449"/>
      <c r="R625" s="379"/>
      <c r="T625" s="54"/>
      <c r="V625" s="379"/>
      <c r="W625" s="379"/>
      <c r="X625" s="379"/>
      <c r="Y625" s="379"/>
      <c r="Z625" s="477"/>
      <c r="AA625" s="379"/>
      <c r="AB625" s="379"/>
      <c r="AC625" s="50"/>
      <c r="AD625" s="50"/>
      <c r="AE625" s="379"/>
      <c r="AF625" s="379"/>
      <c r="AG625" s="156"/>
      <c r="AH625" s="60"/>
      <c r="AI625" s="449"/>
      <c r="AJ625" s="449"/>
      <c r="AK625" s="156"/>
      <c r="AL625" s="379"/>
      <c r="AM625" s="50"/>
      <c r="AN625" s="50"/>
    </row>
    <row r="626" spans="1:40" x14ac:dyDescent="0.25">
      <c r="F626" s="379"/>
      <c r="H626" s="381"/>
      <c r="I626" s="381"/>
      <c r="J626" s="464"/>
      <c r="K626" s="464"/>
      <c r="L626" s="381"/>
      <c r="M626" s="381"/>
      <c r="N626" s="381"/>
      <c r="O626" s="381"/>
      <c r="P626" s="381"/>
      <c r="Q626" s="381"/>
      <c r="R626" s="381"/>
      <c r="V626" s="381"/>
      <c r="Y626" s="381"/>
      <c r="Z626" s="464"/>
      <c r="AA626" s="381"/>
      <c r="AB626" s="381"/>
      <c r="AC626" s="381"/>
      <c r="AD626" s="381"/>
      <c r="AE626" s="381"/>
      <c r="AF626" s="381"/>
      <c r="AI626" s="381"/>
      <c r="AJ626" s="381"/>
      <c r="AK626" s="162"/>
      <c r="AL626" s="381"/>
    </row>
    <row r="627" spans="1:40" x14ac:dyDescent="0.25">
      <c r="A627" s="53"/>
      <c r="C627" s="54"/>
      <c r="F627" s="381"/>
      <c r="H627" s="379"/>
      <c r="I627" s="379"/>
      <c r="L627" s="379"/>
      <c r="M627" s="379"/>
      <c r="N627" s="50"/>
      <c r="O627" s="50"/>
      <c r="P627" s="379"/>
      <c r="Q627" s="379"/>
      <c r="R627" s="379"/>
      <c r="T627" s="54"/>
      <c r="V627" s="379"/>
      <c r="W627" s="379"/>
      <c r="X627" s="379"/>
      <c r="Y627" s="379"/>
      <c r="AA627" s="379"/>
      <c r="AB627" s="379"/>
      <c r="AC627" s="50"/>
      <c r="AD627" s="50"/>
      <c r="AE627" s="379"/>
      <c r="AF627" s="379"/>
      <c r="AG627" s="156"/>
      <c r="AH627" s="60"/>
      <c r="AI627" s="379"/>
      <c r="AJ627" s="379"/>
      <c r="AK627" s="156"/>
      <c r="AL627" s="379"/>
      <c r="AM627" s="60"/>
      <c r="AN627" s="60"/>
    </row>
    <row r="628" spans="1:40" x14ac:dyDescent="0.25">
      <c r="F628" s="379"/>
      <c r="H628" s="381"/>
      <c r="I628" s="381"/>
      <c r="J628" s="464"/>
      <c r="K628" s="464"/>
      <c r="L628" s="381"/>
      <c r="M628" s="381"/>
      <c r="N628" s="381"/>
      <c r="O628" s="381"/>
      <c r="P628" s="381"/>
      <c r="Q628" s="381"/>
      <c r="R628" s="381"/>
      <c r="V628" s="381"/>
      <c r="Y628" s="381"/>
      <c r="Z628" s="464"/>
      <c r="AA628" s="381"/>
      <c r="AB628" s="381"/>
      <c r="AC628" s="381"/>
      <c r="AD628" s="381"/>
      <c r="AE628" s="381"/>
      <c r="AF628" s="381"/>
      <c r="AI628" s="381"/>
      <c r="AJ628" s="381"/>
      <c r="AK628" s="162"/>
      <c r="AL628" s="381"/>
    </row>
    <row r="630" spans="1:40" x14ac:dyDescent="0.25">
      <c r="C630" s="53"/>
      <c r="F630" s="381"/>
      <c r="T630" s="53"/>
    </row>
    <row r="631" spans="1:40" x14ac:dyDescent="0.25">
      <c r="A631" s="54"/>
    </row>
    <row r="632" spans="1:40" x14ac:dyDescent="0.25">
      <c r="J632" s="53"/>
      <c r="K632" s="53"/>
      <c r="Z632" s="53"/>
    </row>
    <row r="633" spans="1:40" x14ac:dyDescent="0.25">
      <c r="H633" s="54"/>
      <c r="I633" s="54"/>
      <c r="Y633" s="54"/>
    </row>
    <row r="634" spans="1:40" x14ac:dyDescent="0.25">
      <c r="J634" s="53"/>
      <c r="K634" s="53"/>
      <c r="Z634" s="53"/>
    </row>
    <row r="635" spans="1:40" x14ac:dyDescent="0.25">
      <c r="L635" s="54"/>
      <c r="M635" s="54"/>
      <c r="AA635" s="54"/>
      <c r="AB635" s="54"/>
    </row>
    <row r="636" spans="1:40" x14ac:dyDescent="0.25">
      <c r="A636" s="53"/>
      <c r="R636" s="54"/>
      <c r="AK636" s="161"/>
      <c r="AL636" s="54"/>
    </row>
    <row r="637" spans="1:40" x14ac:dyDescent="0.25">
      <c r="A637" s="53"/>
      <c r="R637" s="54"/>
      <c r="AK637" s="161"/>
      <c r="AL637" s="54"/>
    </row>
    <row r="638" spans="1:40" x14ac:dyDescent="0.25">
      <c r="A638" s="54"/>
      <c r="R638" s="54"/>
      <c r="AK638" s="161"/>
      <c r="AL638" s="54"/>
    </row>
    <row r="639" spans="1:40" x14ac:dyDescent="0.25">
      <c r="L639" s="54"/>
      <c r="M639" s="54"/>
      <c r="R639" s="53"/>
      <c r="AA639" s="54"/>
      <c r="AB639" s="54"/>
      <c r="AK639" s="156"/>
      <c r="AL639" s="53"/>
    </row>
    <row r="640" spans="1:40" x14ac:dyDescent="0.25">
      <c r="A640" s="55"/>
      <c r="B640" s="55"/>
      <c r="C640" s="55"/>
      <c r="D640" s="55"/>
      <c r="E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154"/>
      <c r="AH640" s="55"/>
      <c r="AI640" s="55"/>
      <c r="AJ640" s="55"/>
      <c r="AK640" s="154"/>
      <c r="AL640" s="55"/>
      <c r="AM640" s="55"/>
      <c r="AN640" s="55"/>
    </row>
    <row r="641" spans="1:40" x14ac:dyDescent="0.25">
      <c r="F641" s="55"/>
      <c r="L641" s="56"/>
      <c r="M641" s="56"/>
      <c r="N641" s="56"/>
      <c r="O641" s="56"/>
      <c r="R641" s="56"/>
      <c r="AA641" s="56"/>
      <c r="AB641" s="56"/>
      <c r="AC641" s="56"/>
      <c r="AD641" s="56"/>
      <c r="AE641" s="56"/>
      <c r="AF641" s="56"/>
      <c r="AG641" s="155"/>
      <c r="AH641" s="56"/>
      <c r="AK641" s="155"/>
      <c r="AL641" s="56"/>
      <c r="AM641" s="56"/>
      <c r="AN641" s="56"/>
    </row>
    <row r="642" spans="1:40" x14ac:dyDescent="0.25">
      <c r="L642" s="56"/>
      <c r="M642" s="56"/>
      <c r="N642" s="56"/>
      <c r="O642" s="56"/>
      <c r="R642" s="56"/>
      <c r="Z642" s="56"/>
      <c r="AA642" s="56"/>
      <c r="AB642" s="56"/>
      <c r="AC642" s="56"/>
      <c r="AD642" s="56"/>
      <c r="AE642" s="56"/>
      <c r="AF642" s="56"/>
      <c r="AG642" s="155"/>
      <c r="AH642" s="56"/>
      <c r="AK642" s="155"/>
      <c r="AL642" s="56"/>
      <c r="AM642" s="56"/>
      <c r="AN642" s="56"/>
    </row>
    <row r="643" spans="1:40" x14ac:dyDescent="0.25">
      <c r="A643" s="56"/>
      <c r="C643" s="56"/>
      <c r="D643" s="56"/>
      <c r="E643" s="56"/>
      <c r="J643" s="56"/>
      <c r="K643" s="56"/>
      <c r="L643" s="56"/>
      <c r="M643" s="56"/>
      <c r="N643" s="56"/>
      <c r="O643" s="56"/>
      <c r="P643" s="56"/>
      <c r="Q643" s="56"/>
      <c r="R643" s="56"/>
      <c r="T643" s="56"/>
      <c r="U643" s="56"/>
      <c r="V643" s="56"/>
      <c r="Z643" s="56"/>
      <c r="AA643" s="56"/>
      <c r="AB643" s="56"/>
      <c r="AC643" s="56"/>
      <c r="AD643" s="56"/>
      <c r="AE643" s="56"/>
      <c r="AF643" s="56"/>
      <c r="AG643" s="155"/>
      <c r="AH643" s="56"/>
      <c r="AI643" s="56"/>
      <c r="AJ643" s="56"/>
      <c r="AK643" s="155"/>
      <c r="AL643" s="56"/>
      <c r="AM643" s="56"/>
      <c r="AN643" s="56"/>
    </row>
    <row r="644" spans="1:40" x14ac:dyDescent="0.25">
      <c r="A644" s="56"/>
      <c r="C644" s="56"/>
      <c r="D644" s="56"/>
      <c r="E644" s="56"/>
      <c r="F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T644" s="56"/>
      <c r="U644" s="56"/>
      <c r="V644" s="56"/>
      <c r="Y644" s="56"/>
      <c r="Z644" s="56"/>
      <c r="AA644" s="56"/>
      <c r="AB644" s="56"/>
      <c r="AC644" s="56"/>
      <c r="AD644" s="56"/>
      <c r="AE644" s="56"/>
      <c r="AF644" s="56"/>
      <c r="AG644" s="155"/>
      <c r="AH644" s="56"/>
      <c r="AI644" s="56"/>
      <c r="AJ644" s="56"/>
      <c r="AK644" s="155"/>
      <c r="AL644" s="56"/>
      <c r="AM644" s="56"/>
      <c r="AN644" s="56"/>
    </row>
    <row r="645" spans="1:40" x14ac:dyDescent="0.25">
      <c r="C645" s="56"/>
      <c r="D645" s="56"/>
      <c r="E645" s="56"/>
      <c r="F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T645" s="56"/>
      <c r="U645" s="56"/>
      <c r="V645" s="56"/>
      <c r="Y645" s="56"/>
      <c r="Z645" s="56"/>
      <c r="AA645" s="56"/>
      <c r="AB645" s="56"/>
      <c r="AC645" s="56"/>
      <c r="AD645" s="56"/>
      <c r="AE645" s="56"/>
      <c r="AF645" s="56"/>
      <c r="AG645" s="155"/>
      <c r="AH645" s="56"/>
      <c r="AI645" s="56"/>
      <c r="AJ645" s="56"/>
      <c r="AK645" s="155"/>
      <c r="AL645" s="56"/>
      <c r="AM645" s="56"/>
      <c r="AN645" s="56"/>
    </row>
    <row r="646" spans="1:40" x14ac:dyDescent="0.25">
      <c r="A646" s="55"/>
      <c r="B646" s="55"/>
      <c r="C646" s="55"/>
      <c r="D646" s="55"/>
      <c r="E646" s="55"/>
      <c r="F646" s="56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154"/>
      <c r="AH646" s="55"/>
      <c r="AI646" s="55"/>
      <c r="AJ646" s="55"/>
      <c r="AK646" s="154"/>
      <c r="AL646" s="55"/>
      <c r="AM646" s="55"/>
      <c r="AN646" s="55"/>
    </row>
    <row r="647" spans="1:40" x14ac:dyDescent="0.25">
      <c r="F647" s="55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Y647" s="56"/>
      <c r="Z647" s="56"/>
      <c r="AA647" s="56"/>
      <c r="AB647" s="56"/>
      <c r="AC647" s="56"/>
      <c r="AD647" s="56"/>
      <c r="AE647" s="56"/>
      <c r="AF647" s="56"/>
      <c r="AG647" s="155"/>
      <c r="AH647" s="56"/>
      <c r="AI647" s="56"/>
      <c r="AJ647" s="56"/>
      <c r="AK647" s="155"/>
      <c r="AL647" s="56"/>
      <c r="AM647" s="56"/>
      <c r="AN647" s="56"/>
    </row>
    <row r="648" spans="1:40" x14ac:dyDescent="0.25">
      <c r="A648" s="53"/>
      <c r="C648" s="54"/>
      <c r="D648" s="54"/>
      <c r="E648" s="54"/>
      <c r="H648" s="379"/>
      <c r="I648" s="379"/>
      <c r="J648" s="59"/>
      <c r="K648" s="59"/>
      <c r="L648" s="379"/>
      <c r="M648" s="379"/>
      <c r="N648" s="59"/>
      <c r="O648" s="59"/>
      <c r="P648" s="379"/>
      <c r="Q648" s="379"/>
      <c r="R648" s="379"/>
      <c r="T648" s="54"/>
      <c r="U648" s="54"/>
      <c r="V648" s="379"/>
      <c r="Y648" s="379"/>
      <c r="Z648" s="59"/>
      <c r="AA648" s="379"/>
      <c r="AB648" s="379"/>
      <c r="AC648" s="59"/>
      <c r="AD648" s="59"/>
      <c r="AE648" s="379"/>
      <c r="AF648" s="379"/>
      <c r="AG648" s="156"/>
      <c r="AH648" s="60"/>
      <c r="AI648" s="379"/>
      <c r="AJ648" s="379"/>
      <c r="AK648" s="156"/>
      <c r="AL648" s="379"/>
      <c r="AM648" s="50"/>
      <c r="AN648" s="50"/>
    </row>
    <row r="649" spans="1:40" x14ac:dyDescent="0.25">
      <c r="F649" s="379"/>
      <c r="H649" s="381"/>
      <c r="I649" s="381"/>
      <c r="J649" s="464"/>
      <c r="K649" s="464"/>
      <c r="L649" s="381"/>
      <c r="M649" s="381"/>
      <c r="N649" s="381"/>
      <c r="O649" s="381"/>
      <c r="P649" s="381"/>
      <c r="Q649" s="381"/>
      <c r="R649" s="381"/>
      <c r="V649" s="381"/>
      <c r="Y649" s="381"/>
      <c r="Z649" s="464"/>
      <c r="AA649" s="381"/>
      <c r="AB649" s="381"/>
      <c r="AC649" s="381"/>
      <c r="AD649" s="381"/>
      <c r="AE649" s="381"/>
      <c r="AF649" s="381"/>
      <c r="AI649" s="381"/>
      <c r="AJ649" s="381"/>
      <c r="AK649" s="162"/>
      <c r="AL649" s="381"/>
      <c r="AM649" s="50"/>
      <c r="AN649" s="50"/>
    </row>
    <row r="650" spans="1:40" x14ac:dyDescent="0.25">
      <c r="A650" s="53"/>
      <c r="C650" s="54"/>
      <c r="F650" s="381"/>
      <c r="H650" s="379"/>
      <c r="I650" s="379"/>
      <c r="J650" s="59"/>
      <c r="K650" s="59"/>
      <c r="L650" s="379"/>
      <c r="M650" s="379"/>
      <c r="N650" s="59"/>
      <c r="O650" s="59"/>
      <c r="P650" s="379"/>
      <c r="Q650" s="379"/>
      <c r="R650" s="379"/>
      <c r="T650" s="54"/>
      <c r="V650" s="379"/>
      <c r="Y650" s="379"/>
      <c r="Z650" s="59"/>
      <c r="AA650" s="379"/>
      <c r="AB650" s="379"/>
      <c r="AC650" s="59"/>
      <c r="AD650" s="59"/>
      <c r="AE650" s="379"/>
      <c r="AF650" s="379"/>
      <c r="AG650" s="156"/>
      <c r="AH650" s="60"/>
      <c r="AI650" s="379"/>
      <c r="AJ650" s="379"/>
      <c r="AK650" s="156"/>
      <c r="AL650" s="379"/>
      <c r="AM650" s="50"/>
      <c r="AN650" s="50"/>
    </row>
    <row r="651" spans="1:40" x14ac:dyDescent="0.25">
      <c r="F651" s="379"/>
      <c r="H651" s="379"/>
      <c r="I651" s="379"/>
      <c r="J651" s="59"/>
      <c r="K651" s="59"/>
      <c r="L651" s="379"/>
      <c r="M651" s="379"/>
      <c r="N651" s="59"/>
      <c r="O651" s="59"/>
      <c r="P651" s="379"/>
      <c r="Q651" s="379"/>
      <c r="R651" s="379"/>
      <c r="V651" s="379"/>
      <c r="Y651" s="379"/>
      <c r="Z651" s="59"/>
      <c r="AA651" s="379"/>
      <c r="AB651" s="379"/>
      <c r="AC651" s="59"/>
      <c r="AD651" s="59"/>
      <c r="AG651" s="156"/>
      <c r="AH651" s="60"/>
      <c r="AI651" s="379"/>
      <c r="AJ651" s="379"/>
      <c r="AK651" s="156"/>
      <c r="AL651" s="379"/>
      <c r="AM651" s="50"/>
      <c r="AN651" s="50"/>
    </row>
    <row r="652" spans="1:40" x14ac:dyDescent="0.25">
      <c r="A652" s="53"/>
      <c r="C652" s="54"/>
      <c r="D652" s="54"/>
      <c r="E652" s="54"/>
      <c r="F652" s="379"/>
      <c r="H652" s="379"/>
      <c r="I652" s="379"/>
      <c r="J652" s="59"/>
      <c r="K652" s="59"/>
      <c r="L652" s="379"/>
      <c r="M652" s="379"/>
      <c r="N652" s="59"/>
      <c r="O652" s="59"/>
      <c r="P652" s="379"/>
      <c r="Q652" s="379"/>
      <c r="R652" s="379"/>
      <c r="T652" s="54"/>
      <c r="U652" s="54"/>
      <c r="V652" s="379"/>
      <c r="Y652" s="379"/>
      <c r="Z652" s="59"/>
      <c r="AA652" s="379"/>
      <c r="AB652" s="379"/>
      <c r="AC652" s="59"/>
      <c r="AD652" s="59"/>
      <c r="AE652" s="379"/>
      <c r="AF652" s="379"/>
      <c r="AG652" s="156"/>
      <c r="AH652" s="60"/>
      <c r="AI652" s="379"/>
      <c r="AJ652" s="379"/>
      <c r="AK652" s="156"/>
      <c r="AL652" s="379"/>
      <c r="AM652" s="50"/>
      <c r="AN652" s="50"/>
    </row>
    <row r="653" spans="1:40" x14ac:dyDescent="0.25">
      <c r="A653" s="53"/>
      <c r="C653" s="54"/>
      <c r="D653" s="54"/>
      <c r="E653" s="54"/>
      <c r="F653" s="379"/>
      <c r="H653" s="379"/>
      <c r="I653" s="379"/>
      <c r="J653" s="59"/>
      <c r="K653" s="59"/>
      <c r="L653" s="379"/>
      <c r="M653" s="379"/>
      <c r="N653" s="59"/>
      <c r="O653" s="59"/>
      <c r="P653" s="379"/>
      <c r="Q653" s="379"/>
      <c r="R653" s="379"/>
      <c r="T653" s="54"/>
      <c r="U653" s="54"/>
      <c r="V653" s="379"/>
      <c r="Y653" s="379"/>
      <c r="Z653" s="59"/>
      <c r="AA653" s="379"/>
      <c r="AB653" s="379"/>
      <c r="AC653" s="59"/>
      <c r="AD653" s="59"/>
      <c r="AE653" s="379"/>
      <c r="AF653" s="379"/>
      <c r="AG653" s="156"/>
      <c r="AH653" s="60"/>
      <c r="AI653" s="379"/>
      <c r="AJ653" s="379"/>
      <c r="AK653" s="156"/>
      <c r="AL653" s="379"/>
      <c r="AM653" s="50"/>
      <c r="AN653" s="50"/>
    </row>
    <row r="654" spans="1:40" x14ac:dyDescent="0.25">
      <c r="A654" s="53"/>
      <c r="C654" s="54"/>
      <c r="D654" s="54"/>
      <c r="E654" s="54"/>
      <c r="F654" s="379"/>
      <c r="H654" s="379"/>
      <c r="I654" s="379"/>
      <c r="J654" s="59"/>
      <c r="K654" s="59"/>
      <c r="L654" s="379"/>
      <c r="M654" s="379"/>
      <c r="N654" s="59"/>
      <c r="O654" s="59"/>
      <c r="P654" s="379"/>
      <c r="Q654" s="379"/>
      <c r="R654" s="379"/>
      <c r="T654" s="54"/>
      <c r="U654" s="54"/>
      <c r="V654" s="379"/>
      <c r="Y654" s="379"/>
      <c r="Z654" s="59"/>
      <c r="AA654" s="379"/>
      <c r="AB654" s="379"/>
      <c r="AC654" s="59"/>
      <c r="AD654" s="59"/>
      <c r="AE654" s="379"/>
      <c r="AF654" s="379"/>
      <c r="AG654" s="156"/>
      <c r="AH654" s="60"/>
      <c r="AI654" s="379"/>
      <c r="AJ654" s="379"/>
      <c r="AK654" s="156"/>
      <c r="AL654" s="379"/>
      <c r="AM654" s="50"/>
      <c r="AN654" s="50"/>
    </row>
    <row r="655" spans="1:40" x14ac:dyDescent="0.25">
      <c r="A655" s="53"/>
      <c r="C655" s="54"/>
      <c r="D655" s="54"/>
      <c r="E655" s="54"/>
      <c r="F655" s="379"/>
      <c r="H655" s="379"/>
      <c r="I655" s="379"/>
      <c r="J655" s="59"/>
      <c r="K655" s="59"/>
      <c r="L655" s="379"/>
      <c r="M655" s="379"/>
      <c r="N655" s="59"/>
      <c r="O655" s="59"/>
      <c r="P655" s="379"/>
      <c r="Q655" s="379"/>
      <c r="R655" s="379"/>
      <c r="T655" s="54"/>
      <c r="U655" s="54"/>
      <c r="V655" s="379"/>
      <c r="Y655" s="379"/>
      <c r="Z655" s="59"/>
      <c r="AA655" s="379"/>
      <c r="AB655" s="379"/>
      <c r="AC655" s="59"/>
      <c r="AD655" s="59"/>
      <c r="AE655" s="379"/>
      <c r="AF655" s="379"/>
      <c r="AG655" s="156"/>
      <c r="AH655" s="60"/>
      <c r="AI655" s="379"/>
      <c r="AJ655" s="379"/>
      <c r="AK655" s="156"/>
      <c r="AL655" s="379"/>
      <c r="AM655" s="50"/>
      <c r="AN655" s="50"/>
    </row>
    <row r="656" spans="1:40" x14ac:dyDescent="0.25">
      <c r="A656" s="53"/>
      <c r="C656" s="54"/>
      <c r="D656" s="54"/>
      <c r="E656" s="54"/>
      <c r="F656" s="379"/>
      <c r="H656" s="379"/>
      <c r="I656" s="379"/>
      <c r="J656" s="59"/>
      <c r="K656" s="59"/>
      <c r="L656" s="379"/>
      <c r="M656" s="379"/>
      <c r="N656" s="59"/>
      <c r="O656" s="59"/>
      <c r="P656" s="379"/>
      <c r="Q656" s="379"/>
      <c r="R656" s="379"/>
      <c r="T656" s="54"/>
      <c r="U656" s="54"/>
      <c r="V656" s="379"/>
      <c r="Y656" s="379"/>
      <c r="Z656" s="59"/>
      <c r="AA656" s="379"/>
      <c r="AB656" s="379"/>
      <c r="AC656" s="59"/>
      <c r="AD656" s="59"/>
      <c r="AE656" s="379"/>
      <c r="AF656" s="379"/>
      <c r="AG656" s="156"/>
      <c r="AH656" s="60"/>
      <c r="AI656" s="379"/>
      <c r="AJ656" s="379"/>
      <c r="AK656" s="156"/>
      <c r="AL656" s="379"/>
      <c r="AM656" s="50"/>
      <c r="AN656" s="50"/>
    </row>
    <row r="657" spans="1:40" x14ac:dyDescent="0.25">
      <c r="A657" s="53"/>
      <c r="C657" s="54"/>
      <c r="D657" s="54"/>
      <c r="E657" s="54"/>
      <c r="F657" s="379"/>
      <c r="H657" s="379"/>
      <c r="I657" s="379"/>
      <c r="J657" s="59"/>
      <c r="K657" s="59"/>
      <c r="L657" s="379"/>
      <c r="M657" s="379"/>
      <c r="N657" s="59"/>
      <c r="O657" s="59"/>
      <c r="P657" s="379"/>
      <c r="Q657" s="379"/>
      <c r="R657" s="379"/>
      <c r="T657" s="54"/>
      <c r="U657" s="54"/>
      <c r="V657" s="379"/>
      <c r="Y657" s="379"/>
      <c r="Z657" s="59"/>
      <c r="AA657" s="379"/>
      <c r="AB657" s="379"/>
      <c r="AC657" s="59"/>
      <c r="AD657" s="59"/>
      <c r="AE657" s="379"/>
      <c r="AF657" s="379"/>
      <c r="AG657" s="156"/>
      <c r="AH657" s="60"/>
      <c r="AI657" s="379"/>
      <c r="AJ657" s="379"/>
      <c r="AK657" s="156"/>
      <c r="AL657" s="379"/>
      <c r="AM657" s="50"/>
      <c r="AN657" s="50"/>
    </row>
    <row r="658" spans="1:40" x14ac:dyDescent="0.25">
      <c r="F658" s="379"/>
      <c r="H658" s="381"/>
      <c r="I658" s="381"/>
      <c r="J658" s="464"/>
      <c r="K658" s="464"/>
      <c r="L658" s="381"/>
      <c r="M658" s="381"/>
      <c r="N658" s="381"/>
      <c r="O658" s="381"/>
      <c r="P658" s="381"/>
      <c r="Q658" s="381"/>
      <c r="R658" s="381"/>
      <c r="V658" s="381"/>
      <c r="Y658" s="381"/>
      <c r="Z658" s="464"/>
      <c r="AA658" s="381"/>
      <c r="AB658" s="381"/>
      <c r="AC658" s="381"/>
      <c r="AD658" s="381"/>
      <c r="AE658" s="381"/>
      <c r="AF658" s="381"/>
      <c r="AI658" s="381"/>
      <c r="AJ658" s="381"/>
      <c r="AK658" s="162"/>
      <c r="AL658" s="381"/>
      <c r="AM658" s="50"/>
      <c r="AN658" s="50"/>
    </row>
    <row r="659" spans="1:40" x14ac:dyDescent="0.25">
      <c r="A659" s="53"/>
      <c r="C659" s="54"/>
      <c r="F659" s="381"/>
      <c r="H659" s="379"/>
      <c r="I659" s="379"/>
      <c r="J659" s="59"/>
      <c r="K659" s="59"/>
      <c r="L659" s="379"/>
      <c r="M659" s="379"/>
      <c r="N659" s="59"/>
      <c r="O659" s="59"/>
      <c r="P659" s="379"/>
      <c r="Q659" s="379"/>
      <c r="R659" s="379"/>
      <c r="T659" s="54"/>
      <c r="V659" s="379"/>
      <c r="Y659" s="379"/>
      <c r="Z659" s="59"/>
      <c r="AA659" s="379"/>
      <c r="AB659" s="379"/>
      <c r="AC659" s="59"/>
      <c r="AD659" s="59"/>
      <c r="AE659" s="379"/>
      <c r="AF659" s="379"/>
      <c r="AG659" s="156"/>
      <c r="AH659" s="60"/>
      <c r="AI659" s="379"/>
      <c r="AJ659" s="379"/>
      <c r="AK659" s="156"/>
      <c r="AL659" s="379"/>
      <c r="AM659" s="50"/>
      <c r="AN659" s="50"/>
    </row>
    <row r="660" spans="1:40" x14ac:dyDescent="0.25">
      <c r="F660" s="379"/>
      <c r="H660" s="379"/>
      <c r="I660" s="379"/>
      <c r="J660" s="59"/>
      <c r="K660" s="59"/>
      <c r="L660" s="379"/>
      <c r="M660" s="379"/>
      <c r="N660" s="59"/>
      <c r="O660" s="59"/>
      <c r="P660" s="379"/>
      <c r="Q660" s="379"/>
      <c r="R660" s="379"/>
      <c r="V660" s="379"/>
      <c r="Y660" s="379"/>
      <c r="Z660" s="59"/>
      <c r="AA660" s="379"/>
      <c r="AB660" s="379"/>
      <c r="AC660" s="59"/>
      <c r="AD660" s="59"/>
      <c r="AG660" s="156"/>
      <c r="AH660" s="60"/>
      <c r="AI660" s="379"/>
      <c r="AJ660" s="379"/>
      <c r="AK660" s="156"/>
      <c r="AL660" s="379"/>
      <c r="AM660" s="50"/>
      <c r="AN660" s="50"/>
    </row>
    <row r="661" spans="1:40" x14ac:dyDescent="0.25">
      <c r="A661" s="53"/>
      <c r="C661" s="54"/>
      <c r="D661" s="54"/>
      <c r="E661" s="54"/>
      <c r="F661" s="379"/>
      <c r="H661" s="379"/>
      <c r="I661" s="379"/>
      <c r="J661" s="59"/>
      <c r="K661" s="59"/>
      <c r="L661" s="379"/>
      <c r="M661" s="379"/>
      <c r="N661" s="59"/>
      <c r="O661" s="59"/>
      <c r="P661" s="379"/>
      <c r="Q661" s="379"/>
      <c r="R661" s="379"/>
      <c r="T661" s="54"/>
      <c r="U661" s="54"/>
      <c r="V661" s="379"/>
      <c r="Y661" s="379"/>
      <c r="Z661" s="59"/>
      <c r="AA661" s="379"/>
      <c r="AB661" s="379"/>
      <c r="AC661" s="59"/>
      <c r="AD661" s="59"/>
      <c r="AE661" s="379"/>
      <c r="AF661" s="379"/>
      <c r="AG661" s="156"/>
      <c r="AH661" s="60"/>
      <c r="AI661" s="379"/>
      <c r="AJ661" s="379"/>
      <c r="AK661" s="156"/>
      <c r="AL661" s="379"/>
      <c r="AM661" s="50"/>
      <c r="AN661" s="50"/>
    </row>
    <row r="662" spans="1:40" x14ac:dyDescent="0.25">
      <c r="F662" s="379"/>
      <c r="H662" s="381"/>
      <c r="I662" s="381"/>
      <c r="J662" s="464"/>
      <c r="K662" s="464"/>
      <c r="L662" s="381"/>
      <c r="M662" s="381"/>
      <c r="N662" s="381"/>
      <c r="O662" s="381"/>
      <c r="P662" s="381"/>
      <c r="Q662" s="381"/>
      <c r="R662" s="381"/>
      <c r="V662" s="381"/>
      <c r="Y662" s="381"/>
      <c r="Z662" s="464"/>
      <c r="AA662" s="381"/>
      <c r="AB662" s="381"/>
      <c r="AC662" s="381"/>
      <c r="AD662" s="381"/>
      <c r="AE662" s="381"/>
      <c r="AF662" s="381"/>
      <c r="AI662" s="381"/>
      <c r="AJ662" s="381"/>
      <c r="AK662" s="162"/>
      <c r="AL662" s="381"/>
      <c r="AM662" s="50"/>
      <c r="AN662" s="50"/>
    </row>
    <row r="663" spans="1:40" x14ac:dyDescent="0.25">
      <c r="A663" s="53"/>
      <c r="C663" s="54"/>
      <c r="F663" s="381"/>
      <c r="H663" s="379"/>
      <c r="I663" s="379"/>
      <c r="J663" s="59"/>
      <c r="K663" s="59"/>
      <c r="L663" s="379"/>
      <c r="M663" s="379"/>
      <c r="N663" s="59"/>
      <c r="O663" s="59"/>
      <c r="P663" s="379"/>
      <c r="Q663" s="379"/>
      <c r="R663" s="379"/>
      <c r="T663" s="54"/>
      <c r="V663" s="379"/>
      <c r="Y663" s="379"/>
      <c r="Z663" s="59"/>
      <c r="AA663" s="379"/>
      <c r="AB663" s="379"/>
      <c r="AC663" s="59"/>
      <c r="AD663" s="59"/>
      <c r="AE663" s="379"/>
      <c r="AF663" s="379"/>
      <c r="AG663" s="156"/>
      <c r="AH663" s="60"/>
      <c r="AI663" s="379"/>
      <c r="AJ663" s="379"/>
      <c r="AK663" s="156"/>
      <c r="AL663" s="379"/>
      <c r="AM663" s="50"/>
      <c r="AN663" s="50"/>
    </row>
    <row r="664" spans="1:40" x14ac:dyDescent="0.25">
      <c r="F664" s="379"/>
      <c r="H664" s="379"/>
      <c r="I664" s="379"/>
      <c r="J664" s="59"/>
      <c r="K664" s="59"/>
      <c r="L664" s="379"/>
      <c r="M664" s="379"/>
      <c r="N664" s="59"/>
      <c r="O664" s="59"/>
      <c r="P664" s="379"/>
      <c r="Q664" s="379"/>
      <c r="R664" s="379"/>
      <c r="V664" s="379"/>
      <c r="Y664" s="379"/>
      <c r="Z664" s="59"/>
      <c r="AA664" s="379"/>
      <c r="AB664" s="379"/>
      <c r="AC664" s="59"/>
      <c r="AD664" s="59"/>
      <c r="AG664" s="156"/>
      <c r="AH664" s="60"/>
      <c r="AI664" s="379"/>
      <c r="AJ664" s="379"/>
      <c r="AK664" s="156"/>
      <c r="AL664" s="379"/>
      <c r="AM664" s="50"/>
      <c r="AN664" s="50"/>
    </row>
    <row r="665" spans="1:40" x14ac:dyDescent="0.25">
      <c r="A665" s="53"/>
      <c r="C665" s="54"/>
      <c r="D665" s="54"/>
      <c r="E665" s="54"/>
      <c r="F665" s="379"/>
      <c r="H665" s="379"/>
      <c r="I665" s="379"/>
      <c r="J665" s="59"/>
      <c r="K665" s="59"/>
      <c r="L665" s="379"/>
      <c r="M665" s="379"/>
      <c r="N665" s="59"/>
      <c r="O665" s="59"/>
      <c r="P665" s="379"/>
      <c r="Q665" s="379"/>
      <c r="R665" s="379"/>
      <c r="T665" s="54"/>
      <c r="U665" s="54"/>
      <c r="V665" s="379"/>
      <c r="Y665" s="379"/>
      <c r="Z665" s="59"/>
      <c r="AA665" s="379"/>
      <c r="AB665" s="379"/>
      <c r="AC665" s="59"/>
      <c r="AD665" s="59"/>
      <c r="AE665" s="379"/>
      <c r="AF665" s="379"/>
      <c r="AG665" s="156"/>
      <c r="AH665" s="60"/>
      <c r="AI665" s="379"/>
      <c r="AJ665" s="379"/>
      <c r="AK665" s="156"/>
      <c r="AL665" s="379"/>
      <c r="AM665" s="50"/>
      <c r="AN665" s="50"/>
    </row>
    <row r="666" spans="1:40" x14ac:dyDescent="0.25">
      <c r="A666" s="53"/>
      <c r="C666" s="54"/>
      <c r="D666" s="54"/>
      <c r="E666" s="54"/>
      <c r="F666" s="379"/>
      <c r="G666" s="379"/>
      <c r="H666" s="379"/>
      <c r="I666" s="379"/>
      <c r="J666" s="59"/>
      <c r="K666" s="59"/>
      <c r="L666" s="379"/>
      <c r="M666" s="379"/>
      <c r="N666" s="59"/>
      <c r="O666" s="59"/>
      <c r="P666" s="379"/>
      <c r="Q666" s="379"/>
      <c r="R666" s="379"/>
      <c r="T666" s="54"/>
      <c r="U666" s="54"/>
      <c r="V666" s="379"/>
      <c r="W666" s="379"/>
      <c r="X666" s="379"/>
      <c r="Y666" s="379"/>
      <c r="Z666" s="59"/>
      <c r="AA666" s="379"/>
      <c r="AB666" s="379"/>
      <c r="AC666" s="59"/>
      <c r="AD666" s="59"/>
      <c r="AE666" s="379"/>
      <c r="AF666" s="379"/>
      <c r="AG666" s="156"/>
      <c r="AH666" s="60"/>
      <c r="AI666" s="379"/>
      <c r="AJ666" s="379"/>
      <c r="AK666" s="156"/>
      <c r="AL666" s="379"/>
      <c r="AM666" s="50"/>
      <c r="AN666" s="50"/>
    </row>
    <row r="667" spans="1:40" x14ac:dyDescent="0.25">
      <c r="A667" s="53"/>
      <c r="C667" s="54"/>
      <c r="D667" s="54"/>
      <c r="E667" s="54"/>
      <c r="F667" s="379"/>
      <c r="G667" s="379"/>
      <c r="H667" s="379"/>
      <c r="I667" s="379"/>
      <c r="J667" s="59"/>
      <c r="K667" s="59"/>
      <c r="L667" s="379"/>
      <c r="M667" s="379"/>
      <c r="N667" s="59"/>
      <c r="O667" s="59"/>
      <c r="P667" s="379"/>
      <c r="Q667" s="379"/>
      <c r="R667" s="379"/>
      <c r="T667" s="54"/>
      <c r="U667" s="54"/>
      <c r="V667" s="379"/>
      <c r="W667" s="379"/>
      <c r="X667" s="379"/>
      <c r="Y667" s="379"/>
      <c r="Z667" s="59"/>
      <c r="AA667" s="379"/>
      <c r="AB667" s="379"/>
      <c r="AC667" s="59"/>
      <c r="AD667" s="59"/>
      <c r="AE667" s="379"/>
      <c r="AF667" s="379"/>
      <c r="AG667" s="156"/>
      <c r="AH667" s="60"/>
      <c r="AI667" s="379"/>
      <c r="AJ667" s="379"/>
      <c r="AK667" s="156"/>
      <c r="AL667" s="379"/>
      <c r="AM667" s="50"/>
      <c r="AN667" s="50"/>
    </row>
    <row r="668" spans="1:40" x14ac:dyDescent="0.25">
      <c r="A668" s="53"/>
      <c r="C668" s="54"/>
      <c r="D668" s="54"/>
      <c r="E668" s="54"/>
      <c r="F668" s="379"/>
      <c r="H668" s="379"/>
      <c r="I668" s="379"/>
      <c r="J668" s="59"/>
      <c r="K668" s="59"/>
      <c r="L668" s="379"/>
      <c r="M668" s="379"/>
      <c r="N668" s="59"/>
      <c r="O668" s="59"/>
      <c r="P668" s="379"/>
      <c r="Q668" s="379"/>
      <c r="R668" s="379"/>
      <c r="T668" s="54"/>
      <c r="U668" s="54"/>
      <c r="V668" s="379"/>
      <c r="Y668" s="379"/>
      <c r="Z668" s="59"/>
      <c r="AA668" s="379"/>
      <c r="AB668" s="379"/>
      <c r="AC668" s="59"/>
      <c r="AD668" s="59"/>
      <c r="AE668" s="379"/>
      <c r="AF668" s="379"/>
      <c r="AG668" s="156"/>
      <c r="AH668" s="60"/>
      <c r="AI668" s="379"/>
      <c r="AJ668" s="379"/>
      <c r="AK668" s="156"/>
      <c r="AL668" s="379"/>
      <c r="AM668" s="50"/>
      <c r="AN668" s="50"/>
    </row>
    <row r="669" spans="1:40" x14ac:dyDescent="0.25">
      <c r="A669" s="53"/>
      <c r="C669" s="54"/>
      <c r="D669" s="54"/>
      <c r="E669" s="54"/>
      <c r="F669" s="379"/>
      <c r="H669" s="379"/>
      <c r="I669" s="379"/>
      <c r="J669" s="59"/>
      <c r="K669" s="59"/>
      <c r="L669" s="379"/>
      <c r="M669" s="379"/>
      <c r="N669" s="59"/>
      <c r="O669" s="59"/>
      <c r="P669" s="379"/>
      <c r="Q669" s="379"/>
      <c r="R669" s="379"/>
      <c r="T669" s="54"/>
      <c r="U669" s="54"/>
      <c r="V669" s="379"/>
      <c r="Y669" s="379"/>
      <c r="Z669" s="59"/>
      <c r="AA669" s="379"/>
      <c r="AB669" s="379"/>
      <c r="AC669" s="59"/>
      <c r="AD669" s="59"/>
      <c r="AE669" s="379"/>
      <c r="AF669" s="379"/>
      <c r="AG669" s="156"/>
      <c r="AH669" s="60"/>
      <c r="AI669" s="379"/>
      <c r="AJ669" s="379"/>
      <c r="AK669" s="156"/>
      <c r="AL669" s="379"/>
      <c r="AM669" s="50"/>
      <c r="AN669" s="50"/>
    </row>
    <row r="670" spans="1:40" x14ac:dyDescent="0.25">
      <c r="A670" s="53"/>
      <c r="C670" s="54"/>
      <c r="D670" s="54"/>
      <c r="E670" s="54"/>
      <c r="F670" s="379"/>
      <c r="H670" s="379"/>
      <c r="I670" s="379"/>
      <c r="J670" s="59"/>
      <c r="K670" s="59"/>
      <c r="L670" s="379"/>
      <c r="M670" s="379"/>
      <c r="N670" s="59"/>
      <c r="O670" s="59"/>
      <c r="P670" s="379"/>
      <c r="Q670" s="379"/>
      <c r="R670" s="379"/>
      <c r="T670" s="54"/>
      <c r="U670" s="54"/>
      <c r="V670" s="379"/>
      <c r="Y670" s="379"/>
      <c r="Z670" s="59"/>
      <c r="AA670" s="379"/>
      <c r="AB670" s="379"/>
      <c r="AC670" s="59"/>
      <c r="AD670" s="59"/>
      <c r="AE670" s="379"/>
      <c r="AF670" s="379"/>
      <c r="AG670" s="156"/>
      <c r="AH670" s="60"/>
      <c r="AI670" s="379"/>
      <c r="AJ670" s="379"/>
      <c r="AK670" s="156"/>
      <c r="AL670" s="379"/>
      <c r="AM670" s="50"/>
      <c r="AN670" s="50"/>
    </row>
    <row r="671" spans="1:40" x14ac:dyDescent="0.25">
      <c r="A671" s="53"/>
      <c r="C671" s="54"/>
      <c r="D671" s="54"/>
      <c r="E671" s="54"/>
      <c r="F671" s="379"/>
      <c r="H671" s="379"/>
      <c r="I671" s="379"/>
      <c r="J671" s="59"/>
      <c r="K671" s="59"/>
      <c r="L671" s="379"/>
      <c r="M671" s="379"/>
      <c r="N671" s="59"/>
      <c r="O671" s="59"/>
      <c r="P671" s="379"/>
      <c r="Q671" s="379"/>
      <c r="R671" s="379"/>
      <c r="T671" s="54"/>
      <c r="U671" s="54"/>
      <c r="V671" s="379"/>
      <c r="Y671" s="379"/>
      <c r="Z671" s="59"/>
      <c r="AA671" s="379"/>
      <c r="AB671" s="379"/>
      <c r="AC671" s="59"/>
      <c r="AD671" s="59"/>
      <c r="AE671" s="379"/>
      <c r="AF671" s="379"/>
      <c r="AG671" s="156"/>
      <c r="AH671" s="60"/>
      <c r="AI671" s="379"/>
      <c r="AJ671" s="379"/>
      <c r="AK671" s="156"/>
      <c r="AL671" s="379"/>
      <c r="AM671" s="50"/>
      <c r="AN671" s="50"/>
    </row>
    <row r="672" spans="1:40" x14ac:dyDescent="0.25">
      <c r="F672" s="379"/>
      <c r="H672" s="381"/>
      <c r="I672" s="381"/>
      <c r="J672" s="464"/>
      <c r="K672" s="464"/>
      <c r="L672" s="381"/>
      <c r="M672" s="381"/>
      <c r="N672" s="381"/>
      <c r="O672" s="381"/>
      <c r="P672" s="381"/>
      <c r="Q672" s="381"/>
      <c r="R672" s="381"/>
      <c r="V672" s="381"/>
      <c r="Y672" s="381"/>
      <c r="Z672" s="464"/>
      <c r="AA672" s="381"/>
      <c r="AB672" s="381"/>
      <c r="AC672" s="381"/>
      <c r="AD672" s="381"/>
      <c r="AE672" s="381"/>
      <c r="AF672" s="381"/>
      <c r="AI672" s="381"/>
      <c r="AJ672" s="381"/>
      <c r="AK672" s="162"/>
      <c r="AL672" s="381"/>
      <c r="AM672" s="50"/>
      <c r="AN672" s="50"/>
    </row>
    <row r="673" spans="1:40" x14ac:dyDescent="0.25">
      <c r="A673" s="53"/>
      <c r="C673" s="54"/>
      <c r="F673" s="381"/>
      <c r="H673" s="379"/>
      <c r="I673" s="379"/>
      <c r="J673" s="59"/>
      <c r="K673" s="59"/>
      <c r="L673" s="379"/>
      <c r="M673" s="379"/>
      <c r="N673" s="59"/>
      <c r="O673" s="59"/>
      <c r="P673" s="379"/>
      <c r="Q673" s="379"/>
      <c r="R673" s="379"/>
      <c r="T673" s="54"/>
      <c r="V673" s="379"/>
      <c r="Y673" s="379"/>
      <c r="Z673" s="59"/>
      <c r="AA673" s="379"/>
      <c r="AB673" s="379"/>
      <c r="AC673" s="59"/>
      <c r="AD673" s="59"/>
      <c r="AE673" s="379"/>
      <c r="AF673" s="379"/>
      <c r="AG673" s="156"/>
      <c r="AH673" s="60"/>
      <c r="AI673" s="379"/>
      <c r="AJ673" s="379"/>
      <c r="AK673" s="156"/>
      <c r="AL673" s="379"/>
      <c r="AM673" s="50"/>
      <c r="AN673" s="50"/>
    </row>
    <row r="674" spans="1:40" x14ac:dyDescent="0.25">
      <c r="F674" s="379"/>
      <c r="V674" s="379"/>
      <c r="Y674" s="379"/>
      <c r="Z674" s="464"/>
      <c r="AA674" s="379"/>
      <c r="AB674" s="379"/>
      <c r="AC674" s="379"/>
      <c r="AD674" s="379"/>
      <c r="AE674" s="379"/>
      <c r="AF674" s="379"/>
      <c r="AI674" s="379"/>
      <c r="AJ674" s="379"/>
      <c r="AK674" s="156"/>
      <c r="AL674" s="379"/>
      <c r="AM674" s="50"/>
      <c r="AN674" s="50"/>
    </row>
    <row r="675" spans="1:40" x14ac:dyDescent="0.25">
      <c r="A675" s="53"/>
      <c r="C675" s="54"/>
      <c r="D675" s="54"/>
      <c r="E675" s="54"/>
      <c r="L675" s="379"/>
      <c r="M675" s="379"/>
      <c r="N675" s="59"/>
      <c r="O675" s="59"/>
      <c r="P675" s="53"/>
      <c r="Q675" s="53"/>
      <c r="R675" s="379"/>
      <c r="T675" s="54"/>
      <c r="U675" s="54"/>
      <c r="AA675" s="379"/>
      <c r="AB675" s="379"/>
      <c r="AC675" s="59"/>
      <c r="AD675" s="59"/>
      <c r="AE675" s="379"/>
      <c r="AF675" s="379"/>
      <c r="AG675" s="156"/>
      <c r="AH675" s="60"/>
      <c r="AI675" s="53"/>
      <c r="AJ675" s="53"/>
      <c r="AK675" s="156"/>
      <c r="AL675" s="379"/>
      <c r="AM675" s="50"/>
      <c r="AN675" s="50"/>
    </row>
    <row r="676" spans="1:40" x14ac:dyDescent="0.25">
      <c r="A676" s="53"/>
      <c r="D676" s="54"/>
      <c r="E676" s="54"/>
      <c r="H676" s="449"/>
      <c r="I676" s="449"/>
      <c r="J676" s="59"/>
      <c r="K676" s="59"/>
      <c r="L676" s="379"/>
      <c r="M676" s="379"/>
      <c r="N676" s="59"/>
      <c r="O676" s="59"/>
      <c r="P676" s="449"/>
      <c r="Q676" s="449"/>
      <c r="R676" s="379"/>
      <c r="U676" s="54"/>
      <c r="V676" s="379"/>
      <c r="Y676" s="379"/>
      <c r="Z676" s="59"/>
      <c r="AA676" s="379"/>
      <c r="AB676" s="379"/>
      <c r="AC676" s="59"/>
      <c r="AD676" s="59"/>
      <c r="AE676" s="379"/>
      <c r="AF676" s="379"/>
      <c r="AG676" s="156"/>
      <c r="AH676" s="60"/>
      <c r="AI676" s="379"/>
      <c r="AJ676" s="379"/>
      <c r="AK676" s="156"/>
      <c r="AL676" s="379"/>
      <c r="AM676" s="50"/>
      <c r="AN676" s="50"/>
    </row>
    <row r="677" spans="1:40" x14ac:dyDescent="0.25">
      <c r="F677" s="449"/>
      <c r="H677" s="381"/>
      <c r="I677" s="381"/>
      <c r="J677" s="464"/>
      <c r="K677" s="464"/>
      <c r="L677" s="381"/>
      <c r="M677" s="381"/>
      <c r="N677" s="381"/>
      <c r="O677" s="381"/>
      <c r="P677" s="381"/>
      <c r="Q677" s="381"/>
      <c r="R677" s="381"/>
      <c r="V677" s="381"/>
      <c r="Y677" s="381"/>
      <c r="Z677" s="464"/>
      <c r="AA677" s="381"/>
      <c r="AB677" s="381"/>
      <c r="AC677" s="381"/>
      <c r="AD677" s="381"/>
      <c r="AE677" s="381"/>
      <c r="AF677" s="381"/>
      <c r="AI677" s="381"/>
      <c r="AJ677" s="381"/>
      <c r="AK677" s="162"/>
      <c r="AL677" s="381"/>
      <c r="AM677" s="50"/>
      <c r="AN677" s="50"/>
    </row>
    <row r="678" spans="1:40" x14ac:dyDescent="0.25">
      <c r="A678" s="53"/>
      <c r="C678" s="54"/>
      <c r="F678" s="381"/>
      <c r="H678" s="379"/>
      <c r="I678" s="379"/>
      <c r="J678" s="59"/>
      <c r="K678" s="59"/>
      <c r="L678" s="379"/>
      <c r="M678" s="379"/>
      <c r="N678" s="59"/>
      <c r="O678" s="59"/>
      <c r="P678" s="379"/>
      <c r="Q678" s="379"/>
      <c r="R678" s="379"/>
      <c r="T678" s="54"/>
      <c r="V678" s="379"/>
      <c r="Y678" s="379"/>
      <c r="Z678" s="59"/>
      <c r="AA678" s="379"/>
      <c r="AB678" s="379"/>
      <c r="AC678" s="59"/>
      <c r="AD678" s="59"/>
      <c r="AE678" s="379"/>
      <c r="AF678" s="379"/>
      <c r="AG678" s="156"/>
      <c r="AH678" s="60"/>
      <c r="AI678" s="379"/>
      <c r="AJ678" s="379"/>
      <c r="AK678" s="156"/>
      <c r="AL678" s="379"/>
      <c r="AM678" s="50"/>
      <c r="AN678" s="50"/>
    </row>
    <row r="679" spans="1:40" x14ac:dyDescent="0.25">
      <c r="F679" s="379"/>
      <c r="H679" s="379"/>
      <c r="I679" s="379"/>
      <c r="J679" s="59"/>
      <c r="K679" s="59"/>
      <c r="L679" s="379"/>
      <c r="M679" s="379"/>
      <c r="N679" s="59"/>
      <c r="O679" s="59"/>
      <c r="P679" s="379"/>
      <c r="Q679" s="379"/>
      <c r="R679" s="379"/>
      <c r="V679" s="379"/>
      <c r="Y679" s="379"/>
      <c r="Z679" s="59"/>
      <c r="AA679" s="379"/>
      <c r="AB679" s="379"/>
      <c r="AC679" s="59"/>
      <c r="AD679" s="59"/>
      <c r="AG679" s="156"/>
      <c r="AH679" s="60"/>
      <c r="AI679" s="379"/>
      <c r="AJ679" s="379"/>
      <c r="AK679" s="156"/>
      <c r="AL679" s="379"/>
      <c r="AM679" s="50"/>
      <c r="AN679" s="50"/>
    </row>
    <row r="680" spans="1:40" x14ac:dyDescent="0.25">
      <c r="A680" s="53"/>
      <c r="D680" s="54"/>
      <c r="E680" s="54"/>
      <c r="F680" s="379"/>
      <c r="H680" s="379"/>
      <c r="I680" s="379"/>
      <c r="J680" s="59"/>
      <c r="K680" s="59"/>
      <c r="L680" s="449"/>
      <c r="M680" s="449"/>
      <c r="N680" s="59"/>
      <c r="O680" s="59"/>
      <c r="P680" s="379"/>
      <c r="Q680" s="379"/>
      <c r="R680" s="379"/>
      <c r="U680" s="54"/>
      <c r="V680" s="379"/>
      <c r="Y680" s="379"/>
      <c r="Z680" s="59"/>
      <c r="AA680" s="449"/>
      <c r="AB680" s="449"/>
      <c r="AC680" s="59"/>
      <c r="AD680" s="59"/>
      <c r="AE680" s="379"/>
      <c r="AF680" s="379"/>
      <c r="AG680" s="156"/>
      <c r="AH680" s="60"/>
      <c r="AI680" s="379"/>
      <c r="AJ680" s="379"/>
      <c r="AK680" s="156"/>
      <c r="AL680" s="379"/>
      <c r="AM680" s="50"/>
      <c r="AN680" s="50"/>
    </row>
    <row r="681" spans="1:40" x14ac:dyDescent="0.25">
      <c r="A681" s="53"/>
      <c r="D681" s="54"/>
      <c r="E681" s="54"/>
      <c r="F681" s="379"/>
      <c r="H681" s="379"/>
      <c r="I681" s="379"/>
      <c r="J681" s="59"/>
      <c r="K681" s="59"/>
      <c r="L681" s="449"/>
      <c r="M681" s="449"/>
      <c r="N681" s="59"/>
      <c r="O681" s="59"/>
      <c r="P681" s="379"/>
      <c r="Q681" s="379"/>
      <c r="R681" s="379"/>
      <c r="U681" s="54"/>
      <c r="V681" s="379"/>
      <c r="Y681" s="379"/>
      <c r="Z681" s="59"/>
      <c r="AA681" s="449"/>
      <c r="AB681" s="449"/>
      <c r="AC681" s="59"/>
      <c r="AD681" s="59"/>
      <c r="AE681" s="379"/>
      <c r="AF681" s="379"/>
      <c r="AG681" s="156"/>
      <c r="AH681" s="60"/>
      <c r="AI681" s="379"/>
      <c r="AJ681" s="379"/>
      <c r="AK681" s="156"/>
      <c r="AL681" s="379"/>
      <c r="AM681" s="50"/>
      <c r="AN681" s="50"/>
    </row>
    <row r="682" spans="1:40" x14ac:dyDescent="0.25">
      <c r="A682" s="53"/>
      <c r="D682" s="54"/>
      <c r="E682" s="54"/>
      <c r="F682" s="379"/>
      <c r="H682" s="379"/>
      <c r="I682" s="379"/>
      <c r="J682" s="59"/>
      <c r="K682" s="59"/>
      <c r="L682" s="449"/>
      <c r="M682" s="449"/>
      <c r="N682" s="59"/>
      <c r="O682" s="59"/>
      <c r="P682" s="379"/>
      <c r="Q682" s="379"/>
      <c r="R682" s="379"/>
      <c r="U682" s="54"/>
      <c r="V682" s="379"/>
      <c r="Y682" s="379"/>
      <c r="Z682" s="59"/>
      <c r="AA682" s="449"/>
      <c r="AB682" s="449"/>
      <c r="AC682" s="59"/>
      <c r="AD682" s="59"/>
      <c r="AE682" s="379"/>
      <c r="AF682" s="379"/>
      <c r="AG682" s="156"/>
      <c r="AH682" s="60"/>
      <c r="AI682" s="379"/>
      <c r="AJ682" s="379"/>
      <c r="AK682" s="156"/>
      <c r="AL682" s="379"/>
      <c r="AM682" s="50"/>
      <c r="AN682" s="50"/>
    </row>
    <row r="683" spans="1:40" x14ac:dyDescent="0.25">
      <c r="F683" s="379"/>
      <c r="H683" s="381"/>
      <c r="I683" s="381"/>
      <c r="J683" s="464"/>
      <c r="K683" s="464"/>
      <c r="L683" s="381"/>
      <c r="M683" s="381"/>
      <c r="N683" s="381"/>
      <c r="O683" s="381"/>
      <c r="P683" s="381"/>
      <c r="Q683" s="381"/>
      <c r="R683" s="381"/>
      <c r="V683" s="381"/>
      <c r="Y683" s="381"/>
      <c r="Z683" s="464"/>
      <c r="AA683" s="381"/>
      <c r="AB683" s="381"/>
      <c r="AC683" s="381"/>
      <c r="AD683" s="381"/>
      <c r="AE683" s="381"/>
      <c r="AF683" s="381"/>
      <c r="AI683" s="381"/>
      <c r="AJ683" s="381"/>
      <c r="AK683" s="162"/>
      <c r="AL683" s="381"/>
      <c r="AM683" s="50"/>
      <c r="AN683" s="50"/>
    </row>
    <row r="684" spans="1:40" x14ac:dyDescent="0.25">
      <c r="A684" s="53"/>
      <c r="C684" s="54"/>
      <c r="F684" s="381"/>
      <c r="H684" s="379"/>
      <c r="I684" s="379"/>
      <c r="J684" s="59"/>
      <c r="K684" s="59"/>
      <c r="L684" s="379"/>
      <c r="M684" s="379"/>
      <c r="N684" s="59"/>
      <c r="O684" s="59"/>
      <c r="P684" s="379"/>
      <c r="Q684" s="379"/>
      <c r="R684" s="379"/>
      <c r="T684" s="54"/>
      <c r="V684" s="379"/>
      <c r="Y684" s="379"/>
      <c r="Z684" s="59"/>
      <c r="AA684" s="379"/>
      <c r="AB684" s="379"/>
      <c r="AC684" s="59"/>
      <c r="AD684" s="59"/>
      <c r="AE684" s="379"/>
      <c r="AF684" s="379"/>
      <c r="AG684" s="156"/>
      <c r="AH684" s="60"/>
      <c r="AI684" s="379"/>
      <c r="AJ684" s="379"/>
      <c r="AK684" s="156"/>
      <c r="AL684" s="379"/>
      <c r="AM684" s="50"/>
      <c r="AN684" s="50"/>
    </row>
    <row r="685" spans="1:40" x14ac:dyDescent="0.25">
      <c r="F685" s="379"/>
      <c r="H685" s="379"/>
      <c r="I685" s="379"/>
      <c r="J685" s="59"/>
      <c r="K685" s="59"/>
      <c r="L685" s="379"/>
      <c r="M685" s="379"/>
      <c r="N685" s="59"/>
      <c r="O685" s="59"/>
      <c r="P685" s="379"/>
      <c r="Q685" s="379"/>
      <c r="R685" s="379"/>
      <c r="V685" s="379"/>
      <c r="Y685" s="379"/>
      <c r="Z685" s="59"/>
      <c r="AA685" s="379"/>
      <c r="AB685" s="379"/>
      <c r="AC685" s="59"/>
      <c r="AD685" s="59"/>
      <c r="AG685" s="156"/>
      <c r="AH685" s="60"/>
      <c r="AI685" s="379"/>
      <c r="AJ685" s="379"/>
      <c r="AK685" s="156"/>
      <c r="AL685" s="379"/>
      <c r="AM685" s="50"/>
      <c r="AN685" s="50"/>
    </row>
    <row r="686" spans="1:40" x14ac:dyDescent="0.25">
      <c r="A686" s="53"/>
      <c r="C686" s="54"/>
      <c r="F686" s="379"/>
      <c r="H686" s="379"/>
      <c r="I686" s="379"/>
      <c r="J686" s="59"/>
      <c r="K686" s="59"/>
      <c r="L686" s="379"/>
      <c r="M686" s="379"/>
      <c r="N686" s="59"/>
      <c r="O686" s="59"/>
      <c r="P686" s="379"/>
      <c r="Q686" s="379"/>
      <c r="R686" s="379"/>
      <c r="T686" s="54"/>
      <c r="V686" s="379"/>
      <c r="Y686" s="379"/>
      <c r="Z686" s="59"/>
      <c r="AA686" s="379"/>
      <c r="AB686" s="379"/>
      <c r="AC686" s="59"/>
      <c r="AD686" s="59"/>
      <c r="AE686" s="379"/>
      <c r="AF686" s="379"/>
      <c r="AG686" s="156"/>
      <c r="AH686" s="60"/>
      <c r="AI686" s="379"/>
      <c r="AJ686" s="379"/>
      <c r="AK686" s="156"/>
      <c r="AL686" s="379"/>
      <c r="AM686" s="50"/>
      <c r="AN686" s="50"/>
    </row>
    <row r="687" spans="1:40" x14ac:dyDescent="0.25">
      <c r="F687" s="379"/>
      <c r="H687" s="381"/>
      <c r="I687" s="381"/>
      <c r="J687" s="464"/>
      <c r="K687" s="464"/>
      <c r="L687" s="381"/>
      <c r="M687" s="381"/>
      <c r="N687" s="381"/>
      <c r="O687" s="381"/>
      <c r="P687" s="381"/>
      <c r="Q687" s="381"/>
      <c r="R687" s="381"/>
      <c r="V687" s="381"/>
      <c r="Y687" s="381"/>
      <c r="Z687" s="464"/>
      <c r="AA687" s="381"/>
      <c r="AB687" s="381"/>
      <c r="AC687" s="381"/>
      <c r="AD687" s="381"/>
      <c r="AE687" s="381"/>
      <c r="AF687" s="381"/>
      <c r="AI687" s="381"/>
      <c r="AJ687" s="381"/>
      <c r="AK687" s="162"/>
      <c r="AL687" s="381"/>
    </row>
    <row r="689" spans="1:20" x14ac:dyDescent="0.25">
      <c r="C689" s="54"/>
      <c r="F689" s="381"/>
      <c r="L689" s="379"/>
      <c r="M689" s="379"/>
      <c r="P689" s="379"/>
      <c r="Q689" s="379"/>
      <c r="R689" s="379"/>
      <c r="T689" s="54"/>
    </row>
    <row r="690" spans="1:20" x14ac:dyDescent="0.25">
      <c r="A690" s="54"/>
      <c r="L690" s="379"/>
      <c r="M690" s="379"/>
      <c r="P690" s="379"/>
      <c r="Q690" s="379"/>
      <c r="R690" s="379"/>
    </row>
    <row r="691" spans="1:20" x14ac:dyDescent="0.25">
      <c r="L691" s="379"/>
      <c r="M691" s="379"/>
      <c r="P691" s="379"/>
      <c r="Q691" s="379"/>
      <c r="R691" s="379"/>
    </row>
    <row r="692" spans="1:20" x14ac:dyDescent="0.25">
      <c r="L692" s="379"/>
      <c r="M692" s="379"/>
      <c r="P692" s="379"/>
      <c r="Q692" s="379"/>
      <c r="R692" s="379"/>
    </row>
    <row r="693" spans="1:20" x14ac:dyDescent="0.25">
      <c r="L693" s="379"/>
      <c r="M693" s="379"/>
      <c r="P693" s="379"/>
      <c r="Q693" s="379"/>
      <c r="R693" s="379"/>
    </row>
    <row r="694" spans="1:20" x14ac:dyDescent="0.25">
      <c r="L694" s="379"/>
      <c r="M694" s="379"/>
      <c r="P694" s="379"/>
      <c r="Q694" s="379"/>
      <c r="R694" s="379"/>
    </row>
    <row r="695" spans="1:20" x14ac:dyDescent="0.25">
      <c r="L695" s="379"/>
      <c r="M695" s="379"/>
      <c r="P695" s="379"/>
      <c r="Q695" s="379"/>
      <c r="R695" s="379"/>
    </row>
    <row r="728" spans="49:49" x14ac:dyDescent="0.25">
      <c r="AW728" s="379"/>
    </row>
    <row r="729" spans="49:49" x14ac:dyDescent="0.25">
      <c r="AW729" s="379"/>
    </row>
    <row r="730" spans="49:49" x14ac:dyDescent="0.25">
      <c r="AW730" s="379"/>
    </row>
    <row r="731" spans="49:49" x14ac:dyDescent="0.25">
      <c r="AW731" s="379"/>
    </row>
    <row r="732" spans="49:49" x14ac:dyDescent="0.25">
      <c r="AW732" s="379"/>
    </row>
    <row r="733" spans="49:49" x14ac:dyDescent="0.25">
      <c r="AW733" s="379"/>
    </row>
    <row r="736" spans="49:49" x14ac:dyDescent="0.25">
      <c r="AW736" s="379"/>
    </row>
    <row r="737" spans="49:49" x14ac:dyDescent="0.25">
      <c r="AW737" s="379"/>
    </row>
    <row r="738" spans="49:49" x14ac:dyDescent="0.25">
      <c r="AW738" s="379"/>
    </row>
    <row r="739" spans="49:49" x14ac:dyDescent="0.25">
      <c r="AW739" s="379"/>
    </row>
    <row r="740" spans="49:49" x14ac:dyDescent="0.25">
      <c r="AW740" s="379"/>
    </row>
    <row r="741" spans="49:49" x14ac:dyDescent="0.25">
      <c r="AW741" s="379"/>
    </row>
    <row r="742" spans="49:49" x14ac:dyDescent="0.25">
      <c r="AW742" s="379"/>
    </row>
    <row r="743" spans="49:49" x14ac:dyDescent="0.25">
      <c r="AW743" s="379"/>
    </row>
    <row r="746" spans="49:49" x14ac:dyDescent="0.25">
      <c r="AW746" s="379"/>
    </row>
    <row r="747" spans="49:49" x14ac:dyDescent="0.25">
      <c r="AW747" s="379"/>
    </row>
    <row r="750" spans="49:49" x14ac:dyDescent="0.25">
      <c r="AW750" s="379"/>
    </row>
    <row r="751" spans="49:49" x14ac:dyDescent="0.25">
      <c r="AW751" s="379"/>
    </row>
    <row r="752" spans="49:49" x14ac:dyDescent="0.25">
      <c r="AW752" s="379"/>
    </row>
    <row r="753" spans="45:57" x14ac:dyDescent="0.25">
      <c r="AW753" s="379"/>
    </row>
    <row r="759" spans="45:57" x14ac:dyDescent="0.25">
      <c r="AY759" s="53"/>
    </row>
    <row r="760" spans="45:57" x14ac:dyDescent="0.25">
      <c r="AY760" s="53"/>
    </row>
    <row r="761" spans="45:57" x14ac:dyDescent="0.25">
      <c r="AY761" s="54"/>
    </row>
    <row r="762" spans="45:57" x14ac:dyDescent="0.25">
      <c r="AY762" s="54"/>
    </row>
    <row r="763" spans="45:57" x14ac:dyDescent="0.25">
      <c r="AS763" s="53"/>
      <c r="BD763" s="54"/>
    </row>
    <row r="764" spans="45:57" x14ac:dyDescent="0.25">
      <c r="AS764" s="53"/>
      <c r="BD764" s="54"/>
    </row>
    <row r="765" spans="45:57" x14ac:dyDescent="0.25">
      <c r="AS765" s="54"/>
      <c r="BD765" s="54"/>
    </row>
    <row r="766" spans="45:57" x14ac:dyDescent="0.25">
      <c r="BD766" s="53"/>
    </row>
    <row r="767" spans="45:57" x14ac:dyDescent="0.25"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</row>
    <row r="768" spans="45:57" x14ac:dyDescent="0.25">
      <c r="AX768" s="54"/>
    </row>
    <row r="769" spans="45:69" x14ac:dyDescent="0.25">
      <c r="AX769" s="55"/>
      <c r="AY769" s="55"/>
      <c r="AZ769" s="55"/>
      <c r="BA769" s="55"/>
      <c r="BC769" s="56"/>
      <c r="BD769" s="56"/>
    </row>
    <row r="770" spans="45:69" x14ac:dyDescent="0.25">
      <c r="AV770" s="56"/>
      <c r="AW770" s="56"/>
      <c r="AZ770" s="56"/>
      <c r="BA770" s="56"/>
      <c r="BC770" s="56"/>
      <c r="BD770" s="56"/>
      <c r="BE770" s="56"/>
      <c r="BG770" s="55"/>
      <c r="BH770" s="54"/>
      <c r="BK770" s="55"/>
      <c r="BM770" s="55"/>
      <c r="BN770" s="54"/>
      <c r="BQ770" s="55"/>
    </row>
    <row r="771" spans="45:69" x14ac:dyDescent="0.25"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H771" s="56"/>
      <c r="BI771" s="56"/>
      <c r="BJ771" s="56"/>
      <c r="BN771" s="56"/>
      <c r="BO771" s="56"/>
      <c r="BP771" s="56"/>
    </row>
    <row r="772" spans="45:69" x14ac:dyDescent="0.25">
      <c r="AS772" s="56"/>
      <c r="AU772" s="54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G772" s="56"/>
      <c r="BH772" s="56"/>
      <c r="BI772" s="56"/>
      <c r="BJ772" s="56"/>
      <c r="BK772" s="56"/>
      <c r="BM772" s="56"/>
      <c r="BN772" s="56"/>
      <c r="BO772" s="56"/>
      <c r="BP772" s="56"/>
      <c r="BQ772" s="56"/>
    </row>
    <row r="773" spans="45:69" x14ac:dyDescent="0.25">
      <c r="AS773" s="56"/>
      <c r="AU773" s="54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G773" s="56"/>
      <c r="BH773" s="56"/>
      <c r="BI773" s="56"/>
      <c r="BJ773" s="56"/>
      <c r="BK773" s="56"/>
      <c r="BM773" s="56"/>
      <c r="BN773" s="56"/>
      <c r="BO773" s="56"/>
      <c r="BP773" s="56"/>
      <c r="BQ773" s="56"/>
    </row>
    <row r="774" spans="45:69" x14ac:dyDescent="0.25"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G774" s="55"/>
      <c r="BH774" s="55"/>
      <c r="BI774" s="55"/>
      <c r="BJ774" s="55"/>
      <c r="BK774" s="55"/>
      <c r="BM774" s="55"/>
      <c r="BN774" s="55"/>
      <c r="BO774" s="55"/>
      <c r="BP774" s="55"/>
      <c r="BQ774" s="55"/>
    </row>
    <row r="775" spans="45:69" x14ac:dyDescent="0.25"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</row>
    <row r="776" spans="45:69" x14ac:dyDescent="0.25">
      <c r="AS776" s="53"/>
      <c r="AU776" s="54"/>
      <c r="AV776" s="56"/>
      <c r="AY776" s="59"/>
    </row>
    <row r="777" spans="45:69" x14ac:dyDescent="0.25">
      <c r="AS777" s="53"/>
      <c r="AV777" s="56"/>
      <c r="AW777" s="379"/>
      <c r="AX777" s="65"/>
      <c r="AY777" s="65"/>
      <c r="AZ777" s="65"/>
      <c r="BA777" s="50"/>
      <c r="BB777" s="65"/>
      <c r="BC777" s="59"/>
      <c r="BD777" s="59"/>
      <c r="BE777" s="50"/>
      <c r="BG777" s="65"/>
      <c r="BH777" s="65"/>
      <c r="BI777" s="65"/>
      <c r="BJ777" s="65"/>
      <c r="BK777" s="65"/>
      <c r="BM777" s="65"/>
      <c r="BN777" s="65"/>
      <c r="BO777" s="65"/>
      <c r="BP777" s="65"/>
      <c r="BQ777" s="65"/>
    </row>
    <row r="778" spans="45:69" x14ac:dyDescent="0.25">
      <c r="AS778" s="53"/>
      <c r="AV778" s="56"/>
      <c r="AW778" s="379"/>
      <c r="AX778" s="65"/>
      <c r="AY778" s="65"/>
      <c r="AZ778" s="65"/>
      <c r="BA778" s="50"/>
      <c r="BB778" s="65"/>
      <c r="BC778" s="59"/>
      <c r="BD778" s="59"/>
      <c r="BE778" s="50"/>
      <c r="BG778" s="65"/>
      <c r="BH778" s="65"/>
      <c r="BI778" s="65"/>
      <c r="BJ778" s="65"/>
      <c r="BK778" s="65"/>
      <c r="BM778" s="65"/>
      <c r="BN778" s="65"/>
      <c r="BO778" s="65"/>
      <c r="BP778" s="65"/>
      <c r="BQ778" s="65"/>
    </row>
    <row r="779" spans="45:69" x14ac:dyDescent="0.25">
      <c r="AS779" s="53"/>
      <c r="AV779" s="56"/>
      <c r="AW779" s="379"/>
      <c r="AX779" s="65"/>
      <c r="AY779" s="65"/>
      <c r="AZ779" s="65"/>
      <c r="BA779" s="50"/>
      <c r="BB779" s="65"/>
      <c r="BC779" s="59"/>
      <c r="BD779" s="59"/>
      <c r="BE779" s="50"/>
      <c r="BG779" s="65"/>
      <c r="BH779" s="65"/>
      <c r="BI779" s="65"/>
      <c r="BJ779" s="65"/>
      <c r="BK779" s="65"/>
      <c r="BM779" s="65"/>
      <c r="BN779" s="65"/>
      <c r="BO779" s="65"/>
      <c r="BP779" s="65"/>
      <c r="BQ779" s="65"/>
    </row>
    <row r="780" spans="45:69" x14ac:dyDescent="0.25">
      <c r="AS780" s="53"/>
      <c r="AV780" s="56"/>
      <c r="AW780" s="379"/>
      <c r="AX780" s="65"/>
      <c r="AY780" s="65"/>
      <c r="AZ780" s="65"/>
      <c r="BA780" s="50"/>
      <c r="BB780" s="65"/>
      <c r="BC780" s="59"/>
      <c r="BD780" s="59"/>
      <c r="BE780" s="50"/>
      <c r="BG780" s="65"/>
      <c r="BH780" s="65"/>
      <c r="BI780" s="65"/>
      <c r="BJ780" s="65"/>
      <c r="BK780" s="65"/>
      <c r="BM780" s="65"/>
      <c r="BN780" s="65"/>
      <c r="BO780" s="65"/>
      <c r="BP780" s="65"/>
      <c r="BQ780" s="65"/>
    </row>
    <row r="781" spans="45:69" x14ac:dyDescent="0.25">
      <c r="AS781" s="53"/>
      <c r="AV781" s="56"/>
      <c r="AW781" s="379"/>
      <c r="AX781" s="65"/>
      <c r="AY781" s="65"/>
      <c r="AZ781" s="65"/>
      <c r="BA781" s="50"/>
      <c r="BB781" s="65"/>
      <c r="BC781" s="59"/>
      <c r="BD781" s="59"/>
      <c r="BE781" s="50"/>
      <c r="BG781" s="65"/>
      <c r="BH781" s="65"/>
      <c r="BI781" s="65"/>
      <c r="BJ781" s="65"/>
      <c r="BK781" s="65"/>
      <c r="BM781" s="65"/>
      <c r="BN781" s="65"/>
      <c r="BO781" s="65"/>
      <c r="BP781" s="65"/>
      <c r="BQ781" s="65"/>
    </row>
    <row r="782" spans="45:69" x14ac:dyDescent="0.25">
      <c r="AS782" s="53"/>
      <c r="AV782" s="56"/>
      <c r="AW782" s="379"/>
      <c r="AX782" s="65"/>
      <c r="AY782" s="65"/>
      <c r="AZ782" s="65"/>
      <c r="BA782" s="50"/>
      <c r="BB782" s="65"/>
      <c r="BC782" s="59"/>
      <c r="BD782" s="59"/>
      <c r="BE782" s="50"/>
      <c r="BG782" s="65"/>
      <c r="BH782" s="65"/>
      <c r="BI782" s="65"/>
      <c r="BJ782" s="65"/>
      <c r="BK782" s="65"/>
      <c r="BM782" s="65"/>
      <c r="BN782" s="65"/>
      <c r="BO782" s="65"/>
      <c r="BP782" s="65"/>
      <c r="BQ782" s="65"/>
    </row>
    <row r="783" spans="45:69" x14ac:dyDescent="0.25">
      <c r="AS783" s="53"/>
      <c r="AV783" s="56"/>
      <c r="AW783" s="379"/>
      <c r="AX783" s="65"/>
      <c r="AY783" s="65"/>
      <c r="AZ783" s="65"/>
      <c r="BA783" s="50"/>
      <c r="BB783" s="65"/>
      <c r="BC783" s="59"/>
      <c r="BD783" s="59"/>
      <c r="BE783" s="50"/>
      <c r="BG783" s="65"/>
      <c r="BH783" s="65"/>
      <c r="BI783" s="65"/>
      <c r="BJ783" s="65"/>
      <c r="BK783" s="65"/>
      <c r="BM783" s="65"/>
      <c r="BN783" s="65"/>
      <c r="BO783" s="65"/>
      <c r="BP783" s="65"/>
      <c r="BQ783" s="65"/>
    </row>
    <row r="784" spans="45:69" x14ac:dyDescent="0.25">
      <c r="AY784" s="59"/>
      <c r="AZ784" s="65"/>
      <c r="BA784" s="50"/>
      <c r="BB784" s="65"/>
      <c r="BC784" s="59"/>
      <c r="BD784" s="59"/>
      <c r="BE784" s="50"/>
      <c r="BK784" s="65"/>
      <c r="BQ784" s="65"/>
    </row>
    <row r="785" spans="45:69" x14ac:dyDescent="0.25">
      <c r="AS785" s="53"/>
      <c r="AV785" s="56"/>
      <c r="AY785" s="59"/>
      <c r="AZ785" s="65"/>
      <c r="BA785" s="50"/>
      <c r="BB785" s="65"/>
      <c r="BC785" s="59"/>
      <c r="BD785" s="59"/>
      <c r="BE785" s="50"/>
      <c r="BK785" s="65"/>
      <c r="BQ785" s="65"/>
    </row>
    <row r="786" spans="45:69" x14ac:dyDescent="0.25">
      <c r="AS786" s="53"/>
      <c r="AV786" s="56"/>
      <c r="AW786" s="379"/>
      <c r="AX786" s="65"/>
      <c r="AY786" s="65"/>
      <c r="AZ786" s="65"/>
      <c r="BA786" s="50"/>
      <c r="BB786" s="65"/>
      <c r="BC786" s="59"/>
      <c r="BD786" s="59"/>
      <c r="BE786" s="50"/>
      <c r="BG786" s="65"/>
      <c r="BH786" s="65"/>
      <c r="BI786" s="65"/>
      <c r="BJ786" s="65"/>
      <c r="BK786" s="65"/>
      <c r="BM786" s="65"/>
      <c r="BN786" s="65"/>
      <c r="BO786" s="65"/>
      <c r="BP786" s="65"/>
      <c r="BQ786" s="65"/>
    </row>
    <row r="787" spans="45:69" x14ac:dyDescent="0.25">
      <c r="AS787" s="53"/>
      <c r="AV787" s="56"/>
      <c r="AW787" s="379"/>
      <c r="AX787" s="65"/>
      <c r="AY787" s="65"/>
      <c r="AZ787" s="65"/>
      <c r="BA787" s="50"/>
      <c r="BB787" s="65"/>
      <c r="BC787" s="59"/>
      <c r="BD787" s="59"/>
      <c r="BE787" s="50"/>
      <c r="BG787" s="65"/>
      <c r="BH787" s="65"/>
      <c r="BI787" s="65"/>
      <c r="BJ787" s="65"/>
      <c r="BK787" s="65"/>
      <c r="BM787" s="65"/>
      <c r="BN787" s="65"/>
      <c r="BO787" s="65"/>
      <c r="BP787" s="65"/>
      <c r="BQ787" s="65"/>
    </row>
    <row r="788" spans="45:69" x14ac:dyDescent="0.25">
      <c r="AS788" s="53"/>
      <c r="AV788" s="56"/>
      <c r="AW788" s="379"/>
      <c r="AX788" s="65"/>
      <c r="AY788" s="65"/>
      <c r="AZ788" s="65"/>
      <c r="BA788" s="50"/>
      <c r="BB788" s="65"/>
      <c r="BC788" s="59"/>
      <c r="BD788" s="59"/>
      <c r="BE788" s="50"/>
      <c r="BG788" s="65"/>
      <c r="BH788" s="65"/>
      <c r="BI788" s="65"/>
      <c r="BJ788" s="65"/>
      <c r="BK788" s="65"/>
      <c r="BM788" s="65"/>
      <c r="BN788" s="65"/>
      <c r="BO788" s="65"/>
      <c r="BP788" s="65"/>
      <c r="BQ788" s="65"/>
    </row>
    <row r="789" spans="45:69" x14ac:dyDescent="0.25">
      <c r="AS789" s="53"/>
      <c r="AV789" s="56"/>
      <c r="AW789" s="379"/>
      <c r="AX789" s="65"/>
      <c r="AY789" s="65"/>
      <c r="AZ789" s="65"/>
      <c r="BA789" s="50"/>
      <c r="BB789" s="65"/>
      <c r="BC789" s="59"/>
      <c r="BD789" s="59"/>
      <c r="BE789" s="50"/>
      <c r="BG789" s="65"/>
      <c r="BH789" s="65"/>
      <c r="BI789" s="65"/>
      <c r="BJ789" s="65"/>
      <c r="BK789" s="65"/>
      <c r="BM789" s="65"/>
      <c r="BN789" s="65"/>
      <c r="BO789" s="65"/>
      <c r="BP789" s="65"/>
      <c r="BQ789" s="65"/>
    </row>
    <row r="790" spans="45:69" x14ac:dyDescent="0.25">
      <c r="AS790" s="53"/>
      <c r="AV790" s="56"/>
      <c r="AW790" s="379"/>
      <c r="AX790" s="65"/>
      <c r="AY790" s="65"/>
      <c r="AZ790" s="65"/>
      <c r="BA790" s="50"/>
      <c r="BB790" s="65"/>
      <c r="BC790" s="59"/>
      <c r="BD790" s="59"/>
      <c r="BE790" s="50"/>
      <c r="BG790" s="65"/>
      <c r="BH790" s="65"/>
      <c r="BI790" s="65"/>
      <c r="BJ790" s="65"/>
      <c r="BK790" s="65"/>
      <c r="BM790" s="65"/>
      <c r="BN790" s="65"/>
      <c r="BO790" s="65"/>
      <c r="BP790" s="65"/>
      <c r="BQ790" s="65"/>
    </row>
    <row r="791" spans="45:69" x14ac:dyDescent="0.25">
      <c r="AS791" s="53"/>
      <c r="AV791" s="56"/>
      <c r="AW791" s="379"/>
      <c r="AX791" s="65"/>
      <c r="AY791" s="65"/>
      <c r="AZ791" s="65"/>
      <c r="BA791" s="50"/>
      <c r="BB791" s="65"/>
      <c r="BC791" s="59"/>
      <c r="BD791" s="59"/>
      <c r="BE791" s="50"/>
      <c r="BG791" s="65"/>
      <c r="BH791" s="65"/>
      <c r="BI791" s="65"/>
      <c r="BJ791" s="65"/>
      <c r="BK791" s="65"/>
      <c r="BM791" s="65"/>
      <c r="BN791" s="65"/>
      <c r="BO791" s="65"/>
      <c r="BP791" s="65"/>
      <c r="BQ791" s="65"/>
    </row>
    <row r="792" spans="45:69" x14ac:dyDescent="0.25">
      <c r="AS792" s="53"/>
      <c r="AV792" s="56"/>
      <c r="AW792" s="379"/>
      <c r="AX792" s="65"/>
      <c r="AY792" s="65"/>
      <c r="AZ792" s="65"/>
      <c r="BA792" s="50"/>
      <c r="BB792" s="65"/>
      <c r="BC792" s="59"/>
      <c r="BD792" s="59"/>
      <c r="BE792" s="50"/>
      <c r="BG792" s="65"/>
      <c r="BH792" s="65"/>
      <c r="BI792" s="65"/>
      <c r="BJ792" s="65"/>
      <c r="BK792" s="65"/>
      <c r="BM792" s="65"/>
      <c r="BN792" s="65"/>
      <c r="BO792" s="65"/>
      <c r="BP792" s="65"/>
      <c r="BQ792" s="65"/>
    </row>
    <row r="793" spans="45:69" x14ac:dyDescent="0.25">
      <c r="AS793" s="53"/>
      <c r="AV793" s="56"/>
      <c r="AW793" s="379"/>
      <c r="AX793" s="65"/>
      <c r="AY793" s="65"/>
      <c r="AZ793" s="65"/>
      <c r="BA793" s="50"/>
      <c r="BB793" s="65"/>
      <c r="BC793" s="59"/>
      <c r="BD793" s="59"/>
      <c r="BE793" s="50"/>
      <c r="BG793" s="65"/>
      <c r="BH793" s="65"/>
      <c r="BI793" s="65"/>
      <c r="BJ793" s="65"/>
      <c r="BK793" s="65"/>
      <c r="BM793" s="65"/>
      <c r="BN793" s="65"/>
      <c r="BO793" s="65"/>
      <c r="BP793" s="65"/>
      <c r="BQ793" s="65"/>
    </row>
    <row r="794" spans="45:69" x14ac:dyDescent="0.25">
      <c r="AY794" s="59"/>
      <c r="AZ794" s="65"/>
      <c r="BA794" s="50"/>
      <c r="BB794" s="65"/>
      <c r="BC794" s="59"/>
      <c r="BD794" s="59"/>
      <c r="BE794" s="50"/>
      <c r="BK794" s="65"/>
      <c r="BQ794" s="65"/>
    </row>
    <row r="795" spans="45:69" x14ac:dyDescent="0.25">
      <c r="AU795" s="54"/>
      <c r="AZ795" s="65"/>
      <c r="BB795" s="65"/>
      <c r="BG795" s="65"/>
      <c r="BH795" s="65"/>
      <c r="BJ795" s="65"/>
      <c r="BK795" s="65"/>
    </row>
    <row r="796" spans="45:69" x14ac:dyDescent="0.25">
      <c r="AZ796" s="65"/>
      <c r="BB796" s="65"/>
    </row>
    <row r="797" spans="45:69" x14ac:dyDescent="0.25">
      <c r="AS797" s="54"/>
      <c r="AZ797" s="65"/>
      <c r="BB797" s="65"/>
      <c r="BI797" s="65"/>
    </row>
    <row r="798" spans="45:69" x14ac:dyDescent="0.25">
      <c r="AY798" s="53"/>
      <c r="AZ798" s="65"/>
      <c r="BB798" s="65"/>
    </row>
    <row r="799" spans="45:69" x14ac:dyDescent="0.25">
      <c r="AY799" s="65"/>
      <c r="BB799" s="65"/>
    </row>
    <row r="800" spans="45:69" x14ac:dyDescent="0.25">
      <c r="AY800" s="54"/>
      <c r="AZ800" s="65"/>
      <c r="BB800" s="65"/>
    </row>
    <row r="801" spans="45:75" x14ac:dyDescent="0.25">
      <c r="AY801" s="54"/>
      <c r="AZ801" s="65"/>
      <c r="BB801" s="65"/>
    </row>
    <row r="802" spans="45:75" x14ac:dyDescent="0.25">
      <c r="AS802" s="53"/>
      <c r="AZ802" s="65"/>
      <c r="BB802" s="65"/>
      <c r="BD802" s="54"/>
    </row>
    <row r="803" spans="45:75" x14ac:dyDescent="0.25">
      <c r="AS803" s="53"/>
      <c r="AZ803" s="65"/>
      <c r="BB803" s="65"/>
      <c r="BD803" s="54"/>
    </row>
    <row r="804" spans="45:75" x14ac:dyDescent="0.25">
      <c r="AS804" s="54"/>
      <c r="AZ804" s="65"/>
      <c r="BB804" s="65"/>
      <c r="BD804" s="54"/>
    </row>
    <row r="805" spans="45:75" x14ac:dyDescent="0.25">
      <c r="AZ805" s="65"/>
      <c r="BB805" s="65"/>
      <c r="BD805" s="53"/>
    </row>
    <row r="806" spans="45:75" x14ac:dyDescent="0.25">
      <c r="AS806" s="55"/>
      <c r="AT806" s="55"/>
      <c r="AU806" s="55"/>
      <c r="AV806" s="55"/>
      <c r="AW806" s="55"/>
      <c r="AX806" s="55"/>
      <c r="AY806" s="55"/>
      <c r="AZ806" s="66"/>
      <c r="BA806" s="55"/>
      <c r="BB806" s="66"/>
      <c r="BC806" s="55"/>
      <c r="BD806" s="55"/>
      <c r="BE806" s="55"/>
    </row>
    <row r="807" spans="45:75" x14ac:dyDescent="0.25">
      <c r="AX807" s="54"/>
      <c r="AZ807" s="65"/>
      <c r="BB807" s="65"/>
    </row>
    <row r="808" spans="45:75" x14ac:dyDescent="0.25">
      <c r="AX808" s="55"/>
      <c r="AY808" s="55"/>
      <c r="AZ808" s="66"/>
      <c r="BA808" s="55"/>
      <c r="BB808" s="65"/>
      <c r="BC808" s="56"/>
      <c r="BD808" s="56"/>
    </row>
    <row r="809" spans="45:75" x14ac:dyDescent="0.25">
      <c r="AV809" s="56"/>
      <c r="AW809" s="56"/>
      <c r="AZ809" s="67"/>
      <c r="BA809" s="56"/>
      <c r="BB809" s="65"/>
      <c r="BC809" s="56"/>
      <c r="BD809" s="56"/>
      <c r="BE809" s="56"/>
      <c r="BG809" s="55"/>
      <c r="BH809" s="55"/>
      <c r="BI809" s="54"/>
      <c r="BM809" s="55"/>
      <c r="BN809" s="55"/>
      <c r="BP809" s="55"/>
      <c r="BQ809" s="55"/>
      <c r="BR809" s="54"/>
      <c r="BV809" s="55"/>
      <c r="BW809" s="55"/>
    </row>
    <row r="810" spans="45:75" x14ac:dyDescent="0.25">
      <c r="AV810" s="56"/>
      <c r="AW810" s="56"/>
      <c r="AX810" s="56"/>
      <c r="AY810" s="56"/>
      <c r="AZ810" s="67"/>
      <c r="BA810" s="56"/>
      <c r="BB810" s="67"/>
      <c r="BC810" s="56"/>
      <c r="BD810" s="56"/>
      <c r="BE810" s="56"/>
      <c r="BH810" s="56"/>
      <c r="BI810" s="56"/>
      <c r="BJ810" s="56"/>
      <c r="BK810" s="56"/>
      <c r="BL810" s="56"/>
      <c r="BM810" s="56"/>
      <c r="BQ810" s="56"/>
      <c r="BR810" s="56"/>
      <c r="BS810" s="56"/>
      <c r="BT810" s="56"/>
      <c r="BU810" s="56"/>
      <c r="BV810" s="56"/>
    </row>
    <row r="811" spans="45:75" x14ac:dyDescent="0.25">
      <c r="AS811" s="56"/>
      <c r="AU811" s="54"/>
      <c r="AV811" s="56"/>
      <c r="AW811" s="56"/>
      <c r="AX811" s="56"/>
      <c r="AY811" s="56"/>
      <c r="AZ811" s="67"/>
      <c r="BA811" s="56"/>
      <c r="BB811" s="67"/>
      <c r="BC811" s="56"/>
      <c r="BD811" s="56"/>
      <c r="BE811" s="56"/>
      <c r="BG811" s="56"/>
      <c r="BH811" s="56"/>
      <c r="BI811" s="56"/>
      <c r="BJ811" s="56"/>
      <c r="BK811" s="56"/>
      <c r="BL811" s="56"/>
      <c r="BM811" s="56"/>
      <c r="BN811" s="56"/>
      <c r="BP811" s="56"/>
      <c r="BQ811" s="56"/>
      <c r="BR811" s="56"/>
      <c r="BS811" s="56"/>
      <c r="BT811" s="56"/>
      <c r="BU811" s="56"/>
      <c r="BV811" s="56"/>
      <c r="BW811" s="56"/>
    </row>
    <row r="812" spans="45:75" x14ac:dyDescent="0.25">
      <c r="AS812" s="56"/>
      <c r="AU812" s="54"/>
      <c r="AV812" s="56"/>
      <c r="AW812" s="56"/>
      <c r="AX812" s="56"/>
      <c r="AY812" s="56"/>
      <c r="AZ812" s="67"/>
      <c r="BA812" s="56"/>
      <c r="BB812" s="67"/>
      <c r="BC812" s="56"/>
      <c r="BD812" s="56"/>
      <c r="BE812" s="56"/>
      <c r="BG812" s="56"/>
      <c r="BH812" s="56"/>
      <c r="BI812" s="56"/>
      <c r="BJ812" s="56"/>
      <c r="BK812" s="56"/>
      <c r="BL812" s="56"/>
      <c r="BM812" s="56"/>
      <c r="BN812" s="56"/>
      <c r="BP812" s="56"/>
      <c r="BQ812" s="56"/>
      <c r="BR812" s="56"/>
      <c r="BS812" s="56"/>
      <c r="BT812" s="56"/>
      <c r="BU812" s="56"/>
      <c r="BV812" s="56"/>
      <c r="BW812" s="56"/>
    </row>
    <row r="813" spans="45:75" x14ac:dyDescent="0.25">
      <c r="AS813" s="55"/>
      <c r="AT813" s="55"/>
      <c r="AU813" s="55"/>
      <c r="AV813" s="55"/>
      <c r="AW813" s="55"/>
      <c r="AX813" s="55"/>
      <c r="AY813" s="55"/>
      <c r="AZ813" s="66"/>
      <c r="BA813" s="55"/>
      <c r="BB813" s="66"/>
      <c r="BC813" s="55"/>
      <c r="BD813" s="55"/>
      <c r="BE813" s="55"/>
      <c r="BG813" s="55"/>
      <c r="BH813" s="55"/>
      <c r="BI813" s="55"/>
      <c r="BJ813" s="55"/>
      <c r="BK813" s="55"/>
      <c r="BL813" s="55"/>
      <c r="BM813" s="55"/>
      <c r="BN813" s="55"/>
      <c r="BP813" s="55"/>
      <c r="BQ813" s="55"/>
      <c r="BR813" s="55"/>
      <c r="BS813" s="55"/>
      <c r="BT813" s="55"/>
      <c r="BU813" s="55"/>
      <c r="BV813" s="55"/>
      <c r="BW813" s="55"/>
    </row>
    <row r="814" spans="45:75" x14ac:dyDescent="0.25">
      <c r="AV814" s="56"/>
      <c r="AW814" s="56"/>
      <c r="AX814" s="56"/>
      <c r="AY814" s="56"/>
      <c r="AZ814" s="67"/>
      <c r="BA814" s="56"/>
      <c r="BB814" s="67"/>
      <c r="BC814" s="56"/>
      <c r="BD814" s="56"/>
      <c r="BE814" s="56"/>
      <c r="BG814" s="65"/>
      <c r="BH814" s="65"/>
      <c r="BI814" s="65"/>
      <c r="BJ814" s="65"/>
      <c r="BK814" s="65"/>
      <c r="BL814" s="65"/>
      <c r="BM814" s="65"/>
      <c r="BN814" s="65"/>
      <c r="BO814" s="65"/>
      <c r="BP814" s="65"/>
      <c r="BQ814" s="65"/>
      <c r="BR814" s="65"/>
      <c r="BS814" s="65"/>
      <c r="BT814" s="65"/>
      <c r="BU814" s="65"/>
      <c r="BV814" s="65"/>
      <c r="BW814" s="65"/>
    </row>
    <row r="815" spans="45:75" x14ac:dyDescent="0.25">
      <c r="AS815" s="53"/>
      <c r="AU815" s="54"/>
      <c r="AV815" s="53"/>
      <c r="AW815" s="379"/>
      <c r="AX815" s="65"/>
      <c r="AY815" s="65"/>
      <c r="AZ815" s="65"/>
      <c r="BA815" s="60"/>
      <c r="BB815" s="65"/>
      <c r="BC815" s="65"/>
      <c r="BD815" s="65"/>
      <c r="BE815" s="60"/>
      <c r="BG815" s="65"/>
      <c r="BH815" s="65"/>
      <c r="BI815" s="65"/>
      <c r="BJ815" s="65"/>
      <c r="BK815" s="65"/>
      <c r="BL815" s="65"/>
      <c r="BM815" s="65"/>
      <c r="BN815" s="65"/>
      <c r="BO815" s="65"/>
      <c r="BP815" s="65"/>
      <c r="BQ815" s="65"/>
      <c r="BR815" s="65"/>
      <c r="BS815" s="65"/>
      <c r="BT815" s="65"/>
      <c r="BU815" s="65"/>
      <c r="BV815" s="65"/>
      <c r="BW815" s="65"/>
    </row>
    <row r="816" spans="45:75" x14ac:dyDescent="0.25">
      <c r="AS816" s="53"/>
      <c r="AV816" s="53"/>
      <c r="AW816" s="379"/>
      <c r="AX816" s="65"/>
      <c r="AY816" s="65"/>
      <c r="AZ816" s="65"/>
      <c r="BA816" s="60"/>
      <c r="BB816" s="65"/>
      <c r="BC816" s="65"/>
      <c r="BD816" s="65"/>
      <c r="BE816" s="60"/>
      <c r="BG816" s="65"/>
      <c r="BH816" s="65"/>
      <c r="BI816" s="65"/>
      <c r="BJ816" s="65"/>
      <c r="BK816" s="65"/>
      <c r="BL816" s="65"/>
      <c r="BM816" s="65"/>
      <c r="BN816" s="65"/>
      <c r="BO816" s="65"/>
      <c r="BP816" s="65"/>
      <c r="BQ816" s="65"/>
      <c r="BR816" s="65"/>
      <c r="BS816" s="65"/>
      <c r="BT816" s="65"/>
      <c r="BU816" s="65"/>
      <c r="BV816" s="65"/>
      <c r="BW816" s="65"/>
    </row>
    <row r="817" spans="45:75" x14ac:dyDescent="0.25">
      <c r="AS817" s="53"/>
      <c r="AV817" s="53"/>
      <c r="AW817" s="379"/>
      <c r="AX817" s="65"/>
      <c r="AY817" s="65"/>
      <c r="AZ817" s="65"/>
      <c r="BA817" s="60"/>
      <c r="BB817" s="65"/>
      <c r="BC817" s="65"/>
      <c r="BD817" s="65"/>
      <c r="BE817" s="60"/>
      <c r="BG817" s="65"/>
      <c r="BH817" s="65"/>
      <c r="BI817" s="65"/>
      <c r="BJ817" s="65"/>
      <c r="BK817" s="65"/>
      <c r="BL817" s="65"/>
      <c r="BM817" s="65"/>
      <c r="BN817" s="65"/>
      <c r="BO817" s="65"/>
      <c r="BP817" s="65"/>
      <c r="BQ817" s="65"/>
      <c r="BR817" s="65"/>
      <c r="BS817" s="65"/>
      <c r="BT817" s="65"/>
      <c r="BU817" s="65"/>
      <c r="BV817" s="65"/>
      <c r="BW817" s="65"/>
    </row>
    <row r="818" spans="45:75" x14ac:dyDescent="0.25">
      <c r="AS818" s="53"/>
      <c r="AV818" s="53"/>
      <c r="AW818" s="379"/>
      <c r="AX818" s="65"/>
      <c r="AY818" s="65"/>
      <c r="AZ818" s="65"/>
      <c r="BA818" s="60"/>
      <c r="BB818" s="65"/>
      <c r="BC818" s="65"/>
      <c r="BD818" s="65"/>
      <c r="BE818" s="60"/>
      <c r="BG818" s="65"/>
      <c r="BH818" s="65"/>
      <c r="BI818" s="65"/>
      <c r="BJ818" s="65"/>
      <c r="BK818" s="65"/>
      <c r="BL818" s="65"/>
      <c r="BM818" s="65"/>
      <c r="BN818" s="65"/>
      <c r="BO818" s="65"/>
      <c r="BP818" s="65"/>
      <c r="BQ818" s="65"/>
      <c r="BR818" s="65"/>
      <c r="BS818" s="65"/>
      <c r="BT818" s="65"/>
      <c r="BU818" s="65"/>
      <c r="BV818" s="65"/>
      <c r="BW818" s="65"/>
    </row>
    <row r="819" spans="45:75" x14ac:dyDescent="0.25">
      <c r="AS819" s="53"/>
      <c r="AV819" s="53"/>
      <c r="AW819" s="379"/>
      <c r="AX819" s="65"/>
      <c r="AY819" s="65"/>
      <c r="AZ819" s="65"/>
      <c r="BA819" s="60"/>
      <c r="BB819" s="65"/>
      <c r="BC819" s="65"/>
      <c r="BD819" s="65"/>
      <c r="BE819" s="60"/>
      <c r="BG819" s="65"/>
      <c r="BH819" s="65"/>
      <c r="BI819" s="65"/>
      <c r="BJ819" s="65"/>
      <c r="BK819" s="65"/>
      <c r="BL819" s="65"/>
      <c r="BM819" s="65"/>
      <c r="BN819" s="65"/>
      <c r="BO819" s="65"/>
      <c r="BP819" s="65"/>
      <c r="BQ819" s="65"/>
      <c r="BR819" s="65"/>
      <c r="BS819" s="65"/>
      <c r="BT819" s="65"/>
      <c r="BU819" s="65"/>
      <c r="BV819" s="65"/>
      <c r="BW819" s="65"/>
    </row>
    <row r="820" spans="45:75" x14ac:dyDescent="0.25">
      <c r="AS820" s="53"/>
      <c r="AV820" s="53"/>
      <c r="AW820" s="379"/>
      <c r="AX820" s="65"/>
      <c r="AY820" s="65"/>
      <c r="AZ820" s="65"/>
      <c r="BA820" s="60"/>
      <c r="BB820" s="65"/>
      <c r="BC820" s="65"/>
      <c r="BD820" s="65"/>
      <c r="BE820" s="60"/>
      <c r="BG820" s="65"/>
      <c r="BH820" s="65"/>
      <c r="BI820" s="65"/>
      <c r="BJ820" s="65"/>
      <c r="BK820" s="65"/>
      <c r="BL820" s="65"/>
      <c r="BM820" s="65"/>
      <c r="BN820" s="65"/>
      <c r="BO820" s="65"/>
      <c r="BP820" s="65"/>
      <c r="BQ820" s="65"/>
      <c r="BR820" s="65"/>
      <c r="BS820" s="65"/>
      <c r="BT820" s="65"/>
      <c r="BU820" s="65"/>
      <c r="BV820" s="65"/>
      <c r="BW820" s="65"/>
    </row>
    <row r="821" spans="45:75" x14ac:dyDescent="0.25">
      <c r="AS821" s="53"/>
      <c r="AV821" s="53"/>
      <c r="AW821" s="379"/>
      <c r="AX821" s="65"/>
      <c r="AY821" s="65"/>
      <c r="AZ821" s="65"/>
      <c r="BA821" s="60"/>
      <c r="BB821" s="65"/>
      <c r="BC821" s="65"/>
      <c r="BD821" s="65"/>
      <c r="BE821" s="60"/>
      <c r="BG821" s="65"/>
      <c r="BH821" s="65"/>
      <c r="BI821" s="65"/>
      <c r="BJ821" s="65"/>
      <c r="BK821" s="65"/>
      <c r="BL821" s="65"/>
      <c r="BM821" s="65"/>
      <c r="BN821" s="65"/>
      <c r="BO821" s="65"/>
      <c r="BP821" s="65"/>
      <c r="BQ821" s="65"/>
      <c r="BR821" s="65"/>
      <c r="BS821" s="65"/>
      <c r="BT821" s="65"/>
      <c r="BU821" s="65"/>
      <c r="BV821" s="65"/>
      <c r="BW821" s="65"/>
    </row>
    <row r="822" spans="45:75" x14ac:dyDescent="0.25">
      <c r="AS822" s="53"/>
      <c r="AV822" s="53"/>
      <c r="AW822" s="379"/>
      <c r="AX822" s="65"/>
      <c r="AY822" s="65"/>
      <c r="AZ822" s="65"/>
      <c r="BA822" s="60"/>
      <c r="BB822" s="65"/>
      <c r="BC822" s="65"/>
      <c r="BD822" s="65"/>
      <c r="BE822" s="60"/>
      <c r="BG822" s="65"/>
      <c r="BH822" s="65"/>
      <c r="BI822" s="65"/>
      <c r="BJ822" s="65"/>
      <c r="BK822" s="65"/>
      <c r="BL822" s="65"/>
      <c r="BM822" s="65"/>
      <c r="BN822" s="65"/>
      <c r="BO822" s="65"/>
      <c r="BP822" s="65"/>
      <c r="BQ822" s="65"/>
      <c r="BR822" s="65"/>
      <c r="BS822" s="65"/>
      <c r="BT822" s="65"/>
      <c r="BU822" s="65"/>
      <c r="BV822" s="65"/>
      <c r="BW822" s="65"/>
    </row>
    <row r="823" spans="45:75" x14ac:dyDescent="0.25">
      <c r="AS823" s="53"/>
      <c r="AV823" s="53"/>
      <c r="AW823" s="379"/>
      <c r="AX823" s="65"/>
      <c r="AY823" s="65"/>
      <c r="AZ823" s="65"/>
      <c r="BA823" s="60"/>
      <c r="BB823" s="65"/>
      <c r="BC823" s="65"/>
      <c r="BD823" s="65"/>
      <c r="BE823" s="60"/>
      <c r="BG823" s="65"/>
      <c r="BH823" s="65"/>
      <c r="BI823" s="65"/>
      <c r="BJ823" s="65"/>
      <c r="BK823" s="65"/>
      <c r="BL823" s="65"/>
      <c r="BM823" s="65"/>
      <c r="BN823" s="65"/>
      <c r="BO823" s="65"/>
      <c r="BP823" s="65"/>
      <c r="BQ823" s="65"/>
      <c r="BR823" s="65"/>
      <c r="BS823" s="65"/>
      <c r="BT823" s="65"/>
      <c r="BU823" s="65"/>
      <c r="BV823" s="65"/>
      <c r="BW823" s="65"/>
    </row>
    <row r="824" spans="45:75" x14ac:dyDescent="0.25">
      <c r="AS824" s="53"/>
      <c r="AV824" s="53"/>
      <c r="AW824" s="379"/>
      <c r="AX824" s="65"/>
      <c r="AY824" s="65"/>
      <c r="AZ824" s="65"/>
      <c r="BA824" s="60"/>
      <c r="BB824" s="65"/>
      <c r="BC824" s="65"/>
      <c r="BD824" s="65"/>
      <c r="BE824" s="60"/>
      <c r="BG824" s="65"/>
      <c r="BH824" s="65"/>
      <c r="BI824" s="65"/>
      <c r="BJ824" s="65"/>
      <c r="BK824" s="65"/>
      <c r="BL824" s="65"/>
      <c r="BM824" s="65"/>
      <c r="BN824" s="65"/>
      <c r="BO824" s="65"/>
      <c r="BP824" s="65"/>
      <c r="BQ824" s="65"/>
      <c r="BR824" s="65"/>
      <c r="BS824" s="65"/>
      <c r="BT824" s="65"/>
      <c r="BU824" s="65"/>
      <c r="BV824" s="65"/>
      <c r="BW824" s="65"/>
    </row>
    <row r="825" spans="45:75" x14ac:dyDescent="0.25">
      <c r="AS825" s="53"/>
      <c r="AV825" s="53"/>
      <c r="AW825" s="379"/>
      <c r="AX825" s="65"/>
      <c r="AY825" s="65"/>
      <c r="AZ825" s="65"/>
      <c r="BA825" s="60"/>
      <c r="BB825" s="65"/>
      <c r="BC825" s="65"/>
      <c r="BD825" s="65"/>
      <c r="BE825" s="60"/>
      <c r="BG825" s="65"/>
      <c r="BH825" s="65"/>
      <c r="BI825" s="65"/>
      <c r="BJ825" s="65"/>
      <c r="BK825" s="65"/>
      <c r="BL825" s="65"/>
      <c r="BM825" s="65"/>
      <c r="BN825" s="65"/>
      <c r="BO825" s="65"/>
      <c r="BP825" s="65"/>
      <c r="BQ825" s="65"/>
      <c r="BR825" s="65"/>
      <c r="BS825" s="65"/>
      <c r="BT825" s="65"/>
      <c r="BU825" s="65"/>
      <c r="BV825" s="65"/>
      <c r="BW825" s="65"/>
    </row>
    <row r="826" spans="45:75" x14ac:dyDescent="0.25">
      <c r="AS826" s="53"/>
      <c r="AV826" s="53"/>
      <c r="AW826" s="379"/>
      <c r="AX826" s="65"/>
      <c r="AY826" s="65"/>
      <c r="AZ826" s="65"/>
      <c r="BA826" s="60"/>
      <c r="BB826" s="65"/>
      <c r="BC826" s="65"/>
      <c r="BD826" s="65"/>
      <c r="BE826" s="60"/>
      <c r="BG826" s="65"/>
      <c r="BH826" s="65"/>
      <c r="BI826" s="65"/>
      <c r="BJ826" s="65"/>
      <c r="BK826" s="65"/>
      <c r="BL826" s="65"/>
      <c r="BM826" s="65"/>
      <c r="BN826" s="65"/>
      <c r="BO826" s="65"/>
      <c r="BP826" s="65"/>
      <c r="BQ826" s="65"/>
      <c r="BR826" s="65"/>
      <c r="BS826" s="65"/>
      <c r="BT826" s="65"/>
      <c r="BU826" s="65"/>
      <c r="BV826" s="65"/>
      <c r="BW826" s="65"/>
    </row>
    <row r="827" spans="45:75" x14ac:dyDescent="0.25">
      <c r="AS827" s="53"/>
      <c r="AV827" s="53"/>
      <c r="AW827" s="379"/>
      <c r="AX827" s="65"/>
      <c r="AY827" s="65"/>
      <c r="AZ827" s="65"/>
      <c r="BA827" s="60"/>
      <c r="BB827" s="65"/>
      <c r="BC827" s="65"/>
      <c r="BD827" s="65"/>
      <c r="BE827" s="60"/>
      <c r="BG827" s="65"/>
      <c r="BH827" s="65"/>
      <c r="BI827" s="65"/>
      <c r="BJ827" s="65"/>
      <c r="BK827" s="65"/>
      <c r="BL827" s="65"/>
      <c r="BM827" s="65"/>
      <c r="BN827" s="65"/>
      <c r="BO827" s="65"/>
      <c r="BP827" s="65"/>
      <c r="BQ827" s="65"/>
      <c r="BR827" s="65"/>
      <c r="BS827" s="65"/>
      <c r="BT827" s="65"/>
      <c r="BU827" s="65"/>
      <c r="BV827" s="65"/>
      <c r="BW827" s="65"/>
    </row>
    <row r="828" spans="45:75" x14ac:dyDescent="0.25">
      <c r="AS828" s="53"/>
      <c r="AV828" s="53"/>
      <c r="AW828" s="379"/>
      <c r="AX828" s="65"/>
      <c r="AY828" s="65"/>
      <c r="AZ828" s="65"/>
      <c r="BA828" s="60"/>
      <c r="BB828" s="65"/>
      <c r="BC828" s="65"/>
      <c r="BD828" s="65"/>
      <c r="BE828" s="60"/>
      <c r="BG828" s="65"/>
      <c r="BH828" s="65"/>
      <c r="BI828" s="65"/>
      <c r="BJ828" s="65"/>
      <c r="BK828" s="65"/>
      <c r="BL828" s="65"/>
      <c r="BM828" s="65"/>
      <c r="BN828" s="65"/>
      <c r="BO828" s="65"/>
      <c r="BP828" s="65"/>
      <c r="BQ828" s="65"/>
      <c r="BR828" s="65"/>
      <c r="BS828" s="65"/>
      <c r="BT828" s="65"/>
      <c r="BU828" s="65"/>
      <c r="BV828" s="65"/>
      <c r="BW828" s="65"/>
    </row>
    <row r="829" spans="45:75" x14ac:dyDescent="0.25">
      <c r="AS829" s="53"/>
      <c r="AV829" s="53"/>
      <c r="AW829" s="379"/>
      <c r="AX829" s="65"/>
      <c r="AY829" s="65"/>
      <c r="AZ829" s="65"/>
      <c r="BA829" s="60"/>
      <c r="BB829" s="65"/>
      <c r="BC829" s="65"/>
      <c r="BD829" s="65"/>
      <c r="BE829" s="60"/>
      <c r="BG829" s="65"/>
      <c r="BH829" s="65"/>
      <c r="BI829" s="65"/>
      <c r="BJ829" s="65"/>
      <c r="BK829" s="65"/>
      <c r="BL829" s="65"/>
      <c r="BM829" s="65"/>
      <c r="BN829" s="65"/>
      <c r="BO829" s="65"/>
      <c r="BP829" s="65"/>
      <c r="BQ829" s="65"/>
      <c r="BR829" s="65"/>
      <c r="BS829" s="65"/>
      <c r="BT829" s="65"/>
      <c r="BU829" s="65"/>
      <c r="BV829" s="65"/>
      <c r="BW829" s="65"/>
    </row>
    <row r="830" spans="45:75" x14ac:dyDescent="0.25">
      <c r="AS830" s="53"/>
      <c r="AV830" s="53"/>
      <c r="AW830" s="379"/>
      <c r="AX830" s="65"/>
      <c r="AY830" s="65"/>
      <c r="AZ830" s="65"/>
      <c r="BA830" s="60"/>
      <c r="BB830" s="65"/>
      <c r="BC830" s="65"/>
      <c r="BD830" s="65"/>
      <c r="BE830" s="60"/>
      <c r="BG830" s="65"/>
      <c r="BH830" s="65"/>
      <c r="BI830" s="65"/>
      <c r="BJ830" s="65"/>
      <c r="BK830" s="65"/>
      <c r="BL830" s="65"/>
      <c r="BM830" s="65"/>
      <c r="BN830" s="65"/>
      <c r="BO830" s="65"/>
      <c r="BP830" s="65"/>
      <c r="BQ830" s="65"/>
      <c r="BR830" s="65"/>
      <c r="BS830" s="65"/>
      <c r="BT830" s="65"/>
      <c r="BU830" s="65"/>
      <c r="BV830" s="65"/>
      <c r="BW830" s="65"/>
    </row>
    <row r="831" spans="45:75" x14ac:dyDescent="0.25">
      <c r="AS831" s="53"/>
      <c r="AV831" s="53"/>
      <c r="AW831" s="379"/>
      <c r="AX831" s="65"/>
      <c r="AY831" s="65"/>
      <c r="AZ831" s="65"/>
      <c r="BA831" s="60"/>
      <c r="BB831" s="65"/>
      <c r="BC831" s="65"/>
      <c r="BD831" s="65"/>
      <c r="BE831" s="60"/>
      <c r="BG831" s="65"/>
      <c r="BH831" s="65"/>
      <c r="BI831" s="65"/>
      <c r="BJ831" s="65"/>
      <c r="BK831" s="65"/>
      <c r="BL831" s="65"/>
      <c r="BM831" s="65"/>
      <c r="BN831" s="65"/>
      <c r="BO831" s="65"/>
      <c r="BP831" s="65"/>
      <c r="BQ831" s="65"/>
      <c r="BR831" s="65"/>
      <c r="BS831" s="65"/>
      <c r="BT831" s="65"/>
      <c r="BU831" s="65"/>
      <c r="BV831" s="65"/>
      <c r="BW831" s="65"/>
    </row>
    <row r="832" spans="45:75" x14ac:dyDescent="0.25">
      <c r="AS832" s="53"/>
      <c r="AV832" s="53"/>
      <c r="AW832" s="379"/>
      <c r="AX832" s="65"/>
      <c r="AY832" s="65"/>
      <c r="AZ832" s="65"/>
      <c r="BA832" s="60"/>
      <c r="BB832" s="65"/>
      <c r="BC832" s="65"/>
      <c r="BD832" s="65"/>
      <c r="BE832" s="60"/>
      <c r="BG832" s="65"/>
      <c r="BH832" s="65"/>
      <c r="BI832" s="65"/>
      <c r="BJ832" s="65"/>
      <c r="BK832" s="65"/>
      <c r="BL832" s="65"/>
      <c r="BM832" s="65"/>
      <c r="BN832" s="65"/>
      <c r="BO832" s="65"/>
      <c r="BP832" s="65"/>
      <c r="BQ832" s="65"/>
      <c r="BR832" s="65"/>
      <c r="BS832" s="65"/>
      <c r="BT832" s="65"/>
      <c r="BU832" s="65"/>
      <c r="BV832" s="65"/>
      <c r="BW832" s="65"/>
    </row>
    <row r="833" spans="45:75" x14ac:dyDescent="0.25">
      <c r="AS833" s="53"/>
      <c r="AV833" s="53"/>
      <c r="AW833" s="379"/>
      <c r="AX833" s="65"/>
      <c r="AY833" s="65"/>
      <c r="AZ833" s="65"/>
      <c r="BA833" s="60"/>
      <c r="BB833" s="65"/>
      <c r="BC833" s="65"/>
      <c r="BD833" s="65"/>
      <c r="BE833" s="60"/>
      <c r="BG833" s="65"/>
      <c r="BH833" s="65"/>
      <c r="BI833" s="65"/>
      <c r="BJ833" s="65"/>
      <c r="BK833" s="65"/>
      <c r="BL833" s="65"/>
      <c r="BM833" s="65"/>
      <c r="BN833" s="65"/>
      <c r="BO833" s="65"/>
      <c r="BP833" s="65"/>
      <c r="BQ833" s="65"/>
      <c r="BR833" s="65"/>
      <c r="BS833" s="65"/>
      <c r="BT833" s="65"/>
      <c r="BU833" s="65"/>
      <c r="BV833" s="65"/>
      <c r="BW833" s="65"/>
    </row>
    <row r="834" spans="45:75" x14ac:dyDescent="0.25">
      <c r="AS834" s="53"/>
      <c r="AV834" s="53"/>
      <c r="AW834" s="379"/>
      <c r="AX834" s="65"/>
      <c r="AY834" s="65"/>
      <c r="AZ834" s="65"/>
      <c r="BA834" s="60"/>
      <c r="BB834" s="65"/>
      <c r="BC834" s="65"/>
      <c r="BD834" s="65"/>
      <c r="BE834" s="60"/>
      <c r="BG834" s="65"/>
      <c r="BH834" s="65"/>
      <c r="BI834" s="65"/>
      <c r="BJ834" s="65"/>
      <c r="BK834" s="65"/>
      <c r="BL834" s="65"/>
      <c r="BM834" s="65"/>
      <c r="BN834" s="65"/>
      <c r="BO834" s="65"/>
      <c r="BP834" s="65"/>
      <c r="BQ834" s="65"/>
      <c r="BR834" s="65"/>
      <c r="BS834" s="65"/>
      <c r="BT834" s="65"/>
      <c r="BU834" s="65"/>
      <c r="BV834" s="65"/>
      <c r="BW834" s="65"/>
    </row>
    <row r="835" spans="45:75" x14ac:dyDescent="0.25">
      <c r="AS835" s="53"/>
      <c r="AV835" s="53"/>
      <c r="AW835" s="379"/>
      <c r="AX835" s="65"/>
      <c r="AY835" s="65"/>
      <c r="AZ835" s="65"/>
      <c r="BA835" s="60"/>
      <c r="BB835" s="65"/>
      <c r="BC835" s="65"/>
      <c r="BD835" s="65"/>
      <c r="BE835" s="60"/>
      <c r="BG835" s="65"/>
      <c r="BH835" s="65"/>
      <c r="BI835" s="65"/>
      <c r="BJ835" s="65"/>
      <c r="BK835" s="65"/>
      <c r="BL835" s="65"/>
      <c r="BM835" s="65"/>
      <c r="BN835" s="65"/>
      <c r="BO835" s="65"/>
      <c r="BP835" s="65"/>
      <c r="BQ835" s="65"/>
      <c r="BR835" s="65"/>
      <c r="BS835" s="65"/>
      <c r="BT835" s="65"/>
      <c r="BU835" s="65"/>
      <c r="BV835" s="65"/>
      <c r="BW835" s="65"/>
    </row>
    <row r="836" spans="45:75" x14ac:dyDescent="0.25">
      <c r="AW836" s="379"/>
      <c r="AX836" s="65"/>
      <c r="AY836" s="65"/>
      <c r="AZ836" s="65"/>
      <c r="BA836" s="60"/>
      <c r="BB836" s="65"/>
      <c r="BC836" s="65"/>
      <c r="BD836" s="65"/>
      <c r="BE836" s="60"/>
      <c r="BG836" s="55"/>
      <c r="BH836" s="55"/>
      <c r="BI836" s="54"/>
      <c r="BM836" s="55"/>
      <c r="BN836" s="55"/>
      <c r="BO836" s="65"/>
      <c r="BP836" s="55"/>
      <c r="BQ836" s="55"/>
      <c r="BR836" s="54"/>
      <c r="BV836" s="55"/>
      <c r="BW836" s="55"/>
    </row>
    <row r="837" spans="45:75" x14ac:dyDescent="0.25">
      <c r="AS837" s="53"/>
      <c r="AU837" s="54"/>
      <c r="AV837" s="56"/>
      <c r="AW837" s="379"/>
      <c r="AX837" s="65"/>
      <c r="AY837" s="65"/>
      <c r="AZ837" s="65"/>
      <c r="BA837" s="60"/>
      <c r="BB837" s="65"/>
      <c r="BC837" s="65"/>
      <c r="BD837" s="65"/>
      <c r="BE837" s="60"/>
      <c r="BG837" s="67"/>
      <c r="BH837" s="65"/>
      <c r="BI837" s="65"/>
      <c r="BJ837" s="65"/>
      <c r="BK837" s="67"/>
      <c r="BL837" s="68"/>
      <c r="BM837" s="65"/>
      <c r="BN837" s="67"/>
      <c r="BO837" s="65"/>
      <c r="BP837" s="67"/>
      <c r="BQ837" s="65"/>
      <c r="BR837" s="65"/>
      <c r="BS837" s="65"/>
      <c r="BT837" s="67"/>
      <c r="BU837" s="68"/>
      <c r="BV837" s="65"/>
      <c r="BW837" s="67"/>
    </row>
    <row r="838" spans="45:75" x14ac:dyDescent="0.25">
      <c r="AS838" s="53"/>
      <c r="AV838" s="56"/>
      <c r="AW838" s="379"/>
      <c r="AX838" s="65"/>
      <c r="AY838" s="65"/>
      <c r="AZ838" s="65"/>
      <c r="BA838" s="60"/>
      <c r="BB838" s="65"/>
      <c r="BC838" s="65"/>
      <c r="BD838" s="65"/>
      <c r="BE838" s="60"/>
      <c r="BG838" s="65"/>
      <c r="BH838" s="65"/>
      <c r="BI838" s="65"/>
      <c r="BJ838" s="65"/>
      <c r="BK838" s="65"/>
      <c r="BL838" s="68"/>
      <c r="BM838" s="65"/>
      <c r="BN838" s="65"/>
      <c r="BO838" s="65"/>
      <c r="BP838" s="65"/>
      <c r="BQ838" s="65"/>
      <c r="BR838" s="65"/>
      <c r="BS838" s="65"/>
      <c r="BT838" s="65"/>
      <c r="BU838" s="68"/>
      <c r="BV838" s="65"/>
      <c r="BW838" s="65"/>
    </row>
    <row r="839" spans="45:75" x14ac:dyDescent="0.25">
      <c r="AS839" s="53"/>
      <c r="AV839" s="56"/>
      <c r="AW839" s="379"/>
      <c r="AX839" s="65"/>
      <c r="AY839" s="65"/>
      <c r="AZ839" s="65"/>
      <c r="BA839" s="60"/>
      <c r="BB839" s="65"/>
      <c r="BC839" s="65"/>
      <c r="BD839" s="65"/>
      <c r="BE839" s="60"/>
      <c r="BG839" s="65"/>
      <c r="BH839" s="65"/>
      <c r="BI839" s="65"/>
      <c r="BJ839" s="65"/>
      <c r="BK839" s="65"/>
      <c r="BL839" s="68"/>
      <c r="BM839" s="65"/>
      <c r="BN839" s="65"/>
      <c r="BO839" s="65"/>
      <c r="BP839" s="65"/>
      <c r="BQ839" s="65"/>
      <c r="BR839" s="65"/>
      <c r="BS839" s="65"/>
      <c r="BT839" s="65"/>
      <c r="BU839" s="68"/>
      <c r="BV839" s="65"/>
      <c r="BW839" s="65"/>
    </row>
    <row r="840" spans="45:75" x14ac:dyDescent="0.25">
      <c r="AS840" s="53"/>
      <c r="AV840" s="56"/>
      <c r="AW840" s="379"/>
      <c r="AX840" s="65"/>
      <c r="AY840" s="65"/>
      <c r="AZ840" s="65"/>
      <c r="BA840" s="60"/>
      <c r="BB840" s="65"/>
      <c r="BC840" s="65"/>
      <c r="BD840" s="65"/>
      <c r="BE840" s="60"/>
      <c r="BG840" s="65"/>
      <c r="BH840" s="65"/>
      <c r="BI840" s="65"/>
      <c r="BJ840" s="65"/>
      <c r="BK840" s="65"/>
      <c r="BL840" s="68"/>
      <c r="BM840" s="65"/>
      <c r="BN840" s="65"/>
      <c r="BO840" s="65"/>
      <c r="BP840" s="65"/>
      <c r="BQ840" s="65"/>
      <c r="BR840" s="65"/>
      <c r="BS840" s="65"/>
      <c r="BT840" s="65"/>
      <c r="BU840" s="68"/>
      <c r="BV840" s="65"/>
      <c r="BW840" s="65"/>
    </row>
    <row r="841" spans="45:75" x14ac:dyDescent="0.25">
      <c r="AX841" s="65"/>
      <c r="AY841" s="65"/>
      <c r="AZ841" s="65"/>
      <c r="BA841" s="60"/>
      <c r="BB841" s="65"/>
      <c r="BC841" s="65"/>
      <c r="BD841" s="65"/>
      <c r="BE841" s="60"/>
      <c r="BG841" s="65"/>
      <c r="BH841" s="65"/>
      <c r="BI841" s="65"/>
      <c r="BJ841" s="65"/>
      <c r="BK841" s="65"/>
      <c r="BL841" s="65"/>
      <c r="BM841" s="65"/>
      <c r="BN841" s="65"/>
      <c r="BO841" s="65"/>
      <c r="BP841" s="65"/>
      <c r="BQ841" s="65"/>
      <c r="BR841" s="65"/>
      <c r="BS841" s="65"/>
      <c r="BT841" s="65"/>
      <c r="BU841" s="65"/>
      <c r="BV841" s="65"/>
    </row>
    <row r="842" spans="45:75" x14ac:dyDescent="0.25">
      <c r="AU842" s="54"/>
    </row>
    <row r="843" spans="45:75" x14ac:dyDescent="0.25">
      <c r="AU843" s="54"/>
      <c r="AZ843" s="65"/>
      <c r="BA843" s="60"/>
      <c r="BB843" s="65"/>
      <c r="BC843" s="65"/>
      <c r="BD843" s="65"/>
      <c r="BE843" s="60"/>
      <c r="BG843" s="65"/>
      <c r="BH843" s="65"/>
      <c r="BI843" s="65"/>
      <c r="BJ843" s="65"/>
      <c r="BK843" s="65"/>
      <c r="BL843" s="65"/>
      <c r="BM843" s="65"/>
      <c r="BN843" s="65"/>
      <c r="BO843" s="65"/>
      <c r="BP843" s="65"/>
      <c r="BQ843" s="65"/>
      <c r="BR843" s="65"/>
      <c r="BS843" s="65"/>
      <c r="BT843" s="65"/>
      <c r="BU843" s="65"/>
      <c r="BV843" s="65"/>
    </row>
    <row r="844" spans="45:75" x14ac:dyDescent="0.25">
      <c r="AS844" s="54"/>
      <c r="AZ844" s="65"/>
      <c r="BB844" s="65"/>
    </row>
    <row r="845" spans="45:75" x14ac:dyDescent="0.25">
      <c r="AY845" s="53"/>
      <c r="AZ845" s="65"/>
      <c r="BB845" s="65"/>
      <c r="BO845" s="65"/>
      <c r="BP845" s="65"/>
      <c r="BQ845" s="65"/>
      <c r="BR845" s="65"/>
      <c r="BS845" s="65"/>
      <c r="BT845" s="65"/>
      <c r="BU845" s="65"/>
      <c r="BV845" s="65"/>
    </row>
    <row r="846" spans="45:75" x14ac:dyDescent="0.25">
      <c r="AY846" s="65"/>
      <c r="AZ846" s="65"/>
      <c r="BB846" s="65"/>
      <c r="BO846" s="65"/>
      <c r="BP846" s="65"/>
      <c r="BQ846" s="65"/>
      <c r="BR846" s="65"/>
      <c r="BS846" s="65"/>
      <c r="BT846" s="65"/>
      <c r="BU846" s="65"/>
      <c r="BV846" s="65"/>
    </row>
    <row r="847" spans="45:75" x14ac:dyDescent="0.25">
      <c r="AY847" s="54"/>
      <c r="AZ847" s="65"/>
      <c r="BB847" s="65"/>
      <c r="BO847" s="65"/>
      <c r="BP847" s="65"/>
      <c r="BQ847" s="65"/>
      <c r="BR847" s="65"/>
      <c r="BS847" s="65"/>
      <c r="BT847" s="65"/>
      <c r="BU847" s="65"/>
      <c r="BV847" s="65"/>
    </row>
    <row r="848" spans="45:75" x14ac:dyDescent="0.25">
      <c r="AY848" s="54"/>
      <c r="AZ848" s="65"/>
      <c r="BB848" s="65"/>
      <c r="BO848" s="65"/>
      <c r="BP848" s="65"/>
      <c r="BQ848" s="65"/>
      <c r="BR848" s="65"/>
      <c r="BS848" s="65"/>
      <c r="BT848" s="65"/>
      <c r="BU848" s="65"/>
      <c r="BV848" s="65"/>
    </row>
    <row r="849" spans="45:74" x14ac:dyDescent="0.25">
      <c r="AS849" s="53"/>
      <c r="AZ849" s="65"/>
      <c r="BB849" s="65"/>
      <c r="BD849" s="54"/>
      <c r="BO849" s="65"/>
      <c r="BP849" s="65"/>
      <c r="BQ849" s="65"/>
      <c r="BR849" s="65"/>
      <c r="BS849" s="65"/>
      <c r="BT849" s="65"/>
      <c r="BU849" s="65"/>
      <c r="BV849" s="65"/>
    </row>
    <row r="850" spans="45:74" x14ac:dyDescent="0.25">
      <c r="AS850" s="53"/>
      <c r="AZ850" s="65"/>
      <c r="BB850" s="65"/>
      <c r="BD850" s="54"/>
      <c r="BO850" s="65"/>
      <c r="BP850" s="65"/>
      <c r="BQ850" s="65"/>
      <c r="BR850" s="65"/>
      <c r="BS850" s="65"/>
      <c r="BT850" s="65"/>
      <c r="BU850" s="65"/>
      <c r="BV850" s="65"/>
    </row>
    <row r="851" spans="45:74" x14ac:dyDescent="0.25">
      <c r="AS851" s="54"/>
      <c r="AZ851" s="65"/>
      <c r="BB851" s="65"/>
      <c r="BD851" s="54"/>
      <c r="BO851" s="65"/>
      <c r="BP851" s="65"/>
      <c r="BQ851" s="65"/>
      <c r="BR851" s="65"/>
      <c r="BS851" s="65"/>
      <c r="BT851" s="65"/>
      <c r="BU851" s="65"/>
      <c r="BV851" s="65"/>
    </row>
    <row r="852" spans="45:74" x14ac:dyDescent="0.25">
      <c r="AZ852" s="65"/>
      <c r="BB852" s="65"/>
      <c r="BD852" s="53"/>
      <c r="BO852" s="65"/>
      <c r="BP852" s="65"/>
      <c r="BQ852" s="65"/>
      <c r="BR852" s="65"/>
      <c r="BS852" s="65"/>
      <c r="BT852" s="65"/>
      <c r="BU852" s="65"/>
      <c r="BV852" s="65"/>
    </row>
    <row r="853" spans="45:74" x14ac:dyDescent="0.25">
      <c r="AS853" s="55"/>
      <c r="AT853" s="55"/>
      <c r="AU853" s="55"/>
      <c r="AV853" s="55"/>
      <c r="AW853" s="55"/>
      <c r="AX853" s="55"/>
      <c r="AY853" s="55"/>
      <c r="AZ853" s="66"/>
      <c r="BA853" s="55"/>
      <c r="BB853" s="66"/>
      <c r="BC853" s="55"/>
      <c r="BD853" s="55"/>
      <c r="BE853" s="55"/>
      <c r="BO853" s="65"/>
      <c r="BP853" s="65"/>
      <c r="BQ853" s="65"/>
      <c r="BR853" s="65"/>
      <c r="BS853" s="65"/>
      <c r="BT853" s="65"/>
      <c r="BU853" s="65"/>
      <c r="BV853" s="65"/>
    </row>
    <row r="854" spans="45:74" x14ac:dyDescent="0.25">
      <c r="AX854" s="54"/>
      <c r="AZ854" s="65"/>
      <c r="BB854" s="65"/>
      <c r="BO854" s="65"/>
      <c r="BP854" s="65"/>
      <c r="BQ854" s="65"/>
      <c r="BR854" s="65"/>
      <c r="BS854" s="65"/>
      <c r="BT854" s="65"/>
      <c r="BU854" s="65"/>
      <c r="BV854" s="65"/>
    </row>
    <row r="855" spans="45:74" x14ac:dyDescent="0.25">
      <c r="AX855" s="55"/>
      <c r="AY855" s="55"/>
      <c r="AZ855" s="66"/>
      <c r="BA855" s="55"/>
      <c r="BB855" s="65"/>
      <c r="BC855" s="56"/>
      <c r="BD855" s="56"/>
      <c r="BO855" s="65"/>
      <c r="BP855" s="65"/>
      <c r="BQ855" s="65"/>
      <c r="BR855" s="65"/>
      <c r="BS855" s="65"/>
      <c r="BT855" s="65"/>
      <c r="BU855" s="65"/>
      <c r="BV855" s="65"/>
    </row>
    <row r="856" spans="45:74" x14ac:dyDescent="0.25">
      <c r="AV856" s="56"/>
      <c r="AW856" s="56"/>
      <c r="AZ856" s="67"/>
      <c r="BA856" s="56"/>
      <c r="BB856" s="65"/>
      <c r="BC856" s="56"/>
      <c r="BD856" s="56"/>
      <c r="BE856" s="56"/>
      <c r="BG856" s="55"/>
      <c r="BH856" s="54"/>
      <c r="BK856" s="55"/>
      <c r="BM856" s="55"/>
      <c r="BN856" s="54"/>
      <c r="BQ856" s="55"/>
    </row>
    <row r="857" spans="45:74" x14ac:dyDescent="0.25">
      <c r="AV857" s="56"/>
      <c r="AW857" s="56"/>
      <c r="AX857" s="56"/>
      <c r="AY857" s="56"/>
      <c r="AZ857" s="67"/>
      <c r="BA857" s="56"/>
      <c r="BB857" s="67"/>
      <c r="BC857" s="56"/>
      <c r="BD857" s="56"/>
      <c r="BE857" s="56"/>
      <c r="BH857" s="56"/>
      <c r="BI857" s="56"/>
      <c r="BN857" s="56"/>
      <c r="BO857" s="56"/>
    </row>
    <row r="858" spans="45:74" x14ac:dyDescent="0.25">
      <c r="AS858" s="56"/>
      <c r="AU858" s="54"/>
      <c r="AV858" s="56"/>
      <c r="AW858" s="56"/>
      <c r="AX858" s="56"/>
      <c r="AY858" s="56"/>
      <c r="AZ858" s="67"/>
      <c r="BA858" s="56"/>
      <c r="BB858" s="67"/>
      <c r="BC858" s="56"/>
      <c r="BD858" s="56"/>
      <c r="BE858" s="56"/>
      <c r="BG858" s="56"/>
      <c r="BH858" s="56"/>
      <c r="BI858" s="56"/>
      <c r="BJ858" s="56"/>
      <c r="BK858" s="56"/>
      <c r="BM858" s="56"/>
      <c r="BN858" s="56"/>
      <c r="BO858" s="56"/>
      <c r="BP858" s="56"/>
      <c r="BQ858" s="56"/>
    </row>
    <row r="859" spans="45:74" x14ac:dyDescent="0.25">
      <c r="AS859" s="56"/>
      <c r="AU859" s="54"/>
      <c r="AV859" s="56"/>
      <c r="AW859" s="56"/>
      <c r="AX859" s="56"/>
      <c r="AY859" s="56"/>
      <c r="AZ859" s="67"/>
      <c r="BA859" s="56"/>
      <c r="BB859" s="67"/>
      <c r="BC859" s="56"/>
      <c r="BD859" s="56"/>
      <c r="BE859" s="56"/>
      <c r="BG859" s="56"/>
      <c r="BH859" s="56"/>
      <c r="BI859" s="56"/>
      <c r="BJ859" s="56"/>
      <c r="BK859" s="56"/>
      <c r="BM859" s="56"/>
      <c r="BN859" s="56"/>
      <c r="BO859" s="56"/>
      <c r="BP859" s="56"/>
      <c r="BQ859" s="56"/>
    </row>
    <row r="860" spans="45:74" x14ac:dyDescent="0.25">
      <c r="AS860" s="55"/>
      <c r="AT860" s="55"/>
      <c r="AU860" s="55"/>
      <c r="AV860" s="55"/>
      <c r="AW860" s="55"/>
      <c r="AX860" s="55"/>
      <c r="AY860" s="55"/>
      <c r="AZ860" s="66"/>
      <c r="BA860" s="55"/>
      <c r="BB860" s="66"/>
      <c r="BC860" s="55"/>
      <c r="BD860" s="55"/>
      <c r="BE860" s="55"/>
      <c r="BG860" s="55"/>
      <c r="BH860" s="55"/>
      <c r="BI860" s="55"/>
      <c r="BJ860" s="55"/>
      <c r="BK860" s="55"/>
      <c r="BM860" s="55"/>
      <c r="BN860" s="55"/>
      <c r="BO860" s="55"/>
      <c r="BP860" s="55"/>
      <c r="BQ860" s="55"/>
    </row>
    <row r="861" spans="45:74" x14ac:dyDescent="0.25">
      <c r="AV861" s="56"/>
      <c r="AW861" s="56"/>
      <c r="AX861" s="56"/>
      <c r="AY861" s="56"/>
      <c r="AZ861" s="67"/>
      <c r="BA861" s="56"/>
      <c r="BB861" s="67"/>
      <c r="BC861" s="56"/>
      <c r="BD861" s="56"/>
      <c r="BE861" s="56"/>
      <c r="BG861" s="65"/>
      <c r="BH861" s="65"/>
      <c r="BI861" s="65"/>
      <c r="BJ861" s="65"/>
      <c r="BK861" s="65"/>
      <c r="BL861" s="65"/>
      <c r="BM861" s="65"/>
      <c r="BN861" s="65"/>
      <c r="BO861" s="65"/>
      <c r="BP861" s="65"/>
      <c r="BQ861" s="65"/>
    </row>
    <row r="862" spans="45:74" x14ac:dyDescent="0.25">
      <c r="AS862" s="53"/>
      <c r="AT862" s="54"/>
      <c r="AV862" s="379"/>
      <c r="AW862" s="379"/>
      <c r="AX862" s="65"/>
      <c r="AY862" s="65"/>
      <c r="AZ862" s="65"/>
      <c r="BA862" s="60"/>
      <c r="BB862" s="65"/>
      <c r="BC862" s="65"/>
      <c r="BD862" s="65"/>
      <c r="BE862" s="60"/>
      <c r="BG862" s="65"/>
      <c r="BH862" s="65"/>
      <c r="BI862" s="65"/>
      <c r="BJ862" s="65"/>
      <c r="BK862" s="65"/>
      <c r="BL862" s="65"/>
      <c r="BM862" s="65"/>
      <c r="BN862" s="65"/>
      <c r="BO862" s="65"/>
      <c r="BP862" s="65"/>
      <c r="BQ862" s="65"/>
      <c r="BR862" s="65"/>
      <c r="BS862" s="65"/>
    </row>
    <row r="863" spans="45:74" x14ac:dyDescent="0.25">
      <c r="AS863" s="53"/>
      <c r="AV863" s="379"/>
      <c r="AW863" s="379"/>
      <c r="AX863" s="65"/>
      <c r="AY863" s="65"/>
      <c r="AZ863" s="65"/>
      <c r="BA863" s="60"/>
      <c r="BB863" s="65"/>
      <c r="BC863" s="65"/>
      <c r="BD863" s="65"/>
      <c r="BE863" s="60"/>
      <c r="BG863" s="65"/>
      <c r="BH863" s="65"/>
      <c r="BI863" s="65"/>
      <c r="BJ863" s="65"/>
      <c r="BK863" s="65"/>
      <c r="BL863" s="65"/>
      <c r="BM863" s="65"/>
      <c r="BN863" s="65"/>
      <c r="BO863" s="65"/>
      <c r="BP863" s="65"/>
      <c r="BQ863" s="65"/>
      <c r="BR863" s="65"/>
      <c r="BS863" s="65"/>
    </row>
    <row r="864" spans="45:74" x14ac:dyDescent="0.25">
      <c r="AS864" s="53"/>
      <c r="AV864" s="379"/>
      <c r="AW864" s="379"/>
      <c r="AX864" s="65"/>
      <c r="AY864" s="65"/>
      <c r="AZ864" s="65"/>
      <c r="BA864" s="60"/>
      <c r="BB864" s="65"/>
      <c r="BC864" s="65"/>
      <c r="BD864" s="65"/>
      <c r="BE864" s="60"/>
      <c r="BG864" s="65"/>
      <c r="BH864" s="65"/>
      <c r="BI864" s="65"/>
      <c r="BJ864" s="65"/>
      <c r="BK864" s="65"/>
      <c r="BL864" s="65"/>
      <c r="BM864" s="65"/>
      <c r="BN864" s="65"/>
      <c r="BO864" s="65"/>
      <c r="BP864" s="65"/>
      <c r="BQ864" s="65"/>
      <c r="BR864" s="65"/>
      <c r="BS864" s="65"/>
    </row>
    <row r="865" spans="45:71" x14ac:dyDescent="0.25">
      <c r="AS865" s="53"/>
      <c r="AV865" s="379"/>
      <c r="AW865" s="379"/>
      <c r="AX865" s="65"/>
      <c r="AY865" s="65"/>
      <c r="AZ865" s="65"/>
      <c r="BA865" s="60"/>
      <c r="BB865" s="65"/>
      <c r="BC865" s="65"/>
      <c r="BD865" s="65"/>
      <c r="BE865" s="60"/>
      <c r="BG865" s="65"/>
      <c r="BH865" s="65"/>
      <c r="BI865" s="65"/>
      <c r="BJ865" s="65"/>
      <c r="BK865" s="65"/>
      <c r="BL865" s="65"/>
      <c r="BM865" s="65"/>
      <c r="BN865" s="65"/>
      <c r="BO865" s="65"/>
      <c r="BP865" s="65"/>
      <c r="BQ865" s="65"/>
      <c r="BR865" s="65"/>
      <c r="BS865" s="65"/>
    </row>
    <row r="866" spans="45:71" x14ac:dyDescent="0.25">
      <c r="AS866" s="53"/>
      <c r="AV866" s="379"/>
      <c r="AW866" s="379"/>
      <c r="AX866" s="65"/>
      <c r="AY866" s="65"/>
      <c r="AZ866" s="65"/>
      <c r="BA866" s="60"/>
      <c r="BB866" s="65"/>
      <c r="BC866" s="65"/>
      <c r="BD866" s="65"/>
      <c r="BE866" s="60"/>
      <c r="BG866" s="65"/>
      <c r="BH866" s="65"/>
      <c r="BI866" s="65"/>
      <c r="BJ866" s="65"/>
      <c r="BK866" s="65"/>
      <c r="BL866" s="65"/>
      <c r="BM866" s="65"/>
      <c r="BN866" s="65"/>
      <c r="BO866" s="65"/>
      <c r="BP866" s="65"/>
      <c r="BQ866" s="65"/>
      <c r="BR866" s="65"/>
      <c r="BS866" s="65"/>
    </row>
    <row r="867" spans="45:71" x14ac:dyDescent="0.25">
      <c r="AS867" s="53"/>
      <c r="AV867" s="379"/>
      <c r="AW867" s="379"/>
      <c r="AX867" s="65"/>
      <c r="AY867" s="65"/>
      <c r="AZ867" s="65"/>
      <c r="BA867" s="60"/>
      <c r="BB867" s="65"/>
      <c r="BC867" s="65"/>
      <c r="BD867" s="65"/>
      <c r="BE867" s="60"/>
      <c r="BG867" s="65"/>
      <c r="BH867" s="65"/>
      <c r="BI867" s="65"/>
      <c r="BJ867" s="65"/>
      <c r="BK867" s="65"/>
      <c r="BL867" s="65"/>
      <c r="BM867" s="65"/>
      <c r="BN867" s="65"/>
      <c r="BO867" s="65"/>
      <c r="BP867" s="65"/>
      <c r="BQ867" s="65"/>
      <c r="BR867" s="65"/>
      <c r="BS867" s="65"/>
    </row>
    <row r="868" spans="45:71" x14ac:dyDescent="0.25">
      <c r="AS868" s="53"/>
      <c r="AV868" s="379"/>
      <c r="AW868" s="379"/>
      <c r="AX868" s="65"/>
      <c r="AY868" s="65"/>
      <c r="AZ868" s="65"/>
      <c r="BA868" s="60"/>
      <c r="BB868" s="65"/>
      <c r="BC868" s="65"/>
      <c r="BD868" s="65"/>
      <c r="BE868" s="60"/>
      <c r="BG868" s="65"/>
      <c r="BH868" s="65"/>
      <c r="BI868" s="65"/>
      <c r="BJ868" s="65"/>
      <c r="BK868" s="65"/>
      <c r="BL868" s="65"/>
      <c r="BM868" s="65"/>
      <c r="BN868" s="65"/>
      <c r="BO868" s="65"/>
      <c r="BP868" s="65"/>
      <c r="BQ868" s="65"/>
      <c r="BR868" s="65"/>
      <c r="BS868" s="65"/>
    </row>
    <row r="869" spans="45:71" x14ac:dyDescent="0.25">
      <c r="AS869" s="53"/>
      <c r="AV869" s="379"/>
      <c r="AW869" s="379"/>
      <c r="AX869" s="65"/>
      <c r="AY869" s="65"/>
      <c r="AZ869" s="65"/>
      <c r="BA869" s="60"/>
      <c r="BB869" s="65"/>
      <c r="BC869" s="65"/>
      <c r="BD869" s="65"/>
      <c r="BE869" s="60"/>
      <c r="BG869" s="65"/>
      <c r="BH869" s="65"/>
      <c r="BI869" s="65"/>
      <c r="BJ869" s="65"/>
      <c r="BK869" s="65"/>
      <c r="BL869" s="65"/>
      <c r="BM869" s="65"/>
      <c r="BN869" s="65"/>
      <c r="BO869" s="65"/>
      <c r="BP869" s="65"/>
      <c r="BQ869" s="65"/>
      <c r="BR869" s="65"/>
      <c r="BS869" s="65"/>
    </row>
    <row r="870" spans="45:71" x14ac:dyDescent="0.25">
      <c r="AS870" s="53"/>
      <c r="AV870" s="379"/>
      <c r="AW870" s="379"/>
      <c r="AX870" s="65"/>
      <c r="AY870" s="65"/>
      <c r="AZ870" s="65"/>
      <c r="BA870" s="60"/>
      <c r="BB870" s="65"/>
      <c r="BC870" s="65"/>
      <c r="BD870" s="65"/>
      <c r="BE870" s="60"/>
      <c r="BG870" s="65"/>
      <c r="BH870" s="65"/>
      <c r="BI870" s="65"/>
      <c r="BJ870" s="65"/>
      <c r="BK870" s="65"/>
      <c r="BL870" s="65"/>
      <c r="BM870" s="65"/>
      <c r="BN870" s="65"/>
      <c r="BO870" s="65"/>
      <c r="BP870" s="65"/>
      <c r="BQ870" s="65"/>
      <c r="BR870" s="65"/>
      <c r="BS870" s="65"/>
    </row>
    <row r="871" spans="45:71" x14ac:dyDescent="0.25">
      <c r="AS871" s="53"/>
      <c r="AV871" s="379"/>
      <c r="AW871" s="379"/>
      <c r="AX871" s="65"/>
      <c r="AY871" s="65"/>
      <c r="AZ871" s="65"/>
      <c r="BA871" s="60"/>
      <c r="BB871" s="65"/>
      <c r="BC871" s="65"/>
      <c r="BD871" s="65"/>
      <c r="BE871" s="60"/>
      <c r="BG871" s="65"/>
      <c r="BH871" s="65"/>
      <c r="BI871" s="65"/>
      <c r="BJ871" s="65"/>
      <c r="BK871" s="65"/>
      <c r="BL871" s="65"/>
      <c r="BM871" s="65"/>
      <c r="BN871" s="65"/>
      <c r="BO871" s="65"/>
      <c r="BP871" s="65"/>
      <c r="BQ871" s="65"/>
      <c r="BR871" s="65"/>
      <c r="BS871" s="65"/>
    </row>
    <row r="872" spans="45:71" x14ac:dyDescent="0.25">
      <c r="AS872" s="53"/>
      <c r="AV872" s="379"/>
      <c r="AW872" s="379"/>
      <c r="AX872" s="65"/>
      <c r="AY872" s="65"/>
      <c r="AZ872" s="65"/>
      <c r="BA872" s="60"/>
      <c r="BB872" s="65"/>
      <c r="BC872" s="65"/>
      <c r="BD872" s="65"/>
      <c r="BE872" s="60"/>
      <c r="BG872" s="65"/>
      <c r="BH872" s="65"/>
      <c r="BI872" s="65"/>
      <c r="BJ872" s="65"/>
      <c r="BK872" s="65"/>
      <c r="BL872" s="65"/>
      <c r="BM872" s="65"/>
      <c r="BN872" s="65"/>
      <c r="BO872" s="65"/>
      <c r="BP872" s="65"/>
      <c r="BQ872" s="65"/>
      <c r="BR872" s="65"/>
      <c r="BS872" s="65"/>
    </row>
    <row r="873" spans="45:71" x14ac:dyDescent="0.25">
      <c r="AS873" s="53"/>
      <c r="AV873" s="379"/>
      <c r="AW873" s="379"/>
      <c r="AX873" s="65"/>
      <c r="AY873" s="65"/>
      <c r="AZ873" s="65"/>
      <c r="BA873" s="60"/>
      <c r="BB873" s="65"/>
      <c r="BC873" s="65"/>
      <c r="BD873" s="65"/>
      <c r="BE873" s="60"/>
      <c r="BG873" s="65"/>
      <c r="BH873" s="65"/>
      <c r="BI873" s="65"/>
      <c r="BJ873" s="65"/>
      <c r="BK873" s="65"/>
      <c r="BL873" s="65"/>
      <c r="BM873" s="65"/>
      <c r="BN873" s="65"/>
      <c r="BO873" s="65"/>
      <c r="BP873" s="65"/>
      <c r="BQ873" s="65"/>
      <c r="BR873" s="65"/>
      <c r="BS873" s="65"/>
    </row>
    <row r="874" spans="45:71" x14ac:dyDescent="0.25">
      <c r="AS874" s="53"/>
      <c r="AV874" s="379"/>
      <c r="AW874" s="379"/>
      <c r="AX874" s="65"/>
      <c r="AY874" s="65"/>
      <c r="AZ874" s="65"/>
      <c r="BA874" s="60"/>
      <c r="BB874" s="65"/>
      <c r="BC874" s="65"/>
      <c r="BD874" s="65"/>
      <c r="BE874" s="60"/>
      <c r="BG874" s="65"/>
      <c r="BH874" s="65"/>
      <c r="BI874" s="65"/>
      <c r="BJ874" s="65"/>
      <c r="BK874" s="65"/>
      <c r="BL874" s="65"/>
      <c r="BM874" s="65"/>
      <c r="BN874" s="65"/>
      <c r="BO874" s="65"/>
      <c r="BP874" s="65"/>
      <c r="BQ874" s="65"/>
      <c r="BR874" s="65"/>
      <c r="BS874" s="65"/>
    </row>
    <row r="875" spans="45:71" x14ac:dyDescent="0.25">
      <c r="AS875" s="53"/>
      <c r="AV875" s="379"/>
      <c r="AW875" s="379"/>
      <c r="AX875" s="65"/>
      <c r="AY875" s="65"/>
      <c r="AZ875" s="65"/>
      <c r="BA875" s="60"/>
      <c r="BB875" s="65"/>
      <c r="BC875" s="65"/>
      <c r="BD875" s="65"/>
      <c r="BE875" s="60"/>
      <c r="BG875" s="65"/>
      <c r="BH875" s="65"/>
      <c r="BI875" s="65"/>
      <c r="BJ875" s="65"/>
      <c r="BK875" s="65"/>
      <c r="BL875" s="65"/>
      <c r="BM875" s="65"/>
      <c r="BN875" s="65"/>
      <c r="BO875" s="65"/>
      <c r="BP875" s="65"/>
      <c r="BQ875" s="65"/>
      <c r="BR875" s="65"/>
      <c r="BS875" s="65"/>
    </row>
    <row r="876" spans="45:71" x14ac:dyDescent="0.25">
      <c r="AS876" s="53"/>
      <c r="AV876" s="379"/>
      <c r="AW876" s="379"/>
      <c r="AX876" s="65"/>
      <c r="AY876" s="65"/>
      <c r="AZ876" s="65"/>
      <c r="BA876" s="60"/>
      <c r="BB876" s="65"/>
      <c r="BC876" s="65"/>
      <c r="BD876" s="65"/>
      <c r="BE876" s="60"/>
      <c r="BG876" s="65"/>
      <c r="BH876" s="65"/>
      <c r="BI876" s="65"/>
      <c r="BJ876" s="65"/>
      <c r="BK876" s="65"/>
      <c r="BL876" s="65"/>
      <c r="BM876" s="65"/>
      <c r="BN876" s="65"/>
      <c r="BO876" s="65"/>
      <c r="BP876" s="65"/>
      <c r="BQ876" s="65"/>
      <c r="BR876" s="65"/>
      <c r="BS876" s="65"/>
    </row>
    <row r="877" spans="45:71" x14ac:dyDescent="0.25">
      <c r="AS877" s="53"/>
      <c r="AV877" s="379"/>
      <c r="AW877" s="379"/>
      <c r="AX877" s="65"/>
      <c r="AY877" s="65"/>
      <c r="AZ877" s="65"/>
      <c r="BA877" s="60"/>
      <c r="BB877" s="65"/>
      <c r="BC877" s="65"/>
      <c r="BD877" s="65"/>
      <c r="BE877" s="60"/>
      <c r="BG877" s="65"/>
      <c r="BH877" s="65"/>
      <c r="BI877" s="65"/>
      <c r="BJ877" s="65"/>
      <c r="BK877" s="65"/>
      <c r="BL877" s="65"/>
      <c r="BM877" s="65"/>
      <c r="BN877" s="65"/>
      <c r="BO877" s="65"/>
      <c r="BP877" s="65"/>
      <c r="BQ877" s="65"/>
      <c r="BR877" s="65"/>
      <c r="BS877" s="65"/>
    </row>
    <row r="878" spans="45:71" x14ac:dyDescent="0.25">
      <c r="AS878" s="53"/>
      <c r="AV878" s="379"/>
      <c r="AW878" s="379"/>
      <c r="AX878" s="65"/>
      <c r="AY878" s="65"/>
      <c r="AZ878" s="65"/>
      <c r="BA878" s="60"/>
      <c r="BB878" s="65"/>
      <c r="BC878" s="65"/>
      <c r="BD878" s="65"/>
      <c r="BE878" s="60"/>
      <c r="BG878" s="65"/>
      <c r="BH878" s="65"/>
      <c r="BI878" s="65"/>
      <c r="BJ878" s="65"/>
      <c r="BK878" s="65"/>
      <c r="BL878" s="65"/>
      <c r="BM878" s="65"/>
      <c r="BN878" s="65"/>
      <c r="BO878" s="65"/>
      <c r="BP878" s="65"/>
      <c r="BQ878" s="65"/>
      <c r="BR878" s="65"/>
      <c r="BS878" s="65"/>
    </row>
    <row r="879" spans="45:71" x14ac:dyDescent="0.25">
      <c r="AS879" s="53"/>
      <c r="AV879" s="379"/>
      <c r="AW879" s="379"/>
      <c r="AX879" s="65"/>
      <c r="AY879" s="65"/>
      <c r="AZ879" s="65"/>
      <c r="BA879" s="60"/>
      <c r="BB879" s="65"/>
      <c r="BC879" s="65"/>
      <c r="BD879" s="65"/>
      <c r="BE879" s="60"/>
      <c r="BG879" s="65"/>
      <c r="BH879" s="65"/>
      <c r="BI879" s="65"/>
      <c r="BJ879" s="65"/>
      <c r="BK879" s="65"/>
      <c r="BL879" s="65"/>
      <c r="BM879" s="65"/>
      <c r="BN879" s="65"/>
      <c r="BO879" s="65"/>
      <c r="BP879" s="65"/>
      <c r="BQ879" s="65"/>
      <c r="BR879" s="65"/>
      <c r="BS879" s="65"/>
    </row>
    <row r="880" spans="45:71" x14ac:dyDescent="0.25">
      <c r="AZ880" s="65"/>
      <c r="BB880" s="65"/>
      <c r="BC880" s="65"/>
      <c r="BD880" s="65"/>
      <c r="BG880" s="65"/>
      <c r="BH880" s="65"/>
      <c r="BI880" s="65"/>
      <c r="BJ880" s="65"/>
      <c r="BK880" s="65"/>
      <c r="BL880" s="65"/>
      <c r="BM880" s="65"/>
      <c r="BN880" s="65"/>
      <c r="BO880" s="65"/>
      <c r="BP880" s="65"/>
      <c r="BQ880" s="65"/>
      <c r="BR880" s="65"/>
      <c r="BS880" s="65"/>
    </row>
    <row r="881" spans="45:57" x14ac:dyDescent="0.25">
      <c r="AS881" s="53"/>
      <c r="AT881" s="54"/>
      <c r="AV881" s="379"/>
      <c r="AW881" s="379"/>
      <c r="AX881" s="65"/>
      <c r="AY881" s="65"/>
      <c r="AZ881" s="65"/>
      <c r="BA881" s="60"/>
      <c r="BB881" s="65"/>
      <c r="BC881" s="65"/>
      <c r="BD881" s="65"/>
      <c r="BE881" s="60"/>
    </row>
    <row r="882" spans="45:57" x14ac:dyDescent="0.25">
      <c r="AS882" s="53"/>
      <c r="AV882" s="379"/>
      <c r="AW882" s="379"/>
      <c r="AX882" s="65"/>
      <c r="AY882" s="65"/>
      <c r="AZ882" s="65"/>
      <c r="BA882" s="60"/>
      <c r="BB882" s="65"/>
      <c r="BC882" s="65"/>
      <c r="BD882" s="65"/>
      <c r="BE882" s="60"/>
    </row>
    <row r="883" spans="45:57" x14ac:dyDescent="0.25">
      <c r="AS883" s="53"/>
      <c r="AV883" s="379"/>
      <c r="AW883" s="379"/>
      <c r="AX883" s="65"/>
      <c r="AY883" s="65"/>
      <c r="AZ883" s="65"/>
      <c r="BA883" s="60"/>
      <c r="BB883" s="65"/>
      <c r="BC883" s="65"/>
      <c r="BD883" s="65"/>
      <c r="BE883" s="60"/>
    </row>
    <row r="884" spans="45:57" x14ac:dyDescent="0.25">
      <c r="AS884" s="53"/>
      <c r="AV884" s="379"/>
      <c r="AW884" s="379"/>
      <c r="AX884" s="65"/>
      <c r="AY884" s="65"/>
      <c r="AZ884" s="65"/>
      <c r="BA884" s="60"/>
      <c r="BB884" s="65"/>
      <c r="BC884" s="65"/>
      <c r="BD884" s="65"/>
      <c r="BE884" s="60"/>
    </row>
    <row r="885" spans="45:57" x14ac:dyDescent="0.25">
      <c r="AS885" s="53"/>
      <c r="AV885" s="379"/>
      <c r="AW885" s="379"/>
      <c r="AX885" s="65"/>
      <c r="AY885" s="65"/>
      <c r="AZ885" s="65"/>
      <c r="BA885" s="60"/>
      <c r="BB885" s="65"/>
      <c r="BC885" s="65"/>
      <c r="BD885" s="65"/>
      <c r="BE885" s="60"/>
    </row>
    <row r="886" spans="45:57" x14ac:dyDescent="0.25">
      <c r="AS886" s="53"/>
      <c r="AV886" s="379"/>
      <c r="AW886" s="379"/>
      <c r="AX886" s="65"/>
      <c r="AY886" s="65"/>
      <c r="AZ886" s="65"/>
      <c r="BA886" s="60"/>
      <c r="BB886" s="65"/>
      <c r="BC886" s="65"/>
      <c r="BD886" s="65"/>
      <c r="BE886" s="60"/>
    </row>
    <row r="887" spans="45:57" x14ac:dyDescent="0.25">
      <c r="AS887" s="53"/>
      <c r="AV887" s="379"/>
      <c r="AW887" s="379"/>
      <c r="AX887" s="65"/>
      <c r="AY887" s="65"/>
      <c r="AZ887" s="65"/>
      <c r="BA887" s="60"/>
      <c r="BB887" s="65"/>
      <c r="BC887" s="65"/>
      <c r="BD887" s="65"/>
      <c r="BE887" s="60"/>
    </row>
    <row r="888" spans="45:57" x14ac:dyDescent="0.25">
      <c r="AS888" s="53"/>
      <c r="AV888" s="379"/>
      <c r="AW888" s="379"/>
      <c r="AX888" s="65"/>
      <c r="AY888" s="65"/>
      <c r="AZ888" s="65"/>
      <c r="BA888" s="60"/>
      <c r="BB888" s="65"/>
      <c r="BC888" s="65"/>
      <c r="BD888" s="65"/>
      <c r="BE888" s="60"/>
    </row>
    <row r="889" spans="45:57" x14ac:dyDescent="0.25">
      <c r="AS889" s="53"/>
      <c r="AV889" s="379"/>
      <c r="AW889" s="379"/>
      <c r="AX889" s="65"/>
      <c r="AY889" s="65"/>
      <c r="AZ889" s="65"/>
      <c r="BA889" s="60"/>
      <c r="BB889" s="65"/>
      <c r="BC889" s="65"/>
      <c r="BD889" s="65"/>
      <c r="BE889" s="60"/>
    </row>
    <row r="890" spans="45:57" x14ac:dyDescent="0.25">
      <c r="AS890" s="53"/>
      <c r="AV890" s="379"/>
      <c r="AW890" s="379"/>
      <c r="AX890" s="65"/>
      <c r="AY890" s="65"/>
      <c r="AZ890" s="65"/>
      <c r="BA890" s="60"/>
      <c r="BB890" s="65"/>
      <c r="BC890" s="65"/>
      <c r="BD890" s="65"/>
      <c r="BE890" s="60"/>
    </row>
    <row r="891" spans="45:57" x14ac:dyDescent="0.25">
      <c r="AS891" s="53"/>
      <c r="AV891" s="379"/>
      <c r="AW891" s="379"/>
      <c r="AX891" s="65"/>
      <c r="AY891" s="65"/>
      <c r="AZ891" s="65"/>
      <c r="BA891" s="60"/>
      <c r="BB891" s="65"/>
      <c r="BC891" s="65"/>
      <c r="BD891" s="65"/>
      <c r="BE891" s="60"/>
    </row>
    <row r="892" spans="45:57" x14ac:dyDescent="0.25">
      <c r="AS892" s="53"/>
      <c r="AV892" s="379"/>
      <c r="AW892" s="379"/>
      <c r="AX892" s="65"/>
      <c r="AY892" s="65"/>
      <c r="AZ892" s="65"/>
      <c r="BA892" s="60"/>
      <c r="BB892" s="65"/>
      <c r="BC892" s="65"/>
      <c r="BD892" s="65"/>
      <c r="BE892" s="60"/>
    </row>
    <row r="893" spans="45:57" x14ac:dyDescent="0.25">
      <c r="AS893" s="53"/>
      <c r="AV893" s="379"/>
      <c r="AW893" s="379"/>
      <c r="AX893" s="65"/>
      <c r="AY893" s="65"/>
      <c r="AZ893" s="65"/>
      <c r="BA893" s="60"/>
      <c r="BB893" s="65"/>
      <c r="BC893" s="65"/>
      <c r="BD893" s="65"/>
      <c r="BE893" s="60"/>
    </row>
    <row r="894" spans="45:57" x14ac:dyDescent="0.25">
      <c r="AS894" s="53"/>
      <c r="AV894" s="379"/>
      <c r="AW894" s="379"/>
      <c r="AX894" s="65"/>
      <c r="AY894" s="65"/>
      <c r="AZ894" s="65"/>
      <c r="BA894" s="60"/>
      <c r="BB894" s="65"/>
      <c r="BC894" s="65"/>
      <c r="BD894" s="65"/>
      <c r="BE894" s="60"/>
    </row>
    <row r="895" spans="45:57" x14ac:dyDescent="0.25">
      <c r="AS895" s="53"/>
      <c r="AV895" s="379"/>
      <c r="AW895" s="379"/>
      <c r="AX895" s="65"/>
      <c r="AY895" s="65"/>
      <c r="AZ895" s="65"/>
      <c r="BA895" s="60"/>
      <c r="BB895" s="65"/>
      <c r="BC895" s="65"/>
      <c r="BD895" s="65"/>
      <c r="BE895" s="60"/>
    </row>
    <row r="896" spans="45:57" x14ac:dyDescent="0.25">
      <c r="AS896" s="53"/>
      <c r="AV896" s="379"/>
      <c r="AW896" s="379"/>
      <c r="AX896" s="65"/>
      <c r="AY896" s="65"/>
      <c r="AZ896" s="65"/>
      <c r="BA896" s="60"/>
      <c r="BB896" s="65"/>
      <c r="BC896" s="65"/>
      <c r="BD896" s="65"/>
      <c r="BE896" s="60"/>
    </row>
    <row r="897" spans="45:57" x14ac:dyDescent="0.25">
      <c r="AS897" s="53"/>
      <c r="AV897" s="379"/>
      <c r="AW897" s="379"/>
      <c r="AX897" s="65"/>
      <c r="AY897" s="65"/>
      <c r="AZ897" s="65"/>
      <c r="BA897" s="60"/>
      <c r="BB897" s="65"/>
      <c r="BC897" s="65"/>
      <c r="BD897" s="65"/>
      <c r="BE897" s="60"/>
    </row>
    <row r="898" spans="45:57" x14ac:dyDescent="0.25">
      <c r="AS898" s="53"/>
      <c r="AV898" s="379"/>
      <c r="AW898" s="379"/>
      <c r="AX898" s="65"/>
      <c r="AY898" s="65"/>
      <c r="AZ898" s="65"/>
      <c r="BA898" s="60"/>
      <c r="BB898" s="65"/>
      <c r="BC898" s="65"/>
      <c r="BD898" s="65"/>
      <c r="BE898" s="60"/>
    </row>
    <row r="899" spans="45:57" x14ac:dyDescent="0.25">
      <c r="BB899" s="65"/>
    </row>
    <row r="900" spans="45:57" x14ac:dyDescent="0.25">
      <c r="AU900" s="54"/>
      <c r="BB900" s="65"/>
    </row>
    <row r="901" spans="45:57" x14ac:dyDescent="0.25">
      <c r="AU901" s="54"/>
    </row>
    <row r="902" spans="45:57" x14ac:dyDescent="0.25">
      <c r="AU902" s="54"/>
      <c r="BB902" s="65"/>
    </row>
    <row r="903" spans="45:57" x14ac:dyDescent="0.25">
      <c r="AS903" s="54"/>
      <c r="AZ903" s="65"/>
      <c r="BB903" s="65"/>
    </row>
    <row r="904" spans="45:57" x14ac:dyDescent="0.25">
      <c r="AY904" s="53"/>
      <c r="AZ904" s="65"/>
      <c r="BB904" s="65"/>
    </row>
    <row r="905" spans="45:57" x14ac:dyDescent="0.25">
      <c r="AY905" s="65"/>
      <c r="AZ905" s="65"/>
      <c r="BB905" s="65"/>
    </row>
    <row r="906" spans="45:57" x14ac:dyDescent="0.25">
      <c r="AY906" s="54"/>
      <c r="AZ906" s="65"/>
      <c r="BB906" s="65"/>
    </row>
    <row r="907" spans="45:57" x14ac:dyDescent="0.25">
      <c r="AY907" s="54"/>
      <c r="AZ907" s="65"/>
      <c r="BB907" s="65"/>
    </row>
    <row r="908" spans="45:57" x14ac:dyDescent="0.25">
      <c r="AS908" s="53"/>
      <c r="AZ908" s="65"/>
      <c r="BB908" s="65"/>
      <c r="BD908" s="54"/>
    </row>
    <row r="909" spans="45:57" x14ac:dyDescent="0.25">
      <c r="AS909" s="53"/>
      <c r="AZ909" s="65"/>
      <c r="BB909" s="65"/>
      <c r="BD909" s="54"/>
    </row>
    <row r="910" spans="45:57" x14ac:dyDescent="0.25">
      <c r="AS910" s="54"/>
      <c r="AZ910" s="65"/>
      <c r="BB910" s="65"/>
      <c r="BD910" s="54"/>
    </row>
    <row r="911" spans="45:57" x14ac:dyDescent="0.25">
      <c r="AZ911" s="65"/>
      <c r="BB911" s="65"/>
      <c r="BD911" s="53"/>
    </row>
    <row r="912" spans="45:57" x14ac:dyDescent="0.25">
      <c r="AS912" s="55"/>
      <c r="AT912" s="55"/>
      <c r="AU912" s="55"/>
      <c r="AV912" s="55"/>
      <c r="AW912" s="55"/>
      <c r="AX912" s="55"/>
      <c r="AY912" s="55"/>
      <c r="AZ912" s="66"/>
      <c r="BA912" s="55"/>
      <c r="BB912" s="66"/>
      <c r="BC912" s="55"/>
      <c r="BD912" s="55"/>
      <c r="BE912" s="55"/>
    </row>
    <row r="913" spans="45:57" x14ac:dyDescent="0.25">
      <c r="AX913" s="54"/>
      <c r="AZ913" s="65"/>
      <c r="BB913" s="65"/>
    </row>
    <row r="914" spans="45:57" x14ac:dyDescent="0.25">
      <c r="AX914" s="55"/>
      <c r="AY914" s="55"/>
      <c r="AZ914" s="66"/>
      <c r="BA914" s="55"/>
      <c r="BB914" s="65"/>
      <c r="BC914" s="56"/>
      <c r="BD914" s="56"/>
    </row>
    <row r="915" spans="45:57" x14ac:dyDescent="0.25">
      <c r="AV915" s="56"/>
      <c r="AW915" s="56"/>
      <c r="AZ915" s="67"/>
      <c r="BA915" s="56"/>
      <c r="BB915" s="65"/>
      <c r="BC915" s="56"/>
      <c r="BD915" s="56"/>
      <c r="BE915" s="56"/>
    </row>
    <row r="916" spans="45:57" x14ac:dyDescent="0.25">
      <c r="AV916" s="56"/>
      <c r="AW916" s="56"/>
      <c r="AX916" s="56"/>
      <c r="AY916" s="56"/>
      <c r="AZ916" s="67"/>
      <c r="BA916" s="56"/>
      <c r="BB916" s="67"/>
      <c r="BC916" s="56"/>
      <c r="BD916" s="56"/>
      <c r="BE916" s="56"/>
    </row>
    <row r="917" spans="45:57" x14ac:dyDescent="0.25">
      <c r="AS917" s="56"/>
      <c r="AU917" s="54"/>
      <c r="AV917" s="56"/>
      <c r="AW917" s="56"/>
      <c r="AX917" s="56"/>
      <c r="AY917" s="56"/>
      <c r="AZ917" s="67"/>
      <c r="BA917" s="56"/>
      <c r="BB917" s="67"/>
      <c r="BC917" s="56"/>
      <c r="BD917" s="56"/>
      <c r="BE917" s="56"/>
    </row>
    <row r="918" spans="45:57" x14ac:dyDescent="0.25">
      <c r="AS918" s="56"/>
      <c r="AU918" s="54"/>
      <c r="AV918" s="56"/>
      <c r="AW918" s="56"/>
      <c r="AX918" s="56"/>
      <c r="AY918" s="56"/>
      <c r="AZ918" s="67"/>
      <c r="BA918" s="56"/>
      <c r="BB918" s="67"/>
      <c r="BC918" s="56"/>
      <c r="BD918" s="56"/>
      <c r="BE918" s="56"/>
    </row>
    <row r="919" spans="45:57" x14ac:dyDescent="0.25">
      <c r="AS919" s="55"/>
      <c r="AT919" s="55"/>
      <c r="AU919" s="55"/>
      <c r="AV919" s="55"/>
      <c r="AW919" s="55"/>
      <c r="AX919" s="55"/>
      <c r="AY919" s="55"/>
      <c r="AZ919" s="66"/>
      <c r="BA919" s="55"/>
      <c r="BB919" s="66"/>
      <c r="BC919" s="55"/>
      <c r="BD919" s="55"/>
      <c r="BE919" s="55"/>
    </row>
    <row r="920" spans="45:57" x14ac:dyDescent="0.25">
      <c r="AV920" s="56"/>
      <c r="AW920" s="56"/>
      <c r="AX920" s="56"/>
      <c r="AY920" s="56"/>
      <c r="AZ920" s="67"/>
      <c r="BA920" s="56"/>
      <c r="BB920" s="67"/>
      <c r="BC920" s="56"/>
      <c r="BD920" s="56"/>
      <c r="BE920" s="56"/>
    </row>
    <row r="921" spans="45:57" x14ac:dyDescent="0.25">
      <c r="AS921" s="53"/>
      <c r="AT921" s="54"/>
      <c r="AV921" s="379"/>
      <c r="AW921" s="379"/>
      <c r="AX921" s="65"/>
      <c r="AY921" s="65"/>
      <c r="AZ921" s="65"/>
      <c r="BA921" s="60"/>
      <c r="BB921" s="65"/>
      <c r="BC921" s="65"/>
      <c r="BD921" s="65"/>
      <c r="BE921" s="60"/>
    </row>
    <row r="922" spans="45:57" x14ac:dyDescent="0.25">
      <c r="AS922" s="53"/>
      <c r="AV922" s="379"/>
      <c r="AW922" s="379"/>
      <c r="AX922" s="65"/>
      <c r="AY922" s="65"/>
      <c r="AZ922" s="65"/>
      <c r="BA922" s="60"/>
      <c r="BB922" s="65"/>
      <c r="BC922" s="65"/>
      <c r="BD922" s="65"/>
      <c r="BE922" s="60"/>
    </row>
    <row r="923" spans="45:57" x14ac:dyDescent="0.25">
      <c r="AS923" s="53"/>
      <c r="AV923" s="379"/>
      <c r="AW923" s="379"/>
      <c r="AX923" s="65"/>
      <c r="AY923" s="65"/>
      <c r="AZ923" s="65"/>
      <c r="BA923" s="60"/>
      <c r="BB923" s="65"/>
      <c r="BC923" s="65"/>
      <c r="BD923" s="65"/>
      <c r="BE923" s="60"/>
    </row>
    <row r="924" spans="45:57" x14ac:dyDescent="0.25">
      <c r="AS924" s="53"/>
      <c r="AV924" s="379"/>
      <c r="AW924" s="379"/>
      <c r="AX924" s="65"/>
      <c r="AY924" s="65"/>
      <c r="AZ924" s="65"/>
      <c r="BA924" s="60"/>
      <c r="BB924" s="65"/>
      <c r="BC924" s="65"/>
      <c r="BD924" s="65"/>
      <c r="BE924" s="60"/>
    </row>
    <row r="925" spans="45:57" x14ac:dyDescent="0.25">
      <c r="AS925" s="53"/>
      <c r="AV925" s="379"/>
      <c r="AW925" s="379"/>
      <c r="AX925" s="65"/>
      <c r="AY925" s="65"/>
      <c r="AZ925" s="65"/>
      <c r="BA925" s="60"/>
      <c r="BB925" s="65"/>
      <c r="BC925" s="65"/>
      <c r="BD925" s="65"/>
      <c r="BE925" s="60"/>
    </row>
    <row r="926" spans="45:57" x14ac:dyDescent="0.25">
      <c r="AS926" s="53"/>
      <c r="AV926" s="379"/>
      <c r="AW926" s="379"/>
      <c r="AX926" s="65"/>
      <c r="AY926" s="65"/>
      <c r="AZ926" s="65"/>
      <c r="BA926" s="60"/>
      <c r="BB926" s="65"/>
      <c r="BC926" s="65"/>
      <c r="BD926" s="65"/>
      <c r="BE926" s="60"/>
    </row>
    <row r="927" spans="45:57" x14ac:dyDescent="0.25">
      <c r="AS927" s="53"/>
      <c r="AV927" s="379"/>
      <c r="AW927" s="379"/>
      <c r="AX927" s="65"/>
      <c r="AY927" s="65"/>
      <c r="AZ927" s="65"/>
      <c r="BA927" s="60"/>
      <c r="BB927" s="65"/>
      <c r="BC927" s="65"/>
      <c r="BD927" s="65"/>
      <c r="BE927" s="60"/>
    </row>
    <row r="928" spans="45:57" x14ac:dyDescent="0.25">
      <c r="AS928" s="53"/>
      <c r="AV928" s="379"/>
      <c r="AW928" s="379"/>
      <c r="AX928" s="65"/>
      <c r="AY928" s="65"/>
      <c r="AZ928" s="65"/>
      <c r="BA928" s="60"/>
      <c r="BB928" s="65"/>
      <c r="BC928" s="65"/>
      <c r="BD928" s="65"/>
      <c r="BE928" s="60"/>
    </row>
    <row r="929" spans="45:57" x14ac:dyDescent="0.25">
      <c r="AS929" s="53"/>
      <c r="AV929" s="379"/>
      <c r="AW929" s="379"/>
      <c r="AX929" s="65"/>
      <c r="AY929" s="65"/>
      <c r="AZ929" s="65"/>
      <c r="BA929" s="60"/>
      <c r="BB929" s="65"/>
      <c r="BC929" s="65"/>
      <c r="BD929" s="65"/>
      <c r="BE929" s="60"/>
    </row>
    <row r="930" spans="45:57" x14ac:dyDescent="0.25">
      <c r="AS930" s="53"/>
      <c r="AV930" s="379"/>
      <c r="AW930" s="379"/>
      <c r="AX930" s="65"/>
      <c r="AY930" s="65"/>
      <c r="AZ930" s="65"/>
      <c r="BA930" s="60"/>
      <c r="BB930" s="65"/>
      <c r="BC930" s="65"/>
      <c r="BD930" s="65"/>
      <c r="BE930" s="60"/>
    </row>
    <row r="931" spans="45:57" x14ac:dyDescent="0.25">
      <c r="AV931" s="379"/>
      <c r="AW931" s="379"/>
      <c r="BB931" s="65"/>
    </row>
    <row r="932" spans="45:57" x14ac:dyDescent="0.25">
      <c r="AS932" s="53"/>
      <c r="AT932" s="54"/>
      <c r="AV932" s="379"/>
      <c r="AW932" s="379"/>
      <c r="AX932" s="65"/>
      <c r="AY932" s="65"/>
      <c r="AZ932" s="65"/>
      <c r="BA932" s="60"/>
      <c r="BB932" s="65"/>
      <c r="BC932" s="65"/>
      <c r="BD932" s="65"/>
      <c r="BE932" s="60"/>
    </row>
    <row r="933" spans="45:57" x14ac:dyDescent="0.25">
      <c r="AS933" s="53"/>
      <c r="AV933" s="379"/>
      <c r="AW933" s="379"/>
      <c r="AX933" s="65"/>
      <c r="AY933" s="65"/>
      <c r="AZ933" s="65"/>
      <c r="BA933" s="60"/>
      <c r="BB933" s="65"/>
      <c r="BC933" s="65"/>
      <c r="BD933" s="65"/>
      <c r="BE933" s="60"/>
    </row>
    <row r="934" spans="45:57" x14ac:dyDescent="0.25">
      <c r="AS934" s="53"/>
      <c r="AV934" s="379"/>
      <c r="AW934" s="379"/>
      <c r="AX934" s="65"/>
      <c r="AY934" s="65"/>
      <c r="AZ934" s="65"/>
      <c r="BA934" s="60"/>
      <c r="BB934" s="65"/>
      <c r="BC934" s="65"/>
      <c r="BD934" s="65"/>
      <c r="BE934" s="60"/>
    </row>
    <row r="935" spans="45:57" x14ac:dyDescent="0.25">
      <c r="AS935" s="53"/>
      <c r="AV935" s="379"/>
      <c r="AW935" s="379"/>
      <c r="AX935" s="65"/>
      <c r="AY935" s="65"/>
      <c r="AZ935" s="65"/>
      <c r="BA935" s="60"/>
      <c r="BB935" s="65"/>
      <c r="BC935" s="65"/>
      <c r="BD935" s="65"/>
      <c r="BE935" s="60"/>
    </row>
    <row r="936" spans="45:57" x14ac:dyDescent="0.25">
      <c r="AS936" s="53"/>
      <c r="AV936" s="379"/>
      <c r="AW936" s="379"/>
      <c r="AX936" s="65"/>
      <c r="AY936" s="65"/>
      <c r="AZ936" s="65"/>
      <c r="BA936" s="60"/>
      <c r="BB936" s="65"/>
      <c r="BC936" s="65"/>
      <c r="BD936" s="65"/>
      <c r="BE936" s="60"/>
    </row>
    <row r="937" spans="45:57" x14ac:dyDescent="0.25">
      <c r="AS937" s="53"/>
      <c r="AV937" s="379"/>
      <c r="AW937" s="379"/>
      <c r="AX937" s="65"/>
      <c r="AY937" s="65"/>
      <c r="AZ937" s="65"/>
      <c r="BA937" s="60"/>
      <c r="BB937" s="65"/>
      <c r="BC937" s="65"/>
      <c r="BD937" s="65"/>
      <c r="BE937" s="60"/>
    </row>
    <row r="938" spans="45:57" x14ac:dyDescent="0.25">
      <c r="AS938" s="53"/>
      <c r="AV938" s="379"/>
      <c r="AW938" s="379"/>
      <c r="AX938" s="65"/>
      <c r="AY938" s="65"/>
      <c r="AZ938" s="65"/>
      <c r="BA938" s="60"/>
      <c r="BB938" s="65"/>
      <c r="BC938" s="65"/>
      <c r="BD938" s="65"/>
      <c r="BE938" s="60"/>
    </row>
    <row r="939" spans="45:57" x14ac:dyDescent="0.25">
      <c r="AS939" s="53"/>
      <c r="AV939" s="379"/>
      <c r="AW939" s="379"/>
      <c r="AX939" s="65"/>
      <c r="AY939" s="65"/>
      <c r="AZ939" s="65"/>
      <c r="BA939" s="60"/>
      <c r="BB939" s="65"/>
      <c r="BC939" s="65"/>
      <c r="BD939" s="65"/>
      <c r="BE939" s="60"/>
    </row>
    <row r="940" spans="45:57" x14ac:dyDescent="0.25">
      <c r="AS940" s="53"/>
      <c r="AV940" s="379"/>
      <c r="AW940" s="379"/>
      <c r="AX940" s="65"/>
      <c r="AY940" s="65"/>
      <c r="AZ940" s="65"/>
      <c r="BA940" s="60"/>
      <c r="BB940" s="65"/>
      <c r="BC940" s="65"/>
      <c r="BD940" s="65"/>
      <c r="BE940" s="60"/>
    </row>
    <row r="941" spans="45:57" x14ac:dyDescent="0.25">
      <c r="AS941" s="53"/>
      <c r="AV941" s="379"/>
      <c r="AW941" s="379"/>
      <c r="AX941" s="65"/>
      <c r="AY941" s="65"/>
      <c r="AZ941" s="65"/>
      <c r="BA941" s="60"/>
      <c r="BB941" s="65"/>
      <c r="BC941" s="65"/>
      <c r="BD941" s="65"/>
      <c r="BE941" s="60"/>
    </row>
    <row r="943" spans="45:57" x14ac:dyDescent="0.25">
      <c r="AU943" s="54"/>
    </row>
    <row r="944" spans="45:57" x14ac:dyDescent="0.25">
      <c r="AU944" s="54"/>
    </row>
    <row r="945" spans="45:47" x14ac:dyDescent="0.25">
      <c r="AU945" s="54"/>
    </row>
    <row r="946" spans="45:47" x14ac:dyDescent="0.25">
      <c r="AS946" s="54"/>
    </row>
    <row r="967" spans="52:71" x14ac:dyDescent="0.25">
      <c r="AZ967" s="65"/>
      <c r="BB967" s="65"/>
      <c r="BC967" s="65"/>
      <c r="BD967" s="65"/>
      <c r="BG967" s="65"/>
      <c r="BH967" s="65"/>
      <c r="BI967" s="65"/>
      <c r="BJ967" s="65"/>
      <c r="BK967" s="65"/>
      <c r="BL967" s="65"/>
      <c r="BM967" s="65"/>
      <c r="BN967" s="65"/>
      <c r="BO967" s="65"/>
      <c r="BP967" s="65"/>
      <c r="BQ967" s="65"/>
      <c r="BR967" s="65"/>
      <c r="BS967" s="65"/>
    </row>
    <row r="968" spans="52:71" x14ac:dyDescent="0.25">
      <c r="AZ968" s="65"/>
      <c r="BB968" s="65"/>
      <c r="BC968" s="65"/>
      <c r="BD968" s="65"/>
      <c r="BG968" s="65"/>
      <c r="BH968" s="65"/>
      <c r="BI968" s="65"/>
      <c r="BJ968" s="65"/>
      <c r="BK968" s="65"/>
      <c r="BL968" s="65"/>
      <c r="BM968" s="65"/>
      <c r="BN968" s="65"/>
      <c r="BO968" s="65"/>
      <c r="BP968" s="65"/>
      <c r="BQ968" s="65"/>
      <c r="BR968" s="65"/>
      <c r="BS968" s="65"/>
    </row>
    <row r="969" spans="52:71" x14ac:dyDescent="0.25">
      <c r="AZ969" s="65"/>
      <c r="BB969" s="65"/>
      <c r="BC969" s="65"/>
      <c r="BD969" s="65"/>
      <c r="BG969" s="65"/>
      <c r="BH969" s="65"/>
      <c r="BI969" s="65"/>
      <c r="BJ969" s="65"/>
      <c r="BK969" s="65"/>
      <c r="BL969" s="65"/>
      <c r="BM969" s="65"/>
      <c r="BN969" s="65"/>
      <c r="BO969" s="65"/>
      <c r="BP969" s="65"/>
      <c r="BQ969" s="65"/>
      <c r="BR969" s="65"/>
      <c r="BS969" s="65"/>
    </row>
    <row r="970" spans="52:71" x14ac:dyDescent="0.25">
      <c r="AZ970" s="65"/>
      <c r="BB970" s="65"/>
      <c r="BC970" s="65"/>
      <c r="BD970" s="65"/>
      <c r="BG970" s="65"/>
      <c r="BH970" s="65"/>
      <c r="BI970" s="65"/>
      <c r="BJ970" s="65"/>
      <c r="BK970" s="65"/>
      <c r="BL970" s="65"/>
      <c r="BM970" s="65"/>
      <c r="BN970" s="65"/>
      <c r="BO970" s="65"/>
      <c r="BP970" s="65"/>
      <c r="BQ970" s="65"/>
      <c r="BR970" s="65"/>
      <c r="BS970" s="65"/>
    </row>
    <row r="971" spans="52:71" x14ac:dyDescent="0.25">
      <c r="AZ971" s="65"/>
      <c r="BB971" s="65"/>
      <c r="BC971" s="65"/>
      <c r="BD971" s="65"/>
      <c r="BG971" s="65"/>
      <c r="BH971" s="65"/>
      <c r="BI971" s="65"/>
      <c r="BJ971" s="65"/>
      <c r="BK971" s="65"/>
      <c r="BL971" s="65"/>
      <c r="BM971" s="65"/>
      <c r="BN971" s="65"/>
      <c r="BO971" s="65"/>
      <c r="BP971" s="65"/>
      <c r="BQ971" s="65"/>
      <c r="BR971" s="65"/>
      <c r="BS971" s="65"/>
    </row>
    <row r="972" spans="52:71" x14ac:dyDescent="0.25">
      <c r="AZ972" s="65"/>
      <c r="BB972" s="65"/>
      <c r="BC972" s="65"/>
      <c r="BD972" s="65"/>
      <c r="BG972" s="65"/>
      <c r="BH972" s="65"/>
      <c r="BI972" s="65"/>
      <c r="BJ972" s="65"/>
      <c r="BK972" s="65"/>
      <c r="BL972" s="65"/>
      <c r="BM972" s="65"/>
      <c r="BN972" s="65"/>
      <c r="BO972" s="65"/>
      <c r="BP972" s="65"/>
      <c r="BQ972" s="65"/>
      <c r="BR972" s="65"/>
      <c r="BS972" s="65"/>
    </row>
    <row r="973" spans="52:71" x14ac:dyDescent="0.25">
      <c r="AZ973" s="65"/>
      <c r="BB973" s="65"/>
      <c r="BC973" s="65"/>
      <c r="BD973" s="65"/>
      <c r="BG973" s="65"/>
      <c r="BH973" s="65"/>
      <c r="BI973" s="65"/>
      <c r="BJ973" s="65"/>
      <c r="BK973" s="65"/>
      <c r="BL973" s="65"/>
      <c r="BM973" s="65"/>
      <c r="BN973" s="65"/>
      <c r="BO973" s="65"/>
      <c r="BP973" s="65"/>
      <c r="BQ973" s="65"/>
      <c r="BR973" s="65"/>
      <c r="BS973" s="65"/>
    </row>
    <row r="974" spans="52:71" x14ac:dyDescent="0.25">
      <c r="AZ974" s="65"/>
      <c r="BB974" s="65"/>
      <c r="BC974" s="65"/>
      <c r="BD974" s="65"/>
      <c r="BG974" s="65"/>
      <c r="BH974" s="65"/>
      <c r="BI974" s="65"/>
      <c r="BJ974" s="65"/>
      <c r="BK974" s="65"/>
      <c r="BL974" s="65"/>
      <c r="BM974" s="65"/>
      <c r="BN974" s="65"/>
      <c r="BO974" s="65"/>
      <c r="BP974" s="65"/>
      <c r="BQ974" s="65"/>
      <c r="BR974" s="65"/>
      <c r="BS974" s="65"/>
    </row>
    <row r="975" spans="52:71" x14ac:dyDescent="0.25">
      <c r="AZ975" s="65"/>
      <c r="BB975" s="65"/>
      <c r="BC975" s="65"/>
      <c r="BD975" s="65"/>
      <c r="BG975" s="65"/>
      <c r="BH975" s="65"/>
      <c r="BI975" s="65"/>
      <c r="BJ975" s="65"/>
      <c r="BK975" s="65"/>
      <c r="BL975" s="65"/>
      <c r="BM975" s="65"/>
      <c r="BN975" s="65"/>
      <c r="BO975" s="65"/>
      <c r="BP975" s="65"/>
      <c r="BQ975" s="65"/>
      <c r="BR975" s="65"/>
      <c r="BS975" s="65"/>
    </row>
    <row r="976" spans="52:71" x14ac:dyDescent="0.25">
      <c r="AZ976" s="65"/>
      <c r="BB976" s="65"/>
      <c r="BC976" s="65"/>
      <c r="BD976" s="65"/>
      <c r="BG976" s="65"/>
      <c r="BH976" s="65"/>
      <c r="BI976" s="65"/>
      <c r="BJ976" s="65"/>
      <c r="BK976" s="65"/>
      <c r="BL976" s="65"/>
      <c r="BM976" s="65"/>
      <c r="BN976" s="65"/>
      <c r="BO976" s="65"/>
      <c r="BP976" s="65"/>
      <c r="BQ976" s="65"/>
      <c r="BR976" s="65"/>
      <c r="BS976" s="65"/>
    </row>
    <row r="977" spans="52:71" x14ac:dyDescent="0.25">
      <c r="AZ977" s="65"/>
      <c r="BB977" s="65"/>
      <c r="BC977" s="65"/>
      <c r="BD977" s="65"/>
      <c r="BG977" s="65"/>
      <c r="BH977" s="65"/>
      <c r="BI977" s="65"/>
      <c r="BJ977" s="65"/>
      <c r="BK977" s="65"/>
      <c r="BL977" s="65"/>
      <c r="BM977" s="65"/>
      <c r="BN977" s="65"/>
      <c r="BO977" s="65"/>
      <c r="BP977" s="65"/>
      <c r="BQ977" s="65"/>
      <c r="BR977" s="65"/>
      <c r="BS977" s="65"/>
    </row>
    <row r="978" spans="52:71" x14ac:dyDescent="0.25">
      <c r="AZ978" s="65"/>
      <c r="BB978" s="65"/>
      <c r="BC978" s="65"/>
      <c r="BD978" s="65"/>
      <c r="BG978" s="65"/>
      <c r="BH978" s="65"/>
      <c r="BI978" s="65"/>
      <c r="BJ978" s="65"/>
      <c r="BK978" s="65"/>
      <c r="BL978" s="65"/>
      <c r="BM978" s="65"/>
      <c r="BN978" s="65"/>
      <c r="BO978" s="65"/>
      <c r="BP978" s="65"/>
      <c r="BQ978" s="65"/>
      <c r="BR978" s="65"/>
      <c r="BS978" s="65"/>
    </row>
    <row r="979" spans="52:71" x14ac:dyDescent="0.25">
      <c r="AZ979" s="65"/>
      <c r="BG979" s="65"/>
      <c r="BH979" s="65"/>
      <c r="BI979" s="65"/>
      <c r="BJ979" s="65"/>
      <c r="BK979" s="65"/>
      <c r="BL979" s="65"/>
      <c r="BM979" s="65"/>
      <c r="BN979" s="65"/>
      <c r="BO979" s="65"/>
      <c r="BP979" s="65"/>
      <c r="BQ979" s="65"/>
      <c r="BR979" s="65"/>
      <c r="BS979" s="65"/>
    </row>
    <row r="980" spans="52:71" x14ac:dyDescent="0.25">
      <c r="AZ980" s="65"/>
      <c r="BG980" s="65"/>
      <c r="BH980" s="65"/>
      <c r="BI980" s="65"/>
      <c r="BJ980" s="65"/>
      <c r="BK980" s="65"/>
      <c r="BL980" s="65"/>
      <c r="BM980" s="65"/>
      <c r="BN980" s="65"/>
      <c r="BO980" s="65"/>
      <c r="BP980" s="65"/>
      <c r="BQ980" s="65"/>
      <c r="BR980" s="65"/>
      <c r="BS980" s="65"/>
    </row>
    <row r="981" spans="52:71" x14ac:dyDescent="0.25">
      <c r="AZ981" s="65"/>
      <c r="BG981" s="65"/>
      <c r="BH981" s="65"/>
      <c r="BI981" s="65"/>
      <c r="BJ981" s="65"/>
      <c r="BK981" s="65"/>
      <c r="BL981" s="65"/>
      <c r="BM981" s="65"/>
      <c r="BN981" s="65"/>
      <c r="BO981" s="65"/>
      <c r="BP981" s="65"/>
      <c r="BQ981" s="65"/>
      <c r="BR981" s="65"/>
      <c r="BS981" s="65"/>
    </row>
    <row r="982" spans="52:71" x14ac:dyDescent="0.25">
      <c r="AZ982" s="65"/>
      <c r="BG982" s="65"/>
      <c r="BH982" s="65"/>
      <c r="BI982" s="65"/>
      <c r="BJ982" s="65"/>
      <c r="BK982" s="65"/>
      <c r="BL982" s="65"/>
      <c r="BM982" s="65"/>
      <c r="BN982" s="65"/>
      <c r="BO982" s="65"/>
      <c r="BP982" s="65"/>
      <c r="BQ982" s="65"/>
      <c r="BR982" s="65"/>
      <c r="BS982" s="65"/>
    </row>
    <row r="983" spans="52:71" x14ac:dyDescent="0.25">
      <c r="AZ983" s="65"/>
      <c r="BG983" s="65"/>
      <c r="BH983" s="65"/>
      <c r="BI983" s="65"/>
      <c r="BJ983" s="65"/>
      <c r="BK983" s="65"/>
      <c r="BL983" s="65"/>
      <c r="BM983" s="65"/>
      <c r="BN983" s="65"/>
      <c r="BO983" s="65"/>
      <c r="BP983" s="65"/>
      <c r="BQ983" s="65"/>
      <c r="BR983" s="65"/>
      <c r="BS983" s="65"/>
    </row>
    <row r="984" spans="52:71" x14ac:dyDescent="0.25">
      <c r="AZ984" s="65"/>
      <c r="BG984" s="65"/>
      <c r="BH984" s="65"/>
      <c r="BI984" s="65"/>
      <c r="BJ984" s="65"/>
      <c r="BK984" s="65"/>
      <c r="BL984" s="65"/>
      <c r="BM984" s="65"/>
      <c r="BN984" s="65"/>
      <c r="BO984" s="65"/>
      <c r="BP984" s="65"/>
      <c r="BQ984" s="65"/>
      <c r="BR984" s="65"/>
      <c r="BS984" s="65"/>
    </row>
    <row r="985" spans="52:71" x14ac:dyDescent="0.25">
      <c r="AZ985" s="65"/>
      <c r="BG985" s="65"/>
      <c r="BH985" s="65"/>
      <c r="BI985" s="65"/>
      <c r="BJ985" s="65"/>
      <c r="BK985" s="65"/>
      <c r="BL985" s="65"/>
      <c r="BM985" s="65"/>
      <c r="BN985" s="65"/>
      <c r="BO985" s="65"/>
      <c r="BP985" s="65"/>
      <c r="BQ985" s="65"/>
      <c r="BR985" s="65"/>
      <c r="BS985" s="65"/>
    </row>
    <row r="986" spans="52:71" x14ac:dyDescent="0.25">
      <c r="AZ986" s="65"/>
    </row>
    <row r="987" spans="52:71" x14ac:dyDescent="0.25">
      <c r="AZ987" s="65"/>
    </row>
    <row r="1001" spans="1:28" x14ac:dyDescent="0.25">
      <c r="A1001" s="54"/>
    </row>
    <row r="1004" spans="1:28" x14ac:dyDescent="0.25">
      <c r="Y1004" s="54"/>
    </row>
    <row r="1005" spans="1:28" x14ac:dyDescent="0.25">
      <c r="A1005" s="54"/>
      <c r="H1005" s="54"/>
      <c r="I1005" s="54"/>
    </row>
    <row r="1006" spans="1:28" x14ac:dyDescent="0.25">
      <c r="A1006" s="54"/>
      <c r="V1006" s="56"/>
      <c r="AA1006" s="56"/>
      <c r="AB1006" s="56"/>
    </row>
    <row r="1007" spans="1:28" x14ac:dyDescent="0.25">
      <c r="A1007" s="54"/>
      <c r="V1007" s="55"/>
      <c r="AA1007" s="55"/>
      <c r="AB1007" s="55"/>
    </row>
    <row r="1008" spans="1:28" x14ac:dyDescent="0.25">
      <c r="A1008" s="54"/>
      <c r="U1008" s="54"/>
      <c r="AA1008" s="56"/>
      <c r="AB1008" s="56"/>
    </row>
    <row r="1009" spans="1:28" x14ac:dyDescent="0.25">
      <c r="A1009" s="54"/>
    </row>
    <row r="1010" spans="1:28" x14ac:dyDescent="0.25">
      <c r="A1010" s="54"/>
      <c r="U1010" s="54"/>
      <c r="AA1010" s="56"/>
      <c r="AB1010" s="56"/>
    </row>
    <row r="1011" spans="1:28" x14ac:dyDescent="0.25">
      <c r="A1011" s="54"/>
    </row>
    <row r="1012" spans="1:28" x14ac:dyDescent="0.25">
      <c r="A1012" s="54"/>
      <c r="U1012" s="54"/>
      <c r="V1012" s="480"/>
      <c r="AA1012" s="56"/>
      <c r="AB1012" s="56"/>
    </row>
    <row r="1013" spans="1:28" x14ac:dyDescent="0.25">
      <c r="A1013" s="54"/>
    </row>
    <row r="1014" spans="1:28" x14ac:dyDescent="0.25">
      <c r="A1014" s="54"/>
      <c r="U1014" s="54"/>
      <c r="AA1014" s="56"/>
      <c r="AB1014" s="56"/>
    </row>
    <row r="1015" spans="1:28" x14ac:dyDescent="0.25">
      <c r="A1015" s="54"/>
    </row>
    <row r="1016" spans="1:28" x14ac:dyDescent="0.25">
      <c r="A1016" s="54"/>
      <c r="U1016" s="54"/>
      <c r="AA1016" s="56"/>
      <c r="AB1016" s="56"/>
    </row>
    <row r="1017" spans="1:28" x14ac:dyDescent="0.25">
      <c r="A1017" s="54"/>
    </row>
    <row r="1018" spans="1:28" x14ac:dyDescent="0.25">
      <c r="A1018" s="54"/>
    </row>
    <row r="1019" spans="1:28" x14ac:dyDescent="0.25">
      <c r="A1019" s="54"/>
    </row>
    <row r="1020" spans="1:28" x14ac:dyDescent="0.25">
      <c r="A1020" s="54"/>
    </row>
    <row r="1021" spans="1:28" x14ac:dyDescent="0.25">
      <c r="A1021" s="54"/>
    </row>
    <row r="1022" spans="1:28" x14ac:dyDescent="0.25">
      <c r="A1022" s="54"/>
    </row>
    <row r="1023" spans="1:28" x14ac:dyDescent="0.25">
      <c r="A1023" s="54"/>
    </row>
    <row r="1024" spans="1:28" x14ac:dyDescent="0.25">
      <c r="A1024" s="54"/>
    </row>
    <row r="1025" spans="1:9" x14ac:dyDescent="0.25">
      <c r="A1025" s="54"/>
    </row>
    <row r="1026" spans="1:9" x14ac:dyDescent="0.25">
      <c r="A1026" s="54"/>
    </row>
    <row r="1027" spans="1:9" x14ac:dyDescent="0.25">
      <c r="A1027" s="54"/>
      <c r="H1027" s="54"/>
      <c r="I1027" s="54"/>
    </row>
    <row r="1030" spans="1:9" x14ac:dyDescent="0.25">
      <c r="A1030" s="54"/>
    </row>
    <row r="1033" spans="1:9" x14ac:dyDescent="0.25">
      <c r="A1033" s="54"/>
    </row>
    <row r="1036" spans="1:9" x14ac:dyDescent="0.25">
      <c r="A1036" s="54"/>
    </row>
    <row r="1037" spans="1:9" x14ac:dyDescent="0.25">
      <c r="A1037" s="54"/>
    </row>
    <row r="1038" spans="1:9" x14ac:dyDescent="0.25">
      <c r="A1038" s="54"/>
    </row>
    <row r="1039" spans="1:9" x14ac:dyDescent="0.25">
      <c r="A1039" s="54"/>
    </row>
    <row r="1040" spans="1:9" x14ac:dyDescent="0.25">
      <c r="A1040" s="54"/>
    </row>
    <row r="1041" spans="1:1" x14ac:dyDescent="0.25">
      <c r="A1041" s="54"/>
    </row>
    <row r="1042" spans="1:1" x14ac:dyDescent="0.25">
      <c r="A1042" s="54"/>
    </row>
    <row r="1043" spans="1:1" x14ac:dyDescent="0.25">
      <c r="A1043" s="54"/>
    </row>
    <row r="1044" spans="1:1" x14ac:dyDescent="0.25">
      <c r="A1044" s="54"/>
    </row>
    <row r="1045" spans="1:1" x14ac:dyDescent="0.25">
      <c r="A1045" s="54"/>
    </row>
    <row r="1046" spans="1:1" x14ac:dyDescent="0.25">
      <c r="A1046" s="54"/>
    </row>
    <row r="1047" spans="1:1" x14ac:dyDescent="0.25">
      <c r="A1047" s="54"/>
    </row>
    <row r="1048" spans="1:1" x14ac:dyDescent="0.25">
      <c r="A1048" s="54"/>
    </row>
    <row r="1049" spans="1:1" x14ac:dyDescent="0.25">
      <c r="A1049" s="54"/>
    </row>
    <row r="1050" spans="1:1" x14ac:dyDescent="0.25">
      <c r="A1050" s="54"/>
    </row>
    <row r="1051" spans="1:1" x14ac:dyDescent="0.25">
      <c r="A1051" s="54"/>
    </row>
    <row r="1052" spans="1:1" x14ac:dyDescent="0.25">
      <c r="A1052" s="54"/>
    </row>
    <row r="1053" spans="1:1" x14ac:dyDescent="0.25">
      <c r="A1053" s="54"/>
    </row>
    <row r="1054" spans="1:1" x14ac:dyDescent="0.25">
      <c r="A1054" s="54"/>
    </row>
    <row r="1055" spans="1:1" x14ac:dyDescent="0.25">
      <c r="A1055" s="54"/>
    </row>
    <row r="1056" spans="1:1" x14ac:dyDescent="0.25">
      <c r="A1056" s="54"/>
    </row>
    <row r="1057" spans="1:1" x14ac:dyDescent="0.25">
      <c r="A1057" s="54"/>
    </row>
    <row r="1058" spans="1:1" x14ac:dyDescent="0.25">
      <c r="A1058" s="54"/>
    </row>
    <row r="1059" spans="1:1" x14ac:dyDescent="0.25">
      <c r="A1059" s="54"/>
    </row>
    <row r="1060" spans="1:1" x14ac:dyDescent="0.25">
      <c r="A1060" s="54"/>
    </row>
    <row r="1061" spans="1:1" x14ac:dyDescent="0.25">
      <c r="A1061" s="54"/>
    </row>
    <row r="1062" spans="1:1" x14ac:dyDescent="0.25">
      <c r="A1062" s="54"/>
    </row>
    <row r="1063" spans="1:1" x14ac:dyDescent="0.25">
      <c r="A1063" s="54"/>
    </row>
    <row r="1064" spans="1:1" x14ac:dyDescent="0.25">
      <c r="A1064" s="54"/>
    </row>
    <row r="1065" spans="1:1" x14ac:dyDescent="0.25">
      <c r="A1065" s="54"/>
    </row>
    <row r="1066" spans="1:1" x14ac:dyDescent="0.25">
      <c r="A1066" s="54"/>
    </row>
    <row r="1067" spans="1:1" x14ac:dyDescent="0.25">
      <c r="A1067" s="54"/>
    </row>
    <row r="1068" spans="1:1" x14ac:dyDescent="0.25">
      <c r="A1068" s="54"/>
    </row>
    <row r="1069" spans="1:1" x14ac:dyDescent="0.25">
      <c r="A1069" s="54"/>
    </row>
    <row r="1070" spans="1:1" x14ac:dyDescent="0.25">
      <c r="A1070" s="54"/>
    </row>
    <row r="1075" spans="1:1" x14ac:dyDescent="0.25">
      <c r="A1075" s="54"/>
    </row>
    <row r="1076" spans="1:1" x14ac:dyDescent="0.25">
      <c r="A1076" s="54"/>
    </row>
    <row r="1079" spans="1:1" x14ac:dyDescent="0.25">
      <c r="A1079" s="54"/>
    </row>
    <row r="1081" spans="1:1" x14ac:dyDescent="0.25">
      <c r="A1081" s="54"/>
    </row>
    <row r="1083" spans="1:1" x14ac:dyDescent="0.25">
      <c r="A1083" s="54"/>
    </row>
    <row r="1085" spans="1:1" x14ac:dyDescent="0.25">
      <c r="A1085" s="54"/>
    </row>
    <row r="1088" spans="1:1" x14ac:dyDescent="0.25">
      <c r="A1088" s="54"/>
    </row>
    <row r="1089" spans="1:1" x14ac:dyDescent="0.25">
      <c r="A1089" s="54"/>
    </row>
    <row r="1090" spans="1:1" x14ac:dyDescent="0.25">
      <c r="A1090" s="54"/>
    </row>
    <row r="1091" spans="1:1" x14ac:dyDescent="0.25">
      <c r="A1091" s="54"/>
    </row>
    <row r="1092" spans="1:1" x14ac:dyDescent="0.25">
      <c r="A1092" s="54"/>
    </row>
    <row r="1093" spans="1:1" x14ac:dyDescent="0.25">
      <c r="A1093" s="54"/>
    </row>
    <row r="1094" spans="1:1" x14ac:dyDescent="0.25">
      <c r="A1094" s="54"/>
    </row>
    <row r="1095" spans="1:1" x14ac:dyDescent="0.25">
      <c r="A1095" s="54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A9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3"/>
      <headerFooter alignWithMargins="0"/>
    </customSheetView>
    <customSheetView guid="{2431C9E5-7CC2-4B8D-99C3-962247B1DBF5}" scale="75" fitToPage="1" showRuler="0" topLeftCell="A9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4"/>
      <headerFooter alignWithMargins="0"/>
    </customSheetView>
    <customSheetView guid="{2EA35095-1ADC-4CC7-8C3C-B487D65FA247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8"/>
      <headerFooter alignWithMargins="0"/>
    </customSheetView>
    <customSheetView guid="{0BC1F393-8A13-47D5-BC6C-0C99615B5AB9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1"/>
      <headerFooter alignWithMargins="0"/>
    </customSheetView>
    <customSheetView guid="{F562D92E-120C-4AE9-9663-89E64D41DC53}" scale="75" fitToPage="1" topLeftCell="A4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3" orientation="landscape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6" transitionEvaluation="1" transitionEntry="1" codeName="Sheet82"/>
  <dimension ref="A1:BW1045"/>
  <sheetViews>
    <sheetView tabSelected="1" view="pageBreakPreview" topLeftCell="A16" zoomScale="60" zoomScaleNormal="75" workbookViewId="0">
      <selection sqref="A1:J1"/>
    </sheetView>
  </sheetViews>
  <sheetFormatPr defaultColWidth="9.77734375" defaultRowHeight="15.75" x14ac:dyDescent="0.25"/>
  <cols>
    <col min="1" max="1" width="5" style="380" customWidth="1"/>
    <col min="2" max="2" width="0.6640625" style="380" customWidth="1"/>
    <col min="3" max="3" width="8.6640625" style="380" customWidth="1"/>
    <col min="4" max="4" width="40.109375" style="380" customWidth="1"/>
    <col min="5" max="5" width="0.7773437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3.6640625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2.77734375" style="380" customWidth="1"/>
    <col min="15" max="15" width="0.5546875" style="380" customWidth="1"/>
    <col min="16" max="16" width="12.77734375" style="380" customWidth="1"/>
    <col min="17" max="17" width="0.5546875" style="380" customWidth="1"/>
    <col min="18" max="18" width="17.21875" style="380" customWidth="1"/>
    <col min="19" max="19" width="6.6640625" style="380" customWidth="1"/>
    <col min="20" max="20" width="5.109375" style="380" customWidth="1"/>
    <col min="21" max="21" width="0.5546875" style="380" customWidth="1"/>
    <col min="22" max="22" width="7.44140625" style="380" customWidth="1"/>
    <col min="23" max="23" width="40.6640625" style="380" customWidth="1"/>
    <col min="24" max="24" width="0.77734375" style="380" customWidth="1"/>
    <col min="25" max="25" width="9.6640625" style="380" customWidth="1"/>
    <col min="26" max="26" width="0.6640625" style="380" customWidth="1"/>
    <col min="27" max="27" width="13.33203125" style="380" customWidth="1"/>
    <col min="28" max="28" width="0.44140625" style="380" customWidth="1"/>
    <col min="29" max="29" width="12.21875" style="380" customWidth="1"/>
    <col min="30" max="30" width="0.33203125" style="380" customWidth="1"/>
    <col min="31" max="31" width="12.88671875" style="380" customWidth="1"/>
    <col min="32" max="32" width="0.77734375" style="380" customWidth="1"/>
    <col min="33" max="33" width="13.6640625" style="153" customWidth="1"/>
    <col min="34" max="34" width="0.6640625" style="380" customWidth="1"/>
    <col min="35" max="35" width="14.33203125" style="380" customWidth="1"/>
    <col min="36" max="36" width="0.77734375" style="380" customWidth="1"/>
    <col min="37" max="37" width="14.5546875" style="153" customWidth="1"/>
    <col min="38" max="38" width="0.6640625" style="380" customWidth="1"/>
    <col min="39" max="39" width="12.109375" style="380" customWidth="1"/>
    <col min="40" max="40" width="0.5546875" style="380" customWidth="1"/>
    <col min="41" max="41" width="13.21875" style="380" customWidth="1"/>
    <col min="42" max="42" width="0.6640625" style="380" customWidth="1"/>
    <col min="43" max="43" width="11.21875" style="153" customWidth="1"/>
    <col min="44" max="44" width="14.77734375" style="380" customWidth="1"/>
    <col min="45" max="45" width="4.77734375" style="380" customWidth="1"/>
    <col min="46" max="46" width="5.77734375" style="380" customWidth="1"/>
    <col min="47" max="47" width="10.77734375" style="380" customWidth="1"/>
    <col min="48" max="48" width="11.77734375" style="380" customWidth="1"/>
    <col min="49" max="49" width="12.77734375" style="380" customWidth="1"/>
    <col min="50" max="52" width="15.77734375" style="380" customWidth="1"/>
    <col min="53" max="53" width="12.77734375" style="380" customWidth="1"/>
    <col min="54" max="56" width="15.77734375" style="380" customWidth="1"/>
    <col min="57" max="57" width="12.77734375" style="380" customWidth="1"/>
    <col min="58" max="59" width="9.77734375" style="380"/>
    <col min="60" max="62" width="12.77734375" style="380" customWidth="1"/>
    <col min="63" max="63" width="14.77734375" style="380" customWidth="1"/>
    <col min="64" max="65" width="9.77734375" style="380"/>
    <col min="66" max="68" width="12.77734375" style="380" customWidth="1"/>
    <col min="69" max="69" width="14.77734375" style="380" customWidth="1"/>
    <col min="70" max="76" width="9.77734375" style="380"/>
    <col min="77" max="77" width="1.77734375" style="380" customWidth="1"/>
    <col min="78" max="79" width="9.77734375" style="380"/>
    <col min="80" max="80" width="10.77734375" style="380" customWidth="1"/>
    <col min="81" max="82" width="9.77734375" style="380"/>
    <col min="83" max="83" width="7.77734375" style="380" customWidth="1"/>
    <col min="84" max="16384" width="9.77734375" style="380"/>
  </cols>
  <sheetData>
    <row r="1" spans="1:40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4"/>
      <c r="K1" s="44"/>
      <c r="L1" s="43"/>
      <c r="M1" s="43"/>
      <c r="N1" s="43"/>
      <c r="O1" s="43"/>
      <c r="P1" s="43"/>
      <c r="Q1" s="43"/>
      <c r="R1" s="43"/>
      <c r="Z1" s="53"/>
    </row>
    <row r="2" spans="1:40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4"/>
      <c r="K2" s="44"/>
      <c r="L2" s="43"/>
      <c r="M2" s="43"/>
      <c r="N2" s="43"/>
      <c r="O2" s="43"/>
      <c r="P2" s="43"/>
      <c r="Q2" s="43"/>
      <c r="R2" s="43"/>
      <c r="Z2" s="53"/>
    </row>
    <row r="3" spans="1:40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Y3" s="54"/>
    </row>
    <row r="4" spans="1:4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4"/>
      <c r="K4" s="44"/>
      <c r="L4" s="43"/>
      <c r="M4" s="43"/>
      <c r="N4" s="43"/>
      <c r="O4" s="43"/>
      <c r="P4" s="43"/>
      <c r="Q4" s="43"/>
      <c r="R4" s="43"/>
      <c r="Z4" s="53"/>
    </row>
    <row r="5" spans="1:4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4"/>
      <c r="M5" s="44"/>
      <c r="N5" s="43"/>
      <c r="O5" s="43"/>
      <c r="P5" s="43"/>
      <c r="Q5" s="43"/>
      <c r="R5" s="43"/>
      <c r="AA5" s="54"/>
      <c r="AB5" s="54"/>
    </row>
    <row r="6" spans="1:40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K6" s="161"/>
      <c r="AL6" s="54"/>
    </row>
    <row r="7" spans="1:40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">
        <v>633</v>
      </c>
      <c r="AK7" s="161"/>
      <c r="AL7" s="54"/>
    </row>
    <row r="8" spans="1:40" x14ac:dyDescent="0.25">
      <c r="A8" s="46" t="s">
        <v>177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K8" s="161"/>
      <c r="AL8" s="54"/>
    </row>
    <row r="9" spans="1:40" x14ac:dyDescent="0.25">
      <c r="A9" s="222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45" t="str">
        <f>WIT</f>
        <v>J. L. Kern</v>
      </c>
      <c r="AK9" s="161"/>
      <c r="AL9" s="54"/>
    </row>
    <row r="10" spans="1:40" x14ac:dyDescent="0.25">
      <c r="A10" s="222" t="str">
        <f>INPUT!B5</f>
        <v>6 Months Actual Ending May 31, 2019</v>
      </c>
      <c r="B10" s="378"/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78"/>
      <c r="P10" s="378"/>
      <c r="Q10" s="378"/>
      <c r="R10" s="45"/>
      <c r="AK10" s="161"/>
      <c r="AL10" s="54"/>
    </row>
    <row r="11" spans="1:40" x14ac:dyDescent="0.25">
      <c r="A11" s="44" t="s">
        <v>136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AA11" s="54"/>
      <c r="AB11" s="54"/>
      <c r="AK11" s="156"/>
      <c r="AL11" s="53"/>
    </row>
    <row r="12" spans="1:40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154"/>
      <c r="AH12" s="55"/>
      <c r="AI12" s="55"/>
      <c r="AJ12" s="55"/>
      <c r="AK12" s="154"/>
      <c r="AL12" s="55"/>
      <c r="AM12" s="55"/>
      <c r="AN12" s="55"/>
    </row>
    <row r="13" spans="1:40" ht="18" customHeight="1" x14ac:dyDescent="0.25">
      <c r="A13" s="378"/>
      <c r="B13" s="378"/>
      <c r="C13" s="378"/>
      <c r="D13" s="378"/>
      <c r="E13" s="378"/>
      <c r="F13" s="378"/>
      <c r="G13" s="378"/>
      <c r="H13" s="378"/>
      <c r="I13" s="378"/>
      <c r="J13" s="378"/>
      <c r="K13" s="378"/>
      <c r="L13" s="426" t="s">
        <v>6</v>
      </c>
      <c r="M13" s="426"/>
      <c r="N13" s="426" t="s">
        <v>7</v>
      </c>
      <c r="O13" s="426"/>
      <c r="P13" s="378"/>
      <c r="Q13" s="378"/>
      <c r="R13" s="426" t="s">
        <v>6</v>
      </c>
      <c r="AA13" s="56"/>
      <c r="AB13" s="56"/>
      <c r="AC13" s="56"/>
      <c r="AD13" s="56"/>
      <c r="AE13" s="56"/>
      <c r="AF13" s="56"/>
      <c r="AG13" s="155"/>
      <c r="AH13" s="56"/>
      <c r="AK13" s="155"/>
      <c r="AL13" s="56"/>
      <c r="AM13" s="56"/>
      <c r="AN13" s="56"/>
    </row>
    <row r="14" spans="1:40" x14ac:dyDescent="0.25">
      <c r="A14" s="378"/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426" t="s">
        <v>12</v>
      </c>
      <c r="M14" s="426"/>
      <c r="N14" s="426" t="s">
        <v>13</v>
      </c>
      <c r="O14" s="426"/>
      <c r="P14" s="378"/>
      <c r="Q14" s="378"/>
      <c r="R14" s="426" t="s">
        <v>11</v>
      </c>
      <c r="Z14" s="56"/>
      <c r="AA14" s="56"/>
      <c r="AB14" s="56"/>
      <c r="AC14" s="56"/>
      <c r="AD14" s="56"/>
      <c r="AE14" s="56"/>
      <c r="AF14" s="56"/>
      <c r="AG14" s="155"/>
      <c r="AH14" s="56"/>
      <c r="AK14" s="155"/>
      <c r="AL14" s="56"/>
      <c r="AM14" s="56"/>
      <c r="AN14" s="56"/>
    </row>
    <row r="15" spans="1:40" x14ac:dyDescent="0.25">
      <c r="A15" s="426" t="s">
        <v>17</v>
      </c>
      <c r="B15" s="378"/>
      <c r="C15" s="426" t="s">
        <v>18</v>
      </c>
      <c r="D15" s="426" t="s">
        <v>19</v>
      </c>
      <c r="E15" s="426"/>
      <c r="F15" s="426" t="s">
        <v>20</v>
      </c>
      <c r="G15" s="378"/>
      <c r="H15" s="378"/>
      <c r="I15" s="378"/>
      <c r="J15" s="426" t="s">
        <v>6</v>
      </c>
      <c r="K15" s="426"/>
      <c r="L15" s="426" t="s">
        <v>21</v>
      </c>
      <c r="M15" s="426"/>
      <c r="N15" s="426" t="s">
        <v>21</v>
      </c>
      <c r="O15" s="426"/>
      <c r="P15" s="426" t="s">
        <v>21</v>
      </c>
      <c r="Q15" s="426"/>
      <c r="R15" s="426" t="s">
        <v>9</v>
      </c>
      <c r="T15" s="56"/>
      <c r="U15" s="56"/>
      <c r="V15" s="56"/>
      <c r="Z15" s="56"/>
      <c r="AA15" s="56"/>
      <c r="AB15" s="56"/>
      <c r="AC15" s="56"/>
      <c r="AD15" s="56"/>
      <c r="AE15" s="56"/>
      <c r="AF15" s="56"/>
      <c r="AG15" s="155"/>
      <c r="AH15" s="56"/>
      <c r="AI15" s="56"/>
      <c r="AJ15" s="56"/>
      <c r="AK15" s="155"/>
      <c r="AL15" s="56"/>
      <c r="AM15" s="56"/>
      <c r="AN15" s="56"/>
    </row>
    <row r="16" spans="1:40" x14ac:dyDescent="0.25">
      <c r="A16" s="426" t="s">
        <v>24</v>
      </c>
      <c r="B16" s="378"/>
      <c r="C16" s="426" t="s">
        <v>25</v>
      </c>
      <c r="D16" s="426" t="s">
        <v>26</v>
      </c>
      <c r="E16" s="426"/>
      <c r="F16" s="426" t="s">
        <v>27</v>
      </c>
      <c r="G16" s="378"/>
      <c r="H16" s="426" t="s">
        <v>28</v>
      </c>
      <c r="I16" s="426"/>
      <c r="J16" s="426" t="s">
        <v>29</v>
      </c>
      <c r="K16" s="426"/>
      <c r="L16" s="426" t="s">
        <v>9</v>
      </c>
      <c r="M16" s="426"/>
      <c r="N16" s="426" t="s">
        <v>9</v>
      </c>
      <c r="O16" s="426"/>
      <c r="P16" s="426" t="s">
        <v>9</v>
      </c>
      <c r="Q16" s="426"/>
      <c r="R16" s="265" t="s">
        <v>30</v>
      </c>
      <c r="T16" s="56"/>
      <c r="U16" s="56"/>
      <c r="V16" s="56"/>
      <c r="Y16" s="56"/>
      <c r="Z16" s="56"/>
      <c r="AA16" s="56"/>
      <c r="AB16" s="56"/>
      <c r="AC16" s="56"/>
      <c r="AD16" s="56"/>
      <c r="AE16" s="56"/>
      <c r="AF16" s="56"/>
      <c r="AG16" s="155"/>
      <c r="AH16" s="56"/>
      <c r="AI16" s="56"/>
      <c r="AJ16" s="56"/>
      <c r="AK16" s="155"/>
      <c r="AL16" s="56"/>
      <c r="AM16" s="56"/>
      <c r="AN16" s="56"/>
    </row>
    <row r="17" spans="1:40" x14ac:dyDescent="0.25">
      <c r="A17" s="378"/>
      <c r="B17" s="378"/>
      <c r="C17" s="265" t="s">
        <v>35</v>
      </c>
      <c r="D17" s="265" t="s">
        <v>36</v>
      </c>
      <c r="E17" s="265"/>
      <c r="F17" s="265" t="s">
        <v>37</v>
      </c>
      <c r="G17" s="218"/>
      <c r="H17" s="265" t="s">
        <v>38</v>
      </c>
      <c r="I17" s="265"/>
      <c r="J17" s="265" t="s">
        <v>39</v>
      </c>
      <c r="K17" s="265"/>
      <c r="L17" s="265" t="s">
        <v>40</v>
      </c>
      <c r="M17" s="265"/>
      <c r="N17" s="265" t="s">
        <v>41</v>
      </c>
      <c r="O17" s="265"/>
      <c r="P17" s="265" t="s">
        <v>42</v>
      </c>
      <c r="Q17" s="265"/>
      <c r="R17" s="265" t="s">
        <v>43</v>
      </c>
      <c r="T17" s="56"/>
      <c r="U17" s="56"/>
      <c r="V17" s="56"/>
      <c r="Y17" s="56"/>
      <c r="Z17" s="56"/>
      <c r="AA17" s="56"/>
      <c r="AB17" s="56"/>
      <c r="AC17" s="56"/>
      <c r="AD17" s="56"/>
      <c r="AE17" s="56"/>
      <c r="AF17" s="56"/>
      <c r="AG17" s="155"/>
      <c r="AH17" s="56"/>
      <c r="AI17" s="56"/>
      <c r="AJ17" s="56"/>
      <c r="AK17" s="155"/>
      <c r="AL17" s="56"/>
      <c r="AM17" s="56"/>
      <c r="AN17" s="56"/>
    </row>
    <row r="18" spans="1:40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154"/>
      <c r="AH18" s="55"/>
      <c r="AI18" s="55"/>
      <c r="AJ18" s="55"/>
      <c r="AK18" s="154"/>
      <c r="AL18" s="55"/>
      <c r="AM18" s="55"/>
      <c r="AN18" s="55"/>
    </row>
    <row r="19" spans="1:40" ht="17.100000000000001" customHeight="1" x14ac:dyDescent="0.25">
      <c r="A19" s="378"/>
      <c r="B19" s="378"/>
      <c r="C19" s="378"/>
      <c r="D19" s="378"/>
      <c r="E19" s="378"/>
      <c r="F19" s="378"/>
      <c r="G19" s="378"/>
      <c r="H19" s="442" t="s">
        <v>51</v>
      </c>
      <c r="I19" s="441"/>
      <c r="J19" s="442" t="s">
        <v>368</v>
      </c>
      <c r="K19" s="441"/>
      <c r="L19" s="441" t="s">
        <v>52</v>
      </c>
      <c r="M19" s="441"/>
      <c r="N19" s="441" t="s">
        <v>53</v>
      </c>
      <c r="O19" s="441"/>
      <c r="P19" s="441" t="s">
        <v>52</v>
      </c>
      <c r="Q19" s="441"/>
      <c r="R19" s="441" t="s">
        <v>52</v>
      </c>
      <c r="Y19" s="56"/>
      <c r="Z19" s="56"/>
      <c r="AA19" s="56"/>
      <c r="AB19" s="56"/>
      <c r="AC19" s="56"/>
      <c r="AD19" s="56"/>
      <c r="AE19" s="56"/>
      <c r="AF19" s="56"/>
      <c r="AG19" s="155"/>
      <c r="AH19" s="56"/>
      <c r="AI19" s="56"/>
      <c r="AJ19" s="56"/>
      <c r="AK19" s="155"/>
      <c r="AL19" s="56"/>
      <c r="AM19" s="56"/>
      <c r="AN19" s="56"/>
    </row>
    <row r="20" spans="1:40" x14ac:dyDescent="0.25">
      <c r="A20" s="45">
        <v>1</v>
      </c>
      <c r="B20" s="378"/>
      <c r="C20" s="222" t="s">
        <v>362</v>
      </c>
      <c r="D20" s="501" t="s">
        <v>424</v>
      </c>
      <c r="E20" s="46"/>
      <c r="F20" s="2"/>
      <c r="G20" s="2"/>
      <c r="H20" s="2"/>
      <c r="I20" s="2"/>
      <c r="J20" s="2"/>
      <c r="K20" s="2"/>
      <c r="L20" s="2"/>
      <c r="M20" s="2"/>
      <c r="N20" s="2"/>
      <c r="O20" s="2"/>
      <c r="P20" s="84"/>
      <c r="Q20" s="84"/>
      <c r="R20" s="84"/>
      <c r="T20" s="54"/>
      <c r="U20" s="54"/>
    </row>
    <row r="21" spans="1:40" x14ac:dyDescent="0.25">
      <c r="A21" s="45">
        <v>2</v>
      </c>
      <c r="B21" s="378"/>
      <c r="C21" s="222"/>
      <c r="D21" s="218" t="s">
        <v>139</v>
      </c>
      <c r="E21" s="378"/>
      <c r="F21" s="2"/>
      <c r="G21" s="2"/>
      <c r="H21" s="2"/>
      <c r="I21" s="2"/>
      <c r="J21" s="2"/>
      <c r="K21" s="2"/>
      <c r="L21" s="2"/>
      <c r="M21" s="2"/>
      <c r="N21" s="2"/>
      <c r="O21" s="2"/>
      <c r="P21" s="84"/>
      <c r="Q21" s="84"/>
      <c r="R21" s="84"/>
      <c r="T21" s="54"/>
    </row>
    <row r="22" spans="1:40" ht="21.75" customHeight="1" x14ac:dyDescent="0.25">
      <c r="A22" s="45"/>
      <c r="B22" s="378"/>
      <c r="C22" s="46"/>
      <c r="D22" s="378"/>
      <c r="E22" s="378"/>
      <c r="F22" s="2"/>
      <c r="G22" s="2"/>
      <c r="H22" s="2"/>
      <c r="I22" s="2"/>
      <c r="J22" s="2"/>
      <c r="K22" s="2"/>
      <c r="L22" s="2"/>
      <c r="M22" s="2"/>
      <c r="N22" s="2"/>
      <c r="O22" s="2"/>
      <c r="P22" s="84"/>
      <c r="Q22" s="84"/>
      <c r="R22" s="84"/>
      <c r="T22" s="54"/>
    </row>
    <row r="23" spans="1:40" x14ac:dyDescent="0.25">
      <c r="A23" s="45">
        <v>3</v>
      </c>
      <c r="B23" s="378"/>
      <c r="C23" s="222" t="s">
        <v>140</v>
      </c>
      <c r="D23" s="378"/>
      <c r="E23" s="378"/>
      <c r="F23" s="2"/>
      <c r="G23" s="2"/>
      <c r="H23" s="2"/>
      <c r="I23" s="2"/>
      <c r="J23" s="2"/>
      <c r="K23" s="2"/>
      <c r="L23" s="2"/>
      <c r="M23" s="2"/>
      <c r="N23" s="2"/>
      <c r="O23" s="2"/>
      <c r="P23" s="84"/>
      <c r="Q23" s="84"/>
      <c r="R23" s="84"/>
      <c r="S23" s="379"/>
      <c r="T23" s="54"/>
      <c r="V23" s="379"/>
      <c r="Y23" s="379"/>
      <c r="Z23" s="461"/>
      <c r="AA23" s="379"/>
      <c r="AB23" s="379"/>
      <c r="AC23" s="50"/>
      <c r="AD23" s="50"/>
      <c r="AE23" s="379"/>
      <c r="AF23" s="379"/>
      <c r="AG23" s="156"/>
      <c r="AH23" s="50"/>
      <c r="AI23" s="379"/>
      <c r="AJ23" s="379"/>
      <c r="AK23" s="156"/>
      <c r="AL23" s="379"/>
      <c r="AM23" s="50"/>
      <c r="AN23" s="50"/>
    </row>
    <row r="24" spans="1:40" x14ac:dyDescent="0.25">
      <c r="A24" s="45">
        <v>4</v>
      </c>
      <c r="B24" s="378"/>
      <c r="C24" s="46" t="s">
        <v>367</v>
      </c>
      <c r="D24" s="378"/>
      <c r="E24" s="378"/>
      <c r="F24" s="392">
        <v>0</v>
      </c>
      <c r="G24" s="2"/>
      <c r="H24" s="86"/>
      <c r="I24" s="2"/>
      <c r="J24" s="450">
        <f>INPUT!D153</f>
        <v>183</v>
      </c>
      <c r="K24" s="2"/>
      <c r="L24" s="5">
        <f>ROUND(+F24*J24,0)</f>
        <v>0</v>
      </c>
      <c r="M24" s="2"/>
      <c r="N24" s="88">
        <v>0</v>
      </c>
      <c r="O24" s="2"/>
      <c r="P24" s="5"/>
      <c r="Q24" s="97"/>
      <c r="R24" s="5">
        <f>L24+P24</f>
        <v>0</v>
      </c>
      <c r="S24" s="379"/>
      <c r="T24" s="54"/>
      <c r="V24" s="379"/>
      <c r="Y24" s="379"/>
      <c r="Z24" s="463"/>
      <c r="AA24" s="379"/>
      <c r="AB24" s="379"/>
      <c r="AC24" s="50"/>
      <c r="AD24" s="50"/>
      <c r="AE24" s="379"/>
      <c r="AF24" s="379"/>
      <c r="AG24" s="156"/>
      <c r="AH24" s="50"/>
      <c r="AI24" s="379"/>
      <c r="AJ24" s="379"/>
      <c r="AK24" s="156"/>
      <c r="AL24" s="379"/>
      <c r="AM24" s="50"/>
      <c r="AN24" s="50"/>
    </row>
    <row r="25" spans="1:40" ht="20.100000000000001" customHeight="1" x14ac:dyDescent="0.25">
      <c r="A25" s="45">
        <v>5</v>
      </c>
      <c r="B25" s="378"/>
      <c r="C25" s="222" t="s">
        <v>143</v>
      </c>
      <c r="D25" s="378"/>
      <c r="E25" s="378"/>
      <c r="F25" s="83"/>
      <c r="G25" s="2"/>
      <c r="H25" s="5"/>
      <c r="I25" s="2"/>
      <c r="J25" s="502"/>
      <c r="K25" s="2"/>
      <c r="L25" s="90">
        <f>SUM(L24:L24)</f>
        <v>0</v>
      </c>
      <c r="M25" s="2"/>
      <c r="N25" s="93">
        <v>0</v>
      </c>
      <c r="O25" s="2"/>
      <c r="P25" s="90"/>
      <c r="Q25" s="83"/>
      <c r="R25" s="90">
        <f>SUM(R24:R24)</f>
        <v>0</v>
      </c>
      <c r="S25" s="379"/>
      <c r="V25" s="381"/>
      <c r="Y25" s="381"/>
      <c r="Z25" s="464"/>
      <c r="AA25" s="381"/>
      <c r="AB25" s="381"/>
      <c r="AC25" s="381"/>
      <c r="AD25" s="381"/>
      <c r="AE25" s="381"/>
      <c r="AF25" s="381"/>
      <c r="AI25" s="381"/>
      <c r="AJ25" s="381"/>
      <c r="AK25" s="162"/>
      <c r="AL25" s="381"/>
      <c r="AM25" s="50"/>
      <c r="AN25" s="50"/>
    </row>
    <row r="26" spans="1:40" ht="19.5" customHeight="1" x14ac:dyDescent="0.25">
      <c r="A26" s="45"/>
      <c r="B26" s="378"/>
      <c r="C26" s="46"/>
      <c r="D26" s="378"/>
      <c r="E26" s="378"/>
      <c r="F26" s="83"/>
      <c r="G26" s="2"/>
      <c r="H26" s="5"/>
      <c r="I26" s="2"/>
      <c r="J26" s="502"/>
      <c r="K26" s="2"/>
      <c r="L26" s="83"/>
      <c r="M26" s="2"/>
      <c r="N26" s="91"/>
      <c r="O26" s="2"/>
      <c r="P26" s="83"/>
      <c r="Q26" s="83"/>
      <c r="R26" s="83"/>
      <c r="S26" s="379"/>
      <c r="V26" s="381"/>
      <c r="Y26" s="381"/>
      <c r="Z26" s="464"/>
      <c r="AA26" s="381"/>
      <c r="AB26" s="381"/>
      <c r="AC26" s="381"/>
      <c r="AD26" s="381"/>
      <c r="AE26" s="381"/>
      <c r="AF26" s="381"/>
      <c r="AI26" s="381"/>
      <c r="AJ26" s="381"/>
      <c r="AK26" s="162"/>
      <c r="AL26" s="381"/>
      <c r="AM26" s="50"/>
      <c r="AN26" s="50"/>
    </row>
    <row r="27" spans="1:40" x14ac:dyDescent="0.25">
      <c r="A27" s="45">
        <v>6</v>
      </c>
      <c r="B27" s="378"/>
      <c r="C27" s="222" t="s">
        <v>432</v>
      </c>
      <c r="D27" s="378"/>
      <c r="E27" s="378"/>
      <c r="F27" s="5"/>
      <c r="G27" s="2"/>
      <c r="H27" s="5"/>
      <c r="I27" s="2"/>
      <c r="J27" s="51"/>
      <c r="K27" s="2"/>
      <c r="L27" s="5"/>
      <c r="M27" s="2"/>
      <c r="N27" s="6"/>
      <c r="O27" s="2"/>
      <c r="P27" s="5"/>
      <c r="Q27" s="83"/>
      <c r="R27" s="5"/>
      <c r="Y27" s="54"/>
    </row>
    <row r="28" spans="1:40" x14ac:dyDescent="0.25">
      <c r="A28" s="45">
        <v>7</v>
      </c>
      <c r="B28" s="378"/>
      <c r="C28" s="46" t="s">
        <v>443</v>
      </c>
      <c r="D28" s="378"/>
      <c r="E28" s="378"/>
      <c r="F28" s="86"/>
      <c r="G28" s="2"/>
      <c r="H28" s="392">
        <v>0</v>
      </c>
      <c r="I28" s="86"/>
      <c r="J28" s="457">
        <f>INPUT!D156</f>
        <v>1.5184E-2</v>
      </c>
      <c r="K28" s="454"/>
      <c r="L28" s="5">
        <f>ROUND((H28*J28),0)</f>
        <v>0</v>
      </c>
      <c r="M28" s="5"/>
      <c r="N28" s="6">
        <v>0</v>
      </c>
      <c r="O28" s="6"/>
      <c r="P28" s="86"/>
      <c r="Q28" s="86"/>
      <c r="R28" s="5">
        <f>L28+P28</f>
        <v>0</v>
      </c>
      <c r="S28" s="379"/>
      <c r="T28" s="54"/>
      <c r="V28" s="449"/>
      <c r="Y28" s="379"/>
      <c r="Z28" s="463"/>
      <c r="AA28" s="379"/>
      <c r="AB28" s="379"/>
      <c r="AC28" s="50"/>
      <c r="AD28" s="50"/>
      <c r="AE28" s="379"/>
      <c r="AF28" s="379"/>
      <c r="AG28" s="156"/>
      <c r="AH28" s="50"/>
      <c r="AI28" s="379"/>
      <c r="AJ28" s="379"/>
      <c r="AK28" s="156"/>
      <c r="AL28" s="379"/>
      <c r="AM28" s="50"/>
      <c r="AN28" s="50"/>
    </row>
    <row r="29" spans="1:40" ht="20.100000000000001" customHeight="1" x14ac:dyDescent="0.25">
      <c r="A29" s="45">
        <v>8</v>
      </c>
      <c r="B29" s="378"/>
      <c r="C29" s="46" t="s">
        <v>431</v>
      </c>
      <c r="D29" s="378"/>
      <c r="E29" s="378"/>
      <c r="F29" s="86"/>
      <c r="G29" s="2"/>
      <c r="H29" s="86">
        <f>H28</f>
        <v>0</v>
      </c>
      <c r="I29" s="86"/>
      <c r="J29" s="457">
        <f>INPUT!D160</f>
        <v>2.9462000000000002E-2</v>
      </c>
      <c r="K29" s="454"/>
      <c r="L29" s="5">
        <f>ROUND((H29*J29),0)</f>
        <v>0</v>
      </c>
      <c r="M29" s="5"/>
      <c r="N29" s="6">
        <v>0</v>
      </c>
      <c r="O29" s="6"/>
      <c r="P29" s="379">
        <f>ROUND(-H29*(CUR_FAC+CUR_BASE_FUEL),0)</f>
        <v>0</v>
      </c>
      <c r="Q29" s="86"/>
      <c r="R29" s="5">
        <f>L29+P29</f>
        <v>0</v>
      </c>
      <c r="S29" s="379"/>
      <c r="V29" s="381"/>
      <c r="Y29" s="381"/>
      <c r="Z29" s="464"/>
      <c r="AA29" s="381"/>
      <c r="AB29" s="381"/>
      <c r="AC29" s="381"/>
      <c r="AD29" s="381"/>
      <c r="AE29" s="381"/>
      <c r="AF29" s="381"/>
      <c r="AI29" s="381"/>
      <c r="AJ29" s="381"/>
      <c r="AK29" s="162"/>
      <c r="AL29" s="381"/>
      <c r="AM29" s="50"/>
      <c r="AN29" s="50"/>
    </row>
    <row r="30" spans="1:40" ht="20.100000000000001" customHeight="1" x14ac:dyDescent="0.25">
      <c r="A30" s="45">
        <v>9</v>
      </c>
      <c r="B30" s="378"/>
      <c r="C30" s="222" t="s">
        <v>149</v>
      </c>
      <c r="D30" s="378"/>
      <c r="E30" s="378"/>
      <c r="F30" s="81"/>
      <c r="G30" s="2"/>
      <c r="H30" s="90">
        <f>H28</f>
        <v>0</v>
      </c>
      <c r="I30" s="5"/>
      <c r="J30" s="267"/>
      <c r="K30" s="9"/>
      <c r="L30" s="90">
        <f>SUM(L28:L29)</f>
        <v>0</v>
      </c>
      <c r="M30" s="5"/>
      <c r="N30" s="93">
        <v>0</v>
      </c>
      <c r="O30" s="6"/>
      <c r="P30" s="89">
        <f>P29</f>
        <v>0</v>
      </c>
      <c r="Q30" s="5"/>
      <c r="R30" s="90">
        <f>SUM(R28:R29)</f>
        <v>0</v>
      </c>
      <c r="S30" s="379"/>
      <c r="V30" s="381"/>
      <c r="Y30" s="381"/>
      <c r="Z30" s="464"/>
      <c r="AA30" s="381"/>
      <c r="AB30" s="381"/>
      <c r="AC30" s="381"/>
      <c r="AD30" s="381"/>
      <c r="AE30" s="381"/>
      <c r="AF30" s="381"/>
      <c r="AI30" s="381"/>
      <c r="AJ30" s="381"/>
      <c r="AK30" s="162"/>
      <c r="AL30" s="381"/>
    </row>
    <row r="31" spans="1:40" ht="20.100000000000001" customHeight="1" x14ac:dyDescent="0.25">
      <c r="A31" s="45">
        <v>10</v>
      </c>
      <c r="B31" s="378"/>
      <c r="C31" s="444" t="s">
        <v>529</v>
      </c>
      <c r="D31" s="378"/>
      <c r="E31" s="378"/>
      <c r="F31" s="90">
        <f>F24</f>
        <v>0</v>
      </c>
      <c r="G31" s="2"/>
      <c r="H31" s="90">
        <f>H30</f>
        <v>0</v>
      </c>
      <c r="I31" s="5"/>
      <c r="J31" s="267"/>
      <c r="K31" s="9"/>
      <c r="L31" s="90">
        <f>L30+L25</f>
        <v>0</v>
      </c>
      <c r="M31" s="5"/>
      <c r="N31" s="88">
        <v>0</v>
      </c>
      <c r="O31" s="6"/>
      <c r="P31" s="89">
        <f>P30</f>
        <v>0</v>
      </c>
      <c r="Q31" s="5"/>
      <c r="R31" s="90">
        <f>R25+R30</f>
        <v>0</v>
      </c>
      <c r="S31" s="379"/>
      <c r="V31" s="381"/>
      <c r="Y31" s="381"/>
      <c r="Z31" s="464"/>
      <c r="AA31" s="381"/>
      <c r="AB31" s="381"/>
      <c r="AC31" s="381"/>
      <c r="AD31" s="381"/>
      <c r="AE31" s="381"/>
      <c r="AF31" s="381"/>
      <c r="AI31" s="381"/>
      <c r="AJ31" s="381"/>
      <c r="AK31" s="162"/>
      <c r="AL31" s="381"/>
    </row>
    <row r="32" spans="1:40" ht="15.75" customHeight="1" x14ac:dyDescent="0.25">
      <c r="A32" s="45"/>
      <c r="B32" s="378"/>
      <c r="C32" s="46"/>
      <c r="D32" s="378"/>
      <c r="E32" s="378"/>
      <c r="F32" s="83"/>
      <c r="G32" s="2"/>
      <c r="H32" s="83"/>
      <c r="I32" s="5"/>
      <c r="J32" s="267"/>
      <c r="K32" s="9"/>
      <c r="L32" s="83"/>
      <c r="M32" s="5"/>
      <c r="N32" s="91"/>
      <c r="O32" s="6"/>
      <c r="P32" s="94"/>
      <c r="Q32" s="5"/>
      <c r="R32" s="83"/>
      <c r="S32" s="379"/>
      <c r="V32" s="381"/>
      <c r="Y32" s="381"/>
      <c r="Z32" s="464"/>
      <c r="AA32" s="381"/>
      <c r="AB32" s="381"/>
      <c r="AC32" s="381"/>
      <c r="AD32" s="381"/>
      <c r="AE32" s="381"/>
      <c r="AF32" s="381"/>
      <c r="AI32" s="381"/>
      <c r="AJ32" s="381"/>
      <c r="AK32" s="162"/>
      <c r="AL32" s="381"/>
    </row>
    <row r="33" spans="1:43" ht="15.75" customHeight="1" x14ac:dyDescent="0.25">
      <c r="A33" s="45">
        <v>11</v>
      </c>
      <c r="B33" s="378"/>
      <c r="C33" s="222" t="s">
        <v>504</v>
      </c>
      <c r="D33" s="378"/>
      <c r="E33" s="378"/>
      <c r="F33" s="83"/>
      <c r="G33" s="2"/>
      <c r="H33" s="83"/>
      <c r="I33" s="5"/>
      <c r="J33" s="267"/>
      <c r="K33" s="9"/>
      <c r="L33" s="83"/>
      <c r="M33" s="5"/>
      <c r="N33" s="91"/>
      <c r="O33" s="6"/>
      <c r="P33" s="94"/>
      <c r="Q33" s="5"/>
      <c r="R33" s="83"/>
      <c r="S33" s="379"/>
      <c r="V33" s="381"/>
      <c r="Y33" s="381"/>
      <c r="Z33" s="464"/>
      <c r="AA33" s="381"/>
      <c r="AB33" s="381"/>
      <c r="AC33" s="381"/>
      <c r="AD33" s="381"/>
      <c r="AE33" s="381"/>
      <c r="AF33" s="381"/>
      <c r="AI33" s="381"/>
      <c r="AJ33" s="381"/>
      <c r="AK33" s="162"/>
      <c r="AL33" s="381"/>
    </row>
    <row r="34" spans="1:43" ht="15.75" customHeight="1" x14ac:dyDescent="0.25">
      <c r="A34" s="45">
        <v>12</v>
      </c>
      <c r="B34" s="378"/>
      <c r="C34" s="216" t="s">
        <v>508</v>
      </c>
      <c r="D34" s="378"/>
      <c r="E34" s="378"/>
      <c r="F34" s="83"/>
      <c r="G34" s="2"/>
      <c r="H34" s="83"/>
      <c r="I34" s="5"/>
      <c r="J34" s="457">
        <f>PRO_DSM_DIST</f>
        <v>5.091E-3</v>
      </c>
      <c r="K34" s="9"/>
      <c r="L34" s="83">
        <f>ROUND(H31*PRO_DSM_DIST,0)</f>
        <v>0</v>
      </c>
      <c r="M34" s="5"/>
      <c r="N34" s="383">
        <v>0</v>
      </c>
      <c r="O34" s="6"/>
      <c r="P34" s="94"/>
      <c r="Q34" s="5"/>
      <c r="R34" s="5">
        <f t="shared" ref="R34:R35" si="0">L34+P34</f>
        <v>0</v>
      </c>
      <c r="S34" s="379"/>
      <c r="V34" s="381"/>
      <c r="Y34" s="381"/>
      <c r="Z34" s="464"/>
      <c r="AA34" s="381"/>
      <c r="AB34" s="381"/>
      <c r="AC34" s="381"/>
      <c r="AD34" s="381"/>
      <c r="AE34" s="381"/>
      <c r="AF34" s="381"/>
      <c r="AI34" s="381"/>
      <c r="AJ34" s="381"/>
      <c r="AK34" s="162"/>
      <c r="AL34" s="381"/>
    </row>
    <row r="35" spans="1:43" ht="15.75" customHeight="1" x14ac:dyDescent="0.25">
      <c r="A35" s="45">
        <v>13</v>
      </c>
      <c r="B35" s="378"/>
      <c r="C35" s="216" t="s">
        <v>506</v>
      </c>
      <c r="D35" s="378"/>
      <c r="E35" s="378"/>
      <c r="F35" s="83"/>
      <c r="G35" s="2"/>
      <c r="H35" s="83"/>
      <c r="I35" s="5"/>
      <c r="J35" s="457">
        <f>PRO_PSM</f>
        <v>-1.63E-4</v>
      </c>
      <c r="K35" s="9"/>
      <c r="L35" s="81">
        <f>ROUND(H31*PRO_PSM,0)</f>
        <v>0</v>
      </c>
      <c r="M35" s="5"/>
      <c r="N35" s="148">
        <v>0</v>
      </c>
      <c r="O35" s="6"/>
      <c r="P35" s="87"/>
      <c r="Q35" s="5"/>
      <c r="R35" s="5">
        <f t="shared" si="0"/>
        <v>0</v>
      </c>
      <c r="S35" s="379"/>
      <c r="V35" s="381"/>
      <c r="Y35" s="381"/>
      <c r="Z35" s="464"/>
      <c r="AA35" s="381"/>
      <c r="AB35" s="381"/>
      <c r="AC35" s="381"/>
      <c r="AD35" s="381"/>
      <c r="AE35" s="381"/>
      <c r="AF35" s="381"/>
      <c r="AI35" s="381"/>
      <c r="AJ35" s="381"/>
      <c r="AK35" s="162"/>
      <c r="AL35" s="381"/>
    </row>
    <row r="36" spans="1:43" ht="20.100000000000001" customHeight="1" x14ac:dyDescent="0.25">
      <c r="A36" s="45">
        <v>14</v>
      </c>
      <c r="B36" s="378"/>
      <c r="C36" s="222" t="s">
        <v>510</v>
      </c>
      <c r="D36" s="378"/>
      <c r="E36" s="378"/>
      <c r="F36" s="81"/>
      <c r="G36" s="2"/>
      <c r="H36" s="81"/>
      <c r="I36" s="5"/>
      <c r="J36" s="9"/>
      <c r="K36" s="9"/>
      <c r="L36" s="90">
        <f>SUM(L34:L35)</f>
        <v>0</v>
      </c>
      <c r="M36" s="5"/>
      <c r="N36" s="150">
        <v>0</v>
      </c>
      <c r="O36" s="6"/>
      <c r="P36" s="90">
        <f>SUM(P34:P35)</f>
        <v>0</v>
      </c>
      <c r="Q36" s="5"/>
      <c r="R36" s="90">
        <f>SUM(R34:R35)</f>
        <v>0</v>
      </c>
      <c r="S36" s="379"/>
      <c r="V36" s="381"/>
      <c r="Y36" s="381"/>
      <c r="Z36" s="464"/>
      <c r="AA36" s="381"/>
      <c r="AB36" s="381"/>
      <c r="AC36" s="381"/>
      <c r="AD36" s="381"/>
      <c r="AE36" s="381"/>
      <c r="AF36" s="381"/>
      <c r="AI36" s="381"/>
      <c r="AJ36" s="381"/>
      <c r="AK36" s="162"/>
      <c r="AL36" s="381"/>
    </row>
    <row r="37" spans="1:43" ht="15.75" customHeight="1" x14ac:dyDescent="0.25">
      <c r="A37" s="45"/>
      <c r="B37" s="378"/>
      <c r="C37" s="222"/>
      <c r="D37" s="378"/>
      <c r="E37" s="378"/>
      <c r="F37" s="83"/>
      <c r="G37" s="2"/>
      <c r="H37" s="83"/>
      <c r="I37" s="5"/>
      <c r="J37" s="9"/>
      <c r="K37" s="9"/>
      <c r="L37" s="83"/>
      <c r="M37" s="5"/>
      <c r="N37" s="91"/>
      <c r="O37" s="6"/>
      <c r="P37" s="94"/>
      <c r="Q37" s="5"/>
      <c r="R37" s="83"/>
      <c r="S37" s="379"/>
      <c r="V37" s="381"/>
      <c r="Y37" s="381"/>
      <c r="Z37" s="464"/>
      <c r="AA37" s="381"/>
      <c r="AB37" s="381"/>
      <c r="AC37" s="381"/>
      <c r="AD37" s="381"/>
      <c r="AE37" s="381"/>
      <c r="AF37" s="381"/>
      <c r="AI37" s="381"/>
      <c r="AJ37" s="381"/>
      <c r="AK37" s="162"/>
      <c r="AL37" s="381"/>
    </row>
    <row r="38" spans="1:43" ht="20.100000000000001" customHeight="1" thickBot="1" x14ac:dyDescent="0.3">
      <c r="A38" s="45">
        <v>15</v>
      </c>
      <c r="B38" s="378"/>
      <c r="C38" s="444" t="s">
        <v>530</v>
      </c>
      <c r="D38" s="378"/>
      <c r="E38" s="378"/>
      <c r="F38" s="82">
        <f>F31</f>
        <v>0</v>
      </c>
      <c r="G38" s="2"/>
      <c r="H38" s="82">
        <f>H31</f>
        <v>0</v>
      </c>
      <c r="I38" s="2"/>
      <c r="J38" s="2"/>
      <c r="K38" s="2"/>
      <c r="L38" s="82">
        <f>L36+L31</f>
        <v>0</v>
      </c>
      <c r="M38" s="2"/>
      <c r="N38" s="92">
        <v>100</v>
      </c>
      <c r="O38" s="2"/>
      <c r="P38" s="82">
        <f>P36+P31</f>
        <v>0</v>
      </c>
      <c r="Q38" s="94"/>
      <c r="R38" s="82">
        <f>R36+R31</f>
        <v>0</v>
      </c>
      <c r="T38" s="378"/>
      <c r="U38" s="378"/>
      <c r="V38" s="378"/>
      <c r="W38" s="378"/>
      <c r="X38" s="378"/>
      <c r="Y38" s="378"/>
      <c r="Z38" s="378"/>
      <c r="AA38" s="378"/>
      <c r="AB38" s="378"/>
      <c r="AC38" s="378"/>
      <c r="AD38" s="378"/>
      <c r="AE38" s="378"/>
      <c r="AF38" s="378"/>
      <c r="AG38" s="143"/>
      <c r="AH38" s="378"/>
      <c r="AI38" s="378"/>
      <c r="AJ38" s="378"/>
      <c r="AK38" s="143"/>
      <c r="AL38" s="378"/>
      <c r="AM38" s="378"/>
      <c r="AN38" s="378"/>
      <c r="AO38" s="378"/>
      <c r="AP38" s="378"/>
      <c r="AQ38" s="143"/>
    </row>
    <row r="39" spans="1:43" ht="16.5" thickTop="1" x14ac:dyDescent="0.25">
      <c r="A39" s="378"/>
      <c r="B39" s="378"/>
      <c r="C39" s="378"/>
      <c r="D39" s="378"/>
      <c r="E39" s="378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101"/>
      <c r="R39" s="2"/>
      <c r="T39" s="378"/>
      <c r="U39" s="378"/>
      <c r="V39" s="378"/>
      <c r="W39" s="378"/>
      <c r="X39" s="378"/>
      <c r="Y39" s="378"/>
      <c r="Z39" s="378"/>
      <c r="AA39" s="378"/>
      <c r="AB39" s="378"/>
      <c r="AC39" s="378"/>
      <c r="AD39" s="378"/>
      <c r="AE39" s="378"/>
      <c r="AF39" s="378"/>
      <c r="AG39" s="143"/>
      <c r="AH39" s="378"/>
      <c r="AI39" s="378"/>
      <c r="AJ39" s="378"/>
      <c r="AK39" s="143"/>
      <c r="AL39" s="378"/>
      <c r="AM39" s="378"/>
      <c r="AN39" s="378"/>
      <c r="AO39" s="378"/>
      <c r="AP39" s="378"/>
      <c r="AQ39" s="143"/>
    </row>
    <row r="40" spans="1:43" x14ac:dyDescent="0.25">
      <c r="A40" s="378"/>
      <c r="B40" s="378"/>
      <c r="C40" s="243" t="s">
        <v>61</v>
      </c>
      <c r="D40" s="378"/>
      <c r="E40" s="378"/>
      <c r="F40" s="378"/>
      <c r="G40" s="378"/>
      <c r="H40" s="378"/>
      <c r="I40" s="378"/>
      <c r="J40" s="378"/>
      <c r="K40" s="378"/>
      <c r="L40" s="48"/>
      <c r="M40" s="378"/>
      <c r="N40" s="48"/>
      <c r="O40" s="378"/>
      <c r="P40" s="48"/>
      <c r="Q40" s="379"/>
      <c r="R40" s="48"/>
      <c r="T40" s="378"/>
      <c r="U40" s="378"/>
      <c r="V40" s="378"/>
      <c r="W40" s="378"/>
      <c r="X40" s="378"/>
      <c r="Y40" s="378"/>
      <c r="Z40" s="378"/>
      <c r="AA40" s="378"/>
      <c r="AB40" s="378"/>
      <c r="AC40" s="378"/>
      <c r="AD40" s="378"/>
      <c r="AE40" s="378"/>
      <c r="AF40" s="378"/>
      <c r="AG40" s="143"/>
      <c r="AH40" s="378"/>
      <c r="AI40" s="378"/>
      <c r="AJ40" s="378"/>
      <c r="AK40" s="143"/>
      <c r="AL40" s="378"/>
      <c r="AM40" s="378"/>
      <c r="AN40" s="378"/>
      <c r="AO40" s="378"/>
      <c r="AP40" s="378"/>
      <c r="AQ40" s="143"/>
    </row>
    <row r="41" spans="1:43" x14ac:dyDescent="0.25">
      <c r="C41" s="46"/>
      <c r="F41" s="381">
        <v>0</v>
      </c>
      <c r="H41" s="381">
        <v>0</v>
      </c>
      <c r="I41" s="378"/>
      <c r="J41" s="381"/>
      <c r="K41" s="378"/>
      <c r="L41" s="464"/>
      <c r="M41" s="378"/>
      <c r="N41" s="464"/>
      <c r="O41" s="378"/>
      <c r="P41" s="381"/>
      <c r="Q41" s="381"/>
      <c r="R41" s="381"/>
      <c r="T41" s="378"/>
      <c r="U41" s="378"/>
      <c r="V41" s="378"/>
      <c r="W41" s="378"/>
      <c r="X41" s="378"/>
      <c r="Y41" s="378"/>
      <c r="Z41" s="378"/>
      <c r="AA41" s="378"/>
      <c r="AB41" s="378"/>
      <c r="AC41" s="378"/>
      <c r="AD41" s="378"/>
      <c r="AE41" s="378"/>
      <c r="AF41" s="378"/>
      <c r="AG41" s="143"/>
      <c r="AH41" s="378"/>
      <c r="AI41" s="378"/>
      <c r="AJ41" s="378"/>
      <c r="AK41" s="143"/>
      <c r="AL41" s="378"/>
      <c r="AM41" s="378"/>
      <c r="AN41" s="378"/>
      <c r="AO41" s="378"/>
      <c r="AP41" s="378"/>
      <c r="AQ41" s="143"/>
    </row>
    <row r="42" spans="1:43" x14ac:dyDescent="0.25">
      <c r="A42" s="53"/>
      <c r="C42" s="54"/>
      <c r="F42" s="379"/>
      <c r="H42" s="379"/>
      <c r="I42" s="378"/>
      <c r="J42" s="379"/>
      <c r="K42" s="378"/>
      <c r="L42" s="59"/>
      <c r="M42" s="378"/>
      <c r="N42" s="59"/>
      <c r="O42" s="378"/>
      <c r="P42" s="379"/>
      <c r="Q42" s="379"/>
      <c r="R42" s="379"/>
      <c r="T42" s="378"/>
      <c r="U42" s="378"/>
      <c r="V42" s="378"/>
      <c r="W42" s="378"/>
      <c r="X42" s="378"/>
      <c r="Y42" s="378"/>
      <c r="Z42" s="378"/>
      <c r="AA42" s="378"/>
      <c r="AB42" s="378"/>
      <c r="AC42" s="378"/>
      <c r="AD42" s="378"/>
      <c r="AE42" s="378"/>
      <c r="AF42" s="378"/>
      <c r="AG42" s="143"/>
      <c r="AH42" s="378"/>
      <c r="AI42" s="378"/>
      <c r="AJ42" s="378"/>
      <c r="AK42" s="143"/>
      <c r="AL42" s="378"/>
      <c r="AM42" s="378"/>
      <c r="AN42" s="378"/>
      <c r="AO42" s="378"/>
      <c r="AP42" s="378"/>
      <c r="AQ42" s="143"/>
    </row>
    <row r="43" spans="1:43" x14ac:dyDescent="0.25">
      <c r="A43" s="53"/>
      <c r="C43" s="54"/>
      <c r="F43" s="379"/>
      <c r="H43" s="379"/>
      <c r="I43" s="378"/>
      <c r="J43" s="379"/>
      <c r="K43" s="378"/>
      <c r="L43" s="59"/>
      <c r="M43" s="378"/>
      <c r="N43" s="59"/>
      <c r="O43" s="378"/>
      <c r="P43" s="379"/>
      <c r="Q43" s="379"/>
      <c r="R43" s="379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143"/>
      <c r="AH43" s="378"/>
      <c r="AI43" s="378"/>
      <c r="AJ43" s="378"/>
      <c r="AK43" s="143"/>
      <c r="AL43" s="378"/>
      <c r="AM43" s="378"/>
      <c r="AN43" s="378"/>
      <c r="AO43" s="378"/>
      <c r="AP43" s="378"/>
      <c r="AQ43" s="143"/>
    </row>
    <row r="44" spans="1:43" x14ac:dyDescent="0.25">
      <c r="F44" s="379"/>
      <c r="H44" s="379"/>
      <c r="I44" s="378"/>
      <c r="J44" s="379"/>
      <c r="K44" s="378"/>
      <c r="L44" s="59"/>
      <c r="M44" s="378"/>
      <c r="N44" s="59"/>
      <c r="O44" s="378"/>
      <c r="P44" s="379"/>
      <c r="Q44" s="379"/>
      <c r="R44" s="379"/>
      <c r="T44" s="378"/>
      <c r="U44" s="378"/>
      <c r="V44" s="378"/>
      <c r="W44" s="378"/>
      <c r="X44" s="378"/>
      <c r="Y44" s="378"/>
      <c r="Z44" s="378"/>
      <c r="AA44" s="378"/>
      <c r="AB44" s="378"/>
      <c r="AC44" s="378"/>
      <c r="AD44" s="378"/>
      <c r="AE44" s="378"/>
      <c r="AF44" s="378"/>
      <c r="AG44" s="143"/>
      <c r="AH44" s="378"/>
      <c r="AI44" s="378"/>
      <c r="AJ44" s="378"/>
      <c r="AK44" s="143"/>
      <c r="AL44" s="378"/>
      <c r="AM44" s="378"/>
      <c r="AN44" s="378"/>
      <c r="AO44" s="378"/>
      <c r="AP44" s="378"/>
      <c r="AQ44" s="143"/>
    </row>
    <row r="45" spans="1:43" x14ac:dyDescent="0.25">
      <c r="A45" s="54"/>
      <c r="F45" s="379"/>
      <c r="H45" s="379"/>
      <c r="I45" s="378"/>
      <c r="J45" s="379"/>
      <c r="K45" s="378"/>
      <c r="L45" s="59"/>
      <c r="M45" s="378"/>
      <c r="N45" s="59"/>
      <c r="O45" s="378"/>
      <c r="P45" s="379"/>
      <c r="Q45" s="379"/>
      <c r="R45" s="379"/>
      <c r="T45" s="43" t="str">
        <f>NAME</f>
        <v>DUKE ENERGY KENTUCKY, INC.</v>
      </c>
      <c r="U45" s="43"/>
      <c r="V45" s="43"/>
      <c r="W45" s="43"/>
      <c r="X45" s="43"/>
      <c r="Y45" s="43"/>
      <c r="Z45" s="43"/>
      <c r="AA45" s="43"/>
      <c r="AB45" s="43"/>
      <c r="AC45" s="44"/>
      <c r="AD45" s="44"/>
      <c r="AE45" s="43"/>
      <c r="AF45" s="57"/>
      <c r="AG45" s="144"/>
      <c r="AH45" s="57"/>
      <c r="AI45" s="43"/>
      <c r="AJ45" s="43"/>
      <c r="AK45" s="144"/>
      <c r="AL45" s="43"/>
      <c r="AM45" s="43"/>
      <c r="AN45" s="57"/>
      <c r="AO45" s="43"/>
      <c r="AP45" s="43"/>
      <c r="AQ45" s="144"/>
    </row>
    <row r="46" spans="1:43" x14ac:dyDescent="0.25">
      <c r="A46" s="54"/>
      <c r="F46" s="379"/>
      <c r="H46" s="379"/>
      <c r="I46" s="378"/>
      <c r="J46" s="379"/>
      <c r="K46" s="378"/>
      <c r="L46" s="59"/>
      <c r="M46" s="378"/>
      <c r="N46" s="59"/>
      <c r="O46" s="378"/>
      <c r="P46" s="379"/>
      <c r="Q46" s="379"/>
      <c r="R46" s="379"/>
      <c r="T46" s="43" t="str">
        <f>CASE_NO</f>
        <v>CASE NO.   2019-000271</v>
      </c>
      <c r="U46" s="43"/>
      <c r="V46" s="43"/>
      <c r="W46" s="43"/>
      <c r="X46" s="43"/>
      <c r="Y46" s="43"/>
      <c r="Z46" s="43"/>
      <c r="AA46" s="43"/>
      <c r="AB46" s="43"/>
      <c r="AC46" s="44"/>
      <c r="AD46" s="44"/>
      <c r="AE46" s="43"/>
      <c r="AF46" s="57"/>
      <c r="AG46" s="144"/>
      <c r="AH46" s="57"/>
      <c r="AI46" s="43"/>
      <c r="AJ46" s="43"/>
      <c r="AK46" s="144"/>
      <c r="AL46" s="43"/>
      <c r="AM46" s="43"/>
      <c r="AN46" s="57"/>
      <c r="AO46" s="43"/>
      <c r="AP46" s="43"/>
      <c r="AQ46" s="144"/>
    </row>
    <row r="47" spans="1:43" x14ac:dyDescent="0.25">
      <c r="I47" s="378"/>
      <c r="K47" s="378"/>
      <c r="M47" s="378"/>
      <c r="O47" s="378"/>
      <c r="T47" s="44" t="str">
        <f>TITLE</f>
        <v>ANNUALIZED BASE YEAR REVENUES AT PROPOSED VS. MOST CURRENT RATES</v>
      </c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57"/>
      <c r="AG47" s="144"/>
      <c r="AH47" s="57"/>
      <c r="AI47" s="43"/>
      <c r="AJ47" s="43"/>
      <c r="AK47" s="144"/>
      <c r="AL47" s="43"/>
      <c r="AM47" s="43"/>
      <c r="AN47" s="57"/>
      <c r="AO47" s="43"/>
      <c r="AP47" s="43"/>
      <c r="AQ47" s="144"/>
    </row>
    <row r="48" spans="1:43" x14ac:dyDescent="0.25">
      <c r="I48" s="378"/>
      <c r="K48" s="378"/>
      <c r="M48" s="378"/>
      <c r="O48" s="378"/>
      <c r="T48" s="43" t="str">
        <f>DATE</f>
        <v>FOR THE TWELVE MONTHS ENDED November 30, 2019</v>
      </c>
      <c r="U48" s="43"/>
      <c r="V48" s="43"/>
      <c r="W48" s="43"/>
      <c r="X48" s="43"/>
      <c r="Y48" s="43"/>
      <c r="Z48" s="43"/>
      <c r="AA48" s="43"/>
      <c r="AB48" s="43"/>
      <c r="AC48" s="44"/>
      <c r="AD48" s="44"/>
      <c r="AE48" s="43"/>
      <c r="AF48" s="57"/>
      <c r="AG48" s="144"/>
      <c r="AH48" s="57"/>
      <c r="AI48" s="43"/>
      <c r="AJ48" s="43"/>
      <c r="AK48" s="144"/>
      <c r="AL48" s="43"/>
      <c r="AM48" s="43"/>
      <c r="AN48" s="57"/>
      <c r="AO48" s="43"/>
      <c r="AP48" s="43"/>
      <c r="AQ48" s="144"/>
    </row>
    <row r="49" spans="1:43" x14ac:dyDescent="0.25">
      <c r="I49" s="378"/>
      <c r="K49" s="378"/>
      <c r="M49" s="378"/>
      <c r="O49" s="378"/>
      <c r="P49" s="379"/>
      <c r="Q49" s="379"/>
      <c r="R49" s="379"/>
      <c r="T49" s="43" t="str">
        <f>SERVICE</f>
        <v>(ELECTRIC SERVICE)</v>
      </c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4"/>
      <c r="AF49" s="58"/>
      <c r="AG49" s="144"/>
      <c r="AH49" s="57"/>
      <c r="AI49" s="43"/>
      <c r="AJ49" s="43"/>
      <c r="AK49" s="144"/>
      <c r="AL49" s="43"/>
      <c r="AM49" s="43"/>
      <c r="AN49" s="57"/>
      <c r="AO49" s="43"/>
      <c r="AP49" s="43"/>
      <c r="AQ49" s="144"/>
    </row>
    <row r="50" spans="1:43" x14ac:dyDescent="0.25">
      <c r="I50" s="378"/>
      <c r="K50" s="378"/>
      <c r="M50" s="378"/>
      <c r="O50" s="378"/>
      <c r="T50" s="45" t="str">
        <f>DATA_PERIOD</f>
        <v>DATA: __X__ BASE PERIOD   ____FORECASTED PERIOD</v>
      </c>
      <c r="U50" s="378"/>
      <c r="V50" s="378"/>
      <c r="W50" s="378"/>
      <c r="X50" s="378"/>
      <c r="Y50" s="378"/>
      <c r="Z50" s="378"/>
      <c r="AA50" s="378"/>
      <c r="AB50" s="378"/>
      <c r="AC50" s="378"/>
      <c r="AD50" s="378"/>
      <c r="AE50" s="378"/>
      <c r="AG50" s="143"/>
      <c r="AI50" s="378"/>
      <c r="AJ50" s="378"/>
      <c r="AK50" s="143"/>
      <c r="AL50" s="378"/>
      <c r="AM50" s="378"/>
      <c r="AO50" s="46" t="s">
        <v>164</v>
      </c>
      <c r="AP50" s="46"/>
      <c r="AQ50" s="143"/>
    </row>
    <row r="51" spans="1:43" x14ac:dyDescent="0.25">
      <c r="I51" s="378"/>
      <c r="K51" s="378"/>
      <c r="L51" s="53"/>
      <c r="M51" s="378"/>
      <c r="N51" s="53"/>
      <c r="O51" s="378"/>
      <c r="T51" s="45" t="str">
        <f>TYPE</f>
        <v>TYPE OF FILING: _X_ ORIGINAL   ___UPDATED  ___ REVISED</v>
      </c>
      <c r="U51" s="378"/>
      <c r="V51" s="378"/>
      <c r="W51" s="378"/>
      <c r="X51" s="378"/>
      <c r="Y51" s="378"/>
      <c r="Z51" s="378"/>
      <c r="AA51" s="378"/>
      <c r="AB51" s="378"/>
      <c r="AC51" s="378"/>
      <c r="AD51" s="378"/>
      <c r="AE51" s="378"/>
      <c r="AG51" s="143"/>
      <c r="AI51" s="378"/>
      <c r="AJ51" s="378"/>
      <c r="AK51" s="143"/>
      <c r="AL51" s="378"/>
      <c r="AM51" s="378"/>
      <c r="AO51" s="52" t="str">
        <f>R7</f>
        <v>PAGE  xx  OF  20</v>
      </c>
      <c r="AP51" s="46"/>
      <c r="AQ51" s="143"/>
    </row>
    <row r="52" spans="1:43" x14ac:dyDescent="0.25">
      <c r="H52" s="54"/>
      <c r="I52" s="378"/>
      <c r="J52" s="54"/>
      <c r="K52" s="378"/>
      <c r="M52" s="378"/>
      <c r="O52" s="378"/>
      <c r="T52" s="46" t="s">
        <v>177</v>
      </c>
      <c r="U52" s="378"/>
      <c r="V52" s="378"/>
      <c r="W52" s="378"/>
      <c r="X52" s="378"/>
      <c r="Y52" s="378"/>
      <c r="Z52" s="378"/>
      <c r="AA52" s="378"/>
      <c r="AB52" s="378"/>
      <c r="AC52" s="378"/>
      <c r="AD52" s="378"/>
      <c r="AE52" s="378"/>
      <c r="AG52" s="143"/>
      <c r="AI52" s="378"/>
      <c r="AJ52" s="378"/>
      <c r="AK52" s="143"/>
      <c r="AL52" s="378"/>
      <c r="AM52" s="378"/>
      <c r="AO52" s="46" t="s">
        <v>3</v>
      </c>
      <c r="AP52" s="46"/>
      <c r="AQ52" s="143"/>
    </row>
    <row r="53" spans="1:43" x14ac:dyDescent="0.25">
      <c r="I53" s="378"/>
      <c r="K53" s="378"/>
      <c r="L53" s="53"/>
      <c r="M53" s="378"/>
      <c r="N53" s="53"/>
      <c r="O53" s="378"/>
      <c r="T53" s="222" t="str">
        <f>TIME</f>
        <v>6 Months Actual and 6 Months Projected with Riders</v>
      </c>
      <c r="U53" s="378"/>
      <c r="V53" s="378"/>
      <c r="W53" s="378"/>
      <c r="X53" s="378"/>
      <c r="Y53" s="378"/>
      <c r="Z53" s="378"/>
      <c r="AA53" s="378"/>
      <c r="AB53" s="378"/>
      <c r="AC53" s="378"/>
      <c r="AD53" s="378"/>
      <c r="AE53" s="378"/>
      <c r="AG53" s="143"/>
      <c r="AI53" s="378"/>
      <c r="AJ53" s="378"/>
      <c r="AK53" s="143"/>
      <c r="AL53" s="378"/>
      <c r="AM53" s="378"/>
      <c r="AO53" s="45" t="str">
        <f>WIT</f>
        <v>J. L. Kern</v>
      </c>
      <c r="AP53" s="45"/>
      <c r="AQ53" s="143"/>
    </row>
    <row r="54" spans="1:43" x14ac:dyDescent="0.25">
      <c r="I54" s="378"/>
      <c r="K54" s="378"/>
      <c r="L54" s="53"/>
      <c r="M54" s="378"/>
      <c r="N54" s="53"/>
      <c r="O54" s="378"/>
      <c r="T54" s="222" t="str">
        <f>INPUT!B5</f>
        <v>6 Months Actual Ending May 31, 2019</v>
      </c>
      <c r="U54" s="378"/>
      <c r="V54" s="378"/>
      <c r="W54" s="378"/>
      <c r="X54" s="378"/>
      <c r="Y54" s="378"/>
      <c r="Z54" s="378"/>
      <c r="AA54" s="378"/>
      <c r="AB54" s="378"/>
      <c r="AC54" s="378"/>
      <c r="AD54" s="378"/>
      <c r="AE54" s="378"/>
      <c r="AG54" s="143"/>
      <c r="AI54" s="378"/>
      <c r="AJ54" s="378"/>
      <c r="AK54" s="143"/>
      <c r="AL54" s="378"/>
      <c r="AM54" s="378"/>
      <c r="AO54" s="45"/>
      <c r="AP54" s="45"/>
      <c r="AQ54" s="143"/>
    </row>
    <row r="55" spans="1:43" x14ac:dyDescent="0.25">
      <c r="I55" s="378"/>
      <c r="K55" s="378"/>
      <c r="M55" s="378"/>
      <c r="O55" s="378"/>
      <c r="P55" s="54"/>
      <c r="T55" s="44" t="s">
        <v>137</v>
      </c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57"/>
      <c r="AG55" s="144"/>
      <c r="AH55" s="57"/>
      <c r="AI55" s="43"/>
      <c r="AJ55" s="43"/>
      <c r="AK55" s="144"/>
      <c r="AL55" s="43"/>
      <c r="AM55" s="43"/>
      <c r="AN55" s="57"/>
      <c r="AO55" s="43"/>
      <c r="AP55" s="43"/>
      <c r="AQ55" s="144"/>
    </row>
    <row r="56" spans="1:43" x14ac:dyDescent="0.25">
      <c r="A56" s="53"/>
      <c r="I56" s="378"/>
      <c r="K56" s="378"/>
      <c r="M56" s="378"/>
      <c r="R56" s="54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145"/>
      <c r="AH56" s="47"/>
      <c r="AI56" s="47"/>
      <c r="AJ56" s="47"/>
      <c r="AK56" s="145"/>
      <c r="AL56" s="47"/>
      <c r="AM56" s="47"/>
      <c r="AN56" s="47"/>
      <c r="AO56" s="47"/>
      <c r="AP56" s="47"/>
      <c r="AQ56" s="145"/>
    </row>
    <row r="57" spans="1:43" ht="18" customHeight="1" x14ac:dyDescent="0.25">
      <c r="A57" s="53"/>
      <c r="I57" s="378"/>
      <c r="K57" s="378"/>
      <c r="M57" s="378"/>
      <c r="R57" s="54"/>
      <c r="T57" s="378"/>
      <c r="U57" s="378"/>
      <c r="V57" s="378"/>
      <c r="W57" s="378"/>
      <c r="X57" s="378"/>
      <c r="Y57" s="378"/>
      <c r="Z57" s="378"/>
      <c r="AA57" s="378"/>
      <c r="AB57" s="378"/>
      <c r="AC57" s="378"/>
      <c r="AD57" s="378"/>
      <c r="AE57" s="426" t="s">
        <v>8</v>
      </c>
      <c r="AF57" s="56"/>
      <c r="AG57" s="146" t="s">
        <v>7</v>
      </c>
      <c r="AH57" s="56"/>
      <c r="AI57" s="426" t="s">
        <v>9</v>
      </c>
      <c r="AJ57" s="426"/>
      <c r="AK57" s="146" t="s">
        <v>10</v>
      </c>
      <c r="AL57" s="426"/>
      <c r="AM57" s="378"/>
      <c r="AO57" s="426" t="s">
        <v>8</v>
      </c>
      <c r="AP57" s="426"/>
      <c r="AQ57" s="146" t="s">
        <v>11</v>
      </c>
    </row>
    <row r="58" spans="1:43" x14ac:dyDescent="0.25">
      <c r="A58" s="54"/>
      <c r="I58" s="378"/>
      <c r="K58" s="378"/>
      <c r="M58" s="378"/>
      <c r="R58" s="54"/>
      <c r="T58" s="378"/>
      <c r="U58" s="378"/>
      <c r="V58" s="378"/>
      <c r="W58" s="378"/>
      <c r="X58" s="378"/>
      <c r="Y58" s="378"/>
      <c r="Z58" s="378"/>
      <c r="AA58" s="378"/>
      <c r="AB58" s="378"/>
      <c r="AC58" s="426" t="s">
        <v>14</v>
      </c>
      <c r="AD58" s="426"/>
      <c r="AE58" s="426" t="s">
        <v>12</v>
      </c>
      <c r="AF58" s="56"/>
      <c r="AG58" s="146" t="s">
        <v>13</v>
      </c>
      <c r="AH58" s="56"/>
      <c r="AI58" s="426" t="s">
        <v>15</v>
      </c>
      <c r="AJ58" s="426"/>
      <c r="AK58" s="146" t="s">
        <v>16</v>
      </c>
      <c r="AL58" s="426"/>
      <c r="AM58" s="378"/>
      <c r="AO58" s="426" t="s">
        <v>11</v>
      </c>
      <c r="AP58" s="426"/>
      <c r="AQ58" s="146" t="s">
        <v>9</v>
      </c>
    </row>
    <row r="59" spans="1:43" x14ac:dyDescent="0.25">
      <c r="I59" s="378"/>
      <c r="K59" s="378"/>
      <c r="M59" s="378"/>
      <c r="O59" s="54"/>
      <c r="R59" s="53"/>
      <c r="T59" s="426" t="s">
        <v>17</v>
      </c>
      <c r="U59" s="378"/>
      <c r="V59" s="426" t="s">
        <v>18</v>
      </c>
      <c r="W59" s="426" t="s">
        <v>19</v>
      </c>
      <c r="X59" s="426"/>
      <c r="Y59" s="426" t="s">
        <v>20</v>
      </c>
      <c r="Z59" s="378"/>
      <c r="AA59" s="378"/>
      <c r="AB59" s="378"/>
      <c r="AC59" s="426" t="s">
        <v>8</v>
      </c>
      <c r="AD59" s="426"/>
      <c r="AE59" s="426" t="s">
        <v>21</v>
      </c>
      <c r="AF59" s="56"/>
      <c r="AG59" s="146" t="s">
        <v>21</v>
      </c>
      <c r="AH59" s="56"/>
      <c r="AI59" s="426" t="s">
        <v>22</v>
      </c>
      <c r="AJ59" s="426"/>
      <c r="AK59" s="146" t="s">
        <v>22</v>
      </c>
      <c r="AL59" s="426"/>
      <c r="AM59" s="426" t="s">
        <v>21</v>
      </c>
      <c r="AN59" s="56"/>
      <c r="AO59" s="426" t="s">
        <v>9</v>
      </c>
      <c r="AP59" s="426"/>
      <c r="AQ59" s="146" t="s">
        <v>23</v>
      </c>
    </row>
    <row r="60" spans="1:43" x14ac:dyDescent="0.25">
      <c r="A60" s="55"/>
      <c r="B60" s="55"/>
      <c r="C60" s="55"/>
      <c r="D60" s="55"/>
      <c r="E60" s="55"/>
      <c r="F60" s="55"/>
      <c r="G60" s="55"/>
      <c r="H60" s="55"/>
      <c r="I60" s="378"/>
      <c r="J60" s="55"/>
      <c r="K60" s="378"/>
      <c r="L60" s="55"/>
      <c r="M60" s="378"/>
      <c r="N60" s="55"/>
      <c r="O60" s="55"/>
      <c r="P60" s="55"/>
      <c r="Q60" s="55"/>
      <c r="R60" s="55"/>
      <c r="T60" s="426" t="s">
        <v>24</v>
      </c>
      <c r="U60" s="378"/>
      <c r="V60" s="426" t="s">
        <v>25</v>
      </c>
      <c r="W60" s="426" t="s">
        <v>26</v>
      </c>
      <c r="X60" s="426"/>
      <c r="Y60" s="426" t="s">
        <v>27</v>
      </c>
      <c r="Z60" s="378"/>
      <c r="AA60" s="426" t="s">
        <v>28</v>
      </c>
      <c r="AB60" s="426"/>
      <c r="AC60" s="426" t="s">
        <v>29</v>
      </c>
      <c r="AD60" s="426"/>
      <c r="AE60" s="426" t="s">
        <v>9</v>
      </c>
      <c r="AF60" s="56"/>
      <c r="AG60" s="146" t="s">
        <v>9</v>
      </c>
      <c r="AH60" s="56"/>
      <c r="AI60" s="265" t="s">
        <v>31</v>
      </c>
      <c r="AJ60" s="265"/>
      <c r="AK60" s="440" t="s">
        <v>32</v>
      </c>
      <c r="AL60" s="426"/>
      <c r="AM60" s="426" t="s">
        <v>426</v>
      </c>
      <c r="AN60" s="56"/>
      <c r="AO60" s="265" t="s">
        <v>33</v>
      </c>
      <c r="AP60" s="265"/>
      <c r="AQ60" s="440" t="s">
        <v>34</v>
      </c>
    </row>
    <row r="61" spans="1:43" x14ac:dyDescent="0.25">
      <c r="I61" s="378"/>
      <c r="K61" s="378"/>
      <c r="M61" s="378"/>
      <c r="O61" s="56"/>
      <c r="P61" s="56"/>
      <c r="R61" s="56"/>
      <c r="T61" s="378"/>
      <c r="U61" s="378"/>
      <c r="V61" s="265" t="s">
        <v>35</v>
      </c>
      <c r="W61" s="265" t="s">
        <v>36</v>
      </c>
      <c r="X61" s="265"/>
      <c r="Y61" s="265" t="s">
        <v>37</v>
      </c>
      <c r="Z61" s="218"/>
      <c r="AA61" s="265" t="s">
        <v>38</v>
      </c>
      <c r="AB61" s="265"/>
      <c r="AC61" s="265" t="s">
        <v>44</v>
      </c>
      <c r="AD61" s="265"/>
      <c r="AE61" s="265" t="s">
        <v>45</v>
      </c>
      <c r="AF61" s="466"/>
      <c r="AG61" s="440" t="s">
        <v>46</v>
      </c>
      <c r="AH61" s="466"/>
      <c r="AI61" s="265" t="s">
        <v>47</v>
      </c>
      <c r="AJ61" s="265"/>
      <c r="AK61" s="440" t="s">
        <v>48</v>
      </c>
      <c r="AL61" s="265"/>
      <c r="AM61" s="265" t="s">
        <v>42</v>
      </c>
      <c r="AN61" s="466"/>
      <c r="AO61" s="265" t="s">
        <v>49</v>
      </c>
      <c r="AP61" s="265"/>
      <c r="AQ61" s="440" t="s">
        <v>50</v>
      </c>
    </row>
    <row r="62" spans="1:43" x14ac:dyDescent="0.25">
      <c r="I62" s="378"/>
      <c r="K62" s="378"/>
      <c r="M62" s="378"/>
      <c r="O62" s="56"/>
      <c r="P62" s="56"/>
      <c r="R62" s="56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145"/>
      <c r="AH62" s="47"/>
      <c r="AI62" s="47"/>
      <c r="AJ62" s="47"/>
      <c r="AK62" s="145"/>
      <c r="AL62" s="47"/>
      <c r="AM62" s="47"/>
      <c r="AN62" s="47"/>
      <c r="AO62" s="47"/>
      <c r="AP62" s="47"/>
      <c r="AQ62" s="145"/>
    </row>
    <row r="63" spans="1:43" ht="17.100000000000001" customHeight="1" x14ac:dyDescent="0.25">
      <c r="A63" s="56"/>
      <c r="C63" s="56"/>
      <c r="D63" s="56"/>
      <c r="E63" s="56"/>
      <c r="F63" s="56"/>
      <c r="I63" s="378"/>
      <c r="K63" s="378"/>
      <c r="L63" s="56"/>
      <c r="M63" s="378"/>
      <c r="N63" s="56"/>
      <c r="O63" s="56"/>
      <c r="P63" s="56"/>
      <c r="Q63" s="56"/>
      <c r="R63" s="56"/>
      <c r="T63" s="378"/>
      <c r="U63" s="378"/>
      <c r="V63" s="378"/>
      <c r="W63" s="378"/>
      <c r="X63" s="378"/>
      <c r="Y63" s="378"/>
      <c r="Z63" s="378"/>
      <c r="AA63" s="442" t="s">
        <v>51</v>
      </c>
      <c r="AB63" s="441"/>
      <c r="AC63" s="442" t="s">
        <v>368</v>
      </c>
      <c r="AD63" s="441"/>
      <c r="AE63" s="441" t="s">
        <v>52</v>
      </c>
      <c r="AF63" s="467"/>
      <c r="AG63" s="443" t="s">
        <v>53</v>
      </c>
      <c r="AH63" s="467"/>
      <c r="AI63" s="441" t="s">
        <v>52</v>
      </c>
      <c r="AJ63" s="441"/>
      <c r="AK63" s="443" t="s">
        <v>53</v>
      </c>
      <c r="AL63" s="441"/>
      <c r="AM63" s="441" t="s">
        <v>52</v>
      </c>
      <c r="AN63" s="467"/>
      <c r="AO63" s="441" t="s">
        <v>52</v>
      </c>
      <c r="AP63" s="441"/>
      <c r="AQ63" s="443" t="s">
        <v>53</v>
      </c>
    </row>
    <row r="64" spans="1:43" x14ac:dyDescent="0.25">
      <c r="A64" s="56"/>
      <c r="C64" s="56"/>
      <c r="D64" s="56"/>
      <c r="E64" s="56"/>
      <c r="F64" s="56"/>
      <c r="H64" s="56"/>
      <c r="I64" s="378"/>
      <c r="J64" s="56"/>
      <c r="K64" s="378"/>
      <c r="L64" s="56"/>
      <c r="M64" s="378"/>
      <c r="N64" s="56"/>
      <c r="O64" s="56"/>
      <c r="P64" s="56"/>
      <c r="Q64" s="56"/>
      <c r="R64" s="56"/>
      <c r="T64" s="45">
        <f>A20</f>
        <v>1</v>
      </c>
      <c r="U64" s="378"/>
      <c r="V64" s="222" t="s">
        <v>362</v>
      </c>
      <c r="W64" s="501" t="s">
        <v>424</v>
      </c>
      <c r="X64" s="46"/>
      <c r="Y64" s="2"/>
      <c r="Z64" s="2"/>
      <c r="AA64" s="2"/>
      <c r="AB64" s="2"/>
      <c r="AC64" s="2"/>
      <c r="AD64" s="2"/>
      <c r="AE64" s="2"/>
      <c r="AF64" s="2"/>
      <c r="AG64" s="147"/>
      <c r="AH64" s="2"/>
      <c r="AI64" s="2"/>
      <c r="AJ64" s="2"/>
      <c r="AK64" s="147"/>
      <c r="AL64" s="2"/>
      <c r="AM64" s="2"/>
      <c r="AN64" s="2"/>
      <c r="AO64" s="84"/>
      <c r="AP64" s="84"/>
      <c r="AQ64" s="167"/>
    </row>
    <row r="65" spans="1:43" x14ac:dyDescent="0.25">
      <c r="C65" s="56"/>
      <c r="D65" s="56"/>
      <c r="E65" s="56"/>
      <c r="F65" s="56"/>
      <c r="H65" s="56"/>
      <c r="I65" s="378"/>
      <c r="J65" s="56"/>
      <c r="K65" s="378"/>
      <c r="L65" s="56"/>
      <c r="M65" s="378"/>
      <c r="N65" s="56"/>
      <c r="O65" s="56"/>
      <c r="P65" s="56"/>
      <c r="Q65" s="56"/>
      <c r="R65" s="56"/>
      <c r="T65" s="45">
        <f t="shared" ref="T65:T82" si="1">A21</f>
        <v>2</v>
      </c>
      <c r="U65" s="378"/>
      <c r="V65" s="222"/>
      <c r="W65" s="218" t="s">
        <v>139</v>
      </c>
      <c r="X65" s="378"/>
      <c r="Y65" s="2"/>
      <c r="Z65" s="2"/>
      <c r="AA65" s="2"/>
      <c r="AB65" s="2"/>
      <c r="AC65" s="2"/>
      <c r="AD65" s="2"/>
      <c r="AE65" s="2"/>
      <c r="AF65" s="2"/>
      <c r="AG65" s="147"/>
      <c r="AH65" s="2"/>
      <c r="AI65" s="2"/>
      <c r="AJ65" s="2"/>
      <c r="AK65" s="147"/>
      <c r="AL65" s="2"/>
      <c r="AM65" s="2"/>
      <c r="AN65" s="2"/>
      <c r="AO65" s="84"/>
      <c r="AP65" s="84"/>
      <c r="AQ65" s="167"/>
    </row>
    <row r="66" spans="1:43" ht="18.75" customHeight="1" x14ac:dyDescent="0.25">
      <c r="C66" s="56"/>
      <c r="D66" s="56"/>
      <c r="E66" s="56"/>
      <c r="F66" s="56"/>
      <c r="H66" s="56"/>
      <c r="I66" s="378"/>
      <c r="J66" s="56"/>
      <c r="K66" s="378"/>
      <c r="L66" s="56"/>
      <c r="M66" s="378"/>
      <c r="N66" s="56"/>
      <c r="O66" s="56"/>
      <c r="P66" s="56"/>
      <c r="Q66" s="56"/>
      <c r="R66" s="56"/>
      <c r="T66" s="45"/>
      <c r="U66" s="378"/>
      <c r="V66" s="46"/>
      <c r="W66" s="378"/>
      <c r="X66" s="378"/>
      <c r="Y66" s="2"/>
      <c r="Z66" s="2"/>
      <c r="AA66" s="2"/>
      <c r="AB66" s="2"/>
      <c r="AC66" s="2"/>
      <c r="AD66" s="2"/>
      <c r="AE66" s="2"/>
      <c r="AF66" s="2"/>
      <c r="AG66" s="147"/>
      <c r="AH66" s="2"/>
      <c r="AI66" s="2"/>
      <c r="AJ66" s="2"/>
      <c r="AK66" s="147"/>
      <c r="AL66" s="2"/>
      <c r="AM66" s="2"/>
      <c r="AN66" s="2"/>
      <c r="AO66" s="84"/>
      <c r="AP66" s="84"/>
      <c r="AQ66" s="167"/>
    </row>
    <row r="67" spans="1:43" x14ac:dyDescent="0.25">
      <c r="H67" s="56"/>
      <c r="I67" s="378"/>
      <c r="J67" s="56"/>
      <c r="K67" s="378"/>
      <c r="L67" s="56"/>
      <c r="M67" s="378"/>
      <c r="N67" s="56"/>
      <c r="O67" s="56"/>
      <c r="P67" s="56"/>
      <c r="Q67" s="56"/>
      <c r="R67" s="56"/>
      <c r="T67" s="45">
        <f t="shared" si="1"/>
        <v>3</v>
      </c>
      <c r="U67" s="378"/>
      <c r="V67" s="222" t="s">
        <v>140</v>
      </c>
      <c r="W67" s="378"/>
      <c r="X67" s="378"/>
      <c r="Y67" s="2"/>
      <c r="Z67" s="2"/>
      <c r="AA67" s="2"/>
      <c r="AB67" s="2"/>
      <c r="AC67" s="2"/>
      <c r="AD67" s="2"/>
      <c r="AE67" s="2"/>
      <c r="AF67" s="2"/>
      <c r="AG67" s="147"/>
      <c r="AH67" s="2"/>
      <c r="AI67" s="2"/>
      <c r="AJ67" s="2"/>
      <c r="AK67" s="147"/>
      <c r="AL67" s="2"/>
      <c r="AM67" s="2"/>
      <c r="AN67" s="2"/>
      <c r="AO67" s="84"/>
      <c r="AP67" s="84"/>
      <c r="AQ67" s="167"/>
    </row>
    <row r="68" spans="1:43" x14ac:dyDescent="0.25">
      <c r="I68" s="378"/>
      <c r="K68" s="378"/>
      <c r="M68" s="378"/>
      <c r="T68" s="45">
        <f t="shared" si="1"/>
        <v>4</v>
      </c>
      <c r="U68" s="378"/>
      <c r="V68" s="46" t="s">
        <v>367</v>
      </c>
      <c r="W68" s="378"/>
      <c r="X68" s="378"/>
      <c r="Y68" s="83">
        <f>F24</f>
        <v>0</v>
      </c>
      <c r="Z68" s="2"/>
      <c r="AA68" s="86"/>
      <c r="AB68" s="86"/>
      <c r="AC68" s="450">
        <f>INPUT!C153</f>
        <v>183</v>
      </c>
      <c r="AD68" s="96"/>
      <c r="AE68" s="5">
        <f>ROUND(+Y68*AC68,0)</f>
        <v>0</v>
      </c>
      <c r="AF68" s="2"/>
      <c r="AG68" s="148">
        <v>0</v>
      </c>
      <c r="AH68" s="2"/>
      <c r="AI68" s="5">
        <f>L24-AE68</f>
        <v>0</v>
      </c>
      <c r="AJ68" s="5"/>
      <c r="AK68" s="148">
        <f>IF(AE68=0,0,ROUND((AI68/AE68)*100,1))</f>
        <v>0</v>
      </c>
      <c r="AL68" s="8"/>
      <c r="AM68" s="5"/>
      <c r="AN68" s="2"/>
      <c r="AO68" s="5">
        <f>AE68+AM68</f>
        <v>0</v>
      </c>
      <c r="AP68" s="2"/>
      <c r="AQ68" s="149">
        <v>0</v>
      </c>
    </row>
    <row r="69" spans="1:43" ht="20.100000000000001" customHeight="1" x14ac:dyDescent="0.25">
      <c r="A69" s="53"/>
      <c r="C69" s="54"/>
      <c r="F69" s="449"/>
      <c r="H69" s="449"/>
      <c r="I69" s="378"/>
      <c r="J69" s="449"/>
      <c r="K69" s="378"/>
      <c r="L69" s="461"/>
      <c r="M69" s="378"/>
      <c r="N69" s="461"/>
      <c r="O69" s="379"/>
      <c r="P69" s="50"/>
      <c r="Q69" s="53"/>
      <c r="R69" s="379"/>
      <c r="T69" s="45">
        <f t="shared" si="1"/>
        <v>5</v>
      </c>
      <c r="U69" s="378"/>
      <c r="V69" s="222" t="s">
        <v>143</v>
      </c>
      <c r="W69" s="378"/>
      <c r="X69" s="378"/>
      <c r="Y69" s="83"/>
      <c r="Z69" s="2"/>
      <c r="AA69" s="5"/>
      <c r="AB69" s="5"/>
      <c r="AC69" s="51"/>
      <c r="AD69" s="9"/>
      <c r="AE69" s="90">
        <f>SUM(AE68:AE68)</f>
        <v>0</v>
      </c>
      <c r="AF69" s="2"/>
      <c r="AG69" s="148">
        <v>0</v>
      </c>
      <c r="AH69" s="2"/>
      <c r="AI69" s="90">
        <f>SUM(AI68:AI68)</f>
        <v>0</v>
      </c>
      <c r="AJ69" s="83"/>
      <c r="AK69" s="150">
        <f>IF(AE69=0,0,ROUND((AI69/AE69)*100,1))</f>
        <v>0</v>
      </c>
      <c r="AL69" s="8"/>
      <c r="AM69" s="90"/>
      <c r="AN69" s="2"/>
      <c r="AO69" s="90">
        <f>SUM(AO68:AO68)</f>
        <v>0</v>
      </c>
      <c r="AP69" s="2"/>
      <c r="AQ69" s="149">
        <v>0</v>
      </c>
    </row>
    <row r="70" spans="1:43" ht="24.75" customHeight="1" x14ac:dyDescent="0.25">
      <c r="A70" s="53"/>
      <c r="C70" s="54"/>
      <c r="F70" s="449"/>
      <c r="H70" s="449"/>
      <c r="I70" s="378"/>
      <c r="J70" s="449"/>
      <c r="K70" s="378"/>
      <c r="L70" s="461"/>
      <c r="M70" s="378"/>
      <c r="N70" s="461"/>
      <c r="O70" s="379"/>
      <c r="P70" s="50"/>
      <c r="Q70" s="53"/>
      <c r="R70" s="379"/>
      <c r="T70" s="45"/>
      <c r="U70" s="378"/>
      <c r="V70" s="46"/>
      <c r="W70" s="378"/>
      <c r="X70" s="378"/>
      <c r="Y70" s="83"/>
      <c r="Z70" s="2"/>
      <c r="AA70" s="5"/>
      <c r="AB70" s="5"/>
      <c r="AC70" s="51"/>
      <c r="AD70" s="9"/>
      <c r="AE70" s="83"/>
      <c r="AF70" s="2"/>
      <c r="AG70" s="383"/>
      <c r="AH70" s="2"/>
      <c r="AI70" s="83"/>
      <c r="AJ70" s="83"/>
      <c r="AK70" s="383"/>
      <c r="AL70" s="8"/>
      <c r="AM70" s="83"/>
      <c r="AN70" s="2"/>
      <c r="AO70" s="83"/>
      <c r="AP70" s="2"/>
      <c r="AQ70" s="149"/>
    </row>
    <row r="71" spans="1:43" x14ac:dyDescent="0.25">
      <c r="A71" s="53"/>
      <c r="C71" s="54"/>
      <c r="H71" s="449"/>
      <c r="I71" s="378"/>
      <c r="J71" s="449"/>
      <c r="K71" s="378"/>
      <c r="L71" s="221"/>
      <c r="M71" s="378"/>
      <c r="N71" s="221"/>
      <c r="O71" s="379"/>
      <c r="P71" s="50"/>
      <c r="Q71" s="379"/>
      <c r="R71" s="379"/>
      <c r="T71" s="45">
        <f t="shared" si="1"/>
        <v>6</v>
      </c>
      <c r="U71" s="378"/>
      <c r="V71" s="222" t="s">
        <v>69</v>
      </c>
      <c r="W71" s="378"/>
      <c r="X71" s="378"/>
      <c r="Y71" s="5"/>
      <c r="Z71" s="2"/>
      <c r="AA71" s="5"/>
      <c r="AB71" s="5"/>
      <c r="AC71" s="51"/>
      <c r="AD71" s="9"/>
      <c r="AE71" s="5"/>
      <c r="AF71" s="2"/>
      <c r="AG71" s="149"/>
      <c r="AH71" s="2"/>
      <c r="AI71" s="5"/>
      <c r="AJ71" s="5"/>
      <c r="AK71" s="149"/>
      <c r="AL71" s="8"/>
      <c r="AM71" s="5"/>
      <c r="AN71" s="2"/>
      <c r="AO71" s="5"/>
      <c r="AP71" s="2"/>
      <c r="AQ71" s="149"/>
    </row>
    <row r="72" spans="1:43" x14ac:dyDescent="0.25">
      <c r="A72" s="53"/>
      <c r="C72" s="54"/>
      <c r="H72" s="449"/>
      <c r="I72" s="378"/>
      <c r="J72" s="449"/>
      <c r="K72" s="378"/>
      <c r="L72" s="221"/>
      <c r="M72" s="378"/>
      <c r="N72" s="221"/>
      <c r="O72" s="379"/>
      <c r="P72" s="50"/>
      <c r="Q72" s="379"/>
      <c r="R72" s="379"/>
      <c r="T72" s="45">
        <f t="shared" si="1"/>
        <v>7</v>
      </c>
      <c r="U72" s="378"/>
      <c r="V72" s="46" t="s">
        <v>443</v>
      </c>
      <c r="W72" s="378"/>
      <c r="X72" s="378"/>
      <c r="Y72" s="5"/>
      <c r="Z72" s="2"/>
      <c r="AA72" s="5">
        <f>H28</f>
        <v>0</v>
      </c>
      <c r="AB72" s="5"/>
      <c r="AC72" s="457">
        <f>INPUT!C156</f>
        <v>7.8499999999999993E-3</v>
      </c>
      <c r="AD72" s="9"/>
      <c r="AE72" s="83">
        <f>ROUND((+AA72*AC72),0)</f>
        <v>0</v>
      </c>
      <c r="AF72" s="84"/>
      <c r="AG72" s="383">
        <v>0</v>
      </c>
      <c r="AH72" s="84"/>
      <c r="AI72" s="83">
        <f>L28-AE72</f>
        <v>0</v>
      </c>
      <c r="AJ72" s="83"/>
      <c r="AK72" s="383">
        <f>IF(AE72=0,0,ROUND((AI72/AE72)*100,1))</f>
        <v>0</v>
      </c>
      <c r="AL72" s="103"/>
      <c r="AM72" s="83"/>
      <c r="AN72" s="84"/>
      <c r="AO72" s="83">
        <f>AE72+AM72</f>
        <v>0</v>
      </c>
      <c r="AP72" s="2"/>
      <c r="AQ72" s="149">
        <v>0</v>
      </c>
    </row>
    <row r="73" spans="1:43" x14ac:dyDescent="0.25">
      <c r="F73" s="379"/>
      <c r="H73" s="379"/>
      <c r="I73" s="378"/>
      <c r="J73" s="379"/>
      <c r="K73" s="378"/>
      <c r="L73" s="464"/>
      <c r="M73" s="378"/>
      <c r="N73" s="464"/>
      <c r="O73" s="381"/>
      <c r="P73" s="381"/>
      <c r="Q73" s="381"/>
      <c r="R73" s="381"/>
      <c r="T73" s="45">
        <f t="shared" si="1"/>
        <v>8</v>
      </c>
      <c r="U73" s="378"/>
      <c r="V73" s="46" t="s">
        <v>431</v>
      </c>
      <c r="W73" s="378"/>
      <c r="X73" s="378"/>
      <c r="Y73" s="86"/>
      <c r="Z73" s="2"/>
      <c r="AA73" s="83">
        <f>H29</f>
        <v>0</v>
      </c>
      <c r="AB73" s="83"/>
      <c r="AC73" s="503">
        <f>INPUT!C160</f>
        <v>2.9462000000000002E-2</v>
      </c>
      <c r="AD73" s="489"/>
      <c r="AE73" s="83">
        <f>ROUND((+AA73*AC73),0)</f>
        <v>0</v>
      </c>
      <c r="AF73" s="84"/>
      <c r="AG73" s="148">
        <v>0</v>
      </c>
      <c r="AH73" s="84"/>
      <c r="AI73" s="83">
        <f>L29-AE73</f>
        <v>0</v>
      </c>
      <c r="AJ73" s="83"/>
      <c r="AK73" s="148">
        <f>IF(AE73=0,0,ROUND((AI73/AE73)*100,1))</f>
        <v>0</v>
      </c>
      <c r="AL73" s="103"/>
      <c r="AM73" s="379">
        <f>ROUND(-AA73*(CUR_FAC+CUR_BASE_FUEL),0)</f>
        <v>0</v>
      </c>
      <c r="AN73" s="84"/>
      <c r="AO73" s="83">
        <f>AE73+AM73</f>
        <v>0</v>
      </c>
      <c r="AP73" s="84"/>
      <c r="AQ73" s="383">
        <v>0</v>
      </c>
    </row>
    <row r="74" spans="1:43" ht="20.100000000000001" customHeight="1" x14ac:dyDescent="0.25">
      <c r="F74" s="379"/>
      <c r="H74" s="379"/>
      <c r="I74" s="378"/>
      <c r="J74" s="379"/>
      <c r="K74" s="378"/>
      <c r="L74" s="464"/>
      <c r="M74" s="378"/>
      <c r="N74" s="464"/>
      <c r="O74" s="381"/>
      <c r="P74" s="381"/>
      <c r="Q74" s="381"/>
      <c r="R74" s="381"/>
      <c r="T74" s="45">
        <f t="shared" si="1"/>
        <v>9</v>
      </c>
      <c r="U74" s="378"/>
      <c r="V74" s="222" t="s">
        <v>149</v>
      </c>
      <c r="W74" s="378"/>
      <c r="X74" s="378"/>
      <c r="Y74" s="81"/>
      <c r="Z74" s="2"/>
      <c r="AA74" s="90">
        <f>H30</f>
        <v>0</v>
      </c>
      <c r="AB74" s="83"/>
      <c r="AC74" s="268"/>
      <c r="AD74" s="446"/>
      <c r="AE74" s="90">
        <f>SUM(AE72:AE73)</f>
        <v>0</v>
      </c>
      <c r="AF74" s="2"/>
      <c r="AG74" s="148">
        <v>0</v>
      </c>
      <c r="AH74" s="2"/>
      <c r="AI74" s="90">
        <f>SUM(AI72:AI73)</f>
        <v>0</v>
      </c>
      <c r="AJ74" s="83"/>
      <c r="AK74" s="150">
        <f>IF(AE74=0,0,ROUND((AI74/AE74)*100,1))</f>
        <v>0</v>
      </c>
      <c r="AL74" s="8"/>
      <c r="AM74" s="90">
        <f>AM73</f>
        <v>0</v>
      </c>
      <c r="AN74" s="2"/>
      <c r="AO74" s="90">
        <f>SUM(AO72:AO73)</f>
        <v>0</v>
      </c>
      <c r="AP74" s="2"/>
      <c r="AQ74" s="383">
        <v>0</v>
      </c>
    </row>
    <row r="75" spans="1:43" ht="20.100000000000001" customHeight="1" x14ac:dyDescent="0.25">
      <c r="F75" s="379"/>
      <c r="H75" s="379"/>
      <c r="I75" s="378"/>
      <c r="J75" s="379"/>
      <c r="K75" s="378"/>
      <c r="L75" s="464"/>
      <c r="M75" s="378"/>
      <c r="N75" s="464"/>
      <c r="O75" s="381"/>
      <c r="P75" s="381"/>
      <c r="Q75" s="381"/>
      <c r="R75" s="381"/>
      <c r="T75" s="45">
        <f t="shared" si="1"/>
        <v>10</v>
      </c>
      <c r="U75" s="378"/>
      <c r="V75" s="444" t="s">
        <v>529</v>
      </c>
      <c r="W75" s="378"/>
      <c r="X75" s="378"/>
      <c r="Y75" s="90">
        <f>Y68</f>
        <v>0</v>
      </c>
      <c r="Z75" s="2"/>
      <c r="AA75" s="90">
        <f>AA74</f>
        <v>0</v>
      </c>
      <c r="AB75" s="83"/>
      <c r="AC75" s="268"/>
      <c r="AD75" s="446"/>
      <c r="AE75" s="90">
        <f>AE69+AE74</f>
        <v>0</v>
      </c>
      <c r="AF75" s="2"/>
      <c r="AG75" s="150">
        <v>0</v>
      </c>
      <c r="AH75" s="2"/>
      <c r="AI75" s="90">
        <f>AI69+AI74</f>
        <v>0</v>
      </c>
      <c r="AJ75" s="83"/>
      <c r="AK75" s="150">
        <f>IF(AE75=0,0,ROUND((AI75/AE75)*100,1))</f>
        <v>0</v>
      </c>
      <c r="AL75" s="8"/>
      <c r="AM75" s="90">
        <f>AM74+AM69</f>
        <v>0</v>
      </c>
      <c r="AN75" s="2"/>
      <c r="AO75" s="90">
        <f>AO74+AO69</f>
        <v>0</v>
      </c>
      <c r="AP75" s="2"/>
      <c r="AQ75" s="383">
        <v>0</v>
      </c>
    </row>
    <row r="76" spans="1:43" ht="15.75" customHeight="1" x14ac:dyDescent="0.25">
      <c r="F76" s="379"/>
      <c r="H76" s="379"/>
      <c r="I76" s="378"/>
      <c r="J76" s="379"/>
      <c r="K76" s="378"/>
      <c r="L76" s="464"/>
      <c r="M76" s="378"/>
      <c r="N76" s="464"/>
      <c r="O76" s="381"/>
      <c r="P76" s="381"/>
      <c r="Q76" s="381"/>
      <c r="R76" s="381"/>
      <c r="T76" s="45"/>
      <c r="U76" s="378"/>
      <c r="V76" s="46"/>
      <c r="W76" s="378"/>
      <c r="X76" s="378"/>
      <c r="Y76" s="83"/>
      <c r="Z76" s="2"/>
      <c r="AA76" s="83"/>
      <c r="AB76" s="83"/>
      <c r="AC76" s="268"/>
      <c r="AD76" s="446"/>
      <c r="AE76" s="83"/>
      <c r="AF76" s="2"/>
      <c r="AG76" s="383"/>
      <c r="AH76" s="2"/>
      <c r="AI76" s="83"/>
      <c r="AJ76" s="83"/>
      <c r="AK76" s="383"/>
      <c r="AL76" s="8"/>
      <c r="AM76" s="83"/>
      <c r="AN76" s="2"/>
      <c r="AO76" s="83"/>
      <c r="AP76" s="2"/>
      <c r="AQ76" s="149"/>
    </row>
    <row r="77" spans="1:43" ht="15.75" customHeight="1" x14ac:dyDescent="0.25">
      <c r="F77" s="379"/>
      <c r="H77" s="379"/>
      <c r="I77" s="378"/>
      <c r="J77" s="379"/>
      <c r="K77" s="378"/>
      <c r="L77" s="464"/>
      <c r="M77" s="378"/>
      <c r="N77" s="464"/>
      <c r="O77" s="381"/>
      <c r="P77" s="381"/>
      <c r="Q77" s="381"/>
      <c r="R77" s="381"/>
      <c r="T77" s="45">
        <f t="shared" si="1"/>
        <v>11</v>
      </c>
      <c r="U77" s="378"/>
      <c r="V77" s="222" t="s">
        <v>504</v>
      </c>
      <c r="W77" s="378"/>
      <c r="X77" s="378"/>
      <c r="Y77" s="83"/>
      <c r="Z77" s="2"/>
      <c r="AA77" s="83"/>
      <c r="AB77" s="83"/>
      <c r="AC77" s="268"/>
      <c r="AD77" s="446"/>
      <c r="AE77" s="83"/>
      <c r="AF77" s="2"/>
      <c r="AG77" s="383"/>
      <c r="AH77" s="2"/>
      <c r="AI77" s="83"/>
      <c r="AJ77" s="83"/>
      <c r="AK77" s="383"/>
      <c r="AL77" s="8"/>
      <c r="AM77" s="83"/>
      <c r="AN77" s="2"/>
      <c r="AO77" s="83"/>
      <c r="AP77" s="2"/>
      <c r="AQ77" s="149"/>
    </row>
    <row r="78" spans="1:43" ht="15.75" customHeight="1" x14ac:dyDescent="0.25">
      <c r="F78" s="379"/>
      <c r="H78" s="379"/>
      <c r="I78" s="378"/>
      <c r="J78" s="379"/>
      <c r="K78" s="378"/>
      <c r="L78" s="464"/>
      <c r="M78" s="378"/>
      <c r="N78" s="464"/>
      <c r="O78" s="381"/>
      <c r="P78" s="381"/>
      <c r="Q78" s="381"/>
      <c r="R78" s="381"/>
      <c r="T78" s="45">
        <f t="shared" si="1"/>
        <v>12</v>
      </c>
      <c r="U78" s="378"/>
      <c r="V78" s="216" t="s">
        <v>508</v>
      </c>
      <c r="W78" s="378"/>
      <c r="X78" s="378"/>
      <c r="Y78" s="83"/>
      <c r="Z78" s="2"/>
      <c r="AA78" s="83"/>
      <c r="AB78" s="83"/>
      <c r="AC78" s="457">
        <f>DSM_DIST</f>
        <v>5.091E-3</v>
      </c>
      <c r="AD78" s="446"/>
      <c r="AE78" s="83">
        <f>ROUND(AA75*DSM_DIST,0)</f>
        <v>0</v>
      </c>
      <c r="AF78" s="2"/>
      <c r="AG78" s="383">
        <v>0</v>
      </c>
      <c r="AH78" s="2"/>
      <c r="AI78" s="83">
        <f>L34-AE78</f>
        <v>0</v>
      </c>
      <c r="AJ78" s="83"/>
      <c r="AK78" s="383">
        <f t="shared" ref="AK78:AK80" si="2">IF(AE78=0,0,ROUND((AI78/AE78)*100,1))</f>
        <v>0</v>
      </c>
      <c r="AL78" s="8"/>
      <c r="AM78" s="83"/>
      <c r="AN78" s="2"/>
      <c r="AO78" s="83">
        <f t="shared" ref="AO78:AO79" si="3">AE78+AM78</f>
        <v>0</v>
      </c>
      <c r="AP78" s="2"/>
      <c r="AQ78" s="383">
        <v>0</v>
      </c>
    </row>
    <row r="79" spans="1:43" ht="15.75" customHeight="1" x14ac:dyDescent="0.25">
      <c r="F79" s="379"/>
      <c r="H79" s="379"/>
      <c r="I79" s="378"/>
      <c r="J79" s="379"/>
      <c r="K79" s="378"/>
      <c r="L79" s="464"/>
      <c r="M79" s="378"/>
      <c r="N79" s="464"/>
      <c r="O79" s="381"/>
      <c r="P79" s="381"/>
      <c r="Q79" s="381"/>
      <c r="R79" s="381"/>
      <c r="T79" s="45">
        <f t="shared" si="1"/>
        <v>13</v>
      </c>
      <c r="U79" s="378"/>
      <c r="V79" s="216" t="s">
        <v>506</v>
      </c>
      <c r="W79" s="378"/>
      <c r="X79" s="378"/>
      <c r="Y79" s="83"/>
      <c r="Z79" s="2"/>
      <c r="AA79" s="83"/>
      <c r="AB79" s="83"/>
      <c r="AC79" s="457">
        <f>RS_PSM</f>
        <v>-1.63E-4</v>
      </c>
      <c r="AD79" s="446"/>
      <c r="AE79" s="81">
        <f>ROUND(AA75*RS_PSM,0)</f>
        <v>0</v>
      </c>
      <c r="AF79" s="2"/>
      <c r="AG79" s="148">
        <v>0</v>
      </c>
      <c r="AH79" s="2"/>
      <c r="AI79" s="81">
        <f>L35-AE79</f>
        <v>0</v>
      </c>
      <c r="AJ79" s="83"/>
      <c r="AK79" s="148">
        <f t="shared" si="2"/>
        <v>0</v>
      </c>
      <c r="AL79" s="8"/>
      <c r="AM79" s="81"/>
      <c r="AN79" s="2"/>
      <c r="AO79" s="81">
        <f t="shared" si="3"/>
        <v>0</v>
      </c>
      <c r="AP79" s="2"/>
      <c r="AQ79" s="383">
        <v>0</v>
      </c>
    </row>
    <row r="80" spans="1:43" ht="20.100000000000001" customHeight="1" x14ac:dyDescent="0.25">
      <c r="F80" s="379"/>
      <c r="H80" s="379"/>
      <c r="I80" s="378"/>
      <c r="J80" s="379"/>
      <c r="K80" s="378"/>
      <c r="L80" s="464"/>
      <c r="M80" s="378"/>
      <c r="N80" s="464"/>
      <c r="O80" s="381"/>
      <c r="P80" s="381"/>
      <c r="Q80" s="381"/>
      <c r="R80" s="381"/>
      <c r="T80" s="45">
        <f t="shared" si="1"/>
        <v>14</v>
      </c>
      <c r="U80" s="378"/>
      <c r="V80" s="222" t="s">
        <v>510</v>
      </c>
      <c r="W80" s="378"/>
      <c r="X80" s="378"/>
      <c r="Y80" s="81"/>
      <c r="Z80" s="2"/>
      <c r="AA80" s="81"/>
      <c r="AB80" s="83"/>
      <c r="AC80" s="446"/>
      <c r="AD80" s="446"/>
      <c r="AE80" s="90">
        <f>SUM(AE78:AE79)</f>
        <v>0</v>
      </c>
      <c r="AF80" s="2"/>
      <c r="AG80" s="150">
        <v>0</v>
      </c>
      <c r="AH80" s="2"/>
      <c r="AI80" s="90">
        <f>SUM(AI78:AI79)</f>
        <v>0</v>
      </c>
      <c r="AJ80" s="83"/>
      <c r="AK80" s="150">
        <f t="shared" si="2"/>
        <v>0</v>
      </c>
      <c r="AL80" s="8"/>
      <c r="AM80" s="90"/>
      <c r="AN80" s="2"/>
      <c r="AO80" s="90">
        <f>SUM(AO78:AO79)</f>
        <v>0</v>
      </c>
      <c r="AP80" s="2"/>
      <c r="AQ80" s="383">
        <v>0</v>
      </c>
    </row>
    <row r="81" spans="1:43" ht="15.75" customHeight="1" x14ac:dyDescent="0.25">
      <c r="F81" s="379"/>
      <c r="H81" s="379"/>
      <c r="I81" s="378"/>
      <c r="J81" s="379"/>
      <c r="K81" s="378"/>
      <c r="L81" s="464"/>
      <c r="M81" s="378"/>
      <c r="N81" s="464"/>
      <c r="O81" s="381"/>
      <c r="P81" s="381"/>
      <c r="Q81" s="381"/>
      <c r="R81" s="381"/>
      <c r="T81" s="45"/>
      <c r="U81" s="378"/>
      <c r="V81" s="222"/>
      <c r="W81" s="378"/>
      <c r="X81" s="378"/>
      <c r="Y81" s="83"/>
      <c r="Z81" s="2"/>
      <c r="AA81" s="83"/>
      <c r="AB81" s="83"/>
      <c r="AC81" s="446"/>
      <c r="AD81" s="446"/>
      <c r="AE81" s="83"/>
      <c r="AF81" s="2"/>
      <c r="AG81" s="383"/>
      <c r="AH81" s="2"/>
      <c r="AI81" s="83"/>
      <c r="AJ81" s="83"/>
      <c r="AK81" s="383"/>
      <c r="AL81" s="8"/>
      <c r="AM81" s="83"/>
      <c r="AN81" s="2"/>
      <c r="AO81" s="83"/>
      <c r="AP81" s="2"/>
      <c r="AQ81" s="149"/>
    </row>
    <row r="82" spans="1:43" ht="20.100000000000001" customHeight="1" thickBot="1" x14ac:dyDescent="0.3">
      <c r="F82" s="381"/>
      <c r="H82" s="381"/>
      <c r="I82" s="378"/>
      <c r="J82" s="381"/>
      <c r="K82" s="378"/>
      <c r="L82" s="464"/>
      <c r="M82" s="378"/>
      <c r="N82" s="464"/>
      <c r="O82" s="381"/>
      <c r="P82" s="381"/>
      <c r="Q82" s="381"/>
      <c r="R82" s="381"/>
      <c r="T82" s="45">
        <f t="shared" si="1"/>
        <v>15</v>
      </c>
      <c r="U82" s="378"/>
      <c r="V82" s="444" t="s">
        <v>530</v>
      </c>
      <c r="W82" s="378"/>
      <c r="X82" s="378"/>
      <c r="Y82" s="82">
        <f>F38</f>
        <v>0</v>
      </c>
      <c r="Z82" s="2"/>
      <c r="AA82" s="82">
        <f>H38</f>
        <v>0</v>
      </c>
      <c r="AB82" s="83"/>
      <c r="AC82" s="2"/>
      <c r="AD82" s="2"/>
      <c r="AE82" s="82">
        <f>AE80+AE75</f>
        <v>0</v>
      </c>
      <c r="AF82" s="2"/>
      <c r="AG82" s="151">
        <v>100</v>
      </c>
      <c r="AH82" s="2"/>
      <c r="AI82" s="82">
        <f>AI80+AI75</f>
        <v>0</v>
      </c>
      <c r="AJ82" s="83"/>
      <c r="AK82" s="151">
        <f>IF(AE82=0,0,ROUND((AI82/AE82)*100,1))</f>
        <v>0</v>
      </c>
      <c r="AL82" s="8"/>
      <c r="AM82" s="95">
        <f>AM80+AM75</f>
        <v>0</v>
      </c>
      <c r="AN82" s="2"/>
      <c r="AO82" s="82">
        <f>AO69+AO74</f>
        <v>0</v>
      </c>
      <c r="AP82" s="2"/>
      <c r="AQ82" s="383">
        <v>0</v>
      </c>
    </row>
    <row r="83" spans="1:43" ht="16.5" thickTop="1" x14ac:dyDescent="0.25">
      <c r="F83" s="381"/>
      <c r="H83" s="381"/>
      <c r="I83" s="378"/>
      <c r="J83" s="381"/>
      <c r="K83" s="464"/>
      <c r="L83" s="464"/>
      <c r="M83" s="378"/>
      <c r="N83" s="381"/>
      <c r="O83" s="381"/>
      <c r="P83" s="381"/>
      <c r="Q83" s="381"/>
      <c r="R83" s="381"/>
      <c r="S83" s="379"/>
      <c r="T83" s="378"/>
      <c r="U83" s="378"/>
      <c r="V83" s="378"/>
      <c r="W83" s="378"/>
      <c r="X83" s="378"/>
      <c r="Y83" s="2"/>
      <c r="Z83" s="2"/>
      <c r="AA83" s="2"/>
      <c r="AB83" s="2"/>
      <c r="AC83" s="2"/>
      <c r="AD83" s="2"/>
      <c r="AE83" s="2"/>
      <c r="AF83" s="2"/>
      <c r="AG83" s="147"/>
      <c r="AH83" s="2"/>
      <c r="AI83" s="2"/>
      <c r="AJ83" s="2"/>
      <c r="AK83" s="147"/>
      <c r="AL83" s="2"/>
      <c r="AM83" s="2"/>
      <c r="AN83" s="2"/>
      <c r="AO83" s="2"/>
      <c r="AP83" s="2"/>
      <c r="AQ83" s="147"/>
    </row>
    <row r="84" spans="1:43" x14ac:dyDescent="0.25">
      <c r="A84" s="53"/>
      <c r="C84" s="54"/>
      <c r="I84" s="378"/>
      <c r="M84" s="378"/>
      <c r="T84" s="378"/>
      <c r="U84" s="378"/>
      <c r="V84" s="243" t="s">
        <v>61</v>
      </c>
      <c r="W84" s="378"/>
      <c r="X84" s="378"/>
      <c r="Y84" s="378"/>
      <c r="Z84" s="378"/>
      <c r="AA84" s="378"/>
      <c r="AB84" s="378"/>
      <c r="AC84" s="378"/>
      <c r="AD84" s="378"/>
      <c r="AE84" s="48"/>
      <c r="AF84" s="48"/>
      <c r="AG84" s="143"/>
      <c r="AH84" s="378"/>
      <c r="AI84" s="378"/>
      <c r="AJ84" s="378"/>
      <c r="AK84" s="143"/>
      <c r="AL84" s="378"/>
      <c r="AM84" s="48"/>
      <c r="AN84" s="378"/>
      <c r="AO84" s="48"/>
      <c r="AP84" s="378"/>
      <c r="AQ84" s="143"/>
    </row>
    <row r="85" spans="1:43" x14ac:dyDescent="0.25">
      <c r="A85" s="53"/>
      <c r="C85" s="54"/>
      <c r="F85" s="379"/>
      <c r="H85" s="379"/>
      <c r="I85" s="378"/>
      <c r="J85" s="379"/>
      <c r="M85" s="378"/>
      <c r="N85" s="379"/>
      <c r="O85" s="379"/>
      <c r="P85" s="50"/>
      <c r="Q85" s="449"/>
      <c r="R85" s="379"/>
      <c r="T85" s="54"/>
      <c r="V85" s="46"/>
      <c r="Y85" s="379"/>
      <c r="Z85" s="221"/>
      <c r="AA85" s="379"/>
      <c r="AB85" s="379"/>
      <c r="AC85" s="50"/>
      <c r="AD85" s="50"/>
      <c r="AE85" s="379"/>
      <c r="AF85" s="379"/>
      <c r="AG85" s="156"/>
      <c r="AH85" s="378"/>
      <c r="AI85" s="60"/>
      <c r="AJ85" s="60"/>
      <c r="AK85" s="156"/>
      <c r="AL85" s="379"/>
      <c r="AM85" s="378"/>
      <c r="AN85" s="378"/>
      <c r="AO85" s="50"/>
      <c r="AP85" s="378"/>
      <c r="AQ85" s="156"/>
    </row>
    <row r="86" spans="1:43" x14ac:dyDescent="0.25">
      <c r="F86" s="381"/>
      <c r="H86" s="381"/>
      <c r="I86" s="378"/>
      <c r="J86" s="381"/>
      <c r="K86" s="464"/>
      <c r="L86" s="464"/>
      <c r="M86" s="378"/>
      <c r="N86" s="381"/>
      <c r="O86" s="381"/>
      <c r="P86" s="381"/>
      <c r="Q86" s="381"/>
      <c r="R86" s="381"/>
      <c r="V86" s="379"/>
      <c r="Y86" s="379"/>
      <c r="Z86" s="464"/>
      <c r="AA86" s="381"/>
      <c r="AB86" s="381"/>
      <c r="AC86" s="381"/>
      <c r="AD86" s="381"/>
      <c r="AE86" s="381"/>
      <c r="AF86" s="381"/>
      <c r="AH86" s="378"/>
      <c r="AK86" s="162"/>
      <c r="AL86" s="381"/>
      <c r="AM86" s="378"/>
      <c r="AN86" s="378"/>
      <c r="AO86" s="50"/>
      <c r="AP86" s="378"/>
      <c r="AQ86" s="162"/>
    </row>
    <row r="87" spans="1:43" x14ac:dyDescent="0.25">
      <c r="I87" s="378"/>
      <c r="M87" s="378"/>
      <c r="T87" s="54"/>
      <c r="V87" s="379"/>
      <c r="Y87" s="379"/>
      <c r="Z87" s="59"/>
      <c r="AA87" s="379"/>
      <c r="AB87" s="379"/>
      <c r="AC87" s="50"/>
      <c r="AD87" s="50"/>
      <c r="AE87" s="379"/>
      <c r="AF87" s="379"/>
      <c r="AG87" s="156"/>
      <c r="AH87" s="378"/>
      <c r="AI87" s="60"/>
      <c r="AJ87" s="60"/>
      <c r="AK87" s="156"/>
      <c r="AL87" s="379"/>
      <c r="AM87" s="378"/>
      <c r="AN87" s="378"/>
      <c r="AO87" s="50"/>
      <c r="AP87" s="378"/>
      <c r="AQ87" s="156"/>
    </row>
    <row r="88" spans="1:43" x14ac:dyDescent="0.25">
      <c r="C88" s="54"/>
      <c r="I88" s="378"/>
      <c r="M88" s="378"/>
      <c r="N88" s="379"/>
      <c r="O88" s="379"/>
      <c r="P88" s="379"/>
      <c r="Q88" s="379"/>
      <c r="R88" s="379"/>
      <c r="S88" s="379"/>
      <c r="V88" s="379"/>
      <c r="Y88" s="379"/>
      <c r="Z88" s="464"/>
      <c r="AA88" s="381"/>
      <c r="AB88" s="381"/>
      <c r="AC88" s="381"/>
      <c r="AD88" s="381"/>
      <c r="AE88" s="381"/>
      <c r="AF88" s="381"/>
      <c r="AH88" s="378"/>
      <c r="AK88" s="162"/>
      <c r="AL88" s="381"/>
      <c r="AM88" s="378"/>
      <c r="AN88" s="378"/>
      <c r="AO88" s="50"/>
      <c r="AP88" s="378"/>
      <c r="AQ88" s="162"/>
    </row>
    <row r="89" spans="1:43" x14ac:dyDescent="0.25">
      <c r="A89" s="54"/>
      <c r="I89" s="378"/>
      <c r="M89" s="378"/>
      <c r="T89" s="54"/>
      <c r="V89" s="379"/>
      <c r="Y89" s="379"/>
      <c r="Z89" s="59"/>
      <c r="AA89" s="379"/>
      <c r="AB89" s="379"/>
      <c r="AC89" s="50"/>
      <c r="AD89" s="50"/>
      <c r="AE89" s="379"/>
      <c r="AF89" s="379"/>
      <c r="AG89" s="156"/>
      <c r="AH89" s="378"/>
      <c r="AI89" s="60"/>
      <c r="AJ89" s="60"/>
      <c r="AK89" s="156"/>
      <c r="AL89" s="379"/>
      <c r="AM89" s="378"/>
      <c r="AN89" s="378"/>
      <c r="AO89" s="50"/>
      <c r="AP89" s="378"/>
      <c r="AQ89" s="156"/>
    </row>
    <row r="90" spans="1:43" x14ac:dyDescent="0.25">
      <c r="I90" s="378"/>
      <c r="K90" s="53"/>
      <c r="L90" s="53"/>
      <c r="M90" s="378"/>
      <c r="T90" s="54"/>
      <c r="V90" s="449"/>
      <c r="Y90" s="379"/>
      <c r="Z90" s="472"/>
      <c r="AA90" s="379"/>
      <c r="AB90" s="379"/>
      <c r="AC90" s="50"/>
      <c r="AD90" s="50"/>
      <c r="AE90" s="379"/>
      <c r="AF90" s="379"/>
      <c r="AG90" s="156"/>
      <c r="AH90" s="378"/>
      <c r="AI90" s="60"/>
      <c r="AJ90" s="60"/>
      <c r="AK90" s="156"/>
      <c r="AL90" s="379"/>
      <c r="AM90" s="378"/>
      <c r="AN90" s="378"/>
      <c r="AO90" s="50"/>
      <c r="AP90" s="378"/>
      <c r="AQ90" s="156"/>
    </row>
    <row r="91" spans="1:43" x14ac:dyDescent="0.25">
      <c r="H91" s="54"/>
      <c r="I91" s="378"/>
      <c r="J91" s="54"/>
      <c r="M91" s="378"/>
      <c r="V91" s="381"/>
      <c r="Y91" s="381"/>
      <c r="Z91" s="464"/>
      <c r="AA91" s="381"/>
      <c r="AB91" s="381"/>
      <c r="AC91" s="381"/>
      <c r="AD91" s="381"/>
      <c r="AE91" s="381"/>
      <c r="AF91" s="381"/>
      <c r="AH91" s="378"/>
      <c r="AK91" s="162"/>
      <c r="AL91" s="381"/>
      <c r="AM91" s="378"/>
      <c r="AN91" s="378"/>
      <c r="AO91" s="50"/>
      <c r="AP91" s="378"/>
      <c r="AQ91" s="162"/>
    </row>
    <row r="92" spans="1:43" x14ac:dyDescent="0.25">
      <c r="I92" s="378"/>
      <c r="K92" s="53"/>
      <c r="L92" s="53"/>
      <c r="M92" s="378"/>
      <c r="T92" s="54"/>
      <c r="V92" s="379"/>
      <c r="Y92" s="379"/>
      <c r="Z92" s="464"/>
      <c r="AA92" s="379"/>
      <c r="AB92" s="379"/>
      <c r="AC92" s="50"/>
      <c r="AD92" s="50"/>
      <c r="AE92" s="379"/>
      <c r="AF92" s="379"/>
      <c r="AG92" s="156"/>
      <c r="AH92" s="378"/>
      <c r="AI92" s="50"/>
      <c r="AJ92" s="50"/>
      <c r="AK92" s="156"/>
      <c r="AL92" s="379"/>
      <c r="AM92" s="378"/>
      <c r="AN92" s="378"/>
      <c r="AO92" s="50"/>
      <c r="AP92" s="378"/>
      <c r="AQ92" s="156"/>
    </row>
    <row r="93" spans="1:43" x14ac:dyDescent="0.25">
      <c r="I93" s="378"/>
      <c r="M93" s="54"/>
      <c r="N93" s="54"/>
      <c r="V93" s="381"/>
      <c r="Y93" s="381"/>
      <c r="Z93" s="464"/>
      <c r="AA93" s="381"/>
      <c r="AB93" s="381"/>
      <c r="AC93" s="381"/>
      <c r="AD93" s="381"/>
      <c r="AE93" s="381"/>
      <c r="AF93" s="381"/>
      <c r="AH93" s="378"/>
      <c r="AK93" s="162"/>
      <c r="AL93" s="381"/>
      <c r="AM93" s="378"/>
      <c r="AN93" s="378"/>
      <c r="AO93" s="50"/>
      <c r="AP93" s="378"/>
      <c r="AQ93" s="162"/>
    </row>
    <row r="94" spans="1:43" x14ac:dyDescent="0.25">
      <c r="A94" s="53"/>
      <c r="I94" s="378"/>
      <c r="R94" s="54"/>
      <c r="T94" s="54"/>
      <c r="V94" s="449"/>
      <c r="Y94" s="449"/>
      <c r="Z94" s="464"/>
      <c r="AA94" s="379"/>
      <c r="AB94" s="379"/>
      <c r="AC94" s="50"/>
      <c r="AD94" s="50"/>
      <c r="AE94" s="379"/>
      <c r="AF94" s="379"/>
      <c r="AH94" s="378"/>
      <c r="AK94" s="156"/>
      <c r="AL94" s="379"/>
      <c r="AM94" s="378"/>
      <c r="AN94" s="378"/>
      <c r="AO94" s="50"/>
      <c r="AP94" s="378"/>
      <c r="AQ94" s="156"/>
    </row>
    <row r="95" spans="1:43" x14ac:dyDescent="0.25">
      <c r="A95" s="53"/>
      <c r="I95" s="378"/>
      <c r="R95" s="54"/>
      <c r="AH95" s="378"/>
      <c r="AM95" s="378"/>
      <c r="AN95" s="378"/>
      <c r="AP95" s="378"/>
    </row>
    <row r="96" spans="1:43" x14ac:dyDescent="0.25">
      <c r="A96" s="54"/>
      <c r="I96" s="378"/>
      <c r="R96" s="54"/>
      <c r="T96" s="54"/>
      <c r="AH96" s="378"/>
      <c r="AM96" s="378"/>
      <c r="AN96" s="378"/>
      <c r="AP96" s="378"/>
    </row>
    <row r="97" spans="1:43" x14ac:dyDescent="0.25">
      <c r="I97" s="378"/>
      <c r="M97" s="54"/>
      <c r="N97" s="54"/>
      <c r="R97" s="53"/>
      <c r="T97" s="54"/>
      <c r="V97" s="379"/>
      <c r="Y97" s="449"/>
      <c r="Z97" s="461"/>
      <c r="AA97" s="379"/>
      <c r="AB97" s="379"/>
      <c r="AC97" s="50"/>
      <c r="AD97" s="50"/>
      <c r="AE97" s="379"/>
      <c r="AF97" s="379"/>
      <c r="AG97" s="474"/>
      <c r="AH97" s="378"/>
      <c r="AI97" s="475"/>
      <c r="AJ97" s="475"/>
      <c r="AK97" s="156"/>
      <c r="AL97" s="53"/>
      <c r="AM97" s="378"/>
      <c r="AN97" s="378"/>
      <c r="AO97" s="476"/>
      <c r="AP97" s="378"/>
      <c r="AQ97" s="156"/>
    </row>
    <row r="98" spans="1:43" x14ac:dyDescent="0.25">
      <c r="A98" s="55"/>
      <c r="B98" s="55"/>
      <c r="C98" s="55"/>
      <c r="D98" s="55"/>
      <c r="E98" s="55"/>
      <c r="F98" s="55"/>
      <c r="G98" s="55"/>
      <c r="H98" s="55"/>
      <c r="I98" s="378"/>
      <c r="J98" s="55"/>
      <c r="K98" s="55"/>
      <c r="L98" s="55"/>
      <c r="M98" s="55"/>
      <c r="N98" s="55"/>
      <c r="O98" s="55"/>
      <c r="P98" s="55"/>
      <c r="Q98" s="55"/>
      <c r="R98" s="55"/>
      <c r="T98" s="54"/>
      <c r="V98" s="379"/>
      <c r="Y98" s="449"/>
      <c r="Z98" s="461"/>
      <c r="AA98" s="379"/>
      <c r="AB98" s="379"/>
      <c r="AC98" s="50"/>
      <c r="AD98" s="50"/>
      <c r="AE98" s="379"/>
      <c r="AF98" s="379"/>
      <c r="AG98" s="156"/>
      <c r="AH98" s="378"/>
      <c r="AI98" s="60"/>
      <c r="AJ98" s="60"/>
      <c r="AK98" s="156"/>
      <c r="AL98" s="53"/>
      <c r="AM98" s="378"/>
      <c r="AN98" s="378"/>
      <c r="AO98" s="50"/>
      <c r="AP98" s="378"/>
      <c r="AQ98" s="156"/>
    </row>
    <row r="99" spans="1:43" x14ac:dyDescent="0.25">
      <c r="I99" s="378"/>
      <c r="M99" s="56"/>
      <c r="N99" s="56"/>
      <c r="O99" s="56"/>
      <c r="P99" s="56"/>
      <c r="R99" s="56"/>
      <c r="T99" s="54"/>
      <c r="V99" s="379"/>
      <c r="Y99" s="449"/>
      <c r="Z99" s="461"/>
      <c r="AA99" s="379"/>
      <c r="AB99" s="379"/>
      <c r="AC99" s="50"/>
      <c r="AD99" s="50"/>
      <c r="AE99" s="379"/>
      <c r="AF99" s="379"/>
      <c r="AG99" s="156"/>
      <c r="AH99" s="378"/>
      <c r="AI99" s="60"/>
      <c r="AJ99" s="60"/>
      <c r="AK99" s="156"/>
      <c r="AL99" s="53"/>
      <c r="AM99" s="378"/>
      <c r="AN99" s="378"/>
      <c r="AO99" s="50"/>
      <c r="AP99" s="378"/>
      <c r="AQ99" s="156"/>
    </row>
    <row r="100" spans="1:43" x14ac:dyDescent="0.25">
      <c r="I100" s="378"/>
      <c r="M100" s="56"/>
      <c r="N100" s="56"/>
      <c r="O100" s="56"/>
      <c r="P100" s="56"/>
      <c r="R100" s="56"/>
      <c r="V100" s="381"/>
      <c r="Y100" s="379"/>
      <c r="Z100" s="464"/>
      <c r="AA100" s="381"/>
      <c r="AB100" s="381"/>
      <c r="AC100" s="381"/>
      <c r="AD100" s="381"/>
      <c r="AE100" s="381"/>
      <c r="AF100" s="381"/>
      <c r="AH100" s="378"/>
      <c r="AK100" s="162"/>
      <c r="AL100" s="381"/>
      <c r="AM100" s="378"/>
      <c r="AN100" s="378"/>
      <c r="AO100" s="50"/>
      <c r="AP100" s="378"/>
      <c r="AQ100" s="162"/>
    </row>
    <row r="101" spans="1:43" x14ac:dyDescent="0.25">
      <c r="A101" s="56"/>
      <c r="C101" s="56"/>
      <c r="D101" s="56"/>
      <c r="E101" s="56"/>
      <c r="F101" s="56"/>
      <c r="I101" s="378"/>
      <c r="K101" s="56"/>
      <c r="L101" s="56"/>
      <c r="M101" s="56"/>
      <c r="N101" s="56"/>
      <c r="O101" s="56"/>
      <c r="P101" s="56"/>
      <c r="Q101" s="56"/>
      <c r="R101" s="56"/>
      <c r="T101" s="54"/>
      <c r="V101" s="379"/>
      <c r="Y101" s="379"/>
      <c r="Z101" s="464"/>
      <c r="AA101" s="379"/>
      <c r="AB101" s="379"/>
      <c r="AC101" s="50"/>
      <c r="AD101" s="50"/>
      <c r="AE101" s="379"/>
      <c r="AF101" s="379"/>
      <c r="AG101" s="156"/>
      <c r="AH101" s="378"/>
      <c r="AI101" s="60"/>
      <c r="AJ101" s="60"/>
      <c r="AK101" s="156"/>
      <c r="AL101" s="379"/>
      <c r="AM101" s="378"/>
      <c r="AN101" s="378"/>
      <c r="AO101" s="50"/>
      <c r="AP101" s="378"/>
      <c r="AQ101" s="156"/>
    </row>
    <row r="102" spans="1:43" x14ac:dyDescent="0.25">
      <c r="A102" s="56"/>
      <c r="C102" s="56"/>
      <c r="D102" s="56"/>
      <c r="E102" s="56"/>
      <c r="F102" s="56"/>
      <c r="H102" s="56"/>
      <c r="I102" s="378"/>
      <c r="J102" s="56"/>
      <c r="K102" s="56"/>
      <c r="L102" s="56"/>
      <c r="M102" s="56"/>
      <c r="N102" s="56"/>
      <c r="O102" s="56"/>
      <c r="P102" s="56"/>
      <c r="Q102" s="56"/>
      <c r="R102" s="56"/>
      <c r="V102" s="381"/>
      <c r="Y102" s="379"/>
      <c r="Z102" s="464"/>
      <c r="AA102" s="381"/>
      <c r="AB102" s="381"/>
      <c r="AC102" s="381"/>
      <c r="AD102" s="381"/>
      <c r="AE102" s="381"/>
      <c r="AF102" s="381"/>
      <c r="AH102" s="378"/>
      <c r="AK102" s="162"/>
      <c r="AL102" s="381"/>
      <c r="AM102" s="378"/>
      <c r="AN102" s="378"/>
      <c r="AO102" s="50"/>
      <c r="AP102" s="378"/>
      <c r="AQ102" s="162"/>
    </row>
    <row r="103" spans="1:43" x14ac:dyDescent="0.25">
      <c r="C103" s="56"/>
      <c r="D103" s="56"/>
      <c r="E103" s="56"/>
      <c r="F103" s="56"/>
      <c r="H103" s="56"/>
      <c r="I103" s="378"/>
      <c r="J103" s="56"/>
      <c r="K103" s="56"/>
      <c r="L103" s="56"/>
      <c r="M103" s="56"/>
      <c r="N103" s="56"/>
      <c r="O103" s="56"/>
      <c r="P103" s="56"/>
      <c r="Q103" s="56"/>
      <c r="R103" s="56"/>
      <c r="T103" s="54"/>
      <c r="V103" s="449"/>
      <c r="Y103" s="449"/>
      <c r="Z103" s="477"/>
      <c r="AA103" s="379"/>
      <c r="AB103" s="379"/>
      <c r="AC103" s="50"/>
      <c r="AD103" s="50"/>
      <c r="AE103" s="379"/>
      <c r="AF103" s="379"/>
      <c r="AG103" s="156"/>
      <c r="AH103" s="378"/>
      <c r="AI103" s="50"/>
      <c r="AJ103" s="50"/>
      <c r="AK103" s="156"/>
      <c r="AL103" s="379"/>
      <c r="AM103" s="378"/>
      <c r="AN103" s="378"/>
      <c r="AO103" s="50"/>
      <c r="AP103" s="378"/>
      <c r="AQ103" s="156"/>
    </row>
    <row r="104" spans="1:43" x14ac:dyDescent="0.25">
      <c r="A104" s="55"/>
      <c r="B104" s="55"/>
      <c r="C104" s="55"/>
      <c r="D104" s="55"/>
      <c r="E104" s="55"/>
      <c r="F104" s="55"/>
      <c r="G104" s="55"/>
      <c r="H104" s="55"/>
      <c r="I104" s="378"/>
      <c r="J104" s="55"/>
      <c r="K104" s="55"/>
      <c r="L104" s="55"/>
      <c r="M104" s="55"/>
      <c r="N104" s="55"/>
      <c r="O104" s="55"/>
      <c r="P104" s="55"/>
      <c r="Q104" s="55"/>
      <c r="R104" s="55"/>
      <c r="T104" s="54"/>
      <c r="V104" s="449"/>
      <c r="Y104" s="379"/>
      <c r="Z104" s="461"/>
      <c r="AA104" s="379"/>
      <c r="AB104" s="379"/>
      <c r="AC104" s="50"/>
      <c r="AD104" s="50"/>
      <c r="AE104" s="379"/>
      <c r="AF104" s="379"/>
      <c r="AG104" s="156"/>
      <c r="AH104" s="378"/>
      <c r="AI104" s="60"/>
      <c r="AJ104" s="60"/>
      <c r="AK104" s="156"/>
      <c r="AL104" s="379"/>
      <c r="AM104" s="378"/>
      <c r="AN104" s="378"/>
      <c r="AO104" s="50"/>
      <c r="AP104" s="378"/>
      <c r="AQ104" s="156"/>
    </row>
    <row r="105" spans="1:43" x14ac:dyDescent="0.25">
      <c r="H105" s="56"/>
      <c r="I105" s="378"/>
      <c r="J105" s="56"/>
      <c r="K105" s="56"/>
      <c r="L105" s="56"/>
      <c r="M105" s="56"/>
      <c r="N105" s="56"/>
      <c r="O105" s="56"/>
      <c r="P105" s="56"/>
      <c r="Q105" s="56"/>
      <c r="R105" s="56"/>
      <c r="T105" s="54"/>
      <c r="V105" s="449"/>
      <c r="Y105" s="379"/>
      <c r="Z105" s="461"/>
      <c r="AA105" s="379"/>
      <c r="AB105" s="379"/>
      <c r="AC105" s="50"/>
      <c r="AD105" s="50"/>
      <c r="AE105" s="379"/>
      <c r="AF105" s="379"/>
      <c r="AG105" s="156"/>
      <c r="AH105" s="378"/>
      <c r="AI105" s="60"/>
      <c r="AJ105" s="60"/>
      <c r="AK105" s="156"/>
      <c r="AL105" s="379"/>
      <c r="AM105" s="378"/>
      <c r="AN105" s="378"/>
      <c r="AO105" s="50"/>
      <c r="AP105" s="378"/>
      <c r="AQ105" s="156"/>
    </row>
    <row r="106" spans="1:43" x14ac:dyDescent="0.25">
      <c r="A106" s="53"/>
      <c r="C106" s="54"/>
      <c r="D106" s="54"/>
      <c r="E106" s="54"/>
      <c r="I106" s="378"/>
      <c r="V106" s="379"/>
      <c r="Y106" s="381"/>
      <c r="Z106" s="464"/>
      <c r="AA106" s="381"/>
      <c r="AB106" s="381"/>
      <c r="AC106" s="381"/>
      <c r="AD106" s="381"/>
      <c r="AE106" s="381"/>
      <c r="AF106" s="381"/>
      <c r="AH106" s="378"/>
      <c r="AK106" s="162"/>
      <c r="AL106" s="381"/>
      <c r="AM106" s="378"/>
      <c r="AN106" s="378"/>
      <c r="AO106" s="50"/>
      <c r="AP106" s="378"/>
      <c r="AQ106" s="162"/>
    </row>
    <row r="107" spans="1:43" x14ac:dyDescent="0.25">
      <c r="A107" s="53"/>
      <c r="D107" s="54"/>
      <c r="E107" s="54"/>
      <c r="I107" s="378"/>
      <c r="T107" s="54"/>
      <c r="V107" s="379"/>
      <c r="Y107" s="379"/>
      <c r="Z107" s="464"/>
      <c r="AA107" s="379"/>
      <c r="AB107" s="379"/>
      <c r="AC107" s="50"/>
      <c r="AD107" s="50"/>
      <c r="AE107" s="379"/>
      <c r="AF107" s="379"/>
      <c r="AG107" s="156"/>
      <c r="AH107" s="378"/>
      <c r="AI107" s="60"/>
      <c r="AJ107" s="60"/>
      <c r="AK107" s="156"/>
      <c r="AL107" s="379"/>
      <c r="AM107" s="378"/>
      <c r="AN107" s="378"/>
      <c r="AO107" s="50"/>
      <c r="AP107" s="378"/>
      <c r="AQ107" s="156"/>
    </row>
    <row r="108" spans="1:43" x14ac:dyDescent="0.25">
      <c r="I108" s="378"/>
      <c r="V108" s="379"/>
      <c r="Y108" s="381"/>
      <c r="Z108" s="464"/>
      <c r="AA108" s="381"/>
      <c r="AB108" s="381"/>
      <c r="AC108" s="381"/>
      <c r="AD108" s="381"/>
      <c r="AE108" s="381"/>
      <c r="AF108" s="381"/>
      <c r="AH108" s="378"/>
      <c r="AK108" s="162"/>
      <c r="AL108" s="381"/>
      <c r="AM108" s="378"/>
      <c r="AN108" s="378"/>
      <c r="AO108" s="50"/>
      <c r="AP108" s="378"/>
      <c r="AQ108" s="162"/>
    </row>
    <row r="109" spans="1:43" x14ac:dyDescent="0.25">
      <c r="A109" s="53"/>
      <c r="C109" s="54"/>
      <c r="F109" s="449"/>
      <c r="H109" s="449"/>
      <c r="I109" s="378"/>
      <c r="J109" s="449"/>
      <c r="K109" s="461"/>
      <c r="L109" s="461"/>
      <c r="M109" s="379"/>
      <c r="N109" s="379"/>
      <c r="O109" s="50"/>
      <c r="P109" s="50"/>
      <c r="R109" s="379"/>
      <c r="T109" s="54"/>
      <c r="V109" s="379"/>
      <c r="Y109" s="379"/>
      <c r="Z109" s="464"/>
      <c r="AA109" s="379"/>
      <c r="AB109" s="379"/>
      <c r="AC109" s="379"/>
      <c r="AD109" s="379"/>
      <c r="AE109" s="379"/>
      <c r="AF109" s="379"/>
      <c r="AG109" s="156"/>
      <c r="AH109" s="378"/>
      <c r="AI109" s="60"/>
      <c r="AJ109" s="60"/>
      <c r="AK109" s="156"/>
      <c r="AL109" s="379"/>
      <c r="AM109" s="378"/>
      <c r="AN109" s="378"/>
      <c r="AO109" s="50"/>
      <c r="AP109" s="378"/>
      <c r="AQ109" s="156"/>
    </row>
    <row r="110" spans="1:43" x14ac:dyDescent="0.25">
      <c r="A110" s="53"/>
      <c r="C110" s="54"/>
      <c r="F110" s="449"/>
      <c r="H110" s="449"/>
      <c r="I110" s="378"/>
      <c r="J110" s="449"/>
      <c r="K110" s="461"/>
      <c r="L110" s="461"/>
      <c r="M110" s="379"/>
      <c r="N110" s="379"/>
      <c r="O110" s="50"/>
      <c r="P110" s="50"/>
      <c r="Q110" s="53"/>
      <c r="R110" s="379"/>
      <c r="T110" s="54"/>
      <c r="V110" s="379"/>
      <c r="Y110" s="379"/>
      <c r="Z110" s="221"/>
      <c r="AA110" s="379"/>
      <c r="AB110" s="379"/>
      <c r="AC110" s="50"/>
      <c r="AD110" s="50"/>
      <c r="AE110" s="379"/>
      <c r="AF110" s="379"/>
      <c r="AG110" s="156"/>
      <c r="AH110" s="378"/>
      <c r="AI110" s="60"/>
      <c r="AJ110" s="60"/>
      <c r="AK110" s="156"/>
      <c r="AL110" s="379"/>
      <c r="AM110" s="378"/>
      <c r="AN110" s="378"/>
      <c r="AO110" s="50"/>
      <c r="AP110" s="378"/>
      <c r="AQ110" s="156"/>
    </row>
    <row r="111" spans="1:43" x14ac:dyDescent="0.25">
      <c r="F111" s="381"/>
      <c r="H111" s="379"/>
      <c r="I111" s="378"/>
      <c r="J111" s="379"/>
      <c r="K111" s="464"/>
      <c r="L111" s="464"/>
      <c r="M111" s="381"/>
      <c r="N111" s="381"/>
      <c r="O111" s="381"/>
      <c r="P111" s="381"/>
      <c r="Q111" s="381"/>
      <c r="R111" s="381"/>
      <c r="T111" s="54"/>
      <c r="Y111" s="379"/>
      <c r="Z111" s="221"/>
      <c r="AA111" s="379"/>
      <c r="AB111" s="379"/>
      <c r="AC111" s="50"/>
      <c r="AD111" s="50"/>
      <c r="AE111" s="379"/>
      <c r="AF111" s="379"/>
      <c r="AG111" s="156"/>
      <c r="AH111" s="378"/>
      <c r="AI111" s="60"/>
      <c r="AJ111" s="60"/>
      <c r="AK111" s="156"/>
      <c r="AL111" s="379"/>
      <c r="AM111" s="378"/>
      <c r="AN111" s="378"/>
      <c r="AO111" s="50"/>
      <c r="AP111" s="378"/>
      <c r="AQ111" s="156"/>
    </row>
    <row r="112" spans="1:43" x14ac:dyDescent="0.25">
      <c r="A112" s="53"/>
      <c r="C112" s="54"/>
      <c r="F112" s="379"/>
      <c r="H112" s="379"/>
      <c r="I112" s="378"/>
      <c r="J112" s="379"/>
      <c r="K112" s="464"/>
      <c r="L112" s="464"/>
      <c r="M112" s="379"/>
      <c r="N112" s="379"/>
      <c r="O112" s="50"/>
      <c r="P112" s="50"/>
      <c r="Q112" s="379"/>
      <c r="R112" s="379"/>
      <c r="V112" s="379"/>
      <c r="Y112" s="379"/>
      <c r="Z112" s="464"/>
      <c r="AA112" s="381"/>
      <c r="AB112" s="381"/>
      <c r="AC112" s="381"/>
      <c r="AD112" s="381"/>
      <c r="AE112" s="381"/>
      <c r="AF112" s="381"/>
      <c r="AH112" s="378"/>
      <c r="AK112" s="162"/>
      <c r="AL112" s="381"/>
      <c r="AM112" s="378"/>
      <c r="AN112" s="378"/>
      <c r="AO112" s="50"/>
      <c r="AP112" s="378"/>
      <c r="AQ112" s="162"/>
    </row>
    <row r="113" spans="1:43" x14ac:dyDescent="0.25">
      <c r="F113" s="381"/>
      <c r="H113" s="379"/>
      <c r="I113" s="378"/>
      <c r="J113" s="379"/>
      <c r="K113" s="464"/>
      <c r="L113" s="464"/>
      <c r="M113" s="381"/>
      <c r="N113" s="381"/>
      <c r="O113" s="381"/>
      <c r="P113" s="381"/>
      <c r="Q113" s="381"/>
      <c r="R113" s="381"/>
      <c r="T113" s="54"/>
      <c r="V113" s="379"/>
      <c r="Y113" s="379"/>
      <c r="Z113" s="59"/>
      <c r="AA113" s="379"/>
      <c r="AB113" s="379"/>
      <c r="AC113" s="50"/>
      <c r="AD113" s="50"/>
      <c r="AE113" s="379"/>
      <c r="AF113" s="379"/>
      <c r="AG113" s="156"/>
      <c r="AH113" s="378"/>
      <c r="AI113" s="60"/>
      <c r="AJ113" s="60"/>
      <c r="AK113" s="156"/>
      <c r="AL113" s="379"/>
      <c r="AM113" s="378"/>
      <c r="AN113" s="378"/>
      <c r="AO113" s="50"/>
      <c r="AP113" s="378"/>
      <c r="AQ113" s="156"/>
    </row>
    <row r="114" spans="1:43" x14ac:dyDescent="0.25">
      <c r="F114" s="379"/>
      <c r="H114" s="379"/>
      <c r="I114" s="378"/>
      <c r="J114" s="379"/>
      <c r="K114" s="464"/>
      <c r="L114" s="464"/>
      <c r="M114" s="379"/>
      <c r="N114" s="379"/>
      <c r="O114" s="50"/>
      <c r="P114" s="50"/>
      <c r="Q114" s="379"/>
      <c r="R114" s="379"/>
      <c r="V114" s="379"/>
      <c r="Y114" s="379"/>
      <c r="Z114" s="464"/>
      <c r="AA114" s="381"/>
      <c r="AB114" s="381"/>
      <c r="AC114" s="381"/>
      <c r="AD114" s="381"/>
      <c r="AE114" s="381"/>
      <c r="AF114" s="381"/>
      <c r="AH114" s="378"/>
      <c r="AK114" s="162"/>
      <c r="AL114" s="381"/>
      <c r="AM114" s="378"/>
      <c r="AN114" s="378"/>
      <c r="AO114" s="50"/>
      <c r="AP114" s="378"/>
      <c r="AQ114" s="162"/>
    </row>
    <row r="115" spans="1:43" x14ac:dyDescent="0.25">
      <c r="A115" s="53"/>
      <c r="C115" s="54"/>
      <c r="F115" s="449"/>
      <c r="H115" s="449"/>
      <c r="I115" s="378"/>
      <c r="J115" s="449"/>
      <c r="K115" s="461"/>
      <c r="L115" s="461"/>
      <c r="M115" s="379"/>
      <c r="N115" s="379"/>
      <c r="O115" s="50"/>
      <c r="P115" s="50"/>
      <c r="Q115" s="379"/>
      <c r="R115" s="379"/>
      <c r="T115" s="54"/>
      <c r="V115" s="379"/>
      <c r="Y115" s="379"/>
      <c r="Z115" s="59"/>
      <c r="AA115" s="379"/>
      <c r="AB115" s="379"/>
      <c r="AC115" s="50"/>
      <c r="AD115" s="50"/>
      <c r="AE115" s="379"/>
      <c r="AF115" s="379"/>
      <c r="AG115" s="156"/>
      <c r="AH115" s="378"/>
      <c r="AI115" s="60"/>
      <c r="AJ115" s="60"/>
      <c r="AK115" s="156"/>
      <c r="AL115" s="379"/>
      <c r="AM115" s="378"/>
      <c r="AN115" s="378"/>
      <c r="AO115" s="50"/>
      <c r="AP115" s="378"/>
      <c r="AQ115" s="156"/>
    </row>
    <row r="116" spans="1:43" x14ac:dyDescent="0.25">
      <c r="A116" s="53"/>
      <c r="C116" s="54"/>
      <c r="F116" s="449"/>
      <c r="H116" s="449"/>
      <c r="I116" s="378"/>
      <c r="J116" s="449"/>
      <c r="K116" s="461"/>
      <c r="L116" s="461"/>
      <c r="M116" s="379"/>
      <c r="N116" s="379"/>
      <c r="O116" s="50"/>
      <c r="P116" s="50"/>
      <c r="Q116" s="379"/>
      <c r="R116" s="379"/>
      <c r="T116" s="54"/>
      <c r="V116" s="449"/>
      <c r="Y116" s="379"/>
      <c r="Z116" s="472"/>
      <c r="AA116" s="379"/>
      <c r="AB116" s="379"/>
      <c r="AC116" s="50"/>
      <c r="AD116" s="50"/>
      <c r="AE116" s="379"/>
      <c r="AF116" s="379"/>
      <c r="AG116" s="156"/>
      <c r="AH116" s="378"/>
      <c r="AI116" s="60"/>
      <c r="AJ116" s="60"/>
      <c r="AK116" s="156"/>
      <c r="AL116" s="379"/>
      <c r="AM116" s="378"/>
      <c r="AN116" s="378"/>
      <c r="AO116" s="50"/>
      <c r="AP116" s="378"/>
      <c r="AQ116" s="156"/>
    </row>
    <row r="117" spans="1:43" x14ac:dyDescent="0.25">
      <c r="F117" s="379"/>
      <c r="H117" s="381"/>
      <c r="I117" s="378"/>
      <c r="J117" s="381"/>
      <c r="K117" s="464"/>
      <c r="L117" s="464"/>
      <c r="M117" s="381"/>
      <c r="N117" s="381"/>
      <c r="O117" s="381"/>
      <c r="P117" s="381"/>
      <c r="Q117" s="381"/>
      <c r="R117" s="381"/>
      <c r="V117" s="381"/>
      <c r="Y117" s="381"/>
      <c r="Z117" s="464"/>
      <c r="AA117" s="381"/>
      <c r="AB117" s="381"/>
      <c r="AC117" s="381"/>
      <c r="AD117" s="381"/>
      <c r="AE117" s="381"/>
      <c r="AF117" s="381"/>
      <c r="AH117" s="378"/>
      <c r="AK117" s="162"/>
      <c r="AL117" s="381"/>
      <c r="AM117" s="378"/>
      <c r="AN117" s="378"/>
      <c r="AO117" s="50"/>
      <c r="AP117" s="378"/>
      <c r="AQ117" s="162"/>
    </row>
    <row r="118" spans="1:43" x14ac:dyDescent="0.25">
      <c r="A118" s="53"/>
      <c r="C118" s="54"/>
      <c r="F118" s="379"/>
      <c r="H118" s="379"/>
      <c r="I118" s="378"/>
      <c r="J118" s="379"/>
      <c r="K118" s="464"/>
      <c r="L118" s="464"/>
      <c r="M118" s="379"/>
      <c r="N118" s="379"/>
      <c r="O118" s="50"/>
      <c r="P118" s="50"/>
      <c r="Q118" s="379"/>
      <c r="R118" s="379"/>
      <c r="T118" s="54"/>
      <c r="V118" s="379"/>
      <c r="Y118" s="379"/>
      <c r="Z118" s="464"/>
      <c r="AA118" s="379"/>
      <c r="AB118" s="379"/>
      <c r="AC118" s="50"/>
      <c r="AD118" s="50"/>
      <c r="AE118" s="379"/>
      <c r="AF118" s="379"/>
      <c r="AG118" s="156"/>
      <c r="AH118" s="378"/>
      <c r="AI118" s="50"/>
      <c r="AJ118" s="50"/>
      <c r="AK118" s="156"/>
      <c r="AL118" s="379"/>
      <c r="AM118" s="378"/>
      <c r="AN118" s="378"/>
      <c r="AO118" s="50"/>
      <c r="AP118" s="378"/>
      <c r="AQ118" s="156"/>
    </row>
    <row r="119" spans="1:43" x14ac:dyDescent="0.25">
      <c r="F119" s="379"/>
      <c r="H119" s="381"/>
      <c r="I119" s="378"/>
      <c r="J119" s="381"/>
      <c r="K119" s="464"/>
      <c r="L119" s="464"/>
      <c r="M119" s="381"/>
      <c r="N119" s="381"/>
      <c r="O119" s="381"/>
      <c r="P119" s="381"/>
      <c r="Q119" s="381"/>
      <c r="R119" s="381"/>
      <c r="V119" s="381"/>
      <c r="Y119" s="381"/>
      <c r="Z119" s="464"/>
      <c r="AA119" s="381"/>
      <c r="AB119" s="381"/>
      <c r="AC119" s="381"/>
      <c r="AD119" s="381"/>
      <c r="AE119" s="381"/>
      <c r="AF119" s="381"/>
      <c r="AH119" s="378"/>
      <c r="AK119" s="162"/>
      <c r="AL119" s="381"/>
      <c r="AM119" s="378"/>
      <c r="AN119" s="378"/>
      <c r="AO119" s="50"/>
      <c r="AP119" s="378"/>
      <c r="AQ119" s="162"/>
    </row>
    <row r="120" spans="1:43" x14ac:dyDescent="0.25">
      <c r="F120" s="379"/>
      <c r="H120" s="379"/>
      <c r="I120" s="378"/>
      <c r="J120" s="379"/>
      <c r="K120" s="464"/>
      <c r="L120" s="464"/>
      <c r="M120" s="379"/>
      <c r="N120" s="379"/>
      <c r="O120" s="379"/>
      <c r="P120" s="379"/>
      <c r="Q120" s="379"/>
      <c r="R120" s="379"/>
      <c r="T120" s="54"/>
      <c r="AH120" s="378"/>
      <c r="AM120" s="378"/>
      <c r="AN120" s="378"/>
      <c r="AP120" s="378"/>
    </row>
    <row r="121" spans="1:43" x14ac:dyDescent="0.25">
      <c r="A121" s="53"/>
      <c r="C121" s="54"/>
      <c r="F121" s="449"/>
      <c r="H121" s="449"/>
      <c r="I121" s="378"/>
      <c r="J121" s="449"/>
      <c r="K121" s="472"/>
      <c r="L121" s="472"/>
      <c r="M121" s="379"/>
      <c r="N121" s="379"/>
      <c r="O121" s="50"/>
      <c r="P121" s="50"/>
      <c r="Q121" s="449"/>
      <c r="R121" s="379"/>
      <c r="T121" s="54"/>
      <c r="V121" s="379"/>
      <c r="Y121" s="379"/>
      <c r="AA121" s="379"/>
      <c r="AB121" s="379"/>
      <c r="AC121" s="50"/>
      <c r="AD121" s="50"/>
      <c r="AE121" s="379"/>
      <c r="AF121" s="379"/>
      <c r="AG121" s="156"/>
      <c r="AH121" s="378"/>
      <c r="AI121" s="50"/>
      <c r="AJ121" s="50"/>
      <c r="AK121" s="474"/>
      <c r="AL121" s="449"/>
      <c r="AM121" s="378"/>
      <c r="AN121" s="378"/>
      <c r="AO121" s="50"/>
      <c r="AP121" s="378"/>
      <c r="AQ121" s="156"/>
    </row>
    <row r="122" spans="1:43" x14ac:dyDescent="0.25">
      <c r="A122" s="53"/>
      <c r="C122" s="54"/>
      <c r="F122" s="449"/>
      <c r="H122" s="449"/>
      <c r="I122" s="378"/>
      <c r="J122" s="449"/>
      <c r="K122" s="472"/>
      <c r="L122" s="472"/>
      <c r="M122" s="379"/>
      <c r="N122" s="379"/>
      <c r="O122" s="50"/>
      <c r="P122" s="50"/>
      <c r="Q122" s="449"/>
      <c r="R122" s="379"/>
      <c r="V122" s="381"/>
      <c r="Y122" s="381"/>
      <c r="Z122" s="464"/>
      <c r="AA122" s="381"/>
      <c r="AB122" s="381"/>
      <c r="AC122" s="381"/>
      <c r="AD122" s="381"/>
      <c r="AE122" s="381"/>
      <c r="AF122" s="381"/>
      <c r="AH122" s="378"/>
      <c r="AK122" s="162"/>
      <c r="AL122" s="381"/>
      <c r="AM122" s="378"/>
      <c r="AN122" s="378"/>
      <c r="AP122" s="378"/>
      <c r="AQ122" s="162"/>
    </row>
    <row r="123" spans="1:43" x14ac:dyDescent="0.25">
      <c r="A123" s="53"/>
      <c r="C123" s="54"/>
      <c r="F123" s="449"/>
      <c r="H123" s="449"/>
      <c r="I123" s="378"/>
      <c r="J123" s="449"/>
      <c r="K123" s="472"/>
      <c r="L123" s="472"/>
      <c r="M123" s="379"/>
      <c r="N123" s="379"/>
      <c r="O123" s="50"/>
      <c r="P123" s="50"/>
      <c r="Q123" s="449"/>
      <c r="R123" s="379"/>
      <c r="AM123" s="378"/>
      <c r="AN123" s="378"/>
      <c r="AP123" s="378"/>
    </row>
    <row r="124" spans="1:43" x14ac:dyDescent="0.25">
      <c r="F124" s="381"/>
      <c r="H124" s="381"/>
      <c r="I124" s="378"/>
      <c r="J124" s="381"/>
      <c r="K124" s="464"/>
      <c r="L124" s="464"/>
      <c r="M124" s="381"/>
      <c r="N124" s="381"/>
      <c r="O124" s="381"/>
      <c r="P124" s="381"/>
      <c r="Q124" s="381"/>
      <c r="R124" s="381"/>
      <c r="T124" s="54"/>
      <c r="AA124" s="379"/>
      <c r="AB124" s="379"/>
      <c r="AC124" s="379"/>
      <c r="AD124" s="379"/>
      <c r="AI124" s="379"/>
      <c r="AJ124" s="379"/>
      <c r="AK124" s="156"/>
      <c r="AL124" s="379"/>
      <c r="AM124" s="378"/>
      <c r="AN124" s="378"/>
      <c r="AP124" s="378"/>
    </row>
    <row r="125" spans="1:43" x14ac:dyDescent="0.25">
      <c r="A125" s="53"/>
      <c r="C125" s="54"/>
      <c r="F125" s="379"/>
      <c r="H125" s="379"/>
      <c r="I125" s="378"/>
      <c r="J125" s="379"/>
      <c r="K125" s="59"/>
      <c r="L125" s="59"/>
      <c r="M125" s="379"/>
      <c r="N125" s="379"/>
      <c r="O125" s="50"/>
      <c r="P125" s="50"/>
      <c r="Q125" s="379"/>
      <c r="R125" s="379"/>
      <c r="AM125" s="378"/>
      <c r="AN125" s="378"/>
      <c r="AP125" s="378"/>
    </row>
    <row r="126" spans="1:43" x14ac:dyDescent="0.25">
      <c r="F126" s="381"/>
      <c r="H126" s="381"/>
      <c r="I126" s="378"/>
      <c r="J126" s="381"/>
      <c r="K126" s="464"/>
      <c r="L126" s="464"/>
      <c r="M126" s="381"/>
      <c r="N126" s="381"/>
      <c r="O126" s="381"/>
      <c r="P126" s="381"/>
      <c r="Q126" s="381"/>
      <c r="R126" s="381"/>
      <c r="Z126" s="53"/>
      <c r="AM126" s="378"/>
      <c r="AN126" s="378"/>
      <c r="AP126" s="378"/>
    </row>
    <row r="127" spans="1:43" x14ac:dyDescent="0.25">
      <c r="A127" s="53"/>
      <c r="C127" s="54"/>
      <c r="F127" s="379"/>
      <c r="H127" s="379"/>
      <c r="I127" s="378"/>
      <c r="J127" s="379"/>
      <c r="K127" s="59"/>
      <c r="L127" s="59"/>
      <c r="M127" s="379"/>
      <c r="N127" s="379"/>
      <c r="O127" s="50"/>
      <c r="P127" s="50"/>
      <c r="Q127" s="379"/>
      <c r="R127" s="379"/>
      <c r="Y127" s="54"/>
      <c r="AM127" s="378"/>
      <c r="AN127" s="378"/>
      <c r="AP127" s="378"/>
    </row>
    <row r="128" spans="1:43" x14ac:dyDescent="0.25">
      <c r="A128" s="53"/>
      <c r="C128" s="54"/>
      <c r="F128" s="379"/>
      <c r="H128" s="379"/>
      <c r="I128" s="379"/>
      <c r="J128" s="59"/>
      <c r="K128" s="59"/>
      <c r="L128" s="379"/>
      <c r="M128" s="379"/>
      <c r="N128" s="50"/>
      <c r="O128" s="50"/>
      <c r="P128" s="379"/>
      <c r="Q128" s="379"/>
      <c r="R128" s="379"/>
      <c r="Z128" s="53"/>
      <c r="AM128" s="378"/>
      <c r="AN128" s="378"/>
      <c r="AP128" s="378"/>
    </row>
    <row r="129" spans="1:42" x14ac:dyDescent="0.25">
      <c r="F129" s="381"/>
      <c r="H129" s="381"/>
      <c r="I129" s="381"/>
      <c r="J129" s="464"/>
      <c r="K129" s="464"/>
      <c r="L129" s="381"/>
      <c r="M129" s="381"/>
      <c r="N129" s="381"/>
      <c r="O129" s="381"/>
      <c r="P129" s="381"/>
      <c r="Q129" s="381"/>
      <c r="R129" s="381"/>
      <c r="AA129" s="54"/>
      <c r="AB129" s="54"/>
      <c r="AM129" s="378"/>
      <c r="AN129" s="378"/>
      <c r="AP129" s="378"/>
    </row>
    <row r="130" spans="1:42" x14ac:dyDescent="0.25">
      <c r="F130" s="379"/>
      <c r="H130" s="379"/>
      <c r="I130" s="379"/>
      <c r="J130" s="59"/>
      <c r="K130" s="59"/>
      <c r="L130" s="379"/>
      <c r="M130" s="379"/>
      <c r="N130" s="379"/>
      <c r="O130" s="379"/>
      <c r="P130" s="379"/>
      <c r="Q130" s="379"/>
      <c r="R130" s="379"/>
      <c r="AK130" s="161"/>
      <c r="AL130" s="54"/>
      <c r="AM130" s="378"/>
      <c r="AN130" s="378"/>
      <c r="AP130" s="378"/>
    </row>
    <row r="131" spans="1:42" x14ac:dyDescent="0.25">
      <c r="C131" s="54"/>
      <c r="F131" s="379"/>
      <c r="H131" s="379"/>
      <c r="I131" s="379"/>
      <c r="J131" s="59"/>
      <c r="K131" s="59"/>
      <c r="L131" s="379"/>
      <c r="M131" s="379"/>
      <c r="N131" s="379"/>
      <c r="O131" s="379"/>
      <c r="P131" s="379"/>
      <c r="Q131" s="379"/>
      <c r="R131" s="379"/>
      <c r="AK131" s="161"/>
      <c r="AL131" s="54"/>
      <c r="AM131" s="378"/>
      <c r="AN131" s="378"/>
      <c r="AP131" s="378"/>
    </row>
    <row r="132" spans="1:42" x14ac:dyDescent="0.25">
      <c r="A132" s="54"/>
      <c r="AK132" s="161"/>
      <c r="AL132" s="54"/>
      <c r="AM132" s="378"/>
      <c r="AN132" s="378"/>
      <c r="AP132" s="378"/>
    </row>
    <row r="133" spans="1:42" x14ac:dyDescent="0.25">
      <c r="J133" s="53"/>
      <c r="K133" s="53"/>
      <c r="Z133" s="53"/>
      <c r="AM133" s="378"/>
      <c r="AN133" s="378"/>
      <c r="AP133" s="378"/>
    </row>
    <row r="134" spans="1:42" x14ac:dyDescent="0.25">
      <c r="H134" s="54"/>
      <c r="I134" s="54"/>
      <c r="Y134" s="54"/>
      <c r="AM134" s="378"/>
      <c r="AN134" s="378"/>
      <c r="AP134" s="378"/>
    </row>
    <row r="135" spans="1:42" x14ac:dyDescent="0.25">
      <c r="J135" s="53"/>
      <c r="K135" s="53"/>
      <c r="Z135" s="53"/>
      <c r="AM135" s="378"/>
      <c r="AN135" s="378"/>
      <c r="AP135" s="378"/>
    </row>
    <row r="136" spans="1:42" x14ac:dyDescent="0.25">
      <c r="L136" s="54"/>
      <c r="M136" s="54"/>
      <c r="AA136" s="54"/>
      <c r="AB136" s="54"/>
      <c r="AM136" s="378"/>
      <c r="AP136" s="378"/>
    </row>
    <row r="137" spans="1:42" x14ac:dyDescent="0.25">
      <c r="A137" s="53"/>
      <c r="R137" s="54"/>
      <c r="AK137" s="161"/>
      <c r="AL137" s="54"/>
      <c r="AP137" s="378"/>
    </row>
    <row r="138" spans="1:42" x14ac:dyDescent="0.25">
      <c r="A138" s="53"/>
      <c r="R138" s="54"/>
      <c r="AK138" s="161"/>
      <c r="AL138" s="54"/>
      <c r="AP138" s="378"/>
    </row>
    <row r="139" spans="1:42" x14ac:dyDescent="0.25">
      <c r="A139" s="54"/>
      <c r="R139" s="54"/>
      <c r="AK139" s="161"/>
      <c r="AL139" s="54"/>
      <c r="AP139" s="378"/>
    </row>
    <row r="140" spans="1:42" x14ac:dyDescent="0.25">
      <c r="L140" s="54"/>
      <c r="M140" s="54"/>
      <c r="R140" s="53"/>
      <c r="AA140" s="54"/>
      <c r="AB140" s="54"/>
      <c r="AK140" s="156"/>
      <c r="AL140" s="53"/>
      <c r="AP140" s="378"/>
    </row>
    <row r="141" spans="1:42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154"/>
      <c r="AH141" s="55"/>
      <c r="AI141" s="55"/>
      <c r="AJ141" s="55"/>
      <c r="AK141" s="154"/>
      <c r="AL141" s="55"/>
      <c r="AM141" s="55"/>
      <c r="AN141" s="55"/>
      <c r="AP141" s="378"/>
    </row>
    <row r="142" spans="1:42" x14ac:dyDescent="0.25">
      <c r="L142" s="56"/>
      <c r="M142" s="56"/>
      <c r="N142" s="56"/>
      <c r="O142" s="56"/>
      <c r="R142" s="56"/>
      <c r="AA142" s="56"/>
      <c r="AB142" s="56"/>
      <c r="AC142" s="56"/>
      <c r="AD142" s="56"/>
      <c r="AE142" s="56"/>
      <c r="AF142" s="56"/>
      <c r="AG142" s="155"/>
      <c r="AH142" s="56"/>
      <c r="AK142" s="155"/>
      <c r="AL142" s="56"/>
      <c r="AM142" s="56"/>
      <c r="AN142" s="56"/>
      <c r="AP142" s="378"/>
    </row>
    <row r="143" spans="1:42" x14ac:dyDescent="0.25">
      <c r="L143" s="56"/>
      <c r="M143" s="56"/>
      <c r="N143" s="56"/>
      <c r="O143" s="56"/>
      <c r="R143" s="56"/>
      <c r="Z143" s="56"/>
      <c r="AA143" s="56"/>
      <c r="AB143" s="56"/>
      <c r="AC143" s="56"/>
      <c r="AD143" s="56"/>
      <c r="AE143" s="56"/>
      <c r="AF143" s="56"/>
      <c r="AG143" s="155"/>
      <c r="AH143" s="56"/>
      <c r="AK143" s="155"/>
      <c r="AL143" s="56"/>
      <c r="AM143" s="56"/>
      <c r="AN143" s="56"/>
      <c r="AP143" s="378"/>
    </row>
    <row r="144" spans="1:42" x14ac:dyDescent="0.25">
      <c r="A144" s="56"/>
      <c r="C144" s="56"/>
      <c r="D144" s="56"/>
      <c r="E144" s="56"/>
      <c r="F144" s="56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Z144" s="56"/>
      <c r="AA144" s="56"/>
      <c r="AB144" s="56"/>
      <c r="AC144" s="56"/>
      <c r="AD144" s="56"/>
      <c r="AE144" s="56"/>
      <c r="AF144" s="56"/>
      <c r="AG144" s="155"/>
      <c r="AH144" s="56"/>
      <c r="AI144" s="56"/>
      <c r="AJ144" s="56"/>
      <c r="AK144" s="155"/>
      <c r="AL144" s="56"/>
      <c r="AM144" s="56"/>
      <c r="AN144" s="56"/>
      <c r="AP144" s="378"/>
    </row>
    <row r="145" spans="1:42" x14ac:dyDescent="0.25">
      <c r="A145" s="56"/>
      <c r="C145" s="56"/>
      <c r="D145" s="56"/>
      <c r="E145" s="56"/>
      <c r="F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Y145" s="56"/>
      <c r="Z145" s="56"/>
      <c r="AA145" s="56"/>
      <c r="AB145" s="56"/>
      <c r="AC145" s="56"/>
      <c r="AD145" s="56"/>
      <c r="AE145" s="56"/>
      <c r="AF145" s="56"/>
      <c r="AG145" s="155"/>
      <c r="AH145" s="56"/>
      <c r="AI145" s="56"/>
      <c r="AJ145" s="56"/>
      <c r="AK145" s="155"/>
      <c r="AL145" s="56"/>
      <c r="AM145" s="56"/>
      <c r="AN145" s="56"/>
      <c r="AP145" s="378"/>
    </row>
    <row r="146" spans="1:42" x14ac:dyDescent="0.25">
      <c r="C146" s="56"/>
      <c r="D146" s="56"/>
      <c r="E146" s="56"/>
      <c r="F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Y146" s="56"/>
      <c r="Z146" s="56"/>
      <c r="AA146" s="56"/>
      <c r="AB146" s="56"/>
      <c r="AC146" s="56"/>
      <c r="AD146" s="56"/>
      <c r="AE146" s="56"/>
      <c r="AF146" s="56"/>
      <c r="AG146" s="155"/>
      <c r="AH146" s="56"/>
      <c r="AI146" s="56"/>
      <c r="AJ146" s="56"/>
      <c r="AK146" s="155"/>
      <c r="AL146" s="56"/>
      <c r="AM146" s="56"/>
      <c r="AN146" s="56"/>
      <c r="AP146" s="378"/>
    </row>
    <row r="147" spans="1:42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154"/>
      <c r="AH147" s="55"/>
      <c r="AI147" s="55"/>
      <c r="AJ147" s="55"/>
      <c r="AK147" s="154"/>
      <c r="AL147" s="55"/>
      <c r="AM147" s="55"/>
      <c r="AN147" s="55"/>
      <c r="AP147" s="378"/>
    </row>
    <row r="148" spans="1:42" x14ac:dyDescent="0.25"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Y148" s="56"/>
      <c r="Z148" s="56"/>
      <c r="AA148" s="56"/>
      <c r="AB148" s="56"/>
      <c r="AC148" s="56"/>
      <c r="AD148" s="56"/>
      <c r="AE148" s="56"/>
      <c r="AF148" s="56"/>
      <c r="AG148" s="155"/>
      <c r="AH148" s="56"/>
      <c r="AI148" s="56"/>
      <c r="AJ148" s="56"/>
      <c r="AK148" s="155"/>
      <c r="AL148" s="56"/>
      <c r="AM148" s="56"/>
      <c r="AN148" s="56"/>
      <c r="AP148" s="378"/>
    </row>
    <row r="149" spans="1:42" x14ac:dyDescent="0.25">
      <c r="A149" s="53"/>
      <c r="C149" s="54"/>
      <c r="D149" s="54"/>
      <c r="E149" s="54"/>
      <c r="T149" s="54"/>
      <c r="U149" s="54"/>
      <c r="AP149" s="378"/>
    </row>
    <row r="150" spans="1:42" x14ac:dyDescent="0.25">
      <c r="AP150" s="378"/>
    </row>
    <row r="151" spans="1:42" x14ac:dyDescent="0.25">
      <c r="A151" s="53"/>
      <c r="C151" s="54"/>
      <c r="F151" s="449"/>
      <c r="H151" s="470"/>
      <c r="I151" s="470"/>
      <c r="J151" s="461"/>
      <c r="K151" s="461"/>
      <c r="L151" s="379"/>
      <c r="M151" s="379"/>
      <c r="N151" s="53"/>
      <c r="O151" s="53"/>
      <c r="P151" s="53"/>
      <c r="Q151" s="53"/>
      <c r="R151" s="379"/>
      <c r="T151" s="54"/>
      <c r="V151" s="379"/>
      <c r="Y151" s="53"/>
      <c r="Z151" s="461"/>
      <c r="AA151" s="379"/>
      <c r="AB151" s="379"/>
      <c r="AC151" s="53"/>
      <c r="AD151" s="53"/>
      <c r="AE151" s="379"/>
      <c r="AF151" s="379"/>
      <c r="AG151" s="474"/>
      <c r="AH151" s="475"/>
      <c r="AI151" s="379"/>
      <c r="AJ151" s="379"/>
      <c r="AK151" s="156"/>
      <c r="AL151" s="379"/>
      <c r="AM151" s="476"/>
      <c r="AN151" s="476"/>
      <c r="AP151" s="378"/>
    </row>
    <row r="152" spans="1:42" x14ac:dyDescent="0.25">
      <c r="F152" s="449"/>
      <c r="H152" s="470"/>
      <c r="I152" s="470"/>
      <c r="J152" s="470"/>
      <c r="K152" s="470"/>
      <c r="R152" s="379"/>
      <c r="V152" s="379"/>
      <c r="Z152" s="470"/>
      <c r="AP152" s="378"/>
    </row>
    <row r="153" spans="1:42" x14ac:dyDescent="0.25">
      <c r="A153" s="53"/>
      <c r="C153" s="54"/>
      <c r="F153" s="449"/>
      <c r="H153" s="449"/>
      <c r="I153" s="449"/>
      <c r="J153" s="472"/>
      <c r="K153" s="472"/>
      <c r="L153" s="379"/>
      <c r="M153" s="379"/>
      <c r="N153" s="50"/>
      <c r="O153" s="50"/>
      <c r="P153" s="449"/>
      <c r="Q153" s="449"/>
      <c r="R153" s="379"/>
      <c r="T153" s="54"/>
      <c r="V153" s="379"/>
      <c r="Y153" s="379"/>
      <c r="Z153" s="463"/>
      <c r="AA153" s="379"/>
      <c r="AB153" s="379"/>
      <c r="AC153" s="50"/>
      <c r="AD153" s="50"/>
      <c r="AE153" s="379"/>
      <c r="AF153" s="379"/>
      <c r="AG153" s="156"/>
      <c r="AH153" s="60"/>
      <c r="AI153" s="449"/>
      <c r="AJ153" s="449"/>
      <c r="AK153" s="156"/>
      <c r="AL153" s="379"/>
      <c r="AM153" s="50"/>
      <c r="AN153" s="50"/>
      <c r="AP153" s="378"/>
    </row>
    <row r="154" spans="1:42" x14ac:dyDescent="0.25">
      <c r="F154" s="381"/>
      <c r="H154" s="381"/>
      <c r="I154" s="381"/>
      <c r="J154" s="464"/>
      <c r="K154" s="464"/>
      <c r="L154" s="381"/>
      <c r="M154" s="381"/>
      <c r="N154" s="381"/>
      <c r="O154" s="381"/>
      <c r="P154" s="381"/>
      <c r="Q154" s="381"/>
      <c r="R154" s="381"/>
      <c r="V154" s="381"/>
      <c r="Y154" s="381"/>
      <c r="Z154" s="464"/>
      <c r="AA154" s="381"/>
      <c r="AB154" s="381"/>
      <c r="AC154" s="381"/>
      <c r="AD154" s="381"/>
      <c r="AE154" s="381"/>
      <c r="AF154" s="381"/>
      <c r="AI154" s="381"/>
      <c r="AJ154" s="381"/>
      <c r="AK154" s="162"/>
      <c r="AL154" s="381"/>
      <c r="AP154" s="378"/>
    </row>
    <row r="155" spans="1:42" x14ac:dyDescent="0.25">
      <c r="A155" s="53"/>
      <c r="D155" s="54"/>
      <c r="E155" s="54"/>
      <c r="F155" s="379"/>
      <c r="H155" s="379"/>
      <c r="I155" s="379"/>
      <c r="J155" s="59"/>
      <c r="K155" s="59"/>
      <c r="L155" s="379"/>
      <c r="M155" s="379"/>
      <c r="N155" s="50"/>
      <c r="O155" s="50"/>
      <c r="P155" s="379"/>
      <c r="Q155" s="379"/>
      <c r="R155" s="379"/>
      <c r="U155" s="54"/>
      <c r="V155" s="379"/>
      <c r="Y155" s="379"/>
      <c r="Z155" s="59"/>
      <c r="AA155" s="379"/>
      <c r="AB155" s="379"/>
      <c r="AC155" s="50"/>
      <c r="AD155" s="50"/>
      <c r="AE155" s="379"/>
      <c r="AF155" s="379"/>
      <c r="AG155" s="156"/>
      <c r="AH155" s="60"/>
      <c r="AI155" s="379"/>
      <c r="AJ155" s="379"/>
      <c r="AK155" s="156"/>
      <c r="AL155" s="379"/>
      <c r="AM155" s="50"/>
      <c r="AN155" s="50"/>
      <c r="AP155" s="378"/>
    </row>
    <row r="156" spans="1:42" x14ac:dyDescent="0.25">
      <c r="F156" s="381"/>
      <c r="H156" s="381"/>
      <c r="I156" s="381"/>
      <c r="J156" s="464"/>
      <c r="K156" s="464"/>
      <c r="L156" s="381"/>
      <c r="M156" s="381"/>
      <c r="N156" s="381"/>
      <c r="O156" s="381"/>
      <c r="P156" s="381"/>
      <c r="Q156" s="381"/>
      <c r="R156" s="381"/>
      <c r="V156" s="381"/>
      <c r="Y156" s="381"/>
      <c r="Z156" s="464"/>
      <c r="AA156" s="381"/>
      <c r="AB156" s="381"/>
      <c r="AC156" s="381"/>
      <c r="AD156" s="381"/>
      <c r="AE156" s="381"/>
      <c r="AF156" s="381"/>
      <c r="AI156" s="381"/>
      <c r="AJ156" s="381"/>
      <c r="AK156" s="162"/>
      <c r="AL156" s="381"/>
      <c r="AP156" s="378"/>
    </row>
    <row r="157" spans="1:42" x14ac:dyDescent="0.25">
      <c r="R157" s="379"/>
      <c r="AP157" s="378"/>
    </row>
    <row r="158" spans="1:42" x14ac:dyDescent="0.25">
      <c r="R158" s="379"/>
      <c r="AP158" s="378"/>
    </row>
    <row r="159" spans="1:42" x14ac:dyDescent="0.25">
      <c r="R159" s="379"/>
      <c r="AP159" s="378"/>
    </row>
    <row r="160" spans="1:42" x14ac:dyDescent="0.25">
      <c r="A160" s="53"/>
      <c r="C160" s="54"/>
      <c r="D160" s="54"/>
      <c r="E160" s="54"/>
      <c r="H160" s="379"/>
      <c r="I160" s="379"/>
      <c r="J160" s="59"/>
      <c r="K160" s="59"/>
      <c r="L160" s="379"/>
      <c r="M160" s="379"/>
      <c r="N160" s="50"/>
      <c r="O160" s="50"/>
      <c r="P160" s="379"/>
      <c r="Q160" s="379"/>
      <c r="R160" s="379"/>
      <c r="T160" s="54"/>
      <c r="U160" s="54"/>
      <c r="Y160" s="379"/>
      <c r="Z160" s="59"/>
      <c r="AA160" s="379"/>
      <c r="AB160" s="379"/>
      <c r="AC160" s="50"/>
      <c r="AD160" s="50"/>
      <c r="AP160" s="378"/>
    </row>
    <row r="161" spans="1:42" x14ac:dyDescent="0.25">
      <c r="H161" s="379"/>
      <c r="I161" s="379"/>
      <c r="J161" s="59"/>
      <c r="K161" s="59"/>
      <c r="L161" s="379"/>
      <c r="M161" s="379"/>
      <c r="N161" s="50"/>
      <c r="O161" s="50"/>
      <c r="P161" s="379"/>
      <c r="Q161" s="379"/>
      <c r="R161" s="379"/>
      <c r="Y161" s="379"/>
      <c r="Z161" s="59"/>
      <c r="AA161" s="379"/>
      <c r="AB161" s="379"/>
      <c r="AC161" s="50"/>
      <c r="AD161" s="50"/>
      <c r="AP161" s="378"/>
    </row>
    <row r="162" spans="1:42" x14ac:dyDescent="0.25">
      <c r="A162" s="53"/>
      <c r="C162" s="54"/>
      <c r="F162" s="449"/>
      <c r="H162" s="449"/>
      <c r="I162" s="449"/>
      <c r="J162" s="61"/>
      <c r="K162" s="61"/>
      <c r="L162" s="449"/>
      <c r="M162" s="449"/>
      <c r="N162" s="50"/>
      <c r="O162" s="50"/>
      <c r="P162" s="379"/>
      <c r="Q162" s="379"/>
      <c r="R162" s="379"/>
      <c r="T162" s="54"/>
      <c r="V162" s="379"/>
      <c r="Y162" s="379"/>
      <c r="Z162" s="61"/>
      <c r="AA162" s="379"/>
      <c r="AB162" s="379"/>
      <c r="AC162" s="50"/>
      <c r="AD162" s="50"/>
      <c r="AE162" s="379"/>
      <c r="AF162" s="379"/>
      <c r="AG162" s="156"/>
      <c r="AH162" s="60"/>
      <c r="AI162" s="379"/>
      <c r="AJ162" s="379"/>
      <c r="AK162" s="156"/>
      <c r="AL162" s="379"/>
      <c r="AM162" s="50"/>
      <c r="AN162" s="50"/>
      <c r="AP162" s="378"/>
    </row>
    <row r="163" spans="1:42" x14ac:dyDescent="0.25">
      <c r="F163" s="449"/>
      <c r="H163" s="470"/>
      <c r="I163" s="470"/>
      <c r="J163" s="470"/>
      <c r="K163" s="470"/>
      <c r="R163" s="379"/>
      <c r="V163" s="379"/>
      <c r="Z163" s="470"/>
      <c r="AP163" s="378"/>
    </row>
    <row r="164" spans="1:42" x14ac:dyDescent="0.25">
      <c r="A164" s="53"/>
      <c r="C164" s="54"/>
      <c r="F164" s="449"/>
      <c r="H164" s="449"/>
      <c r="I164" s="449"/>
      <c r="J164" s="461"/>
      <c r="K164" s="461"/>
      <c r="L164" s="379"/>
      <c r="M164" s="379"/>
      <c r="N164" s="50"/>
      <c r="O164" s="50"/>
      <c r="P164" s="379"/>
      <c r="Q164" s="379"/>
      <c r="R164" s="379"/>
      <c r="T164" s="54"/>
      <c r="V164" s="379"/>
      <c r="Y164" s="379"/>
      <c r="Z164" s="461"/>
      <c r="AA164" s="379"/>
      <c r="AB164" s="379"/>
      <c r="AC164" s="50"/>
      <c r="AD164" s="50"/>
      <c r="AE164" s="379"/>
      <c r="AF164" s="379"/>
      <c r="AG164" s="156"/>
      <c r="AH164" s="60"/>
      <c r="AI164" s="379"/>
      <c r="AJ164" s="379"/>
      <c r="AK164" s="156"/>
      <c r="AL164" s="379"/>
      <c r="AM164" s="50"/>
      <c r="AN164" s="50"/>
      <c r="AP164" s="378"/>
    </row>
    <row r="165" spans="1:42" x14ac:dyDescent="0.25">
      <c r="F165" s="449"/>
      <c r="H165" s="470"/>
      <c r="I165" s="470"/>
      <c r="J165" s="470"/>
      <c r="K165" s="470"/>
      <c r="R165" s="379"/>
      <c r="V165" s="379"/>
      <c r="Z165" s="470"/>
      <c r="AP165" s="378"/>
    </row>
    <row r="166" spans="1:42" x14ac:dyDescent="0.25">
      <c r="A166" s="53"/>
      <c r="C166" s="54"/>
      <c r="F166" s="449"/>
      <c r="H166" s="449"/>
      <c r="I166" s="449"/>
      <c r="J166" s="472"/>
      <c r="K166" s="472"/>
      <c r="L166" s="379"/>
      <c r="M166" s="379"/>
      <c r="N166" s="50"/>
      <c r="O166" s="50"/>
      <c r="P166" s="379"/>
      <c r="Q166" s="379"/>
      <c r="R166" s="379"/>
      <c r="T166" s="54"/>
      <c r="V166" s="379"/>
      <c r="Y166" s="379"/>
      <c r="Z166" s="463"/>
      <c r="AA166" s="379"/>
      <c r="AB166" s="379"/>
      <c r="AC166" s="50"/>
      <c r="AD166" s="50"/>
      <c r="AE166" s="379"/>
      <c r="AF166" s="379"/>
      <c r="AG166" s="156"/>
      <c r="AH166" s="60"/>
      <c r="AI166" s="379"/>
      <c r="AJ166" s="379"/>
      <c r="AK166" s="156"/>
      <c r="AL166" s="379"/>
      <c r="AM166" s="50"/>
      <c r="AN166" s="50"/>
      <c r="AP166" s="378"/>
    </row>
    <row r="167" spans="1:42" x14ac:dyDescent="0.25">
      <c r="F167" s="381"/>
      <c r="H167" s="381"/>
      <c r="I167" s="381"/>
      <c r="J167" s="464"/>
      <c r="K167" s="464"/>
      <c r="L167" s="381"/>
      <c r="M167" s="381"/>
      <c r="N167" s="381"/>
      <c r="O167" s="381"/>
      <c r="P167" s="381"/>
      <c r="Q167" s="381"/>
      <c r="R167" s="381"/>
      <c r="S167" s="379"/>
      <c r="V167" s="381"/>
      <c r="Y167" s="381"/>
      <c r="Z167" s="464"/>
      <c r="AA167" s="381"/>
      <c r="AB167" s="381"/>
      <c r="AC167" s="381"/>
      <c r="AD167" s="381"/>
      <c r="AE167" s="381"/>
      <c r="AF167" s="381"/>
      <c r="AI167" s="381"/>
      <c r="AJ167" s="381"/>
      <c r="AK167" s="162"/>
      <c r="AL167" s="381"/>
      <c r="AP167" s="378"/>
    </row>
    <row r="168" spans="1:42" x14ac:dyDescent="0.25">
      <c r="A168" s="53"/>
      <c r="D168" s="54"/>
      <c r="E168" s="54"/>
      <c r="F168" s="379"/>
      <c r="H168" s="379"/>
      <c r="I168" s="379"/>
      <c r="J168" s="59"/>
      <c r="K168" s="59"/>
      <c r="L168" s="379"/>
      <c r="M168" s="379"/>
      <c r="N168" s="50"/>
      <c r="O168" s="50"/>
      <c r="P168" s="449"/>
      <c r="Q168" s="449"/>
      <c r="R168" s="379"/>
      <c r="S168" s="379"/>
      <c r="U168" s="54"/>
      <c r="V168" s="379"/>
      <c r="Y168" s="379"/>
      <c r="Z168" s="59"/>
      <c r="AA168" s="379"/>
      <c r="AB168" s="379"/>
      <c r="AC168" s="50"/>
      <c r="AD168" s="50"/>
      <c r="AE168" s="379"/>
      <c r="AF168" s="379"/>
      <c r="AG168" s="156"/>
      <c r="AH168" s="60"/>
      <c r="AI168" s="449"/>
      <c r="AJ168" s="449"/>
      <c r="AK168" s="156"/>
      <c r="AL168" s="379"/>
      <c r="AM168" s="50"/>
      <c r="AN168" s="50"/>
      <c r="AP168" s="378"/>
    </row>
    <row r="169" spans="1:42" x14ac:dyDescent="0.25">
      <c r="F169" s="381"/>
      <c r="H169" s="381"/>
      <c r="I169" s="381"/>
      <c r="J169" s="464"/>
      <c r="K169" s="464"/>
      <c r="L169" s="381"/>
      <c r="M169" s="381"/>
      <c r="N169" s="381"/>
      <c r="O169" s="381"/>
      <c r="P169" s="381"/>
      <c r="Q169" s="381"/>
      <c r="R169" s="381"/>
      <c r="S169" s="379"/>
      <c r="V169" s="381"/>
      <c r="Y169" s="381"/>
      <c r="Z169" s="464"/>
      <c r="AA169" s="381"/>
      <c r="AB169" s="381"/>
      <c r="AC169" s="381"/>
      <c r="AD169" s="381"/>
      <c r="AE169" s="381"/>
      <c r="AF169" s="381"/>
      <c r="AI169" s="381"/>
      <c r="AJ169" s="381"/>
      <c r="AK169" s="162"/>
      <c r="AL169" s="381"/>
      <c r="AP169" s="378"/>
    </row>
    <row r="170" spans="1:42" x14ac:dyDescent="0.25">
      <c r="R170" s="379"/>
      <c r="AP170" s="378"/>
    </row>
    <row r="171" spans="1:42" x14ac:dyDescent="0.25">
      <c r="F171" s="379"/>
      <c r="H171" s="379"/>
      <c r="I171" s="379"/>
      <c r="J171" s="59"/>
      <c r="K171" s="59"/>
      <c r="L171" s="379"/>
      <c r="M171" s="379"/>
      <c r="N171" s="379"/>
      <c r="O171" s="379"/>
      <c r="P171" s="379"/>
      <c r="Q171" s="379"/>
      <c r="R171" s="379"/>
      <c r="V171" s="379"/>
      <c r="Y171" s="379"/>
      <c r="Z171" s="59"/>
      <c r="AA171" s="379"/>
      <c r="AB171" s="379"/>
      <c r="AC171" s="379"/>
      <c r="AD171" s="379"/>
      <c r="AP171" s="378"/>
    </row>
    <row r="172" spans="1:42" x14ac:dyDescent="0.25">
      <c r="C172" s="54"/>
      <c r="F172" s="379"/>
      <c r="H172" s="379"/>
      <c r="I172" s="379"/>
      <c r="J172" s="59"/>
      <c r="K172" s="59"/>
      <c r="L172" s="379"/>
      <c r="M172" s="379"/>
      <c r="N172" s="379"/>
      <c r="O172" s="379"/>
      <c r="P172" s="379"/>
      <c r="Q172" s="379"/>
      <c r="R172" s="379"/>
      <c r="T172" s="54"/>
      <c r="V172" s="379"/>
      <c r="Y172" s="379"/>
      <c r="Z172" s="59"/>
      <c r="AA172" s="379"/>
      <c r="AB172" s="379"/>
      <c r="AC172" s="379"/>
      <c r="AD172" s="379"/>
      <c r="AP172" s="378"/>
    </row>
    <row r="173" spans="1:42" x14ac:dyDescent="0.25">
      <c r="C173" s="54"/>
      <c r="T173" s="54"/>
      <c r="AP173" s="378"/>
    </row>
    <row r="174" spans="1:42" x14ac:dyDescent="0.25">
      <c r="A174" s="54"/>
      <c r="AP174" s="378"/>
    </row>
    <row r="175" spans="1:42" x14ac:dyDescent="0.25">
      <c r="AP175" s="378"/>
    </row>
    <row r="176" spans="1:42" x14ac:dyDescent="0.25">
      <c r="J176" s="53"/>
      <c r="K176" s="53"/>
      <c r="Z176" s="53"/>
      <c r="AP176" s="378"/>
    </row>
    <row r="177" spans="1:40" x14ac:dyDescent="0.25">
      <c r="H177" s="54"/>
      <c r="I177" s="54"/>
      <c r="Y177" s="54"/>
    </row>
    <row r="178" spans="1:40" x14ac:dyDescent="0.25">
      <c r="J178" s="53"/>
      <c r="K178" s="53"/>
      <c r="Z178" s="53"/>
    </row>
    <row r="179" spans="1:40" x14ac:dyDescent="0.25">
      <c r="L179" s="54"/>
      <c r="M179" s="54"/>
      <c r="AA179" s="54"/>
      <c r="AB179" s="54"/>
    </row>
    <row r="180" spans="1:40" x14ac:dyDescent="0.25">
      <c r="A180" s="53"/>
      <c r="R180" s="54"/>
      <c r="AK180" s="161"/>
      <c r="AL180" s="54"/>
    </row>
    <row r="181" spans="1:40" x14ac:dyDescent="0.25">
      <c r="A181" s="53"/>
      <c r="R181" s="54"/>
      <c r="AK181" s="161"/>
      <c r="AL181" s="54"/>
    </row>
    <row r="182" spans="1:40" x14ac:dyDescent="0.25">
      <c r="A182" s="54"/>
      <c r="R182" s="54"/>
      <c r="AK182" s="161"/>
      <c r="AL182" s="54"/>
    </row>
    <row r="183" spans="1:40" x14ac:dyDescent="0.25">
      <c r="L183" s="54"/>
      <c r="M183" s="54"/>
      <c r="R183" s="53"/>
      <c r="AA183" s="54"/>
      <c r="AB183" s="54"/>
      <c r="AK183" s="156"/>
      <c r="AL183" s="53"/>
    </row>
    <row r="184" spans="1:40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154"/>
      <c r="AH184" s="55"/>
      <c r="AI184" s="55"/>
      <c r="AJ184" s="55"/>
      <c r="AK184" s="154"/>
      <c r="AL184" s="55"/>
      <c r="AM184" s="55"/>
      <c r="AN184" s="55"/>
    </row>
    <row r="185" spans="1:40" x14ac:dyDescent="0.25">
      <c r="L185" s="56"/>
      <c r="M185" s="56"/>
      <c r="N185" s="56"/>
      <c r="O185" s="56"/>
      <c r="R185" s="56"/>
      <c r="AA185" s="56"/>
      <c r="AB185" s="56"/>
      <c r="AC185" s="56"/>
      <c r="AD185" s="56"/>
      <c r="AE185" s="56"/>
      <c r="AF185" s="56"/>
      <c r="AG185" s="155"/>
      <c r="AH185" s="56"/>
      <c r="AK185" s="155"/>
      <c r="AL185" s="56"/>
      <c r="AM185" s="56"/>
      <c r="AN185" s="56"/>
    </row>
    <row r="186" spans="1:40" x14ac:dyDescent="0.25">
      <c r="L186" s="56"/>
      <c r="M186" s="56"/>
      <c r="N186" s="56"/>
      <c r="O186" s="56"/>
      <c r="R186" s="56"/>
      <c r="Z186" s="56"/>
      <c r="AA186" s="56"/>
      <c r="AB186" s="56"/>
      <c r="AC186" s="56"/>
      <c r="AD186" s="56"/>
      <c r="AE186" s="56"/>
      <c r="AF186" s="56"/>
      <c r="AG186" s="155"/>
      <c r="AH186" s="56"/>
      <c r="AK186" s="155"/>
      <c r="AL186" s="56"/>
      <c r="AM186" s="56"/>
      <c r="AN186" s="56"/>
    </row>
    <row r="187" spans="1:40" x14ac:dyDescent="0.25">
      <c r="A187" s="56"/>
      <c r="C187" s="56"/>
      <c r="D187" s="56"/>
      <c r="E187" s="56"/>
      <c r="F187" s="56"/>
      <c r="J187" s="56"/>
      <c r="K187" s="56"/>
      <c r="L187" s="56"/>
      <c r="M187" s="56"/>
      <c r="N187" s="56"/>
      <c r="O187" s="56"/>
      <c r="P187" s="56"/>
      <c r="Q187" s="56"/>
      <c r="R187" s="56"/>
      <c r="T187" s="56"/>
      <c r="U187" s="56"/>
      <c r="V187" s="56"/>
      <c r="Z187" s="56"/>
      <c r="AA187" s="56"/>
      <c r="AB187" s="56"/>
      <c r="AC187" s="56"/>
      <c r="AD187" s="56"/>
      <c r="AE187" s="56"/>
      <c r="AF187" s="56"/>
      <c r="AG187" s="155"/>
      <c r="AH187" s="56"/>
      <c r="AI187" s="56"/>
      <c r="AJ187" s="56"/>
      <c r="AK187" s="155"/>
      <c r="AL187" s="56"/>
      <c r="AM187" s="56"/>
      <c r="AN187" s="56"/>
    </row>
    <row r="188" spans="1:40" x14ac:dyDescent="0.25">
      <c r="A188" s="56"/>
      <c r="C188" s="56"/>
      <c r="D188" s="56"/>
      <c r="E188" s="56"/>
      <c r="F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T188" s="56"/>
      <c r="U188" s="56"/>
      <c r="V188" s="56"/>
      <c r="Y188" s="56"/>
      <c r="Z188" s="56"/>
      <c r="AA188" s="56"/>
      <c r="AB188" s="56"/>
      <c r="AC188" s="56"/>
      <c r="AD188" s="56"/>
      <c r="AE188" s="56"/>
      <c r="AF188" s="56"/>
      <c r="AG188" s="155"/>
      <c r="AH188" s="56"/>
      <c r="AI188" s="56"/>
      <c r="AJ188" s="56"/>
      <c r="AK188" s="155"/>
      <c r="AL188" s="56"/>
      <c r="AM188" s="56"/>
      <c r="AN188" s="56"/>
    </row>
    <row r="189" spans="1:40" x14ac:dyDescent="0.25">
      <c r="C189" s="56"/>
      <c r="D189" s="56"/>
      <c r="E189" s="56"/>
      <c r="F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T189" s="56"/>
      <c r="U189" s="56"/>
      <c r="V189" s="56"/>
      <c r="Y189" s="56"/>
      <c r="Z189" s="56"/>
      <c r="AA189" s="56"/>
      <c r="AB189" s="56"/>
      <c r="AC189" s="56"/>
      <c r="AD189" s="56"/>
      <c r="AE189" s="56"/>
      <c r="AF189" s="56"/>
      <c r="AG189" s="155"/>
      <c r="AH189" s="56"/>
      <c r="AI189" s="56"/>
      <c r="AJ189" s="56"/>
      <c r="AK189" s="155"/>
      <c r="AL189" s="56"/>
      <c r="AM189" s="56"/>
      <c r="AN189" s="56"/>
    </row>
    <row r="190" spans="1:40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154"/>
      <c r="AH190" s="55"/>
      <c r="AI190" s="55"/>
      <c r="AJ190" s="55"/>
      <c r="AK190" s="154"/>
      <c r="AL190" s="55"/>
      <c r="AM190" s="55"/>
      <c r="AN190" s="55"/>
    </row>
    <row r="191" spans="1:40" x14ac:dyDescent="0.25"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Y191" s="56"/>
      <c r="Z191" s="56"/>
      <c r="AA191" s="56"/>
      <c r="AB191" s="56"/>
      <c r="AC191" s="56"/>
      <c r="AD191" s="56"/>
      <c r="AE191" s="56"/>
      <c r="AF191" s="56"/>
      <c r="AG191" s="155"/>
      <c r="AH191" s="56"/>
      <c r="AI191" s="56"/>
      <c r="AJ191" s="56"/>
      <c r="AK191" s="155"/>
      <c r="AL191" s="56"/>
      <c r="AM191" s="56"/>
      <c r="AN191" s="56"/>
    </row>
    <row r="192" spans="1:40" x14ac:dyDescent="0.25">
      <c r="A192" s="53"/>
      <c r="C192" s="54"/>
      <c r="D192" s="54"/>
      <c r="E192" s="54"/>
      <c r="T192" s="54"/>
      <c r="U192" s="54"/>
    </row>
    <row r="193" spans="1:40" x14ac:dyDescent="0.25">
      <c r="A193" s="53"/>
      <c r="D193" s="54"/>
      <c r="E193" s="54"/>
      <c r="U193" s="54"/>
    </row>
    <row r="195" spans="1:40" x14ac:dyDescent="0.25">
      <c r="A195" s="53"/>
      <c r="C195" s="54"/>
      <c r="F195" s="379"/>
      <c r="J195" s="62"/>
      <c r="K195" s="62"/>
      <c r="L195" s="379"/>
      <c r="M195" s="379"/>
      <c r="R195" s="379"/>
      <c r="T195" s="54"/>
      <c r="V195" s="379"/>
      <c r="Z195" s="62"/>
      <c r="AA195" s="379"/>
      <c r="AB195" s="379"/>
      <c r="AK195" s="156"/>
      <c r="AL195" s="379"/>
    </row>
    <row r="196" spans="1:40" x14ac:dyDescent="0.25">
      <c r="F196" s="379"/>
      <c r="R196" s="379"/>
      <c r="V196" s="379"/>
      <c r="AK196" s="156"/>
      <c r="AL196" s="379"/>
    </row>
    <row r="197" spans="1:40" x14ac:dyDescent="0.25">
      <c r="A197" s="53"/>
      <c r="C197" s="54"/>
      <c r="F197" s="449"/>
      <c r="H197" s="449"/>
      <c r="I197" s="449"/>
      <c r="J197" s="461"/>
      <c r="K197" s="461"/>
      <c r="L197" s="379"/>
      <c r="M197" s="379"/>
      <c r="N197" s="50"/>
      <c r="O197" s="50"/>
      <c r="P197" s="379"/>
      <c r="Q197" s="379"/>
      <c r="R197" s="379"/>
      <c r="T197" s="54"/>
      <c r="V197" s="379"/>
      <c r="Y197" s="379"/>
      <c r="Z197" s="461"/>
      <c r="AA197" s="379"/>
      <c r="AB197" s="379"/>
      <c r="AC197" s="50"/>
      <c r="AD197" s="50"/>
      <c r="AE197" s="379"/>
      <c r="AF197" s="379"/>
      <c r="AG197" s="156"/>
      <c r="AH197" s="60"/>
      <c r="AI197" s="379"/>
      <c r="AJ197" s="379"/>
      <c r="AK197" s="156"/>
      <c r="AL197" s="379"/>
      <c r="AM197" s="50"/>
      <c r="AN197" s="50"/>
    </row>
    <row r="198" spans="1:40" x14ac:dyDescent="0.25">
      <c r="A198" s="53"/>
      <c r="C198" s="54"/>
      <c r="F198" s="449"/>
      <c r="H198" s="470"/>
      <c r="I198" s="470"/>
      <c r="J198" s="461"/>
      <c r="K198" s="461"/>
      <c r="L198" s="379"/>
      <c r="M198" s="379"/>
      <c r="N198" s="50"/>
      <c r="O198" s="50"/>
      <c r="P198" s="379"/>
      <c r="Q198" s="379"/>
      <c r="R198" s="379"/>
      <c r="T198" s="54"/>
      <c r="V198" s="379"/>
      <c r="Y198" s="379"/>
      <c r="Z198" s="461"/>
      <c r="AA198" s="379"/>
      <c r="AB198" s="379"/>
      <c r="AC198" s="50"/>
      <c r="AD198" s="50"/>
      <c r="AE198" s="379"/>
      <c r="AF198" s="379"/>
      <c r="AG198" s="156"/>
      <c r="AH198" s="60"/>
      <c r="AI198" s="379"/>
      <c r="AJ198" s="379"/>
      <c r="AK198" s="156"/>
      <c r="AL198" s="379"/>
      <c r="AM198" s="50"/>
      <c r="AN198" s="50"/>
    </row>
    <row r="199" spans="1:40" x14ac:dyDescent="0.25">
      <c r="F199" s="381"/>
      <c r="H199" s="379"/>
      <c r="I199" s="379"/>
      <c r="J199" s="464"/>
      <c r="K199" s="464"/>
      <c r="L199" s="381"/>
      <c r="M199" s="381"/>
      <c r="N199" s="381"/>
      <c r="O199" s="381"/>
      <c r="P199" s="381"/>
      <c r="Q199" s="381"/>
      <c r="R199" s="381"/>
      <c r="V199" s="381"/>
      <c r="Y199" s="379"/>
      <c r="Z199" s="464"/>
      <c r="AA199" s="381"/>
      <c r="AB199" s="381"/>
      <c r="AC199" s="381"/>
      <c r="AD199" s="381"/>
      <c r="AE199" s="381"/>
      <c r="AF199" s="381"/>
      <c r="AI199" s="381"/>
      <c r="AJ199" s="381"/>
      <c r="AK199" s="162"/>
      <c r="AL199" s="381"/>
    </row>
    <row r="200" spans="1:40" x14ac:dyDescent="0.25">
      <c r="A200" s="53"/>
      <c r="C200" s="54"/>
      <c r="F200" s="379"/>
      <c r="H200" s="379"/>
      <c r="I200" s="379"/>
      <c r="J200" s="59"/>
      <c r="K200" s="59"/>
      <c r="L200" s="379"/>
      <c r="M200" s="379"/>
      <c r="N200" s="50"/>
      <c r="O200" s="50"/>
      <c r="P200" s="379"/>
      <c r="Q200" s="379"/>
      <c r="R200" s="379"/>
      <c r="T200" s="54"/>
      <c r="V200" s="379"/>
      <c r="Y200" s="379"/>
      <c r="Z200" s="59"/>
      <c r="AA200" s="379"/>
      <c r="AB200" s="379"/>
      <c r="AC200" s="50"/>
      <c r="AD200" s="50"/>
      <c r="AE200" s="379"/>
      <c r="AF200" s="379"/>
      <c r="AG200" s="156"/>
      <c r="AH200" s="60"/>
      <c r="AI200" s="379"/>
      <c r="AJ200" s="379"/>
      <c r="AK200" s="156"/>
      <c r="AL200" s="379"/>
      <c r="AM200" s="50"/>
      <c r="AN200" s="50"/>
    </row>
    <row r="201" spans="1:40" x14ac:dyDescent="0.25">
      <c r="F201" s="381"/>
      <c r="H201" s="379"/>
      <c r="I201" s="379"/>
      <c r="J201" s="464"/>
      <c r="K201" s="464"/>
      <c r="L201" s="381"/>
      <c r="M201" s="381"/>
      <c r="N201" s="381"/>
      <c r="O201" s="381"/>
      <c r="P201" s="381"/>
      <c r="Q201" s="381"/>
      <c r="R201" s="381"/>
      <c r="V201" s="381"/>
      <c r="Y201" s="379"/>
      <c r="Z201" s="464"/>
      <c r="AA201" s="381"/>
      <c r="AB201" s="381"/>
      <c r="AC201" s="381"/>
      <c r="AD201" s="381"/>
      <c r="AE201" s="381"/>
      <c r="AF201" s="381"/>
      <c r="AI201" s="381"/>
      <c r="AJ201" s="381"/>
      <c r="AK201" s="162"/>
      <c r="AL201" s="381"/>
    </row>
    <row r="202" spans="1:40" x14ac:dyDescent="0.25">
      <c r="F202" s="379"/>
      <c r="R202" s="379"/>
      <c r="V202" s="379"/>
      <c r="AK202" s="156"/>
      <c r="AL202" s="379"/>
    </row>
    <row r="203" spans="1:40" x14ac:dyDescent="0.25">
      <c r="A203" s="53"/>
      <c r="C203" s="54"/>
      <c r="F203" s="379"/>
      <c r="R203" s="379"/>
      <c r="T203" s="54"/>
      <c r="V203" s="379"/>
      <c r="AK203" s="156"/>
      <c r="AL203" s="379"/>
    </row>
    <row r="204" spans="1:40" x14ac:dyDescent="0.25">
      <c r="F204" s="379"/>
      <c r="R204" s="379"/>
      <c r="V204" s="379"/>
      <c r="AK204" s="156"/>
      <c r="AL204" s="379"/>
    </row>
    <row r="205" spans="1:40" x14ac:dyDescent="0.25">
      <c r="A205" s="53"/>
      <c r="C205" s="54"/>
      <c r="F205" s="379"/>
      <c r="H205" s="449"/>
      <c r="I205" s="449"/>
      <c r="J205" s="472"/>
      <c r="K205" s="472"/>
      <c r="L205" s="379"/>
      <c r="M205" s="379"/>
      <c r="N205" s="50"/>
      <c r="O205" s="50"/>
      <c r="P205" s="449"/>
      <c r="Q205" s="449"/>
      <c r="R205" s="379"/>
      <c r="T205" s="54"/>
      <c r="V205" s="379"/>
      <c r="Y205" s="379"/>
      <c r="Z205" s="463"/>
      <c r="AA205" s="379"/>
      <c r="AB205" s="379"/>
      <c r="AC205" s="50"/>
      <c r="AD205" s="50"/>
      <c r="AE205" s="379"/>
      <c r="AF205" s="379"/>
      <c r="AG205" s="156"/>
      <c r="AH205" s="60"/>
      <c r="AI205" s="449"/>
      <c r="AJ205" s="449"/>
      <c r="AK205" s="156"/>
      <c r="AL205" s="379"/>
      <c r="AM205" s="50"/>
      <c r="AN205" s="50"/>
    </row>
    <row r="206" spans="1:40" x14ac:dyDescent="0.25">
      <c r="F206" s="381"/>
      <c r="H206" s="381"/>
      <c r="I206" s="381"/>
      <c r="J206" s="464"/>
      <c r="K206" s="464"/>
      <c r="L206" s="381"/>
      <c r="M206" s="381"/>
      <c r="N206" s="381"/>
      <c r="O206" s="381"/>
      <c r="P206" s="381"/>
      <c r="Q206" s="381"/>
      <c r="R206" s="381"/>
      <c r="V206" s="381"/>
      <c r="Y206" s="381"/>
      <c r="Z206" s="464"/>
      <c r="AA206" s="381"/>
      <c r="AB206" s="381"/>
      <c r="AC206" s="381"/>
      <c r="AD206" s="381"/>
      <c r="AE206" s="381"/>
      <c r="AF206" s="381"/>
      <c r="AI206" s="381"/>
      <c r="AJ206" s="381"/>
      <c r="AK206" s="162"/>
      <c r="AL206" s="381"/>
    </row>
    <row r="208" spans="1:40" x14ac:dyDescent="0.25">
      <c r="A208" s="53"/>
      <c r="C208" s="54"/>
      <c r="F208" s="379"/>
      <c r="H208" s="379"/>
      <c r="I208" s="379"/>
      <c r="J208" s="62"/>
      <c r="K208" s="62"/>
      <c r="L208" s="379"/>
      <c r="M208" s="379"/>
      <c r="N208" s="50"/>
      <c r="O208" s="50"/>
      <c r="P208" s="379"/>
      <c r="Q208" s="379"/>
      <c r="R208" s="379"/>
      <c r="T208" s="54"/>
      <c r="V208" s="379"/>
      <c r="Y208" s="379"/>
      <c r="Z208" s="62"/>
      <c r="AA208" s="379"/>
      <c r="AB208" s="379"/>
      <c r="AC208" s="50"/>
      <c r="AD208" s="50"/>
      <c r="AE208" s="379"/>
      <c r="AF208" s="379"/>
      <c r="AG208" s="156"/>
      <c r="AH208" s="60"/>
      <c r="AI208" s="379"/>
      <c r="AJ208" s="379"/>
      <c r="AK208" s="156"/>
      <c r="AL208" s="379"/>
      <c r="AM208" s="50"/>
      <c r="AN208" s="50"/>
    </row>
    <row r="209" spans="1:40" x14ac:dyDescent="0.25">
      <c r="F209" s="381"/>
      <c r="H209" s="381"/>
      <c r="I209" s="381"/>
      <c r="J209" s="464"/>
      <c r="K209" s="464"/>
      <c r="L209" s="381"/>
      <c r="M209" s="381"/>
      <c r="N209" s="381"/>
      <c r="O209" s="381"/>
      <c r="P209" s="381"/>
      <c r="Q209" s="381"/>
      <c r="R209" s="381"/>
      <c r="V209" s="381"/>
      <c r="Y209" s="381"/>
      <c r="Z209" s="464"/>
      <c r="AA209" s="381"/>
      <c r="AB209" s="381"/>
      <c r="AC209" s="381"/>
      <c r="AD209" s="381"/>
      <c r="AE209" s="381"/>
      <c r="AF209" s="381"/>
      <c r="AI209" s="381"/>
      <c r="AJ209" s="381"/>
      <c r="AK209" s="162"/>
      <c r="AL209" s="381"/>
    </row>
    <row r="210" spans="1:40" x14ac:dyDescent="0.25">
      <c r="R210" s="379"/>
      <c r="AG210" s="156"/>
      <c r="AH210" s="379"/>
    </row>
    <row r="211" spans="1:40" x14ac:dyDescent="0.25">
      <c r="F211" s="379"/>
      <c r="H211" s="379"/>
      <c r="I211" s="379"/>
      <c r="J211" s="59"/>
      <c r="K211" s="59"/>
      <c r="L211" s="379"/>
      <c r="M211" s="379"/>
      <c r="N211" s="379"/>
      <c r="O211" s="379"/>
      <c r="P211" s="379"/>
      <c r="Q211" s="379"/>
      <c r="R211" s="379"/>
      <c r="V211" s="379"/>
      <c r="Y211" s="379"/>
      <c r="Z211" s="59"/>
      <c r="AA211" s="379"/>
      <c r="AB211" s="379"/>
      <c r="AC211" s="379"/>
      <c r="AD211" s="379"/>
      <c r="AE211" s="379"/>
      <c r="AF211" s="379"/>
      <c r="AG211" s="156"/>
      <c r="AH211" s="379"/>
    </row>
    <row r="212" spans="1:40" x14ac:dyDescent="0.25">
      <c r="C212" s="54"/>
      <c r="F212" s="379"/>
      <c r="H212" s="379"/>
      <c r="I212" s="379"/>
      <c r="J212" s="59"/>
      <c r="K212" s="59"/>
      <c r="L212" s="379"/>
      <c r="M212" s="379"/>
      <c r="N212" s="379"/>
      <c r="O212" s="379"/>
      <c r="P212" s="379"/>
      <c r="Q212" s="379"/>
      <c r="R212" s="379"/>
      <c r="T212" s="54"/>
      <c r="V212" s="379"/>
      <c r="Y212" s="379"/>
      <c r="Z212" s="59"/>
      <c r="AA212" s="379"/>
      <c r="AB212" s="379"/>
      <c r="AC212" s="379"/>
      <c r="AD212" s="379"/>
      <c r="AE212" s="379"/>
      <c r="AF212" s="379"/>
      <c r="AG212" s="156"/>
      <c r="AH212" s="379"/>
    </row>
    <row r="213" spans="1:40" x14ac:dyDescent="0.25">
      <c r="A213" s="54"/>
    </row>
    <row r="215" spans="1:40" x14ac:dyDescent="0.25">
      <c r="J215" s="53"/>
      <c r="K215" s="53"/>
      <c r="Z215" s="53"/>
    </row>
    <row r="216" spans="1:40" x14ac:dyDescent="0.25">
      <c r="H216" s="54"/>
      <c r="I216" s="54"/>
      <c r="Y216" s="54"/>
    </row>
    <row r="217" spans="1:40" x14ac:dyDescent="0.25">
      <c r="J217" s="53"/>
      <c r="K217" s="53"/>
      <c r="Z217" s="53"/>
    </row>
    <row r="218" spans="1:40" x14ac:dyDescent="0.25">
      <c r="L218" s="54"/>
      <c r="M218" s="54"/>
      <c r="AA218" s="54"/>
      <c r="AB218" s="54"/>
    </row>
    <row r="219" spans="1:40" x14ac:dyDescent="0.25">
      <c r="A219" s="53"/>
      <c r="R219" s="54"/>
      <c r="AK219" s="161"/>
      <c r="AL219" s="54"/>
    </row>
    <row r="220" spans="1:40" x14ac:dyDescent="0.25">
      <c r="A220" s="53"/>
      <c r="R220" s="54"/>
      <c r="AK220" s="161"/>
      <c r="AL220" s="54"/>
    </row>
    <row r="221" spans="1:40" x14ac:dyDescent="0.25">
      <c r="A221" s="54"/>
      <c r="R221" s="54"/>
      <c r="AK221" s="161"/>
      <c r="AL221" s="54"/>
    </row>
    <row r="222" spans="1:40" x14ac:dyDescent="0.25">
      <c r="L222" s="54"/>
      <c r="M222" s="54"/>
      <c r="R222" s="53"/>
      <c r="AA222" s="54"/>
      <c r="AB222" s="54"/>
      <c r="AK222" s="156"/>
      <c r="AL222" s="53"/>
    </row>
    <row r="223" spans="1:40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154"/>
      <c r="AH223" s="55"/>
      <c r="AI223" s="55"/>
      <c r="AJ223" s="55"/>
      <c r="AK223" s="154"/>
      <c r="AL223" s="55"/>
      <c r="AM223" s="55"/>
      <c r="AN223" s="55"/>
    </row>
    <row r="224" spans="1:40" x14ac:dyDescent="0.25">
      <c r="L224" s="56"/>
      <c r="M224" s="56"/>
      <c r="N224" s="56"/>
      <c r="O224" s="56"/>
      <c r="R224" s="56"/>
      <c r="AA224" s="56"/>
      <c r="AB224" s="56"/>
      <c r="AC224" s="56"/>
      <c r="AD224" s="56"/>
      <c r="AE224" s="56"/>
      <c r="AF224" s="56"/>
      <c r="AG224" s="155"/>
      <c r="AH224" s="56"/>
      <c r="AK224" s="155"/>
      <c r="AL224" s="56"/>
      <c r="AM224" s="56"/>
      <c r="AN224" s="56"/>
    </row>
    <row r="225" spans="1:40" x14ac:dyDescent="0.25">
      <c r="L225" s="56"/>
      <c r="M225" s="56"/>
      <c r="N225" s="56"/>
      <c r="O225" s="56"/>
      <c r="R225" s="56"/>
      <c r="Z225" s="56"/>
      <c r="AA225" s="56"/>
      <c r="AB225" s="56"/>
      <c r="AC225" s="56"/>
      <c r="AD225" s="56"/>
      <c r="AE225" s="56"/>
      <c r="AF225" s="56"/>
      <c r="AG225" s="155"/>
      <c r="AH225" s="56"/>
      <c r="AK225" s="155"/>
      <c r="AL225" s="56"/>
      <c r="AM225" s="56"/>
      <c r="AN225" s="56"/>
    </row>
    <row r="226" spans="1:40" x14ac:dyDescent="0.25">
      <c r="A226" s="56"/>
      <c r="C226" s="56"/>
      <c r="D226" s="56"/>
      <c r="E226" s="56"/>
      <c r="F226" s="56"/>
      <c r="J226" s="56"/>
      <c r="K226" s="56"/>
      <c r="L226" s="56"/>
      <c r="M226" s="56"/>
      <c r="N226" s="56"/>
      <c r="O226" s="56"/>
      <c r="P226" s="56"/>
      <c r="Q226" s="56"/>
      <c r="R226" s="56"/>
      <c r="T226" s="56"/>
      <c r="U226" s="56"/>
      <c r="V226" s="56"/>
      <c r="Z226" s="56"/>
      <c r="AA226" s="56"/>
      <c r="AB226" s="56"/>
      <c r="AC226" s="56"/>
      <c r="AD226" s="56"/>
      <c r="AE226" s="56"/>
      <c r="AF226" s="56"/>
      <c r="AG226" s="155"/>
      <c r="AH226" s="56"/>
      <c r="AI226" s="56"/>
      <c r="AJ226" s="56"/>
      <c r="AK226" s="155"/>
      <c r="AL226" s="56"/>
      <c r="AM226" s="56"/>
      <c r="AN226" s="56"/>
    </row>
    <row r="227" spans="1:40" x14ac:dyDescent="0.25">
      <c r="A227" s="56"/>
      <c r="C227" s="56"/>
      <c r="D227" s="56"/>
      <c r="E227" s="56"/>
      <c r="F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T227" s="56"/>
      <c r="U227" s="56"/>
      <c r="V227" s="56"/>
      <c r="Y227" s="56"/>
      <c r="Z227" s="56"/>
      <c r="AA227" s="56"/>
      <c r="AB227" s="56"/>
      <c r="AC227" s="56"/>
      <c r="AD227" s="56"/>
      <c r="AE227" s="56"/>
      <c r="AF227" s="56"/>
      <c r="AG227" s="155"/>
      <c r="AH227" s="56"/>
      <c r="AI227" s="56"/>
      <c r="AJ227" s="56"/>
      <c r="AK227" s="155"/>
      <c r="AL227" s="56"/>
      <c r="AM227" s="56"/>
      <c r="AN227" s="56"/>
    </row>
    <row r="228" spans="1:40" x14ac:dyDescent="0.25">
      <c r="C228" s="56"/>
      <c r="D228" s="56"/>
      <c r="E228" s="56"/>
      <c r="F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T228" s="56"/>
      <c r="U228" s="56"/>
      <c r="V228" s="56"/>
      <c r="Y228" s="56"/>
      <c r="Z228" s="56"/>
      <c r="AA228" s="56"/>
      <c r="AB228" s="56"/>
      <c r="AC228" s="56"/>
      <c r="AD228" s="56"/>
      <c r="AE228" s="56"/>
      <c r="AF228" s="56"/>
      <c r="AG228" s="155"/>
      <c r="AH228" s="56"/>
      <c r="AI228" s="56"/>
      <c r="AJ228" s="56"/>
      <c r="AK228" s="155"/>
      <c r="AL228" s="56"/>
      <c r="AM228" s="56"/>
      <c r="AN228" s="56"/>
    </row>
    <row r="229" spans="1:40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154"/>
      <c r="AH229" s="55"/>
      <c r="AI229" s="55"/>
      <c r="AJ229" s="55"/>
      <c r="AK229" s="154"/>
      <c r="AL229" s="55"/>
      <c r="AM229" s="55"/>
      <c r="AN229" s="55"/>
    </row>
    <row r="230" spans="1:40" x14ac:dyDescent="0.25"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Y230" s="56"/>
      <c r="Z230" s="56"/>
      <c r="AA230" s="56"/>
      <c r="AB230" s="56"/>
      <c r="AC230" s="56"/>
      <c r="AD230" s="56"/>
      <c r="AE230" s="56"/>
      <c r="AF230" s="56"/>
      <c r="AG230" s="155"/>
      <c r="AH230" s="56"/>
      <c r="AI230" s="56"/>
      <c r="AJ230" s="56"/>
      <c r="AK230" s="155"/>
      <c r="AL230" s="56"/>
      <c r="AM230" s="56"/>
      <c r="AN230" s="56"/>
    </row>
    <row r="231" spans="1:40" x14ac:dyDescent="0.25">
      <c r="A231" s="53"/>
      <c r="C231" s="54"/>
      <c r="D231" s="54"/>
      <c r="E231" s="54"/>
      <c r="T231" s="54"/>
      <c r="U231" s="54"/>
    </row>
    <row r="232" spans="1:40" x14ac:dyDescent="0.25">
      <c r="A232" s="53"/>
      <c r="C232" s="54"/>
      <c r="T232" s="54"/>
    </row>
    <row r="234" spans="1:40" x14ac:dyDescent="0.25">
      <c r="A234" s="53"/>
      <c r="C234" s="54"/>
      <c r="F234" s="449"/>
      <c r="H234" s="449"/>
      <c r="I234" s="449"/>
      <c r="J234" s="461"/>
      <c r="K234" s="461"/>
      <c r="L234" s="379"/>
      <c r="M234" s="379"/>
      <c r="N234" s="50"/>
      <c r="O234" s="50"/>
      <c r="P234" s="53"/>
      <c r="Q234" s="53"/>
      <c r="R234" s="379"/>
      <c r="T234" s="54"/>
      <c r="V234" s="379"/>
      <c r="Y234" s="449"/>
      <c r="Z234" s="461"/>
      <c r="AA234" s="379"/>
      <c r="AB234" s="379"/>
      <c r="AC234" s="50"/>
      <c r="AD234" s="50"/>
      <c r="AE234" s="379"/>
      <c r="AF234" s="379"/>
      <c r="AG234" s="156"/>
      <c r="AH234" s="60"/>
      <c r="AI234" s="53"/>
      <c r="AJ234" s="53"/>
      <c r="AK234" s="156"/>
      <c r="AL234" s="379"/>
      <c r="AM234" s="50"/>
      <c r="AN234" s="50"/>
    </row>
    <row r="235" spans="1:40" x14ac:dyDescent="0.25">
      <c r="F235" s="381"/>
      <c r="H235" s="379"/>
      <c r="I235" s="379"/>
      <c r="J235" s="464"/>
      <c r="K235" s="464"/>
      <c r="L235" s="381"/>
      <c r="M235" s="381"/>
      <c r="N235" s="381"/>
      <c r="O235" s="381"/>
      <c r="P235" s="381"/>
      <c r="Q235" s="381"/>
      <c r="R235" s="381"/>
      <c r="V235" s="381"/>
      <c r="Y235" s="379"/>
      <c r="Z235" s="464"/>
      <c r="AA235" s="381"/>
      <c r="AB235" s="381"/>
      <c r="AC235" s="381"/>
      <c r="AD235" s="381"/>
      <c r="AE235" s="381"/>
      <c r="AF235" s="381"/>
      <c r="AI235" s="381"/>
      <c r="AJ235" s="381"/>
      <c r="AK235" s="162"/>
      <c r="AL235" s="381"/>
      <c r="AM235" s="50"/>
      <c r="AN235" s="50"/>
    </row>
    <row r="236" spans="1:40" x14ac:dyDescent="0.25">
      <c r="A236" s="53"/>
      <c r="C236" s="54"/>
      <c r="F236" s="449"/>
      <c r="H236" s="449"/>
      <c r="I236" s="449"/>
      <c r="J236" s="477"/>
      <c r="K236" s="477"/>
      <c r="L236" s="379"/>
      <c r="M236" s="379"/>
      <c r="N236" s="50"/>
      <c r="O236" s="50"/>
      <c r="P236" s="379"/>
      <c r="Q236" s="379"/>
      <c r="R236" s="379"/>
      <c r="S236" s="379"/>
      <c r="T236" s="54"/>
      <c r="V236" s="449"/>
      <c r="Y236" s="449"/>
      <c r="Z236" s="477"/>
      <c r="AA236" s="379"/>
      <c r="AB236" s="379"/>
      <c r="AC236" s="50"/>
      <c r="AD236" s="50"/>
      <c r="AE236" s="379"/>
      <c r="AF236" s="379"/>
      <c r="AG236" s="156"/>
      <c r="AH236" s="50"/>
      <c r="AI236" s="379"/>
      <c r="AJ236" s="379"/>
      <c r="AK236" s="156"/>
      <c r="AL236" s="379"/>
      <c r="AM236" s="50"/>
      <c r="AN236" s="50"/>
    </row>
    <row r="237" spans="1:40" x14ac:dyDescent="0.25">
      <c r="A237" s="53"/>
      <c r="C237" s="54"/>
      <c r="F237" s="449"/>
      <c r="H237" s="449"/>
      <c r="I237" s="449"/>
      <c r="J237" s="461"/>
      <c r="K237" s="461"/>
      <c r="L237" s="379"/>
      <c r="M237" s="379"/>
      <c r="N237" s="50"/>
      <c r="O237" s="50"/>
      <c r="P237" s="379"/>
      <c r="Q237" s="379"/>
      <c r="R237" s="379"/>
      <c r="T237" s="54"/>
      <c r="V237" s="449"/>
      <c r="Y237" s="379"/>
      <c r="Z237" s="461"/>
      <c r="AA237" s="379"/>
      <c r="AB237" s="379"/>
      <c r="AC237" s="50"/>
      <c r="AD237" s="50"/>
      <c r="AE237" s="379"/>
      <c r="AF237" s="379"/>
      <c r="AG237" s="156"/>
      <c r="AH237" s="60"/>
      <c r="AI237" s="379"/>
      <c r="AJ237" s="379"/>
      <c r="AK237" s="156"/>
      <c r="AL237" s="379"/>
      <c r="AM237" s="50"/>
      <c r="AN237" s="50"/>
    </row>
    <row r="238" spans="1:40" x14ac:dyDescent="0.25">
      <c r="A238" s="53"/>
      <c r="C238" s="54"/>
      <c r="F238" s="449"/>
      <c r="H238" s="449"/>
      <c r="I238" s="449"/>
      <c r="J238" s="461"/>
      <c r="K238" s="461"/>
      <c r="L238" s="379"/>
      <c r="M238" s="379"/>
      <c r="N238" s="50"/>
      <c r="O238" s="50"/>
      <c r="P238" s="379"/>
      <c r="Q238" s="379"/>
      <c r="R238" s="379"/>
      <c r="T238" s="54"/>
      <c r="V238" s="449"/>
      <c r="Y238" s="379"/>
      <c r="Z238" s="461"/>
      <c r="AA238" s="379"/>
      <c r="AB238" s="379"/>
      <c r="AC238" s="50"/>
      <c r="AD238" s="50"/>
      <c r="AE238" s="379"/>
      <c r="AF238" s="379"/>
      <c r="AG238" s="156"/>
      <c r="AH238" s="60"/>
      <c r="AI238" s="379"/>
      <c r="AJ238" s="379"/>
      <c r="AK238" s="156"/>
      <c r="AL238" s="379"/>
      <c r="AM238" s="50"/>
      <c r="AN238" s="50"/>
    </row>
    <row r="239" spans="1:40" x14ac:dyDescent="0.25">
      <c r="F239" s="381"/>
      <c r="H239" s="381"/>
      <c r="I239" s="381"/>
      <c r="J239" s="464"/>
      <c r="K239" s="464"/>
      <c r="L239" s="381"/>
      <c r="M239" s="381"/>
      <c r="N239" s="381"/>
      <c r="O239" s="381"/>
      <c r="P239" s="381"/>
      <c r="Q239" s="381"/>
      <c r="R239" s="381"/>
      <c r="V239" s="381"/>
      <c r="Y239" s="381"/>
      <c r="Z239" s="464"/>
      <c r="AA239" s="381"/>
      <c r="AB239" s="381"/>
      <c r="AC239" s="381"/>
      <c r="AD239" s="381"/>
      <c r="AE239" s="381"/>
      <c r="AF239" s="381"/>
      <c r="AI239" s="381"/>
      <c r="AJ239" s="381"/>
      <c r="AK239" s="162"/>
      <c r="AL239" s="381"/>
      <c r="AM239" s="50"/>
      <c r="AN239" s="50"/>
    </row>
    <row r="240" spans="1:40" x14ac:dyDescent="0.25">
      <c r="A240" s="53"/>
      <c r="C240" s="54"/>
      <c r="F240" s="379"/>
      <c r="H240" s="379"/>
      <c r="I240" s="379"/>
      <c r="J240" s="59"/>
      <c r="K240" s="59"/>
      <c r="L240" s="379"/>
      <c r="M240" s="379"/>
      <c r="N240" s="50"/>
      <c r="O240" s="50"/>
      <c r="P240" s="379"/>
      <c r="Q240" s="379"/>
      <c r="R240" s="379"/>
      <c r="T240" s="54"/>
      <c r="V240" s="379"/>
      <c r="Y240" s="379"/>
      <c r="Z240" s="59"/>
      <c r="AA240" s="379"/>
      <c r="AB240" s="379"/>
      <c r="AC240" s="50"/>
      <c r="AD240" s="50"/>
      <c r="AE240" s="379"/>
      <c r="AF240" s="379"/>
      <c r="AG240" s="156"/>
      <c r="AH240" s="60"/>
      <c r="AI240" s="379"/>
      <c r="AJ240" s="379"/>
      <c r="AK240" s="156"/>
      <c r="AL240" s="379"/>
      <c r="AM240" s="50"/>
      <c r="AN240" s="50"/>
    </row>
    <row r="241" spans="1:40" x14ac:dyDescent="0.25">
      <c r="F241" s="381"/>
      <c r="H241" s="381"/>
      <c r="I241" s="381"/>
      <c r="J241" s="464"/>
      <c r="K241" s="464"/>
      <c r="L241" s="381"/>
      <c r="M241" s="381"/>
      <c r="N241" s="381"/>
      <c r="O241" s="381"/>
      <c r="P241" s="381"/>
      <c r="Q241" s="381"/>
      <c r="R241" s="381"/>
      <c r="V241" s="381"/>
      <c r="Y241" s="381"/>
      <c r="Z241" s="464"/>
      <c r="AA241" s="381"/>
      <c r="AB241" s="381"/>
      <c r="AC241" s="381"/>
      <c r="AD241" s="381"/>
      <c r="AE241" s="381"/>
      <c r="AF241" s="381"/>
      <c r="AI241" s="381"/>
      <c r="AJ241" s="381"/>
      <c r="AK241" s="162"/>
      <c r="AL241" s="381"/>
      <c r="AM241" s="50"/>
      <c r="AN241" s="50"/>
    </row>
    <row r="242" spans="1:40" x14ac:dyDescent="0.25">
      <c r="A242" s="53"/>
      <c r="C242" s="54"/>
      <c r="F242" s="379"/>
      <c r="H242" s="379"/>
      <c r="I242" s="379"/>
      <c r="J242" s="59"/>
      <c r="K242" s="59"/>
      <c r="L242" s="379"/>
      <c r="M242" s="379"/>
      <c r="N242" s="50"/>
      <c r="O242" s="50"/>
      <c r="P242" s="379"/>
      <c r="Q242" s="379"/>
      <c r="R242" s="379"/>
      <c r="T242" s="54"/>
      <c r="V242" s="379"/>
      <c r="Y242" s="379"/>
      <c r="Z242" s="59"/>
      <c r="AA242" s="379"/>
      <c r="AB242" s="379"/>
      <c r="AC242" s="50"/>
      <c r="AD242" s="50"/>
      <c r="AE242" s="379"/>
      <c r="AF242" s="379"/>
      <c r="AG242" s="156"/>
      <c r="AH242" s="60"/>
      <c r="AI242" s="379"/>
      <c r="AJ242" s="379"/>
      <c r="AK242" s="156"/>
      <c r="AL242" s="379"/>
      <c r="AM242" s="50"/>
      <c r="AN242" s="50"/>
    </row>
    <row r="243" spans="1:40" x14ac:dyDescent="0.25">
      <c r="A243" s="53"/>
      <c r="C243" s="54"/>
      <c r="F243" s="379"/>
      <c r="H243" s="449"/>
      <c r="I243" s="449"/>
      <c r="J243" s="472"/>
      <c r="K243" s="472"/>
      <c r="L243" s="379"/>
      <c r="M243" s="379"/>
      <c r="N243" s="50"/>
      <c r="O243" s="50"/>
      <c r="P243" s="379"/>
      <c r="Q243" s="379"/>
      <c r="R243" s="379"/>
      <c r="T243" s="54"/>
      <c r="V243" s="379"/>
      <c r="Y243" s="379"/>
      <c r="Z243" s="463"/>
      <c r="AA243" s="379"/>
      <c r="AB243" s="379"/>
      <c r="AC243" s="50"/>
      <c r="AD243" s="50"/>
      <c r="AE243" s="379"/>
      <c r="AF243" s="379"/>
      <c r="AG243" s="156"/>
      <c r="AH243" s="60"/>
      <c r="AI243" s="379"/>
      <c r="AJ243" s="379"/>
      <c r="AK243" s="156"/>
      <c r="AL243" s="379"/>
      <c r="AM243" s="50"/>
      <c r="AN243" s="50"/>
    </row>
    <row r="244" spans="1:40" x14ac:dyDescent="0.25">
      <c r="F244" s="381"/>
      <c r="H244" s="381"/>
      <c r="I244" s="381"/>
      <c r="J244" s="464"/>
      <c r="K244" s="464"/>
      <c r="L244" s="381"/>
      <c r="M244" s="381"/>
      <c r="N244" s="381"/>
      <c r="O244" s="381"/>
      <c r="P244" s="381"/>
      <c r="Q244" s="381"/>
      <c r="R244" s="381"/>
      <c r="V244" s="381"/>
      <c r="Y244" s="381"/>
      <c r="Z244" s="464"/>
      <c r="AA244" s="381"/>
      <c r="AB244" s="381"/>
      <c r="AC244" s="381"/>
      <c r="AD244" s="381"/>
      <c r="AE244" s="381"/>
      <c r="AF244" s="381"/>
      <c r="AI244" s="381"/>
      <c r="AJ244" s="381"/>
      <c r="AK244" s="162"/>
      <c r="AL244" s="381"/>
      <c r="AM244" s="50"/>
      <c r="AN244" s="50"/>
    </row>
    <row r="246" spans="1:40" x14ac:dyDescent="0.25">
      <c r="A246" s="53"/>
      <c r="C246" s="54"/>
      <c r="F246" s="379"/>
      <c r="H246" s="379"/>
      <c r="I246" s="379"/>
      <c r="J246" s="464"/>
      <c r="K246" s="464"/>
      <c r="L246" s="379"/>
      <c r="M246" s="379"/>
      <c r="N246" s="50"/>
      <c r="O246" s="50"/>
      <c r="P246" s="379"/>
      <c r="Q246" s="379"/>
      <c r="R246" s="379"/>
      <c r="S246" s="379"/>
      <c r="T246" s="54"/>
      <c r="V246" s="379"/>
      <c r="Y246" s="379"/>
      <c r="Z246" s="464"/>
      <c r="AA246" s="379"/>
      <c r="AB246" s="379"/>
      <c r="AC246" s="50"/>
      <c r="AD246" s="50"/>
      <c r="AE246" s="379"/>
      <c r="AF246" s="379"/>
      <c r="AG246" s="156"/>
      <c r="AH246" s="50"/>
      <c r="AI246" s="379"/>
      <c r="AJ246" s="379"/>
      <c r="AK246" s="156"/>
      <c r="AL246" s="379"/>
      <c r="AM246" s="50"/>
      <c r="AN246" s="50"/>
    </row>
    <row r="247" spans="1:40" x14ac:dyDescent="0.25">
      <c r="F247" s="381"/>
      <c r="H247" s="381"/>
      <c r="I247" s="381"/>
      <c r="J247" s="464"/>
      <c r="K247" s="464"/>
      <c r="L247" s="381"/>
      <c r="M247" s="381"/>
      <c r="N247" s="381"/>
      <c r="O247" s="381"/>
      <c r="P247" s="381"/>
      <c r="Q247" s="381"/>
      <c r="R247" s="381"/>
      <c r="S247" s="379"/>
      <c r="V247" s="381"/>
      <c r="Y247" s="381"/>
      <c r="Z247" s="464"/>
      <c r="AA247" s="381"/>
      <c r="AB247" s="381"/>
      <c r="AC247" s="381"/>
      <c r="AD247" s="381"/>
      <c r="AE247" s="381"/>
      <c r="AF247" s="381"/>
      <c r="AI247" s="381"/>
      <c r="AJ247" s="381"/>
      <c r="AK247" s="162"/>
      <c r="AL247" s="381"/>
      <c r="AM247" s="50"/>
      <c r="AN247" s="50"/>
    </row>
    <row r="248" spans="1:40" x14ac:dyDescent="0.25">
      <c r="A248" s="53"/>
      <c r="C248" s="54"/>
      <c r="F248" s="449"/>
      <c r="H248" s="449"/>
      <c r="I248" s="449"/>
      <c r="J248" s="464"/>
      <c r="K248" s="464"/>
      <c r="L248" s="379"/>
      <c r="M248" s="379"/>
      <c r="N248" s="50"/>
      <c r="O248" s="50"/>
      <c r="P248" s="379"/>
      <c r="Q248" s="379"/>
      <c r="R248" s="379"/>
      <c r="S248" s="379"/>
      <c r="T248" s="54"/>
      <c r="V248" s="449"/>
      <c r="Y248" s="449"/>
      <c r="Z248" s="464"/>
      <c r="AA248" s="379"/>
      <c r="AB248" s="379"/>
      <c r="AC248" s="50"/>
      <c r="AD248" s="50"/>
      <c r="AE248" s="379"/>
      <c r="AF248" s="379"/>
      <c r="AI248" s="379"/>
      <c r="AJ248" s="379"/>
      <c r="AK248" s="156"/>
      <c r="AL248" s="379"/>
      <c r="AM248" s="50"/>
      <c r="AN248" s="50"/>
    </row>
    <row r="250" spans="1:40" x14ac:dyDescent="0.25">
      <c r="A250" s="53"/>
      <c r="C250" s="54"/>
      <c r="F250" s="449"/>
      <c r="H250" s="449"/>
      <c r="I250" s="449"/>
      <c r="J250" s="461"/>
      <c r="K250" s="461"/>
      <c r="L250" s="379"/>
      <c r="M250" s="379"/>
      <c r="N250" s="50"/>
      <c r="O250" s="50"/>
      <c r="P250" s="53"/>
      <c r="Q250" s="53"/>
      <c r="R250" s="379"/>
      <c r="T250" s="54"/>
      <c r="V250" s="379"/>
      <c r="Y250" s="449"/>
      <c r="Z250" s="461"/>
      <c r="AA250" s="379"/>
      <c r="AB250" s="379"/>
      <c r="AC250" s="50"/>
      <c r="AD250" s="50"/>
      <c r="AE250" s="379"/>
      <c r="AF250" s="379"/>
      <c r="AG250" s="156"/>
      <c r="AH250" s="60"/>
      <c r="AI250" s="53"/>
      <c r="AJ250" s="53"/>
      <c r="AK250" s="156"/>
      <c r="AL250" s="379"/>
      <c r="AM250" s="50"/>
      <c r="AN250" s="50"/>
    </row>
    <row r="251" spans="1:40" x14ac:dyDescent="0.25">
      <c r="F251" s="381"/>
      <c r="H251" s="379"/>
      <c r="I251" s="379"/>
      <c r="J251" s="464"/>
      <c r="K251" s="464"/>
      <c r="L251" s="381"/>
      <c r="M251" s="381"/>
      <c r="N251" s="381"/>
      <c r="O251" s="381"/>
      <c r="P251" s="381"/>
      <c r="Q251" s="381"/>
      <c r="R251" s="381"/>
      <c r="V251" s="381"/>
      <c r="Y251" s="379"/>
      <c r="Z251" s="464"/>
      <c r="AA251" s="381"/>
      <c r="AB251" s="381"/>
      <c r="AC251" s="381"/>
      <c r="AD251" s="381"/>
      <c r="AE251" s="381"/>
      <c r="AF251" s="381"/>
      <c r="AI251" s="381"/>
      <c r="AJ251" s="381"/>
      <c r="AK251" s="162"/>
      <c r="AL251" s="381"/>
      <c r="AM251" s="50"/>
      <c r="AN251" s="50"/>
    </row>
    <row r="252" spans="1:40" x14ac:dyDescent="0.25">
      <c r="A252" s="53"/>
      <c r="C252" s="54"/>
      <c r="F252" s="449"/>
      <c r="H252" s="449"/>
      <c r="I252" s="449"/>
      <c r="J252" s="477"/>
      <c r="K252" s="477"/>
      <c r="L252" s="379"/>
      <c r="M252" s="379"/>
      <c r="N252" s="50"/>
      <c r="O252" s="50"/>
      <c r="P252" s="379"/>
      <c r="Q252" s="379"/>
      <c r="R252" s="379"/>
      <c r="S252" s="379"/>
      <c r="T252" s="54"/>
      <c r="V252" s="449"/>
      <c r="Y252" s="449"/>
      <c r="Z252" s="477"/>
      <c r="AA252" s="379"/>
      <c r="AB252" s="379"/>
      <c r="AC252" s="50"/>
      <c r="AD252" s="50"/>
      <c r="AE252" s="379"/>
      <c r="AF252" s="379"/>
      <c r="AG252" s="156"/>
      <c r="AH252" s="50"/>
      <c r="AI252" s="379"/>
      <c r="AJ252" s="379"/>
      <c r="AK252" s="156"/>
      <c r="AL252" s="379"/>
      <c r="AM252" s="50"/>
      <c r="AN252" s="50"/>
    </row>
    <row r="253" spans="1:40" x14ac:dyDescent="0.25">
      <c r="A253" s="53"/>
      <c r="C253" s="54"/>
      <c r="F253" s="449"/>
      <c r="H253" s="449"/>
      <c r="I253" s="449"/>
      <c r="J253" s="461"/>
      <c r="K253" s="461"/>
      <c r="L253" s="379"/>
      <c r="M253" s="379"/>
      <c r="N253" s="50"/>
      <c r="O253" s="50"/>
      <c r="P253" s="379"/>
      <c r="Q253" s="379"/>
      <c r="R253" s="379"/>
      <c r="T253" s="54"/>
      <c r="V253" s="449"/>
      <c r="Y253" s="379"/>
      <c r="Z253" s="461"/>
      <c r="AA253" s="379"/>
      <c r="AB253" s="379"/>
      <c r="AC253" s="50"/>
      <c r="AD253" s="50"/>
      <c r="AE253" s="379"/>
      <c r="AF253" s="379"/>
      <c r="AG253" s="156"/>
      <c r="AH253" s="60"/>
      <c r="AI253" s="379"/>
      <c r="AJ253" s="379"/>
      <c r="AK253" s="156"/>
      <c r="AL253" s="379"/>
      <c r="AM253" s="50"/>
      <c r="AN253" s="50"/>
    </row>
    <row r="254" spans="1:40" x14ac:dyDescent="0.25">
      <c r="A254" s="53"/>
      <c r="C254" s="54"/>
      <c r="F254" s="449"/>
      <c r="H254" s="449"/>
      <c r="I254" s="449"/>
      <c r="J254" s="461"/>
      <c r="K254" s="461"/>
      <c r="L254" s="379"/>
      <c r="M254" s="379"/>
      <c r="N254" s="50"/>
      <c r="O254" s="50"/>
      <c r="P254" s="379"/>
      <c r="Q254" s="379"/>
      <c r="R254" s="379"/>
      <c r="T254" s="54"/>
      <c r="V254" s="449"/>
      <c r="Y254" s="379"/>
      <c r="Z254" s="461"/>
      <c r="AA254" s="379"/>
      <c r="AB254" s="379"/>
      <c r="AC254" s="50"/>
      <c r="AD254" s="50"/>
      <c r="AE254" s="379"/>
      <c r="AF254" s="379"/>
      <c r="AG254" s="156"/>
      <c r="AH254" s="60"/>
      <c r="AI254" s="379"/>
      <c r="AJ254" s="379"/>
      <c r="AK254" s="156"/>
      <c r="AL254" s="379"/>
      <c r="AM254" s="50"/>
      <c r="AN254" s="50"/>
    </row>
    <row r="255" spans="1:40" x14ac:dyDescent="0.25">
      <c r="F255" s="381"/>
      <c r="H255" s="381"/>
      <c r="I255" s="381"/>
      <c r="J255" s="464"/>
      <c r="K255" s="464"/>
      <c r="L255" s="381"/>
      <c r="M255" s="381"/>
      <c r="N255" s="381"/>
      <c r="O255" s="381"/>
      <c r="P255" s="381"/>
      <c r="Q255" s="381"/>
      <c r="R255" s="381"/>
      <c r="V255" s="381"/>
      <c r="Y255" s="381"/>
      <c r="Z255" s="464"/>
      <c r="AA255" s="381"/>
      <c r="AB255" s="381"/>
      <c r="AC255" s="381"/>
      <c r="AD255" s="381"/>
      <c r="AE255" s="381"/>
      <c r="AF255" s="381"/>
      <c r="AI255" s="381"/>
      <c r="AJ255" s="381"/>
      <c r="AK255" s="162"/>
      <c r="AL255" s="381"/>
      <c r="AM255" s="50"/>
      <c r="AN255" s="50"/>
    </row>
    <row r="256" spans="1:40" x14ac:dyDescent="0.25">
      <c r="A256" s="53"/>
      <c r="C256" s="54"/>
      <c r="F256" s="379"/>
      <c r="H256" s="379"/>
      <c r="I256" s="379"/>
      <c r="J256" s="59"/>
      <c r="K256" s="59"/>
      <c r="L256" s="379"/>
      <c r="M256" s="379"/>
      <c r="N256" s="50"/>
      <c r="O256" s="50"/>
      <c r="P256" s="379"/>
      <c r="Q256" s="379"/>
      <c r="R256" s="379"/>
      <c r="T256" s="54"/>
      <c r="V256" s="379"/>
      <c r="Y256" s="379"/>
      <c r="Z256" s="59"/>
      <c r="AA256" s="379"/>
      <c r="AB256" s="379"/>
      <c r="AC256" s="50"/>
      <c r="AD256" s="50"/>
      <c r="AE256" s="379"/>
      <c r="AF256" s="379"/>
      <c r="AG256" s="156"/>
      <c r="AH256" s="60"/>
      <c r="AI256" s="379"/>
      <c r="AJ256" s="379"/>
      <c r="AK256" s="156"/>
      <c r="AL256" s="379"/>
      <c r="AM256" s="50"/>
      <c r="AN256" s="50"/>
    </row>
    <row r="257" spans="1:40" x14ac:dyDescent="0.25">
      <c r="F257" s="381"/>
      <c r="H257" s="381"/>
      <c r="I257" s="381"/>
      <c r="J257" s="464"/>
      <c r="K257" s="464"/>
      <c r="L257" s="381"/>
      <c r="M257" s="381"/>
      <c r="N257" s="381"/>
      <c r="O257" s="381"/>
      <c r="P257" s="381"/>
      <c r="Q257" s="381"/>
      <c r="R257" s="381"/>
      <c r="V257" s="381"/>
      <c r="Y257" s="381"/>
      <c r="Z257" s="464"/>
      <c r="AA257" s="381"/>
      <c r="AB257" s="381"/>
      <c r="AC257" s="381"/>
      <c r="AD257" s="381"/>
      <c r="AE257" s="381"/>
      <c r="AF257" s="381"/>
      <c r="AI257" s="381"/>
      <c r="AJ257" s="381"/>
      <c r="AK257" s="162"/>
      <c r="AL257" s="381"/>
      <c r="AM257" s="50"/>
      <c r="AN257" s="50"/>
    </row>
    <row r="258" spans="1:40" x14ac:dyDescent="0.25">
      <c r="A258" s="53"/>
      <c r="C258" s="54"/>
      <c r="F258" s="379"/>
      <c r="H258" s="379"/>
      <c r="I258" s="379"/>
      <c r="J258" s="59"/>
      <c r="K258" s="59"/>
      <c r="L258" s="379"/>
      <c r="M258" s="379"/>
      <c r="N258" s="50"/>
      <c r="O258" s="50"/>
      <c r="P258" s="379"/>
      <c r="Q258" s="379"/>
      <c r="R258" s="379"/>
      <c r="T258" s="54"/>
      <c r="V258" s="379"/>
      <c r="Y258" s="379"/>
      <c r="Z258" s="59"/>
      <c r="AA258" s="379"/>
      <c r="AB258" s="379"/>
      <c r="AC258" s="50"/>
      <c r="AD258" s="50"/>
      <c r="AE258" s="379"/>
      <c r="AF258" s="379"/>
      <c r="AG258" s="156"/>
      <c r="AH258" s="60"/>
      <c r="AI258" s="379"/>
      <c r="AJ258" s="379"/>
      <c r="AK258" s="156"/>
      <c r="AL258" s="379"/>
      <c r="AM258" s="50"/>
      <c r="AN258" s="50"/>
    </row>
    <row r="259" spans="1:40" x14ac:dyDescent="0.25">
      <c r="A259" s="53"/>
      <c r="C259" s="54"/>
      <c r="F259" s="379"/>
      <c r="H259" s="449"/>
      <c r="I259" s="449"/>
      <c r="J259" s="472"/>
      <c r="K259" s="472"/>
      <c r="L259" s="379"/>
      <c r="M259" s="379"/>
      <c r="N259" s="50"/>
      <c r="O259" s="50"/>
      <c r="P259" s="379"/>
      <c r="Q259" s="379"/>
      <c r="R259" s="379"/>
      <c r="T259" s="54"/>
      <c r="V259" s="379"/>
      <c r="Y259" s="379"/>
      <c r="Z259" s="463"/>
      <c r="AA259" s="379"/>
      <c r="AB259" s="379"/>
      <c r="AC259" s="50"/>
      <c r="AD259" s="50"/>
      <c r="AE259" s="379"/>
      <c r="AF259" s="379"/>
      <c r="AG259" s="156"/>
      <c r="AH259" s="60"/>
      <c r="AI259" s="379"/>
      <c r="AJ259" s="379"/>
      <c r="AK259" s="156"/>
      <c r="AL259" s="379"/>
      <c r="AM259" s="50"/>
      <c r="AN259" s="50"/>
    </row>
    <row r="260" spans="1:40" x14ac:dyDescent="0.25">
      <c r="F260" s="381"/>
      <c r="H260" s="381"/>
      <c r="I260" s="381"/>
      <c r="J260" s="464"/>
      <c r="K260" s="464"/>
      <c r="L260" s="381"/>
      <c r="M260" s="381"/>
      <c r="N260" s="381"/>
      <c r="O260" s="381"/>
      <c r="P260" s="381"/>
      <c r="Q260" s="381"/>
      <c r="R260" s="381"/>
      <c r="V260" s="381"/>
      <c r="Y260" s="381"/>
      <c r="Z260" s="464"/>
      <c r="AA260" s="381"/>
      <c r="AB260" s="381"/>
      <c r="AC260" s="381"/>
      <c r="AD260" s="381"/>
      <c r="AE260" s="381"/>
      <c r="AF260" s="381"/>
      <c r="AI260" s="381"/>
      <c r="AJ260" s="381"/>
      <c r="AK260" s="162"/>
      <c r="AL260" s="381"/>
      <c r="AM260" s="50"/>
      <c r="AN260" s="50"/>
    </row>
    <row r="262" spans="1:40" x14ac:dyDescent="0.25">
      <c r="A262" s="53"/>
      <c r="C262" s="54"/>
      <c r="F262" s="379"/>
      <c r="H262" s="379"/>
      <c r="I262" s="379"/>
      <c r="J262" s="464"/>
      <c r="K262" s="464"/>
      <c r="L262" s="379"/>
      <c r="M262" s="379"/>
      <c r="N262" s="50"/>
      <c r="O262" s="50"/>
      <c r="P262" s="379"/>
      <c r="Q262" s="379"/>
      <c r="R262" s="379"/>
      <c r="S262" s="379"/>
      <c r="T262" s="54"/>
      <c r="V262" s="379"/>
      <c r="Y262" s="379"/>
      <c r="Z262" s="464"/>
      <c r="AA262" s="379"/>
      <c r="AB262" s="379"/>
      <c r="AC262" s="50"/>
      <c r="AD262" s="50"/>
      <c r="AE262" s="379"/>
      <c r="AF262" s="379"/>
      <c r="AG262" s="156"/>
      <c r="AH262" s="50"/>
      <c r="AI262" s="379"/>
      <c r="AJ262" s="379"/>
      <c r="AK262" s="156"/>
      <c r="AL262" s="379"/>
      <c r="AM262" s="50"/>
      <c r="AN262" s="50"/>
    </row>
    <row r="263" spans="1:40" x14ac:dyDescent="0.25">
      <c r="F263" s="381"/>
      <c r="H263" s="381"/>
      <c r="I263" s="381"/>
      <c r="J263" s="464"/>
      <c r="K263" s="464"/>
      <c r="L263" s="381"/>
      <c r="M263" s="381"/>
      <c r="N263" s="381"/>
      <c r="O263" s="381"/>
      <c r="P263" s="381"/>
      <c r="Q263" s="381"/>
      <c r="R263" s="381"/>
      <c r="S263" s="379"/>
      <c r="V263" s="381"/>
      <c r="Y263" s="381"/>
      <c r="Z263" s="464"/>
      <c r="AA263" s="381"/>
      <c r="AB263" s="381"/>
      <c r="AC263" s="381"/>
      <c r="AD263" s="381"/>
      <c r="AE263" s="381"/>
      <c r="AF263" s="381"/>
      <c r="AI263" s="381"/>
      <c r="AJ263" s="381"/>
      <c r="AK263" s="162"/>
      <c r="AL263" s="381"/>
      <c r="AM263" s="50"/>
      <c r="AN263" s="50"/>
    </row>
    <row r="264" spans="1:40" x14ac:dyDescent="0.25">
      <c r="A264" s="53"/>
      <c r="C264" s="54"/>
      <c r="T264" s="54"/>
    </row>
    <row r="265" spans="1:40" x14ac:dyDescent="0.25">
      <c r="A265" s="53"/>
      <c r="C265" s="54"/>
      <c r="F265" s="379"/>
      <c r="H265" s="379"/>
      <c r="I265" s="379"/>
      <c r="L265" s="379"/>
      <c r="M265" s="379"/>
      <c r="N265" s="50"/>
      <c r="O265" s="50"/>
      <c r="P265" s="449"/>
      <c r="Q265" s="449"/>
      <c r="R265" s="379"/>
      <c r="T265" s="54"/>
      <c r="V265" s="379"/>
      <c r="Y265" s="379"/>
      <c r="AA265" s="379"/>
      <c r="AB265" s="379"/>
      <c r="AC265" s="50"/>
      <c r="AD265" s="50"/>
      <c r="AE265" s="379"/>
      <c r="AF265" s="379"/>
      <c r="AG265" s="156"/>
      <c r="AH265" s="50"/>
      <c r="AI265" s="449"/>
      <c r="AJ265" s="449"/>
      <c r="AK265" s="156"/>
      <c r="AL265" s="379"/>
      <c r="AM265" s="50"/>
      <c r="AN265" s="50"/>
    </row>
    <row r="266" spans="1:40" x14ac:dyDescent="0.25">
      <c r="F266" s="381"/>
      <c r="H266" s="381"/>
      <c r="I266" s="381"/>
      <c r="J266" s="464"/>
      <c r="K266" s="464"/>
      <c r="L266" s="381"/>
      <c r="M266" s="381"/>
      <c r="N266" s="381"/>
      <c r="O266" s="381"/>
      <c r="P266" s="381"/>
      <c r="Q266" s="381"/>
      <c r="R266" s="381"/>
      <c r="V266" s="381"/>
      <c r="Y266" s="381"/>
      <c r="Z266" s="464"/>
      <c r="AA266" s="381"/>
      <c r="AB266" s="381"/>
      <c r="AC266" s="381"/>
      <c r="AD266" s="381"/>
      <c r="AE266" s="381"/>
      <c r="AF266" s="381"/>
      <c r="AI266" s="381"/>
      <c r="AJ266" s="381"/>
      <c r="AK266" s="162"/>
      <c r="AL266" s="381"/>
    </row>
    <row r="268" spans="1:40" x14ac:dyDescent="0.25">
      <c r="C268" s="54"/>
      <c r="L268" s="379"/>
      <c r="M268" s="379"/>
      <c r="N268" s="379"/>
      <c r="O268" s="379"/>
      <c r="P268" s="379"/>
      <c r="Q268" s="379"/>
      <c r="R268" s="379"/>
      <c r="S268" s="379"/>
      <c r="T268" s="54"/>
      <c r="AA268" s="379"/>
      <c r="AB268" s="379"/>
      <c r="AC268" s="379"/>
      <c r="AD268" s="379"/>
      <c r="AI268" s="379"/>
      <c r="AJ268" s="379"/>
      <c r="AK268" s="156"/>
      <c r="AL268" s="379"/>
    </row>
    <row r="269" spans="1:40" x14ac:dyDescent="0.25">
      <c r="A269" s="54"/>
    </row>
    <row r="270" spans="1:40" x14ac:dyDescent="0.25">
      <c r="J270" s="53"/>
      <c r="K270" s="53"/>
      <c r="Z270" s="53"/>
    </row>
    <row r="271" spans="1:40" x14ac:dyDescent="0.25">
      <c r="H271" s="54"/>
      <c r="I271" s="54"/>
      <c r="Y271" s="54"/>
    </row>
    <row r="272" spans="1:40" x14ac:dyDescent="0.25">
      <c r="J272" s="53"/>
      <c r="K272" s="53"/>
      <c r="Z272" s="53"/>
    </row>
    <row r="273" spans="1:40" x14ac:dyDescent="0.25">
      <c r="L273" s="54"/>
      <c r="M273" s="54"/>
      <c r="AA273" s="54"/>
      <c r="AB273" s="54"/>
    </row>
    <row r="274" spans="1:40" x14ac:dyDescent="0.25">
      <c r="A274" s="53"/>
      <c r="R274" s="54"/>
      <c r="AK274" s="161"/>
      <c r="AL274" s="54"/>
    </row>
    <row r="275" spans="1:40" x14ac:dyDescent="0.25">
      <c r="A275" s="53"/>
      <c r="R275" s="54"/>
      <c r="AK275" s="161"/>
      <c r="AL275" s="54"/>
    </row>
    <row r="276" spans="1:40" x14ac:dyDescent="0.25">
      <c r="A276" s="54"/>
      <c r="R276" s="54"/>
      <c r="AK276" s="161"/>
      <c r="AL276" s="54"/>
    </row>
    <row r="277" spans="1:40" x14ac:dyDescent="0.25">
      <c r="L277" s="54"/>
      <c r="M277" s="54"/>
      <c r="R277" s="53"/>
      <c r="AA277" s="54"/>
      <c r="AB277" s="54"/>
      <c r="AK277" s="156"/>
      <c r="AL277" s="53"/>
    </row>
    <row r="278" spans="1:40" x14ac:dyDescent="0.25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154"/>
      <c r="AH278" s="55"/>
      <c r="AI278" s="55"/>
      <c r="AJ278" s="55"/>
      <c r="AK278" s="154"/>
      <c r="AL278" s="55"/>
      <c r="AM278" s="55"/>
      <c r="AN278" s="55"/>
    </row>
    <row r="279" spans="1:40" x14ac:dyDescent="0.25">
      <c r="L279" s="56"/>
      <c r="M279" s="56"/>
      <c r="N279" s="56"/>
      <c r="O279" s="56"/>
      <c r="R279" s="56"/>
      <c r="AA279" s="56"/>
      <c r="AB279" s="56"/>
      <c r="AC279" s="56"/>
      <c r="AD279" s="56"/>
      <c r="AE279" s="56"/>
      <c r="AF279" s="56"/>
      <c r="AG279" s="155"/>
      <c r="AH279" s="56"/>
      <c r="AK279" s="155"/>
      <c r="AL279" s="56"/>
      <c r="AM279" s="56"/>
      <c r="AN279" s="56"/>
    </row>
    <row r="280" spans="1:40" x14ac:dyDescent="0.25">
      <c r="L280" s="56"/>
      <c r="M280" s="56"/>
      <c r="N280" s="56"/>
      <c r="O280" s="56"/>
      <c r="R280" s="56"/>
      <c r="Z280" s="56"/>
      <c r="AA280" s="56"/>
      <c r="AB280" s="56"/>
      <c r="AC280" s="56"/>
      <c r="AD280" s="56"/>
      <c r="AE280" s="56"/>
      <c r="AF280" s="56"/>
      <c r="AG280" s="155"/>
      <c r="AH280" s="56"/>
      <c r="AK280" s="155"/>
      <c r="AL280" s="56"/>
      <c r="AM280" s="56"/>
      <c r="AN280" s="56"/>
    </row>
    <row r="281" spans="1:40" x14ac:dyDescent="0.25">
      <c r="A281" s="56"/>
      <c r="C281" s="56"/>
      <c r="D281" s="56"/>
      <c r="E281" s="56"/>
      <c r="F281" s="56"/>
      <c r="J281" s="56"/>
      <c r="K281" s="56"/>
      <c r="L281" s="56"/>
      <c r="M281" s="56"/>
      <c r="N281" s="56"/>
      <c r="O281" s="56"/>
      <c r="P281" s="56"/>
      <c r="Q281" s="56"/>
      <c r="R281" s="56"/>
      <c r="T281" s="56"/>
      <c r="U281" s="56"/>
      <c r="V281" s="56"/>
      <c r="Z281" s="56"/>
      <c r="AA281" s="56"/>
      <c r="AB281" s="56"/>
      <c r="AC281" s="56"/>
      <c r="AD281" s="56"/>
      <c r="AE281" s="56"/>
      <c r="AF281" s="56"/>
      <c r="AG281" s="155"/>
      <c r="AH281" s="56"/>
      <c r="AI281" s="56"/>
      <c r="AJ281" s="56"/>
      <c r="AK281" s="155"/>
      <c r="AL281" s="56"/>
      <c r="AM281" s="56"/>
      <c r="AN281" s="56"/>
    </row>
    <row r="282" spans="1:40" x14ac:dyDescent="0.25">
      <c r="A282" s="56"/>
      <c r="C282" s="56"/>
      <c r="D282" s="56"/>
      <c r="E282" s="56"/>
      <c r="F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T282" s="56"/>
      <c r="U282" s="56"/>
      <c r="V282" s="56"/>
      <c r="Y282" s="56"/>
      <c r="Z282" s="56"/>
      <c r="AA282" s="56"/>
      <c r="AB282" s="56"/>
      <c r="AC282" s="56"/>
      <c r="AD282" s="56"/>
      <c r="AE282" s="56"/>
      <c r="AF282" s="56"/>
      <c r="AG282" s="155"/>
      <c r="AH282" s="56"/>
      <c r="AI282" s="56"/>
      <c r="AJ282" s="56"/>
      <c r="AK282" s="155"/>
      <c r="AL282" s="56"/>
      <c r="AM282" s="56"/>
      <c r="AN282" s="56"/>
    </row>
    <row r="283" spans="1:40" x14ac:dyDescent="0.25">
      <c r="C283" s="56"/>
      <c r="D283" s="56"/>
      <c r="E283" s="56"/>
      <c r="F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T283" s="56"/>
      <c r="U283" s="56"/>
      <c r="V283" s="56"/>
      <c r="Y283" s="56"/>
      <c r="Z283" s="56"/>
      <c r="AA283" s="56"/>
      <c r="AB283" s="56"/>
      <c r="AC283" s="56"/>
      <c r="AD283" s="56"/>
      <c r="AE283" s="56"/>
      <c r="AF283" s="56"/>
      <c r="AG283" s="155"/>
      <c r="AH283" s="56"/>
      <c r="AI283" s="56"/>
      <c r="AJ283" s="56"/>
      <c r="AK283" s="155"/>
      <c r="AL283" s="56"/>
      <c r="AM283" s="56"/>
      <c r="AN283" s="56"/>
    </row>
    <row r="284" spans="1:40" x14ac:dyDescent="0.25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154"/>
      <c r="AH284" s="55"/>
      <c r="AI284" s="55"/>
      <c r="AJ284" s="55"/>
      <c r="AK284" s="154"/>
      <c r="AL284" s="55"/>
      <c r="AM284" s="55"/>
      <c r="AN284" s="55"/>
    </row>
    <row r="285" spans="1:40" x14ac:dyDescent="0.25"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Y285" s="56"/>
      <c r="Z285" s="56"/>
      <c r="AA285" s="56"/>
      <c r="AB285" s="56"/>
      <c r="AC285" s="56"/>
      <c r="AD285" s="56"/>
      <c r="AE285" s="56"/>
      <c r="AF285" s="56"/>
      <c r="AG285" s="155"/>
      <c r="AH285" s="56"/>
      <c r="AI285" s="56"/>
      <c r="AJ285" s="56"/>
      <c r="AK285" s="155"/>
      <c r="AL285" s="56"/>
      <c r="AM285" s="56"/>
      <c r="AN285" s="56"/>
    </row>
    <row r="286" spans="1:40" x14ac:dyDescent="0.25">
      <c r="A286" s="53"/>
      <c r="C286" s="54"/>
      <c r="D286" s="54"/>
      <c r="E286" s="54"/>
      <c r="T286" s="54"/>
      <c r="U286" s="54"/>
    </row>
    <row r="287" spans="1:40" x14ac:dyDescent="0.25">
      <c r="D287" s="54"/>
      <c r="E287" s="54"/>
      <c r="U287" s="54"/>
    </row>
    <row r="289" spans="1:40" x14ac:dyDescent="0.25">
      <c r="A289" s="53"/>
      <c r="C289" s="54"/>
      <c r="T289" s="54"/>
    </row>
    <row r="290" spans="1:40" x14ac:dyDescent="0.25">
      <c r="A290" s="53"/>
      <c r="C290" s="54"/>
      <c r="F290" s="449"/>
      <c r="H290" s="449"/>
      <c r="I290" s="449"/>
      <c r="J290" s="221"/>
      <c r="K290" s="221"/>
      <c r="L290" s="379"/>
      <c r="M290" s="379"/>
      <c r="N290" s="50"/>
      <c r="O290" s="50"/>
      <c r="P290" s="379"/>
      <c r="Q290" s="379"/>
      <c r="R290" s="379"/>
      <c r="T290" s="54"/>
      <c r="V290" s="449"/>
      <c r="W290" s="379"/>
      <c r="X290" s="379"/>
      <c r="Y290" s="449"/>
      <c r="Z290" s="221"/>
      <c r="AA290" s="379"/>
      <c r="AB290" s="379"/>
      <c r="AC290" s="50"/>
      <c r="AD290" s="50"/>
      <c r="AE290" s="379"/>
      <c r="AF290" s="379"/>
      <c r="AG290" s="156"/>
      <c r="AH290" s="60"/>
      <c r="AI290" s="379"/>
      <c r="AJ290" s="379"/>
      <c r="AK290" s="156"/>
      <c r="AL290" s="379"/>
      <c r="AM290" s="50"/>
      <c r="AN290" s="50"/>
    </row>
    <row r="291" spans="1:40" x14ac:dyDescent="0.25">
      <c r="A291" s="53"/>
      <c r="C291" s="54"/>
      <c r="F291" s="379"/>
      <c r="H291" s="379"/>
      <c r="I291" s="379"/>
      <c r="J291" s="464"/>
      <c r="K291" s="464"/>
      <c r="L291" s="379"/>
      <c r="M291" s="379"/>
      <c r="N291" s="50"/>
      <c r="O291" s="50"/>
      <c r="P291" s="379"/>
      <c r="Q291" s="379"/>
      <c r="R291" s="379"/>
      <c r="T291" s="54"/>
      <c r="V291" s="449"/>
      <c r="W291" s="379"/>
      <c r="X291" s="379"/>
      <c r="Y291" s="449"/>
      <c r="Z291" s="464"/>
      <c r="AA291" s="379"/>
      <c r="AB291" s="379"/>
      <c r="AC291" s="50"/>
      <c r="AD291" s="50"/>
      <c r="AE291" s="379"/>
      <c r="AF291" s="379"/>
      <c r="AG291" s="156"/>
      <c r="AH291" s="60"/>
      <c r="AI291" s="379"/>
      <c r="AJ291" s="379"/>
      <c r="AK291" s="156"/>
      <c r="AL291" s="379"/>
      <c r="AM291" s="50"/>
      <c r="AN291" s="50"/>
    </row>
    <row r="292" spans="1:40" x14ac:dyDescent="0.25">
      <c r="A292" s="53"/>
      <c r="C292" s="54"/>
      <c r="F292" s="449"/>
      <c r="H292" s="449"/>
      <c r="I292" s="449"/>
      <c r="J292" s="221"/>
      <c r="K292" s="221"/>
      <c r="L292" s="379"/>
      <c r="M292" s="379"/>
      <c r="N292" s="50"/>
      <c r="O292" s="50"/>
      <c r="P292" s="379"/>
      <c r="Q292" s="379"/>
      <c r="R292" s="379"/>
      <c r="T292" s="54"/>
      <c r="V292" s="449"/>
      <c r="W292" s="379"/>
      <c r="X292" s="379"/>
      <c r="Y292" s="449"/>
      <c r="Z292" s="221"/>
      <c r="AA292" s="379"/>
      <c r="AB292" s="379"/>
      <c r="AC292" s="50"/>
      <c r="AD292" s="50"/>
      <c r="AE292" s="379"/>
      <c r="AF292" s="379"/>
      <c r="AG292" s="156"/>
      <c r="AH292" s="60"/>
      <c r="AI292" s="379"/>
      <c r="AJ292" s="379"/>
      <c r="AK292" s="156"/>
      <c r="AL292" s="379"/>
      <c r="AM292" s="50"/>
      <c r="AN292" s="50"/>
    </row>
    <row r="293" spans="1:40" x14ac:dyDescent="0.25">
      <c r="A293" s="53"/>
      <c r="C293" s="54"/>
      <c r="F293" s="449"/>
      <c r="H293" s="449"/>
      <c r="I293" s="449"/>
      <c r="J293" s="221"/>
      <c r="K293" s="221"/>
      <c r="L293" s="379"/>
      <c r="M293" s="379"/>
      <c r="N293" s="50"/>
      <c r="O293" s="50"/>
      <c r="P293" s="379"/>
      <c r="Q293" s="379"/>
      <c r="R293" s="379"/>
      <c r="T293" s="54"/>
      <c r="V293" s="449"/>
      <c r="W293" s="379"/>
      <c r="X293" s="379"/>
      <c r="Y293" s="449"/>
      <c r="Z293" s="221"/>
      <c r="AA293" s="379"/>
      <c r="AB293" s="379"/>
      <c r="AC293" s="50"/>
      <c r="AD293" s="50"/>
      <c r="AE293" s="379"/>
      <c r="AF293" s="379"/>
      <c r="AG293" s="156"/>
      <c r="AH293" s="60"/>
      <c r="AI293" s="379"/>
      <c r="AJ293" s="379"/>
      <c r="AK293" s="156"/>
      <c r="AL293" s="379"/>
      <c r="AM293" s="50"/>
      <c r="AN293" s="50"/>
    </row>
    <row r="294" spans="1:40" x14ac:dyDescent="0.25">
      <c r="A294" s="53"/>
      <c r="C294" s="54"/>
      <c r="F294" s="449"/>
      <c r="H294" s="449"/>
      <c r="I294" s="449"/>
      <c r="J294" s="221"/>
      <c r="K294" s="221"/>
      <c r="L294" s="379"/>
      <c r="M294" s="379"/>
      <c r="N294" s="50"/>
      <c r="O294" s="50"/>
      <c r="P294" s="379"/>
      <c r="Q294" s="379"/>
      <c r="R294" s="379"/>
      <c r="T294" s="54"/>
      <c r="V294" s="449"/>
      <c r="W294" s="379"/>
      <c r="X294" s="379"/>
      <c r="Y294" s="449"/>
      <c r="Z294" s="221"/>
      <c r="AA294" s="379"/>
      <c r="AB294" s="379"/>
      <c r="AC294" s="50"/>
      <c r="AD294" s="50"/>
      <c r="AE294" s="379"/>
      <c r="AF294" s="379"/>
      <c r="AG294" s="156"/>
      <c r="AH294" s="60"/>
      <c r="AI294" s="379"/>
      <c r="AJ294" s="379"/>
      <c r="AK294" s="156"/>
      <c r="AL294" s="379"/>
      <c r="AM294" s="50"/>
      <c r="AN294" s="50"/>
    </row>
    <row r="295" spans="1:40" x14ac:dyDescent="0.25">
      <c r="A295" s="53"/>
      <c r="C295" s="54"/>
      <c r="F295" s="379"/>
      <c r="H295" s="379"/>
      <c r="I295" s="379"/>
      <c r="J295" s="221"/>
      <c r="K295" s="221"/>
      <c r="L295" s="379"/>
      <c r="M295" s="379"/>
      <c r="N295" s="50"/>
      <c r="O295" s="50"/>
      <c r="P295" s="379"/>
      <c r="Q295" s="379"/>
      <c r="R295" s="379"/>
      <c r="T295" s="54"/>
      <c r="V295" s="449"/>
      <c r="W295" s="379"/>
      <c r="X295" s="379"/>
      <c r="Y295" s="449"/>
      <c r="Z295" s="221"/>
      <c r="AA295" s="379"/>
      <c r="AB295" s="379"/>
      <c r="AC295" s="50"/>
      <c r="AD295" s="50"/>
      <c r="AE295" s="379"/>
      <c r="AF295" s="379"/>
      <c r="AG295" s="156"/>
      <c r="AH295" s="60"/>
      <c r="AI295" s="379"/>
      <c r="AJ295" s="379"/>
      <c r="AK295" s="156"/>
      <c r="AL295" s="379"/>
      <c r="AM295" s="50"/>
      <c r="AN295" s="50"/>
    </row>
    <row r="296" spans="1:40" x14ac:dyDescent="0.25">
      <c r="A296" s="53"/>
      <c r="C296" s="54"/>
      <c r="F296" s="379"/>
      <c r="H296" s="379"/>
      <c r="I296" s="379"/>
      <c r="J296" s="221"/>
      <c r="K296" s="221"/>
      <c r="L296" s="379"/>
      <c r="M296" s="379"/>
      <c r="N296" s="50"/>
      <c r="O296" s="50"/>
      <c r="P296" s="379"/>
      <c r="Q296" s="379"/>
      <c r="R296" s="379"/>
      <c r="T296" s="54"/>
      <c r="V296" s="449"/>
      <c r="W296" s="379"/>
      <c r="X296" s="379"/>
      <c r="Y296" s="449"/>
      <c r="Z296" s="221"/>
      <c r="AA296" s="379"/>
      <c r="AB296" s="379"/>
      <c r="AC296" s="50"/>
      <c r="AD296" s="50"/>
      <c r="AE296" s="379"/>
      <c r="AF296" s="379"/>
      <c r="AG296" s="156"/>
      <c r="AH296" s="60"/>
      <c r="AI296" s="379"/>
      <c r="AJ296" s="379"/>
      <c r="AK296" s="156"/>
      <c r="AL296" s="379"/>
      <c r="AM296" s="50"/>
      <c r="AN296" s="50"/>
    </row>
    <row r="297" spans="1:40" x14ac:dyDescent="0.25">
      <c r="F297" s="63"/>
      <c r="H297" s="479"/>
      <c r="I297" s="479"/>
      <c r="J297" s="221"/>
      <c r="K297" s="221"/>
      <c r="L297" s="63"/>
      <c r="M297" s="63"/>
      <c r="N297" s="381"/>
      <c r="O297" s="381"/>
      <c r="P297" s="63"/>
      <c r="Q297" s="63"/>
      <c r="R297" s="63"/>
      <c r="V297" s="63"/>
      <c r="W297" s="379"/>
      <c r="X297" s="379"/>
      <c r="Y297" s="63"/>
      <c r="Z297" s="221"/>
      <c r="AA297" s="63"/>
      <c r="AB297" s="63"/>
      <c r="AC297" s="64"/>
      <c r="AD297" s="64"/>
      <c r="AE297" s="63"/>
      <c r="AF297" s="63"/>
      <c r="AG297" s="156"/>
      <c r="AH297" s="60"/>
      <c r="AI297" s="63"/>
      <c r="AJ297" s="63"/>
      <c r="AK297" s="154"/>
      <c r="AL297" s="63"/>
      <c r="AM297" s="50"/>
      <c r="AN297" s="50"/>
    </row>
    <row r="298" spans="1:40" x14ac:dyDescent="0.25">
      <c r="A298" s="53"/>
      <c r="C298" s="54"/>
      <c r="F298" s="379"/>
      <c r="H298" s="379"/>
      <c r="I298" s="379"/>
      <c r="J298" s="221"/>
      <c r="K298" s="221"/>
      <c r="L298" s="379"/>
      <c r="M298" s="379"/>
      <c r="N298" s="60"/>
      <c r="O298" s="60"/>
      <c r="P298" s="379"/>
      <c r="Q298" s="379"/>
      <c r="R298" s="379"/>
      <c r="T298" s="56"/>
      <c r="V298" s="379"/>
      <c r="W298" s="379"/>
      <c r="X298" s="379"/>
      <c r="Y298" s="379"/>
      <c r="Z298" s="221"/>
      <c r="AA298" s="379"/>
      <c r="AB298" s="379"/>
      <c r="AC298" s="60"/>
      <c r="AD298" s="60"/>
      <c r="AE298" s="379"/>
      <c r="AF298" s="379"/>
      <c r="AG298" s="156"/>
      <c r="AH298" s="60"/>
      <c r="AI298" s="379"/>
      <c r="AJ298" s="379"/>
      <c r="AK298" s="156"/>
      <c r="AL298" s="379"/>
      <c r="AM298" s="50"/>
      <c r="AN298" s="50"/>
    </row>
    <row r="299" spans="1:40" x14ac:dyDescent="0.25">
      <c r="F299" s="55"/>
      <c r="H299" s="55"/>
      <c r="I299" s="55"/>
      <c r="L299" s="55"/>
      <c r="M299" s="55"/>
      <c r="N299" s="64"/>
      <c r="O299" s="64"/>
      <c r="P299" s="63"/>
      <c r="Q299" s="63"/>
      <c r="R299" s="63"/>
      <c r="V299" s="63"/>
      <c r="Y299" s="63"/>
      <c r="Z299" s="464"/>
      <c r="AA299" s="63"/>
      <c r="AB299" s="63"/>
      <c r="AC299" s="63"/>
      <c r="AD299" s="63"/>
      <c r="AE299" s="63"/>
      <c r="AF299" s="63"/>
      <c r="AI299" s="63"/>
      <c r="AJ299" s="63"/>
      <c r="AK299" s="154"/>
      <c r="AL299" s="63"/>
      <c r="AM299" s="64"/>
      <c r="AN299" s="64"/>
    </row>
    <row r="300" spans="1:40" x14ac:dyDescent="0.25">
      <c r="AI300" s="53"/>
      <c r="AJ300" s="53"/>
    </row>
    <row r="304" spans="1:40" x14ac:dyDescent="0.25">
      <c r="N304" s="379"/>
      <c r="O304" s="379"/>
      <c r="P304" s="379"/>
      <c r="Q304" s="379"/>
      <c r="R304" s="379"/>
      <c r="V304" s="379"/>
      <c r="Y304" s="379"/>
      <c r="Z304" s="59"/>
      <c r="AA304" s="379"/>
      <c r="AB304" s="379"/>
      <c r="AC304" s="50"/>
      <c r="AD304" s="50"/>
      <c r="AE304" s="379"/>
      <c r="AF304" s="379"/>
      <c r="AG304" s="156"/>
      <c r="AH304" s="60"/>
      <c r="AI304" s="379"/>
      <c r="AJ304" s="379"/>
      <c r="AK304" s="156"/>
      <c r="AL304" s="379"/>
      <c r="AM304" s="50"/>
      <c r="AN304" s="50"/>
    </row>
    <row r="305" spans="1:40" x14ac:dyDescent="0.25">
      <c r="A305" s="53"/>
      <c r="C305" s="54"/>
      <c r="D305" s="54"/>
      <c r="E305" s="54"/>
      <c r="J305" s="65"/>
      <c r="K305" s="65"/>
      <c r="T305" s="54"/>
      <c r="U305" s="54"/>
      <c r="Z305" s="65"/>
      <c r="AE305" s="379"/>
      <c r="AF305" s="379"/>
      <c r="AI305" s="379"/>
      <c r="AJ305" s="379"/>
      <c r="AK305" s="156"/>
      <c r="AL305" s="379"/>
      <c r="AM305" s="50"/>
      <c r="AN305" s="50"/>
    </row>
    <row r="306" spans="1:40" x14ac:dyDescent="0.25">
      <c r="D306" s="54"/>
      <c r="E306" s="54"/>
      <c r="F306" s="379"/>
      <c r="H306" s="379"/>
      <c r="I306" s="379"/>
      <c r="J306" s="221"/>
      <c r="K306" s="221"/>
      <c r="L306" s="379"/>
      <c r="M306" s="379"/>
      <c r="N306" s="50"/>
      <c r="O306" s="50"/>
      <c r="P306" s="379"/>
      <c r="Q306" s="379"/>
      <c r="R306" s="379"/>
      <c r="U306" s="54"/>
      <c r="V306" s="379"/>
      <c r="Y306" s="379"/>
      <c r="Z306" s="221"/>
      <c r="AA306" s="379"/>
      <c r="AB306" s="379"/>
      <c r="AC306" s="50"/>
      <c r="AD306" s="50"/>
      <c r="AE306" s="379"/>
      <c r="AF306" s="379"/>
      <c r="AG306" s="156"/>
      <c r="AH306" s="60"/>
      <c r="AI306" s="379"/>
      <c r="AJ306" s="379"/>
      <c r="AK306" s="156"/>
      <c r="AL306" s="379"/>
      <c r="AM306" s="50"/>
      <c r="AN306" s="50"/>
    </row>
    <row r="307" spans="1:40" x14ac:dyDescent="0.25">
      <c r="F307" s="379"/>
      <c r="H307" s="379"/>
      <c r="I307" s="379"/>
      <c r="J307" s="464"/>
      <c r="K307" s="464"/>
      <c r="L307" s="379"/>
      <c r="M307" s="379"/>
      <c r="N307" s="379"/>
      <c r="O307" s="379"/>
      <c r="P307" s="379"/>
      <c r="Q307" s="379"/>
      <c r="R307" s="379"/>
      <c r="V307" s="379"/>
      <c r="Y307" s="379"/>
      <c r="Z307" s="464"/>
      <c r="AA307" s="379"/>
      <c r="AB307" s="379"/>
      <c r="AC307" s="379"/>
      <c r="AD307" s="379"/>
      <c r="AE307" s="379"/>
      <c r="AF307" s="379"/>
      <c r="AG307" s="156"/>
      <c r="AH307" s="60"/>
      <c r="AI307" s="449"/>
      <c r="AJ307" s="449"/>
      <c r="AK307" s="156"/>
      <c r="AL307" s="379"/>
      <c r="AM307" s="50"/>
      <c r="AN307" s="50"/>
    </row>
    <row r="308" spans="1:40" x14ac:dyDescent="0.25">
      <c r="A308" s="53"/>
      <c r="C308" s="54"/>
      <c r="F308" s="449"/>
      <c r="H308" s="449"/>
      <c r="I308" s="449"/>
      <c r="J308" s="463"/>
      <c r="K308" s="463"/>
      <c r="L308" s="379"/>
      <c r="M308" s="379"/>
      <c r="N308" s="50"/>
      <c r="O308" s="50"/>
      <c r="P308" s="379"/>
      <c r="Q308" s="379"/>
      <c r="R308" s="379"/>
      <c r="T308" s="54"/>
      <c r="V308" s="449"/>
      <c r="Y308" s="449"/>
      <c r="Z308" s="463"/>
      <c r="AA308" s="379"/>
      <c r="AB308" s="379"/>
      <c r="AC308" s="50"/>
      <c r="AD308" s="50"/>
      <c r="AE308" s="379"/>
      <c r="AF308" s="379"/>
      <c r="AG308" s="156"/>
      <c r="AH308" s="60"/>
      <c r="AI308" s="379"/>
      <c r="AJ308" s="379"/>
      <c r="AK308" s="156"/>
      <c r="AL308" s="379"/>
      <c r="AM308" s="50"/>
      <c r="AN308" s="50"/>
    </row>
    <row r="309" spans="1:40" x14ac:dyDescent="0.25">
      <c r="F309" s="55"/>
      <c r="H309" s="55"/>
      <c r="I309" s="55"/>
      <c r="L309" s="55"/>
      <c r="M309" s="55"/>
      <c r="N309" s="55"/>
      <c r="O309" s="55"/>
      <c r="P309" s="55"/>
      <c r="Q309" s="55"/>
      <c r="R309" s="55"/>
      <c r="V309" s="55"/>
      <c r="Y309" s="55"/>
      <c r="AA309" s="55"/>
      <c r="AB309" s="55"/>
      <c r="AC309" s="55"/>
      <c r="AD309" s="55"/>
      <c r="AE309" s="55"/>
      <c r="AF309" s="55"/>
      <c r="AG309" s="154"/>
      <c r="AH309" s="55"/>
      <c r="AI309" s="55"/>
      <c r="AJ309" s="55"/>
      <c r="AK309" s="154"/>
      <c r="AL309" s="55"/>
      <c r="AM309" s="55"/>
      <c r="AN309" s="55"/>
    </row>
    <row r="310" spans="1:40" x14ac:dyDescent="0.25">
      <c r="A310" s="53"/>
      <c r="C310" s="56"/>
      <c r="F310" s="449"/>
      <c r="H310" s="449"/>
      <c r="I310" s="449"/>
      <c r="J310" s="461"/>
      <c r="K310" s="461"/>
      <c r="L310" s="449"/>
      <c r="M310" s="449"/>
      <c r="N310" s="50"/>
      <c r="O310" s="50"/>
      <c r="P310" s="449"/>
      <c r="Q310" s="449"/>
      <c r="R310" s="449"/>
      <c r="T310" s="56"/>
      <c r="V310" s="379"/>
      <c r="Y310" s="379"/>
      <c r="Z310" s="59"/>
      <c r="AA310" s="379"/>
      <c r="AB310" s="379"/>
      <c r="AC310" s="50"/>
      <c r="AD310" s="50"/>
      <c r="AE310" s="53"/>
      <c r="AF310" s="53"/>
      <c r="AG310" s="156"/>
      <c r="AH310" s="60"/>
      <c r="AI310" s="379"/>
      <c r="AJ310" s="379"/>
      <c r="AK310" s="156"/>
      <c r="AL310" s="379"/>
      <c r="AM310" s="50"/>
      <c r="AN310" s="50"/>
    </row>
    <row r="311" spans="1:40" x14ac:dyDescent="0.25">
      <c r="F311" s="63"/>
      <c r="H311" s="63"/>
      <c r="I311" s="63"/>
      <c r="J311" s="464"/>
      <c r="K311" s="464"/>
      <c r="L311" s="63"/>
      <c r="M311" s="63"/>
      <c r="N311" s="63"/>
      <c r="O311" s="63"/>
      <c r="P311" s="63"/>
      <c r="Q311" s="63"/>
      <c r="R311" s="63"/>
      <c r="V311" s="55"/>
      <c r="Y311" s="55"/>
      <c r="AA311" s="55"/>
      <c r="AB311" s="55"/>
      <c r="AC311" s="55"/>
      <c r="AD311" s="55"/>
      <c r="AE311" s="55"/>
      <c r="AF311" s="55"/>
      <c r="AG311" s="154"/>
      <c r="AH311" s="55"/>
      <c r="AI311" s="55"/>
      <c r="AJ311" s="55"/>
      <c r="AK311" s="154"/>
      <c r="AL311" s="55"/>
      <c r="AM311" s="55"/>
      <c r="AN311" s="55"/>
    </row>
    <row r="312" spans="1:40" x14ac:dyDescent="0.25">
      <c r="F312" s="449"/>
      <c r="H312" s="449"/>
      <c r="I312" s="449"/>
      <c r="J312" s="477"/>
      <c r="K312" s="477"/>
      <c r="L312" s="379"/>
      <c r="M312" s="379"/>
      <c r="N312" s="50"/>
      <c r="O312" s="50"/>
      <c r="P312" s="379"/>
      <c r="Q312" s="379"/>
      <c r="R312" s="379"/>
    </row>
    <row r="313" spans="1:40" x14ac:dyDescent="0.25">
      <c r="A313" s="54"/>
      <c r="F313" s="449"/>
      <c r="H313" s="449"/>
      <c r="I313" s="449"/>
      <c r="J313" s="461"/>
      <c r="K313" s="461"/>
      <c r="L313" s="379"/>
      <c r="M313" s="379"/>
      <c r="N313" s="50"/>
      <c r="O313" s="50"/>
      <c r="P313" s="379"/>
      <c r="Q313" s="379"/>
      <c r="R313" s="379"/>
    </row>
    <row r="314" spans="1:40" x14ac:dyDescent="0.25">
      <c r="F314" s="449"/>
      <c r="H314" s="449"/>
      <c r="I314" s="449"/>
      <c r="J314" s="461"/>
      <c r="K314" s="461"/>
      <c r="L314" s="379"/>
      <c r="M314" s="379"/>
      <c r="N314" s="50"/>
      <c r="O314" s="50"/>
      <c r="P314" s="379"/>
      <c r="Q314" s="379"/>
      <c r="R314" s="379"/>
    </row>
    <row r="315" spans="1:40" x14ac:dyDescent="0.25">
      <c r="A315" s="54"/>
    </row>
    <row r="317" spans="1:40" x14ac:dyDescent="0.25">
      <c r="J317" s="53"/>
      <c r="K317" s="53"/>
      <c r="Z317" s="53"/>
    </row>
    <row r="318" spans="1:40" x14ac:dyDescent="0.25">
      <c r="H318" s="54"/>
      <c r="I318" s="54"/>
      <c r="Y318" s="54"/>
    </row>
    <row r="319" spans="1:40" x14ac:dyDescent="0.25">
      <c r="J319" s="53"/>
      <c r="K319" s="53"/>
      <c r="Z319" s="53"/>
    </row>
    <row r="320" spans="1:40" x14ac:dyDescent="0.25">
      <c r="L320" s="54"/>
      <c r="M320" s="54"/>
      <c r="AA320" s="54"/>
      <c r="AB320" s="54"/>
    </row>
    <row r="321" spans="1:40" x14ac:dyDescent="0.25">
      <c r="A321" s="53"/>
      <c r="R321" s="54"/>
      <c r="AK321" s="161"/>
      <c r="AL321" s="54"/>
    </row>
    <row r="322" spans="1:40" x14ac:dyDescent="0.25">
      <c r="A322" s="53"/>
      <c r="R322" s="54"/>
      <c r="AK322" s="161"/>
      <c r="AL322" s="54"/>
    </row>
    <row r="323" spans="1:40" x14ac:dyDescent="0.25">
      <c r="A323" s="54"/>
      <c r="R323" s="54"/>
      <c r="AK323" s="161"/>
      <c r="AL323" s="54"/>
    </row>
    <row r="324" spans="1:40" x14ac:dyDescent="0.25">
      <c r="L324" s="54"/>
      <c r="M324" s="54"/>
      <c r="R324" s="53"/>
      <c r="AA324" s="54"/>
      <c r="AB324" s="54"/>
      <c r="AK324" s="156"/>
      <c r="AL324" s="53"/>
    </row>
    <row r="325" spans="1:40" x14ac:dyDescent="0.25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154"/>
      <c r="AH325" s="55"/>
      <c r="AI325" s="55"/>
      <c r="AJ325" s="55"/>
      <c r="AK325" s="154"/>
      <c r="AL325" s="55"/>
      <c r="AM325" s="55"/>
      <c r="AN325" s="55"/>
    </row>
    <row r="326" spans="1:40" x14ac:dyDescent="0.25">
      <c r="L326" s="56"/>
      <c r="M326" s="56"/>
      <c r="N326" s="56"/>
      <c r="O326" s="56"/>
      <c r="R326" s="56"/>
      <c r="AA326" s="56"/>
      <c r="AB326" s="56"/>
      <c r="AC326" s="56"/>
      <c r="AD326" s="56"/>
      <c r="AE326" s="56"/>
      <c r="AF326" s="56"/>
      <c r="AG326" s="155"/>
      <c r="AH326" s="56"/>
      <c r="AK326" s="155"/>
      <c r="AL326" s="56"/>
      <c r="AM326" s="56"/>
      <c r="AN326" s="56"/>
    </row>
    <row r="327" spans="1:40" x14ac:dyDescent="0.25">
      <c r="L327" s="56"/>
      <c r="M327" s="56"/>
      <c r="N327" s="56"/>
      <c r="O327" s="56"/>
      <c r="R327" s="56"/>
      <c r="Z327" s="56"/>
      <c r="AA327" s="56"/>
      <c r="AB327" s="56"/>
      <c r="AC327" s="56"/>
      <c r="AD327" s="56"/>
      <c r="AE327" s="56"/>
      <c r="AF327" s="56"/>
      <c r="AG327" s="155"/>
      <c r="AH327" s="56"/>
      <c r="AK327" s="155"/>
      <c r="AL327" s="56"/>
      <c r="AM327" s="56"/>
      <c r="AN327" s="56"/>
    </row>
    <row r="328" spans="1:40" x14ac:dyDescent="0.25">
      <c r="A328" s="56"/>
      <c r="C328" s="56"/>
      <c r="D328" s="56"/>
      <c r="E328" s="56"/>
      <c r="F328" s="56"/>
      <c r="J328" s="56"/>
      <c r="K328" s="56"/>
      <c r="L328" s="56"/>
      <c r="M328" s="56"/>
      <c r="N328" s="56"/>
      <c r="O328" s="56"/>
      <c r="P328" s="56"/>
      <c r="Q328" s="56"/>
      <c r="R328" s="56"/>
      <c r="T328" s="56"/>
      <c r="U328" s="56"/>
      <c r="V328" s="56"/>
      <c r="Z328" s="56"/>
      <c r="AA328" s="56"/>
      <c r="AB328" s="56"/>
      <c r="AC328" s="56"/>
      <c r="AD328" s="56"/>
      <c r="AE328" s="56"/>
      <c r="AF328" s="56"/>
      <c r="AG328" s="155"/>
      <c r="AH328" s="56"/>
      <c r="AI328" s="56"/>
      <c r="AJ328" s="56"/>
      <c r="AK328" s="155"/>
      <c r="AL328" s="56"/>
      <c r="AM328" s="56"/>
      <c r="AN328" s="56"/>
    </row>
    <row r="329" spans="1:40" x14ac:dyDescent="0.25">
      <c r="A329" s="56"/>
      <c r="C329" s="56"/>
      <c r="D329" s="56"/>
      <c r="E329" s="56"/>
      <c r="F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T329" s="56"/>
      <c r="U329" s="56"/>
      <c r="V329" s="56"/>
      <c r="Y329" s="56"/>
      <c r="Z329" s="56"/>
      <c r="AA329" s="56"/>
      <c r="AB329" s="56"/>
      <c r="AC329" s="56"/>
      <c r="AD329" s="56"/>
      <c r="AE329" s="56"/>
      <c r="AF329" s="56"/>
      <c r="AG329" s="155"/>
      <c r="AH329" s="56"/>
      <c r="AI329" s="56"/>
      <c r="AJ329" s="56"/>
      <c r="AK329" s="155"/>
      <c r="AL329" s="56"/>
      <c r="AM329" s="56"/>
      <c r="AN329" s="56"/>
    </row>
    <row r="330" spans="1:40" x14ac:dyDescent="0.25">
      <c r="C330" s="56"/>
      <c r="D330" s="56"/>
      <c r="E330" s="56"/>
      <c r="F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T330" s="56"/>
      <c r="U330" s="56"/>
      <c r="V330" s="56"/>
      <c r="Y330" s="56"/>
      <c r="Z330" s="56"/>
      <c r="AA330" s="56"/>
      <c r="AB330" s="56"/>
      <c r="AC330" s="56"/>
      <c r="AD330" s="56"/>
      <c r="AE330" s="56"/>
      <c r="AF330" s="56"/>
      <c r="AG330" s="155"/>
      <c r="AH330" s="56"/>
      <c r="AI330" s="56"/>
      <c r="AJ330" s="56"/>
      <c r="AK330" s="155"/>
      <c r="AL330" s="56"/>
      <c r="AM330" s="56"/>
      <c r="AN330" s="56"/>
    </row>
    <row r="331" spans="1:40" x14ac:dyDescent="0.25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154"/>
      <c r="AH331" s="55"/>
      <c r="AI331" s="55"/>
      <c r="AJ331" s="55"/>
      <c r="AK331" s="154"/>
      <c r="AL331" s="55"/>
      <c r="AM331" s="55"/>
      <c r="AN331" s="55"/>
    </row>
    <row r="332" spans="1:40" x14ac:dyDescent="0.25"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Y332" s="56"/>
      <c r="Z332" s="56"/>
      <c r="AA332" s="56"/>
      <c r="AB332" s="56"/>
      <c r="AC332" s="56"/>
      <c r="AD332" s="56"/>
      <c r="AE332" s="56"/>
      <c r="AF332" s="56"/>
      <c r="AG332" s="155"/>
      <c r="AH332" s="56"/>
      <c r="AI332" s="56"/>
      <c r="AJ332" s="56"/>
      <c r="AK332" s="155"/>
      <c r="AL332" s="56"/>
      <c r="AM332" s="56"/>
      <c r="AN332" s="56"/>
    </row>
    <row r="333" spans="1:40" x14ac:dyDescent="0.25">
      <c r="A333" s="53"/>
      <c r="C333" s="54"/>
      <c r="D333" s="54"/>
      <c r="E333" s="54"/>
      <c r="T333" s="54"/>
      <c r="U333" s="54"/>
    </row>
    <row r="335" spans="1:40" x14ac:dyDescent="0.25">
      <c r="A335" s="53"/>
      <c r="C335" s="54"/>
      <c r="T335" s="54"/>
    </row>
    <row r="336" spans="1:40" x14ac:dyDescent="0.25">
      <c r="A336" s="53"/>
      <c r="C336" s="54"/>
      <c r="F336" s="449"/>
      <c r="H336" s="449"/>
      <c r="I336" s="449"/>
      <c r="J336" s="464"/>
      <c r="K336" s="464"/>
      <c r="L336" s="379"/>
      <c r="M336" s="379"/>
      <c r="N336" s="50"/>
      <c r="O336" s="50"/>
      <c r="P336" s="379"/>
      <c r="Q336" s="379"/>
      <c r="R336" s="379"/>
      <c r="T336" s="54"/>
      <c r="V336" s="449"/>
      <c r="Y336" s="449"/>
      <c r="Z336" s="464"/>
      <c r="AA336" s="379"/>
      <c r="AB336" s="379"/>
      <c r="AC336" s="50"/>
      <c r="AD336" s="50"/>
      <c r="AE336" s="379"/>
      <c r="AF336" s="379"/>
      <c r="AG336" s="156"/>
      <c r="AH336" s="60"/>
      <c r="AI336" s="379"/>
      <c r="AJ336" s="379"/>
      <c r="AK336" s="156"/>
      <c r="AL336" s="379"/>
      <c r="AM336" s="50"/>
      <c r="AN336" s="50"/>
    </row>
    <row r="337" spans="1:40" x14ac:dyDescent="0.25">
      <c r="A337" s="53"/>
      <c r="C337" s="54"/>
      <c r="T337" s="54"/>
    </row>
    <row r="338" spans="1:40" x14ac:dyDescent="0.25">
      <c r="A338" s="53"/>
      <c r="C338" s="54"/>
      <c r="F338" s="449"/>
      <c r="H338" s="449"/>
      <c r="I338" s="449"/>
      <c r="J338" s="221"/>
      <c r="K338" s="221"/>
      <c r="L338" s="379"/>
      <c r="M338" s="379"/>
      <c r="N338" s="50"/>
      <c r="O338" s="50"/>
      <c r="P338" s="379"/>
      <c r="Q338" s="379"/>
      <c r="R338" s="379"/>
      <c r="T338" s="54"/>
      <c r="V338" s="379"/>
      <c r="Y338" s="379"/>
      <c r="Z338" s="221"/>
      <c r="AA338" s="379"/>
      <c r="AB338" s="379"/>
      <c r="AC338" s="50"/>
      <c r="AD338" s="50"/>
      <c r="AE338" s="379"/>
      <c r="AF338" s="379"/>
      <c r="AG338" s="156"/>
      <c r="AH338" s="60"/>
      <c r="AI338" s="379"/>
      <c r="AJ338" s="379"/>
      <c r="AK338" s="156"/>
      <c r="AL338" s="379"/>
      <c r="AM338" s="50"/>
      <c r="AN338" s="50"/>
    </row>
    <row r="339" spans="1:40" x14ac:dyDescent="0.25">
      <c r="A339" s="53"/>
      <c r="C339" s="54"/>
      <c r="F339" s="449"/>
      <c r="H339" s="449"/>
      <c r="I339" s="449"/>
      <c r="J339" s="221"/>
      <c r="K339" s="221"/>
      <c r="L339" s="379"/>
      <c r="M339" s="379"/>
      <c r="N339" s="50"/>
      <c r="O339" s="50"/>
      <c r="P339" s="379"/>
      <c r="Q339" s="379"/>
      <c r="R339" s="379"/>
      <c r="T339" s="54"/>
      <c r="V339" s="379"/>
      <c r="Y339" s="379"/>
      <c r="Z339" s="221"/>
      <c r="AA339" s="379"/>
      <c r="AB339" s="379"/>
      <c r="AC339" s="50"/>
      <c r="AD339" s="50"/>
      <c r="AE339" s="379"/>
      <c r="AF339" s="379"/>
      <c r="AG339" s="156"/>
      <c r="AH339" s="60"/>
      <c r="AI339" s="379"/>
      <c r="AJ339" s="379"/>
      <c r="AK339" s="156"/>
      <c r="AL339" s="379"/>
      <c r="AM339" s="50"/>
      <c r="AN339" s="50"/>
    </row>
    <row r="340" spans="1:40" x14ac:dyDescent="0.25">
      <c r="A340" s="53"/>
      <c r="C340" s="54"/>
      <c r="F340" s="449"/>
      <c r="H340" s="449"/>
      <c r="I340" s="449"/>
      <c r="J340" s="221"/>
      <c r="K340" s="221"/>
      <c r="L340" s="379"/>
      <c r="M340" s="379"/>
      <c r="N340" s="50"/>
      <c r="O340" s="50"/>
      <c r="P340" s="379"/>
      <c r="Q340" s="379"/>
      <c r="R340" s="379"/>
      <c r="T340" s="54"/>
      <c r="V340" s="379"/>
      <c r="Y340" s="379"/>
      <c r="Z340" s="221"/>
      <c r="AA340" s="379"/>
      <c r="AB340" s="379"/>
      <c r="AC340" s="50"/>
      <c r="AD340" s="50"/>
      <c r="AE340" s="379"/>
      <c r="AF340" s="379"/>
      <c r="AG340" s="156"/>
      <c r="AH340" s="60"/>
      <c r="AI340" s="379"/>
      <c r="AJ340" s="379"/>
      <c r="AK340" s="156"/>
      <c r="AL340" s="379"/>
      <c r="AM340" s="50"/>
      <c r="AN340" s="50"/>
    </row>
    <row r="341" spans="1:40" x14ac:dyDescent="0.25">
      <c r="A341" s="53"/>
      <c r="C341" s="54"/>
      <c r="F341" s="449"/>
      <c r="H341" s="449"/>
      <c r="I341" s="449"/>
      <c r="J341" s="221"/>
      <c r="K341" s="221"/>
      <c r="L341" s="379"/>
      <c r="M341" s="379"/>
      <c r="N341" s="50"/>
      <c r="O341" s="50"/>
      <c r="P341" s="379"/>
      <c r="Q341" s="379"/>
      <c r="R341" s="379"/>
      <c r="T341" s="54"/>
      <c r="V341" s="379"/>
      <c r="Y341" s="379"/>
      <c r="Z341" s="221"/>
      <c r="AA341" s="379"/>
      <c r="AB341" s="379"/>
      <c r="AC341" s="50"/>
      <c r="AD341" s="50"/>
      <c r="AE341" s="379"/>
      <c r="AF341" s="379"/>
      <c r="AG341" s="156"/>
      <c r="AH341" s="60"/>
      <c r="AI341" s="379"/>
      <c r="AJ341" s="379"/>
      <c r="AK341" s="156"/>
      <c r="AL341" s="379"/>
      <c r="AM341" s="50"/>
      <c r="AN341" s="50"/>
    </row>
    <row r="342" spans="1:40" x14ac:dyDescent="0.25">
      <c r="A342" s="53"/>
      <c r="C342" s="54"/>
      <c r="J342" s="65"/>
      <c r="K342" s="65"/>
      <c r="T342" s="54"/>
      <c r="Z342" s="65"/>
    </row>
    <row r="343" spans="1:40" x14ac:dyDescent="0.25">
      <c r="A343" s="53"/>
      <c r="C343" s="54"/>
      <c r="F343" s="449"/>
      <c r="H343" s="449"/>
      <c r="I343" s="449"/>
      <c r="J343" s="221"/>
      <c r="K343" s="221"/>
      <c r="L343" s="379"/>
      <c r="M343" s="379"/>
      <c r="N343" s="50"/>
      <c r="O343" s="50"/>
      <c r="P343" s="379"/>
      <c r="Q343" s="379"/>
      <c r="R343" s="379"/>
      <c r="T343" s="54"/>
      <c r="V343" s="379"/>
      <c r="Y343" s="379"/>
      <c r="Z343" s="221"/>
      <c r="AA343" s="379"/>
      <c r="AB343" s="379"/>
      <c r="AC343" s="50"/>
      <c r="AD343" s="50"/>
      <c r="AE343" s="379"/>
      <c r="AF343" s="379"/>
      <c r="AG343" s="156"/>
      <c r="AH343" s="60"/>
      <c r="AI343" s="379"/>
      <c r="AJ343" s="379"/>
      <c r="AK343" s="156"/>
      <c r="AL343" s="379"/>
      <c r="AM343" s="50"/>
      <c r="AN343" s="50"/>
    </row>
    <row r="344" spans="1:40" x14ac:dyDescent="0.25">
      <c r="A344" s="53"/>
      <c r="C344" s="54"/>
      <c r="F344" s="449"/>
      <c r="H344" s="449"/>
      <c r="I344" s="449"/>
      <c r="J344" s="221"/>
      <c r="K344" s="221"/>
      <c r="L344" s="379"/>
      <c r="M344" s="379"/>
      <c r="N344" s="50"/>
      <c r="O344" s="50"/>
      <c r="P344" s="379"/>
      <c r="Q344" s="379"/>
      <c r="R344" s="379"/>
      <c r="T344" s="54"/>
      <c r="V344" s="379"/>
      <c r="Y344" s="379"/>
      <c r="Z344" s="221"/>
      <c r="AA344" s="379"/>
      <c r="AB344" s="379"/>
      <c r="AC344" s="50"/>
      <c r="AD344" s="50"/>
      <c r="AE344" s="379"/>
      <c r="AF344" s="379"/>
      <c r="AG344" s="156"/>
      <c r="AH344" s="60"/>
      <c r="AI344" s="379"/>
      <c r="AJ344" s="379"/>
      <c r="AK344" s="156"/>
      <c r="AL344" s="379"/>
      <c r="AM344" s="50"/>
      <c r="AN344" s="50"/>
    </row>
    <row r="345" spans="1:40" x14ac:dyDescent="0.25">
      <c r="A345" s="53"/>
      <c r="C345" s="54"/>
      <c r="F345" s="449"/>
      <c r="H345" s="449"/>
      <c r="I345" s="449"/>
      <c r="J345" s="221"/>
      <c r="K345" s="221"/>
      <c r="L345" s="379"/>
      <c r="M345" s="379"/>
      <c r="N345" s="50"/>
      <c r="O345" s="50"/>
      <c r="P345" s="379"/>
      <c r="Q345" s="379"/>
      <c r="R345" s="379"/>
      <c r="T345" s="54"/>
      <c r="V345" s="379"/>
      <c r="Y345" s="379"/>
      <c r="Z345" s="221"/>
      <c r="AA345" s="379"/>
      <c r="AB345" s="379"/>
      <c r="AC345" s="50"/>
      <c r="AD345" s="50"/>
      <c r="AE345" s="379"/>
      <c r="AF345" s="379"/>
      <c r="AG345" s="156"/>
      <c r="AH345" s="60"/>
      <c r="AI345" s="379"/>
      <c r="AJ345" s="379"/>
      <c r="AK345" s="156"/>
      <c r="AL345" s="379"/>
      <c r="AM345" s="50"/>
      <c r="AN345" s="50"/>
    </row>
    <row r="346" spans="1:40" x14ac:dyDescent="0.25">
      <c r="A346" s="53"/>
      <c r="C346" s="54"/>
      <c r="J346" s="65"/>
      <c r="K346" s="65"/>
      <c r="T346" s="54"/>
      <c r="Z346" s="65"/>
    </row>
    <row r="347" spans="1:40" x14ac:dyDescent="0.25">
      <c r="A347" s="53"/>
      <c r="C347" s="54"/>
      <c r="F347" s="449"/>
      <c r="H347" s="449"/>
      <c r="I347" s="449"/>
      <c r="J347" s="221"/>
      <c r="K347" s="221"/>
      <c r="L347" s="379"/>
      <c r="M347" s="379"/>
      <c r="N347" s="50"/>
      <c r="O347" s="50"/>
      <c r="P347" s="379"/>
      <c r="Q347" s="379"/>
      <c r="R347" s="379"/>
      <c r="T347" s="54"/>
      <c r="V347" s="379"/>
      <c r="Y347" s="379"/>
      <c r="Z347" s="221"/>
      <c r="AA347" s="379"/>
      <c r="AB347" s="379"/>
      <c r="AC347" s="50"/>
      <c r="AD347" s="50"/>
      <c r="AE347" s="379"/>
      <c r="AF347" s="379"/>
      <c r="AG347" s="156"/>
      <c r="AH347" s="60"/>
      <c r="AI347" s="379"/>
      <c r="AJ347" s="379"/>
      <c r="AK347" s="156"/>
      <c r="AL347" s="379"/>
      <c r="AM347" s="50"/>
      <c r="AN347" s="50"/>
    </row>
    <row r="348" spans="1:40" x14ac:dyDescent="0.25">
      <c r="A348" s="53"/>
      <c r="C348" s="54"/>
      <c r="F348" s="449"/>
      <c r="H348" s="449"/>
      <c r="I348" s="449"/>
      <c r="J348" s="221"/>
      <c r="K348" s="221"/>
      <c r="L348" s="379"/>
      <c r="M348" s="379"/>
      <c r="N348" s="50"/>
      <c r="O348" s="50"/>
      <c r="P348" s="379"/>
      <c r="Q348" s="379"/>
      <c r="R348" s="379"/>
      <c r="T348" s="54"/>
      <c r="V348" s="379"/>
      <c r="Y348" s="379"/>
      <c r="Z348" s="221"/>
      <c r="AA348" s="379"/>
      <c r="AB348" s="379"/>
      <c r="AC348" s="50"/>
      <c r="AD348" s="50"/>
      <c r="AE348" s="379"/>
      <c r="AF348" s="379"/>
      <c r="AG348" s="156"/>
      <c r="AH348" s="60"/>
      <c r="AI348" s="379"/>
      <c r="AJ348" s="379"/>
      <c r="AK348" s="156"/>
      <c r="AL348" s="379"/>
      <c r="AM348" s="50"/>
      <c r="AN348" s="50"/>
    </row>
    <row r="349" spans="1:40" x14ac:dyDescent="0.25">
      <c r="A349" s="53"/>
      <c r="C349" s="54"/>
      <c r="J349" s="65"/>
      <c r="K349" s="65"/>
      <c r="T349" s="54"/>
      <c r="Z349" s="65"/>
    </row>
    <row r="350" spans="1:40" x14ac:dyDescent="0.25">
      <c r="A350" s="53"/>
      <c r="C350" s="54"/>
      <c r="F350" s="449"/>
      <c r="H350" s="449"/>
      <c r="I350" s="449"/>
      <c r="J350" s="221"/>
      <c r="K350" s="221"/>
      <c r="L350" s="379"/>
      <c r="M350" s="379"/>
      <c r="N350" s="50"/>
      <c r="O350" s="50"/>
      <c r="P350" s="379"/>
      <c r="Q350" s="379"/>
      <c r="R350" s="379"/>
      <c r="T350" s="54"/>
      <c r="V350" s="379"/>
      <c r="Y350" s="379"/>
      <c r="Z350" s="221"/>
      <c r="AA350" s="379"/>
      <c r="AB350" s="379"/>
      <c r="AC350" s="50"/>
      <c r="AD350" s="50"/>
      <c r="AE350" s="379"/>
      <c r="AF350" s="379"/>
      <c r="AG350" s="156"/>
      <c r="AH350" s="60"/>
      <c r="AI350" s="379"/>
      <c r="AJ350" s="379"/>
      <c r="AK350" s="156"/>
      <c r="AL350" s="379"/>
      <c r="AM350" s="50"/>
      <c r="AN350" s="50"/>
    </row>
    <row r="351" spans="1:40" x14ac:dyDescent="0.25">
      <c r="A351" s="53"/>
      <c r="C351" s="54"/>
      <c r="F351" s="449"/>
      <c r="H351" s="449"/>
      <c r="I351" s="449"/>
      <c r="J351" s="221"/>
      <c r="K351" s="221"/>
      <c r="L351" s="379"/>
      <c r="M351" s="379"/>
      <c r="N351" s="50"/>
      <c r="O351" s="50"/>
      <c r="P351" s="379"/>
      <c r="Q351" s="379"/>
      <c r="R351" s="379"/>
      <c r="T351" s="54"/>
      <c r="V351" s="379"/>
      <c r="Y351" s="379"/>
      <c r="Z351" s="221"/>
      <c r="AA351" s="379"/>
      <c r="AB351" s="379"/>
      <c r="AC351" s="50"/>
      <c r="AD351" s="50"/>
      <c r="AE351" s="379"/>
      <c r="AF351" s="379"/>
      <c r="AG351" s="156"/>
      <c r="AH351" s="60"/>
      <c r="AI351" s="379"/>
      <c r="AJ351" s="379"/>
      <c r="AK351" s="156"/>
      <c r="AL351" s="379"/>
      <c r="AM351" s="50"/>
      <c r="AN351" s="50"/>
    </row>
    <row r="352" spans="1:40" x14ac:dyDescent="0.25">
      <c r="A352" s="53"/>
      <c r="C352" s="54"/>
      <c r="F352" s="449"/>
      <c r="H352" s="449"/>
      <c r="I352" s="449"/>
      <c r="J352" s="221"/>
      <c r="K352" s="221"/>
      <c r="L352" s="379"/>
      <c r="M352" s="379"/>
      <c r="N352" s="50"/>
      <c r="O352" s="50"/>
      <c r="P352" s="379"/>
      <c r="Q352" s="379"/>
      <c r="R352" s="379"/>
      <c r="T352" s="54"/>
      <c r="V352" s="379"/>
      <c r="Y352" s="379"/>
      <c r="Z352" s="221"/>
      <c r="AA352" s="379"/>
      <c r="AB352" s="379"/>
      <c r="AC352" s="50"/>
      <c r="AD352" s="50"/>
      <c r="AE352" s="379"/>
      <c r="AF352" s="379"/>
      <c r="AG352" s="156"/>
      <c r="AH352" s="60"/>
      <c r="AI352" s="379"/>
      <c r="AJ352" s="379"/>
      <c r="AK352" s="156"/>
      <c r="AL352" s="379"/>
      <c r="AM352" s="50"/>
      <c r="AN352" s="50"/>
    </row>
    <row r="353" spans="1:40" x14ac:dyDescent="0.25">
      <c r="F353" s="381"/>
      <c r="H353" s="381"/>
      <c r="I353" s="381"/>
      <c r="J353" s="221"/>
      <c r="K353" s="221"/>
      <c r="L353" s="381"/>
      <c r="M353" s="381"/>
      <c r="N353" s="381"/>
      <c r="O353" s="381"/>
      <c r="P353" s="381"/>
      <c r="Q353" s="381"/>
      <c r="R353" s="381"/>
      <c r="V353" s="381"/>
      <c r="Y353" s="381"/>
      <c r="Z353" s="221"/>
      <c r="AA353" s="381"/>
      <c r="AB353" s="381"/>
      <c r="AC353" s="381"/>
      <c r="AD353" s="381"/>
      <c r="AE353" s="381"/>
      <c r="AF353" s="381"/>
      <c r="AI353" s="381"/>
      <c r="AJ353" s="381"/>
      <c r="AK353" s="162"/>
      <c r="AL353" s="381"/>
    </row>
    <row r="354" spans="1:40" x14ac:dyDescent="0.25">
      <c r="A354" s="53"/>
      <c r="C354" s="56"/>
      <c r="F354" s="379"/>
      <c r="H354" s="379"/>
      <c r="I354" s="379"/>
      <c r="J354" s="65"/>
      <c r="K354" s="65"/>
      <c r="L354" s="379"/>
      <c r="M354" s="379"/>
      <c r="N354" s="60"/>
      <c r="O354" s="60"/>
      <c r="P354" s="379"/>
      <c r="Q354" s="379"/>
      <c r="R354" s="379"/>
      <c r="T354" s="56"/>
      <c r="V354" s="379"/>
      <c r="Y354" s="379"/>
      <c r="Z354" s="65"/>
      <c r="AA354" s="379"/>
      <c r="AB354" s="379"/>
      <c r="AC354" s="379"/>
      <c r="AD354" s="379"/>
      <c r="AE354" s="379"/>
      <c r="AF354" s="379"/>
      <c r="AG354" s="156"/>
      <c r="AH354" s="60"/>
      <c r="AI354" s="379"/>
      <c r="AJ354" s="379"/>
      <c r="AK354" s="156"/>
      <c r="AL354" s="379"/>
      <c r="AM354" s="50"/>
      <c r="AN354" s="50"/>
    </row>
    <row r="355" spans="1:40" x14ac:dyDescent="0.25">
      <c r="F355" s="381"/>
      <c r="H355" s="381"/>
      <c r="I355" s="381"/>
      <c r="J355" s="221"/>
      <c r="K355" s="221"/>
      <c r="L355" s="381"/>
      <c r="M355" s="381"/>
      <c r="N355" s="381"/>
      <c r="O355" s="381"/>
      <c r="P355" s="381"/>
      <c r="Q355" s="381"/>
      <c r="R355" s="381"/>
      <c r="V355" s="381"/>
      <c r="Y355" s="381"/>
      <c r="Z355" s="221"/>
      <c r="AA355" s="381"/>
      <c r="AB355" s="381"/>
      <c r="AC355" s="381"/>
      <c r="AD355" s="381"/>
      <c r="AE355" s="381"/>
      <c r="AF355" s="381"/>
      <c r="AI355" s="381"/>
      <c r="AJ355" s="381"/>
      <c r="AK355" s="162"/>
      <c r="AL355" s="381"/>
    </row>
    <row r="356" spans="1:40" x14ac:dyDescent="0.25">
      <c r="A356" s="53"/>
      <c r="C356" s="54"/>
      <c r="J356" s="65"/>
      <c r="K356" s="65"/>
      <c r="T356" s="54"/>
      <c r="Z356" s="65"/>
    </row>
    <row r="357" spans="1:40" x14ac:dyDescent="0.25">
      <c r="A357" s="53"/>
      <c r="C357" s="54"/>
      <c r="J357" s="65"/>
      <c r="K357" s="65"/>
      <c r="T357" s="54"/>
      <c r="Z357" s="65"/>
    </row>
    <row r="358" spans="1:40" x14ac:dyDescent="0.25">
      <c r="A358" s="53"/>
      <c r="C358" s="54"/>
      <c r="F358" s="449"/>
      <c r="H358" s="449"/>
      <c r="I358" s="449"/>
      <c r="J358" s="221"/>
      <c r="K358" s="221"/>
      <c r="L358" s="379"/>
      <c r="M358" s="379"/>
      <c r="N358" s="50"/>
      <c r="O358" s="50"/>
      <c r="P358" s="379"/>
      <c r="Q358" s="379"/>
      <c r="R358" s="379"/>
      <c r="T358" s="54"/>
      <c r="V358" s="379"/>
      <c r="Y358" s="379"/>
      <c r="Z358" s="221"/>
      <c r="AA358" s="379"/>
      <c r="AB358" s="379"/>
      <c r="AC358" s="50"/>
      <c r="AD358" s="50"/>
      <c r="AE358" s="379"/>
      <c r="AF358" s="379"/>
      <c r="AG358" s="156"/>
      <c r="AH358" s="60"/>
      <c r="AI358" s="379"/>
      <c r="AJ358" s="379"/>
      <c r="AK358" s="156"/>
      <c r="AL358" s="379"/>
      <c r="AM358" s="50"/>
      <c r="AN358" s="50"/>
    </row>
    <row r="359" spans="1:40" x14ac:dyDescent="0.25">
      <c r="A359" s="53"/>
      <c r="C359" s="54"/>
      <c r="F359" s="449"/>
      <c r="H359" s="449"/>
      <c r="I359" s="449"/>
      <c r="J359" s="221"/>
      <c r="K359" s="221"/>
      <c r="L359" s="379"/>
      <c r="M359" s="379"/>
      <c r="N359" s="50"/>
      <c r="O359" s="50"/>
      <c r="P359" s="379"/>
      <c r="Q359" s="379"/>
      <c r="R359" s="379"/>
      <c r="T359" s="54"/>
      <c r="V359" s="379"/>
      <c r="Y359" s="379"/>
      <c r="Z359" s="221"/>
      <c r="AA359" s="379"/>
      <c r="AB359" s="379"/>
      <c r="AC359" s="50"/>
      <c r="AD359" s="50"/>
      <c r="AE359" s="379"/>
      <c r="AF359" s="379"/>
      <c r="AG359" s="156"/>
      <c r="AH359" s="60"/>
      <c r="AI359" s="379"/>
      <c r="AJ359" s="379"/>
      <c r="AK359" s="156"/>
      <c r="AL359" s="379"/>
      <c r="AM359" s="50"/>
      <c r="AN359" s="50"/>
    </row>
    <row r="360" spans="1:40" x14ac:dyDescent="0.25">
      <c r="A360" s="53"/>
      <c r="C360" s="54"/>
      <c r="F360" s="449"/>
      <c r="H360" s="449"/>
      <c r="I360" s="449"/>
      <c r="J360" s="221"/>
      <c r="K360" s="221"/>
      <c r="L360" s="379"/>
      <c r="M360" s="379"/>
      <c r="N360" s="50"/>
      <c r="O360" s="50"/>
      <c r="P360" s="379"/>
      <c r="Q360" s="379"/>
      <c r="R360" s="379"/>
      <c r="T360" s="54"/>
      <c r="V360" s="379"/>
      <c r="Y360" s="379"/>
      <c r="Z360" s="221"/>
      <c r="AA360" s="379"/>
      <c r="AB360" s="379"/>
      <c r="AC360" s="50"/>
      <c r="AD360" s="50"/>
      <c r="AE360" s="379"/>
      <c r="AF360" s="379"/>
      <c r="AG360" s="156"/>
      <c r="AH360" s="60"/>
      <c r="AI360" s="379"/>
      <c r="AJ360" s="379"/>
      <c r="AK360" s="156"/>
      <c r="AL360" s="379"/>
      <c r="AM360" s="50"/>
      <c r="AN360" s="50"/>
    </row>
    <row r="361" spans="1:40" x14ac:dyDescent="0.25">
      <c r="A361" s="53"/>
      <c r="C361" s="54"/>
      <c r="F361" s="449"/>
      <c r="H361" s="449"/>
      <c r="I361" s="449"/>
      <c r="J361" s="221"/>
      <c r="K361" s="221"/>
      <c r="L361" s="379"/>
      <c r="M361" s="379"/>
      <c r="N361" s="50"/>
      <c r="O361" s="50"/>
      <c r="P361" s="379"/>
      <c r="Q361" s="379"/>
      <c r="R361" s="379"/>
      <c r="T361" s="54"/>
      <c r="V361" s="379"/>
      <c r="Y361" s="379"/>
      <c r="Z361" s="221"/>
      <c r="AA361" s="379"/>
      <c r="AB361" s="379"/>
      <c r="AC361" s="50"/>
      <c r="AD361" s="50"/>
      <c r="AE361" s="379"/>
      <c r="AF361" s="379"/>
      <c r="AG361" s="156"/>
      <c r="AH361" s="60"/>
      <c r="AI361" s="379"/>
      <c r="AJ361" s="379"/>
      <c r="AK361" s="156"/>
      <c r="AL361" s="379"/>
      <c r="AM361" s="50"/>
      <c r="AN361" s="50"/>
    </row>
    <row r="362" spans="1:40" x14ac:dyDescent="0.25">
      <c r="A362" s="53"/>
      <c r="C362" s="54"/>
      <c r="F362" s="449"/>
      <c r="H362" s="449"/>
      <c r="I362" s="449"/>
      <c r="J362" s="221"/>
      <c r="K362" s="221"/>
      <c r="L362" s="379"/>
      <c r="M362" s="379"/>
      <c r="N362" s="50"/>
      <c r="O362" s="50"/>
      <c r="P362" s="379"/>
      <c r="Q362" s="379"/>
      <c r="R362" s="379"/>
      <c r="T362" s="54"/>
      <c r="V362" s="379"/>
      <c r="Y362" s="379"/>
      <c r="Z362" s="221"/>
      <c r="AA362" s="379"/>
      <c r="AB362" s="379"/>
      <c r="AC362" s="50"/>
      <c r="AD362" s="50"/>
      <c r="AE362" s="379"/>
      <c r="AF362" s="379"/>
      <c r="AG362" s="156"/>
      <c r="AH362" s="60"/>
      <c r="AI362" s="379"/>
      <c r="AJ362" s="379"/>
      <c r="AK362" s="156"/>
      <c r="AL362" s="379"/>
      <c r="AM362" s="50"/>
      <c r="AN362" s="50"/>
    </row>
    <row r="363" spans="1:40" x14ac:dyDescent="0.25">
      <c r="A363" s="53"/>
      <c r="C363" s="54"/>
      <c r="F363" s="449"/>
      <c r="H363" s="449"/>
      <c r="I363" s="449"/>
      <c r="J363" s="221"/>
      <c r="K363" s="221"/>
      <c r="L363" s="379"/>
      <c r="M363" s="379"/>
      <c r="N363" s="50"/>
      <c r="O363" s="50"/>
      <c r="P363" s="379"/>
      <c r="Q363" s="379"/>
      <c r="R363" s="379"/>
      <c r="T363" s="54"/>
      <c r="V363" s="379"/>
      <c r="Y363" s="379"/>
      <c r="Z363" s="221"/>
      <c r="AA363" s="379"/>
      <c r="AB363" s="379"/>
      <c r="AC363" s="50"/>
      <c r="AD363" s="50"/>
      <c r="AE363" s="379"/>
      <c r="AF363" s="379"/>
      <c r="AG363" s="156"/>
      <c r="AH363" s="60"/>
      <c r="AI363" s="379"/>
      <c r="AJ363" s="379"/>
      <c r="AK363" s="156"/>
      <c r="AL363" s="379"/>
      <c r="AM363" s="50"/>
      <c r="AN363" s="50"/>
    </row>
    <row r="364" spans="1:40" x14ac:dyDescent="0.25">
      <c r="A364" s="53"/>
      <c r="C364" s="54"/>
      <c r="F364" s="449"/>
      <c r="H364" s="449"/>
      <c r="I364" s="449"/>
      <c r="J364" s="221"/>
      <c r="K364" s="221"/>
      <c r="L364" s="379"/>
      <c r="M364" s="379"/>
      <c r="N364" s="50"/>
      <c r="O364" s="50"/>
      <c r="P364" s="379"/>
      <c r="Q364" s="379"/>
      <c r="R364" s="379"/>
      <c r="T364" s="54"/>
      <c r="V364" s="379"/>
      <c r="Y364" s="379"/>
      <c r="Z364" s="221"/>
      <c r="AA364" s="379"/>
      <c r="AB364" s="379"/>
      <c r="AC364" s="50"/>
      <c r="AD364" s="50"/>
      <c r="AE364" s="379"/>
      <c r="AF364" s="379"/>
      <c r="AG364" s="156"/>
      <c r="AH364" s="60"/>
      <c r="AI364" s="379"/>
      <c r="AJ364" s="379"/>
      <c r="AK364" s="156"/>
      <c r="AL364" s="379"/>
      <c r="AM364" s="50"/>
      <c r="AN364" s="50"/>
    </row>
    <row r="365" spans="1:40" x14ac:dyDescent="0.25">
      <c r="A365" s="53"/>
      <c r="C365" s="54"/>
      <c r="J365" s="65"/>
      <c r="K365" s="65"/>
      <c r="T365" s="54"/>
      <c r="Z365" s="65"/>
    </row>
    <row r="366" spans="1:40" x14ac:dyDescent="0.25">
      <c r="A366" s="53"/>
      <c r="C366" s="54"/>
      <c r="F366" s="449"/>
      <c r="H366" s="449"/>
      <c r="I366" s="449"/>
      <c r="J366" s="221"/>
      <c r="K366" s="221"/>
      <c r="L366" s="379"/>
      <c r="M366" s="379"/>
      <c r="N366" s="50"/>
      <c r="O366" s="50"/>
      <c r="P366" s="379"/>
      <c r="Q366" s="379"/>
      <c r="R366" s="379"/>
      <c r="T366" s="54"/>
      <c r="V366" s="379"/>
      <c r="Y366" s="379"/>
      <c r="Z366" s="221"/>
      <c r="AA366" s="379"/>
      <c r="AB366" s="379"/>
      <c r="AC366" s="50"/>
      <c r="AD366" s="50"/>
      <c r="AE366" s="379"/>
      <c r="AF366" s="379"/>
      <c r="AG366" s="156"/>
      <c r="AH366" s="60"/>
      <c r="AI366" s="379"/>
      <c r="AJ366" s="379"/>
      <c r="AK366" s="156"/>
      <c r="AL366" s="379"/>
      <c r="AM366" s="50"/>
      <c r="AN366" s="50"/>
    </row>
    <row r="367" spans="1:40" x14ac:dyDescent="0.25">
      <c r="A367" s="53"/>
      <c r="C367" s="54"/>
      <c r="F367" s="449"/>
      <c r="H367" s="449"/>
      <c r="I367" s="449"/>
      <c r="J367" s="221"/>
      <c r="K367" s="221"/>
      <c r="L367" s="379"/>
      <c r="M367" s="379"/>
      <c r="N367" s="50"/>
      <c r="O367" s="50"/>
      <c r="P367" s="379"/>
      <c r="Q367" s="379"/>
      <c r="R367" s="379"/>
      <c r="T367" s="54"/>
      <c r="V367" s="379"/>
      <c r="Y367" s="379"/>
      <c r="Z367" s="221"/>
      <c r="AA367" s="379"/>
      <c r="AB367" s="379"/>
      <c r="AC367" s="50"/>
      <c r="AD367" s="50"/>
      <c r="AE367" s="379"/>
      <c r="AF367" s="379"/>
      <c r="AG367" s="156"/>
      <c r="AH367" s="60"/>
      <c r="AI367" s="379"/>
      <c r="AJ367" s="379"/>
      <c r="AK367" s="156"/>
      <c r="AL367" s="379"/>
      <c r="AM367" s="50"/>
      <c r="AN367" s="50"/>
    </row>
    <row r="368" spans="1:40" x14ac:dyDescent="0.25">
      <c r="A368" s="53"/>
      <c r="C368" s="54"/>
      <c r="F368" s="449"/>
      <c r="H368" s="449"/>
      <c r="I368" s="449"/>
      <c r="J368" s="221"/>
      <c r="K368" s="221"/>
      <c r="L368" s="379"/>
      <c r="M368" s="379"/>
      <c r="N368" s="50"/>
      <c r="O368" s="50"/>
      <c r="P368" s="379"/>
      <c r="Q368" s="379"/>
      <c r="R368" s="379"/>
      <c r="T368" s="54"/>
      <c r="V368" s="379"/>
      <c r="Y368" s="379"/>
      <c r="Z368" s="221"/>
      <c r="AA368" s="379"/>
      <c r="AB368" s="379"/>
      <c r="AC368" s="50"/>
      <c r="AD368" s="50"/>
      <c r="AE368" s="379"/>
      <c r="AF368" s="379"/>
      <c r="AG368" s="156"/>
      <c r="AH368" s="60"/>
      <c r="AI368" s="379"/>
      <c r="AJ368" s="379"/>
      <c r="AK368" s="156"/>
      <c r="AL368" s="379"/>
      <c r="AM368" s="50"/>
      <c r="AN368" s="50"/>
    </row>
    <row r="369" spans="1:40" x14ac:dyDescent="0.25">
      <c r="A369" s="53"/>
      <c r="C369" s="54"/>
      <c r="F369" s="449"/>
      <c r="H369" s="449"/>
      <c r="I369" s="449"/>
      <c r="J369" s="221"/>
      <c r="K369" s="221"/>
      <c r="L369" s="379"/>
      <c r="M369" s="379"/>
      <c r="N369" s="50"/>
      <c r="O369" s="50"/>
      <c r="P369" s="379"/>
      <c r="Q369" s="379"/>
      <c r="R369" s="379"/>
      <c r="T369" s="54"/>
      <c r="V369" s="379"/>
      <c r="Y369" s="379"/>
      <c r="Z369" s="221"/>
      <c r="AA369" s="379"/>
      <c r="AB369" s="379"/>
      <c r="AC369" s="50"/>
      <c r="AD369" s="50"/>
      <c r="AE369" s="379"/>
      <c r="AF369" s="379"/>
      <c r="AG369" s="156"/>
      <c r="AH369" s="60"/>
      <c r="AI369" s="379"/>
      <c r="AJ369" s="379"/>
      <c r="AK369" s="156"/>
      <c r="AL369" s="379"/>
      <c r="AM369" s="50"/>
      <c r="AN369" s="50"/>
    </row>
    <row r="370" spans="1:40" x14ac:dyDescent="0.25">
      <c r="A370" s="53"/>
      <c r="C370" s="54"/>
      <c r="J370" s="65"/>
      <c r="K370" s="65"/>
      <c r="T370" s="54"/>
      <c r="Z370" s="65"/>
    </row>
    <row r="371" spans="1:40" x14ac:dyDescent="0.25">
      <c r="A371" s="53"/>
      <c r="C371" s="54"/>
      <c r="F371" s="449"/>
      <c r="H371" s="449"/>
      <c r="I371" s="449"/>
      <c r="J371" s="221"/>
      <c r="K371" s="221"/>
      <c r="L371" s="379"/>
      <c r="M371" s="379"/>
      <c r="N371" s="50"/>
      <c r="O371" s="50"/>
      <c r="P371" s="379"/>
      <c r="Q371" s="379"/>
      <c r="R371" s="379"/>
      <c r="T371" s="54"/>
      <c r="V371" s="379"/>
      <c r="Y371" s="379"/>
      <c r="Z371" s="221"/>
      <c r="AA371" s="379"/>
      <c r="AB371" s="379"/>
      <c r="AC371" s="50"/>
      <c r="AD371" s="50"/>
      <c r="AE371" s="379"/>
      <c r="AF371" s="379"/>
      <c r="AG371" s="156"/>
      <c r="AH371" s="60"/>
      <c r="AI371" s="379"/>
      <c r="AJ371" s="379"/>
      <c r="AK371" s="156"/>
      <c r="AL371" s="379"/>
      <c r="AM371" s="50"/>
      <c r="AN371" s="50"/>
    </row>
    <row r="372" spans="1:40" x14ac:dyDescent="0.25">
      <c r="A372" s="53"/>
      <c r="C372" s="54"/>
      <c r="F372" s="449"/>
      <c r="H372" s="449"/>
      <c r="I372" s="449"/>
      <c r="J372" s="221"/>
      <c r="K372" s="221"/>
      <c r="L372" s="379"/>
      <c r="M372" s="379"/>
      <c r="N372" s="50"/>
      <c r="O372" s="50"/>
      <c r="P372" s="379"/>
      <c r="Q372" s="379"/>
      <c r="R372" s="379"/>
      <c r="T372" s="54"/>
      <c r="V372" s="379"/>
      <c r="Y372" s="379"/>
      <c r="Z372" s="221"/>
      <c r="AA372" s="379"/>
      <c r="AB372" s="379"/>
      <c r="AC372" s="50"/>
      <c r="AD372" s="50"/>
      <c r="AE372" s="379"/>
      <c r="AF372" s="379"/>
      <c r="AG372" s="156"/>
      <c r="AH372" s="60"/>
      <c r="AI372" s="379"/>
      <c r="AJ372" s="379"/>
      <c r="AK372" s="156"/>
      <c r="AL372" s="379"/>
      <c r="AM372" s="50"/>
      <c r="AN372" s="50"/>
    </row>
    <row r="373" spans="1:40" x14ac:dyDescent="0.25">
      <c r="A373" s="53"/>
      <c r="C373" s="54"/>
      <c r="F373" s="449"/>
      <c r="H373" s="449"/>
      <c r="I373" s="449"/>
      <c r="J373" s="221"/>
      <c r="K373" s="221"/>
      <c r="L373" s="379"/>
      <c r="M373" s="379"/>
      <c r="N373" s="50"/>
      <c r="O373" s="50"/>
      <c r="P373" s="379"/>
      <c r="Q373" s="379"/>
      <c r="R373" s="379"/>
      <c r="T373" s="54"/>
      <c r="V373" s="379"/>
      <c r="Y373" s="379"/>
      <c r="Z373" s="221"/>
      <c r="AA373" s="379"/>
      <c r="AB373" s="379"/>
      <c r="AC373" s="50"/>
      <c r="AD373" s="50"/>
      <c r="AE373" s="379"/>
      <c r="AF373" s="379"/>
      <c r="AG373" s="156"/>
      <c r="AH373" s="60"/>
      <c r="AI373" s="379"/>
      <c r="AJ373" s="379"/>
      <c r="AK373" s="156"/>
      <c r="AL373" s="379"/>
      <c r="AM373" s="50"/>
      <c r="AN373" s="50"/>
    </row>
    <row r="374" spans="1:40" x14ac:dyDescent="0.25">
      <c r="A374" s="53"/>
      <c r="C374" s="54"/>
      <c r="F374" s="449"/>
      <c r="H374" s="449"/>
      <c r="I374" s="449"/>
      <c r="J374" s="221"/>
      <c r="K374" s="221"/>
      <c r="L374" s="379"/>
      <c r="M374" s="379"/>
      <c r="N374" s="50"/>
      <c r="O374" s="50"/>
      <c r="P374" s="379"/>
      <c r="Q374" s="379"/>
      <c r="R374" s="379"/>
      <c r="T374" s="54"/>
      <c r="V374" s="379"/>
      <c r="Y374" s="379"/>
      <c r="Z374" s="221"/>
      <c r="AA374" s="379"/>
      <c r="AB374" s="379"/>
      <c r="AC374" s="50"/>
      <c r="AD374" s="50"/>
      <c r="AE374" s="379"/>
      <c r="AF374" s="379"/>
      <c r="AG374" s="156"/>
      <c r="AH374" s="60"/>
      <c r="AI374" s="379"/>
      <c r="AJ374" s="379"/>
      <c r="AK374" s="156"/>
      <c r="AL374" s="379"/>
      <c r="AM374" s="50"/>
      <c r="AN374" s="50"/>
    </row>
    <row r="375" spans="1:40" x14ac:dyDescent="0.25">
      <c r="A375" s="53"/>
      <c r="C375" s="54"/>
      <c r="F375" s="449"/>
      <c r="H375" s="449"/>
      <c r="I375" s="449"/>
      <c r="J375" s="221"/>
      <c r="K375" s="221"/>
      <c r="L375" s="379"/>
      <c r="M375" s="379"/>
      <c r="N375" s="50"/>
      <c r="O375" s="50"/>
      <c r="P375" s="379"/>
      <c r="Q375" s="379"/>
      <c r="R375" s="379"/>
      <c r="T375" s="54"/>
      <c r="V375" s="379"/>
      <c r="Y375" s="379"/>
      <c r="Z375" s="221"/>
      <c r="AA375" s="379"/>
      <c r="AB375" s="379"/>
      <c r="AC375" s="50"/>
      <c r="AD375" s="50"/>
      <c r="AE375" s="379"/>
      <c r="AF375" s="379"/>
      <c r="AG375" s="156"/>
      <c r="AH375" s="60"/>
      <c r="AI375" s="379"/>
      <c r="AJ375" s="379"/>
      <c r="AK375" s="156"/>
      <c r="AL375" s="379"/>
      <c r="AM375" s="50"/>
      <c r="AN375" s="50"/>
    </row>
    <row r="376" spans="1:40" x14ac:dyDescent="0.25">
      <c r="F376" s="381"/>
      <c r="H376" s="381"/>
      <c r="I376" s="381"/>
      <c r="J376" s="464"/>
      <c r="K376" s="464"/>
      <c r="L376" s="381"/>
      <c r="M376" s="381"/>
      <c r="N376" s="381"/>
      <c r="O376" s="381"/>
      <c r="P376" s="381"/>
      <c r="Q376" s="381"/>
      <c r="R376" s="381"/>
      <c r="V376" s="381"/>
      <c r="Y376" s="381"/>
      <c r="Z376" s="221"/>
      <c r="AA376" s="381"/>
      <c r="AB376" s="381"/>
      <c r="AC376" s="381"/>
      <c r="AD376" s="381"/>
      <c r="AE376" s="381"/>
      <c r="AF376" s="381"/>
      <c r="AI376" s="381"/>
      <c r="AJ376" s="381"/>
      <c r="AK376" s="162"/>
      <c r="AL376" s="381"/>
    </row>
    <row r="377" spans="1:40" x14ac:dyDescent="0.25">
      <c r="A377" s="53"/>
      <c r="C377" s="54"/>
      <c r="F377" s="379"/>
      <c r="H377" s="379"/>
      <c r="I377" s="379"/>
      <c r="L377" s="379"/>
      <c r="M377" s="379"/>
      <c r="N377" s="60"/>
      <c r="O377" s="60"/>
      <c r="P377" s="379"/>
      <c r="Q377" s="379"/>
      <c r="R377" s="379"/>
      <c r="T377" s="54"/>
      <c r="V377" s="379"/>
      <c r="Y377" s="379"/>
      <c r="AA377" s="379"/>
      <c r="AB377" s="379"/>
      <c r="AC377" s="50"/>
      <c r="AD377" s="50"/>
      <c r="AE377" s="379"/>
      <c r="AF377" s="379"/>
      <c r="AG377" s="156"/>
      <c r="AH377" s="60"/>
      <c r="AI377" s="379"/>
      <c r="AJ377" s="379"/>
      <c r="AK377" s="156"/>
      <c r="AL377" s="379"/>
      <c r="AM377" s="50"/>
      <c r="AN377" s="50"/>
    </row>
    <row r="378" spans="1:40" x14ac:dyDescent="0.25">
      <c r="F378" s="381"/>
      <c r="H378" s="381"/>
      <c r="I378" s="381"/>
      <c r="J378" s="464"/>
      <c r="K378" s="464"/>
      <c r="L378" s="381"/>
      <c r="M378" s="381"/>
      <c r="N378" s="381"/>
      <c r="O378" s="381"/>
      <c r="P378" s="381"/>
      <c r="Q378" s="381"/>
      <c r="R378" s="381"/>
      <c r="V378" s="381"/>
      <c r="Y378" s="381"/>
      <c r="Z378" s="464"/>
      <c r="AA378" s="381"/>
      <c r="AB378" s="381"/>
      <c r="AC378" s="381"/>
      <c r="AD378" s="381"/>
      <c r="AE378" s="381"/>
      <c r="AF378" s="381"/>
      <c r="AI378" s="381"/>
      <c r="AJ378" s="381"/>
      <c r="AK378" s="162"/>
      <c r="AL378" s="381"/>
    </row>
    <row r="379" spans="1:40" x14ac:dyDescent="0.25">
      <c r="A379" s="53"/>
      <c r="C379" s="54"/>
      <c r="T379" s="54"/>
    </row>
    <row r="380" spans="1:40" x14ac:dyDescent="0.25">
      <c r="A380" s="53"/>
      <c r="C380" s="54"/>
      <c r="F380" s="449"/>
      <c r="H380" s="449"/>
      <c r="I380" s="449"/>
      <c r="J380" s="461"/>
      <c r="K380" s="461"/>
      <c r="L380" s="379"/>
      <c r="M380" s="379"/>
      <c r="N380" s="50"/>
      <c r="O380" s="50"/>
      <c r="P380" s="379"/>
      <c r="Q380" s="379"/>
      <c r="R380" s="379"/>
      <c r="T380" s="54"/>
      <c r="V380" s="379"/>
      <c r="Y380" s="379"/>
      <c r="Z380" s="461"/>
      <c r="AA380" s="379"/>
      <c r="AB380" s="379"/>
      <c r="AC380" s="50"/>
      <c r="AD380" s="50"/>
      <c r="AE380" s="379"/>
      <c r="AF380" s="379"/>
      <c r="AG380" s="156"/>
      <c r="AH380" s="60"/>
      <c r="AI380" s="379"/>
      <c r="AJ380" s="379"/>
      <c r="AK380" s="156"/>
      <c r="AL380" s="379"/>
      <c r="AM380" s="50"/>
      <c r="AN380" s="50"/>
    </row>
    <row r="381" spans="1:40" x14ac:dyDescent="0.25">
      <c r="A381" s="53"/>
      <c r="C381" s="54"/>
      <c r="F381" s="449"/>
      <c r="H381" s="449"/>
      <c r="I381" s="449"/>
      <c r="J381" s="461"/>
      <c r="K381" s="461"/>
      <c r="L381" s="379"/>
      <c r="M381" s="379"/>
      <c r="N381" s="50"/>
      <c r="O381" s="50"/>
      <c r="P381" s="379"/>
      <c r="Q381" s="379"/>
      <c r="R381" s="379"/>
      <c r="T381" s="54"/>
      <c r="V381" s="379"/>
      <c r="Y381" s="379"/>
      <c r="Z381" s="461"/>
      <c r="AA381" s="379"/>
      <c r="AB381" s="379"/>
      <c r="AC381" s="50"/>
      <c r="AD381" s="50"/>
      <c r="AE381" s="379"/>
      <c r="AF381" s="379"/>
      <c r="AG381" s="156"/>
      <c r="AH381" s="60"/>
      <c r="AI381" s="379"/>
      <c r="AJ381" s="379"/>
      <c r="AK381" s="156"/>
      <c r="AL381" s="379"/>
      <c r="AM381" s="50"/>
      <c r="AN381" s="50"/>
    </row>
    <row r="382" spans="1:40" x14ac:dyDescent="0.25">
      <c r="F382" s="381"/>
      <c r="H382" s="379"/>
      <c r="I382" s="379"/>
      <c r="J382" s="464"/>
      <c r="K382" s="464"/>
      <c r="L382" s="381"/>
      <c r="M382" s="381"/>
      <c r="N382" s="381"/>
      <c r="O382" s="381"/>
      <c r="P382" s="381"/>
      <c r="Q382" s="381"/>
      <c r="R382" s="381"/>
      <c r="V382" s="381"/>
      <c r="Y382" s="379"/>
      <c r="Z382" s="464"/>
      <c r="AA382" s="381"/>
      <c r="AB382" s="381"/>
      <c r="AC382" s="381"/>
      <c r="AD382" s="381"/>
      <c r="AE382" s="381"/>
      <c r="AF382" s="381"/>
      <c r="AI382" s="381"/>
      <c r="AJ382" s="381"/>
      <c r="AK382" s="162"/>
      <c r="AL382" s="381"/>
    </row>
    <row r="383" spans="1:40" x14ac:dyDescent="0.25">
      <c r="F383" s="379"/>
      <c r="H383" s="379"/>
      <c r="I383" s="379"/>
      <c r="J383" s="464"/>
      <c r="K383" s="464"/>
      <c r="L383" s="379"/>
      <c r="M383" s="379"/>
      <c r="N383" s="379"/>
      <c r="O383" s="379"/>
      <c r="P383" s="379"/>
      <c r="Q383" s="379"/>
      <c r="R383" s="379"/>
      <c r="V383" s="379"/>
      <c r="Y383" s="379"/>
      <c r="Z383" s="464"/>
      <c r="AA383" s="379"/>
      <c r="AB383" s="379"/>
      <c r="AC383" s="379"/>
      <c r="AD383" s="379"/>
      <c r="AE383" s="379"/>
      <c r="AF383" s="379"/>
      <c r="AI383" s="379"/>
      <c r="AJ383" s="379"/>
      <c r="AK383" s="156"/>
      <c r="AL383" s="379"/>
    </row>
    <row r="384" spans="1:40" x14ac:dyDescent="0.25">
      <c r="A384" s="53"/>
      <c r="C384" s="54"/>
      <c r="F384" s="379"/>
      <c r="H384" s="379"/>
      <c r="I384" s="379"/>
      <c r="L384" s="379"/>
      <c r="M384" s="379"/>
      <c r="N384" s="50"/>
      <c r="O384" s="50"/>
      <c r="P384" s="379"/>
      <c r="Q384" s="379"/>
      <c r="R384" s="379"/>
      <c r="T384" s="54"/>
      <c r="V384" s="379"/>
      <c r="Y384" s="379"/>
      <c r="AA384" s="379"/>
      <c r="AB384" s="379"/>
      <c r="AC384" s="50"/>
      <c r="AD384" s="50"/>
      <c r="AE384" s="379"/>
      <c r="AF384" s="379"/>
      <c r="AG384" s="156"/>
      <c r="AH384" s="60"/>
      <c r="AI384" s="449"/>
      <c r="AJ384" s="449"/>
      <c r="AK384" s="156"/>
      <c r="AL384" s="379"/>
      <c r="AM384" s="50"/>
      <c r="AN384" s="50"/>
    </row>
    <row r="385" spans="1:38" x14ac:dyDescent="0.25">
      <c r="F385" s="381"/>
      <c r="H385" s="381"/>
      <c r="I385" s="381"/>
      <c r="J385" s="464"/>
      <c r="K385" s="464"/>
      <c r="L385" s="381"/>
      <c r="M385" s="381"/>
      <c r="N385" s="381"/>
      <c r="O385" s="381"/>
      <c r="P385" s="381"/>
      <c r="Q385" s="381"/>
      <c r="R385" s="381"/>
      <c r="V385" s="381"/>
      <c r="Y385" s="381"/>
      <c r="Z385" s="464"/>
      <c r="AA385" s="381"/>
      <c r="AB385" s="381"/>
      <c r="AC385" s="381"/>
      <c r="AD385" s="381"/>
      <c r="AE385" s="381"/>
      <c r="AF385" s="381"/>
      <c r="AI385" s="381"/>
      <c r="AJ385" s="381"/>
      <c r="AK385" s="162"/>
      <c r="AL385" s="381"/>
    </row>
    <row r="387" spans="1:38" x14ac:dyDescent="0.25">
      <c r="A387" s="54"/>
      <c r="T387" s="54"/>
    </row>
    <row r="388" spans="1:38" x14ac:dyDescent="0.25">
      <c r="A388" s="54"/>
      <c r="T388" s="54"/>
    </row>
    <row r="389" spans="1:38" x14ac:dyDescent="0.25">
      <c r="A389" s="54"/>
      <c r="T389" s="54"/>
    </row>
    <row r="390" spans="1:38" x14ac:dyDescent="0.25">
      <c r="A390" s="54"/>
      <c r="T390" s="54"/>
    </row>
    <row r="391" spans="1:38" x14ac:dyDescent="0.25">
      <c r="A391" s="54"/>
      <c r="T391" s="54"/>
    </row>
    <row r="392" spans="1:38" x14ac:dyDescent="0.25">
      <c r="A392" s="54"/>
      <c r="T392" s="54"/>
    </row>
    <row r="393" spans="1:38" x14ac:dyDescent="0.25">
      <c r="A393" s="54"/>
      <c r="T393" s="54"/>
    </row>
    <row r="394" spans="1:38" x14ac:dyDescent="0.25">
      <c r="A394" s="54"/>
      <c r="T394" s="54"/>
    </row>
    <row r="395" spans="1:38" x14ac:dyDescent="0.25">
      <c r="A395" s="54"/>
      <c r="T395" s="54"/>
    </row>
    <row r="397" spans="1:38" x14ac:dyDescent="0.25">
      <c r="A397" s="54"/>
    </row>
    <row r="398" spans="1:38" x14ac:dyDescent="0.25">
      <c r="J398" s="53"/>
      <c r="K398" s="53"/>
      <c r="Z398" s="53"/>
    </row>
    <row r="399" spans="1:38" x14ac:dyDescent="0.25">
      <c r="H399" s="54"/>
      <c r="I399" s="54"/>
      <c r="Y399" s="54"/>
    </row>
    <row r="400" spans="1:38" x14ac:dyDescent="0.25">
      <c r="J400" s="53"/>
      <c r="K400" s="53"/>
      <c r="Z400" s="53"/>
    </row>
    <row r="401" spans="1:40" x14ac:dyDescent="0.25">
      <c r="L401" s="54"/>
      <c r="M401" s="54"/>
      <c r="AA401" s="54"/>
      <c r="AB401" s="54"/>
    </row>
    <row r="402" spans="1:40" x14ac:dyDescent="0.25">
      <c r="A402" s="53"/>
      <c r="R402" s="54"/>
      <c r="AK402" s="161"/>
      <c r="AL402" s="54"/>
    </row>
    <row r="403" spans="1:40" x14ac:dyDescent="0.25">
      <c r="A403" s="53"/>
      <c r="R403" s="54"/>
      <c r="AK403" s="161"/>
      <c r="AL403" s="54"/>
    </row>
    <row r="404" spans="1:40" x14ac:dyDescent="0.25">
      <c r="A404" s="54"/>
      <c r="R404" s="54"/>
      <c r="AK404" s="161"/>
      <c r="AL404" s="54"/>
    </row>
    <row r="405" spans="1:40" x14ac:dyDescent="0.25">
      <c r="L405" s="54"/>
      <c r="M405" s="54"/>
      <c r="R405" s="53"/>
      <c r="AA405" s="54"/>
      <c r="AB405" s="54"/>
      <c r="AK405" s="156"/>
      <c r="AL405" s="53"/>
    </row>
    <row r="406" spans="1:40" x14ac:dyDescent="0.25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154"/>
      <c r="AH406" s="55"/>
      <c r="AI406" s="55"/>
      <c r="AJ406" s="55"/>
      <c r="AK406" s="154"/>
      <c r="AL406" s="55"/>
      <c r="AM406" s="55"/>
      <c r="AN406" s="55"/>
    </row>
    <row r="407" spans="1:40" x14ac:dyDescent="0.25">
      <c r="L407" s="56"/>
      <c r="M407" s="56"/>
      <c r="N407" s="56"/>
      <c r="O407" s="56"/>
      <c r="R407" s="56"/>
      <c r="AA407" s="56"/>
      <c r="AB407" s="56"/>
      <c r="AC407" s="56"/>
      <c r="AD407" s="56"/>
      <c r="AE407" s="56"/>
      <c r="AF407" s="56"/>
      <c r="AG407" s="155"/>
      <c r="AH407" s="56"/>
      <c r="AK407" s="155"/>
      <c r="AL407" s="56"/>
      <c r="AM407" s="56"/>
      <c r="AN407" s="56"/>
    </row>
    <row r="408" spans="1:40" x14ac:dyDescent="0.25">
      <c r="L408" s="56"/>
      <c r="M408" s="56"/>
      <c r="N408" s="56"/>
      <c r="O408" s="56"/>
      <c r="R408" s="56"/>
      <c r="Z408" s="56"/>
      <c r="AA408" s="56"/>
      <c r="AB408" s="56"/>
      <c r="AC408" s="56"/>
      <c r="AD408" s="56"/>
      <c r="AE408" s="56"/>
      <c r="AF408" s="56"/>
      <c r="AG408" s="155"/>
      <c r="AH408" s="56"/>
      <c r="AK408" s="155"/>
      <c r="AL408" s="56"/>
      <c r="AM408" s="56"/>
      <c r="AN408" s="56"/>
    </row>
    <row r="409" spans="1:40" x14ac:dyDescent="0.25">
      <c r="A409" s="56"/>
      <c r="C409" s="56"/>
      <c r="D409" s="56"/>
      <c r="E409" s="56"/>
      <c r="F409" s="56"/>
      <c r="J409" s="56"/>
      <c r="K409" s="56"/>
      <c r="L409" s="56"/>
      <c r="M409" s="56"/>
      <c r="N409" s="56"/>
      <c r="O409" s="56"/>
      <c r="P409" s="56"/>
      <c r="Q409" s="56"/>
      <c r="R409" s="56"/>
      <c r="T409" s="56"/>
      <c r="U409" s="56"/>
      <c r="V409" s="56"/>
      <c r="Z409" s="56"/>
      <c r="AA409" s="56"/>
      <c r="AB409" s="56"/>
      <c r="AC409" s="56"/>
      <c r="AD409" s="56"/>
      <c r="AE409" s="56"/>
      <c r="AF409" s="56"/>
      <c r="AG409" s="155"/>
      <c r="AH409" s="56"/>
      <c r="AI409" s="56"/>
      <c r="AJ409" s="56"/>
      <c r="AK409" s="155"/>
      <c r="AL409" s="56"/>
      <c r="AM409" s="56"/>
      <c r="AN409" s="56"/>
    </row>
    <row r="410" spans="1:40" x14ac:dyDescent="0.25">
      <c r="A410" s="56"/>
      <c r="C410" s="56"/>
      <c r="D410" s="56"/>
      <c r="E410" s="56"/>
      <c r="F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T410" s="56"/>
      <c r="U410" s="56"/>
      <c r="V410" s="56"/>
      <c r="Y410" s="56"/>
      <c r="Z410" s="56"/>
      <c r="AA410" s="56"/>
      <c r="AB410" s="56"/>
      <c r="AC410" s="56"/>
      <c r="AD410" s="56"/>
      <c r="AE410" s="56"/>
      <c r="AF410" s="56"/>
      <c r="AG410" s="155"/>
      <c r="AH410" s="56"/>
      <c r="AI410" s="56"/>
      <c r="AJ410" s="56"/>
      <c r="AK410" s="155"/>
      <c r="AL410" s="56"/>
      <c r="AM410" s="56"/>
      <c r="AN410" s="56"/>
    </row>
    <row r="411" spans="1:40" x14ac:dyDescent="0.25">
      <c r="C411" s="56"/>
      <c r="D411" s="56"/>
      <c r="E411" s="56"/>
      <c r="F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T411" s="56"/>
      <c r="U411" s="56"/>
      <c r="V411" s="56"/>
      <c r="Y411" s="56"/>
      <c r="Z411" s="56"/>
      <c r="AA411" s="56"/>
      <c r="AB411" s="56"/>
      <c r="AC411" s="56"/>
      <c r="AD411" s="56"/>
      <c r="AE411" s="56"/>
      <c r="AF411" s="56"/>
      <c r="AG411" s="155"/>
      <c r="AH411" s="56"/>
      <c r="AI411" s="56"/>
      <c r="AJ411" s="56"/>
      <c r="AK411" s="155"/>
      <c r="AL411" s="56"/>
      <c r="AM411" s="56"/>
      <c r="AN411" s="56"/>
    </row>
    <row r="412" spans="1:40" x14ac:dyDescent="0.25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154"/>
      <c r="AH412" s="55"/>
      <c r="AI412" s="55"/>
      <c r="AJ412" s="55"/>
      <c r="AK412" s="154"/>
      <c r="AL412" s="55"/>
      <c r="AM412" s="55"/>
      <c r="AN412" s="55"/>
    </row>
    <row r="413" spans="1:40" x14ac:dyDescent="0.25"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Y413" s="56"/>
      <c r="Z413" s="56"/>
      <c r="AA413" s="56"/>
      <c r="AB413" s="56"/>
      <c r="AC413" s="56"/>
      <c r="AD413" s="56"/>
      <c r="AE413" s="56"/>
      <c r="AF413" s="56"/>
      <c r="AG413" s="155"/>
      <c r="AH413" s="56"/>
      <c r="AI413" s="56"/>
      <c r="AJ413" s="56"/>
      <c r="AK413" s="155"/>
      <c r="AL413" s="56"/>
      <c r="AM413" s="56"/>
      <c r="AN413" s="56"/>
    </row>
    <row r="414" spans="1:40" x14ac:dyDescent="0.25">
      <c r="A414" s="53"/>
      <c r="C414" s="54"/>
      <c r="D414" s="54"/>
      <c r="E414" s="54"/>
      <c r="T414" s="54"/>
      <c r="U414" s="54"/>
    </row>
    <row r="415" spans="1:40" x14ac:dyDescent="0.25">
      <c r="A415" s="53"/>
      <c r="D415" s="54"/>
      <c r="E415" s="54"/>
      <c r="U415" s="54"/>
    </row>
    <row r="417" spans="1:40" x14ac:dyDescent="0.25">
      <c r="A417" s="53"/>
      <c r="C417" s="54"/>
      <c r="F417" s="379"/>
      <c r="J417" s="62"/>
      <c r="K417" s="62"/>
      <c r="L417" s="379"/>
      <c r="M417" s="379"/>
      <c r="R417" s="379"/>
      <c r="T417" s="54"/>
      <c r="V417" s="379"/>
      <c r="Z417" s="62"/>
      <c r="AA417" s="379"/>
      <c r="AB417" s="379"/>
      <c r="AG417" s="156"/>
      <c r="AH417" s="379"/>
      <c r="AK417" s="156"/>
      <c r="AL417" s="379"/>
    </row>
    <row r="418" spans="1:40" x14ac:dyDescent="0.25">
      <c r="A418" s="53"/>
      <c r="C418" s="54"/>
      <c r="F418" s="379"/>
      <c r="R418" s="379"/>
      <c r="T418" s="54"/>
      <c r="V418" s="379"/>
      <c r="AG418" s="156"/>
      <c r="AH418" s="379"/>
      <c r="AK418" s="156"/>
      <c r="AL418" s="379"/>
    </row>
    <row r="419" spans="1:40" x14ac:dyDescent="0.25">
      <c r="AI419" s="379"/>
      <c r="AJ419" s="379"/>
      <c r="AK419" s="156"/>
      <c r="AL419" s="379"/>
      <c r="AM419" s="50"/>
      <c r="AN419" s="50"/>
    </row>
    <row r="420" spans="1:40" x14ac:dyDescent="0.25">
      <c r="A420" s="53"/>
      <c r="C420" s="54"/>
      <c r="F420" s="449"/>
      <c r="H420" s="449"/>
      <c r="I420" s="449"/>
      <c r="J420" s="477"/>
      <c r="K420" s="477"/>
      <c r="L420" s="379"/>
      <c r="M420" s="379"/>
      <c r="N420" s="50"/>
      <c r="O420" s="50"/>
      <c r="P420" s="379"/>
      <c r="Q420" s="379"/>
      <c r="R420" s="379"/>
      <c r="T420" s="54"/>
      <c r="V420" s="379"/>
      <c r="Y420" s="379"/>
      <c r="Z420" s="477"/>
      <c r="AA420" s="379"/>
      <c r="AB420" s="379"/>
      <c r="AC420" s="50"/>
      <c r="AD420" s="50"/>
      <c r="AE420" s="379"/>
      <c r="AF420" s="379"/>
      <c r="AG420" s="156"/>
      <c r="AH420" s="60"/>
      <c r="AI420" s="379"/>
      <c r="AJ420" s="379"/>
      <c r="AK420" s="156"/>
      <c r="AL420" s="379"/>
      <c r="AM420" s="50"/>
      <c r="AN420" s="50"/>
    </row>
    <row r="421" spans="1:40" x14ac:dyDescent="0.25">
      <c r="F421" s="379"/>
      <c r="H421" s="379"/>
      <c r="I421" s="379"/>
      <c r="J421" s="59"/>
      <c r="K421" s="59"/>
      <c r="L421" s="379"/>
      <c r="M421" s="379"/>
      <c r="P421" s="379"/>
      <c r="Q421" s="379"/>
      <c r="R421" s="379"/>
      <c r="V421" s="379"/>
      <c r="Y421" s="379"/>
      <c r="Z421" s="59"/>
      <c r="AA421" s="379"/>
      <c r="AB421" s="379"/>
      <c r="AI421" s="379"/>
      <c r="AJ421" s="379"/>
      <c r="AK421" s="156"/>
      <c r="AL421" s="379"/>
      <c r="AM421" s="50"/>
      <c r="AN421" s="50"/>
    </row>
    <row r="422" spans="1:40" x14ac:dyDescent="0.25">
      <c r="F422" s="379"/>
      <c r="R422" s="379"/>
      <c r="V422" s="379"/>
      <c r="AK422" s="156"/>
      <c r="AL422" s="379"/>
      <c r="AM422" s="50"/>
      <c r="AN422" s="50"/>
    </row>
    <row r="423" spans="1:40" x14ac:dyDescent="0.25">
      <c r="A423" s="53"/>
      <c r="C423" s="54"/>
      <c r="F423" s="379"/>
      <c r="J423" s="62"/>
      <c r="K423" s="62"/>
      <c r="L423" s="379"/>
      <c r="M423" s="379"/>
      <c r="N423" s="50"/>
      <c r="O423" s="50"/>
      <c r="R423" s="379"/>
      <c r="T423" s="54"/>
      <c r="V423" s="379"/>
      <c r="Z423" s="62"/>
      <c r="AA423" s="379"/>
      <c r="AB423" s="379"/>
      <c r="AC423" s="50"/>
      <c r="AD423" s="50"/>
      <c r="AK423" s="156"/>
      <c r="AL423" s="379"/>
      <c r="AM423" s="50"/>
      <c r="AN423" s="50"/>
    </row>
    <row r="424" spans="1:40" x14ac:dyDescent="0.25">
      <c r="A424" s="53"/>
      <c r="C424" s="54"/>
      <c r="F424" s="379"/>
      <c r="H424" s="379"/>
      <c r="I424" s="379"/>
      <c r="J424" s="62"/>
      <c r="K424" s="62"/>
      <c r="L424" s="379"/>
      <c r="M424" s="379"/>
      <c r="N424" s="50"/>
      <c r="O424" s="50"/>
      <c r="P424" s="379"/>
      <c r="Q424" s="379"/>
      <c r="R424" s="379"/>
      <c r="T424" s="54"/>
      <c r="V424" s="379"/>
      <c r="Y424" s="379"/>
      <c r="Z424" s="62"/>
      <c r="AA424" s="379"/>
      <c r="AB424" s="379"/>
      <c r="AC424" s="50"/>
      <c r="AD424" s="50"/>
      <c r="AI424" s="379"/>
      <c r="AJ424" s="379"/>
      <c r="AK424" s="156"/>
      <c r="AL424" s="379"/>
      <c r="AM424" s="50"/>
      <c r="AN424" s="50"/>
    </row>
    <row r="425" spans="1:40" x14ac:dyDescent="0.25">
      <c r="A425" s="53"/>
      <c r="C425" s="54"/>
      <c r="T425" s="54"/>
      <c r="AM425" s="50"/>
      <c r="AN425" s="50"/>
    </row>
    <row r="426" spans="1:40" x14ac:dyDescent="0.25">
      <c r="A426" s="53"/>
      <c r="C426" s="54"/>
      <c r="T426" s="54"/>
      <c r="AM426" s="50"/>
      <c r="AN426" s="50"/>
    </row>
    <row r="427" spans="1:40" x14ac:dyDescent="0.25">
      <c r="AM427" s="50"/>
      <c r="AN427" s="50"/>
    </row>
    <row r="428" spans="1:40" x14ac:dyDescent="0.25">
      <c r="A428" s="53"/>
      <c r="C428" s="54"/>
      <c r="F428" s="449"/>
      <c r="H428" s="449"/>
      <c r="I428" s="449"/>
      <c r="J428" s="477"/>
      <c r="K428" s="477"/>
      <c r="L428" s="379"/>
      <c r="M428" s="379"/>
      <c r="N428" s="50"/>
      <c r="O428" s="50"/>
      <c r="P428" s="379"/>
      <c r="Q428" s="379"/>
      <c r="R428" s="379"/>
      <c r="T428" s="54"/>
      <c r="V428" s="379"/>
      <c r="Y428" s="379"/>
      <c r="Z428" s="477"/>
      <c r="AA428" s="379"/>
      <c r="AB428" s="379"/>
      <c r="AC428" s="50"/>
      <c r="AD428" s="50"/>
      <c r="AE428" s="379"/>
      <c r="AF428" s="379"/>
      <c r="AG428" s="156"/>
      <c r="AH428" s="60"/>
      <c r="AI428" s="379"/>
      <c r="AJ428" s="379"/>
      <c r="AK428" s="156"/>
      <c r="AL428" s="379"/>
      <c r="AM428" s="50"/>
      <c r="AN428" s="50"/>
    </row>
    <row r="429" spans="1:40" x14ac:dyDescent="0.25">
      <c r="F429" s="381"/>
      <c r="H429" s="381"/>
      <c r="I429" s="381"/>
      <c r="J429" s="464"/>
      <c r="K429" s="464"/>
      <c r="L429" s="381"/>
      <c r="M429" s="381"/>
      <c r="N429" s="381"/>
      <c r="O429" s="381"/>
      <c r="P429" s="381"/>
      <c r="Q429" s="381"/>
      <c r="R429" s="381"/>
      <c r="V429" s="381"/>
      <c r="Y429" s="381"/>
      <c r="Z429" s="464"/>
      <c r="AA429" s="381"/>
      <c r="AB429" s="381"/>
      <c r="AC429" s="381"/>
      <c r="AD429" s="381"/>
      <c r="AE429" s="381"/>
      <c r="AF429" s="381"/>
      <c r="AI429" s="381"/>
      <c r="AJ429" s="381"/>
      <c r="AK429" s="162"/>
      <c r="AL429" s="381"/>
      <c r="AM429" s="50"/>
      <c r="AN429" s="50"/>
    </row>
    <row r="430" spans="1:40" x14ac:dyDescent="0.25">
      <c r="H430" s="379"/>
      <c r="I430" s="379"/>
      <c r="Y430" s="379"/>
      <c r="AM430" s="50"/>
      <c r="AN430" s="50"/>
    </row>
    <row r="431" spans="1:40" x14ac:dyDescent="0.25">
      <c r="A431" s="53"/>
      <c r="C431" s="54"/>
      <c r="F431" s="379"/>
      <c r="H431" s="379"/>
      <c r="I431" s="379"/>
      <c r="L431" s="379"/>
      <c r="M431" s="379"/>
      <c r="N431" s="50"/>
      <c r="O431" s="50"/>
      <c r="P431" s="449"/>
      <c r="Q431" s="449"/>
      <c r="R431" s="379"/>
      <c r="T431" s="54"/>
      <c r="V431" s="379"/>
      <c r="Y431" s="379"/>
      <c r="AA431" s="379"/>
      <c r="AB431" s="379"/>
      <c r="AC431" s="50"/>
      <c r="AD431" s="50"/>
      <c r="AE431" s="379"/>
      <c r="AF431" s="379"/>
      <c r="AG431" s="156"/>
      <c r="AH431" s="60"/>
      <c r="AI431" s="449"/>
      <c r="AJ431" s="449"/>
      <c r="AK431" s="156"/>
      <c r="AL431" s="379"/>
      <c r="AM431" s="50"/>
      <c r="AN431" s="50"/>
    </row>
    <row r="432" spans="1:40" x14ac:dyDescent="0.25">
      <c r="F432" s="381"/>
      <c r="H432" s="381"/>
      <c r="I432" s="381"/>
      <c r="J432" s="464"/>
      <c r="K432" s="464"/>
      <c r="L432" s="381"/>
      <c r="M432" s="381"/>
      <c r="N432" s="381"/>
      <c r="O432" s="381"/>
      <c r="P432" s="381"/>
      <c r="Q432" s="381"/>
      <c r="R432" s="381"/>
      <c r="V432" s="381"/>
      <c r="Y432" s="381"/>
      <c r="Z432" s="464"/>
      <c r="AA432" s="381"/>
      <c r="AB432" s="381"/>
      <c r="AC432" s="381"/>
      <c r="AD432" s="381"/>
      <c r="AE432" s="381"/>
      <c r="AF432" s="381"/>
      <c r="AI432" s="381"/>
      <c r="AJ432" s="381"/>
      <c r="AK432" s="162"/>
      <c r="AL432" s="381"/>
      <c r="AM432" s="50"/>
      <c r="AN432" s="50"/>
    </row>
    <row r="434" spans="1:40" x14ac:dyDescent="0.25">
      <c r="F434" s="379"/>
      <c r="H434" s="379"/>
      <c r="I434" s="379"/>
      <c r="J434" s="59"/>
      <c r="K434" s="59"/>
      <c r="L434" s="379"/>
      <c r="M434" s="379"/>
      <c r="N434" s="379"/>
      <c r="O434" s="379"/>
      <c r="P434" s="379"/>
      <c r="Q434" s="379"/>
      <c r="R434" s="379"/>
      <c r="V434" s="379"/>
      <c r="Y434" s="379"/>
      <c r="Z434" s="59"/>
      <c r="AA434" s="379"/>
      <c r="AB434" s="379"/>
      <c r="AC434" s="379"/>
      <c r="AD434" s="379"/>
      <c r="AE434" s="379"/>
      <c r="AF434" s="379"/>
      <c r="AG434" s="156"/>
      <c r="AH434" s="379"/>
      <c r="AI434" s="379"/>
      <c r="AJ434" s="379"/>
      <c r="AK434" s="156"/>
      <c r="AL434" s="379"/>
    </row>
    <row r="435" spans="1:40" x14ac:dyDescent="0.25">
      <c r="A435" s="54"/>
    </row>
    <row r="436" spans="1:40" x14ac:dyDescent="0.25">
      <c r="J436" s="53"/>
      <c r="K436" s="53"/>
      <c r="Z436" s="53"/>
    </row>
    <row r="437" spans="1:40" x14ac:dyDescent="0.25">
      <c r="H437" s="54"/>
      <c r="I437" s="54"/>
      <c r="Y437" s="54"/>
    </row>
    <row r="438" spans="1:40" x14ac:dyDescent="0.25">
      <c r="J438" s="53"/>
      <c r="K438" s="53"/>
      <c r="Z438" s="53"/>
    </row>
    <row r="439" spans="1:40" x14ac:dyDescent="0.25">
      <c r="L439" s="54"/>
      <c r="M439" s="54"/>
      <c r="AA439" s="54"/>
      <c r="AB439" s="54"/>
    </row>
    <row r="440" spans="1:40" x14ac:dyDescent="0.25">
      <c r="A440" s="53"/>
      <c r="R440" s="54"/>
      <c r="AK440" s="161"/>
      <c r="AL440" s="54"/>
    </row>
    <row r="441" spans="1:40" x14ac:dyDescent="0.25">
      <c r="A441" s="53"/>
      <c r="R441" s="54"/>
      <c r="AK441" s="161"/>
      <c r="AL441" s="54"/>
    </row>
    <row r="442" spans="1:40" x14ac:dyDescent="0.25">
      <c r="A442" s="54"/>
      <c r="R442" s="54"/>
      <c r="AK442" s="161"/>
      <c r="AL442" s="54"/>
    </row>
    <row r="443" spans="1:40" x14ac:dyDescent="0.25">
      <c r="L443" s="54"/>
      <c r="M443" s="54"/>
      <c r="R443" s="53"/>
      <c r="AA443" s="54"/>
      <c r="AB443" s="54"/>
      <c r="AK443" s="156"/>
      <c r="AL443" s="53"/>
    </row>
    <row r="444" spans="1:40" x14ac:dyDescent="0.25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154"/>
      <c r="AH444" s="55"/>
      <c r="AI444" s="55"/>
      <c r="AJ444" s="55"/>
      <c r="AK444" s="154"/>
      <c r="AL444" s="55"/>
      <c r="AM444" s="55"/>
      <c r="AN444" s="55"/>
    </row>
    <row r="445" spans="1:40" x14ac:dyDescent="0.25">
      <c r="L445" s="56"/>
      <c r="M445" s="56"/>
      <c r="N445" s="56"/>
      <c r="O445" s="56"/>
      <c r="R445" s="56"/>
      <c r="AA445" s="56"/>
      <c r="AB445" s="56"/>
      <c r="AC445" s="56"/>
      <c r="AD445" s="56"/>
      <c r="AE445" s="56"/>
      <c r="AF445" s="56"/>
      <c r="AG445" s="155"/>
      <c r="AH445" s="56"/>
      <c r="AK445" s="155"/>
      <c r="AL445" s="56"/>
      <c r="AM445" s="56"/>
      <c r="AN445" s="56"/>
    </row>
    <row r="446" spans="1:40" x14ac:dyDescent="0.25">
      <c r="L446" s="56"/>
      <c r="M446" s="56"/>
      <c r="N446" s="56"/>
      <c r="O446" s="56"/>
      <c r="R446" s="56"/>
      <c r="Z446" s="56"/>
      <c r="AA446" s="56"/>
      <c r="AB446" s="56"/>
      <c r="AC446" s="56"/>
      <c r="AD446" s="56"/>
      <c r="AE446" s="56"/>
      <c r="AF446" s="56"/>
      <c r="AG446" s="155"/>
      <c r="AH446" s="56"/>
      <c r="AK446" s="155"/>
      <c r="AL446" s="56"/>
      <c r="AM446" s="56"/>
      <c r="AN446" s="56"/>
    </row>
    <row r="447" spans="1:40" x14ac:dyDescent="0.25">
      <c r="A447" s="56"/>
      <c r="C447" s="56"/>
      <c r="D447" s="56"/>
      <c r="E447" s="56"/>
      <c r="F447" s="56"/>
      <c r="J447" s="56"/>
      <c r="K447" s="56"/>
      <c r="L447" s="56"/>
      <c r="M447" s="56"/>
      <c r="N447" s="56"/>
      <c r="O447" s="56"/>
      <c r="P447" s="56"/>
      <c r="Q447" s="56"/>
      <c r="R447" s="56"/>
      <c r="T447" s="56"/>
      <c r="U447" s="56"/>
      <c r="V447" s="56"/>
      <c r="Z447" s="56"/>
      <c r="AA447" s="56"/>
      <c r="AB447" s="56"/>
      <c r="AC447" s="56"/>
      <c r="AD447" s="56"/>
      <c r="AE447" s="56"/>
      <c r="AF447" s="56"/>
      <c r="AG447" s="155"/>
      <c r="AH447" s="56"/>
      <c r="AI447" s="56"/>
      <c r="AJ447" s="56"/>
      <c r="AK447" s="155"/>
      <c r="AL447" s="56"/>
      <c r="AM447" s="56"/>
      <c r="AN447" s="56"/>
    </row>
    <row r="448" spans="1:40" x14ac:dyDescent="0.25">
      <c r="A448" s="56"/>
      <c r="C448" s="56"/>
      <c r="D448" s="56"/>
      <c r="E448" s="56"/>
      <c r="F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T448" s="56"/>
      <c r="U448" s="56"/>
      <c r="V448" s="56"/>
      <c r="Y448" s="56"/>
      <c r="Z448" s="56"/>
      <c r="AA448" s="56"/>
      <c r="AB448" s="56"/>
      <c r="AC448" s="56"/>
      <c r="AD448" s="56"/>
      <c r="AE448" s="56"/>
      <c r="AF448" s="56"/>
      <c r="AG448" s="155"/>
      <c r="AH448" s="56"/>
      <c r="AI448" s="56"/>
      <c r="AJ448" s="56"/>
      <c r="AK448" s="155"/>
      <c r="AL448" s="56"/>
      <c r="AM448" s="56"/>
      <c r="AN448" s="56"/>
    </row>
    <row r="449" spans="1:40" x14ac:dyDescent="0.25">
      <c r="C449" s="56"/>
      <c r="D449" s="56"/>
      <c r="E449" s="56"/>
      <c r="F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T449" s="56"/>
      <c r="U449" s="56"/>
      <c r="V449" s="56"/>
      <c r="Y449" s="56"/>
      <c r="Z449" s="56"/>
      <c r="AA449" s="56"/>
      <c r="AB449" s="56"/>
      <c r="AC449" s="56"/>
      <c r="AD449" s="56"/>
      <c r="AE449" s="56"/>
      <c r="AF449" s="56"/>
      <c r="AG449" s="155"/>
      <c r="AH449" s="56"/>
      <c r="AI449" s="56"/>
      <c r="AJ449" s="56"/>
      <c r="AK449" s="155"/>
      <c r="AL449" s="56"/>
      <c r="AM449" s="56"/>
      <c r="AN449" s="56"/>
    </row>
    <row r="450" spans="1:40" x14ac:dyDescent="0.25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154"/>
      <c r="AH450" s="55"/>
      <c r="AI450" s="55"/>
      <c r="AJ450" s="55"/>
      <c r="AK450" s="154"/>
      <c r="AL450" s="55"/>
      <c r="AM450" s="55"/>
      <c r="AN450" s="55"/>
    </row>
    <row r="451" spans="1:40" x14ac:dyDescent="0.25"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Y451" s="56"/>
      <c r="Z451" s="56"/>
      <c r="AA451" s="56"/>
      <c r="AB451" s="56"/>
      <c r="AC451" s="56"/>
      <c r="AD451" s="56"/>
      <c r="AE451" s="56"/>
      <c r="AF451" s="56"/>
      <c r="AG451" s="155"/>
      <c r="AH451" s="56"/>
      <c r="AI451" s="56"/>
      <c r="AJ451" s="56"/>
      <c r="AK451" s="155"/>
      <c r="AL451" s="56"/>
      <c r="AM451" s="56"/>
      <c r="AN451" s="56"/>
    </row>
    <row r="452" spans="1:40" x14ac:dyDescent="0.25">
      <c r="A452" s="53"/>
      <c r="C452" s="54"/>
      <c r="D452" s="54"/>
      <c r="E452" s="54"/>
      <c r="T452" s="54"/>
      <c r="U452" s="54"/>
      <c r="V452" s="379"/>
      <c r="W452" s="379"/>
      <c r="X452" s="379"/>
      <c r="Y452" s="379"/>
      <c r="Z452" s="477"/>
    </row>
    <row r="454" spans="1:40" x14ac:dyDescent="0.25">
      <c r="A454" s="53"/>
      <c r="C454" s="54"/>
      <c r="T454" s="54"/>
      <c r="V454" s="379"/>
      <c r="W454" s="379"/>
      <c r="X454" s="379"/>
      <c r="Y454" s="379"/>
      <c r="Z454" s="477"/>
    </row>
    <row r="455" spans="1:40" x14ac:dyDescent="0.25">
      <c r="A455" s="53"/>
      <c r="C455" s="54"/>
      <c r="F455" s="449"/>
      <c r="H455" s="449"/>
      <c r="I455" s="449"/>
      <c r="J455" s="221"/>
      <c r="K455" s="221"/>
      <c r="L455" s="379"/>
      <c r="M455" s="379"/>
      <c r="N455" s="50"/>
      <c r="O455" s="50"/>
      <c r="P455" s="379"/>
      <c r="Q455" s="379"/>
      <c r="R455" s="379"/>
      <c r="T455" s="54"/>
      <c r="V455" s="379"/>
      <c r="W455" s="379"/>
      <c r="X455" s="379"/>
      <c r="Y455" s="379"/>
      <c r="Z455" s="221"/>
      <c r="AA455" s="379"/>
      <c r="AB455" s="379"/>
      <c r="AC455" s="50"/>
      <c r="AD455" s="50"/>
      <c r="AE455" s="379"/>
      <c r="AF455" s="379"/>
      <c r="AG455" s="156"/>
      <c r="AH455" s="60"/>
      <c r="AI455" s="379"/>
      <c r="AJ455" s="379"/>
      <c r="AK455" s="156"/>
      <c r="AL455" s="379"/>
      <c r="AM455" s="50"/>
      <c r="AN455" s="50"/>
    </row>
    <row r="456" spans="1:40" x14ac:dyDescent="0.25">
      <c r="A456" s="53"/>
      <c r="C456" s="54"/>
      <c r="F456" s="449"/>
      <c r="H456" s="449"/>
      <c r="I456" s="449"/>
      <c r="J456" s="221"/>
      <c r="K456" s="221"/>
      <c r="L456" s="379"/>
      <c r="M456" s="379"/>
      <c r="N456" s="50"/>
      <c r="O456" s="50"/>
      <c r="P456" s="379"/>
      <c r="Q456" s="379"/>
      <c r="R456" s="379"/>
      <c r="T456" s="54"/>
      <c r="V456" s="379"/>
      <c r="W456" s="379"/>
      <c r="X456" s="379"/>
      <c r="Y456" s="379"/>
      <c r="Z456" s="221"/>
      <c r="AA456" s="379"/>
      <c r="AB456" s="379"/>
      <c r="AC456" s="50"/>
      <c r="AD456" s="50"/>
      <c r="AE456" s="379"/>
      <c r="AF456" s="379"/>
      <c r="AG456" s="156"/>
      <c r="AH456" s="60"/>
      <c r="AI456" s="379"/>
      <c r="AJ456" s="379"/>
      <c r="AK456" s="156"/>
      <c r="AL456" s="379"/>
      <c r="AM456" s="50"/>
      <c r="AN456" s="50"/>
    </row>
    <row r="457" spans="1:40" x14ac:dyDescent="0.25">
      <c r="A457" s="53"/>
      <c r="C457" s="54"/>
      <c r="F457" s="449"/>
      <c r="H457" s="449"/>
      <c r="I457" s="449"/>
      <c r="J457" s="221"/>
      <c r="K457" s="221"/>
      <c r="L457" s="379"/>
      <c r="M457" s="379"/>
      <c r="N457" s="50"/>
      <c r="O457" s="50"/>
      <c r="P457" s="379"/>
      <c r="Q457" s="379"/>
      <c r="R457" s="379"/>
      <c r="T457" s="54"/>
      <c r="V457" s="379"/>
      <c r="W457" s="379"/>
      <c r="X457" s="379"/>
      <c r="Y457" s="379"/>
      <c r="Z457" s="221"/>
      <c r="AA457" s="379"/>
      <c r="AB457" s="379"/>
      <c r="AC457" s="50"/>
      <c r="AD457" s="50"/>
      <c r="AE457" s="379"/>
      <c r="AF457" s="379"/>
      <c r="AG457" s="156"/>
      <c r="AH457" s="60"/>
      <c r="AI457" s="379"/>
      <c r="AJ457" s="379"/>
      <c r="AK457" s="156"/>
      <c r="AL457" s="379"/>
      <c r="AM457" s="50"/>
      <c r="AN457" s="50"/>
    </row>
    <row r="458" spans="1:40" x14ac:dyDescent="0.25">
      <c r="A458" s="53"/>
      <c r="C458" s="54"/>
      <c r="F458" s="449"/>
      <c r="H458" s="449"/>
      <c r="I458" s="449"/>
      <c r="J458" s="221"/>
      <c r="K458" s="221"/>
      <c r="L458" s="379"/>
      <c r="M458" s="379"/>
      <c r="N458" s="50"/>
      <c r="O458" s="50"/>
      <c r="P458" s="379"/>
      <c r="Q458" s="379"/>
      <c r="R458" s="379"/>
      <c r="T458" s="54"/>
      <c r="V458" s="379"/>
      <c r="W458" s="379"/>
      <c r="X458" s="379"/>
      <c r="Y458" s="379"/>
      <c r="Z458" s="221"/>
      <c r="AA458" s="379"/>
      <c r="AB458" s="379"/>
      <c r="AC458" s="50"/>
      <c r="AD458" s="50"/>
      <c r="AE458" s="379"/>
      <c r="AF458" s="379"/>
      <c r="AG458" s="156"/>
      <c r="AH458" s="60"/>
      <c r="AI458" s="379"/>
      <c r="AJ458" s="379"/>
      <c r="AK458" s="156"/>
      <c r="AL458" s="379"/>
      <c r="AM458" s="50"/>
      <c r="AN458" s="50"/>
    </row>
    <row r="459" spans="1:40" x14ac:dyDescent="0.25">
      <c r="J459" s="65"/>
      <c r="K459" s="65"/>
      <c r="V459" s="379"/>
      <c r="W459" s="379"/>
      <c r="X459" s="379"/>
      <c r="Y459" s="379"/>
      <c r="Z459" s="221"/>
    </row>
    <row r="460" spans="1:40" x14ac:dyDescent="0.25">
      <c r="A460" s="53"/>
      <c r="C460" s="54"/>
      <c r="F460" s="449"/>
      <c r="H460" s="449"/>
      <c r="I460" s="449"/>
      <c r="J460" s="221"/>
      <c r="K460" s="221"/>
      <c r="L460" s="379"/>
      <c r="M460" s="379"/>
      <c r="N460" s="50"/>
      <c r="O460" s="50"/>
      <c r="P460" s="379"/>
      <c r="Q460" s="379"/>
      <c r="R460" s="379"/>
      <c r="T460" s="54"/>
      <c r="V460" s="379"/>
      <c r="W460" s="379"/>
      <c r="X460" s="379"/>
      <c r="Y460" s="379"/>
      <c r="Z460" s="221"/>
      <c r="AA460" s="379"/>
      <c r="AB460" s="379"/>
      <c r="AC460" s="50"/>
      <c r="AD460" s="50"/>
      <c r="AE460" s="379"/>
      <c r="AF460" s="379"/>
      <c r="AG460" s="156"/>
      <c r="AH460" s="60"/>
      <c r="AI460" s="379"/>
      <c r="AJ460" s="379"/>
      <c r="AK460" s="156"/>
      <c r="AL460" s="379"/>
      <c r="AM460" s="60"/>
      <c r="AN460" s="60"/>
    </row>
    <row r="461" spans="1:40" x14ac:dyDescent="0.25">
      <c r="A461" s="53"/>
      <c r="C461" s="54"/>
      <c r="J461" s="65"/>
      <c r="K461" s="65"/>
      <c r="T461" s="54"/>
      <c r="V461" s="379"/>
      <c r="W461" s="379"/>
      <c r="X461" s="379"/>
      <c r="Y461" s="379"/>
      <c r="Z461" s="221"/>
    </row>
    <row r="462" spans="1:40" x14ac:dyDescent="0.25">
      <c r="A462" s="53"/>
      <c r="C462" s="54"/>
      <c r="F462" s="449"/>
      <c r="H462" s="449"/>
      <c r="I462" s="449"/>
      <c r="J462" s="221"/>
      <c r="K462" s="221"/>
      <c r="L462" s="379"/>
      <c r="M462" s="379"/>
      <c r="N462" s="50"/>
      <c r="O462" s="50"/>
      <c r="P462" s="379"/>
      <c r="Q462" s="379"/>
      <c r="R462" s="379"/>
      <c r="T462" s="54"/>
      <c r="V462" s="379"/>
      <c r="W462" s="379"/>
      <c r="X462" s="379"/>
      <c r="Y462" s="379"/>
      <c r="Z462" s="221"/>
      <c r="AA462" s="379"/>
      <c r="AB462" s="379"/>
      <c r="AC462" s="50"/>
      <c r="AD462" s="50"/>
      <c r="AE462" s="379"/>
      <c r="AF462" s="379"/>
      <c r="AG462" s="156"/>
      <c r="AH462" s="60"/>
      <c r="AI462" s="379"/>
      <c r="AJ462" s="379"/>
      <c r="AK462" s="156"/>
      <c r="AL462" s="379"/>
      <c r="AM462" s="60"/>
      <c r="AN462" s="60"/>
    </row>
    <row r="463" spans="1:40" x14ac:dyDescent="0.25">
      <c r="J463" s="65"/>
      <c r="K463" s="65"/>
      <c r="Z463" s="65"/>
    </row>
    <row r="464" spans="1:40" x14ac:dyDescent="0.25">
      <c r="A464" s="53"/>
      <c r="C464" s="54"/>
      <c r="J464" s="65"/>
      <c r="K464" s="65"/>
      <c r="T464" s="54"/>
      <c r="V464" s="379"/>
      <c r="W464" s="379"/>
      <c r="X464" s="379"/>
      <c r="Y464" s="379"/>
      <c r="Z464" s="221"/>
    </row>
    <row r="465" spans="1:40" x14ac:dyDescent="0.25">
      <c r="A465" s="53"/>
      <c r="C465" s="54"/>
      <c r="F465" s="449"/>
      <c r="H465" s="449"/>
      <c r="I465" s="449"/>
      <c r="J465" s="221"/>
      <c r="K465" s="221"/>
      <c r="L465" s="379"/>
      <c r="M465" s="379"/>
      <c r="N465" s="50"/>
      <c r="O465" s="50"/>
      <c r="P465" s="379"/>
      <c r="Q465" s="379"/>
      <c r="R465" s="379"/>
      <c r="T465" s="54"/>
      <c r="V465" s="379"/>
      <c r="W465" s="379"/>
      <c r="X465" s="379"/>
      <c r="Y465" s="379"/>
      <c r="Z465" s="221"/>
      <c r="AA465" s="379"/>
      <c r="AB465" s="379"/>
      <c r="AC465" s="50"/>
      <c r="AD465" s="50"/>
      <c r="AE465" s="379"/>
      <c r="AF465" s="379"/>
      <c r="AG465" s="156"/>
      <c r="AH465" s="60"/>
      <c r="AI465" s="379"/>
      <c r="AJ465" s="379"/>
      <c r="AK465" s="156"/>
      <c r="AL465" s="379"/>
      <c r="AM465" s="60"/>
      <c r="AN465" s="60"/>
    </row>
    <row r="466" spans="1:40" x14ac:dyDescent="0.25">
      <c r="A466" s="53"/>
      <c r="C466" s="54"/>
      <c r="F466" s="449"/>
      <c r="H466" s="449"/>
      <c r="I466" s="449"/>
      <c r="J466" s="221"/>
      <c r="K466" s="221"/>
      <c r="L466" s="379"/>
      <c r="M466" s="379"/>
      <c r="N466" s="50"/>
      <c r="O466" s="50"/>
      <c r="P466" s="379"/>
      <c r="Q466" s="379"/>
      <c r="R466" s="379"/>
      <c r="T466" s="54"/>
      <c r="V466" s="379"/>
      <c r="W466" s="379"/>
      <c r="X466" s="379"/>
      <c r="Y466" s="379"/>
      <c r="Z466" s="221"/>
      <c r="AA466" s="379"/>
      <c r="AB466" s="379"/>
      <c r="AC466" s="50"/>
      <c r="AD466" s="50"/>
      <c r="AE466" s="379"/>
      <c r="AF466" s="379"/>
      <c r="AG466" s="156"/>
      <c r="AH466" s="60"/>
      <c r="AI466" s="379"/>
      <c r="AJ466" s="379"/>
      <c r="AK466" s="156"/>
      <c r="AL466" s="379"/>
      <c r="AM466" s="60"/>
      <c r="AN466" s="60"/>
    </row>
    <row r="467" spans="1:40" x14ac:dyDescent="0.25">
      <c r="F467" s="381"/>
      <c r="H467" s="381"/>
      <c r="I467" s="381"/>
      <c r="J467" s="221"/>
      <c r="K467" s="221"/>
      <c r="L467" s="381"/>
      <c r="M467" s="381"/>
      <c r="N467" s="381"/>
      <c r="O467" s="381"/>
      <c r="P467" s="381"/>
      <c r="Q467" s="381"/>
      <c r="R467" s="381"/>
      <c r="V467" s="381"/>
      <c r="Y467" s="381"/>
      <c r="Z467" s="464"/>
      <c r="AA467" s="381"/>
      <c r="AB467" s="381"/>
      <c r="AC467" s="381"/>
      <c r="AD467" s="381"/>
      <c r="AE467" s="381"/>
      <c r="AF467" s="381"/>
      <c r="AI467" s="381"/>
      <c r="AJ467" s="381"/>
      <c r="AK467" s="162"/>
      <c r="AL467" s="381"/>
    </row>
    <row r="468" spans="1:40" x14ac:dyDescent="0.25">
      <c r="A468" s="53"/>
      <c r="C468" s="54"/>
      <c r="F468" s="379"/>
      <c r="H468" s="379"/>
      <c r="I468" s="379"/>
      <c r="L468" s="379"/>
      <c r="M468" s="379"/>
      <c r="N468" s="50"/>
      <c r="O468" s="50"/>
      <c r="P468" s="449"/>
      <c r="Q468" s="449"/>
      <c r="R468" s="379"/>
      <c r="T468" s="54"/>
      <c r="V468" s="379"/>
      <c r="W468" s="379"/>
      <c r="X468" s="379"/>
      <c r="Y468" s="379"/>
      <c r="Z468" s="477"/>
      <c r="AA468" s="379"/>
      <c r="AB468" s="379"/>
      <c r="AC468" s="50"/>
      <c r="AD468" s="50"/>
      <c r="AE468" s="379"/>
      <c r="AF468" s="379"/>
      <c r="AG468" s="156"/>
      <c r="AH468" s="60"/>
      <c r="AI468" s="449"/>
      <c r="AJ468" s="449"/>
      <c r="AK468" s="156"/>
      <c r="AL468" s="379"/>
      <c r="AM468" s="60"/>
      <c r="AN468" s="60"/>
    </row>
    <row r="469" spans="1:40" x14ac:dyDescent="0.25">
      <c r="F469" s="381"/>
      <c r="H469" s="381"/>
      <c r="I469" s="381"/>
      <c r="J469" s="464"/>
      <c r="K469" s="464"/>
      <c r="L469" s="381"/>
      <c r="M469" s="381"/>
      <c r="N469" s="381"/>
      <c r="O469" s="381"/>
      <c r="P469" s="381"/>
      <c r="Q469" s="381"/>
      <c r="R469" s="381"/>
      <c r="V469" s="381"/>
      <c r="Y469" s="381"/>
      <c r="Z469" s="464"/>
      <c r="AA469" s="381"/>
      <c r="AB469" s="381"/>
      <c r="AC469" s="381"/>
      <c r="AD469" s="381"/>
      <c r="AE469" s="381"/>
      <c r="AF469" s="381"/>
      <c r="AI469" s="381"/>
      <c r="AJ469" s="381"/>
      <c r="AK469" s="162"/>
      <c r="AL469" s="381"/>
    </row>
    <row r="471" spans="1:40" x14ac:dyDescent="0.25">
      <c r="C471" s="53"/>
      <c r="T471" s="53"/>
    </row>
    <row r="472" spans="1:40" x14ac:dyDescent="0.25">
      <c r="A472" s="54"/>
    </row>
    <row r="473" spans="1:40" x14ac:dyDescent="0.25">
      <c r="J473" s="53"/>
      <c r="K473" s="53"/>
      <c r="Z473" s="53"/>
    </row>
    <row r="474" spans="1:40" x14ac:dyDescent="0.25">
      <c r="H474" s="54"/>
      <c r="I474" s="54"/>
      <c r="Y474" s="54"/>
    </row>
    <row r="475" spans="1:40" x14ac:dyDescent="0.25">
      <c r="J475" s="53"/>
      <c r="K475" s="53"/>
      <c r="Z475" s="53"/>
    </row>
    <row r="476" spans="1:40" x14ac:dyDescent="0.25">
      <c r="L476" s="54"/>
      <c r="M476" s="54"/>
      <c r="AA476" s="54"/>
      <c r="AB476" s="54"/>
    </row>
    <row r="477" spans="1:40" x14ac:dyDescent="0.25">
      <c r="A477" s="53"/>
      <c r="R477" s="54"/>
      <c r="AK477" s="161"/>
      <c r="AL477" s="54"/>
    </row>
    <row r="478" spans="1:40" x14ac:dyDescent="0.25">
      <c r="A478" s="53"/>
      <c r="R478" s="54"/>
      <c r="AK478" s="161"/>
      <c r="AL478" s="54"/>
    </row>
    <row r="479" spans="1:40" x14ac:dyDescent="0.25">
      <c r="A479" s="54"/>
      <c r="R479" s="54"/>
      <c r="AK479" s="161"/>
      <c r="AL479" s="54"/>
    </row>
    <row r="480" spans="1:40" x14ac:dyDescent="0.25">
      <c r="L480" s="54"/>
      <c r="M480" s="54"/>
      <c r="R480" s="53"/>
      <c r="AA480" s="54"/>
      <c r="AB480" s="54"/>
      <c r="AK480" s="156"/>
      <c r="AL480" s="53"/>
    </row>
    <row r="481" spans="1:40" x14ac:dyDescent="0.25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154"/>
      <c r="AH481" s="55"/>
      <c r="AI481" s="55"/>
      <c r="AJ481" s="55"/>
      <c r="AK481" s="154"/>
      <c r="AL481" s="55"/>
      <c r="AM481" s="55"/>
      <c r="AN481" s="55"/>
    </row>
    <row r="482" spans="1:40" x14ac:dyDescent="0.25">
      <c r="L482" s="56"/>
      <c r="M482" s="56"/>
      <c r="N482" s="56"/>
      <c r="O482" s="56"/>
      <c r="R482" s="56"/>
      <c r="AA482" s="56"/>
      <c r="AB482" s="56"/>
      <c r="AC482" s="56"/>
      <c r="AD482" s="56"/>
      <c r="AE482" s="56"/>
      <c r="AF482" s="56"/>
      <c r="AG482" s="155"/>
      <c r="AH482" s="56"/>
      <c r="AK482" s="155"/>
      <c r="AL482" s="56"/>
      <c r="AM482" s="56"/>
      <c r="AN482" s="56"/>
    </row>
    <row r="483" spans="1:40" x14ac:dyDescent="0.25">
      <c r="L483" s="56"/>
      <c r="M483" s="56"/>
      <c r="N483" s="56"/>
      <c r="O483" s="56"/>
      <c r="R483" s="56"/>
      <c r="Z483" s="56"/>
      <c r="AA483" s="56"/>
      <c r="AB483" s="56"/>
      <c r="AC483" s="56"/>
      <c r="AD483" s="56"/>
      <c r="AE483" s="56"/>
      <c r="AF483" s="56"/>
      <c r="AG483" s="155"/>
      <c r="AH483" s="56"/>
      <c r="AK483" s="155"/>
      <c r="AL483" s="56"/>
      <c r="AM483" s="56"/>
      <c r="AN483" s="56"/>
    </row>
    <row r="484" spans="1:40" x14ac:dyDescent="0.25">
      <c r="A484" s="56"/>
      <c r="C484" s="56"/>
      <c r="D484" s="56"/>
      <c r="E484" s="56"/>
      <c r="F484" s="56"/>
      <c r="J484" s="56"/>
      <c r="K484" s="56"/>
      <c r="L484" s="56"/>
      <c r="M484" s="56"/>
      <c r="N484" s="56"/>
      <c r="O484" s="56"/>
      <c r="P484" s="56"/>
      <c r="Q484" s="56"/>
      <c r="R484" s="56"/>
      <c r="T484" s="56"/>
      <c r="U484" s="56"/>
      <c r="V484" s="56"/>
      <c r="Z484" s="56"/>
      <c r="AA484" s="56"/>
      <c r="AB484" s="56"/>
      <c r="AC484" s="56"/>
      <c r="AD484" s="56"/>
      <c r="AE484" s="56"/>
      <c r="AF484" s="56"/>
      <c r="AG484" s="155"/>
      <c r="AH484" s="56"/>
      <c r="AI484" s="56"/>
      <c r="AJ484" s="56"/>
      <c r="AK484" s="155"/>
      <c r="AL484" s="56"/>
      <c r="AM484" s="56"/>
      <c r="AN484" s="56"/>
    </row>
    <row r="485" spans="1:40" x14ac:dyDescent="0.25">
      <c r="A485" s="56"/>
      <c r="C485" s="56"/>
      <c r="D485" s="56"/>
      <c r="E485" s="56"/>
      <c r="F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T485" s="56"/>
      <c r="U485" s="56"/>
      <c r="V485" s="56"/>
      <c r="Y485" s="56"/>
      <c r="Z485" s="56"/>
      <c r="AA485" s="56"/>
      <c r="AB485" s="56"/>
      <c r="AC485" s="56"/>
      <c r="AD485" s="56"/>
      <c r="AE485" s="56"/>
      <c r="AF485" s="56"/>
      <c r="AG485" s="155"/>
      <c r="AH485" s="56"/>
      <c r="AI485" s="56"/>
      <c r="AJ485" s="56"/>
      <c r="AK485" s="155"/>
      <c r="AL485" s="56"/>
      <c r="AM485" s="56"/>
      <c r="AN485" s="56"/>
    </row>
    <row r="486" spans="1:40" x14ac:dyDescent="0.25">
      <c r="C486" s="56"/>
      <c r="D486" s="56"/>
      <c r="E486" s="56"/>
      <c r="F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T486" s="56"/>
      <c r="U486" s="56"/>
      <c r="V486" s="56"/>
      <c r="Y486" s="56"/>
      <c r="Z486" s="56"/>
      <c r="AA486" s="56"/>
      <c r="AB486" s="56"/>
      <c r="AC486" s="56"/>
      <c r="AD486" s="56"/>
      <c r="AE486" s="56"/>
      <c r="AF486" s="56"/>
      <c r="AG486" s="155"/>
      <c r="AH486" s="56"/>
      <c r="AI486" s="56"/>
      <c r="AJ486" s="56"/>
      <c r="AK486" s="155"/>
      <c r="AL486" s="56"/>
      <c r="AM486" s="56"/>
      <c r="AN486" s="56"/>
    </row>
    <row r="487" spans="1:40" x14ac:dyDescent="0.25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154"/>
      <c r="AH487" s="55"/>
      <c r="AI487" s="55"/>
      <c r="AJ487" s="55"/>
      <c r="AK487" s="154"/>
      <c r="AL487" s="55"/>
      <c r="AM487" s="55"/>
      <c r="AN487" s="55"/>
    </row>
    <row r="488" spans="1:40" x14ac:dyDescent="0.25"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Y488" s="56"/>
      <c r="Z488" s="56"/>
      <c r="AA488" s="56"/>
      <c r="AB488" s="56"/>
      <c r="AC488" s="56"/>
      <c r="AD488" s="56"/>
      <c r="AE488" s="56"/>
      <c r="AF488" s="56"/>
      <c r="AG488" s="155"/>
      <c r="AH488" s="56"/>
      <c r="AI488" s="56"/>
      <c r="AJ488" s="56"/>
      <c r="AK488" s="155"/>
      <c r="AL488" s="56"/>
      <c r="AM488" s="56"/>
      <c r="AN488" s="56"/>
    </row>
    <row r="489" spans="1:40" x14ac:dyDescent="0.25">
      <c r="A489" s="53"/>
      <c r="C489" s="54"/>
      <c r="D489" s="54"/>
      <c r="E489" s="54"/>
      <c r="T489" s="54"/>
      <c r="U489" s="54"/>
    </row>
    <row r="491" spans="1:40" x14ac:dyDescent="0.25">
      <c r="A491" s="53"/>
      <c r="C491" s="54"/>
      <c r="T491" s="54"/>
    </row>
    <row r="492" spans="1:40" x14ac:dyDescent="0.25">
      <c r="A492" s="53"/>
      <c r="C492" s="54"/>
      <c r="T492" s="54"/>
    </row>
    <row r="493" spans="1:40" x14ac:dyDescent="0.25">
      <c r="A493" s="53"/>
      <c r="C493" s="54"/>
      <c r="F493" s="449"/>
      <c r="H493" s="449"/>
      <c r="I493" s="449"/>
      <c r="J493" s="221"/>
      <c r="K493" s="221"/>
      <c r="L493" s="379"/>
      <c r="M493" s="379"/>
      <c r="N493" s="50"/>
      <c r="O493" s="50"/>
      <c r="P493" s="379"/>
      <c r="Q493" s="379"/>
      <c r="R493" s="379"/>
      <c r="T493" s="54"/>
      <c r="V493" s="379"/>
      <c r="W493" s="379"/>
      <c r="X493" s="379"/>
      <c r="Y493" s="379"/>
      <c r="Z493" s="221"/>
      <c r="AA493" s="379"/>
      <c r="AB493" s="379"/>
      <c r="AC493" s="50"/>
      <c r="AD493" s="50"/>
      <c r="AE493" s="379"/>
      <c r="AF493" s="379"/>
      <c r="AG493" s="156"/>
      <c r="AH493" s="60"/>
      <c r="AI493" s="379"/>
      <c r="AJ493" s="379"/>
      <c r="AK493" s="156"/>
      <c r="AL493" s="379"/>
      <c r="AM493" s="60"/>
      <c r="AN493" s="60"/>
    </row>
    <row r="494" spans="1:40" x14ac:dyDescent="0.25">
      <c r="A494" s="53"/>
      <c r="C494" s="54"/>
      <c r="F494" s="379"/>
      <c r="H494" s="379"/>
      <c r="I494" s="379"/>
      <c r="J494" s="65"/>
      <c r="K494" s="65"/>
      <c r="L494" s="379"/>
      <c r="M494" s="379"/>
      <c r="N494" s="50"/>
      <c r="O494" s="50"/>
      <c r="P494" s="379"/>
      <c r="Q494" s="379"/>
      <c r="R494" s="379"/>
      <c r="T494" s="54"/>
      <c r="V494" s="379"/>
      <c r="W494" s="379"/>
      <c r="X494" s="379"/>
      <c r="Y494" s="379"/>
      <c r="Z494" s="65"/>
      <c r="AA494" s="379"/>
      <c r="AB494" s="379"/>
      <c r="AC494" s="50"/>
      <c r="AD494" s="50"/>
      <c r="AE494" s="379"/>
      <c r="AF494" s="379"/>
      <c r="AG494" s="156"/>
      <c r="AH494" s="60"/>
      <c r="AI494" s="379"/>
      <c r="AJ494" s="379"/>
      <c r="AK494" s="156"/>
      <c r="AL494" s="379"/>
      <c r="AM494" s="60"/>
      <c r="AN494" s="60"/>
    </row>
    <row r="495" spans="1:40" x14ac:dyDescent="0.25">
      <c r="A495" s="53"/>
      <c r="C495" s="54"/>
      <c r="F495" s="379"/>
      <c r="H495" s="379"/>
      <c r="I495" s="379"/>
      <c r="J495" s="65"/>
      <c r="K495" s="65"/>
      <c r="L495" s="379"/>
      <c r="M495" s="379"/>
      <c r="N495" s="50"/>
      <c r="O495" s="50"/>
      <c r="P495" s="379"/>
      <c r="Q495" s="379"/>
      <c r="R495" s="379"/>
      <c r="T495" s="54"/>
      <c r="V495" s="379"/>
      <c r="W495" s="379"/>
      <c r="X495" s="379"/>
      <c r="Y495" s="379"/>
      <c r="Z495" s="65"/>
      <c r="AA495" s="379"/>
      <c r="AB495" s="379"/>
      <c r="AC495" s="50"/>
      <c r="AD495" s="50"/>
      <c r="AE495" s="379"/>
      <c r="AF495" s="379"/>
      <c r="AG495" s="156"/>
      <c r="AH495" s="60"/>
      <c r="AI495" s="379"/>
      <c r="AJ495" s="379"/>
      <c r="AK495" s="156"/>
      <c r="AL495" s="379"/>
      <c r="AM495" s="60"/>
      <c r="AN495" s="60"/>
    </row>
    <row r="496" spans="1:40" x14ac:dyDescent="0.25">
      <c r="A496" s="53"/>
      <c r="C496" s="54"/>
      <c r="F496" s="379"/>
      <c r="H496" s="379"/>
      <c r="I496" s="379"/>
      <c r="J496" s="65"/>
      <c r="K496" s="65"/>
      <c r="T496" s="54"/>
      <c r="V496" s="379"/>
      <c r="Z496" s="65"/>
    </row>
    <row r="497" spans="1:40" x14ac:dyDescent="0.25">
      <c r="A497" s="53"/>
      <c r="C497" s="54"/>
      <c r="F497" s="449"/>
      <c r="H497" s="449"/>
      <c r="I497" s="449"/>
      <c r="J497" s="221"/>
      <c r="K497" s="221"/>
      <c r="L497" s="379"/>
      <c r="M497" s="379"/>
      <c r="N497" s="50"/>
      <c r="O497" s="50"/>
      <c r="P497" s="379"/>
      <c r="Q497" s="379"/>
      <c r="R497" s="379"/>
      <c r="T497" s="54"/>
      <c r="V497" s="379"/>
      <c r="W497" s="379"/>
      <c r="X497" s="379"/>
      <c r="Y497" s="379"/>
      <c r="Z497" s="221"/>
      <c r="AA497" s="379"/>
      <c r="AB497" s="379"/>
      <c r="AC497" s="50"/>
      <c r="AD497" s="50"/>
      <c r="AE497" s="379"/>
      <c r="AF497" s="379"/>
      <c r="AG497" s="156"/>
      <c r="AH497" s="60"/>
      <c r="AI497" s="379"/>
      <c r="AJ497" s="379"/>
      <c r="AK497" s="156"/>
      <c r="AL497" s="379"/>
      <c r="AM497" s="60"/>
      <c r="AN497" s="60"/>
    </row>
    <row r="498" spans="1:40" x14ac:dyDescent="0.25">
      <c r="A498" s="53"/>
      <c r="C498" s="54"/>
      <c r="F498" s="379"/>
      <c r="H498" s="379"/>
      <c r="I498" s="379"/>
      <c r="J498" s="65"/>
      <c r="K498" s="65"/>
      <c r="T498" s="54"/>
      <c r="V498" s="379"/>
      <c r="W498" s="379"/>
      <c r="X498" s="379"/>
      <c r="Y498" s="379"/>
      <c r="Z498" s="65"/>
      <c r="AC498" s="50"/>
      <c r="AD498" s="50"/>
      <c r="AE498" s="379"/>
      <c r="AF498" s="379"/>
      <c r="AG498" s="156"/>
      <c r="AH498" s="60"/>
      <c r="AI498" s="379"/>
      <c r="AJ498" s="379"/>
      <c r="AK498" s="156"/>
      <c r="AL498" s="379"/>
      <c r="AM498" s="60"/>
      <c r="AN498" s="60"/>
    </row>
    <row r="499" spans="1:40" x14ac:dyDescent="0.25">
      <c r="A499" s="53"/>
      <c r="C499" s="54"/>
      <c r="F499" s="449"/>
      <c r="H499" s="449"/>
      <c r="I499" s="449"/>
      <c r="J499" s="221"/>
      <c r="K499" s="221"/>
      <c r="L499" s="379"/>
      <c r="M499" s="379"/>
      <c r="N499" s="50"/>
      <c r="O499" s="50"/>
      <c r="P499" s="379"/>
      <c r="Q499" s="379"/>
      <c r="R499" s="379"/>
      <c r="T499" s="54"/>
      <c r="V499" s="379"/>
      <c r="W499" s="379"/>
      <c r="X499" s="379"/>
      <c r="Y499" s="379"/>
      <c r="Z499" s="221"/>
      <c r="AA499" s="379"/>
      <c r="AB499" s="379"/>
      <c r="AC499" s="50"/>
      <c r="AD499" s="50"/>
      <c r="AE499" s="379"/>
      <c r="AF499" s="379"/>
      <c r="AG499" s="156"/>
      <c r="AH499" s="60"/>
      <c r="AI499" s="379"/>
      <c r="AJ499" s="379"/>
      <c r="AK499" s="156"/>
      <c r="AL499" s="379"/>
      <c r="AM499" s="60"/>
      <c r="AN499" s="60"/>
    </row>
    <row r="500" spans="1:40" x14ac:dyDescent="0.25">
      <c r="A500" s="53"/>
      <c r="C500" s="54"/>
      <c r="F500" s="379"/>
      <c r="H500" s="379"/>
      <c r="I500" s="379"/>
      <c r="J500" s="65"/>
      <c r="K500" s="65"/>
      <c r="L500" s="379"/>
      <c r="M500" s="379"/>
      <c r="N500" s="50"/>
      <c r="O500" s="50"/>
      <c r="P500" s="379"/>
      <c r="Q500" s="379"/>
      <c r="R500" s="379"/>
      <c r="T500" s="54"/>
      <c r="V500" s="379"/>
      <c r="W500" s="379"/>
      <c r="X500" s="379"/>
      <c r="Y500" s="379"/>
      <c r="Z500" s="65"/>
      <c r="AA500" s="379"/>
      <c r="AB500" s="379"/>
      <c r="AC500" s="50"/>
      <c r="AD500" s="50"/>
      <c r="AE500" s="379"/>
      <c r="AF500" s="379"/>
      <c r="AG500" s="156"/>
      <c r="AH500" s="60"/>
      <c r="AI500" s="379"/>
      <c r="AJ500" s="379"/>
      <c r="AK500" s="156"/>
      <c r="AL500" s="379"/>
      <c r="AM500" s="60"/>
      <c r="AN500" s="60"/>
    </row>
    <row r="501" spans="1:40" x14ac:dyDescent="0.25">
      <c r="F501" s="379"/>
      <c r="H501" s="379"/>
      <c r="I501" s="379"/>
      <c r="J501" s="65"/>
      <c r="K501" s="65"/>
      <c r="Z501" s="65"/>
    </row>
    <row r="502" spans="1:40" x14ac:dyDescent="0.25">
      <c r="A502" s="53"/>
      <c r="C502" s="54"/>
      <c r="F502" s="379"/>
      <c r="H502" s="449"/>
      <c r="I502" s="449"/>
      <c r="J502" s="221"/>
      <c r="K502" s="221"/>
      <c r="L502" s="379"/>
      <c r="M502" s="379"/>
      <c r="N502" s="50"/>
      <c r="O502" s="50"/>
      <c r="P502" s="379"/>
      <c r="Q502" s="379"/>
      <c r="R502" s="379"/>
      <c r="T502" s="54"/>
      <c r="V502" s="379"/>
      <c r="W502" s="379"/>
      <c r="X502" s="379"/>
      <c r="Y502" s="379"/>
      <c r="Z502" s="221"/>
      <c r="AA502" s="379"/>
      <c r="AB502" s="379"/>
      <c r="AC502" s="50"/>
      <c r="AD502" s="50"/>
      <c r="AE502" s="379"/>
      <c r="AF502" s="379"/>
      <c r="AG502" s="156"/>
      <c r="AH502" s="60"/>
      <c r="AI502" s="379"/>
      <c r="AJ502" s="379"/>
      <c r="AK502" s="156"/>
      <c r="AL502" s="379"/>
      <c r="AM502" s="60"/>
      <c r="AN502" s="60"/>
    </row>
    <row r="503" spans="1:40" x14ac:dyDescent="0.25">
      <c r="F503" s="381"/>
      <c r="H503" s="381"/>
      <c r="I503" s="381"/>
      <c r="J503" s="221"/>
      <c r="K503" s="221"/>
      <c r="L503" s="381"/>
      <c r="M503" s="381"/>
      <c r="N503" s="381"/>
      <c r="O503" s="381"/>
      <c r="P503" s="381"/>
      <c r="Q503" s="381"/>
      <c r="R503" s="381"/>
      <c r="V503" s="381"/>
      <c r="Y503" s="381"/>
      <c r="Z503" s="221"/>
      <c r="AA503" s="381"/>
      <c r="AB503" s="381"/>
      <c r="AC503" s="381"/>
      <c r="AD503" s="381"/>
      <c r="AE503" s="381"/>
      <c r="AF503" s="381"/>
      <c r="AI503" s="381"/>
      <c r="AJ503" s="381"/>
      <c r="AK503" s="162"/>
      <c r="AL503" s="381"/>
    </row>
    <row r="504" spans="1:40" x14ac:dyDescent="0.25">
      <c r="A504" s="53"/>
      <c r="C504" s="54"/>
      <c r="F504" s="379"/>
      <c r="H504" s="379"/>
      <c r="I504" s="379"/>
      <c r="J504" s="65"/>
      <c r="K504" s="65"/>
      <c r="L504" s="379"/>
      <c r="M504" s="379"/>
      <c r="N504" s="53"/>
      <c r="O504" s="53"/>
      <c r="P504" s="379"/>
      <c r="Q504" s="379"/>
      <c r="R504" s="379"/>
      <c r="T504" s="54"/>
      <c r="V504" s="379"/>
      <c r="Y504" s="379"/>
      <c r="Z504" s="65"/>
      <c r="AA504" s="379"/>
      <c r="AB504" s="379"/>
      <c r="AC504" s="60"/>
      <c r="AD504" s="60"/>
      <c r="AE504" s="379"/>
      <c r="AF504" s="379"/>
      <c r="AG504" s="156"/>
      <c r="AH504" s="60"/>
      <c r="AI504" s="379"/>
      <c r="AJ504" s="379"/>
      <c r="AK504" s="156"/>
      <c r="AL504" s="379"/>
      <c r="AM504" s="60"/>
      <c r="AN504" s="60"/>
    </row>
    <row r="505" spans="1:40" x14ac:dyDescent="0.25">
      <c r="F505" s="381"/>
      <c r="H505" s="381"/>
      <c r="I505" s="381"/>
      <c r="J505" s="221"/>
      <c r="K505" s="221"/>
      <c r="L505" s="381"/>
      <c r="M505" s="381"/>
      <c r="N505" s="381"/>
      <c r="O505" s="381"/>
      <c r="P505" s="381"/>
      <c r="Q505" s="381"/>
      <c r="R505" s="381"/>
      <c r="V505" s="381"/>
      <c r="Y505" s="381"/>
      <c r="Z505" s="221"/>
      <c r="AA505" s="381"/>
      <c r="AB505" s="381"/>
      <c r="AC505" s="381"/>
      <c r="AD505" s="381"/>
      <c r="AE505" s="381"/>
      <c r="AF505" s="381"/>
      <c r="AI505" s="381"/>
      <c r="AJ505" s="381"/>
      <c r="AK505" s="162"/>
      <c r="AL505" s="381"/>
    </row>
    <row r="506" spans="1:40" x14ac:dyDescent="0.25">
      <c r="J506" s="65"/>
      <c r="K506" s="65"/>
      <c r="Z506" s="65"/>
    </row>
    <row r="507" spans="1:40" x14ac:dyDescent="0.25">
      <c r="A507" s="53"/>
      <c r="C507" s="54"/>
      <c r="J507" s="65"/>
      <c r="K507" s="65"/>
      <c r="T507" s="54"/>
      <c r="Z507" s="65"/>
    </row>
    <row r="508" spans="1:40" x14ac:dyDescent="0.25">
      <c r="A508" s="53"/>
      <c r="C508" s="54"/>
      <c r="J508" s="65"/>
      <c r="K508" s="65"/>
      <c r="T508" s="54"/>
      <c r="Z508" s="65"/>
    </row>
    <row r="509" spans="1:40" x14ac:dyDescent="0.25">
      <c r="A509" s="53"/>
      <c r="C509" s="54"/>
      <c r="F509" s="449"/>
      <c r="H509" s="449"/>
      <c r="I509" s="449"/>
      <c r="J509" s="221"/>
      <c r="K509" s="221"/>
      <c r="L509" s="379"/>
      <c r="M509" s="379"/>
      <c r="N509" s="50"/>
      <c r="O509" s="50"/>
      <c r="P509" s="379"/>
      <c r="Q509" s="379"/>
      <c r="R509" s="379"/>
      <c r="T509" s="54"/>
      <c r="V509" s="379"/>
      <c r="W509" s="379"/>
      <c r="X509" s="379"/>
      <c r="Y509" s="379"/>
      <c r="Z509" s="221"/>
      <c r="AA509" s="379"/>
      <c r="AB509" s="379"/>
      <c r="AC509" s="50"/>
      <c r="AD509" s="50"/>
      <c r="AE509" s="379"/>
      <c r="AF509" s="379"/>
      <c r="AG509" s="156"/>
      <c r="AH509" s="60"/>
      <c r="AI509" s="379"/>
      <c r="AJ509" s="379"/>
      <c r="AK509" s="156"/>
      <c r="AL509" s="379"/>
      <c r="AM509" s="60"/>
      <c r="AN509" s="60"/>
    </row>
    <row r="510" spans="1:40" x14ac:dyDescent="0.25">
      <c r="A510" s="53"/>
      <c r="C510" s="54"/>
      <c r="J510" s="65"/>
      <c r="K510" s="65"/>
      <c r="T510" s="54"/>
      <c r="Z510" s="65"/>
    </row>
    <row r="511" spans="1:40" x14ac:dyDescent="0.25">
      <c r="A511" s="53"/>
      <c r="C511" s="54"/>
      <c r="F511" s="449"/>
      <c r="H511" s="449"/>
      <c r="I511" s="449"/>
      <c r="J511" s="221"/>
      <c r="K511" s="221"/>
      <c r="L511" s="379"/>
      <c r="M511" s="379"/>
      <c r="N511" s="50"/>
      <c r="O511" s="50"/>
      <c r="P511" s="379"/>
      <c r="Q511" s="379"/>
      <c r="R511" s="379"/>
      <c r="T511" s="54"/>
      <c r="V511" s="379"/>
      <c r="W511" s="379"/>
      <c r="X511" s="379"/>
      <c r="Y511" s="379"/>
      <c r="Z511" s="221"/>
      <c r="AA511" s="379"/>
      <c r="AB511" s="379"/>
      <c r="AC511" s="50"/>
      <c r="AD511" s="50"/>
      <c r="AE511" s="379"/>
      <c r="AF511" s="379"/>
      <c r="AG511" s="156"/>
      <c r="AH511" s="60"/>
      <c r="AI511" s="379"/>
      <c r="AJ511" s="379"/>
      <c r="AK511" s="156"/>
      <c r="AL511" s="379"/>
      <c r="AM511" s="60"/>
      <c r="AN511" s="60"/>
    </row>
    <row r="512" spans="1:40" x14ac:dyDescent="0.25">
      <c r="F512" s="381"/>
      <c r="H512" s="381"/>
      <c r="I512" s="381"/>
      <c r="J512" s="221"/>
      <c r="K512" s="221"/>
      <c r="L512" s="381"/>
      <c r="M512" s="381"/>
      <c r="N512" s="381"/>
      <c r="O512" s="381"/>
      <c r="P512" s="381"/>
      <c r="Q512" s="381"/>
      <c r="R512" s="381"/>
      <c r="V512" s="381"/>
      <c r="Y512" s="381"/>
      <c r="Z512" s="221"/>
      <c r="AA512" s="381"/>
      <c r="AB512" s="381"/>
      <c r="AC512" s="381"/>
      <c r="AD512" s="381"/>
      <c r="AE512" s="381"/>
      <c r="AF512" s="381"/>
      <c r="AI512" s="381"/>
      <c r="AJ512" s="381"/>
      <c r="AK512" s="162"/>
      <c r="AL512" s="381"/>
    </row>
    <row r="513" spans="1:40" x14ac:dyDescent="0.25">
      <c r="A513" s="53"/>
      <c r="C513" s="54"/>
      <c r="F513" s="379"/>
      <c r="H513" s="379"/>
      <c r="I513" s="379"/>
      <c r="J513" s="65"/>
      <c r="K513" s="65"/>
      <c r="L513" s="379"/>
      <c r="M513" s="379"/>
      <c r="N513" s="60"/>
      <c r="O513" s="60"/>
      <c r="P513" s="379"/>
      <c r="Q513" s="379"/>
      <c r="R513" s="379"/>
      <c r="T513" s="54"/>
      <c r="V513" s="379"/>
      <c r="Y513" s="379"/>
      <c r="Z513" s="65"/>
      <c r="AA513" s="379"/>
      <c r="AB513" s="379"/>
      <c r="AC513" s="60"/>
      <c r="AD513" s="60"/>
      <c r="AE513" s="379"/>
      <c r="AF513" s="379"/>
      <c r="AG513" s="156"/>
      <c r="AH513" s="60"/>
      <c r="AI513" s="379"/>
      <c r="AJ513" s="379"/>
      <c r="AK513" s="156"/>
      <c r="AL513" s="379"/>
      <c r="AM513" s="60"/>
      <c r="AN513" s="60"/>
    </row>
    <row r="514" spans="1:40" x14ac:dyDescent="0.25">
      <c r="F514" s="381"/>
      <c r="H514" s="381"/>
      <c r="I514" s="381"/>
      <c r="J514" s="221"/>
      <c r="K514" s="221"/>
      <c r="L514" s="381"/>
      <c r="M514" s="381"/>
      <c r="N514" s="381"/>
      <c r="O514" s="381"/>
      <c r="P514" s="381"/>
      <c r="Q514" s="381"/>
      <c r="R514" s="381"/>
      <c r="V514" s="381"/>
      <c r="Y514" s="381"/>
      <c r="Z514" s="464"/>
      <c r="AA514" s="381"/>
      <c r="AB514" s="381"/>
      <c r="AC514" s="381"/>
      <c r="AD514" s="381"/>
      <c r="AE514" s="381"/>
      <c r="AF514" s="381"/>
      <c r="AI514" s="381"/>
      <c r="AJ514" s="381"/>
      <c r="AK514" s="162"/>
      <c r="AL514" s="381"/>
    </row>
    <row r="515" spans="1:40" x14ac:dyDescent="0.25">
      <c r="J515" s="65"/>
      <c r="K515" s="65"/>
    </row>
    <row r="516" spans="1:40" x14ac:dyDescent="0.25">
      <c r="A516" s="53"/>
      <c r="C516" s="54"/>
      <c r="F516" s="379"/>
      <c r="H516" s="379"/>
      <c r="I516" s="379"/>
      <c r="J516" s="65"/>
      <c r="K516" s="65"/>
      <c r="L516" s="379"/>
      <c r="M516" s="379"/>
      <c r="N516" s="50"/>
      <c r="O516" s="50"/>
      <c r="P516" s="449"/>
      <c r="Q516" s="449"/>
      <c r="R516" s="379"/>
      <c r="T516" s="54"/>
      <c r="V516" s="379"/>
      <c r="Y516" s="379"/>
      <c r="AA516" s="379"/>
      <c r="AB516" s="379"/>
      <c r="AC516" s="60"/>
      <c r="AD516" s="60"/>
      <c r="AE516" s="379"/>
      <c r="AF516" s="379"/>
      <c r="AG516" s="156"/>
      <c r="AH516" s="60"/>
      <c r="AI516" s="449"/>
      <c r="AJ516" s="449"/>
      <c r="AK516" s="156"/>
      <c r="AL516" s="379"/>
      <c r="AM516" s="60"/>
      <c r="AN516" s="60"/>
    </row>
    <row r="517" spans="1:40" x14ac:dyDescent="0.25">
      <c r="F517" s="381"/>
      <c r="H517" s="381"/>
      <c r="I517" s="381"/>
      <c r="J517" s="221"/>
      <c r="K517" s="221"/>
      <c r="L517" s="381"/>
      <c r="M517" s="381"/>
      <c r="N517" s="381"/>
      <c r="O517" s="381"/>
      <c r="P517" s="381"/>
      <c r="Q517" s="381"/>
      <c r="R517" s="381"/>
      <c r="V517" s="381"/>
      <c r="Y517" s="381"/>
      <c r="Z517" s="464"/>
      <c r="AA517" s="381"/>
      <c r="AB517" s="381"/>
      <c r="AC517" s="381"/>
      <c r="AD517" s="381"/>
      <c r="AE517" s="381"/>
      <c r="AF517" s="381"/>
      <c r="AI517" s="381"/>
      <c r="AJ517" s="381"/>
      <c r="AK517" s="162"/>
      <c r="AL517" s="381"/>
    </row>
    <row r="519" spans="1:40" x14ac:dyDescent="0.25">
      <c r="C519" s="53"/>
      <c r="T519" s="53"/>
    </row>
    <row r="520" spans="1:40" x14ac:dyDescent="0.25">
      <c r="A520" s="54"/>
    </row>
    <row r="521" spans="1:40" x14ac:dyDescent="0.25">
      <c r="J521" s="53"/>
      <c r="K521" s="53"/>
      <c r="Z521" s="53"/>
    </row>
    <row r="522" spans="1:40" x14ac:dyDescent="0.25">
      <c r="H522" s="54"/>
      <c r="I522" s="54"/>
      <c r="Y522" s="54"/>
    </row>
    <row r="523" spans="1:40" x14ac:dyDescent="0.25">
      <c r="J523" s="53"/>
      <c r="K523" s="53"/>
      <c r="Z523" s="53"/>
    </row>
    <row r="524" spans="1:40" x14ac:dyDescent="0.25">
      <c r="L524" s="54"/>
      <c r="M524" s="54"/>
      <c r="AA524" s="54"/>
      <c r="AB524" s="54"/>
    </row>
    <row r="525" spans="1:40" x14ac:dyDescent="0.25">
      <c r="A525" s="53"/>
      <c r="R525" s="54"/>
      <c r="AK525" s="161"/>
      <c r="AL525" s="54"/>
    </row>
    <row r="526" spans="1:40" x14ac:dyDescent="0.25">
      <c r="A526" s="53"/>
      <c r="R526" s="54"/>
      <c r="AK526" s="161"/>
      <c r="AL526" s="54"/>
    </row>
    <row r="527" spans="1:40" x14ac:dyDescent="0.25">
      <c r="A527" s="54"/>
      <c r="R527" s="54"/>
      <c r="AK527" s="161"/>
      <c r="AL527" s="54"/>
    </row>
    <row r="528" spans="1:40" x14ac:dyDescent="0.25">
      <c r="L528" s="54"/>
      <c r="M528" s="54"/>
      <c r="R528" s="53"/>
      <c r="AA528" s="54"/>
      <c r="AB528" s="54"/>
      <c r="AK528" s="156"/>
      <c r="AL528" s="53"/>
    </row>
    <row r="529" spans="1:40" x14ac:dyDescent="0.25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154"/>
      <c r="AH529" s="55"/>
      <c r="AI529" s="55"/>
      <c r="AJ529" s="55"/>
      <c r="AK529" s="154"/>
      <c r="AL529" s="55"/>
      <c r="AM529" s="55"/>
      <c r="AN529" s="55"/>
    </row>
    <row r="530" spans="1:40" x14ac:dyDescent="0.25">
      <c r="L530" s="56"/>
      <c r="M530" s="56"/>
      <c r="N530" s="56"/>
      <c r="O530" s="56"/>
      <c r="R530" s="56"/>
      <c r="AA530" s="56"/>
      <c r="AB530" s="56"/>
      <c r="AC530" s="56"/>
      <c r="AD530" s="56"/>
      <c r="AE530" s="56"/>
      <c r="AF530" s="56"/>
      <c r="AG530" s="155"/>
      <c r="AH530" s="56"/>
      <c r="AK530" s="155"/>
      <c r="AL530" s="56"/>
      <c r="AM530" s="56"/>
      <c r="AN530" s="56"/>
    </row>
    <row r="531" spans="1:40" x14ac:dyDescent="0.25">
      <c r="L531" s="56"/>
      <c r="M531" s="56"/>
      <c r="N531" s="56"/>
      <c r="O531" s="56"/>
      <c r="R531" s="56"/>
      <c r="Z531" s="56"/>
      <c r="AA531" s="56"/>
      <c r="AB531" s="56"/>
      <c r="AC531" s="56"/>
      <c r="AD531" s="56"/>
      <c r="AE531" s="56"/>
      <c r="AF531" s="56"/>
      <c r="AG531" s="155"/>
      <c r="AH531" s="56"/>
      <c r="AK531" s="155"/>
      <c r="AL531" s="56"/>
      <c r="AM531" s="56"/>
      <c r="AN531" s="56"/>
    </row>
    <row r="532" spans="1:40" x14ac:dyDescent="0.25">
      <c r="A532" s="56"/>
      <c r="C532" s="56"/>
      <c r="D532" s="56"/>
      <c r="E532" s="56"/>
      <c r="F532" s="56"/>
      <c r="J532" s="56"/>
      <c r="K532" s="56"/>
      <c r="L532" s="56"/>
      <c r="M532" s="56"/>
      <c r="N532" s="56"/>
      <c r="O532" s="56"/>
      <c r="P532" s="56"/>
      <c r="Q532" s="56"/>
      <c r="R532" s="56"/>
      <c r="T532" s="56"/>
      <c r="U532" s="56"/>
      <c r="V532" s="56"/>
      <c r="Z532" s="56"/>
      <c r="AA532" s="56"/>
      <c r="AB532" s="56"/>
      <c r="AC532" s="56"/>
      <c r="AD532" s="56"/>
      <c r="AE532" s="56"/>
      <c r="AF532" s="56"/>
      <c r="AG532" s="155"/>
      <c r="AH532" s="56"/>
      <c r="AI532" s="56"/>
      <c r="AJ532" s="56"/>
      <c r="AK532" s="155"/>
      <c r="AL532" s="56"/>
      <c r="AM532" s="56"/>
      <c r="AN532" s="56"/>
    </row>
    <row r="533" spans="1:40" x14ac:dyDescent="0.25">
      <c r="A533" s="56"/>
      <c r="C533" s="56"/>
      <c r="D533" s="56"/>
      <c r="E533" s="56"/>
      <c r="F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T533" s="56"/>
      <c r="U533" s="56"/>
      <c r="V533" s="56"/>
      <c r="Y533" s="56"/>
      <c r="Z533" s="56"/>
      <c r="AA533" s="56"/>
      <c r="AB533" s="56"/>
      <c r="AC533" s="56"/>
      <c r="AD533" s="56"/>
      <c r="AE533" s="56"/>
      <c r="AF533" s="56"/>
      <c r="AG533" s="155"/>
      <c r="AH533" s="56"/>
      <c r="AI533" s="56"/>
      <c r="AJ533" s="56"/>
      <c r="AK533" s="155"/>
      <c r="AL533" s="56"/>
      <c r="AM533" s="56"/>
      <c r="AN533" s="56"/>
    </row>
    <row r="534" spans="1:40" x14ac:dyDescent="0.25">
      <c r="C534" s="56"/>
      <c r="D534" s="56"/>
      <c r="E534" s="56"/>
      <c r="F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T534" s="56"/>
      <c r="U534" s="56"/>
      <c r="V534" s="56"/>
      <c r="Y534" s="56"/>
      <c r="Z534" s="56"/>
      <c r="AA534" s="56"/>
      <c r="AB534" s="56"/>
      <c r="AC534" s="56"/>
      <c r="AD534" s="56"/>
      <c r="AE534" s="56"/>
      <c r="AF534" s="56"/>
      <c r="AG534" s="155"/>
      <c r="AH534" s="56"/>
      <c r="AI534" s="56"/>
      <c r="AJ534" s="56"/>
      <c r="AK534" s="155"/>
      <c r="AL534" s="56"/>
      <c r="AM534" s="56"/>
      <c r="AN534" s="56"/>
    </row>
    <row r="535" spans="1:40" x14ac:dyDescent="0.25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154"/>
      <c r="AH535" s="55"/>
      <c r="AI535" s="55"/>
      <c r="AJ535" s="55"/>
      <c r="AK535" s="154"/>
      <c r="AL535" s="55"/>
      <c r="AM535" s="55"/>
      <c r="AN535" s="55"/>
    </row>
    <row r="536" spans="1:40" x14ac:dyDescent="0.25"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Y536" s="56"/>
      <c r="Z536" s="56"/>
      <c r="AA536" s="56"/>
      <c r="AB536" s="56"/>
      <c r="AC536" s="56"/>
      <c r="AD536" s="56"/>
      <c r="AE536" s="56"/>
      <c r="AF536" s="56"/>
      <c r="AG536" s="155"/>
      <c r="AH536" s="56"/>
      <c r="AI536" s="56"/>
      <c r="AJ536" s="56"/>
      <c r="AK536" s="155"/>
      <c r="AL536" s="56"/>
      <c r="AM536" s="56"/>
      <c r="AN536" s="56"/>
    </row>
    <row r="537" spans="1:40" x14ac:dyDescent="0.25">
      <c r="A537" s="53"/>
      <c r="C537" s="54"/>
      <c r="D537" s="54"/>
      <c r="E537" s="54"/>
      <c r="T537" s="54"/>
      <c r="U537" s="54"/>
    </row>
    <row r="539" spans="1:40" x14ac:dyDescent="0.25">
      <c r="A539" s="53"/>
      <c r="C539" s="54"/>
      <c r="D539" s="54"/>
      <c r="E539" s="54"/>
      <c r="T539" s="54"/>
      <c r="U539" s="54"/>
    </row>
    <row r="540" spans="1:40" x14ac:dyDescent="0.25">
      <c r="A540" s="53"/>
      <c r="C540" s="54"/>
      <c r="T540" s="54"/>
    </row>
    <row r="541" spans="1:40" x14ac:dyDescent="0.25">
      <c r="A541" s="53"/>
      <c r="C541" s="54"/>
      <c r="T541" s="54"/>
    </row>
    <row r="542" spans="1:40" x14ac:dyDescent="0.25">
      <c r="A542" s="53"/>
      <c r="C542" s="54"/>
      <c r="F542" s="449"/>
      <c r="H542" s="449"/>
      <c r="I542" s="449"/>
      <c r="J542" s="221"/>
      <c r="K542" s="221"/>
      <c r="L542" s="379"/>
      <c r="M542" s="379"/>
      <c r="N542" s="50"/>
      <c r="O542" s="50"/>
      <c r="P542" s="379"/>
      <c r="Q542" s="379"/>
      <c r="R542" s="379"/>
      <c r="T542" s="54"/>
      <c r="V542" s="379"/>
      <c r="W542" s="379"/>
      <c r="X542" s="379"/>
      <c r="Y542" s="379"/>
      <c r="Z542" s="221"/>
      <c r="AA542" s="379"/>
      <c r="AB542" s="379"/>
      <c r="AC542" s="50"/>
      <c r="AD542" s="50"/>
      <c r="AE542" s="379"/>
      <c r="AF542" s="379"/>
      <c r="AG542" s="156"/>
      <c r="AH542" s="60"/>
      <c r="AI542" s="379"/>
      <c r="AJ542" s="379"/>
      <c r="AK542" s="156"/>
      <c r="AL542" s="379"/>
      <c r="AM542" s="50"/>
      <c r="AN542" s="50"/>
    </row>
    <row r="543" spans="1:40" x14ac:dyDescent="0.25">
      <c r="A543" s="53"/>
      <c r="C543" s="54"/>
      <c r="J543" s="65"/>
      <c r="K543" s="65"/>
      <c r="T543" s="54"/>
      <c r="V543" s="379"/>
      <c r="W543" s="379"/>
      <c r="X543" s="379"/>
      <c r="Y543" s="379"/>
      <c r="Z543" s="221"/>
    </row>
    <row r="544" spans="1:40" x14ac:dyDescent="0.25">
      <c r="A544" s="53"/>
      <c r="C544" s="54"/>
      <c r="F544" s="449"/>
      <c r="H544" s="449"/>
      <c r="I544" s="449"/>
      <c r="J544" s="221"/>
      <c r="K544" s="221"/>
      <c r="L544" s="379"/>
      <c r="M544" s="379"/>
      <c r="N544" s="50"/>
      <c r="O544" s="50"/>
      <c r="P544" s="379"/>
      <c r="Q544" s="379"/>
      <c r="R544" s="379"/>
      <c r="T544" s="54"/>
      <c r="V544" s="379"/>
      <c r="W544" s="379"/>
      <c r="X544" s="379"/>
      <c r="Y544" s="379"/>
      <c r="Z544" s="221"/>
      <c r="AA544" s="379"/>
      <c r="AB544" s="379"/>
      <c r="AC544" s="50"/>
      <c r="AD544" s="50"/>
      <c r="AE544" s="379"/>
      <c r="AF544" s="379"/>
      <c r="AG544" s="156"/>
      <c r="AH544" s="60"/>
      <c r="AI544" s="379"/>
      <c r="AJ544" s="379"/>
      <c r="AK544" s="156"/>
      <c r="AL544" s="379"/>
      <c r="AM544" s="50"/>
      <c r="AN544" s="50"/>
    </row>
    <row r="545" spans="1:40" x14ac:dyDescent="0.25">
      <c r="A545" s="53"/>
      <c r="C545" s="54"/>
      <c r="J545" s="65"/>
      <c r="K545" s="65"/>
      <c r="T545" s="54"/>
      <c r="V545" s="379"/>
      <c r="W545" s="379"/>
      <c r="X545" s="379"/>
      <c r="Y545" s="379"/>
      <c r="Z545" s="221"/>
    </row>
    <row r="546" spans="1:40" x14ac:dyDescent="0.25">
      <c r="A546" s="53"/>
      <c r="C546" s="54"/>
      <c r="F546" s="449"/>
      <c r="H546" s="449"/>
      <c r="I546" s="449"/>
      <c r="J546" s="221"/>
      <c r="K546" s="221"/>
      <c r="L546" s="379"/>
      <c r="M546" s="379"/>
      <c r="N546" s="50"/>
      <c r="O546" s="50"/>
      <c r="P546" s="379"/>
      <c r="Q546" s="379"/>
      <c r="R546" s="379"/>
      <c r="T546" s="54"/>
      <c r="V546" s="379"/>
      <c r="W546" s="379"/>
      <c r="X546" s="379"/>
      <c r="Y546" s="379"/>
      <c r="Z546" s="221"/>
      <c r="AA546" s="379"/>
      <c r="AB546" s="379"/>
      <c r="AC546" s="50"/>
      <c r="AD546" s="50"/>
      <c r="AE546" s="379"/>
      <c r="AF546" s="379"/>
      <c r="AG546" s="156"/>
      <c r="AH546" s="60"/>
      <c r="AI546" s="379"/>
      <c r="AJ546" s="379"/>
      <c r="AK546" s="156"/>
      <c r="AL546" s="379"/>
      <c r="AM546" s="50"/>
      <c r="AN546" s="50"/>
    </row>
    <row r="547" spans="1:40" x14ac:dyDescent="0.25">
      <c r="A547" s="53"/>
      <c r="C547" s="54"/>
      <c r="J547" s="65"/>
      <c r="K547" s="65"/>
      <c r="T547" s="54"/>
      <c r="V547" s="379"/>
      <c r="W547" s="379"/>
      <c r="X547" s="379"/>
      <c r="Y547" s="379"/>
      <c r="Z547" s="221"/>
    </row>
    <row r="548" spans="1:40" x14ac:dyDescent="0.25">
      <c r="A548" s="53"/>
      <c r="C548" s="54"/>
      <c r="F548" s="449"/>
      <c r="H548" s="449"/>
      <c r="I548" s="449"/>
      <c r="J548" s="221"/>
      <c r="K548" s="221"/>
      <c r="L548" s="379"/>
      <c r="M548" s="379"/>
      <c r="N548" s="50"/>
      <c r="O548" s="50"/>
      <c r="P548" s="379"/>
      <c r="Q548" s="379"/>
      <c r="R548" s="379"/>
      <c r="T548" s="54"/>
      <c r="V548" s="379"/>
      <c r="W548" s="379"/>
      <c r="X548" s="379"/>
      <c r="Y548" s="379"/>
      <c r="Z548" s="221"/>
      <c r="AA548" s="379"/>
      <c r="AB548" s="379"/>
      <c r="AC548" s="50"/>
      <c r="AD548" s="50"/>
      <c r="AE548" s="379"/>
      <c r="AF548" s="379"/>
      <c r="AG548" s="156"/>
      <c r="AH548" s="60"/>
      <c r="AI548" s="379"/>
      <c r="AJ548" s="379"/>
      <c r="AK548" s="156"/>
      <c r="AL548" s="379"/>
      <c r="AM548" s="50"/>
      <c r="AN548" s="50"/>
    </row>
    <row r="549" spans="1:40" x14ac:dyDescent="0.25">
      <c r="A549" s="53"/>
      <c r="C549" s="54"/>
      <c r="J549" s="65"/>
      <c r="K549" s="65"/>
      <c r="T549" s="54"/>
      <c r="V549" s="379"/>
      <c r="W549" s="379"/>
      <c r="X549" s="379"/>
      <c r="Y549" s="379"/>
      <c r="Z549" s="221"/>
    </row>
    <row r="550" spans="1:40" x14ac:dyDescent="0.25">
      <c r="A550" s="53"/>
      <c r="C550" s="54"/>
      <c r="F550" s="449"/>
      <c r="H550" s="449"/>
      <c r="I550" s="449"/>
      <c r="J550" s="221"/>
      <c r="K550" s="221"/>
      <c r="L550" s="379"/>
      <c r="M550" s="379"/>
      <c r="N550" s="50"/>
      <c r="O550" s="50"/>
      <c r="P550" s="379"/>
      <c r="Q550" s="379"/>
      <c r="R550" s="379"/>
      <c r="T550" s="54"/>
      <c r="V550" s="379"/>
      <c r="W550" s="379"/>
      <c r="X550" s="379"/>
      <c r="Y550" s="379"/>
      <c r="Z550" s="221"/>
      <c r="AA550" s="379"/>
      <c r="AB550" s="379"/>
      <c r="AC550" s="50"/>
      <c r="AD550" s="50"/>
      <c r="AE550" s="379"/>
      <c r="AF550" s="379"/>
      <c r="AG550" s="156"/>
      <c r="AH550" s="60"/>
      <c r="AI550" s="379"/>
      <c r="AJ550" s="379"/>
      <c r="AK550" s="156"/>
      <c r="AL550" s="379"/>
      <c r="AM550" s="50"/>
      <c r="AN550" s="50"/>
    </row>
    <row r="551" spans="1:40" x14ac:dyDescent="0.25">
      <c r="A551" s="53"/>
      <c r="C551" s="54"/>
      <c r="J551" s="65"/>
      <c r="K551" s="65"/>
      <c r="T551" s="54"/>
      <c r="V551" s="379"/>
      <c r="W551" s="379"/>
      <c r="X551" s="379"/>
      <c r="Y551" s="379"/>
      <c r="Z551" s="221"/>
    </row>
    <row r="552" spans="1:40" x14ac:dyDescent="0.25">
      <c r="A552" s="53"/>
      <c r="C552" s="54"/>
      <c r="F552" s="449"/>
      <c r="H552" s="449"/>
      <c r="I552" s="449"/>
      <c r="J552" s="221"/>
      <c r="K552" s="221"/>
      <c r="L552" s="379"/>
      <c r="M552" s="379"/>
      <c r="N552" s="50"/>
      <c r="O552" s="50"/>
      <c r="P552" s="379"/>
      <c r="Q552" s="379"/>
      <c r="R552" s="379"/>
      <c r="T552" s="54"/>
      <c r="V552" s="379"/>
      <c r="W552" s="379"/>
      <c r="X552" s="379"/>
      <c r="Y552" s="379"/>
      <c r="Z552" s="221"/>
      <c r="AA552" s="379"/>
      <c r="AB552" s="379"/>
      <c r="AC552" s="50"/>
      <c r="AD552" s="50"/>
      <c r="AE552" s="379"/>
      <c r="AF552" s="379"/>
      <c r="AG552" s="156"/>
      <c r="AH552" s="60"/>
      <c r="AI552" s="379"/>
      <c r="AJ552" s="379"/>
      <c r="AK552" s="156"/>
      <c r="AL552" s="379"/>
      <c r="AM552" s="50"/>
      <c r="AN552" s="50"/>
    </row>
    <row r="553" spans="1:40" x14ac:dyDescent="0.25">
      <c r="F553" s="381"/>
      <c r="H553" s="381"/>
      <c r="I553" s="381"/>
      <c r="J553" s="221"/>
      <c r="K553" s="221"/>
      <c r="L553" s="381"/>
      <c r="M553" s="381"/>
      <c r="N553" s="381"/>
      <c r="O553" s="381"/>
      <c r="P553" s="381"/>
      <c r="Q553" s="381"/>
      <c r="R553" s="381"/>
      <c r="V553" s="381"/>
      <c r="Y553" s="381"/>
      <c r="Z553" s="221"/>
      <c r="AA553" s="381"/>
      <c r="AB553" s="381"/>
      <c r="AC553" s="381"/>
      <c r="AD553" s="381"/>
      <c r="AE553" s="381"/>
      <c r="AF553" s="381"/>
      <c r="AI553" s="381"/>
      <c r="AJ553" s="381"/>
      <c r="AK553" s="162"/>
      <c r="AL553" s="381"/>
      <c r="AM553" s="50"/>
      <c r="AN553" s="50"/>
    </row>
    <row r="554" spans="1:40" x14ac:dyDescent="0.25">
      <c r="A554" s="53"/>
      <c r="C554" s="54"/>
      <c r="F554" s="379"/>
      <c r="H554" s="379"/>
      <c r="I554" s="379"/>
      <c r="J554" s="65"/>
      <c r="K554" s="65"/>
      <c r="L554" s="379"/>
      <c r="M554" s="379"/>
      <c r="N554" s="50"/>
      <c r="O554" s="50"/>
      <c r="P554" s="449"/>
      <c r="Q554" s="449"/>
      <c r="R554" s="379"/>
      <c r="T554" s="54"/>
      <c r="V554" s="379"/>
      <c r="W554" s="379"/>
      <c r="X554" s="379"/>
      <c r="Y554" s="379"/>
      <c r="Z554" s="221"/>
      <c r="AA554" s="379"/>
      <c r="AB554" s="379"/>
      <c r="AC554" s="50"/>
      <c r="AD554" s="50"/>
      <c r="AE554" s="379"/>
      <c r="AF554" s="379"/>
      <c r="AG554" s="156"/>
      <c r="AH554" s="60"/>
      <c r="AI554" s="449"/>
      <c r="AJ554" s="449"/>
      <c r="AK554" s="156"/>
      <c r="AL554" s="379"/>
      <c r="AM554" s="50"/>
      <c r="AN554" s="50"/>
    </row>
    <row r="555" spans="1:40" x14ac:dyDescent="0.25">
      <c r="F555" s="381"/>
      <c r="H555" s="381"/>
      <c r="I555" s="381"/>
      <c r="J555" s="221"/>
      <c r="K555" s="221"/>
      <c r="L555" s="381"/>
      <c r="M555" s="381"/>
      <c r="N555" s="381"/>
      <c r="O555" s="381"/>
      <c r="P555" s="381"/>
      <c r="Q555" s="381"/>
      <c r="R555" s="381"/>
      <c r="V555" s="381"/>
      <c r="Y555" s="381"/>
      <c r="Z555" s="221"/>
      <c r="AA555" s="381"/>
      <c r="AB555" s="381"/>
      <c r="AC555" s="381"/>
      <c r="AD555" s="381"/>
      <c r="AE555" s="381"/>
      <c r="AF555" s="381"/>
      <c r="AI555" s="381"/>
      <c r="AJ555" s="381"/>
      <c r="AK555" s="162"/>
      <c r="AL555" s="381"/>
    </row>
    <row r="556" spans="1:40" x14ac:dyDescent="0.25">
      <c r="A556" s="53"/>
      <c r="C556" s="54"/>
      <c r="D556" s="54"/>
      <c r="E556" s="54"/>
      <c r="J556" s="65"/>
      <c r="K556" s="65"/>
      <c r="T556" s="54"/>
      <c r="U556" s="54"/>
      <c r="V556" s="379"/>
      <c r="W556" s="379"/>
      <c r="X556" s="379"/>
      <c r="Y556" s="379"/>
      <c r="Z556" s="221"/>
    </row>
    <row r="557" spans="1:40" x14ac:dyDescent="0.25">
      <c r="A557" s="53"/>
      <c r="C557" s="54"/>
      <c r="J557" s="65"/>
      <c r="K557" s="65"/>
      <c r="T557" s="54"/>
      <c r="V557" s="379"/>
      <c r="W557" s="379"/>
      <c r="X557" s="379"/>
      <c r="Y557" s="379"/>
      <c r="Z557" s="221"/>
    </row>
    <row r="558" spans="1:40" x14ac:dyDescent="0.25">
      <c r="A558" s="53"/>
      <c r="C558" s="54"/>
      <c r="J558" s="65"/>
      <c r="K558" s="65"/>
      <c r="T558" s="54"/>
      <c r="V558" s="379"/>
      <c r="W558" s="379"/>
      <c r="X558" s="379"/>
      <c r="Y558" s="379"/>
      <c r="Z558" s="221"/>
    </row>
    <row r="559" spans="1:40" x14ac:dyDescent="0.25">
      <c r="A559" s="53"/>
      <c r="C559" s="54"/>
      <c r="F559" s="449"/>
      <c r="H559" s="449"/>
      <c r="I559" s="449"/>
      <c r="J559" s="221"/>
      <c r="K559" s="221"/>
      <c r="L559" s="379"/>
      <c r="M559" s="379"/>
      <c r="N559" s="50"/>
      <c r="O559" s="50"/>
      <c r="P559" s="379"/>
      <c r="Q559" s="379"/>
      <c r="R559" s="379"/>
      <c r="T559" s="54"/>
      <c r="V559" s="379"/>
      <c r="W559" s="379"/>
      <c r="X559" s="379"/>
      <c r="Y559" s="379"/>
      <c r="Z559" s="221"/>
      <c r="AA559" s="379"/>
      <c r="AB559" s="379"/>
      <c r="AC559" s="50"/>
      <c r="AD559" s="50"/>
      <c r="AE559" s="379"/>
      <c r="AF559" s="379"/>
      <c r="AG559" s="156"/>
      <c r="AH559" s="60"/>
      <c r="AI559" s="379"/>
      <c r="AJ559" s="379"/>
      <c r="AK559" s="156"/>
      <c r="AL559" s="379"/>
      <c r="AM559" s="50"/>
      <c r="AN559" s="50"/>
    </row>
    <row r="560" spans="1:40" x14ac:dyDescent="0.25">
      <c r="A560" s="53"/>
      <c r="C560" s="54"/>
      <c r="J560" s="65"/>
      <c r="K560" s="65"/>
      <c r="T560" s="54"/>
      <c r="V560" s="379"/>
      <c r="W560" s="379"/>
      <c r="X560" s="379"/>
      <c r="Y560" s="379"/>
      <c r="Z560" s="221"/>
    </row>
    <row r="561" spans="1:40" x14ac:dyDescent="0.25">
      <c r="A561" s="53"/>
      <c r="C561" s="54"/>
      <c r="F561" s="449"/>
      <c r="H561" s="449"/>
      <c r="I561" s="449"/>
      <c r="J561" s="221"/>
      <c r="K561" s="221"/>
      <c r="L561" s="379"/>
      <c r="M561" s="379"/>
      <c r="N561" s="50"/>
      <c r="O561" s="50"/>
      <c r="P561" s="379"/>
      <c r="Q561" s="379"/>
      <c r="R561" s="379"/>
      <c r="T561" s="54"/>
      <c r="V561" s="379"/>
      <c r="W561" s="379"/>
      <c r="X561" s="379"/>
      <c r="Y561" s="379"/>
      <c r="Z561" s="221"/>
      <c r="AA561" s="379"/>
      <c r="AB561" s="379"/>
      <c r="AC561" s="50"/>
      <c r="AD561" s="50"/>
      <c r="AE561" s="379"/>
      <c r="AF561" s="379"/>
      <c r="AG561" s="156"/>
      <c r="AH561" s="60"/>
      <c r="AI561" s="379"/>
      <c r="AJ561" s="379"/>
      <c r="AK561" s="156"/>
      <c r="AL561" s="379"/>
      <c r="AM561" s="50"/>
      <c r="AN561" s="50"/>
    </row>
    <row r="562" spans="1:40" x14ac:dyDescent="0.25">
      <c r="F562" s="381"/>
      <c r="H562" s="381"/>
      <c r="I562" s="381"/>
      <c r="J562" s="221"/>
      <c r="K562" s="221"/>
      <c r="L562" s="381"/>
      <c r="M562" s="381"/>
      <c r="N562" s="381"/>
      <c r="O562" s="381"/>
      <c r="P562" s="381"/>
      <c r="Q562" s="381"/>
      <c r="R562" s="381"/>
      <c r="V562" s="381"/>
      <c r="Y562" s="381"/>
      <c r="Z562" s="464"/>
      <c r="AA562" s="381"/>
      <c r="AB562" s="381"/>
      <c r="AC562" s="381"/>
      <c r="AD562" s="381"/>
      <c r="AE562" s="381"/>
      <c r="AF562" s="381"/>
      <c r="AI562" s="381"/>
      <c r="AJ562" s="381"/>
      <c r="AK562" s="162"/>
      <c r="AL562" s="381"/>
    </row>
    <row r="563" spans="1:40" x14ac:dyDescent="0.25">
      <c r="A563" s="53"/>
      <c r="C563" s="54"/>
      <c r="F563" s="379"/>
      <c r="H563" s="379"/>
      <c r="I563" s="379"/>
      <c r="L563" s="379"/>
      <c r="M563" s="379"/>
      <c r="N563" s="50"/>
      <c r="O563" s="50"/>
      <c r="P563" s="449"/>
      <c r="Q563" s="449"/>
      <c r="R563" s="379"/>
      <c r="T563" s="54"/>
      <c r="V563" s="379"/>
      <c r="W563" s="379"/>
      <c r="X563" s="379"/>
      <c r="Y563" s="379"/>
      <c r="Z563" s="477"/>
      <c r="AA563" s="379"/>
      <c r="AB563" s="379"/>
      <c r="AC563" s="50"/>
      <c r="AD563" s="50"/>
      <c r="AE563" s="379"/>
      <c r="AF563" s="379"/>
      <c r="AG563" s="156"/>
      <c r="AH563" s="60"/>
      <c r="AI563" s="449"/>
      <c r="AJ563" s="449"/>
      <c r="AK563" s="156"/>
      <c r="AL563" s="379"/>
      <c r="AM563" s="50"/>
      <c r="AN563" s="50"/>
    </row>
    <row r="564" spans="1:40" x14ac:dyDescent="0.25">
      <c r="F564" s="381"/>
      <c r="H564" s="381"/>
      <c r="I564" s="381"/>
      <c r="J564" s="464"/>
      <c r="K564" s="464"/>
      <c r="L564" s="381"/>
      <c r="M564" s="381"/>
      <c r="N564" s="381"/>
      <c r="O564" s="381"/>
      <c r="P564" s="381"/>
      <c r="Q564" s="381"/>
      <c r="R564" s="381"/>
      <c r="V564" s="381"/>
      <c r="Y564" s="381"/>
      <c r="Z564" s="464"/>
      <c r="AA564" s="381"/>
      <c r="AB564" s="381"/>
      <c r="AC564" s="381"/>
      <c r="AD564" s="381"/>
      <c r="AE564" s="381"/>
      <c r="AF564" s="381"/>
      <c r="AI564" s="381"/>
      <c r="AJ564" s="381"/>
      <c r="AK564" s="162"/>
      <c r="AL564" s="381"/>
    </row>
    <row r="565" spans="1:40" x14ac:dyDescent="0.25">
      <c r="A565" s="53"/>
      <c r="C565" s="54"/>
      <c r="D565" s="54"/>
      <c r="E565" s="54"/>
      <c r="T565" s="54"/>
      <c r="U565" s="54"/>
      <c r="V565" s="379"/>
      <c r="W565" s="379"/>
      <c r="X565" s="379"/>
      <c r="Y565" s="379"/>
      <c r="Z565" s="477"/>
    </row>
    <row r="566" spans="1:40" x14ac:dyDescent="0.25">
      <c r="A566" s="53"/>
      <c r="C566" s="54"/>
      <c r="T566" s="54"/>
      <c r="V566" s="379"/>
      <c r="W566" s="379"/>
      <c r="X566" s="379"/>
      <c r="Y566" s="379"/>
      <c r="Z566" s="477"/>
    </row>
    <row r="567" spans="1:40" x14ac:dyDescent="0.25">
      <c r="A567" s="53"/>
      <c r="C567" s="54"/>
      <c r="F567" s="449"/>
      <c r="H567" s="449"/>
      <c r="I567" s="449"/>
      <c r="J567" s="477"/>
      <c r="K567" s="477"/>
      <c r="L567" s="379"/>
      <c r="M567" s="379"/>
      <c r="N567" s="50"/>
      <c r="O567" s="50"/>
      <c r="P567" s="379"/>
      <c r="Q567" s="379"/>
      <c r="R567" s="379"/>
      <c r="T567" s="54"/>
      <c r="V567" s="379"/>
      <c r="W567" s="379"/>
      <c r="X567" s="379"/>
      <c r="Y567" s="379"/>
      <c r="Z567" s="477"/>
      <c r="AA567" s="379"/>
      <c r="AB567" s="379"/>
      <c r="AC567" s="50"/>
      <c r="AD567" s="50"/>
      <c r="AE567" s="379"/>
      <c r="AF567" s="379"/>
      <c r="AG567" s="156"/>
      <c r="AH567" s="60"/>
      <c r="AI567" s="379"/>
      <c r="AJ567" s="379"/>
      <c r="AK567" s="156"/>
      <c r="AL567" s="379"/>
      <c r="AM567" s="50"/>
      <c r="AN567" s="50"/>
    </row>
    <row r="568" spans="1:40" x14ac:dyDescent="0.25">
      <c r="A568" s="53"/>
      <c r="C568" s="54"/>
      <c r="T568" s="54"/>
      <c r="V568" s="379"/>
      <c r="W568" s="379"/>
      <c r="X568" s="379"/>
      <c r="Y568" s="379"/>
      <c r="Z568" s="477"/>
    </row>
    <row r="569" spans="1:40" x14ac:dyDescent="0.25">
      <c r="A569" s="53"/>
      <c r="C569" s="54"/>
      <c r="F569" s="449"/>
      <c r="H569" s="449"/>
      <c r="I569" s="449"/>
      <c r="J569" s="477"/>
      <c r="K569" s="477"/>
      <c r="L569" s="379"/>
      <c r="M569" s="379"/>
      <c r="N569" s="50"/>
      <c r="O569" s="50"/>
      <c r="P569" s="379"/>
      <c r="Q569" s="379"/>
      <c r="R569" s="379"/>
      <c r="T569" s="54"/>
      <c r="V569" s="379"/>
      <c r="W569" s="379"/>
      <c r="X569" s="379"/>
      <c r="Y569" s="379"/>
      <c r="Z569" s="477"/>
      <c r="AA569" s="379"/>
      <c r="AB569" s="379"/>
      <c r="AC569" s="50"/>
      <c r="AD569" s="50"/>
      <c r="AE569" s="379"/>
      <c r="AF569" s="379"/>
      <c r="AG569" s="156"/>
      <c r="AH569" s="60"/>
      <c r="AI569" s="379"/>
      <c r="AJ569" s="379"/>
      <c r="AK569" s="156"/>
      <c r="AL569" s="379"/>
      <c r="AM569" s="50"/>
      <c r="AN569" s="50"/>
    </row>
    <row r="570" spans="1:40" x14ac:dyDescent="0.25">
      <c r="A570" s="53"/>
      <c r="C570" s="54"/>
      <c r="T570" s="54"/>
      <c r="V570" s="379"/>
      <c r="W570" s="379"/>
      <c r="X570" s="379"/>
      <c r="Y570" s="379"/>
      <c r="Z570" s="477"/>
    </row>
    <row r="571" spans="1:40" x14ac:dyDescent="0.25">
      <c r="A571" s="53"/>
      <c r="C571" s="54"/>
      <c r="F571" s="449"/>
      <c r="H571" s="449"/>
      <c r="I571" s="449"/>
      <c r="J571" s="477"/>
      <c r="K571" s="477"/>
      <c r="L571" s="379"/>
      <c r="M571" s="379"/>
      <c r="N571" s="50"/>
      <c r="O571" s="50"/>
      <c r="P571" s="379"/>
      <c r="Q571" s="379"/>
      <c r="R571" s="379"/>
      <c r="T571" s="54"/>
      <c r="V571" s="379"/>
      <c r="W571" s="379"/>
      <c r="X571" s="379"/>
      <c r="Y571" s="379"/>
      <c r="Z571" s="477"/>
      <c r="AA571" s="379"/>
      <c r="AB571" s="379"/>
      <c r="AC571" s="50"/>
      <c r="AD571" s="50"/>
      <c r="AE571" s="379"/>
      <c r="AF571" s="379"/>
      <c r="AG571" s="156"/>
      <c r="AH571" s="60"/>
      <c r="AI571" s="379"/>
      <c r="AJ571" s="379"/>
      <c r="AK571" s="156"/>
      <c r="AL571" s="379"/>
      <c r="AM571" s="50"/>
      <c r="AN571" s="50"/>
    </row>
    <row r="572" spans="1:40" x14ac:dyDescent="0.25">
      <c r="A572" s="53"/>
      <c r="C572" s="54"/>
      <c r="T572" s="54"/>
      <c r="V572" s="379"/>
      <c r="W572" s="379"/>
      <c r="X572" s="379"/>
      <c r="Y572" s="379"/>
      <c r="Z572" s="477"/>
    </row>
    <row r="573" spans="1:40" x14ac:dyDescent="0.25">
      <c r="A573" s="53"/>
      <c r="C573" s="54"/>
      <c r="F573" s="449"/>
      <c r="H573" s="449"/>
      <c r="I573" s="449"/>
      <c r="J573" s="477"/>
      <c r="K573" s="477"/>
      <c r="L573" s="379"/>
      <c r="M573" s="379"/>
      <c r="N573" s="50"/>
      <c r="O573" s="50"/>
      <c r="P573" s="379"/>
      <c r="Q573" s="379"/>
      <c r="R573" s="379"/>
      <c r="T573" s="54"/>
      <c r="V573" s="379"/>
      <c r="W573" s="379"/>
      <c r="X573" s="379"/>
      <c r="Y573" s="379"/>
      <c r="Z573" s="477"/>
      <c r="AA573" s="379"/>
      <c r="AB573" s="379"/>
      <c r="AC573" s="50"/>
      <c r="AD573" s="50"/>
      <c r="AE573" s="379"/>
      <c r="AF573" s="379"/>
      <c r="AG573" s="156"/>
      <c r="AH573" s="60"/>
      <c r="AI573" s="379"/>
      <c r="AJ573" s="379"/>
      <c r="AK573" s="156"/>
      <c r="AL573" s="379"/>
      <c r="AM573" s="50"/>
      <c r="AN573" s="50"/>
    </row>
    <row r="574" spans="1:40" x14ac:dyDescent="0.25">
      <c r="F574" s="381"/>
      <c r="H574" s="381"/>
      <c r="I574" s="381"/>
      <c r="J574" s="464"/>
      <c r="K574" s="464"/>
      <c r="L574" s="381"/>
      <c r="M574" s="381"/>
      <c r="N574" s="381"/>
      <c r="O574" s="381"/>
      <c r="P574" s="381"/>
      <c r="Q574" s="381"/>
      <c r="R574" s="381"/>
      <c r="V574" s="381"/>
      <c r="Y574" s="381"/>
      <c r="Z574" s="464"/>
      <c r="AA574" s="381"/>
      <c r="AB574" s="381"/>
      <c r="AC574" s="381"/>
      <c r="AD574" s="381"/>
      <c r="AE574" s="381"/>
      <c r="AF574" s="381"/>
      <c r="AI574" s="381"/>
      <c r="AJ574" s="381"/>
      <c r="AK574" s="162"/>
      <c r="AL574" s="381"/>
    </row>
    <row r="575" spans="1:40" x14ac:dyDescent="0.25">
      <c r="A575" s="53"/>
      <c r="C575" s="54"/>
      <c r="F575" s="379"/>
      <c r="H575" s="379"/>
      <c r="I575" s="379"/>
      <c r="L575" s="379"/>
      <c r="M575" s="379"/>
      <c r="N575" s="50"/>
      <c r="O575" s="50"/>
      <c r="P575" s="449"/>
      <c r="Q575" s="449"/>
      <c r="R575" s="379"/>
      <c r="T575" s="54"/>
      <c r="V575" s="379"/>
      <c r="W575" s="379"/>
      <c r="X575" s="379"/>
      <c r="Y575" s="379"/>
      <c r="Z575" s="477"/>
      <c r="AA575" s="379"/>
      <c r="AB575" s="379"/>
      <c r="AC575" s="50"/>
      <c r="AD575" s="50"/>
      <c r="AE575" s="379"/>
      <c r="AF575" s="379"/>
      <c r="AG575" s="156"/>
      <c r="AH575" s="60"/>
      <c r="AI575" s="449"/>
      <c r="AJ575" s="449"/>
      <c r="AK575" s="156"/>
      <c r="AL575" s="379"/>
      <c r="AM575" s="50"/>
      <c r="AN575" s="50"/>
    </row>
    <row r="576" spans="1:40" x14ac:dyDescent="0.25">
      <c r="F576" s="381"/>
      <c r="H576" s="381"/>
      <c r="I576" s="381"/>
      <c r="J576" s="464"/>
      <c r="K576" s="464"/>
      <c r="L576" s="381"/>
      <c r="M576" s="381"/>
      <c r="N576" s="381"/>
      <c r="O576" s="381"/>
      <c r="P576" s="381"/>
      <c r="Q576" s="381"/>
      <c r="R576" s="381"/>
      <c r="V576" s="381"/>
      <c r="Y576" s="381"/>
      <c r="Z576" s="464"/>
      <c r="AA576" s="381"/>
      <c r="AB576" s="381"/>
      <c r="AC576" s="381"/>
      <c r="AD576" s="381"/>
      <c r="AE576" s="381"/>
      <c r="AF576" s="381"/>
      <c r="AI576" s="381"/>
      <c r="AJ576" s="381"/>
      <c r="AK576" s="162"/>
      <c r="AL576" s="381"/>
    </row>
    <row r="577" spans="1:40" x14ac:dyDescent="0.25">
      <c r="A577" s="53"/>
      <c r="C577" s="54"/>
      <c r="F577" s="379"/>
      <c r="H577" s="379"/>
      <c r="I577" s="379"/>
      <c r="L577" s="379"/>
      <c r="M577" s="379"/>
      <c r="N577" s="50"/>
      <c r="O577" s="50"/>
      <c r="P577" s="379"/>
      <c r="Q577" s="379"/>
      <c r="R577" s="379"/>
      <c r="T577" s="54"/>
      <c r="V577" s="379"/>
      <c r="W577" s="379"/>
      <c r="X577" s="379"/>
      <c r="Y577" s="379"/>
      <c r="AA577" s="379"/>
      <c r="AB577" s="379"/>
      <c r="AC577" s="50"/>
      <c r="AD577" s="50"/>
      <c r="AE577" s="379"/>
      <c r="AF577" s="379"/>
      <c r="AG577" s="156"/>
      <c r="AH577" s="60"/>
      <c r="AI577" s="379"/>
      <c r="AJ577" s="379"/>
      <c r="AK577" s="156"/>
      <c r="AL577" s="379"/>
      <c r="AM577" s="60"/>
      <c r="AN577" s="60"/>
    </row>
    <row r="578" spans="1:40" x14ac:dyDescent="0.25">
      <c r="F578" s="381"/>
      <c r="H578" s="381"/>
      <c r="I578" s="381"/>
      <c r="J578" s="464"/>
      <c r="K578" s="464"/>
      <c r="L578" s="381"/>
      <c r="M578" s="381"/>
      <c r="N578" s="381"/>
      <c r="O578" s="381"/>
      <c r="P578" s="381"/>
      <c r="Q578" s="381"/>
      <c r="R578" s="381"/>
      <c r="V578" s="381"/>
      <c r="Y578" s="381"/>
      <c r="Z578" s="464"/>
      <c r="AA578" s="381"/>
      <c r="AB578" s="381"/>
      <c r="AC578" s="381"/>
      <c r="AD578" s="381"/>
      <c r="AE578" s="381"/>
      <c r="AF578" s="381"/>
      <c r="AI578" s="381"/>
      <c r="AJ578" s="381"/>
      <c r="AK578" s="162"/>
      <c r="AL578" s="381"/>
    </row>
    <row r="580" spans="1:40" x14ac:dyDescent="0.25">
      <c r="C580" s="53"/>
      <c r="T580" s="53"/>
    </row>
    <row r="581" spans="1:40" x14ac:dyDescent="0.25">
      <c r="A581" s="54"/>
    </row>
    <row r="582" spans="1:40" x14ac:dyDescent="0.25">
      <c r="J582" s="53"/>
      <c r="K582" s="53"/>
      <c r="Z582" s="53"/>
    </row>
    <row r="583" spans="1:40" x14ac:dyDescent="0.25">
      <c r="H583" s="54"/>
      <c r="I583" s="54"/>
      <c r="Y583" s="54"/>
    </row>
    <row r="584" spans="1:40" x14ac:dyDescent="0.25">
      <c r="J584" s="53"/>
      <c r="K584" s="53"/>
      <c r="Z584" s="53"/>
    </row>
    <row r="585" spans="1:40" x14ac:dyDescent="0.25">
      <c r="L585" s="54"/>
      <c r="M585" s="54"/>
      <c r="AA585" s="54"/>
      <c r="AB585" s="54"/>
    </row>
    <row r="586" spans="1:40" x14ac:dyDescent="0.25">
      <c r="A586" s="53"/>
      <c r="R586" s="54"/>
      <c r="AK586" s="161"/>
      <c r="AL586" s="54"/>
    </row>
    <row r="587" spans="1:40" x14ac:dyDescent="0.25">
      <c r="A587" s="53"/>
      <c r="R587" s="54"/>
      <c r="AK587" s="161"/>
      <c r="AL587" s="54"/>
    </row>
    <row r="588" spans="1:40" x14ac:dyDescent="0.25">
      <c r="A588" s="54"/>
      <c r="R588" s="54"/>
      <c r="AK588" s="161"/>
      <c r="AL588" s="54"/>
    </row>
    <row r="589" spans="1:40" x14ac:dyDescent="0.25">
      <c r="L589" s="54"/>
      <c r="M589" s="54"/>
      <c r="R589" s="53"/>
      <c r="AA589" s="54"/>
      <c r="AB589" s="54"/>
      <c r="AK589" s="156"/>
      <c r="AL589" s="53"/>
    </row>
    <row r="590" spans="1:40" x14ac:dyDescent="0.25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154"/>
      <c r="AH590" s="55"/>
      <c r="AI590" s="55"/>
      <c r="AJ590" s="55"/>
      <c r="AK590" s="154"/>
      <c r="AL590" s="55"/>
      <c r="AM590" s="55"/>
      <c r="AN590" s="55"/>
    </row>
    <row r="591" spans="1:40" x14ac:dyDescent="0.25">
      <c r="L591" s="56"/>
      <c r="M591" s="56"/>
      <c r="N591" s="56"/>
      <c r="O591" s="56"/>
      <c r="R591" s="56"/>
      <c r="AA591" s="56"/>
      <c r="AB591" s="56"/>
      <c r="AC591" s="56"/>
      <c r="AD591" s="56"/>
      <c r="AE591" s="56"/>
      <c r="AF591" s="56"/>
      <c r="AG591" s="155"/>
      <c r="AH591" s="56"/>
      <c r="AK591" s="155"/>
      <c r="AL591" s="56"/>
      <c r="AM591" s="56"/>
      <c r="AN591" s="56"/>
    </row>
    <row r="592" spans="1:40" x14ac:dyDescent="0.25">
      <c r="L592" s="56"/>
      <c r="M592" s="56"/>
      <c r="N592" s="56"/>
      <c r="O592" s="56"/>
      <c r="R592" s="56"/>
      <c r="Z592" s="56"/>
      <c r="AA592" s="56"/>
      <c r="AB592" s="56"/>
      <c r="AC592" s="56"/>
      <c r="AD592" s="56"/>
      <c r="AE592" s="56"/>
      <c r="AF592" s="56"/>
      <c r="AG592" s="155"/>
      <c r="AH592" s="56"/>
      <c r="AK592" s="155"/>
      <c r="AL592" s="56"/>
      <c r="AM592" s="56"/>
      <c r="AN592" s="56"/>
    </row>
    <row r="593" spans="1:40" x14ac:dyDescent="0.25">
      <c r="A593" s="56"/>
      <c r="C593" s="56"/>
      <c r="D593" s="56"/>
      <c r="E593" s="56"/>
      <c r="F593" s="56"/>
      <c r="J593" s="56"/>
      <c r="K593" s="56"/>
      <c r="L593" s="56"/>
      <c r="M593" s="56"/>
      <c r="N593" s="56"/>
      <c r="O593" s="56"/>
      <c r="P593" s="56"/>
      <c r="Q593" s="56"/>
      <c r="R593" s="56"/>
      <c r="T593" s="56"/>
      <c r="U593" s="56"/>
      <c r="V593" s="56"/>
      <c r="Z593" s="56"/>
      <c r="AA593" s="56"/>
      <c r="AB593" s="56"/>
      <c r="AC593" s="56"/>
      <c r="AD593" s="56"/>
      <c r="AE593" s="56"/>
      <c r="AF593" s="56"/>
      <c r="AG593" s="155"/>
      <c r="AH593" s="56"/>
      <c r="AI593" s="56"/>
      <c r="AJ593" s="56"/>
      <c r="AK593" s="155"/>
      <c r="AL593" s="56"/>
      <c r="AM593" s="56"/>
      <c r="AN593" s="56"/>
    </row>
    <row r="594" spans="1:40" x14ac:dyDescent="0.25">
      <c r="A594" s="56"/>
      <c r="C594" s="56"/>
      <c r="D594" s="56"/>
      <c r="E594" s="56"/>
      <c r="F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T594" s="56"/>
      <c r="U594" s="56"/>
      <c r="V594" s="56"/>
      <c r="Y594" s="56"/>
      <c r="Z594" s="56"/>
      <c r="AA594" s="56"/>
      <c r="AB594" s="56"/>
      <c r="AC594" s="56"/>
      <c r="AD594" s="56"/>
      <c r="AE594" s="56"/>
      <c r="AF594" s="56"/>
      <c r="AG594" s="155"/>
      <c r="AH594" s="56"/>
      <c r="AI594" s="56"/>
      <c r="AJ594" s="56"/>
      <c r="AK594" s="155"/>
      <c r="AL594" s="56"/>
      <c r="AM594" s="56"/>
      <c r="AN594" s="56"/>
    </row>
    <row r="595" spans="1:40" x14ac:dyDescent="0.25">
      <c r="C595" s="56"/>
      <c r="D595" s="56"/>
      <c r="E595" s="56"/>
      <c r="F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T595" s="56"/>
      <c r="U595" s="56"/>
      <c r="V595" s="56"/>
      <c r="Y595" s="56"/>
      <c r="Z595" s="56"/>
      <c r="AA595" s="56"/>
      <c r="AB595" s="56"/>
      <c r="AC595" s="56"/>
      <c r="AD595" s="56"/>
      <c r="AE595" s="56"/>
      <c r="AF595" s="56"/>
      <c r="AG595" s="155"/>
      <c r="AH595" s="56"/>
      <c r="AI595" s="56"/>
      <c r="AJ595" s="56"/>
      <c r="AK595" s="155"/>
      <c r="AL595" s="56"/>
      <c r="AM595" s="56"/>
      <c r="AN595" s="56"/>
    </row>
    <row r="596" spans="1:40" x14ac:dyDescent="0.25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154"/>
      <c r="AH596" s="55"/>
      <c r="AI596" s="55"/>
      <c r="AJ596" s="55"/>
      <c r="AK596" s="154"/>
      <c r="AL596" s="55"/>
      <c r="AM596" s="55"/>
      <c r="AN596" s="55"/>
    </row>
    <row r="597" spans="1:40" x14ac:dyDescent="0.25"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Y597" s="56"/>
      <c r="Z597" s="56"/>
      <c r="AA597" s="56"/>
      <c r="AB597" s="56"/>
      <c r="AC597" s="56"/>
      <c r="AD597" s="56"/>
      <c r="AE597" s="56"/>
      <c r="AF597" s="56"/>
      <c r="AG597" s="155"/>
      <c r="AH597" s="56"/>
      <c r="AI597" s="56"/>
      <c r="AJ597" s="56"/>
      <c r="AK597" s="155"/>
      <c r="AL597" s="56"/>
      <c r="AM597" s="56"/>
      <c r="AN597" s="56"/>
    </row>
    <row r="598" spans="1:40" x14ac:dyDescent="0.25">
      <c r="A598" s="53"/>
      <c r="C598" s="54"/>
      <c r="D598" s="54"/>
      <c r="E598" s="54"/>
      <c r="F598" s="379"/>
      <c r="H598" s="379"/>
      <c r="I598" s="379"/>
      <c r="J598" s="59"/>
      <c r="K598" s="59"/>
      <c r="L598" s="379"/>
      <c r="M598" s="379"/>
      <c r="N598" s="59"/>
      <c r="O598" s="59"/>
      <c r="P598" s="379"/>
      <c r="Q598" s="379"/>
      <c r="R598" s="379"/>
      <c r="T598" s="54"/>
      <c r="U598" s="54"/>
      <c r="V598" s="379"/>
      <c r="Y598" s="379"/>
      <c r="Z598" s="59"/>
      <c r="AA598" s="379"/>
      <c r="AB598" s="379"/>
      <c r="AC598" s="59"/>
      <c r="AD598" s="59"/>
      <c r="AE598" s="379"/>
      <c r="AF598" s="379"/>
      <c r="AG598" s="156"/>
      <c r="AH598" s="60"/>
      <c r="AI598" s="379"/>
      <c r="AJ598" s="379"/>
      <c r="AK598" s="156"/>
      <c r="AL598" s="379"/>
      <c r="AM598" s="50"/>
      <c r="AN598" s="50"/>
    </row>
    <row r="599" spans="1:40" x14ac:dyDescent="0.25">
      <c r="F599" s="381"/>
      <c r="H599" s="381"/>
      <c r="I599" s="381"/>
      <c r="J599" s="464"/>
      <c r="K599" s="464"/>
      <c r="L599" s="381"/>
      <c r="M599" s="381"/>
      <c r="N599" s="381"/>
      <c r="O599" s="381"/>
      <c r="P599" s="381"/>
      <c r="Q599" s="381"/>
      <c r="R599" s="381"/>
      <c r="V599" s="381"/>
      <c r="Y599" s="381"/>
      <c r="Z599" s="464"/>
      <c r="AA599" s="381"/>
      <c r="AB599" s="381"/>
      <c r="AC599" s="381"/>
      <c r="AD599" s="381"/>
      <c r="AE599" s="381"/>
      <c r="AF599" s="381"/>
      <c r="AI599" s="381"/>
      <c r="AJ599" s="381"/>
      <c r="AK599" s="162"/>
      <c r="AL599" s="381"/>
      <c r="AM599" s="50"/>
      <c r="AN599" s="50"/>
    </row>
    <row r="600" spans="1:40" x14ac:dyDescent="0.25">
      <c r="A600" s="53"/>
      <c r="C600" s="54"/>
      <c r="F600" s="379"/>
      <c r="H600" s="379"/>
      <c r="I600" s="379"/>
      <c r="J600" s="59"/>
      <c r="K600" s="59"/>
      <c r="L600" s="379"/>
      <c r="M600" s="379"/>
      <c r="N600" s="59"/>
      <c r="O600" s="59"/>
      <c r="P600" s="379"/>
      <c r="Q600" s="379"/>
      <c r="R600" s="379"/>
      <c r="T600" s="54"/>
      <c r="V600" s="379"/>
      <c r="Y600" s="379"/>
      <c r="Z600" s="59"/>
      <c r="AA600" s="379"/>
      <c r="AB600" s="379"/>
      <c r="AC600" s="59"/>
      <c r="AD600" s="59"/>
      <c r="AE600" s="379"/>
      <c r="AF600" s="379"/>
      <c r="AG600" s="156"/>
      <c r="AH600" s="60"/>
      <c r="AI600" s="379"/>
      <c r="AJ600" s="379"/>
      <c r="AK600" s="156"/>
      <c r="AL600" s="379"/>
      <c r="AM600" s="50"/>
      <c r="AN600" s="50"/>
    </row>
    <row r="601" spans="1:40" x14ac:dyDescent="0.25">
      <c r="F601" s="379"/>
      <c r="H601" s="379"/>
      <c r="I601" s="379"/>
      <c r="J601" s="59"/>
      <c r="K601" s="59"/>
      <c r="L601" s="379"/>
      <c r="M601" s="379"/>
      <c r="N601" s="59"/>
      <c r="O601" s="59"/>
      <c r="P601" s="379"/>
      <c r="Q601" s="379"/>
      <c r="R601" s="379"/>
      <c r="V601" s="379"/>
      <c r="Y601" s="379"/>
      <c r="Z601" s="59"/>
      <c r="AA601" s="379"/>
      <c r="AB601" s="379"/>
      <c r="AC601" s="59"/>
      <c r="AD601" s="59"/>
      <c r="AG601" s="156"/>
      <c r="AH601" s="60"/>
      <c r="AI601" s="379"/>
      <c r="AJ601" s="379"/>
      <c r="AK601" s="156"/>
      <c r="AL601" s="379"/>
      <c r="AM601" s="50"/>
      <c r="AN601" s="50"/>
    </row>
    <row r="602" spans="1:40" x14ac:dyDescent="0.25">
      <c r="A602" s="53"/>
      <c r="C602" s="54"/>
      <c r="D602" s="54"/>
      <c r="E602" s="54"/>
      <c r="F602" s="379"/>
      <c r="H602" s="379"/>
      <c r="I602" s="379"/>
      <c r="J602" s="59"/>
      <c r="K602" s="59"/>
      <c r="L602" s="379"/>
      <c r="M602" s="379"/>
      <c r="N602" s="59"/>
      <c r="O602" s="59"/>
      <c r="P602" s="379"/>
      <c r="Q602" s="379"/>
      <c r="R602" s="379"/>
      <c r="T602" s="54"/>
      <c r="U602" s="54"/>
      <c r="V602" s="379"/>
      <c r="Y602" s="379"/>
      <c r="Z602" s="59"/>
      <c r="AA602" s="379"/>
      <c r="AB602" s="379"/>
      <c r="AC602" s="59"/>
      <c r="AD602" s="59"/>
      <c r="AE602" s="379"/>
      <c r="AF602" s="379"/>
      <c r="AG602" s="156"/>
      <c r="AH602" s="60"/>
      <c r="AI602" s="379"/>
      <c r="AJ602" s="379"/>
      <c r="AK602" s="156"/>
      <c r="AL602" s="379"/>
      <c r="AM602" s="50"/>
      <c r="AN602" s="50"/>
    </row>
    <row r="603" spans="1:40" x14ac:dyDescent="0.25">
      <c r="A603" s="53"/>
      <c r="C603" s="54"/>
      <c r="D603" s="54"/>
      <c r="E603" s="54"/>
      <c r="F603" s="379"/>
      <c r="H603" s="379"/>
      <c r="I603" s="379"/>
      <c r="J603" s="59"/>
      <c r="K603" s="59"/>
      <c r="L603" s="379"/>
      <c r="M603" s="379"/>
      <c r="N603" s="59"/>
      <c r="O603" s="59"/>
      <c r="P603" s="379"/>
      <c r="Q603" s="379"/>
      <c r="R603" s="379"/>
      <c r="T603" s="54"/>
      <c r="U603" s="54"/>
      <c r="V603" s="379"/>
      <c r="Y603" s="379"/>
      <c r="Z603" s="59"/>
      <c r="AA603" s="379"/>
      <c r="AB603" s="379"/>
      <c r="AC603" s="59"/>
      <c r="AD603" s="59"/>
      <c r="AE603" s="379"/>
      <c r="AF603" s="379"/>
      <c r="AG603" s="156"/>
      <c r="AH603" s="60"/>
      <c r="AI603" s="379"/>
      <c r="AJ603" s="379"/>
      <c r="AK603" s="156"/>
      <c r="AL603" s="379"/>
      <c r="AM603" s="50"/>
      <c r="AN603" s="50"/>
    </row>
    <row r="604" spans="1:40" x14ac:dyDescent="0.25">
      <c r="A604" s="53"/>
      <c r="C604" s="54"/>
      <c r="D604" s="54"/>
      <c r="E604" s="54"/>
      <c r="F604" s="379"/>
      <c r="H604" s="379"/>
      <c r="I604" s="379"/>
      <c r="J604" s="59"/>
      <c r="K604" s="59"/>
      <c r="L604" s="379"/>
      <c r="M604" s="379"/>
      <c r="N604" s="59"/>
      <c r="O604" s="59"/>
      <c r="P604" s="379"/>
      <c r="Q604" s="379"/>
      <c r="R604" s="379"/>
      <c r="T604" s="54"/>
      <c r="U604" s="54"/>
      <c r="V604" s="379"/>
      <c r="Y604" s="379"/>
      <c r="Z604" s="59"/>
      <c r="AA604" s="379"/>
      <c r="AB604" s="379"/>
      <c r="AC604" s="59"/>
      <c r="AD604" s="59"/>
      <c r="AE604" s="379"/>
      <c r="AF604" s="379"/>
      <c r="AG604" s="156"/>
      <c r="AH604" s="60"/>
      <c r="AI604" s="379"/>
      <c r="AJ604" s="379"/>
      <c r="AK604" s="156"/>
      <c r="AL604" s="379"/>
      <c r="AM604" s="50"/>
      <c r="AN604" s="50"/>
    </row>
    <row r="605" spans="1:40" x14ac:dyDescent="0.25">
      <c r="A605" s="53"/>
      <c r="C605" s="54"/>
      <c r="D605" s="54"/>
      <c r="E605" s="54"/>
      <c r="F605" s="379"/>
      <c r="H605" s="379"/>
      <c r="I605" s="379"/>
      <c r="J605" s="59"/>
      <c r="K605" s="59"/>
      <c r="L605" s="379"/>
      <c r="M605" s="379"/>
      <c r="N605" s="59"/>
      <c r="O605" s="59"/>
      <c r="P605" s="379"/>
      <c r="Q605" s="379"/>
      <c r="R605" s="379"/>
      <c r="T605" s="54"/>
      <c r="U605" s="54"/>
      <c r="V605" s="379"/>
      <c r="Y605" s="379"/>
      <c r="Z605" s="59"/>
      <c r="AA605" s="379"/>
      <c r="AB605" s="379"/>
      <c r="AC605" s="59"/>
      <c r="AD605" s="59"/>
      <c r="AE605" s="379"/>
      <c r="AF605" s="379"/>
      <c r="AG605" s="156"/>
      <c r="AH605" s="60"/>
      <c r="AI605" s="379"/>
      <c r="AJ605" s="379"/>
      <c r="AK605" s="156"/>
      <c r="AL605" s="379"/>
      <c r="AM605" s="50"/>
      <c r="AN605" s="50"/>
    </row>
    <row r="606" spans="1:40" x14ac:dyDescent="0.25">
      <c r="A606" s="53"/>
      <c r="C606" s="54"/>
      <c r="D606" s="54"/>
      <c r="E606" s="54"/>
      <c r="F606" s="379"/>
      <c r="H606" s="379"/>
      <c r="I606" s="379"/>
      <c r="J606" s="59"/>
      <c r="K606" s="59"/>
      <c r="L606" s="379"/>
      <c r="M606" s="379"/>
      <c r="N606" s="59"/>
      <c r="O606" s="59"/>
      <c r="P606" s="379"/>
      <c r="Q606" s="379"/>
      <c r="R606" s="379"/>
      <c r="T606" s="54"/>
      <c r="U606" s="54"/>
      <c r="V606" s="379"/>
      <c r="Y606" s="379"/>
      <c r="Z606" s="59"/>
      <c r="AA606" s="379"/>
      <c r="AB606" s="379"/>
      <c r="AC606" s="59"/>
      <c r="AD606" s="59"/>
      <c r="AE606" s="379"/>
      <c r="AF606" s="379"/>
      <c r="AG606" s="156"/>
      <c r="AH606" s="60"/>
      <c r="AI606" s="379"/>
      <c r="AJ606" s="379"/>
      <c r="AK606" s="156"/>
      <c r="AL606" s="379"/>
      <c r="AM606" s="50"/>
      <c r="AN606" s="50"/>
    </row>
    <row r="607" spans="1:40" x14ac:dyDescent="0.25">
      <c r="A607" s="53"/>
      <c r="C607" s="54"/>
      <c r="D607" s="54"/>
      <c r="E607" s="54"/>
      <c r="F607" s="379"/>
      <c r="H607" s="379"/>
      <c r="I607" s="379"/>
      <c r="J607" s="59"/>
      <c r="K607" s="59"/>
      <c r="L607" s="379"/>
      <c r="M607" s="379"/>
      <c r="N607" s="59"/>
      <c r="O607" s="59"/>
      <c r="P607" s="379"/>
      <c r="Q607" s="379"/>
      <c r="R607" s="379"/>
      <c r="T607" s="54"/>
      <c r="U607" s="54"/>
      <c r="V607" s="379"/>
      <c r="Y607" s="379"/>
      <c r="Z607" s="59"/>
      <c r="AA607" s="379"/>
      <c r="AB607" s="379"/>
      <c r="AC607" s="59"/>
      <c r="AD607" s="59"/>
      <c r="AE607" s="379"/>
      <c r="AF607" s="379"/>
      <c r="AG607" s="156"/>
      <c r="AH607" s="60"/>
      <c r="AI607" s="379"/>
      <c r="AJ607" s="379"/>
      <c r="AK607" s="156"/>
      <c r="AL607" s="379"/>
      <c r="AM607" s="50"/>
      <c r="AN607" s="50"/>
    </row>
    <row r="608" spans="1:40" x14ac:dyDescent="0.25">
      <c r="F608" s="381"/>
      <c r="H608" s="381"/>
      <c r="I608" s="381"/>
      <c r="J608" s="464"/>
      <c r="K608" s="464"/>
      <c r="L608" s="381"/>
      <c r="M608" s="381"/>
      <c r="N608" s="381"/>
      <c r="O608" s="381"/>
      <c r="P608" s="381"/>
      <c r="Q608" s="381"/>
      <c r="R608" s="381"/>
      <c r="V608" s="381"/>
      <c r="Y608" s="381"/>
      <c r="Z608" s="464"/>
      <c r="AA608" s="381"/>
      <c r="AB608" s="381"/>
      <c r="AC608" s="381"/>
      <c r="AD608" s="381"/>
      <c r="AE608" s="381"/>
      <c r="AF608" s="381"/>
      <c r="AI608" s="381"/>
      <c r="AJ608" s="381"/>
      <c r="AK608" s="162"/>
      <c r="AL608" s="381"/>
      <c r="AM608" s="50"/>
      <c r="AN608" s="50"/>
    </row>
    <row r="609" spans="1:40" x14ac:dyDescent="0.25">
      <c r="A609" s="53"/>
      <c r="C609" s="54"/>
      <c r="F609" s="379"/>
      <c r="H609" s="379"/>
      <c r="I609" s="379"/>
      <c r="J609" s="59"/>
      <c r="K609" s="59"/>
      <c r="L609" s="379"/>
      <c r="M609" s="379"/>
      <c r="N609" s="59"/>
      <c r="O609" s="59"/>
      <c r="P609" s="379"/>
      <c r="Q609" s="379"/>
      <c r="R609" s="379"/>
      <c r="T609" s="54"/>
      <c r="V609" s="379"/>
      <c r="Y609" s="379"/>
      <c r="Z609" s="59"/>
      <c r="AA609" s="379"/>
      <c r="AB609" s="379"/>
      <c r="AC609" s="59"/>
      <c r="AD609" s="59"/>
      <c r="AE609" s="379"/>
      <c r="AF609" s="379"/>
      <c r="AG609" s="156"/>
      <c r="AH609" s="60"/>
      <c r="AI609" s="379"/>
      <c r="AJ609" s="379"/>
      <c r="AK609" s="156"/>
      <c r="AL609" s="379"/>
      <c r="AM609" s="50"/>
      <c r="AN609" s="50"/>
    </row>
    <row r="610" spans="1:40" x14ac:dyDescent="0.25">
      <c r="F610" s="379"/>
      <c r="H610" s="379"/>
      <c r="I610" s="379"/>
      <c r="J610" s="59"/>
      <c r="K610" s="59"/>
      <c r="L610" s="379"/>
      <c r="M610" s="379"/>
      <c r="N610" s="59"/>
      <c r="O610" s="59"/>
      <c r="P610" s="379"/>
      <c r="Q610" s="379"/>
      <c r="R610" s="379"/>
      <c r="V610" s="379"/>
      <c r="Y610" s="379"/>
      <c r="Z610" s="59"/>
      <c r="AA610" s="379"/>
      <c r="AB610" s="379"/>
      <c r="AC610" s="59"/>
      <c r="AD610" s="59"/>
      <c r="AG610" s="156"/>
      <c r="AH610" s="60"/>
      <c r="AI610" s="379"/>
      <c r="AJ610" s="379"/>
      <c r="AK610" s="156"/>
      <c r="AL610" s="379"/>
      <c r="AM610" s="50"/>
      <c r="AN610" s="50"/>
    </row>
    <row r="611" spans="1:40" x14ac:dyDescent="0.25">
      <c r="A611" s="53"/>
      <c r="C611" s="54"/>
      <c r="D611" s="54"/>
      <c r="E611" s="54"/>
      <c r="F611" s="379"/>
      <c r="H611" s="379"/>
      <c r="I611" s="379"/>
      <c r="J611" s="59"/>
      <c r="K611" s="59"/>
      <c r="L611" s="379"/>
      <c r="M611" s="379"/>
      <c r="N611" s="59"/>
      <c r="O611" s="59"/>
      <c r="P611" s="379"/>
      <c r="Q611" s="379"/>
      <c r="R611" s="379"/>
      <c r="T611" s="54"/>
      <c r="U611" s="54"/>
      <c r="V611" s="379"/>
      <c r="Y611" s="379"/>
      <c r="Z611" s="59"/>
      <c r="AA611" s="379"/>
      <c r="AB611" s="379"/>
      <c r="AC611" s="59"/>
      <c r="AD611" s="59"/>
      <c r="AE611" s="379"/>
      <c r="AF611" s="379"/>
      <c r="AG611" s="156"/>
      <c r="AH611" s="60"/>
      <c r="AI611" s="379"/>
      <c r="AJ611" s="379"/>
      <c r="AK611" s="156"/>
      <c r="AL611" s="379"/>
      <c r="AM611" s="50"/>
      <c r="AN611" s="50"/>
    </row>
    <row r="612" spans="1:40" x14ac:dyDescent="0.25">
      <c r="F612" s="381"/>
      <c r="H612" s="381"/>
      <c r="I612" s="381"/>
      <c r="J612" s="464"/>
      <c r="K612" s="464"/>
      <c r="L612" s="381"/>
      <c r="M612" s="381"/>
      <c r="N612" s="381"/>
      <c r="O612" s="381"/>
      <c r="P612" s="381"/>
      <c r="Q612" s="381"/>
      <c r="R612" s="381"/>
      <c r="V612" s="381"/>
      <c r="Y612" s="381"/>
      <c r="Z612" s="464"/>
      <c r="AA612" s="381"/>
      <c r="AB612" s="381"/>
      <c r="AC612" s="381"/>
      <c r="AD612" s="381"/>
      <c r="AE612" s="381"/>
      <c r="AF612" s="381"/>
      <c r="AI612" s="381"/>
      <c r="AJ612" s="381"/>
      <c r="AK612" s="162"/>
      <c r="AL612" s="381"/>
      <c r="AM612" s="50"/>
      <c r="AN612" s="50"/>
    </row>
    <row r="613" spans="1:40" x14ac:dyDescent="0.25">
      <c r="A613" s="53"/>
      <c r="C613" s="54"/>
      <c r="F613" s="379"/>
      <c r="H613" s="379"/>
      <c r="I613" s="379"/>
      <c r="J613" s="59"/>
      <c r="K613" s="59"/>
      <c r="L613" s="379"/>
      <c r="M613" s="379"/>
      <c r="N613" s="59"/>
      <c r="O613" s="59"/>
      <c r="P613" s="379"/>
      <c r="Q613" s="379"/>
      <c r="R613" s="379"/>
      <c r="T613" s="54"/>
      <c r="V613" s="379"/>
      <c r="Y613" s="379"/>
      <c r="Z613" s="59"/>
      <c r="AA613" s="379"/>
      <c r="AB613" s="379"/>
      <c r="AC613" s="59"/>
      <c r="AD613" s="59"/>
      <c r="AE613" s="379"/>
      <c r="AF613" s="379"/>
      <c r="AG613" s="156"/>
      <c r="AH613" s="60"/>
      <c r="AI613" s="379"/>
      <c r="AJ613" s="379"/>
      <c r="AK613" s="156"/>
      <c r="AL613" s="379"/>
      <c r="AM613" s="50"/>
      <c r="AN613" s="50"/>
    </row>
    <row r="614" spans="1:40" x14ac:dyDescent="0.25">
      <c r="F614" s="379"/>
      <c r="H614" s="379"/>
      <c r="I614" s="379"/>
      <c r="J614" s="59"/>
      <c r="K614" s="59"/>
      <c r="L614" s="379"/>
      <c r="M614" s="379"/>
      <c r="N614" s="59"/>
      <c r="O614" s="59"/>
      <c r="P614" s="379"/>
      <c r="Q614" s="379"/>
      <c r="R614" s="379"/>
      <c r="V614" s="379"/>
      <c r="Y614" s="379"/>
      <c r="Z614" s="59"/>
      <c r="AA614" s="379"/>
      <c r="AB614" s="379"/>
      <c r="AC614" s="59"/>
      <c r="AD614" s="59"/>
      <c r="AG614" s="156"/>
      <c r="AH614" s="60"/>
      <c r="AI614" s="379"/>
      <c r="AJ614" s="379"/>
      <c r="AK614" s="156"/>
      <c r="AL614" s="379"/>
      <c r="AM614" s="50"/>
      <c r="AN614" s="50"/>
    </row>
    <row r="615" spans="1:40" x14ac:dyDescent="0.25">
      <c r="A615" s="53"/>
      <c r="C615" s="54"/>
      <c r="D615" s="54"/>
      <c r="E615" s="54"/>
      <c r="F615" s="379"/>
      <c r="H615" s="379"/>
      <c r="I615" s="379"/>
      <c r="J615" s="59"/>
      <c r="K615" s="59"/>
      <c r="L615" s="379"/>
      <c r="M615" s="379"/>
      <c r="N615" s="59"/>
      <c r="O615" s="59"/>
      <c r="P615" s="379"/>
      <c r="Q615" s="379"/>
      <c r="R615" s="379"/>
      <c r="T615" s="54"/>
      <c r="U615" s="54"/>
      <c r="V615" s="379"/>
      <c r="Y615" s="379"/>
      <c r="Z615" s="59"/>
      <c r="AA615" s="379"/>
      <c r="AB615" s="379"/>
      <c r="AC615" s="59"/>
      <c r="AD615" s="59"/>
      <c r="AE615" s="379"/>
      <c r="AF615" s="379"/>
      <c r="AG615" s="156"/>
      <c r="AH615" s="60"/>
      <c r="AI615" s="379"/>
      <c r="AJ615" s="379"/>
      <c r="AK615" s="156"/>
      <c r="AL615" s="379"/>
      <c r="AM615" s="50"/>
      <c r="AN615" s="50"/>
    </row>
    <row r="616" spans="1:40" x14ac:dyDescent="0.25">
      <c r="A616" s="53"/>
      <c r="C616" s="54"/>
      <c r="D616" s="54"/>
      <c r="E616" s="54"/>
      <c r="F616" s="379"/>
      <c r="G616" s="379"/>
      <c r="H616" s="379"/>
      <c r="I616" s="379"/>
      <c r="J616" s="59"/>
      <c r="K616" s="59"/>
      <c r="L616" s="379"/>
      <c r="M616" s="379"/>
      <c r="N616" s="59"/>
      <c r="O616" s="59"/>
      <c r="P616" s="379"/>
      <c r="Q616" s="379"/>
      <c r="R616" s="379"/>
      <c r="T616" s="54"/>
      <c r="U616" s="54"/>
      <c r="V616" s="379"/>
      <c r="W616" s="379"/>
      <c r="X616" s="379"/>
      <c r="Y616" s="379"/>
      <c r="Z616" s="59"/>
      <c r="AA616" s="379"/>
      <c r="AB616" s="379"/>
      <c r="AC616" s="59"/>
      <c r="AD616" s="59"/>
      <c r="AE616" s="379"/>
      <c r="AF616" s="379"/>
      <c r="AG616" s="156"/>
      <c r="AH616" s="60"/>
      <c r="AI616" s="379"/>
      <c r="AJ616" s="379"/>
      <c r="AK616" s="156"/>
      <c r="AL616" s="379"/>
      <c r="AM616" s="50"/>
      <c r="AN616" s="50"/>
    </row>
    <row r="617" spans="1:40" x14ac:dyDescent="0.25">
      <c r="A617" s="53"/>
      <c r="C617" s="54"/>
      <c r="D617" s="54"/>
      <c r="E617" s="54"/>
      <c r="F617" s="379"/>
      <c r="G617" s="379"/>
      <c r="H617" s="379"/>
      <c r="I617" s="379"/>
      <c r="J617" s="59"/>
      <c r="K617" s="59"/>
      <c r="L617" s="379"/>
      <c r="M617" s="379"/>
      <c r="N617" s="59"/>
      <c r="O617" s="59"/>
      <c r="P617" s="379"/>
      <c r="Q617" s="379"/>
      <c r="R617" s="379"/>
      <c r="T617" s="54"/>
      <c r="U617" s="54"/>
      <c r="V617" s="379"/>
      <c r="W617" s="379"/>
      <c r="X617" s="379"/>
      <c r="Y617" s="379"/>
      <c r="Z617" s="59"/>
      <c r="AA617" s="379"/>
      <c r="AB617" s="379"/>
      <c r="AC617" s="59"/>
      <c r="AD617" s="59"/>
      <c r="AE617" s="379"/>
      <c r="AF617" s="379"/>
      <c r="AG617" s="156"/>
      <c r="AH617" s="60"/>
      <c r="AI617" s="379"/>
      <c r="AJ617" s="379"/>
      <c r="AK617" s="156"/>
      <c r="AL617" s="379"/>
      <c r="AM617" s="50"/>
      <c r="AN617" s="50"/>
    </row>
    <row r="618" spans="1:40" x14ac:dyDescent="0.25">
      <c r="A618" s="53"/>
      <c r="C618" s="54"/>
      <c r="D618" s="54"/>
      <c r="E618" s="54"/>
      <c r="F618" s="379"/>
      <c r="H618" s="379"/>
      <c r="I618" s="379"/>
      <c r="J618" s="59"/>
      <c r="K618" s="59"/>
      <c r="L618" s="379"/>
      <c r="M618" s="379"/>
      <c r="N618" s="59"/>
      <c r="O618" s="59"/>
      <c r="P618" s="379"/>
      <c r="Q618" s="379"/>
      <c r="R618" s="379"/>
      <c r="T618" s="54"/>
      <c r="U618" s="54"/>
      <c r="V618" s="379"/>
      <c r="Y618" s="379"/>
      <c r="Z618" s="59"/>
      <c r="AA618" s="379"/>
      <c r="AB618" s="379"/>
      <c r="AC618" s="59"/>
      <c r="AD618" s="59"/>
      <c r="AE618" s="379"/>
      <c r="AF618" s="379"/>
      <c r="AG618" s="156"/>
      <c r="AH618" s="60"/>
      <c r="AI618" s="379"/>
      <c r="AJ618" s="379"/>
      <c r="AK618" s="156"/>
      <c r="AL618" s="379"/>
      <c r="AM618" s="50"/>
      <c r="AN618" s="50"/>
    </row>
    <row r="619" spans="1:40" x14ac:dyDescent="0.25">
      <c r="A619" s="53"/>
      <c r="C619" s="54"/>
      <c r="D619" s="54"/>
      <c r="E619" s="54"/>
      <c r="F619" s="379"/>
      <c r="H619" s="379"/>
      <c r="I619" s="379"/>
      <c r="J619" s="59"/>
      <c r="K619" s="59"/>
      <c r="L619" s="379"/>
      <c r="M619" s="379"/>
      <c r="N619" s="59"/>
      <c r="O619" s="59"/>
      <c r="P619" s="379"/>
      <c r="Q619" s="379"/>
      <c r="R619" s="379"/>
      <c r="T619" s="54"/>
      <c r="U619" s="54"/>
      <c r="V619" s="379"/>
      <c r="Y619" s="379"/>
      <c r="Z619" s="59"/>
      <c r="AA619" s="379"/>
      <c r="AB619" s="379"/>
      <c r="AC619" s="59"/>
      <c r="AD619" s="59"/>
      <c r="AE619" s="379"/>
      <c r="AF619" s="379"/>
      <c r="AG619" s="156"/>
      <c r="AH619" s="60"/>
      <c r="AI619" s="379"/>
      <c r="AJ619" s="379"/>
      <c r="AK619" s="156"/>
      <c r="AL619" s="379"/>
      <c r="AM619" s="50"/>
      <c r="AN619" s="50"/>
    </row>
    <row r="620" spans="1:40" x14ac:dyDescent="0.25">
      <c r="A620" s="53"/>
      <c r="C620" s="54"/>
      <c r="D620" s="54"/>
      <c r="E620" s="54"/>
      <c r="F620" s="379"/>
      <c r="H620" s="379"/>
      <c r="I620" s="379"/>
      <c r="J620" s="59"/>
      <c r="K620" s="59"/>
      <c r="L620" s="379"/>
      <c r="M620" s="379"/>
      <c r="N620" s="59"/>
      <c r="O620" s="59"/>
      <c r="P620" s="379"/>
      <c r="Q620" s="379"/>
      <c r="R620" s="379"/>
      <c r="T620" s="54"/>
      <c r="U620" s="54"/>
      <c r="V620" s="379"/>
      <c r="Y620" s="379"/>
      <c r="Z620" s="59"/>
      <c r="AA620" s="379"/>
      <c r="AB620" s="379"/>
      <c r="AC620" s="59"/>
      <c r="AD620" s="59"/>
      <c r="AE620" s="379"/>
      <c r="AF620" s="379"/>
      <c r="AG620" s="156"/>
      <c r="AH620" s="60"/>
      <c r="AI620" s="379"/>
      <c r="AJ620" s="379"/>
      <c r="AK620" s="156"/>
      <c r="AL620" s="379"/>
      <c r="AM620" s="50"/>
      <c r="AN620" s="50"/>
    </row>
    <row r="621" spans="1:40" x14ac:dyDescent="0.25">
      <c r="A621" s="53"/>
      <c r="C621" s="54"/>
      <c r="D621" s="54"/>
      <c r="E621" s="54"/>
      <c r="F621" s="379"/>
      <c r="H621" s="379"/>
      <c r="I621" s="379"/>
      <c r="J621" s="59"/>
      <c r="K621" s="59"/>
      <c r="L621" s="379"/>
      <c r="M621" s="379"/>
      <c r="N621" s="59"/>
      <c r="O621" s="59"/>
      <c r="P621" s="379"/>
      <c r="Q621" s="379"/>
      <c r="R621" s="379"/>
      <c r="T621" s="54"/>
      <c r="U621" s="54"/>
      <c r="V621" s="379"/>
      <c r="Y621" s="379"/>
      <c r="Z621" s="59"/>
      <c r="AA621" s="379"/>
      <c r="AB621" s="379"/>
      <c r="AC621" s="59"/>
      <c r="AD621" s="59"/>
      <c r="AE621" s="379"/>
      <c r="AF621" s="379"/>
      <c r="AG621" s="156"/>
      <c r="AH621" s="60"/>
      <c r="AI621" s="379"/>
      <c r="AJ621" s="379"/>
      <c r="AK621" s="156"/>
      <c r="AL621" s="379"/>
      <c r="AM621" s="50"/>
      <c r="AN621" s="50"/>
    </row>
    <row r="622" spans="1:40" x14ac:dyDescent="0.25">
      <c r="F622" s="381"/>
      <c r="H622" s="381"/>
      <c r="I622" s="381"/>
      <c r="J622" s="464"/>
      <c r="K622" s="464"/>
      <c r="L622" s="381"/>
      <c r="M622" s="381"/>
      <c r="N622" s="381"/>
      <c r="O622" s="381"/>
      <c r="P622" s="381"/>
      <c r="Q622" s="381"/>
      <c r="R622" s="381"/>
      <c r="V622" s="381"/>
      <c r="Y622" s="381"/>
      <c r="Z622" s="464"/>
      <c r="AA622" s="381"/>
      <c r="AB622" s="381"/>
      <c r="AC622" s="381"/>
      <c r="AD622" s="381"/>
      <c r="AE622" s="381"/>
      <c r="AF622" s="381"/>
      <c r="AI622" s="381"/>
      <c r="AJ622" s="381"/>
      <c r="AK622" s="162"/>
      <c r="AL622" s="381"/>
      <c r="AM622" s="50"/>
      <c r="AN622" s="50"/>
    </row>
    <row r="623" spans="1:40" x14ac:dyDescent="0.25">
      <c r="A623" s="53"/>
      <c r="C623" s="54"/>
      <c r="F623" s="379"/>
      <c r="H623" s="379"/>
      <c r="I623" s="379"/>
      <c r="J623" s="59"/>
      <c r="K623" s="59"/>
      <c r="L623" s="379"/>
      <c r="M623" s="379"/>
      <c r="N623" s="59"/>
      <c r="O623" s="59"/>
      <c r="P623" s="379"/>
      <c r="Q623" s="379"/>
      <c r="R623" s="379"/>
      <c r="T623" s="54"/>
      <c r="V623" s="379"/>
      <c r="Y623" s="379"/>
      <c r="Z623" s="59"/>
      <c r="AA623" s="379"/>
      <c r="AB623" s="379"/>
      <c r="AC623" s="59"/>
      <c r="AD623" s="59"/>
      <c r="AE623" s="379"/>
      <c r="AF623" s="379"/>
      <c r="AG623" s="156"/>
      <c r="AH623" s="60"/>
      <c r="AI623" s="379"/>
      <c r="AJ623" s="379"/>
      <c r="AK623" s="156"/>
      <c r="AL623" s="379"/>
      <c r="AM623" s="50"/>
      <c r="AN623" s="50"/>
    </row>
    <row r="624" spans="1:40" x14ac:dyDescent="0.25">
      <c r="V624" s="379"/>
      <c r="Y624" s="379"/>
      <c r="Z624" s="464"/>
      <c r="AA624" s="379"/>
      <c r="AB624" s="379"/>
      <c r="AC624" s="379"/>
      <c r="AD624" s="379"/>
      <c r="AE624" s="379"/>
      <c r="AF624" s="379"/>
      <c r="AI624" s="379"/>
      <c r="AJ624" s="379"/>
      <c r="AK624" s="156"/>
      <c r="AL624" s="379"/>
      <c r="AM624" s="50"/>
      <c r="AN624" s="50"/>
    </row>
    <row r="625" spans="1:40" x14ac:dyDescent="0.25">
      <c r="A625" s="53"/>
      <c r="C625" s="54"/>
      <c r="D625" s="54"/>
      <c r="E625" s="54"/>
      <c r="L625" s="379"/>
      <c r="M625" s="379"/>
      <c r="N625" s="59"/>
      <c r="O625" s="59"/>
      <c r="P625" s="53"/>
      <c r="Q625" s="53"/>
      <c r="R625" s="379"/>
      <c r="T625" s="54"/>
      <c r="U625" s="54"/>
      <c r="AA625" s="379"/>
      <c r="AB625" s="379"/>
      <c r="AC625" s="59"/>
      <c r="AD625" s="59"/>
      <c r="AE625" s="379"/>
      <c r="AF625" s="379"/>
      <c r="AG625" s="156"/>
      <c r="AH625" s="60"/>
      <c r="AI625" s="53"/>
      <c r="AJ625" s="53"/>
      <c r="AK625" s="156"/>
      <c r="AL625" s="379"/>
      <c r="AM625" s="50"/>
      <c r="AN625" s="50"/>
    </row>
    <row r="626" spans="1:40" x14ac:dyDescent="0.25">
      <c r="A626" s="53"/>
      <c r="D626" s="54"/>
      <c r="E626" s="54"/>
      <c r="F626" s="449"/>
      <c r="H626" s="449"/>
      <c r="I626" s="449"/>
      <c r="J626" s="59"/>
      <c r="K626" s="59"/>
      <c r="L626" s="379"/>
      <c r="M626" s="379"/>
      <c r="N626" s="59"/>
      <c r="O626" s="59"/>
      <c r="P626" s="449"/>
      <c r="Q626" s="449"/>
      <c r="R626" s="379"/>
      <c r="U626" s="54"/>
      <c r="V626" s="379"/>
      <c r="Y626" s="379"/>
      <c r="Z626" s="59"/>
      <c r="AA626" s="379"/>
      <c r="AB626" s="379"/>
      <c r="AC626" s="59"/>
      <c r="AD626" s="59"/>
      <c r="AE626" s="379"/>
      <c r="AF626" s="379"/>
      <c r="AG626" s="156"/>
      <c r="AH626" s="60"/>
      <c r="AI626" s="379"/>
      <c r="AJ626" s="379"/>
      <c r="AK626" s="156"/>
      <c r="AL626" s="379"/>
      <c r="AM626" s="50"/>
      <c r="AN626" s="50"/>
    </row>
    <row r="627" spans="1:40" x14ac:dyDescent="0.25">
      <c r="F627" s="381"/>
      <c r="H627" s="381"/>
      <c r="I627" s="381"/>
      <c r="J627" s="464"/>
      <c r="K627" s="464"/>
      <c r="L627" s="381"/>
      <c r="M627" s="381"/>
      <c r="N627" s="381"/>
      <c r="O627" s="381"/>
      <c r="P627" s="381"/>
      <c r="Q627" s="381"/>
      <c r="R627" s="381"/>
      <c r="V627" s="381"/>
      <c r="Y627" s="381"/>
      <c r="Z627" s="464"/>
      <c r="AA627" s="381"/>
      <c r="AB627" s="381"/>
      <c r="AC627" s="381"/>
      <c r="AD627" s="381"/>
      <c r="AE627" s="381"/>
      <c r="AF627" s="381"/>
      <c r="AI627" s="381"/>
      <c r="AJ627" s="381"/>
      <c r="AK627" s="162"/>
      <c r="AL627" s="381"/>
      <c r="AM627" s="50"/>
      <c r="AN627" s="50"/>
    </row>
    <row r="628" spans="1:40" x14ac:dyDescent="0.25">
      <c r="A628" s="53"/>
      <c r="C628" s="54"/>
      <c r="F628" s="379"/>
      <c r="H628" s="379"/>
      <c r="I628" s="379"/>
      <c r="J628" s="59"/>
      <c r="K628" s="59"/>
      <c r="L628" s="379"/>
      <c r="M628" s="379"/>
      <c r="N628" s="59"/>
      <c r="O628" s="59"/>
      <c r="P628" s="379"/>
      <c r="Q628" s="379"/>
      <c r="R628" s="379"/>
      <c r="T628" s="54"/>
      <c r="V628" s="379"/>
      <c r="Y628" s="379"/>
      <c r="Z628" s="59"/>
      <c r="AA628" s="379"/>
      <c r="AB628" s="379"/>
      <c r="AC628" s="59"/>
      <c r="AD628" s="59"/>
      <c r="AE628" s="379"/>
      <c r="AF628" s="379"/>
      <c r="AG628" s="156"/>
      <c r="AH628" s="60"/>
      <c r="AI628" s="379"/>
      <c r="AJ628" s="379"/>
      <c r="AK628" s="156"/>
      <c r="AL628" s="379"/>
      <c r="AM628" s="50"/>
      <c r="AN628" s="50"/>
    </row>
    <row r="629" spans="1:40" x14ac:dyDescent="0.25">
      <c r="F629" s="379"/>
      <c r="H629" s="379"/>
      <c r="I629" s="379"/>
      <c r="J629" s="59"/>
      <c r="K629" s="59"/>
      <c r="L629" s="379"/>
      <c r="M629" s="379"/>
      <c r="N629" s="59"/>
      <c r="O629" s="59"/>
      <c r="P629" s="379"/>
      <c r="Q629" s="379"/>
      <c r="R629" s="379"/>
      <c r="V629" s="379"/>
      <c r="Y629" s="379"/>
      <c r="Z629" s="59"/>
      <c r="AA629" s="379"/>
      <c r="AB629" s="379"/>
      <c r="AC629" s="59"/>
      <c r="AD629" s="59"/>
      <c r="AG629" s="156"/>
      <c r="AH629" s="60"/>
      <c r="AI629" s="379"/>
      <c r="AJ629" s="379"/>
      <c r="AK629" s="156"/>
      <c r="AL629" s="379"/>
      <c r="AM629" s="50"/>
      <c r="AN629" s="50"/>
    </row>
    <row r="630" spans="1:40" x14ac:dyDescent="0.25">
      <c r="A630" s="53"/>
      <c r="D630" s="54"/>
      <c r="E630" s="54"/>
      <c r="F630" s="379"/>
      <c r="H630" s="379"/>
      <c r="I630" s="379"/>
      <c r="J630" s="59"/>
      <c r="K630" s="59"/>
      <c r="L630" s="449"/>
      <c r="M630" s="449"/>
      <c r="N630" s="59"/>
      <c r="O630" s="59"/>
      <c r="P630" s="379"/>
      <c r="Q630" s="379"/>
      <c r="R630" s="379"/>
      <c r="U630" s="54"/>
      <c r="V630" s="379"/>
      <c r="Y630" s="379"/>
      <c r="Z630" s="59"/>
      <c r="AA630" s="449"/>
      <c r="AB630" s="449"/>
      <c r="AC630" s="59"/>
      <c r="AD630" s="59"/>
      <c r="AE630" s="379"/>
      <c r="AF630" s="379"/>
      <c r="AG630" s="156"/>
      <c r="AH630" s="60"/>
      <c r="AI630" s="379"/>
      <c r="AJ630" s="379"/>
      <c r="AK630" s="156"/>
      <c r="AL630" s="379"/>
      <c r="AM630" s="50"/>
      <c r="AN630" s="50"/>
    </row>
    <row r="631" spans="1:40" x14ac:dyDescent="0.25">
      <c r="A631" s="53"/>
      <c r="D631" s="54"/>
      <c r="E631" s="54"/>
      <c r="F631" s="379"/>
      <c r="H631" s="379"/>
      <c r="I631" s="379"/>
      <c r="J631" s="59"/>
      <c r="K631" s="59"/>
      <c r="L631" s="449"/>
      <c r="M631" s="449"/>
      <c r="N631" s="59"/>
      <c r="O631" s="59"/>
      <c r="P631" s="379"/>
      <c r="Q631" s="379"/>
      <c r="R631" s="379"/>
      <c r="U631" s="54"/>
      <c r="V631" s="379"/>
      <c r="Y631" s="379"/>
      <c r="Z631" s="59"/>
      <c r="AA631" s="449"/>
      <c r="AB631" s="449"/>
      <c r="AC631" s="59"/>
      <c r="AD631" s="59"/>
      <c r="AE631" s="379"/>
      <c r="AF631" s="379"/>
      <c r="AG631" s="156"/>
      <c r="AH631" s="60"/>
      <c r="AI631" s="379"/>
      <c r="AJ631" s="379"/>
      <c r="AK631" s="156"/>
      <c r="AL631" s="379"/>
      <c r="AM631" s="50"/>
      <c r="AN631" s="50"/>
    </row>
    <row r="632" spans="1:40" x14ac:dyDescent="0.25">
      <c r="A632" s="53"/>
      <c r="D632" s="54"/>
      <c r="E632" s="54"/>
      <c r="F632" s="379"/>
      <c r="H632" s="379"/>
      <c r="I632" s="379"/>
      <c r="J632" s="59"/>
      <c r="K632" s="59"/>
      <c r="L632" s="449"/>
      <c r="M632" s="449"/>
      <c r="N632" s="59"/>
      <c r="O632" s="59"/>
      <c r="P632" s="379"/>
      <c r="Q632" s="379"/>
      <c r="R632" s="379"/>
      <c r="U632" s="54"/>
      <c r="V632" s="379"/>
      <c r="Y632" s="379"/>
      <c r="Z632" s="59"/>
      <c r="AA632" s="449"/>
      <c r="AB632" s="449"/>
      <c r="AC632" s="59"/>
      <c r="AD632" s="59"/>
      <c r="AE632" s="379"/>
      <c r="AF632" s="379"/>
      <c r="AG632" s="156"/>
      <c r="AH632" s="60"/>
      <c r="AI632" s="379"/>
      <c r="AJ632" s="379"/>
      <c r="AK632" s="156"/>
      <c r="AL632" s="379"/>
      <c r="AM632" s="50"/>
      <c r="AN632" s="50"/>
    </row>
    <row r="633" spans="1:40" x14ac:dyDescent="0.25">
      <c r="F633" s="381"/>
      <c r="H633" s="381"/>
      <c r="I633" s="381"/>
      <c r="J633" s="464"/>
      <c r="K633" s="464"/>
      <c r="L633" s="381"/>
      <c r="M633" s="381"/>
      <c r="N633" s="381"/>
      <c r="O633" s="381"/>
      <c r="P633" s="381"/>
      <c r="Q633" s="381"/>
      <c r="R633" s="381"/>
      <c r="V633" s="381"/>
      <c r="Y633" s="381"/>
      <c r="Z633" s="464"/>
      <c r="AA633" s="381"/>
      <c r="AB633" s="381"/>
      <c r="AC633" s="381"/>
      <c r="AD633" s="381"/>
      <c r="AE633" s="381"/>
      <c r="AF633" s="381"/>
      <c r="AI633" s="381"/>
      <c r="AJ633" s="381"/>
      <c r="AK633" s="162"/>
      <c r="AL633" s="381"/>
      <c r="AM633" s="50"/>
      <c r="AN633" s="50"/>
    </row>
    <row r="634" spans="1:40" x14ac:dyDescent="0.25">
      <c r="A634" s="53"/>
      <c r="C634" s="54"/>
      <c r="F634" s="379"/>
      <c r="H634" s="379"/>
      <c r="I634" s="379"/>
      <c r="J634" s="59"/>
      <c r="K634" s="59"/>
      <c r="L634" s="379"/>
      <c r="M634" s="379"/>
      <c r="N634" s="59"/>
      <c r="O634" s="59"/>
      <c r="P634" s="379"/>
      <c r="Q634" s="379"/>
      <c r="R634" s="379"/>
      <c r="T634" s="54"/>
      <c r="V634" s="379"/>
      <c r="Y634" s="379"/>
      <c r="Z634" s="59"/>
      <c r="AA634" s="379"/>
      <c r="AB634" s="379"/>
      <c r="AC634" s="59"/>
      <c r="AD634" s="59"/>
      <c r="AE634" s="379"/>
      <c r="AF634" s="379"/>
      <c r="AG634" s="156"/>
      <c r="AH634" s="60"/>
      <c r="AI634" s="379"/>
      <c r="AJ634" s="379"/>
      <c r="AK634" s="156"/>
      <c r="AL634" s="379"/>
      <c r="AM634" s="50"/>
      <c r="AN634" s="50"/>
    </row>
    <row r="635" spans="1:40" x14ac:dyDescent="0.25">
      <c r="F635" s="379"/>
      <c r="H635" s="379"/>
      <c r="I635" s="379"/>
      <c r="J635" s="59"/>
      <c r="K635" s="59"/>
      <c r="L635" s="379"/>
      <c r="M635" s="379"/>
      <c r="N635" s="59"/>
      <c r="O635" s="59"/>
      <c r="P635" s="379"/>
      <c r="Q635" s="379"/>
      <c r="R635" s="379"/>
      <c r="V635" s="379"/>
      <c r="Y635" s="379"/>
      <c r="Z635" s="59"/>
      <c r="AA635" s="379"/>
      <c r="AB635" s="379"/>
      <c r="AC635" s="59"/>
      <c r="AD635" s="59"/>
      <c r="AG635" s="156"/>
      <c r="AH635" s="60"/>
      <c r="AI635" s="379"/>
      <c r="AJ635" s="379"/>
      <c r="AK635" s="156"/>
      <c r="AL635" s="379"/>
      <c r="AM635" s="50"/>
      <c r="AN635" s="50"/>
    </row>
    <row r="636" spans="1:40" x14ac:dyDescent="0.25">
      <c r="A636" s="53"/>
      <c r="C636" s="54"/>
      <c r="F636" s="379"/>
      <c r="H636" s="379"/>
      <c r="I636" s="379"/>
      <c r="J636" s="59"/>
      <c r="K636" s="59"/>
      <c r="L636" s="379"/>
      <c r="M636" s="379"/>
      <c r="N636" s="59"/>
      <c r="O636" s="59"/>
      <c r="P636" s="379"/>
      <c r="Q636" s="379"/>
      <c r="R636" s="379"/>
      <c r="T636" s="54"/>
      <c r="V636" s="379"/>
      <c r="Y636" s="379"/>
      <c r="Z636" s="59"/>
      <c r="AA636" s="379"/>
      <c r="AB636" s="379"/>
      <c r="AC636" s="59"/>
      <c r="AD636" s="59"/>
      <c r="AE636" s="379"/>
      <c r="AF636" s="379"/>
      <c r="AG636" s="156"/>
      <c r="AH636" s="60"/>
      <c r="AI636" s="379"/>
      <c r="AJ636" s="379"/>
      <c r="AK636" s="156"/>
      <c r="AL636" s="379"/>
      <c r="AM636" s="50"/>
      <c r="AN636" s="50"/>
    </row>
    <row r="637" spans="1:40" x14ac:dyDescent="0.25">
      <c r="F637" s="381"/>
      <c r="H637" s="381"/>
      <c r="I637" s="381"/>
      <c r="J637" s="464"/>
      <c r="K637" s="464"/>
      <c r="L637" s="381"/>
      <c r="M637" s="381"/>
      <c r="N637" s="381"/>
      <c r="O637" s="381"/>
      <c r="P637" s="381"/>
      <c r="Q637" s="381"/>
      <c r="R637" s="381"/>
      <c r="V637" s="381"/>
      <c r="Y637" s="381"/>
      <c r="Z637" s="464"/>
      <c r="AA637" s="381"/>
      <c r="AB637" s="381"/>
      <c r="AC637" s="381"/>
      <c r="AD637" s="381"/>
      <c r="AE637" s="381"/>
      <c r="AF637" s="381"/>
      <c r="AI637" s="381"/>
      <c r="AJ637" s="381"/>
      <c r="AK637" s="162"/>
      <c r="AL637" s="381"/>
    </row>
    <row r="639" spans="1:40" x14ac:dyDescent="0.25">
      <c r="C639" s="54"/>
      <c r="L639" s="379"/>
      <c r="M639" s="379"/>
      <c r="P639" s="379"/>
      <c r="Q639" s="379"/>
      <c r="R639" s="379"/>
      <c r="T639" s="54"/>
    </row>
    <row r="640" spans="1:40" x14ac:dyDescent="0.25">
      <c r="A640" s="54"/>
      <c r="L640" s="379"/>
      <c r="M640" s="379"/>
      <c r="P640" s="379"/>
      <c r="Q640" s="379"/>
      <c r="R640" s="379"/>
    </row>
    <row r="641" spans="12:18" x14ac:dyDescent="0.25">
      <c r="L641" s="379"/>
      <c r="M641" s="379"/>
      <c r="P641" s="379"/>
      <c r="Q641" s="379"/>
      <c r="R641" s="379"/>
    </row>
    <row r="642" spans="12:18" x14ac:dyDescent="0.25">
      <c r="L642" s="379"/>
      <c r="M642" s="379"/>
      <c r="P642" s="379"/>
      <c r="Q642" s="379"/>
      <c r="R642" s="379"/>
    </row>
    <row r="643" spans="12:18" x14ac:dyDescent="0.25">
      <c r="L643" s="379"/>
      <c r="M643" s="379"/>
      <c r="P643" s="379"/>
      <c r="Q643" s="379"/>
      <c r="R643" s="379"/>
    </row>
    <row r="644" spans="12:18" x14ac:dyDescent="0.25">
      <c r="L644" s="379"/>
      <c r="M644" s="379"/>
      <c r="P644" s="379"/>
      <c r="Q644" s="379"/>
      <c r="R644" s="379"/>
    </row>
    <row r="645" spans="12:18" x14ac:dyDescent="0.25">
      <c r="L645" s="379"/>
      <c r="M645" s="379"/>
      <c r="P645" s="379"/>
      <c r="Q645" s="379"/>
      <c r="R645" s="379"/>
    </row>
    <row r="678" spans="49:49" x14ac:dyDescent="0.25">
      <c r="AW678" s="379"/>
    </row>
    <row r="679" spans="49:49" x14ac:dyDescent="0.25">
      <c r="AW679" s="379"/>
    </row>
    <row r="680" spans="49:49" x14ac:dyDescent="0.25">
      <c r="AW680" s="379"/>
    </row>
    <row r="681" spans="49:49" x14ac:dyDescent="0.25">
      <c r="AW681" s="379"/>
    </row>
    <row r="682" spans="49:49" x14ac:dyDescent="0.25">
      <c r="AW682" s="379"/>
    </row>
    <row r="683" spans="49:49" x14ac:dyDescent="0.25">
      <c r="AW683" s="379"/>
    </row>
    <row r="686" spans="49:49" x14ac:dyDescent="0.25">
      <c r="AW686" s="379"/>
    </row>
    <row r="687" spans="49:49" x14ac:dyDescent="0.25">
      <c r="AW687" s="379"/>
    </row>
    <row r="688" spans="49:49" x14ac:dyDescent="0.25">
      <c r="AW688" s="379"/>
    </row>
    <row r="689" spans="49:49" x14ac:dyDescent="0.25">
      <c r="AW689" s="379"/>
    </row>
    <row r="690" spans="49:49" x14ac:dyDescent="0.25">
      <c r="AW690" s="379"/>
    </row>
    <row r="691" spans="49:49" x14ac:dyDescent="0.25">
      <c r="AW691" s="379"/>
    </row>
    <row r="692" spans="49:49" x14ac:dyDescent="0.25">
      <c r="AW692" s="379"/>
    </row>
    <row r="693" spans="49:49" x14ac:dyDescent="0.25">
      <c r="AW693" s="379"/>
    </row>
    <row r="696" spans="49:49" x14ac:dyDescent="0.25">
      <c r="AW696" s="379"/>
    </row>
    <row r="697" spans="49:49" x14ac:dyDescent="0.25">
      <c r="AW697" s="379"/>
    </row>
    <row r="700" spans="49:49" x14ac:dyDescent="0.25">
      <c r="AW700" s="379"/>
    </row>
    <row r="701" spans="49:49" x14ac:dyDescent="0.25">
      <c r="AW701" s="379"/>
    </row>
    <row r="702" spans="49:49" x14ac:dyDescent="0.25">
      <c r="AW702" s="379"/>
    </row>
    <row r="703" spans="49:49" x14ac:dyDescent="0.25">
      <c r="AW703" s="379"/>
    </row>
    <row r="709" spans="45:69" x14ac:dyDescent="0.25">
      <c r="AY709" s="53"/>
    </row>
    <row r="710" spans="45:69" x14ac:dyDescent="0.25">
      <c r="AY710" s="53"/>
    </row>
    <row r="711" spans="45:69" x14ac:dyDescent="0.25">
      <c r="AY711" s="54"/>
    </row>
    <row r="712" spans="45:69" x14ac:dyDescent="0.25">
      <c r="AY712" s="54"/>
    </row>
    <row r="713" spans="45:69" x14ac:dyDescent="0.25">
      <c r="AS713" s="53"/>
      <c r="BD713" s="54"/>
    </row>
    <row r="714" spans="45:69" x14ac:dyDescent="0.25">
      <c r="AS714" s="53"/>
      <c r="BD714" s="54"/>
    </row>
    <row r="715" spans="45:69" x14ac:dyDescent="0.25">
      <c r="AS715" s="54"/>
      <c r="BD715" s="54"/>
    </row>
    <row r="716" spans="45:69" x14ac:dyDescent="0.25">
      <c r="BD716" s="53"/>
    </row>
    <row r="717" spans="45:69" x14ac:dyDescent="0.25"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</row>
    <row r="718" spans="45:69" x14ac:dyDescent="0.25">
      <c r="AX718" s="54"/>
    </row>
    <row r="719" spans="45:69" x14ac:dyDescent="0.25">
      <c r="AX719" s="55"/>
      <c r="AY719" s="55"/>
      <c r="AZ719" s="55"/>
      <c r="BA719" s="55"/>
      <c r="BC719" s="56"/>
      <c r="BD719" s="56"/>
    </row>
    <row r="720" spans="45:69" x14ac:dyDescent="0.25">
      <c r="AV720" s="56"/>
      <c r="AW720" s="56"/>
      <c r="AZ720" s="56"/>
      <c r="BA720" s="56"/>
      <c r="BC720" s="56"/>
      <c r="BD720" s="56"/>
      <c r="BE720" s="56"/>
      <c r="BG720" s="55"/>
      <c r="BH720" s="54"/>
      <c r="BK720" s="55"/>
      <c r="BM720" s="55"/>
      <c r="BN720" s="54"/>
      <c r="BQ720" s="55"/>
    </row>
    <row r="721" spans="45:69" x14ac:dyDescent="0.25"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H721" s="56"/>
      <c r="BI721" s="56"/>
      <c r="BJ721" s="56"/>
      <c r="BN721" s="56"/>
      <c r="BO721" s="56"/>
      <c r="BP721" s="56"/>
    </row>
    <row r="722" spans="45:69" x14ac:dyDescent="0.25">
      <c r="AS722" s="56"/>
      <c r="AU722" s="54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G722" s="56"/>
      <c r="BH722" s="56"/>
      <c r="BI722" s="56"/>
      <c r="BJ722" s="56"/>
      <c r="BK722" s="56"/>
      <c r="BM722" s="56"/>
      <c r="BN722" s="56"/>
      <c r="BO722" s="56"/>
      <c r="BP722" s="56"/>
      <c r="BQ722" s="56"/>
    </row>
    <row r="723" spans="45:69" x14ac:dyDescent="0.25">
      <c r="AS723" s="56"/>
      <c r="AU723" s="54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G723" s="56"/>
      <c r="BH723" s="56"/>
      <c r="BI723" s="56"/>
      <c r="BJ723" s="56"/>
      <c r="BK723" s="56"/>
      <c r="BM723" s="56"/>
      <c r="BN723" s="56"/>
      <c r="BO723" s="56"/>
      <c r="BP723" s="56"/>
      <c r="BQ723" s="56"/>
    </row>
    <row r="724" spans="45:69" x14ac:dyDescent="0.25"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G724" s="55"/>
      <c r="BH724" s="55"/>
      <c r="BI724" s="55"/>
      <c r="BJ724" s="55"/>
      <c r="BK724" s="55"/>
      <c r="BM724" s="55"/>
      <c r="BN724" s="55"/>
      <c r="BO724" s="55"/>
      <c r="BP724" s="55"/>
      <c r="BQ724" s="55"/>
    </row>
    <row r="725" spans="45:69" x14ac:dyDescent="0.25"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</row>
    <row r="726" spans="45:69" x14ac:dyDescent="0.25">
      <c r="AS726" s="53"/>
      <c r="AU726" s="54"/>
      <c r="AV726" s="56"/>
      <c r="AY726" s="59"/>
    </row>
    <row r="727" spans="45:69" x14ac:dyDescent="0.25">
      <c r="AS727" s="53"/>
      <c r="AV727" s="56"/>
      <c r="AW727" s="379"/>
      <c r="AX727" s="65"/>
      <c r="AY727" s="65"/>
      <c r="AZ727" s="65"/>
      <c r="BA727" s="50"/>
      <c r="BB727" s="65"/>
      <c r="BC727" s="59"/>
      <c r="BD727" s="59"/>
      <c r="BE727" s="50"/>
      <c r="BG727" s="65"/>
      <c r="BH727" s="65"/>
      <c r="BI727" s="65"/>
      <c r="BJ727" s="65"/>
      <c r="BK727" s="65"/>
      <c r="BM727" s="65"/>
      <c r="BN727" s="65"/>
      <c r="BO727" s="65"/>
      <c r="BP727" s="65"/>
      <c r="BQ727" s="65"/>
    </row>
    <row r="728" spans="45:69" x14ac:dyDescent="0.25">
      <c r="AS728" s="53"/>
      <c r="AV728" s="56"/>
      <c r="AW728" s="379"/>
      <c r="AX728" s="65"/>
      <c r="AY728" s="65"/>
      <c r="AZ728" s="65"/>
      <c r="BA728" s="50"/>
      <c r="BB728" s="65"/>
      <c r="BC728" s="59"/>
      <c r="BD728" s="59"/>
      <c r="BE728" s="50"/>
      <c r="BG728" s="65"/>
      <c r="BH728" s="65"/>
      <c r="BI728" s="65"/>
      <c r="BJ728" s="65"/>
      <c r="BK728" s="65"/>
      <c r="BM728" s="65"/>
      <c r="BN728" s="65"/>
      <c r="BO728" s="65"/>
      <c r="BP728" s="65"/>
      <c r="BQ728" s="65"/>
    </row>
    <row r="729" spans="45:69" x14ac:dyDescent="0.25">
      <c r="AS729" s="53"/>
      <c r="AV729" s="56"/>
      <c r="AW729" s="379"/>
      <c r="AX729" s="65"/>
      <c r="AY729" s="65"/>
      <c r="AZ729" s="65"/>
      <c r="BA729" s="50"/>
      <c r="BB729" s="65"/>
      <c r="BC729" s="59"/>
      <c r="BD729" s="59"/>
      <c r="BE729" s="50"/>
      <c r="BG729" s="65"/>
      <c r="BH729" s="65"/>
      <c r="BI729" s="65"/>
      <c r="BJ729" s="65"/>
      <c r="BK729" s="65"/>
      <c r="BM729" s="65"/>
      <c r="BN729" s="65"/>
      <c r="BO729" s="65"/>
      <c r="BP729" s="65"/>
      <c r="BQ729" s="65"/>
    </row>
    <row r="730" spans="45:69" x14ac:dyDescent="0.25">
      <c r="AS730" s="53"/>
      <c r="AV730" s="56"/>
      <c r="AW730" s="379"/>
      <c r="AX730" s="65"/>
      <c r="AY730" s="65"/>
      <c r="AZ730" s="65"/>
      <c r="BA730" s="50"/>
      <c r="BB730" s="65"/>
      <c r="BC730" s="59"/>
      <c r="BD730" s="59"/>
      <c r="BE730" s="50"/>
      <c r="BG730" s="65"/>
      <c r="BH730" s="65"/>
      <c r="BI730" s="65"/>
      <c r="BJ730" s="65"/>
      <c r="BK730" s="65"/>
      <c r="BM730" s="65"/>
      <c r="BN730" s="65"/>
      <c r="BO730" s="65"/>
      <c r="BP730" s="65"/>
      <c r="BQ730" s="65"/>
    </row>
    <row r="731" spans="45:69" x14ac:dyDescent="0.25">
      <c r="AS731" s="53"/>
      <c r="AV731" s="56"/>
      <c r="AW731" s="379"/>
      <c r="AX731" s="65"/>
      <c r="AY731" s="65"/>
      <c r="AZ731" s="65"/>
      <c r="BA731" s="50"/>
      <c r="BB731" s="65"/>
      <c r="BC731" s="59"/>
      <c r="BD731" s="59"/>
      <c r="BE731" s="50"/>
      <c r="BG731" s="65"/>
      <c r="BH731" s="65"/>
      <c r="BI731" s="65"/>
      <c r="BJ731" s="65"/>
      <c r="BK731" s="65"/>
      <c r="BM731" s="65"/>
      <c r="BN731" s="65"/>
      <c r="BO731" s="65"/>
      <c r="BP731" s="65"/>
      <c r="BQ731" s="65"/>
    </row>
    <row r="732" spans="45:69" x14ac:dyDescent="0.25">
      <c r="AS732" s="53"/>
      <c r="AV732" s="56"/>
      <c r="AW732" s="379"/>
      <c r="AX732" s="65"/>
      <c r="AY732" s="65"/>
      <c r="AZ732" s="65"/>
      <c r="BA732" s="50"/>
      <c r="BB732" s="65"/>
      <c r="BC732" s="59"/>
      <c r="BD732" s="59"/>
      <c r="BE732" s="50"/>
      <c r="BG732" s="65"/>
      <c r="BH732" s="65"/>
      <c r="BI732" s="65"/>
      <c r="BJ732" s="65"/>
      <c r="BK732" s="65"/>
      <c r="BM732" s="65"/>
      <c r="BN732" s="65"/>
      <c r="BO732" s="65"/>
      <c r="BP732" s="65"/>
      <c r="BQ732" s="65"/>
    </row>
    <row r="733" spans="45:69" x14ac:dyDescent="0.25">
      <c r="AS733" s="53"/>
      <c r="AV733" s="56"/>
      <c r="AW733" s="379"/>
      <c r="AX733" s="65"/>
      <c r="AY733" s="65"/>
      <c r="AZ733" s="65"/>
      <c r="BA733" s="50"/>
      <c r="BB733" s="65"/>
      <c r="BC733" s="59"/>
      <c r="BD733" s="59"/>
      <c r="BE733" s="50"/>
      <c r="BG733" s="65"/>
      <c r="BH733" s="65"/>
      <c r="BI733" s="65"/>
      <c r="BJ733" s="65"/>
      <c r="BK733" s="65"/>
      <c r="BM733" s="65"/>
      <c r="BN733" s="65"/>
      <c r="BO733" s="65"/>
      <c r="BP733" s="65"/>
      <c r="BQ733" s="65"/>
    </row>
    <row r="734" spans="45:69" x14ac:dyDescent="0.25">
      <c r="AY734" s="59"/>
      <c r="AZ734" s="65"/>
      <c r="BA734" s="50"/>
      <c r="BB734" s="65"/>
      <c r="BC734" s="59"/>
      <c r="BD734" s="59"/>
      <c r="BE734" s="50"/>
      <c r="BK734" s="65"/>
      <c r="BQ734" s="65"/>
    </row>
    <row r="735" spans="45:69" x14ac:dyDescent="0.25">
      <c r="AS735" s="53"/>
      <c r="AV735" s="56"/>
      <c r="AY735" s="59"/>
      <c r="AZ735" s="65"/>
      <c r="BA735" s="50"/>
      <c r="BB735" s="65"/>
      <c r="BC735" s="59"/>
      <c r="BD735" s="59"/>
      <c r="BE735" s="50"/>
      <c r="BK735" s="65"/>
      <c r="BQ735" s="65"/>
    </row>
    <row r="736" spans="45:69" x14ac:dyDescent="0.25">
      <c r="AS736" s="53"/>
      <c r="AV736" s="56"/>
      <c r="AW736" s="379"/>
      <c r="AX736" s="65"/>
      <c r="AY736" s="65"/>
      <c r="AZ736" s="65"/>
      <c r="BA736" s="50"/>
      <c r="BB736" s="65"/>
      <c r="BC736" s="59"/>
      <c r="BD736" s="59"/>
      <c r="BE736" s="50"/>
      <c r="BG736" s="65"/>
      <c r="BH736" s="65"/>
      <c r="BI736" s="65"/>
      <c r="BJ736" s="65"/>
      <c r="BK736" s="65"/>
      <c r="BM736" s="65"/>
      <c r="BN736" s="65"/>
      <c r="BO736" s="65"/>
      <c r="BP736" s="65"/>
      <c r="BQ736" s="65"/>
    </row>
    <row r="737" spans="45:69" x14ac:dyDescent="0.25">
      <c r="AS737" s="53"/>
      <c r="AV737" s="56"/>
      <c r="AW737" s="379"/>
      <c r="AX737" s="65"/>
      <c r="AY737" s="65"/>
      <c r="AZ737" s="65"/>
      <c r="BA737" s="50"/>
      <c r="BB737" s="65"/>
      <c r="BC737" s="59"/>
      <c r="BD737" s="59"/>
      <c r="BE737" s="50"/>
      <c r="BG737" s="65"/>
      <c r="BH737" s="65"/>
      <c r="BI737" s="65"/>
      <c r="BJ737" s="65"/>
      <c r="BK737" s="65"/>
      <c r="BM737" s="65"/>
      <c r="BN737" s="65"/>
      <c r="BO737" s="65"/>
      <c r="BP737" s="65"/>
      <c r="BQ737" s="65"/>
    </row>
    <row r="738" spans="45:69" x14ac:dyDescent="0.25">
      <c r="AS738" s="53"/>
      <c r="AV738" s="56"/>
      <c r="AW738" s="379"/>
      <c r="AX738" s="65"/>
      <c r="AY738" s="65"/>
      <c r="AZ738" s="65"/>
      <c r="BA738" s="50"/>
      <c r="BB738" s="65"/>
      <c r="BC738" s="59"/>
      <c r="BD738" s="59"/>
      <c r="BE738" s="50"/>
      <c r="BG738" s="65"/>
      <c r="BH738" s="65"/>
      <c r="BI738" s="65"/>
      <c r="BJ738" s="65"/>
      <c r="BK738" s="65"/>
      <c r="BM738" s="65"/>
      <c r="BN738" s="65"/>
      <c r="BO738" s="65"/>
      <c r="BP738" s="65"/>
      <c r="BQ738" s="65"/>
    </row>
    <row r="739" spans="45:69" x14ac:dyDescent="0.25">
      <c r="AS739" s="53"/>
      <c r="AV739" s="56"/>
      <c r="AW739" s="379"/>
      <c r="AX739" s="65"/>
      <c r="AY739" s="65"/>
      <c r="AZ739" s="65"/>
      <c r="BA739" s="50"/>
      <c r="BB739" s="65"/>
      <c r="BC739" s="59"/>
      <c r="BD739" s="59"/>
      <c r="BE739" s="50"/>
      <c r="BG739" s="65"/>
      <c r="BH739" s="65"/>
      <c r="BI739" s="65"/>
      <c r="BJ739" s="65"/>
      <c r="BK739" s="65"/>
      <c r="BM739" s="65"/>
      <c r="BN739" s="65"/>
      <c r="BO739" s="65"/>
      <c r="BP739" s="65"/>
      <c r="BQ739" s="65"/>
    </row>
    <row r="740" spans="45:69" x14ac:dyDescent="0.25">
      <c r="AS740" s="53"/>
      <c r="AV740" s="56"/>
      <c r="AW740" s="379"/>
      <c r="AX740" s="65"/>
      <c r="AY740" s="65"/>
      <c r="AZ740" s="65"/>
      <c r="BA740" s="50"/>
      <c r="BB740" s="65"/>
      <c r="BC740" s="59"/>
      <c r="BD740" s="59"/>
      <c r="BE740" s="50"/>
      <c r="BG740" s="65"/>
      <c r="BH740" s="65"/>
      <c r="BI740" s="65"/>
      <c r="BJ740" s="65"/>
      <c r="BK740" s="65"/>
      <c r="BM740" s="65"/>
      <c r="BN740" s="65"/>
      <c r="BO740" s="65"/>
      <c r="BP740" s="65"/>
      <c r="BQ740" s="65"/>
    </row>
    <row r="741" spans="45:69" x14ac:dyDescent="0.25">
      <c r="AS741" s="53"/>
      <c r="AV741" s="56"/>
      <c r="AW741" s="379"/>
      <c r="AX741" s="65"/>
      <c r="AY741" s="65"/>
      <c r="AZ741" s="65"/>
      <c r="BA741" s="50"/>
      <c r="BB741" s="65"/>
      <c r="BC741" s="59"/>
      <c r="BD741" s="59"/>
      <c r="BE741" s="50"/>
      <c r="BG741" s="65"/>
      <c r="BH741" s="65"/>
      <c r="BI741" s="65"/>
      <c r="BJ741" s="65"/>
      <c r="BK741" s="65"/>
      <c r="BM741" s="65"/>
      <c r="BN741" s="65"/>
      <c r="BO741" s="65"/>
      <c r="BP741" s="65"/>
      <c r="BQ741" s="65"/>
    </row>
    <row r="742" spans="45:69" x14ac:dyDescent="0.25">
      <c r="AS742" s="53"/>
      <c r="AV742" s="56"/>
      <c r="AW742" s="379"/>
      <c r="AX742" s="65"/>
      <c r="AY742" s="65"/>
      <c r="AZ742" s="65"/>
      <c r="BA742" s="50"/>
      <c r="BB742" s="65"/>
      <c r="BC742" s="59"/>
      <c r="BD742" s="59"/>
      <c r="BE742" s="50"/>
      <c r="BG742" s="65"/>
      <c r="BH742" s="65"/>
      <c r="BI742" s="65"/>
      <c r="BJ742" s="65"/>
      <c r="BK742" s="65"/>
      <c r="BM742" s="65"/>
      <c r="BN742" s="65"/>
      <c r="BO742" s="65"/>
      <c r="BP742" s="65"/>
      <c r="BQ742" s="65"/>
    </row>
    <row r="743" spans="45:69" x14ac:dyDescent="0.25">
      <c r="AS743" s="53"/>
      <c r="AV743" s="56"/>
      <c r="AW743" s="379"/>
      <c r="AX743" s="65"/>
      <c r="AY743" s="65"/>
      <c r="AZ743" s="65"/>
      <c r="BA743" s="50"/>
      <c r="BB743" s="65"/>
      <c r="BC743" s="59"/>
      <c r="BD743" s="59"/>
      <c r="BE743" s="50"/>
      <c r="BG743" s="65"/>
      <c r="BH743" s="65"/>
      <c r="BI743" s="65"/>
      <c r="BJ743" s="65"/>
      <c r="BK743" s="65"/>
      <c r="BM743" s="65"/>
      <c r="BN743" s="65"/>
      <c r="BO743" s="65"/>
      <c r="BP743" s="65"/>
      <c r="BQ743" s="65"/>
    </row>
    <row r="744" spans="45:69" x14ac:dyDescent="0.25">
      <c r="AY744" s="59"/>
      <c r="AZ744" s="65"/>
      <c r="BA744" s="50"/>
      <c r="BB744" s="65"/>
      <c r="BC744" s="59"/>
      <c r="BD744" s="59"/>
      <c r="BE744" s="50"/>
      <c r="BK744" s="65"/>
      <c r="BQ744" s="65"/>
    </row>
    <row r="745" spans="45:69" x14ac:dyDescent="0.25">
      <c r="AU745" s="54"/>
      <c r="AZ745" s="65"/>
      <c r="BB745" s="65"/>
      <c r="BG745" s="65"/>
      <c r="BH745" s="65"/>
      <c r="BJ745" s="65"/>
      <c r="BK745" s="65"/>
    </row>
    <row r="746" spans="45:69" x14ac:dyDescent="0.25">
      <c r="AZ746" s="65"/>
      <c r="BB746" s="65"/>
    </row>
    <row r="747" spans="45:69" x14ac:dyDescent="0.25">
      <c r="AS747" s="54"/>
      <c r="AZ747" s="65"/>
      <c r="BB747" s="65"/>
      <c r="BI747" s="65"/>
    </row>
    <row r="748" spans="45:69" x14ac:dyDescent="0.25">
      <c r="AY748" s="53"/>
      <c r="AZ748" s="65"/>
      <c r="BB748" s="65"/>
    </row>
    <row r="749" spans="45:69" x14ac:dyDescent="0.25">
      <c r="AY749" s="65"/>
      <c r="BB749" s="65"/>
    </row>
    <row r="750" spans="45:69" x14ac:dyDescent="0.25">
      <c r="AY750" s="54"/>
      <c r="AZ750" s="65"/>
      <c r="BB750" s="65"/>
    </row>
    <row r="751" spans="45:69" x14ac:dyDescent="0.25">
      <c r="AY751" s="54"/>
      <c r="AZ751" s="65"/>
      <c r="BB751" s="65"/>
    </row>
    <row r="752" spans="45:69" x14ac:dyDescent="0.25">
      <c r="AS752" s="53"/>
      <c r="AZ752" s="65"/>
      <c r="BB752" s="65"/>
      <c r="BD752" s="54"/>
    </row>
    <row r="753" spans="45:75" x14ac:dyDescent="0.25">
      <c r="AS753" s="53"/>
      <c r="AZ753" s="65"/>
      <c r="BB753" s="65"/>
      <c r="BD753" s="54"/>
    </row>
    <row r="754" spans="45:75" x14ac:dyDescent="0.25">
      <c r="AS754" s="54"/>
      <c r="AZ754" s="65"/>
      <c r="BB754" s="65"/>
      <c r="BD754" s="54"/>
    </row>
    <row r="755" spans="45:75" x14ac:dyDescent="0.25">
      <c r="AZ755" s="65"/>
      <c r="BB755" s="65"/>
      <c r="BD755" s="53"/>
    </row>
    <row r="756" spans="45:75" x14ac:dyDescent="0.25">
      <c r="AS756" s="55"/>
      <c r="AT756" s="55"/>
      <c r="AU756" s="55"/>
      <c r="AV756" s="55"/>
      <c r="AW756" s="55"/>
      <c r="AX756" s="55"/>
      <c r="AY756" s="55"/>
      <c r="AZ756" s="66"/>
      <c r="BA756" s="55"/>
      <c r="BB756" s="66"/>
      <c r="BC756" s="55"/>
      <c r="BD756" s="55"/>
      <c r="BE756" s="55"/>
    </row>
    <row r="757" spans="45:75" x14ac:dyDescent="0.25">
      <c r="AX757" s="54"/>
      <c r="AZ757" s="65"/>
      <c r="BB757" s="65"/>
    </row>
    <row r="758" spans="45:75" x14ac:dyDescent="0.25">
      <c r="AX758" s="55"/>
      <c r="AY758" s="55"/>
      <c r="AZ758" s="66"/>
      <c r="BA758" s="55"/>
      <c r="BB758" s="65"/>
      <c r="BC758" s="56"/>
      <c r="BD758" s="56"/>
    </row>
    <row r="759" spans="45:75" x14ac:dyDescent="0.25">
      <c r="AV759" s="56"/>
      <c r="AW759" s="56"/>
      <c r="AZ759" s="67"/>
      <c r="BA759" s="56"/>
      <c r="BB759" s="65"/>
      <c r="BC759" s="56"/>
      <c r="BD759" s="56"/>
      <c r="BE759" s="56"/>
      <c r="BG759" s="55"/>
      <c r="BH759" s="55"/>
      <c r="BI759" s="54"/>
      <c r="BM759" s="55"/>
      <c r="BN759" s="55"/>
      <c r="BP759" s="55"/>
      <c r="BQ759" s="55"/>
      <c r="BR759" s="54"/>
      <c r="BV759" s="55"/>
      <c r="BW759" s="55"/>
    </row>
    <row r="760" spans="45:75" x14ac:dyDescent="0.25">
      <c r="AV760" s="56"/>
      <c r="AW760" s="56"/>
      <c r="AX760" s="56"/>
      <c r="AY760" s="56"/>
      <c r="AZ760" s="67"/>
      <c r="BA760" s="56"/>
      <c r="BB760" s="67"/>
      <c r="BC760" s="56"/>
      <c r="BD760" s="56"/>
      <c r="BE760" s="56"/>
      <c r="BH760" s="56"/>
      <c r="BI760" s="56"/>
      <c r="BJ760" s="56"/>
      <c r="BK760" s="56"/>
      <c r="BL760" s="56"/>
      <c r="BM760" s="56"/>
      <c r="BQ760" s="56"/>
      <c r="BR760" s="56"/>
      <c r="BS760" s="56"/>
      <c r="BT760" s="56"/>
      <c r="BU760" s="56"/>
      <c r="BV760" s="56"/>
    </row>
    <row r="761" spans="45:75" x14ac:dyDescent="0.25">
      <c r="AS761" s="56"/>
      <c r="AU761" s="54"/>
      <c r="AV761" s="56"/>
      <c r="AW761" s="56"/>
      <c r="AX761" s="56"/>
      <c r="AY761" s="56"/>
      <c r="AZ761" s="67"/>
      <c r="BA761" s="56"/>
      <c r="BB761" s="67"/>
      <c r="BC761" s="56"/>
      <c r="BD761" s="56"/>
      <c r="BE761" s="56"/>
      <c r="BG761" s="56"/>
      <c r="BH761" s="56"/>
      <c r="BI761" s="56"/>
      <c r="BJ761" s="56"/>
      <c r="BK761" s="56"/>
      <c r="BL761" s="56"/>
      <c r="BM761" s="56"/>
      <c r="BN761" s="56"/>
      <c r="BP761" s="56"/>
      <c r="BQ761" s="56"/>
      <c r="BR761" s="56"/>
      <c r="BS761" s="56"/>
      <c r="BT761" s="56"/>
      <c r="BU761" s="56"/>
      <c r="BV761" s="56"/>
      <c r="BW761" s="56"/>
    </row>
    <row r="762" spans="45:75" x14ac:dyDescent="0.25">
      <c r="AS762" s="56"/>
      <c r="AU762" s="54"/>
      <c r="AV762" s="56"/>
      <c r="AW762" s="56"/>
      <c r="AX762" s="56"/>
      <c r="AY762" s="56"/>
      <c r="AZ762" s="67"/>
      <c r="BA762" s="56"/>
      <c r="BB762" s="67"/>
      <c r="BC762" s="56"/>
      <c r="BD762" s="56"/>
      <c r="BE762" s="56"/>
      <c r="BG762" s="56"/>
      <c r="BH762" s="56"/>
      <c r="BI762" s="56"/>
      <c r="BJ762" s="56"/>
      <c r="BK762" s="56"/>
      <c r="BL762" s="56"/>
      <c r="BM762" s="56"/>
      <c r="BN762" s="56"/>
      <c r="BP762" s="56"/>
      <c r="BQ762" s="56"/>
      <c r="BR762" s="56"/>
      <c r="BS762" s="56"/>
      <c r="BT762" s="56"/>
      <c r="BU762" s="56"/>
      <c r="BV762" s="56"/>
      <c r="BW762" s="56"/>
    </row>
    <row r="763" spans="45:75" x14ac:dyDescent="0.25">
      <c r="AS763" s="55"/>
      <c r="AT763" s="55"/>
      <c r="AU763" s="55"/>
      <c r="AV763" s="55"/>
      <c r="AW763" s="55"/>
      <c r="AX763" s="55"/>
      <c r="AY763" s="55"/>
      <c r="AZ763" s="66"/>
      <c r="BA763" s="55"/>
      <c r="BB763" s="66"/>
      <c r="BC763" s="55"/>
      <c r="BD763" s="55"/>
      <c r="BE763" s="55"/>
      <c r="BG763" s="55"/>
      <c r="BH763" s="55"/>
      <c r="BI763" s="55"/>
      <c r="BJ763" s="55"/>
      <c r="BK763" s="55"/>
      <c r="BL763" s="55"/>
      <c r="BM763" s="55"/>
      <c r="BN763" s="55"/>
      <c r="BP763" s="55"/>
      <c r="BQ763" s="55"/>
      <c r="BR763" s="55"/>
      <c r="BS763" s="55"/>
      <c r="BT763" s="55"/>
      <c r="BU763" s="55"/>
      <c r="BV763" s="55"/>
      <c r="BW763" s="55"/>
    </row>
    <row r="764" spans="45:75" x14ac:dyDescent="0.25">
      <c r="AV764" s="56"/>
      <c r="AW764" s="56"/>
      <c r="AX764" s="56"/>
      <c r="AY764" s="56"/>
      <c r="AZ764" s="67"/>
      <c r="BA764" s="56"/>
      <c r="BB764" s="67"/>
      <c r="BC764" s="56"/>
      <c r="BD764" s="56"/>
      <c r="BE764" s="56"/>
      <c r="BG764" s="65"/>
      <c r="BH764" s="65"/>
      <c r="BI764" s="65"/>
      <c r="BJ764" s="65"/>
      <c r="BK764" s="65"/>
      <c r="BL764" s="65"/>
      <c r="BM764" s="65"/>
      <c r="BN764" s="65"/>
      <c r="BO764" s="65"/>
      <c r="BP764" s="65"/>
      <c r="BQ764" s="65"/>
      <c r="BR764" s="65"/>
      <c r="BS764" s="65"/>
      <c r="BT764" s="65"/>
      <c r="BU764" s="65"/>
      <c r="BV764" s="65"/>
      <c r="BW764" s="65"/>
    </row>
    <row r="765" spans="45:75" x14ac:dyDescent="0.25">
      <c r="AS765" s="53"/>
      <c r="AU765" s="54"/>
      <c r="AV765" s="53"/>
      <c r="AW765" s="379"/>
      <c r="AX765" s="65"/>
      <c r="AY765" s="65"/>
      <c r="AZ765" s="65"/>
      <c r="BA765" s="60"/>
      <c r="BB765" s="65"/>
      <c r="BC765" s="65"/>
      <c r="BD765" s="65"/>
      <c r="BE765" s="60"/>
      <c r="BG765" s="65"/>
      <c r="BH765" s="65"/>
      <c r="BI765" s="65"/>
      <c r="BJ765" s="65"/>
      <c r="BK765" s="65"/>
      <c r="BL765" s="65"/>
      <c r="BM765" s="65"/>
      <c r="BN765" s="65"/>
      <c r="BO765" s="65"/>
      <c r="BP765" s="65"/>
      <c r="BQ765" s="65"/>
      <c r="BR765" s="65"/>
      <c r="BS765" s="65"/>
      <c r="BT765" s="65"/>
      <c r="BU765" s="65"/>
      <c r="BV765" s="65"/>
      <c r="BW765" s="65"/>
    </row>
    <row r="766" spans="45:75" x14ac:dyDescent="0.25">
      <c r="AS766" s="53"/>
      <c r="AV766" s="53"/>
      <c r="AW766" s="379"/>
      <c r="AX766" s="65"/>
      <c r="AY766" s="65"/>
      <c r="AZ766" s="65"/>
      <c r="BA766" s="60"/>
      <c r="BB766" s="65"/>
      <c r="BC766" s="65"/>
      <c r="BD766" s="65"/>
      <c r="BE766" s="60"/>
      <c r="BG766" s="65"/>
      <c r="BH766" s="65"/>
      <c r="BI766" s="65"/>
      <c r="BJ766" s="65"/>
      <c r="BK766" s="65"/>
      <c r="BL766" s="65"/>
      <c r="BM766" s="65"/>
      <c r="BN766" s="65"/>
      <c r="BO766" s="65"/>
      <c r="BP766" s="65"/>
      <c r="BQ766" s="65"/>
      <c r="BR766" s="65"/>
      <c r="BS766" s="65"/>
      <c r="BT766" s="65"/>
      <c r="BU766" s="65"/>
      <c r="BV766" s="65"/>
      <c r="BW766" s="65"/>
    </row>
    <row r="767" spans="45:75" x14ac:dyDescent="0.25">
      <c r="AS767" s="53"/>
      <c r="AV767" s="53"/>
      <c r="AW767" s="379"/>
      <c r="AX767" s="65"/>
      <c r="AY767" s="65"/>
      <c r="AZ767" s="65"/>
      <c r="BA767" s="60"/>
      <c r="BB767" s="65"/>
      <c r="BC767" s="65"/>
      <c r="BD767" s="65"/>
      <c r="BE767" s="60"/>
      <c r="BG767" s="65"/>
      <c r="BH767" s="65"/>
      <c r="BI767" s="65"/>
      <c r="BJ767" s="65"/>
      <c r="BK767" s="65"/>
      <c r="BL767" s="65"/>
      <c r="BM767" s="65"/>
      <c r="BN767" s="65"/>
      <c r="BO767" s="65"/>
      <c r="BP767" s="65"/>
      <c r="BQ767" s="65"/>
      <c r="BR767" s="65"/>
      <c r="BS767" s="65"/>
      <c r="BT767" s="65"/>
      <c r="BU767" s="65"/>
      <c r="BV767" s="65"/>
      <c r="BW767" s="65"/>
    </row>
    <row r="768" spans="45:75" x14ac:dyDescent="0.25">
      <c r="AS768" s="53"/>
      <c r="AV768" s="53"/>
      <c r="AW768" s="379"/>
      <c r="AX768" s="65"/>
      <c r="AY768" s="65"/>
      <c r="AZ768" s="65"/>
      <c r="BA768" s="60"/>
      <c r="BB768" s="65"/>
      <c r="BC768" s="65"/>
      <c r="BD768" s="65"/>
      <c r="BE768" s="60"/>
      <c r="BG768" s="65"/>
      <c r="BH768" s="65"/>
      <c r="BI768" s="65"/>
      <c r="BJ768" s="65"/>
      <c r="BK768" s="65"/>
      <c r="BL768" s="65"/>
      <c r="BM768" s="65"/>
      <c r="BN768" s="65"/>
      <c r="BO768" s="65"/>
      <c r="BP768" s="65"/>
      <c r="BQ768" s="65"/>
      <c r="BR768" s="65"/>
      <c r="BS768" s="65"/>
      <c r="BT768" s="65"/>
      <c r="BU768" s="65"/>
      <c r="BV768" s="65"/>
      <c r="BW768" s="65"/>
    </row>
    <row r="769" spans="45:75" x14ac:dyDescent="0.25">
      <c r="AS769" s="53"/>
      <c r="AV769" s="53"/>
      <c r="AW769" s="379"/>
      <c r="AX769" s="65"/>
      <c r="AY769" s="65"/>
      <c r="AZ769" s="65"/>
      <c r="BA769" s="60"/>
      <c r="BB769" s="65"/>
      <c r="BC769" s="65"/>
      <c r="BD769" s="65"/>
      <c r="BE769" s="60"/>
      <c r="BG769" s="65"/>
      <c r="BH769" s="65"/>
      <c r="BI769" s="65"/>
      <c r="BJ769" s="65"/>
      <c r="BK769" s="65"/>
      <c r="BL769" s="65"/>
      <c r="BM769" s="65"/>
      <c r="BN769" s="65"/>
      <c r="BO769" s="65"/>
      <c r="BP769" s="65"/>
      <c r="BQ769" s="65"/>
      <c r="BR769" s="65"/>
      <c r="BS769" s="65"/>
      <c r="BT769" s="65"/>
      <c r="BU769" s="65"/>
      <c r="BV769" s="65"/>
      <c r="BW769" s="65"/>
    </row>
    <row r="770" spans="45:75" x14ac:dyDescent="0.25">
      <c r="AS770" s="53"/>
      <c r="AV770" s="53"/>
      <c r="AW770" s="379"/>
      <c r="AX770" s="65"/>
      <c r="AY770" s="65"/>
      <c r="AZ770" s="65"/>
      <c r="BA770" s="60"/>
      <c r="BB770" s="65"/>
      <c r="BC770" s="65"/>
      <c r="BD770" s="65"/>
      <c r="BE770" s="60"/>
      <c r="BG770" s="65"/>
      <c r="BH770" s="65"/>
      <c r="BI770" s="65"/>
      <c r="BJ770" s="65"/>
      <c r="BK770" s="65"/>
      <c r="BL770" s="65"/>
      <c r="BM770" s="65"/>
      <c r="BN770" s="65"/>
      <c r="BO770" s="65"/>
      <c r="BP770" s="65"/>
      <c r="BQ770" s="65"/>
      <c r="BR770" s="65"/>
      <c r="BS770" s="65"/>
      <c r="BT770" s="65"/>
      <c r="BU770" s="65"/>
      <c r="BV770" s="65"/>
      <c r="BW770" s="65"/>
    </row>
    <row r="771" spans="45:75" x14ac:dyDescent="0.25">
      <c r="AS771" s="53"/>
      <c r="AV771" s="53"/>
      <c r="AW771" s="379"/>
      <c r="AX771" s="65"/>
      <c r="AY771" s="65"/>
      <c r="AZ771" s="65"/>
      <c r="BA771" s="60"/>
      <c r="BB771" s="65"/>
      <c r="BC771" s="65"/>
      <c r="BD771" s="65"/>
      <c r="BE771" s="60"/>
      <c r="BG771" s="65"/>
      <c r="BH771" s="65"/>
      <c r="BI771" s="65"/>
      <c r="BJ771" s="65"/>
      <c r="BK771" s="65"/>
      <c r="BL771" s="65"/>
      <c r="BM771" s="65"/>
      <c r="BN771" s="65"/>
      <c r="BO771" s="65"/>
      <c r="BP771" s="65"/>
      <c r="BQ771" s="65"/>
      <c r="BR771" s="65"/>
      <c r="BS771" s="65"/>
      <c r="BT771" s="65"/>
      <c r="BU771" s="65"/>
      <c r="BV771" s="65"/>
      <c r="BW771" s="65"/>
    </row>
    <row r="772" spans="45:75" x14ac:dyDescent="0.25">
      <c r="AS772" s="53"/>
      <c r="AV772" s="53"/>
      <c r="AW772" s="379"/>
      <c r="AX772" s="65"/>
      <c r="AY772" s="65"/>
      <c r="AZ772" s="65"/>
      <c r="BA772" s="60"/>
      <c r="BB772" s="65"/>
      <c r="BC772" s="65"/>
      <c r="BD772" s="65"/>
      <c r="BE772" s="60"/>
      <c r="BG772" s="65"/>
      <c r="BH772" s="65"/>
      <c r="BI772" s="65"/>
      <c r="BJ772" s="65"/>
      <c r="BK772" s="65"/>
      <c r="BL772" s="65"/>
      <c r="BM772" s="65"/>
      <c r="BN772" s="65"/>
      <c r="BO772" s="65"/>
      <c r="BP772" s="65"/>
      <c r="BQ772" s="65"/>
      <c r="BR772" s="65"/>
      <c r="BS772" s="65"/>
      <c r="BT772" s="65"/>
      <c r="BU772" s="65"/>
      <c r="BV772" s="65"/>
      <c r="BW772" s="65"/>
    </row>
    <row r="773" spans="45:75" x14ac:dyDescent="0.25">
      <c r="AS773" s="53"/>
      <c r="AV773" s="53"/>
      <c r="AW773" s="379"/>
      <c r="AX773" s="65"/>
      <c r="AY773" s="65"/>
      <c r="AZ773" s="65"/>
      <c r="BA773" s="60"/>
      <c r="BB773" s="65"/>
      <c r="BC773" s="65"/>
      <c r="BD773" s="65"/>
      <c r="BE773" s="60"/>
      <c r="BG773" s="65"/>
      <c r="BH773" s="65"/>
      <c r="BI773" s="65"/>
      <c r="BJ773" s="65"/>
      <c r="BK773" s="65"/>
      <c r="BL773" s="65"/>
      <c r="BM773" s="65"/>
      <c r="BN773" s="65"/>
      <c r="BO773" s="65"/>
      <c r="BP773" s="65"/>
      <c r="BQ773" s="65"/>
      <c r="BR773" s="65"/>
      <c r="BS773" s="65"/>
      <c r="BT773" s="65"/>
      <c r="BU773" s="65"/>
      <c r="BV773" s="65"/>
      <c r="BW773" s="65"/>
    </row>
    <row r="774" spans="45:75" x14ac:dyDescent="0.25">
      <c r="AS774" s="53"/>
      <c r="AV774" s="53"/>
      <c r="AW774" s="379"/>
      <c r="AX774" s="65"/>
      <c r="AY774" s="65"/>
      <c r="AZ774" s="65"/>
      <c r="BA774" s="60"/>
      <c r="BB774" s="65"/>
      <c r="BC774" s="65"/>
      <c r="BD774" s="65"/>
      <c r="BE774" s="60"/>
      <c r="BG774" s="65"/>
      <c r="BH774" s="65"/>
      <c r="BI774" s="65"/>
      <c r="BJ774" s="65"/>
      <c r="BK774" s="65"/>
      <c r="BL774" s="65"/>
      <c r="BM774" s="65"/>
      <c r="BN774" s="65"/>
      <c r="BO774" s="65"/>
      <c r="BP774" s="65"/>
      <c r="BQ774" s="65"/>
      <c r="BR774" s="65"/>
      <c r="BS774" s="65"/>
      <c r="BT774" s="65"/>
      <c r="BU774" s="65"/>
      <c r="BV774" s="65"/>
      <c r="BW774" s="65"/>
    </row>
    <row r="775" spans="45:75" x14ac:dyDescent="0.25">
      <c r="AS775" s="53"/>
      <c r="AV775" s="53"/>
      <c r="AW775" s="379"/>
      <c r="AX775" s="65"/>
      <c r="AY775" s="65"/>
      <c r="AZ775" s="65"/>
      <c r="BA775" s="60"/>
      <c r="BB775" s="65"/>
      <c r="BC775" s="65"/>
      <c r="BD775" s="65"/>
      <c r="BE775" s="60"/>
      <c r="BG775" s="65"/>
      <c r="BH775" s="65"/>
      <c r="BI775" s="65"/>
      <c r="BJ775" s="65"/>
      <c r="BK775" s="65"/>
      <c r="BL775" s="65"/>
      <c r="BM775" s="65"/>
      <c r="BN775" s="65"/>
      <c r="BO775" s="65"/>
      <c r="BP775" s="65"/>
      <c r="BQ775" s="65"/>
      <c r="BR775" s="65"/>
      <c r="BS775" s="65"/>
      <c r="BT775" s="65"/>
      <c r="BU775" s="65"/>
      <c r="BV775" s="65"/>
      <c r="BW775" s="65"/>
    </row>
    <row r="776" spans="45:75" x14ac:dyDescent="0.25">
      <c r="AS776" s="53"/>
      <c r="AV776" s="53"/>
      <c r="AW776" s="379"/>
      <c r="AX776" s="65"/>
      <c r="AY776" s="65"/>
      <c r="AZ776" s="65"/>
      <c r="BA776" s="60"/>
      <c r="BB776" s="65"/>
      <c r="BC776" s="65"/>
      <c r="BD776" s="65"/>
      <c r="BE776" s="60"/>
      <c r="BG776" s="65"/>
      <c r="BH776" s="65"/>
      <c r="BI776" s="65"/>
      <c r="BJ776" s="65"/>
      <c r="BK776" s="65"/>
      <c r="BL776" s="65"/>
      <c r="BM776" s="65"/>
      <c r="BN776" s="65"/>
      <c r="BO776" s="65"/>
      <c r="BP776" s="65"/>
      <c r="BQ776" s="65"/>
      <c r="BR776" s="65"/>
      <c r="BS776" s="65"/>
      <c r="BT776" s="65"/>
      <c r="BU776" s="65"/>
      <c r="BV776" s="65"/>
      <c r="BW776" s="65"/>
    </row>
    <row r="777" spans="45:75" x14ac:dyDescent="0.25">
      <c r="AS777" s="53"/>
      <c r="AV777" s="53"/>
      <c r="AW777" s="379"/>
      <c r="AX777" s="65"/>
      <c r="AY777" s="65"/>
      <c r="AZ777" s="65"/>
      <c r="BA777" s="60"/>
      <c r="BB777" s="65"/>
      <c r="BC777" s="65"/>
      <c r="BD777" s="65"/>
      <c r="BE777" s="60"/>
      <c r="BG777" s="65"/>
      <c r="BH777" s="65"/>
      <c r="BI777" s="65"/>
      <c r="BJ777" s="65"/>
      <c r="BK777" s="65"/>
      <c r="BL777" s="65"/>
      <c r="BM777" s="65"/>
      <c r="BN777" s="65"/>
      <c r="BO777" s="65"/>
      <c r="BP777" s="65"/>
      <c r="BQ777" s="65"/>
      <c r="BR777" s="65"/>
      <c r="BS777" s="65"/>
      <c r="BT777" s="65"/>
      <c r="BU777" s="65"/>
      <c r="BV777" s="65"/>
      <c r="BW777" s="65"/>
    </row>
    <row r="778" spans="45:75" x14ac:dyDescent="0.25">
      <c r="AS778" s="53"/>
      <c r="AV778" s="53"/>
      <c r="AW778" s="379"/>
      <c r="AX778" s="65"/>
      <c r="AY778" s="65"/>
      <c r="AZ778" s="65"/>
      <c r="BA778" s="60"/>
      <c r="BB778" s="65"/>
      <c r="BC778" s="65"/>
      <c r="BD778" s="65"/>
      <c r="BE778" s="60"/>
      <c r="BG778" s="65"/>
      <c r="BH778" s="65"/>
      <c r="BI778" s="65"/>
      <c r="BJ778" s="65"/>
      <c r="BK778" s="65"/>
      <c r="BL778" s="65"/>
      <c r="BM778" s="65"/>
      <c r="BN778" s="65"/>
      <c r="BO778" s="65"/>
      <c r="BP778" s="65"/>
      <c r="BQ778" s="65"/>
      <c r="BR778" s="65"/>
      <c r="BS778" s="65"/>
      <c r="BT778" s="65"/>
      <c r="BU778" s="65"/>
      <c r="BV778" s="65"/>
      <c r="BW778" s="65"/>
    </row>
    <row r="779" spans="45:75" x14ac:dyDescent="0.25">
      <c r="AS779" s="53"/>
      <c r="AV779" s="53"/>
      <c r="AW779" s="379"/>
      <c r="AX779" s="65"/>
      <c r="AY779" s="65"/>
      <c r="AZ779" s="65"/>
      <c r="BA779" s="60"/>
      <c r="BB779" s="65"/>
      <c r="BC779" s="65"/>
      <c r="BD779" s="65"/>
      <c r="BE779" s="60"/>
      <c r="BG779" s="65"/>
      <c r="BH779" s="65"/>
      <c r="BI779" s="65"/>
      <c r="BJ779" s="65"/>
      <c r="BK779" s="65"/>
      <c r="BL779" s="65"/>
      <c r="BM779" s="65"/>
      <c r="BN779" s="65"/>
      <c r="BO779" s="65"/>
      <c r="BP779" s="65"/>
      <c r="BQ779" s="65"/>
      <c r="BR779" s="65"/>
      <c r="BS779" s="65"/>
      <c r="BT779" s="65"/>
      <c r="BU779" s="65"/>
      <c r="BV779" s="65"/>
      <c r="BW779" s="65"/>
    </row>
    <row r="780" spans="45:75" x14ac:dyDescent="0.25">
      <c r="AS780" s="53"/>
      <c r="AV780" s="53"/>
      <c r="AW780" s="379"/>
      <c r="AX780" s="65"/>
      <c r="AY780" s="65"/>
      <c r="AZ780" s="65"/>
      <c r="BA780" s="60"/>
      <c r="BB780" s="65"/>
      <c r="BC780" s="65"/>
      <c r="BD780" s="65"/>
      <c r="BE780" s="60"/>
      <c r="BG780" s="65"/>
      <c r="BH780" s="65"/>
      <c r="BI780" s="65"/>
      <c r="BJ780" s="65"/>
      <c r="BK780" s="65"/>
      <c r="BL780" s="65"/>
      <c r="BM780" s="65"/>
      <c r="BN780" s="65"/>
      <c r="BO780" s="65"/>
      <c r="BP780" s="65"/>
      <c r="BQ780" s="65"/>
      <c r="BR780" s="65"/>
      <c r="BS780" s="65"/>
      <c r="BT780" s="65"/>
      <c r="BU780" s="65"/>
      <c r="BV780" s="65"/>
      <c r="BW780" s="65"/>
    </row>
    <row r="781" spans="45:75" x14ac:dyDescent="0.25">
      <c r="AS781" s="53"/>
      <c r="AV781" s="53"/>
      <c r="AW781" s="379"/>
      <c r="AX781" s="65"/>
      <c r="AY781" s="65"/>
      <c r="AZ781" s="65"/>
      <c r="BA781" s="60"/>
      <c r="BB781" s="65"/>
      <c r="BC781" s="65"/>
      <c r="BD781" s="65"/>
      <c r="BE781" s="60"/>
      <c r="BG781" s="65"/>
      <c r="BH781" s="65"/>
      <c r="BI781" s="65"/>
      <c r="BJ781" s="65"/>
      <c r="BK781" s="65"/>
      <c r="BL781" s="65"/>
      <c r="BM781" s="65"/>
      <c r="BN781" s="65"/>
      <c r="BO781" s="65"/>
      <c r="BP781" s="65"/>
      <c r="BQ781" s="65"/>
      <c r="BR781" s="65"/>
      <c r="BS781" s="65"/>
      <c r="BT781" s="65"/>
      <c r="BU781" s="65"/>
      <c r="BV781" s="65"/>
      <c r="BW781" s="65"/>
    </row>
    <row r="782" spans="45:75" x14ac:dyDescent="0.25">
      <c r="AS782" s="53"/>
      <c r="AV782" s="53"/>
      <c r="AW782" s="379"/>
      <c r="AX782" s="65"/>
      <c r="AY782" s="65"/>
      <c r="AZ782" s="65"/>
      <c r="BA782" s="60"/>
      <c r="BB782" s="65"/>
      <c r="BC782" s="65"/>
      <c r="BD782" s="65"/>
      <c r="BE782" s="60"/>
      <c r="BG782" s="65"/>
      <c r="BH782" s="65"/>
      <c r="BI782" s="65"/>
      <c r="BJ782" s="65"/>
      <c r="BK782" s="65"/>
      <c r="BL782" s="65"/>
      <c r="BM782" s="65"/>
      <c r="BN782" s="65"/>
      <c r="BO782" s="65"/>
      <c r="BP782" s="65"/>
      <c r="BQ782" s="65"/>
      <c r="BR782" s="65"/>
      <c r="BS782" s="65"/>
      <c r="BT782" s="65"/>
      <c r="BU782" s="65"/>
      <c r="BV782" s="65"/>
      <c r="BW782" s="65"/>
    </row>
    <row r="783" spans="45:75" x14ac:dyDescent="0.25">
      <c r="AS783" s="53"/>
      <c r="AV783" s="53"/>
      <c r="AW783" s="379"/>
      <c r="AX783" s="65"/>
      <c r="AY783" s="65"/>
      <c r="AZ783" s="65"/>
      <c r="BA783" s="60"/>
      <c r="BB783" s="65"/>
      <c r="BC783" s="65"/>
      <c r="BD783" s="65"/>
      <c r="BE783" s="60"/>
      <c r="BG783" s="65"/>
      <c r="BH783" s="65"/>
      <c r="BI783" s="65"/>
      <c r="BJ783" s="65"/>
      <c r="BK783" s="65"/>
      <c r="BL783" s="65"/>
      <c r="BM783" s="65"/>
      <c r="BN783" s="65"/>
      <c r="BO783" s="65"/>
      <c r="BP783" s="65"/>
      <c r="BQ783" s="65"/>
      <c r="BR783" s="65"/>
      <c r="BS783" s="65"/>
      <c r="BT783" s="65"/>
      <c r="BU783" s="65"/>
      <c r="BV783" s="65"/>
      <c r="BW783" s="65"/>
    </row>
    <row r="784" spans="45:75" x14ac:dyDescent="0.25">
      <c r="AS784" s="53"/>
      <c r="AV784" s="53"/>
      <c r="AW784" s="379"/>
      <c r="AX784" s="65"/>
      <c r="AY784" s="65"/>
      <c r="AZ784" s="65"/>
      <c r="BA784" s="60"/>
      <c r="BB784" s="65"/>
      <c r="BC784" s="65"/>
      <c r="BD784" s="65"/>
      <c r="BE784" s="60"/>
      <c r="BG784" s="65"/>
      <c r="BH784" s="65"/>
      <c r="BI784" s="65"/>
      <c r="BJ784" s="65"/>
      <c r="BK784" s="65"/>
      <c r="BL784" s="65"/>
      <c r="BM784" s="65"/>
      <c r="BN784" s="65"/>
      <c r="BO784" s="65"/>
      <c r="BP784" s="65"/>
      <c r="BQ784" s="65"/>
      <c r="BR784" s="65"/>
      <c r="BS784" s="65"/>
      <c r="BT784" s="65"/>
      <c r="BU784" s="65"/>
      <c r="BV784" s="65"/>
      <c r="BW784" s="65"/>
    </row>
    <row r="785" spans="45:75" x14ac:dyDescent="0.25">
      <c r="AS785" s="53"/>
      <c r="AV785" s="53"/>
      <c r="AW785" s="379"/>
      <c r="AX785" s="65"/>
      <c r="AY785" s="65"/>
      <c r="AZ785" s="65"/>
      <c r="BA785" s="60"/>
      <c r="BB785" s="65"/>
      <c r="BC785" s="65"/>
      <c r="BD785" s="65"/>
      <c r="BE785" s="60"/>
      <c r="BG785" s="65"/>
      <c r="BH785" s="65"/>
      <c r="BI785" s="65"/>
      <c r="BJ785" s="65"/>
      <c r="BK785" s="65"/>
      <c r="BL785" s="65"/>
      <c r="BM785" s="65"/>
      <c r="BN785" s="65"/>
      <c r="BO785" s="65"/>
      <c r="BP785" s="65"/>
      <c r="BQ785" s="65"/>
      <c r="BR785" s="65"/>
      <c r="BS785" s="65"/>
      <c r="BT785" s="65"/>
      <c r="BU785" s="65"/>
      <c r="BV785" s="65"/>
      <c r="BW785" s="65"/>
    </row>
    <row r="786" spans="45:75" x14ac:dyDescent="0.25">
      <c r="AW786" s="379"/>
      <c r="AX786" s="65"/>
      <c r="AY786" s="65"/>
      <c r="AZ786" s="65"/>
      <c r="BA786" s="60"/>
      <c r="BB786" s="65"/>
      <c r="BC786" s="65"/>
      <c r="BD786" s="65"/>
      <c r="BE786" s="60"/>
      <c r="BG786" s="55"/>
      <c r="BH786" s="55"/>
      <c r="BI786" s="54"/>
      <c r="BM786" s="55"/>
      <c r="BN786" s="55"/>
      <c r="BO786" s="65"/>
      <c r="BP786" s="55"/>
      <c r="BQ786" s="55"/>
      <c r="BR786" s="54"/>
      <c r="BV786" s="55"/>
      <c r="BW786" s="55"/>
    </row>
    <row r="787" spans="45:75" x14ac:dyDescent="0.25">
      <c r="AS787" s="53"/>
      <c r="AU787" s="54"/>
      <c r="AV787" s="56"/>
      <c r="AW787" s="379"/>
      <c r="AX787" s="65"/>
      <c r="AY787" s="65"/>
      <c r="AZ787" s="65"/>
      <c r="BA787" s="60"/>
      <c r="BB787" s="65"/>
      <c r="BC787" s="65"/>
      <c r="BD787" s="65"/>
      <c r="BE787" s="60"/>
      <c r="BG787" s="67"/>
      <c r="BH787" s="65"/>
      <c r="BI787" s="65"/>
      <c r="BJ787" s="65"/>
      <c r="BK787" s="67"/>
      <c r="BL787" s="68"/>
      <c r="BM787" s="65"/>
      <c r="BN787" s="67"/>
      <c r="BO787" s="65"/>
      <c r="BP787" s="67"/>
      <c r="BQ787" s="65"/>
      <c r="BR787" s="65"/>
      <c r="BS787" s="65"/>
      <c r="BT787" s="67"/>
      <c r="BU787" s="68"/>
      <c r="BV787" s="65"/>
      <c r="BW787" s="67"/>
    </row>
    <row r="788" spans="45:75" x14ac:dyDescent="0.25">
      <c r="AS788" s="53"/>
      <c r="AV788" s="56"/>
      <c r="AW788" s="379"/>
      <c r="AX788" s="65"/>
      <c r="AY788" s="65"/>
      <c r="AZ788" s="65"/>
      <c r="BA788" s="60"/>
      <c r="BB788" s="65"/>
      <c r="BC788" s="65"/>
      <c r="BD788" s="65"/>
      <c r="BE788" s="60"/>
      <c r="BG788" s="65"/>
      <c r="BH788" s="65"/>
      <c r="BI788" s="65"/>
      <c r="BJ788" s="65"/>
      <c r="BK788" s="65"/>
      <c r="BL788" s="68"/>
      <c r="BM788" s="65"/>
      <c r="BN788" s="65"/>
      <c r="BO788" s="65"/>
      <c r="BP788" s="65"/>
      <c r="BQ788" s="65"/>
      <c r="BR788" s="65"/>
      <c r="BS788" s="65"/>
      <c r="BT788" s="65"/>
      <c r="BU788" s="68"/>
      <c r="BV788" s="65"/>
      <c r="BW788" s="65"/>
    </row>
    <row r="789" spans="45:75" x14ac:dyDescent="0.25">
      <c r="AS789" s="53"/>
      <c r="AV789" s="56"/>
      <c r="AW789" s="379"/>
      <c r="AX789" s="65"/>
      <c r="AY789" s="65"/>
      <c r="AZ789" s="65"/>
      <c r="BA789" s="60"/>
      <c r="BB789" s="65"/>
      <c r="BC789" s="65"/>
      <c r="BD789" s="65"/>
      <c r="BE789" s="60"/>
      <c r="BG789" s="65"/>
      <c r="BH789" s="65"/>
      <c r="BI789" s="65"/>
      <c r="BJ789" s="65"/>
      <c r="BK789" s="65"/>
      <c r="BL789" s="68"/>
      <c r="BM789" s="65"/>
      <c r="BN789" s="65"/>
      <c r="BO789" s="65"/>
      <c r="BP789" s="65"/>
      <c r="BQ789" s="65"/>
      <c r="BR789" s="65"/>
      <c r="BS789" s="65"/>
      <c r="BT789" s="65"/>
      <c r="BU789" s="68"/>
      <c r="BV789" s="65"/>
      <c r="BW789" s="65"/>
    </row>
    <row r="790" spans="45:75" x14ac:dyDescent="0.25">
      <c r="AS790" s="53"/>
      <c r="AV790" s="56"/>
      <c r="AW790" s="379"/>
      <c r="AX790" s="65"/>
      <c r="AY790" s="65"/>
      <c r="AZ790" s="65"/>
      <c r="BA790" s="60"/>
      <c r="BB790" s="65"/>
      <c r="BC790" s="65"/>
      <c r="BD790" s="65"/>
      <c r="BE790" s="60"/>
      <c r="BG790" s="65"/>
      <c r="BH790" s="65"/>
      <c r="BI790" s="65"/>
      <c r="BJ790" s="65"/>
      <c r="BK790" s="65"/>
      <c r="BL790" s="68"/>
      <c r="BM790" s="65"/>
      <c r="BN790" s="65"/>
      <c r="BO790" s="65"/>
      <c r="BP790" s="65"/>
      <c r="BQ790" s="65"/>
      <c r="BR790" s="65"/>
      <c r="BS790" s="65"/>
      <c r="BT790" s="65"/>
      <c r="BU790" s="68"/>
      <c r="BV790" s="65"/>
      <c r="BW790" s="65"/>
    </row>
    <row r="791" spans="45:75" x14ac:dyDescent="0.25">
      <c r="AX791" s="65"/>
      <c r="AY791" s="65"/>
      <c r="AZ791" s="65"/>
      <c r="BA791" s="60"/>
      <c r="BB791" s="65"/>
      <c r="BC791" s="65"/>
      <c r="BD791" s="65"/>
      <c r="BE791" s="60"/>
      <c r="BG791" s="65"/>
      <c r="BH791" s="65"/>
      <c r="BI791" s="65"/>
      <c r="BJ791" s="65"/>
      <c r="BK791" s="65"/>
      <c r="BL791" s="65"/>
      <c r="BM791" s="65"/>
      <c r="BN791" s="65"/>
      <c r="BO791" s="65"/>
      <c r="BP791" s="65"/>
      <c r="BQ791" s="65"/>
      <c r="BR791" s="65"/>
      <c r="BS791" s="65"/>
      <c r="BT791" s="65"/>
      <c r="BU791" s="65"/>
      <c r="BV791" s="65"/>
    </row>
    <row r="792" spans="45:75" x14ac:dyDescent="0.25">
      <c r="AU792" s="54"/>
    </row>
    <row r="793" spans="45:75" x14ac:dyDescent="0.25">
      <c r="AU793" s="54"/>
      <c r="AZ793" s="65"/>
      <c r="BA793" s="60"/>
      <c r="BB793" s="65"/>
      <c r="BC793" s="65"/>
      <c r="BD793" s="65"/>
      <c r="BE793" s="60"/>
      <c r="BG793" s="65"/>
      <c r="BH793" s="65"/>
      <c r="BI793" s="65"/>
      <c r="BJ793" s="65"/>
      <c r="BK793" s="65"/>
      <c r="BL793" s="65"/>
      <c r="BM793" s="65"/>
      <c r="BN793" s="65"/>
      <c r="BO793" s="65"/>
      <c r="BP793" s="65"/>
      <c r="BQ793" s="65"/>
      <c r="BR793" s="65"/>
      <c r="BS793" s="65"/>
      <c r="BT793" s="65"/>
      <c r="BU793" s="65"/>
      <c r="BV793" s="65"/>
    </row>
    <row r="794" spans="45:75" x14ac:dyDescent="0.25">
      <c r="AS794" s="54"/>
      <c r="AZ794" s="65"/>
      <c r="BB794" s="65"/>
    </row>
    <row r="795" spans="45:75" x14ac:dyDescent="0.25">
      <c r="AY795" s="53"/>
      <c r="AZ795" s="65"/>
      <c r="BB795" s="65"/>
      <c r="BO795" s="65"/>
      <c r="BP795" s="65"/>
      <c r="BQ795" s="65"/>
      <c r="BR795" s="65"/>
      <c r="BS795" s="65"/>
      <c r="BT795" s="65"/>
      <c r="BU795" s="65"/>
      <c r="BV795" s="65"/>
    </row>
    <row r="796" spans="45:75" x14ac:dyDescent="0.25">
      <c r="AY796" s="65"/>
      <c r="AZ796" s="65"/>
      <c r="BB796" s="65"/>
      <c r="BO796" s="65"/>
      <c r="BP796" s="65"/>
      <c r="BQ796" s="65"/>
      <c r="BR796" s="65"/>
      <c r="BS796" s="65"/>
      <c r="BT796" s="65"/>
      <c r="BU796" s="65"/>
      <c r="BV796" s="65"/>
    </row>
    <row r="797" spans="45:75" x14ac:dyDescent="0.25">
      <c r="AY797" s="54"/>
      <c r="AZ797" s="65"/>
      <c r="BB797" s="65"/>
      <c r="BO797" s="65"/>
      <c r="BP797" s="65"/>
      <c r="BQ797" s="65"/>
      <c r="BR797" s="65"/>
      <c r="BS797" s="65"/>
      <c r="BT797" s="65"/>
      <c r="BU797" s="65"/>
      <c r="BV797" s="65"/>
    </row>
    <row r="798" spans="45:75" x14ac:dyDescent="0.25">
      <c r="AY798" s="54"/>
      <c r="AZ798" s="65"/>
      <c r="BB798" s="65"/>
      <c r="BO798" s="65"/>
      <c r="BP798" s="65"/>
      <c r="BQ798" s="65"/>
      <c r="BR798" s="65"/>
      <c r="BS798" s="65"/>
      <c r="BT798" s="65"/>
      <c r="BU798" s="65"/>
      <c r="BV798" s="65"/>
    </row>
    <row r="799" spans="45:75" x14ac:dyDescent="0.25">
      <c r="AS799" s="53"/>
      <c r="AZ799" s="65"/>
      <c r="BB799" s="65"/>
      <c r="BD799" s="54"/>
      <c r="BO799" s="65"/>
      <c r="BP799" s="65"/>
      <c r="BQ799" s="65"/>
      <c r="BR799" s="65"/>
      <c r="BS799" s="65"/>
      <c r="BT799" s="65"/>
      <c r="BU799" s="65"/>
      <c r="BV799" s="65"/>
    </row>
    <row r="800" spans="45:75" x14ac:dyDescent="0.25">
      <c r="AS800" s="53"/>
      <c r="AZ800" s="65"/>
      <c r="BB800" s="65"/>
      <c r="BD800" s="54"/>
      <c r="BO800" s="65"/>
      <c r="BP800" s="65"/>
      <c r="BQ800" s="65"/>
      <c r="BR800" s="65"/>
      <c r="BS800" s="65"/>
      <c r="BT800" s="65"/>
      <c r="BU800" s="65"/>
      <c r="BV800" s="65"/>
    </row>
    <row r="801" spans="45:74" x14ac:dyDescent="0.25">
      <c r="AS801" s="54"/>
      <c r="AZ801" s="65"/>
      <c r="BB801" s="65"/>
      <c r="BD801" s="54"/>
      <c r="BO801" s="65"/>
      <c r="BP801" s="65"/>
      <c r="BQ801" s="65"/>
      <c r="BR801" s="65"/>
      <c r="BS801" s="65"/>
      <c r="BT801" s="65"/>
      <c r="BU801" s="65"/>
      <c r="BV801" s="65"/>
    </row>
    <row r="802" spans="45:74" x14ac:dyDescent="0.25">
      <c r="AZ802" s="65"/>
      <c r="BB802" s="65"/>
      <c r="BD802" s="53"/>
      <c r="BO802" s="65"/>
      <c r="BP802" s="65"/>
      <c r="BQ802" s="65"/>
      <c r="BR802" s="65"/>
      <c r="BS802" s="65"/>
      <c r="BT802" s="65"/>
      <c r="BU802" s="65"/>
      <c r="BV802" s="65"/>
    </row>
    <row r="803" spans="45:74" x14ac:dyDescent="0.25">
      <c r="AS803" s="55"/>
      <c r="AT803" s="55"/>
      <c r="AU803" s="55"/>
      <c r="AV803" s="55"/>
      <c r="AW803" s="55"/>
      <c r="AX803" s="55"/>
      <c r="AY803" s="55"/>
      <c r="AZ803" s="66"/>
      <c r="BA803" s="55"/>
      <c r="BB803" s="66"/>
      <c r="BC803" s="55"/>
      <c r="BD803" s="55"/>
      <c r="BE803" s="55"/>
      <c r="BO803" s="65"/>
      <c r="BP803" s="65"/>
      <c r="BQ803" s="65"/>
      <c r="BR803" s="65"/>
      <c r="BS803" s="65"/>
      <c r="BT803" s="65"/>
      <c r="BU803" s="65"/>
      <c r="BV803" s="65"/>
    </row>
    <row r="804" spans="45:74" x14ac:dyDescent="0.25">
      <c r="AX804" s="54"/>
      <c r="AZ804" s="65"/>
      <c r="BB804" s="65"/>
      <c r="BO804" s="65"/>
      <c r="BP804" s="65"/>
      <c r="BQ804" s="65"/>
      <c r="BR804" s="65"/>
      <c r="BS804" s="65"/>
      <c r="BT804" s="65"/>
      <c r="BU804" s="65"/>
      <c r="BV804" s="65"/>
    </row>
    <row r="805" spans="45:74" x14ac:dyDescent="0.25">
      <c r="AX805" s="55"/>
      <c r="AY805" s="55"/>
      <c r="AZ805" s="66"/>
      <c r="BA805" s="55"/>
      <c r="BB805" s="65"/>
      <c r="BC805" s="56"/>
      <c r="BD805" s="56"/>
      <c r="BO805" s="65"/>
      <c r="BP805" s="65"/>
      <c r="BQ805" s="65"/>
      <c r="BR805" s="65"/>
      <c r="BS805" s="65"/>
      <c r="BT805" s="65"/>
      <c r="BU805" s="65"/>
      <c r="BV805" s="65"/>
    </row>
    <row r="806" spans="45:74" x14ac:dyDescent="0.25">
      <c r="AV806" s="56"/>
      <c r="AW806" s="56"/>
      <c r="AZ806" s="67"/>
      <c r="BA806" s="56"/>
      <c r="BB806" s="65"/>
      <c r="BC806" s="56"/>
      <c r="BD806" s="56"/>
      <c r="BE806" s="56"/>
      <c r="BG806" s="55"/>
      <c r="BH806" s="54"/>
      <c r="BK806" s="55"/>
      <c r="BM806" s="55"/>
      <c r="BN806" s="54"/>
      <c r="BQ806" s="55"/>
    </row>
    <row r="807" spans="45:74" x14ac:dyDescent="0.25">
      <c r="AV807" s="56"/>
      <c r="AW807" s="56"/>
      <c r="AX807" s="56"/>
      <c r="AY807" s="56"/>
      <c r="AZ807" s="67"/>
      <c r="BA807" s="56"/>
      <c r="BB807" s="67"/>
      <c r="BC807" s="56"/>
      <c r="BD807" s="56"/>
      <c r="BE807" s="56"/>
      <c r="BH807" s="56"/>
      <c r="BI807" s="56"/>
      <c r="BN807" s="56"/>
      <c r="BO807" s="56"/>
    </row>
    <row r="808" spans="45:74" x14ac:dyDescent="0.25">
      <c r="AS808" s="56"/>
      <c r="AU808" s="54"/>
      <c r="AV808" s="56"/>
      <c r="AW808" s="56"/>
      <c r="AX808" s="56"/>
      <c r="AY808" s="56"/>
      <c r="AZ808" s="67"/>
      <c r="BA808" s="56"/>
      <c r="BB808" s="67"/>
      <c r="BC808" s="56"/>
      <c r="BD808" s="56"/>
      <c r="BE808" s="56"/>
      <c r="BG808" s="56"/>
      <c r="BH808" s="56"/>
      <c r="BI808" s="56"/>
      <c r="BJ808" s="56"/>
      <c r="BK808" s="56"/>
      <c r="BM808" s="56"/>
      <c r="BN808" s="56"/>
      <c r="BO808" s="56"/>
      <c r="BP808" s="56"/>
      <c r="BQ808" s="56"/>
    </row>
    <row r="809" spans="45:74" x14ac:dyDescent="0.25">
      <c r="AS809" s="56"/>
      <c r="AU809" s="54"/>
      <c r="AV809" s="56"/>
      <c r="AW809" s="56"/>
      <c r="AX809" s="56"/>
      <c r="AY809" s="56"/>
      <c r="AZ809" s="67"/>
      <c r="BA809" s="56"/>
      <c r="BB809" s="67"/>
      <c r="BC809" s="56"/>
      <c r="BD809" s="56"/>
      <c r="BE809" s="56"/>
      <c r="BG809" s="56"/>
      <c r="BH809" s="56"/>
      <c r="BI809" s="56"/>
      <c r="BJ809" s="56"/>
      <c r="BK809" s="56"/>
      <c r="BM809" s="56"/>
      <c r="BN809" s="56"/>
      <c r="BO809" s="56"/>
      <c r="BP809" s="56"/>
      <c r="BQ809" s="56"/>
    </row>
    <row r="810" spans="45:74" x14ac:dyDescent="0.25">
      <c r="AS810" s="55"/>
      <c r="AT810" s="55"/>
      <c r="AU810" s="55"/>
      <c r="AV810" s="55"/>
      <c r="AW810" s="55"/>
      <c r="AX810" s="55"/>
      <c r="AY810" s="55"/>
      <c r="AZ810" s="66"/>
      <c r="BA810" s="55"/>
      <c r="BB810" s="66"/>
      <c r="BC810" s="55"/>
      <c r="BD810" s="55"/>
      <c r="BE810" s="55"/>
      <c r="BG810" s="55"/>
      <c r="BH810" s="55"/>
      <c r="BI810" s="55"/>
      <c r="BJ810" s="55"/>
      <c r="BK810" s="55"/>
      <c r="BM810" s="55"/>
      <c r="BN810" s="55"/>
      <c r="BO810" s="55"/>
      <c r="BP810" s="55"/>
      <c r="BQ810" s="55"/>
    </row>
    <row r="811" spans="45:74" x14ac:dyDescent="0.25">
      <c r="AV811" s="56"/>
      <c r="AW811" s="56"/>
      <c r="AX811" s="56"/>
      <c r="AY811" s="56"/>
      <c r="AZ811" s="67"/>
      <c r="BA811" s="56"/>
      <c r="BB811" s="67"/>
      <c r="BC811" s="56"/>
      <c r="BD811" s="56"/>
      <c r="BE811" s="56"/>
      <c r="BG811" s="65"/>
      <c r="BH811" s="65"/>
      <c r="BI811" s="65"/>
      <c r="BJ811" s="65"/>
      <c r="BK811" s="65"/>
      <c r="BL811" s="65"/>
      <c r="BM811" s="65"/>
      <c r="BN811" s="65"/>
      <c r="BO811" s="65"/>
      <c r="BP811" s="65"/>
      <c r="BQ811" s="65"/>
    </row>
    <row r="812" spans="45:74" x14ac:dyDescent="0.25">
      <c r="AS812" s="53"/>
      <c r="AT812" s="54"/>
      <c r="AV812" s="379"/>
      <c r="AW812" s="379"/>
      <c r="AX812" s="65"/>
      <c r="AY812" s="65"/>
      <c r="AZ812" s="65"/>
      <c r="BA812" s="60"/>
      <c r="BB812" s="65"/>
      <c r="BC812" s="65"/>
      <c r="BD812" s="65"/>
      <c r="BE812" s="60"/>
      <c r="BG812" s="65"/>
      <c r="BH812" s="65"/>
      <c r="BI812" s="65"/>
      <c r="BJ812" s="65"/>
      <c r="BK812" s="65"/>
      <c r="BL812" s="65"/>
      <c r="BM812" s="65"/>
      <c r="BN812" s="65"/>
      <c r="BO812" s="65"/>
      <c r="BP812" s="65"/>
      <c r="BQ812" s="65"/>
      <c r="BR812" s="65"/>
      <c r="BS812" s="65"/>
    </row>
    <row r="813" spans="45:74" x14ac:dyDescent="0.25">
      <c r="AS813" s="53"/>
      <c r="AV813" s="379"/>
      <c r="AW813" s="379"/>
      <c r="AX813" s="65"/>
      <c r="AY813" s="65"/>
      <c r="AZ813" s="65"/>
      <c r="BA813" s="60"/>
      <c r="BB813" s="65"/>
      <c r="BC813" s="65"/>
      <c r="BD813" s="65"/>
      <c r="BE813" s="60"/>
      <c r="BG813" s="65"/>
      <c r="BH813" s="65"/>
      <c r="BI813" s="65"/>
      <c r="BJ813" s="65"/>
      <c r="BK813" s="65"/>
      <c r="BL813" s="65"/>
      <c r="BM813" s="65"/>
      <c r="BN813" s="65"/>
      <c r="BO813" s="65"/>
      <c r="BP813" s="65"/>
      <c r="BQ813" s="65"/>
      <c r="BR813" s="65"/>
      <c r="BS813" s="65"/>
    </row>
    <row r="814" spans="45:74" x14ac:dyDescent="0.25">
      <c r="AS814" s="53"/>
      <c r="AV814" s="379"/>
      <c r="AW814" s="379"/>
      <c r="AX814" s="65"/>
      <c r="AY814" s="65"/>
      <c r="AZ814" s="65"/>
      <c r="BA814" s="60"/>
      <c r="BB814" s="65"/>
      <c r="BC814" s="65"/>
      <c r="BD814" s="65"/>
      <c r="BE814" s="60"/>
      <c r="BG814" s="65"/>
      <c r="BH814" s="65"/>
      <c r="BI814" s="65"/>
      <c r="BJ814" s="65"/>
      <c r="BK814" s="65"/>
      <c r="BL814" s="65"/>
      <c r="BM814" s="65"/>
      <c r="BN814" s="65"/>
      <c r="BO814" s="65"/>
      <c r="BP814" s="65"/>
      <c r="BQ814" s="65"/>
      <c r="BR814" s="65"/>
      <c r="BS814" s="65"/>
    </row>
    <row r="815" spans="45:74" x14ac:dyDescent="0.25">
      <c r="AS815" s="53"/>
      <c r="AV815" s="379"/>
      <c r="AW815" s="379"/>
      <c r="AX815" s="65"/>
      <c r="AY815" s="65"/>
      <c r="AZ815" s="65"/>
      <c r="BA815" s="60"/>
      <c r="BB815" s="65"/>
      <c r="BC815" s="65"/>
      <c r="BD815" s="65"/>
      <c r="BE815" s="60"/>
      <c r="BG815" s="65"/>
      <c r="BH815" s="65"/>
      <c r="BI815" s="65"/>
      <c r="BJ815" s="65"/>
      <c r="BK815" s="65"/>
      <c r="BL815" s="65"/>
      <c r="BM815" s="65"/>
      <c r="BN815" s="65"/>
      <c r="BO815" s="65"/>
      <c r="BP815" s="65"/>
      <c r="BQ815" s="65"/>
      <c r="BR815" s="65"/>
      <c r="BS815" s="65"/>
    </row>
    <row r="816" spans="45:74" x14ac:dyDescent="0.25">
      <c r="AS816" s="53"/>
      <c r="AV816" s="379"/>
      <c r="AW816" s="379"/>
      <c r="AX816" s="65"/>
      <c r="AY816" s="65"/>
      <c r="AZ816" s="65"/>
      <c r="BA816" s="60"/>
      <c r="BB816" s="65"/>
      <c r="BC816" s="65"/>
      <c r="BD816" s="65"/>
      <c r="BE816" s="60"/>
      <c r="BG816" s="65"/>
      <c r="BH816" s="65"/>
      <c r="BI816" s="65"/>
      <c r="BJ816" s="65"/>
      <c r="BK816" s="65"/>
      <c r="BL816" s="65"/>
      <c r="BM816" s="65"/>
      <c r="BN816" s="65"/>
      <c r="BO816" s="65"/>
      <c r="BP816" s="65"/>
      <c r="BQ816" s="65"/>
      <c r="BR816" s="65"/>
      <c r="BS816" s="65"/>
    </row>
    <row r="817" spans="45:71" x14ac:dyDescent="0.25">
      <c r="AS817" s="53"/>
      <c r="AV817" s="379"/>
      <c r="AW817" s="379"/>
      <c r="AX817" s="65"/>
      <c r="AY817" s="65"/>
      <c r="AZ817" s="65"/>
      <c r="BA817" s="60"/>
      <c r="BB817" s="65"/>
      <c r="BC817" s="65"/>
      <c r="BD817" s="65"/>
      <c r="BE817" s="60"/>
      <c r="BG817" s="65"/>
      <c r="BH817" s="65"/>
      <c r="BI817" s="65"/>
      <c r="BJ817" s="65"/>
      <c r="BK817" s="65"/>
      <c r="BL817" s="65"/>
      <c r="BM817" s="65"/>
      <c r="BN817" s="65"/>
      <c r="BO817" s="65"/>
      <c r="BP817" s="65"/>
      <c r="BQ817" s="65"/>
      <c r="BR817" s="65"/>
      <c r="BS817" s="65"/>
    </row>
    <row r="818" spans="45:71" x14ac:dyDescent="0.25">
      <c r="AS818" s="53"/>
      <c r="AV818" s="379"/>
      <c r="AW818" s="379"/>
      <c r="AX818" s="65"/>
      <c r="AY818" s="65"/>
      <c r="AZ818" s="65"/>
      <c r="BA818" s="60"/>
      <c r="BB818" s="65"/>
      <c r="BC818" s="65"/>
      <c r="BD818" s="65"/>
      <c r="BE818" s="60"/>
      <c r="BG818" s="65"/>
      <c r="BH818" s="65"/>
      <c r="BI818" s="65"/>
      <c r="BJ818" s="65"/>
      <c r="BK818" s="65"/>
      <c r="BL818" s="65"/>
      <c r="BM818" s="65"/>
      <c r="BN818" s="65"/>
      <c r="BO818" s="65"/>
      <c r="BP818" s="65"/>
      <c r="BQ818" s="65"/>
      <c r="BR818" s="65"/>
      <c r="BS818" s="65"/>
    </row>
    <row r="819" spans="45:71" x14ac:dyDescent="0.25">
      <c r="AS819" s="53"/>
      <c r="AV819" s="379"/>
      <c r="AW819" s="379"/>
      <c r="AX819" s="65"/>
      <c r="AY819" s="65"/>
      <c r="AZ819" s="65"/>
      <c r="BA819" s="60"/>
      <c r="BB819" s="65"/>
      <c r="BC819" s="65"/>
      <c r="BD819" s="65"/>
      <c r="BE819" s="60"/>
      <c r="BG819" s="65"/>
      <c r="BH819" s="65"/>
      <c r="BI819" s="65"/>
      <c r="BJ819" s="65"/>
      <c r="BK819" s="65"/>
      <c r="BL819" s="65"/>
      <c r="BM819" s="65"/>
      <c r="BN819" s="65"/>
      <c r="BO819" s="65"/>
      <c r="BP819" s="65"/>
      <c r="BQ819" s="65"/>
      <c r="BR819" s="65"/>
      <c r="BS819" s="65"/>
    </row>
    <row r="820" spans="45:71" x14ac:dyDescent="0.25">
      <c r="AS820" s="53"/>
      <c r="AV820" s="379"/>
      <c r="AW820" s="379"/>
      <c r="AX820" s="65"/>
      <c r="AY820" s="65"/>
      <c r="AZ820" s="65"/>
      <c r="BA820" s="60"/>
      <c r="BB820" s="65"/>
      <c r="BC820" s="65"/>
      <c r="BD820" s="65"/>
      <c r="BE820" s="60"/>
      <c r="BG820" s="65"/>
      <c r="BH820" s="65"/>
      <c r="BI820" s="65"/>
      <c r="BJ820" s="65"/>
      <c r="BK820" s="65"/>
      <c r="BL820" s="65"/>
      <c r="BM820" s="65"/>
      <c r="BN820" s="65"/>
      <c r="BO820" s="65"/>
      <c r="BP820" s="65"/>
      <c r="BQ820" s="65"/>
      <c r="BR820" s="65"/>
      <c r="BS820" s="65"/>
    </row>
    <row r="821" spans="45:71" x14ac:dyDescent="0.25">
      <c r="AS821" s="53"/>
      <c r="AV821" s="379"/>
      <c r="AW821" s="379"/>
      <c r="AX821" s="65"/>
      <c r="AY821" s="65"/>
      <c r="AZ821" s="65"/>
      <c r="BA821" s="60"/>
      <c r="BB821" s="65"/>
      <c r="BC821" s="65"/>
      <c r="BD821" s="65"/>
      <c r="BE821" s="60"/>
      <c r="BG821" s="65"/>
      <c r="BH821" s="65"/>
      <c r="BI821" s="65"/>
      <c r="BJ821" s="65"/>
      <c r="BK821" s="65"/>
      <c r="BL821" s="65"/>
      <c r="BM821" s="65"/>
      <c r="BN821" s="65"/>
      <c r="BO821" s="65"/>
      <c r="BP821" s="65"/>
      <c r="BQ821" s="65"/>
      <c r="BR821" s="65"/>
      <c r="BS821" s="65"/>
    </row>
    <row r="822" spans="45:71" x14ac:dyDescent="0.25">
      <c r="AS822" s="53"/>
      <c r="AV822" s="379"/>
      <c r="AW822" s="379"/>
      <c r="AX822" s="65"/>
      <c r="AY822" s="65"/>
      <c r="AZ822" s="65"/>
      <c r="BA822" s="60"/>
      <c r="BB822" s="65"/>
      <c r="BC822" s="65"/>
      <c r="BD822" s="65"/>
      <c r="BE822" s="60"/>
      <c r="BG822" s="65"/>
      <c r="BH822" s="65"/>
      <c r="BI822" s="65"/>
      <c r="BJ822" s="65"/>
      <c r="BK822" s="65"/>
      <c r="BL822" s="65"/>
      <c r="BM822" s="65"/>
      <c r="BN822" s="65"/>
      <c r="BO822" s="65"/>
      <c r="BP822" s="65"/>
      <c r="BQ822" s="65"/>
      <c r="BR822" s="65"/>
      <c r="BS822" s="65"/>
    </row>
    <row r="823" spans="45:71" x14ac:dyDescent="0.25">
      <c r="AS823" s="53"/>
      <c r="AV823" s="379"/>
      <c r="AW823" s="379"/>
      <c r="AX823" s="65"/>
      <c r="AY823" s="65"/>
      <c r="AZ823" s="65"/>
      <c r="BA823" s="60"/>
      <c r="BB823" s="65"/>
      <c r="BC823" s="65"/>
      <c r="BD823" s="65"/>
      <c r="BE823" s="60"/>
      <c r="BG823" s="65"/>
      <c r="BH823" s="65"/>
      <c r="BI823" s="65"/>
      <c r="BJ823" s="65"/>
      <c r="BK823" s="65"/>
      <c r="BL823" s="65"/>
      <c r="BM823" s="65"/>
      <c r="BN823" s="65"/>
      <c r="BO823" s="65"/>
      <c r="BP823" s="65"/>
      <c r="BQ823" s="65"/>
      <c r="BR823" s="65"/>
      <c r="BS823" s="65"/>
    </row>
    <row r="824" spans="45:71" x14ac:dyDescent="0.25">
      <c r="AS824" s="53"/>
      <c r="AV824" s="379"/>
      <c r="AW824" s="379"/>
      <c r="AX824" s="65"/>
      <c r="AY824" s="65"/>
      <c r="AZ824" s="65"/>
      <c r="BA824" s="60"/>
      <c r="BB824" s="65"/>
      <c r="BC824" s="65"/>
      <c r="BD824" s="65"/>
      <c r="BE824" s="60"/>
      <c r="BG824" s="65"/>
      <c r="BH824" s="65"/>
      <c r="BI824" s="65"/>
      <c r="BJ824" s="65"/>
      <c r="BK824" s="65"/>
      <c r="BL824" s="65"/>
      <c r="BM824" s="65"/>
      <c r="BN824" s="65"/>
      <c r="BO824" s="65"/>
      <c r="BP824" s="65"/>
      <c r="BQ824" s="65"/>
      <c r="BR824" s="65"/>
      <c r="BS824" s="65"/>
    </row>
    <row r="825" spans="45:71" x14ac:dyDescent="0.25">
      <c r="AS825" s="53"/>
      <c r="AV825" s="379"/>
      <c r="AW825" s="379"/>
      <c r="AX825" s="65"/>
      <c r="AY825" s="65"/>
      <c r="AZ825" s="65"/>
      <c r="BA825" s="60"/>
      <c r="BB825" s="65"/>
      <c r="BC825" s="65"/>
      <c r="BD825" s="65"/>
      <c r="BE825" s="60"/>
      <c r="BG825" s="65"/>
      <c r="BH825" s="65"/>
      <c r="BI825" s="65"/>
      <c r="BJ825" s="65"/>
      <c r="BK825" s="65"/>
      <c r="BL825" s="65"/>
      <c r="BM825" s="65"/>
      <c r="BN825" s="65"/>
      <c r="BO825" s="65"/>
      <c r="BP825" s="65"/>
      <c r="BQ825" s="65"/>
      <c r="BR825" s="65"/>
      <c r="BS825" s="65"/>
    </row>
    <row r="826" spans="45:71" x14ac:dyDescent="0.25">
      <c r="AS826" s="53"/>
      <c r="AV826" s="379"/>
      <c r="AW826" s="379"/>
      <c r="AX826" s="65"/>
      <c r="AY826" s="65"/>
      <c r="AZ826" s="65"/>
      <c r="BA826" s="60"/>
      <c r="BB826" s="65"/>
      <c r="BC826" s="65"/>
      <c r="BD826" s="65"/>
      <c r="BE826" s="60"/>
      <c r="BG826" s="65"/>
      <c r="BH826" s="65"/>
      <c r="BI826" s="65"/>
      <c r="BJ826" s="65"/>
      <c r="BK826" s="65"/>
      <c r="BL826" s="65"/>
      <c r="BM826" s="65"/>
      <c r="BN826" s="65"/>
      <c r="BO826" s="65"/>
      <c r="BP826" s="65"/>
      <c r="BQ826" s="65"/>
      <c r="BR826" s="65"/>
      <c r="BS826" s="65"/>
    </row>
    <row r="827" spans="45:71" x14ac:dyDescent="0.25">
      <c r="AS827" s="53"/>
      <c r="AV827" s="379"/>
      <c r="AW827" s="379"/>
      <c r="AX827" s="65"/>
      <c r="AY827" s="65"/>
      <c r="AZ827" s="65"/>
      <c r="BA827" s="60"/>
      <c r="BB827" s="65"/>
      <c r="BC827" s="65"/>
      <c r="BD827" s="65"/>
      <c r="BE827" s="60"/>
      <c r="BG827" s="65"/>
      <c r="BH827" s="65"/>
      <c r="BI827" s="65"/>
      <c r="BJ827" s="65"/>
      <c r="BK827" s="65"/>
      <c r="BL827" s="65"/>
      <c r="BM827" s="65"/>
      <c r="BN827" s="65"/>
      <c r="BO827" s="65"/>
      <c r="BP827" s="65"/>
      <c r="BQ827" s="65"/>
      <c r="BR827" s="65"/>
      <c r="BS827" s="65"/>
    </row>
    <row r="828" spans="45:71" x14ac:dyDescent="0.25">
      <c r="AS828" s="53"/>
      <c r="AV828" s="379"/>
      <c r="AW828" s="379"/>
      <c r="AX828" s="65"/>
      <c r="AY828" s="65"/>
      <c r="AZ828" s="65"/>
      <c r="BA828" s="60"/>
      <c r="BB828" s="65"/>
      <c r="BC828" s="65"/>
      <c r="BD828" s="65"/>
      <c r="BE828" s="60"/>
      <c r="BG828" s="65"/>
      <c r="BH828" s="65"/>
      <c r="BI828" s="65"/>
      <c r="BJ828" s="65"/>
      <c r="BK828" s="65"/>
      <c r="BL828" s="65"/>
      <c r="BM828" s="65"/>
      <c r="BN828" s="65"/>
      <c r="BO828" s="65"/>
      <c r="BP828" s="65"/>
      <c r="BQ828" s="65"/>
      <c r="BR828" s="65"/>
      <c r="BS828" s="65"/>
    </row>
    <row r="829" spans="45:71" x14ac:dyDescent="0.25">
      <c r="AS829" s="53"/>
      <c r="AV829" s="379"/>
      <c r="AW829" s="379"/>
      <c r="AX829" s="65"/>
      <c r="AY829" s="65"/>
      <c r="AZ829" s="65"/>
      <c r="BA829" s="60"/>
      <c r="BB829" s="65"/>
      <c r="BC829" s="65"/>
      <c r="BD829" s="65"/>
      <c r="BE829" s="60"/>
      <c r="BG829" s="65"/>
      <c r="BH829" s="65"/>
      <c r="BI829" s="65"/>
      <c r="BJ829" s="65"/>
      <c r="BK829" s="65"/>
      <c r="BL829" s="65"/>
      <c r="BM829" s="65"/>
      <c r="BN829" s="65"/>
      <c r="BO829" s="65"/>
      <c r="BP829" s="65"/>
      <c r="BQ829" s="65"/>
      <c r="BR829" s="65"/>
      <c r="BS829" s="65"/>
    </row>
    <row r="830" spans="45:71" x14ac:dyDescent="0.25">
      <c r="AZ830" s="65"/>
      <c r="BB830" s="65"/>
      <c r="BC830" s="65"/>
      <c r="BD830" s="65"/>
      <c r="BG830" s="65"/>
      <c r="BH830" s="65"/>
      <c r="BI830" s="65"/>
      <c r="BJ830" s="65"/>
      <c r="BK830" s="65"/>
      <c r="BL830" s="65"/>
      <c r="BM830" s="65"/>
      <c r="BN830" s="65"/>
      <c r="BO830" s="65"/>
      <c r="BP830" s="65"/>
      <c r="BQ830" s="65"/>
      <c r="BR830" s="65"/>
      <c r="BS830" s="65"/>
    </row>
    <row r="831" spans="45:71" x14ac:dyDescent="0.25">
      <c r="AS831" s="53"/>
      <c r="AT831" s="54"/>
      <c r="AV831" s="379"/>
      <c r="AW831" s="379"/>
      <c r="AX831" s="65"/>
      <c r="AY831" s="65"/>
      <c r="AZ831" s="65"/>
      <c r="BA831" s="60"/>
      <c r="BB831" s="65"/>
      <c r="BC831" s="65"/>
      <c r="BD831" s="65"/>
      <c r="BE831" s="60"/>
    </row>
    <row r="832" spans="45:71" x14ac:dyDescent="0.25">
      <c r="AS832" s="53"/>
      <c r="AV832" s="379"/>
      <c r="AW832" s="379"/>
      <c r="AX832" s="65"/>
      <c r="AY832" s="65"/>
      <c r="AZ832" s="65"/>
      <c r="BA832" s="60"/>
      <c r="BB832" s="65"/>
      <c r="BC832" s="65"/>
      <c r="BD832" s="65"/>
      <c r="BE832" s="60"/>
    </row>
    <row r="833" spans="45:57" x14ac:dyDescent="0.25">
      <c r="AS833" s="53"/>
      <c r="AV833" s="379"/>
      <c r="AW833" s="379"/>
      <c r="AX833" s="65"/>
      <c r="AY833" s="65"/>
      <c r="AZ833" s="65"/>
      <c r="BA833" s="60"/>
      <c r="BB833" s="65"/>
      <c r="BC833" s="65"/>
      <c r="BD833" s="65"/>
      <c r="BE833" s="60"/>
    </row>
    <row r="834" spans="45:57" x14ac:dyDescent="0.25">
      <c r="AS834" s="53"/>
      <c r="AV834" s="379"/>
      <c r="AW834" s="379"/>
      <c r="AX834" s="65"/>
      <c r="AY834" s="65"/>
      <c r="AZ834" s="65"/>
      <c r="BA834" s="60"/>
      <c r="BB834" s="65"/>
      <c r="BC834" s="65"/>
      <c r="BD834" s="65"/>
      <c r="BE834" s="60"/>
    </row>
    <row r="835" spans="45:57" x14ac:dyDescent="0.25">
      <c r="AS835" s="53"/>
      <c r="AV835" s="379"/>
      <c r="AW835" s="379"/>
      <c r="AX835" s="65"/>
      <c r="AY835" s="65"/>
      <c r="AZ835" s="65"/>
      <c r="BA835" s="60"/>
      <c r="BB835" s="65"/>
      <c r="BC835" s="65"/>
      <c r="BD835" s="65"/>
      <c r="BE835" s="60"/>
    </row>
    <row r="836" spans="45:57" x14ac:dyDescent="0.25">
      <c r="AS836" s="53"/>
      <c r="AV836" s="379"/>
      <c r="AW836" s="379"/>
      <c r="AX836" s="65"/>
      <c r="AY836" s="65"/>
      <c r="AZ836" s="65"/>
      <c r="BA836" s="60"/>
      <c r="BB836" s="65"/>
      <c r="BC836" s="65"/>
      <c r="BD836" s="65"/>
      <c r="BE836" s="60"/>
    </row>
    <row r="837" spans="45:57" x14ac:dyDescent="0.25">
      <c r="AS837" s="53"/>
      <c r="AV837" s="379"/>
      <c r="AW837" s="379"/>
      <c r="AX837" s="65"/>
      <c r="AY837" s="65"/>
      <c r="AZ837" s="65"/>
      <c r="BA837" s="60"/>
      <c r="BB837" s="65"/>
      <c r="BC837" s="65"/>
      <c r="BD837" s="65"/>
      <c r="BE837" s="60"/>
    </row>
    <row r="838" spans="45:57" x14ac:dyDescent="0.25">
      <c r="AS838" s="53"/>
      <c r="AV838" s="379"/>
      <c r="AW838" s="379"/>
      <c r="AX838" s="65"/>
      <c r="AY838" s="65"/>
      <c r="AZ838" s="65"/>
      <c r="BA838" s="60"/>
      <c r="BB838" s="65"/>
      <c r="BC838" s="65"/>
      <c r="BD838" s="65"/>
      <c r="BE838" s="60"/>
    </row>
    <row r="839" spans="45:57" x14ac:dyDescent="0.25">
      <c r="AS839" s="53"/>
      <c r="AV839" s="379"/>
      <c r="AW839" s="379"/>
      <c r="AX839" s="65"/>
      <c r="AY839" s="65"/>
      <c r="AZ839" s="65"/>
      <c r="BA839" s="60"/>
      <c r="BB839" s="65"/>
      <c r="BC839" s="65"/>
      <c r="BD839" s="65"/>
      <c r="BE839" s="60"/>
    </row>
    <row r="840" spans="45:57" x14ac:dyDescent="0.25">
      <c r="AS840" s="53"/>
      <c r="AV840" s="379"/>
      <c r="AW840" s="379"/>
      <c r="AX840" s="65"/>
      <c r="AY840" s="65"/>
      <c r="AZ840" s="65"/>
      <c r="BA840" s="60"/>
      <c r="BB840" s="65"/>
      <c r="BC840" s="65"/>
      <c r="BD840" s="65"/>
      <c r="BE840" s="60"/>
    </row>
    <row r="841" spans="45:57" x14ac:dyDescent="0.25">
      <c r="AS841" s="53"/>
      <c r="AV841" s="379"/>
      <c r="AW841" s="379"/>
      <c r="AX841" s="65"/>
      <c r="AY841" s="65"/>
      <c r="AZ841" s="65"/>
      <c r="BA841" s="60"/>
      <c r="BB841" s="65"/>
      <c r="BC841" s="65"/>
      <c r="BD841" s="65"/>
      <c r="BE841" s="60"/>
    </row>
    <row r="842" spans="45:57" x14ac:dyDescent="0.25">
      <c r="AS842" s="53"/>
      <c r="AV842" s="379"/>
      <c r="AW842" s="379"/>
      <c r="AX842" s="65"/>
      <c r="AY842" s="65"/>
      <c r="AZ842" s="65"/>
      <c r="BA842" s="60"/>
      <c r="BB842" s="65"/>
      <c r="BC842" s="65"/>
      <c r="BD842" s="65"/>
      <c r="BE842" s="60"/>
    </row>
    <row r="843" spans="45:57" x14ac:dyDescent="0.25">
      <c r="AS843" s="53"/>
      <c r="AV843" s="379"/>
      <c r="AW843" s="379"/>
      <c r="AX843" s="65"/>
      <c r="AY843" s="65"/>
      <c r="AZ843" s="65"/>
      <c r="BA843" s="60"/>
      <c r="BB843" s="65"/>
      <c r="BC843" s="65"/>
      <c r="BD843" s="65"/>
      <c r="BE843" s="60"/>
    </row>
    <row r="844" spans="45:57" x14ac:dyDescent="0.25">
      <c r="AS844" s="53"/>
      <c r="AV844" s="379"/>
      <c r="AW844" s="379"/>
      <c r="AX844" s="65"/>
      <c r="AY844" s="65"/>
      <c r="AZ844" s="65"/>
      <c r="BA844" s="60"/>
      <c r="BB844" s="65"/>
      <c r="BC844" s="65"/>
      <c r="BD844" s="65"/>
      <c r="BE844" s="60"/>
    </row>
    <row r="845" spans="45:57" x14ac:dyDescent="0.25">
      <c r="AS845" s="53"/>
      <c r="AV845" s="379"/>
      <c r="AW845" s="379"/>
      <c r="AX845" s="65"/>
      <c r="AY845" s="65"/>
      <c r="AZ845" s="65"/>
      <c r="BA845" s="60"/>
      <c r="BB845" s="65"/>
      <c r="BC845" s="65"/>
      <c r="BD845" s="65"/>
      <c r="BE845" s="60"/>
    </row>
    <row r="846" spans="45:57" x14ac:dyDescent="0.25">
      <c r="AS846" s="53"/>
      <c r="AV846" s="379"/>
      <c r="AW846" s="379"/>
      <c r="AX846" s="65"/>
      <c r="AY846" s="65"/>
      <c r="AZ846" s="65"/>
      <c r="BA846" s="60"/>
      <c r="BB846" s="65"/>
      <c r="BC846" s="65"/>
      <c r="BD846" s="65"/>
      <c r="BE846" s="60"/>
    </row>
    <row r="847" spans="45:57" x14ac:dyDescent="0.25">
      <c r="AS847" s="53"/>
      <c r="AV847" s="379"/>
      <c r="AW847" s="379"/>
      <c r="AX847" s="65"/>
      <c r="AY847" s="65"/>
      <c r="AZ847" s="65"/>
      <c r="BA847" s="60"/>
      <c r="BB847" s="65"/>
      <c r="BC847" s="65"/>
      <c r="BD847" s="65"/>
      <c r="BE847" s="60"/>
    </row>
    <row r="848" spans="45:57" x14ac:dyDescent="0.25">
      <c r="AS848" s="53"/>
      <c r="AV848" s="379"/>
      <c r="AW848" s="379"/>
      <c r="AX848" s="65"/>
      <c r="AY848" s="65"/>
      <c r="AZ848" s="65"/>
      <c r="BA848" s="60"/>
      <c r="BB848" s="65"/>
      <c r="BC848" s="65"/>
      <c r="BD848" s="65"/>
      <c r="BE848" s="60"/>
    </row>
    <row r="849" spans="45:57" x14ac:dyDescent="0.25">
      <c r="BB849" s="65"/>
    </row>
    <row r="850" spans="45:57" x14ac:dyDescent="0.25">
      <c r="AU850" s="54"/>
      <c r="BB850" s="65"/>
    </row>
    <row r="851" spans="45:57" x14ac:dyDescent="0.25">
      <c r="AU851" s="54"/>
    </row>
    <row r="852" spans="45:57" x14ac:dyDescent="0.25">
      <c r="AU852" s="54"/>
      <c r="BB852" s="65"/>
    </row>
    <row r="853" spans="45:57" x14ac:dyDescent="0.25">
      <c r="AS853" s="54"/>
      <c r="AZ853" s="65"/>
      <c r="BB853" s="65"/>
    </row>
    <row r="854" spans="45:57" x14ac:dyDescent="0.25">
      <c r="AY854" s="53"/>
      <c r="AZ854" s="65"/>
      <c r="BB854" s="65"/>
    </row>
    <row r="855" spans="45:57" x14ac:dyDescent="0.25">
      <c r="AY855" s="65"/>
      <c r="AZ855" s="65"/>
      <c r="BB855" s="65"/>
    </row>
    <row r="856" spans="45:57" x14ac:dyDescent="0.25">
      <c r="AY856" s="54"/>
      <c r="AZ856" s="65"/>
      <c r="BB856" s="65"/>
    </row>
    <row r="857" spans="45:57" x14ac:dyDescent="0.25">
      <c r="AY857" s="54"/>
      <c r="AZ857" s="65"/>
      <c r="BB857" s="65"/>
    </row>
    <row r="858" spans="45:57" x14ac:dyDescent="0.25">
      <c r="AS858" s="53"/>
      <c r="AZ858" s="65"/>
      <c r="BB858" s="65"/>
      <c r="BD858" s="54"/>
    </row>
    <row r="859" spans="45:57" x14ac:dyDescent="0.25">
      <c r="AS859" s="53"/>
      <c r="AZ859" s="65"/>
      <c r="BB859" s="65"/>
      <c r="BD859" s="54"/>
    </row>
    <row r="860" spans="45:57" x14ac:dyDescent="0.25">
      <c r="AS860" s="54"/>
      <c r="AZ860" s="65"/>
      <c r="BB860" s="65"/>
      <c r="BD860" s="54"/>
    </row>
    <row r="861" spans="45:57" x14ac:dyDescent="0.25">
      <c r="AZ861" s="65"/>
      <c r="BB861" s="65"/>
      <c r="BD861" s="53"/>
    </row>
    <row r="862" spans="45:57" x14ac:dyDescent="0.25">
      <c r="AS862" s="55"/>
      <c r="AT862" s="55"/>
      <c r="AU862" s="55"/>
      <c r="AV862" s="55"/>
      <c r="AW862" s="55"/>
      <c r="AX862" s="55"/>
      <c r="AY862" s="55"/>
      <c r="AZ862" s="66"/>
      <c r="BA862" s="55"/>
      <c r="BB862" s="66"/>
      <c r="BC862" s="55"/>
      <c r="BD862" s="55"/>
      <c r="BE862" s="55"/>
    </row>
    <row r="863" spans="45:57" x14ac:dyDescent="0.25">
      <c r="AX863" s="54"/>
      <c r="AZ863" s="65"/>
      <c r="BB863" s="65"/>
    </row>
    <row r="864" spans="45:57" x14ac:dyDescent="0.25">
      <c r="AX864" s="55"/>
      <c r="AY864" s="55"/>
      <c r="AZ864" s="66"/>
      <c r="BA864" s="55"/>
      <c r="BB864" s="65"/>
      <c r="BC864" s="56"/>
      <c r="BD864" s="56"/>
    </row>
    <row r="865" spans="45:57" x14ac:dyDescent="0.25">
      <c r="AV865" s="56"/>
      <c r="AW865" s="56"/>
      <c r="AZ865" s="67"/>
      <c r="BA865" s="56"/>
      <c r="BB865" s="65"/>
      <c r="BC865" s="56"/>
      <c r="BD865" s="56"/>
      <c r="BE865" s="56"/>
    </row>
    <row r="866" spans="45:57" x14ac:dyDescent="0.25">
      <c r="AV866" s="56"/>
      <c r="AW866" s="56"/>
      <c r="AX866" s="56"/>
      <c r="AY866" s="56"/>
      <c r="AZ866" s="67"/>
      <c r="BA866" s="56"/>
      <c r="BB866" s="67"/>
      <c r="BC866" s="56"/>
      <c r="BD866" s="56"/>
      <c r="BE866" s="56"/>
    </row>
    <row r="867" spans="45:57" x14ac:dyDescent="0.25">
      <c r="AS867" s="56"/>
      <c r="AU867" s="54"/>
      <c r="AV867" s="56"/>
      <c r="AW867" s="56"/>
      <c r="AX867" s="56"/>
      <c r="AY867" s="56"/>
      <c r="AZ867" s="67"/>
      <c r="BA867" s="56"/>
      <c r="BB867" s="67"/>
      <c r="BC867" s="56"/>
      <c r="BD867" s="56"/>
      <c r="BE867" s="56"/>
    </row>
    <row r="868" spans="45:57" x14ac:dyDescent="0.25">
      <c r="AS868" s="56"/>
      <c r="AU868" s="54"/>
      <c r="AV868" s="56"/>
      <c r="AW868" s="56"/>
      <c r="AX868" s="56"/>
      <c r="AY868" s="56"/>
      <c r="AZ868" s="67"/>
      <c r="BA868" s="56"/>
      <c r="BB868" s="67"/>
      <c r="BC868" s="56"/>
      <c r="BD868" s="56"/>
      <c r="BE868" s="56"/>
    </row>
    <row r="869" spans="45:57" x14ac:dyDescent="0.25">
      <c r="AS869" s="55"/>
      <c r="AT869" s="55"/>
      <c r="AU869" s="55"/>
      <c r="AV869" s="55"/>
      <c r="AW869" s="55"/>
      <c r="AX869" s="55"/>
      <c r="AY869" s="55"/>
      <c r="AZ869" s="66"/>
      <c r="BA869" s="55"/>
      <c r="BB869" s="66"/>
      <c r="BC869" s="55"/>
      <c r="BD869" s="55"/>
      <c r="BE869" s="55"/>
    </row>
    <row r="870" spans="45:57" x14ac:dyDescent="0.25">
      <c r="AV870" s="56"/>
      <c r="AW870" s="56"/>
      <c r="AX870" s="56"/>
      <c r="AY870" s="56"/>
      <c r="AZ870" s="67"/>
      <c r="BA870" s="56"/>
      <c r="BB870" s="67"/>
      <c r="BC870" s="56"/>
      <c r="BD870" s="56"/>
      <c r="BE870" s="56"/>
    </row>
    <row r="871" spans="45:57" x14ac:dyDescent="0.25">
      <c r="AS871" s="53"/>
      <c r="AT871" s="54"/>
      <c r="AV871" s="379"/>
      <c r="AW871" s="379"/>
      <c r="AX871" s="65"/>
      <c r="AY871" s="65"/>
      <c r="AZ871" s="65"/>
      <c r="BA871" s="60"/>
      <c r="BB871" s="65"/>
      <c r="BC871" s="65"/>
      <c r="BD871" s="65"/>
      <c r="BE871" s="60"/>
    </row>
    <row r="872" spans="45:57" x14ac:dyDescent="0.25">
      <c r="AS872" s="53"/>
      <c r="AV872" s="379"/>
      <c r="AW872" s="379"/>
      <c r="AX872" s="65"/>
      <c r="AY872" s="65"/>
      <c r="AZ872" s="65"/>
      <c r="BA872" s="60"/>
      <c r="BB872" s="65"/>
      <c r="BC872" s="65"/>
      <c r="BD872" s="65"/>
      <c r="BE872" s="60"/>
    </row>
    <row r="873" spans="45:57" x14ac:dyDescent="0.25">
      <c r="AS873" s="53"/>
      <c r="AV873" s="379"/>
      <c r="AW873" s="379"/>
      <c r="AX873" s="65"/>
      <c r="AY873" s="65"/>
      <c r="AZ873" s="65"/>
      <c r="BA873" s="60"/>
      <c r="BB873" s="65"/>
      <c r="BC873" s="65"/>
      <c r="BD873" s="65"/>
      <c r="BE873" s="60"/>
    </row>
    <row r="874" spans="45:57" x14ac:dyDescent="0.25">
      <c r="AS874" s="53"/>
      <c r="AV874" s="379"/>
      <c r="AW874" s="379"/>
      <c r="AX874" s="65"/>
      <c r="AY874" s="65"/>
      <c r="AZ874" s="65"/>
      <c r="BA874" s="60"/>
      <c r="BB874" s="65"/>
      <c r="BC874" s="65"/>
      <c r="BD874" s="65"/>
      <c r="BE874" s="60"/>
    </row>
    <row r="875" spans="45:57" x14ac:dyDescent="0.25">
      <c r="AS875" s="53"/>
      <c r="AV875" s="379"/>
      <c r="AW875" s="379"/>
      <c r="AX875" s="65"/>
      <c r="AY875" s="65"/>
      <c r="AZ875" s="65"/>
      <c r="BA875" s="60"/>
      <c r="BB875" s="65"/>
      <c r="BC875" s="65"/>
      <c r="BD875" s="65"/>
      <c r="BE875" s="60"/>
    </row>
    <row r="876" spans="45:57" x14ac:dyDescent="0.25">
      <c r="AS876" s="53"/>
      <c r="AV876" s="379"/>
      <c r="AW876" s="379"/>
      <c r="AX876" s="65"/>
      <c r="AY876" s="65"/>
      <c r="AZ876" s="65"/>
      <c r="BA876" s="60"/>
      <c r="BB876" s="65"/>
      <c r="BC876" s="65"/>
      <c r="BD876" s="65"/>
      <c r="BE876" s="60"/>
    </row>
    <row r="877" spans="45:57" x14ac:dyDescent="0.25">
      <c r="AS877" s="53"/>
      <c r="AV877" s="379"/>
      <c r="AW877" s="379"/>
      <c r="AX877" s="65"/>
      <c r="AY877" s="65"/>
      <c r="AZ877" s="65"/>
      <c r="BA877" s="60"/>
      <c r="BB877" s="65"/>
      <c r="BC877" s="65"/>
      <c r="BD877" s="65"/>
      <c r="BE877" s="60"/>
    </row>
    <row r="878" spans="45:57" x14ac:dyDescent="0.25">
      <c r="AS878" s="53"/>
      <c r="AV878" s="379"/>
      <c r="AW878" s="379"/>
      <c r="AX878" s="65"/>
      <c r="AY878" s="65"/>
      <c r="AZ878" s="65"/>
      <c r="BA878" s="60"/>
      <c r="BB878" s="65"/>
      <c r="BC878" s="65"/>
      <c r="BD878" s="65"/>
      <c r="BE878" s="60"/>
    </row>
    <row r="879" spans="45:57" x14ac:dyDescent="0.25">
      <c r="AS879" s="53"/>
      <c r="AV879" s="379"/>
      <c r="AW879" s="379"/>
      <c r="AX879" s="65"/>
      <c r="AY879" s="65"/>
      <c r="AZ879" s="65"/>
      <c r="BA879" s="60"/>
      <c r="BB879" s="65"/>
      <c r="BC879" s="65"/>
      <c r="BD879" s="65"/>
      <c r="BE879" s="60"/>
    </row>
    <row r="880" spans="45:57" x14ac:dyDescent="0.25">
      <c r="AS880" s="53"/>
      <c r="AV880" s="379"/>
      <c r="AW880" s="379"/>
      <c r="AX880" s="65"/>
      <c r="AY880" s="65"/>
      <c r="AZ880" s="65"/>
      <c r="BA880" s="60"/>
      <c r="BB880" s="65"/>
      <c r="BC880" s="65"/>
      <c r="BD880" s="65"/>
      <c r="BE880" s="60"/>
    </row>
    <row r="881" spans="45:57" x14ac:dyDescent="0.25">
      <c r="AV881" s="379"/>
      <c r="AW881" s="379"/>
      <c r="BB881" s="65"/>
    </row>
    <row r="882" spans="45:57" x14ac:dyDescent="0.25">
      <c r="AS882" s="53"/>
      <c r="AT882" s="54"/>
      <c r="AV882" s="379"/>
      <c r="AW882" s="379"/>
      <c r="AX882" s="65"/>
      <c r="AY882" s="65"/>
      <c r="AZ882" s="65"/>
      <c r="BA882" s="60"/>
      <c r="BB882" s="65"/>
      <c r="BC882" s="65"/>
      <c r="BD882" s="65"/>
      <c r="BE882" s="60"/>
    </row>
    <row r="883" spans="45:57" x14ac:dyDescent="0.25">
      <c r="AS883" s="53"/>
      <c r="AV883" s="379"/>
      <c r="AW883" s="379"/>
      <c r="AX883" s="65"/>
      <c r="AY883" s="65"/>
      <c r="AZ883" s="65"/>
      <c r="BA883" s="60"/>
      <c r="BB883" s="65"/>
      <c r="BC883" s="65"/>
      <c r="BD883" s="65"/>
      <c r="BE883" s="60"/>
    </row>
    <row r="884" spans="45:57" x14ac:dyDescent="0.25">
      <c r="AS884" s="53"/>
      <c r="AV884" s="379"/>
      <c r="AW884" s="379"/>
      <c r="AX884" s="65"/>
      <c r="AY884" s="65"/>
      <c r="AZ884" s="65"/>
      <c r="BA884" s="60"/>
      <c r="BB884" s="65"/>
      <c r="BC884" s="65"/>
      <c r="BD884" s="65"/>
      <c r="BE884" s="60"/>
    </row>
    <row r="885" spans="45:57" x14ac:dyDescent="0.25">
      <c r="AS885" s="53"/>
      <c r="AV885" s="379"/>
      <c r="AW885" s="379"/>
      <c r="AX885" s="65"/>
      <c r="AY885" s="65"/>
      <c r="AZ885" s="65"/>
      <c r="BA885" s="60"/>
      <c r="BB885" s="65"/>
      <c r="BC885" s="65"/>
      <c r="BD885" s="65"/>
      <c r="BE885" s="60"/>
    </row>
    <row r="886" spans="45:57" x14ac:dyDescent="0.25">
      <c r="AS886" s="53"/>
      <c r="AV886" s="379"/>
      <c r="AW886" s="379"/>
      <c r="AX886" s="65"/>
      <c r="AY886" s="65"/>
      <c r="AZ886" s="65"/>
      <c r="BA886" s="60"/>
      <c r="BB886" s="65"/>
      <c r="BC886" s="65"/>
      <c r="BD886" s="65"/>
      <c r="BE886" s="60"/>
    </row>
    <row r="887" spans="45:57" x14ac:dyDescent="0.25">
      <c r="AS887" s="53"/>
      <c r="AV887" s="379"/>
      <c r="AW887" s="379"/>
      <c r="AX887" s="65"/>
      <c r="AY887" s="65"/>
      <c r="AZ887" s="65"/>
      <c r="BA887" s="60"/>
      <c r="BB887" s="65"/>
      <c r="BC887" s="65"/>
      <c r="BD887" s="65"/>
      <c r="BE887" s="60"/>
    </row>
    <row r="888" spans="45:57" x14ac:dyDescent="0.25">
      <c r="AS888" s="53"/>
      <c r="AV888" s="379"/>
      <c r="AW888" s="379"/>
      <c r="AX888" s="65"/>
      <c r="AY888" s="65"/>
      <c r="AZ888" s="65"/>
      <c r="BA888" s="60"/>
      <c r="BB888" s="65"/>
      <c r="BC888" s="65"/>
      <c r="BD888" s="65"/>
      <c r="BE888" s="60"/>
    </row>
    <row r="889" spans="45:57" x14ac:dyDescent="0.25">
      <c r="AS889" s="53"/>
      <c r="AV889" s="379"/>
      <c r="AW889" s="379"/>
      <c r="AX889" s="65"/>
      <c r="AY889" s="65"/>
      <c r="AZ889" s="65"/>
      <c r="BA889" s="60"/>
      <c r="BB889" s="65"/>
      <c r="BC889" s="65"/>
      <c r="BD889" s="65"/>
      <c r="BE889" s="60"/>
    </row>
    <row r="890" spans="45:57" x14ac:dyDescent="0.25">
      <c r="AS890" s="53"/>
      <c r="AV890" s="379"/>
      <c r="AW890" s="379"/>
      <c r="AX890" s="65"/>
      <c r="AY890" s="65"/>
      <c r="AZ890" s="65"/>
      <c r="BA890" s="60"/>
      <c r="BB890" s="65"/>
      <c r="BC890" s="65"/>
      <c r="BD890" s="65"/>
      <c r="BE890" s="60"/>
    </row>
    <row r="891" spans="45:57" x14ac:dyDescent="0.25">
      <c r="AS891" s="53"/>
      <c r="AV891" s="379"/>
      <c r="AW891" s="379"/>
      <c r="AX891" s="65"/>
      <c r="AY891" s="65"/>
      <c r="AZ891" s="65"/>
      <c r="BA891" s="60"/>
      <c r="BB891" s="65"/>
      <c r="BC891" s="65"/>
      <c r="BD891" s="65"/>
      <c r="BE891" s="60"/>
    </row>
    <row r="893" spans="45:57" x14ac:dyDescent="0.25">
      <c r="AU893" s="54"/>
    </row>
    <row r="894" spans="45:57" x14ac:dyDescent="0.25">
      <c r="AU894" s="54"/>
    </row>
    <row r="895" spans="45:57" x14ac:dyDescent="0.25">
      <c r="AU895" s="54"/>
    </row>
    <row r="896" spans="45:57" x14ac:dyDescent="0.25">
      <c r="AS896" s="54"/>
    </row>
    <row r="917" spans="52:71" x14ac:dyDescent="0.25">
      <c r="AZ917" s="65"/>
      <c r="BB917" s="65"/>
      <c r="BC917" s="65"/>
      <c r="BD917" s="65"/>
      <c r="BG917" s="65"/>
      <c r="BH917" s="65"/>
      <c r="BI917" s="65"/>
      <c r="BJ917" s="65"/>
      <c r="BK917" s="65"/>
      <c r="BL917" s="65"/>
      <c r="BM917" s="65"/>
      <c r="BN917" s="65"/>
      <c r="BO917" s="65"/>
      <c r="BP917" s="65"/>
      <c r="BQ917" s="65"/>
      <c r="BR917" s="65"/>
      <c r="BS917" s="65"/>
    </row>
    <row r="918" spans="52:71" x14ac:dyDescent="0.25">
      <c r="AZ918" s="65"/>
      <c r="BB918" s="65"/>
      <c r="BC918" s="65"/>
      <c r="BD918" s="65"/>
      <c r="BG918" s="65"/>
      <c r="BH918" s="65"/>
      <c r="BI918" s="65"/>
      <c r="BJ918" s="65"/>
      <c r="BK918" s="65"/>
      <c r="BL918" s="65"/>
      <c r="BM918" s="65"/>
      <c r="BN918" s="65"/>
      <c r="BO918" s="65"/>
      <c r="BP918" s="65"/>
      <c r="BQ918" s="65"/>
      <c r="BR918" s="65"/>
      <c r="BS918" s="65"/>
    </row>
    <row r="919" spans="52:71" x14ac:dyDescent="0.25">
      <c r="AZ919" s="65"/>
      <c r="BB919" s="65"/>
      <c r="BC919" s="65"/>
      <c r="BD919" s="65"/>
      <c r="BG919" s="65"/>
      <c r="BH919" s="65"/>
      <c r="BI919" s="65"/>
      <c r="BJ919" s="65"/>
      <c r="BK919" s="65"/>
      <c r="BL919" s="65"/>
      <c r="BM919" s="65"/>
      <c r="BN919" s="65"/>
      <c r="BO919" s="65"/>
      <c r="BP919" s="65"/>
      <c r="BQ919" s="65"/>
      <c r="BR919" s="65"/>
      <c r="BS919" s="65"/>
    </row>
    <row r="920" spans="52:71" x14ac:dyDescent="0.25">
      <c r="AZ920" s="65"/>
      <c r="BB920" s="65"/>
      <c r="BC920" s="65"/>
      <c r="BD920" s="65"/>
      <c r="BG920" s="65"/>
      <c r="BH920" s="65"/>
      <c r="BI920" s="65"/>
      <c r="BJ920" s="65"/>
      <c r="BK920" s="65"/>
      <c r="BL920" s="65"/>
      <c r="BM920" s="65"/>
      <c r="BN920" s="65"/>
      <c r="BO920" s="65"/>
      <c r="BP920" s="65"/>
      <c r="BQ920" s="65"/>
      <c r="BR920" s="65"/>
      <c r="BS920" s="65"/>
    </row>
    <row r="921" spans="52:71" x14ac:dyDescent="0.25">
      <c r="AZ921" s="65"/>
      <c r="BB921" s="65"/>
      <c r="BC921" s="65"/>
      <c r="BD921" s="65"/>
      <c r="BG921" s="65"/>
      <c r="BH921" s="65"/>
      <c r="BI921" s="65"/>
      <c r="BJ921" s="65"/>
      <c r="BK921" s="65"/>
      <c r="BL921" s="65"/>
      <c r="BM921" s="65"/>
      <c r="BN921" s="65"/>
      <c r="BO921" s="65"/>
      <c r="BP921" s="65"/>
      <c r="BQ921" s="65"/>
      <c r="BR921" s="65"/>
      <c r="BS921" s="65"/>
    </row>
    <row r="922" spans="52:71" x14ac:dyDescent="0.25">
      <c r="AZ922" s="65"/>
      <c r="BB922" s="65"/>
      <c r="BC922" s="65"/>
      <c r="BD922" s="65"/>
      <c r="BG922" s="65"/>
      <c r="BH922" s="65"/>
      <c r="BI922" s="65"/>
      <c r="BJ922" s="65"/>
      <c r="BK922" s="65"/>
      <c r="BL922" s="65"/>
      <c r="BM922" s="65"/>
      <c r="BN922" s="65"/>
      <c r="BO922" s="65"/>
      <c r="BP922" s="65"/>
      <c r="BQ922" s="65"/>
      <c r="BR922" s="65"/>
      <c r="BS922" s="65"/>
    </row>
    <row r="923" spans="52:71" x14ac:dyDescent="0.25">
      <c r="AZ923" s="65"/>
      <c r="BB923" s="65"/>
      <c r="BC923" s="65"/>
      <c r="BD923" s="65"/>
      <c r="BG923" s="65"/>
      <c r="BH923" s="65"/>
      <c r="BI923" s="65"/>
      <c r="BJ923" s="65"/>
      <c r="BK923" s="65"/>
      <c r="BL923" s="65"/>
      <c r="BM923" s="65"/>
      <c r="BN923" s="65"/>
      <c r="BO923" s="65"/>
      <c r="BP923" s="65"/>
      <c r="BQ923" s="65"/>
      <c r="BR923" s="65"/>
      <c r="BS923" s="65"/>
    </row>
    <row r="924" spans="52:71" x14ac:dyDescent="0.25">
      <c r="AZ924" s="65"/>
      <c r="BB924" s="65"/>
      <c r="BC924" s="65"/>
      <c r="BD924" s="65"/>
      <c r="BG924" s="65"/>
      <c r="BH924" s="65"/>
      <c r="BI924" s="65"/>
      <c r="BJ924" s="65"/>
      <c r="BK924" s="65"/>
      <c r="BL924" s="65"/>
      <c r="BM924" s="65"/>
      <c r="BN924" s="65"/>
      <c r="BO924" s="65"/>
      <c r="BP924" s="65"/>
      <c r="BQ924" s="65"/>
      <c r="BR924" s="65"/>
      <c r="BS924" s="65"/>
    </row>
    <row r="925" spans="52:71" x14ac:dyDescent="0.25">
      <c r="AZ925" s="65"/>
      <c r="BB925" s="65"/>
      <c r="BC925" s="65"/>
      <c r="BD925" s="65"/>
      <c r="BG925" s="65"/>
      <c r="BH925" s="65"/>
      <c r="BI925" s="65"/>
      <c r="BJ925" s="65"/>
      <c r="BK925" s="65"/>
      <c r="BL925" s="65"/>
      <c r="BM925" s="65"/>
      <c r="BN925" s="65"/>
      <c r="BO925" s="65"/>
      <c r="BP925" s="65"/>
      <c r="BQ925" s="65"/>
      <c r="BR925" s="65"/>
      <c r="BS925" s="65"/>
    </row>
    <row r="926" spans="52:71" x14ac:dyDescent="0.25">
      <c r="AZ926" s="65"/>
      <c r="BB926" s="65"/>
      <c r="BC926" s="65"/>
      <c r="BD926" s="65"/>
      <c r="BG926" s="65"/>
      <c r="BH926" s="65"/>
      <c r="BI926" s="65"/>
      <c r="BJ926" s="65"/>
      <c r="BK926" s="65"/>
      <c r="BL926" s="65"/>
      <c r="BM926" s="65"/>
      <c r="BN926" s="65"/>
      <c r="BO926" s="65"/>
      <c r="BP926" s="65"/>
      <c r="BQ926" s="65"/>
      <c r="BR926" s="65"/>
      <c r="BS926" s="65"/>
    </row>
    <row r="927" spans="52:71" x14ac:dyDescent="0.25">
      <c r="AZ927" s="65"/>
      <c r="BB927" s="65"/>
      <c r="BC927" s="65"/>
      <c r="BD927" s="65"/>
      <c r="BG927" s="65"/>
      <c r="BH927" s="65"/>
      <c r="BI927" s="65"/>
      <c r="BJ927" s="65"/>
      <c r="BK927" s="65"/>
      <c r="BL927" s="65"/>
      <c r="BM927" s="65"/>
      <c r="BN927" s="65"/>
      <c r="BO927" s="65"/>
      <c r="BP927" s="65"/>
      <c r="BQ927" s="65"/>
      <c r="BR927" s="65"/>
      <c r="BS927" s="65"/>
    </row>
    <row r="928" spans="52:71" x14ac:dyDescent="0.25">
      <c r="AZ928" s="65"/>
      <c r="BB928" s="65"/>
      <c r="BC928" s="65"/>
      <c r="BD928" s="65"/>
      <c r="BG928" s="65"/>
      <c r="BH928" s="65"/>
      <c r="BI928" s="65"/>
      <c r="BJ928" s="65"/>
      <c r="BK928" s="65"/>
      <c r="BL928" s="65"/>
      <c r="BM928" s="65"/>
      <c r="BN928" s="65"/>
      <c r="BO928" s="65"/>
      <c r="BP928" s="65"/>
      <c r="BQ928" s="65"/>
      <c r="BR928" s="65"/>
      <c r="BS928" s="65"/>
    </row>
    <row r="929" spans="52:71" x14ac:dyDescent="0.25">
      <c r="AZ929" s="65"/>
      <c r="BG929" s="65"/>
      <c r="BH929" s="65"/>
      <c r="BI929" s="65"/>
      <c r="BJ929" s="65"/>
      <c r="BK929" s="65"/>
      <c r="BL929" s="65"/>
      <c r="BM929" s="65"/>
      <c r="BN929" s="65"/>
      <c r="BO929" s="65"/>
      <c r="BP929" s="65"/>
      <c r="BQ929" s="65"/>
      <c r="BR929" s="65"/>
      <c r="BS929" s="65"/>
    </row>
    <row r="930" spans="52:71" x14ac:dyDescent="0.25">
      <c r="AZ930" s="65"/>
      <c r="BG930" s="65"/>
      <c r="BH930" s="65"/>
      <c r="BI930" s="65"/>
      <c r="BJ930" s="65"/>
      <c r="BK930" s="65"/>
      <c r="BL930" s="65"/>
      <c r="BM930" s="65"/>
      <c r="BN930" s="65"/>
      <c r="BO930" s="65"/>
      <c r="BP930" s="65"/>
      <c r="BQ930" s="65"/>
      <c r="BR930" s="65"/>
      <c r="BS930" s="65"/>
    </row>
    <row r="931" spans="52:71" x14ac:dyDescent="0.25">
      <c r="AZ931" s="65"/>
      <c r="BG931" s="65"/>
      <c r="BH931" s="65"/>
      <c r="BI931" s="65"/>
      <c r="BJ931" s="65"/>
      <c r="BK931" s="65"/>
      <c r="BL931" s="65"/>
      <c r="BM931" s="65"/>
      <c r="BN931" s="65"/>
      <c r="BO931" s="65"/>
      <c r="BP931" s="65"/>
      <c r="BQ931" s="65"/>
      <c r="BR931" s="65"/>
      <c r="BS931" s="65"/>
    </row>
    <row r="932" spans="52:71" x14ac:dyDescent="0.25">
      <c r="AZ932" s="65"/>
      <c r="BG932" s="65"/>
      <c r="BH932" s="65"/>
      <c r="BI932" s="65"/>
      <c r="BJ932" s="65"/>
      <c r="BK932" s="65"/>
      <c r="BL932" s="65"/>
      <c r="BM932" s="65"/>
      <c r="BN932" s="65"/>
      <c r="BO932" s="65"/>
      <c r="BP932" s="65"/>
      <c r="BQ932" s="65"/>
      <c r="BR932" s="65"/>
      <c r="BS932" s="65"/>
    </row>
    <row r="933" spans="52:71" x14ac:dyDescent="0.25">
      <c r="AZ933" s="65"/>
      <c r="BG933" s="65"/>
      <c r="BH933" s="65"/>
      <c r="BI933" s="65"/>
      <c r="BJ933" s="65"/>
      <c r="BK933" s="65"/>
      <c r="BL933" s="65"/>
      <c r="BM933" s="65"/>
      <c r="BN933" s="65"/>
      <c r="BO933" s="65"/>
      <c r="BP933" s="65"/>
      <c r="BQ933" s="65"/>
      <c r="BR933" s="65"/>
      <c r="BS933" s="65"/>
    </row>
    <row r="934" spans="52:71" x14ac:dyDescent="0.25">
      <c r="AZ934" s="65"/>
      <c r="BG934" s="65"/>
      <c r="BH934" s="65"/>
      <c r="BI934" s="65"/>
      <c r="BJ934" s="65"/>
      <c r="BK934" s="65"/>
      <c r="BL934" s="65"/>
      <c r="BM934" s="65"/>
      <c r="BN934" s="65"/>
      <c r="BO934" s="65"/>
      <c r="BP934" s="65"/>
      <c r="BQ934" s="65"/>
      <c r="BR934" s="65"/>
      <c r="BS934" s="65"/>
    </row>
    <row r="935" spans="52:71" x14ac:dyDescent="0.25">
      <c r="AZ935" s="65"/>
      <c r="BG935" s="65"/>
      <c r="BH935" s="65"/>
      <c r="BI935" s="65"/>
      <c r="BJ935" s="65"/>
      <c r="BK935" s="65"/>
      <c r="BL935" s="65"/>
      <c r="BM935" s="65"/>
      <c r="BN935" s="65"/>
      <c r="BO935" s="65"/>
      <c r="BP935" s="65"/>
      <c r="BQ935" s="65"/>
      <c r="BR935" s="65"/>
      <c r="BS935" s="65"/>
    </row>
    <row r="936" spans="52:71" x14ac:dyDescent="0.25">
      <c r="AZ936" s="65"/>
    </row>
    <row r="937" spans="52:71" x14ac:dyDescent="0.25">
      <c r="AZ937" s="65"/>
    </row>
    <row r="951" spans="1:28" x14ac:dyDescent="0.25">
      <c r="A951" s="54"/>
    </row>
    <row r="954" spans="1:28" x14ac:dyDescent="0.25">
      <c r="Y954" s="54"/>
    </row>
    <row r="955" spans="1:28" x14ac:dyDescent="0.25">
      <c r="A955" s="54"/>
      <c r="H955" s="54"/>
      <c r="I955" s="54"/>
    </row>
    <row r="956" spans="1:28" x14ac:dyDescent="0.25">
      <c r="A956" s="54"/>
      <c r="V956" s="56"/>
      <c r="AA956" s="56"/>
      <c r="AB956" s="56"/>
    </row>
    <row r="957" spans="1:28" x14ac:dyDescent="0.25">
      <c r="A957" s="54"/>
      <c r="V957" s="55"/>
      <c r="AA957" s="55"/>
      <c r="AB957" s="55"/>
    </row>
    <row r="958" spans="1:28" x14ac:dyDescent="0.25">
      <c r="A958" s="54"/>
      <c r="U958" s="54"/>
      <c r="AA958" s="56"/>
      <c r="AB958" s="56"/>
    </row>
    <row r="959" spans="1:28" x14ac:dyDescent="0.25">
      <c r="A959" s="54"/>
    </row>
    <row r="960" spans="1:28" x14ac:dyDescent="0.25">
      <c r="A960" s="54"/>
      <c r="U960" s="54"/>
      <c r="AA960" s="56"/>
      <c r="AB960" s="56"/>
    </row>
    <row r="961" spans="1:28" x14ac:dyDescent="0.25">
      <c r="A961" s="54"/>
    </row>
    <row r="962" spans="1:28" x14ac:dyDescent="0.25">
      <c r="A962" s="54"/>
      <c r="U962" s="54"/>
      <c r="V962" s="480"/>
      <c r="AA962" s="56"/>
      <c r="AB962" s="56"/>
    </row>
    <row r="963" spans="1:28" x14ac:dyDescent="0.25">
      <c r="A963" s="54"/>
    </row>
    <row r="964" spans="1:28" x14ac:dyDescent="0.25">
      <c r="A964" s="54"/>
      <c r="U964" s="54"/>
      <c r="AA964" s="56"/>
      <c r="AB964" s="56"/>
    </row>
    <row r="965" spans="1:28" x14ac:dyDescent="0.25">
      <c r="A965" s="54"/>
    </row>
    <row r="966" spans="1:28" x14ac:dyDescent="0.25">
      <c r="A966" s="54"/>
      <c r="U966" s="54"/>
      <c r="AA966" s="56"/>
      <c r="AB966" s="56"/>
    </row>
    <row r="967" spans="1:28" x14ac:dyDescent="0.25">
      <c r="A967" s="54"/>
    </row>
    <row r="968" spans="1:28" x14ac:dyDescent="0.25">
      <c r="A968" s="54"/>
    </row>
    <row r="969" spans="1:28" x14ac:dyDescent="0.25">
      <c r="A969" s="54"/>
    </row>
    <row r="970" spans="1:28" x14ac:dyDescent="0.25">
      <c r="A970" s="54"/>
    </row>
    <row r="971" spans="1:28" x14ac:dyDescent="0.25">
      <c r="A971" s="54"/>
    </row>
    <row r="972" spans="1:28" x14ac:dyDescent="0.25">
      <c r="A972" s="54"/>
    </row>
    <row r="973" spans="1:28" x14ac:dyDescent="0.25">
      <c r="A973" s="54"/>
    </row>
    <row r="974" spans="1:28" x14ac:dyDescent="0.25">
      <c r="A974" s="54"/>
    </row>
    <row r="975" spans="1:28" x14ac:dyDescent="0.25">
      <c r="A975" s="54"/>
    </row>
    <row r="976" spans="1:28" x14ac:dyDescent="0.25">
      <c r="A976" s="54"/>
    </row>
    <row r="977" spans="1:9" x14ac:dyDescent="0.25">
      <c r="A977" s="54"/>
      <c r="H977" s="54"/>
      <c r="I977" s="54"/>
    </row>
    <row r="980" spans="1:9" x14ac:dyDescent="0.25">
      <c r="A980" s="54"/>
    </row>
    <row r="983" spans="1:9" x14ac:dyDescent="0.25">
      <c r="A983" s="54"/>
    </row>
    <row r="986" spans="1:9" x14ac:dyDescent="0.25">
      <c r="A986" s="54"/>
    </row>
    <row r="987" spans="1:9" x14ac:dyDescent="0.25">
      <c r="A987" s="54"/>
    </row>
    <row r="988" spans="1:9" x14ac:dyDescent="0.25">
      <c r="A988" s="54"/>
    </row>
    <row r="989" spans="1:9" x14ac:dyDescent="0.25">
      <c r="A989" s="54"/>
    </row>
    <row r="990" spans="1:9" x14ac:dyDescent="0.25">
      <c r="A990" s="54"/>
    </row>
    <row r="991" spans="1:9" x14ac:dyDescent="0.25">
      <c r="A991" s="54"/>
    </row>
    <row r="992" spans="1:9" x14ac:dyDescent="0.25">
      <c r="A992" s="54"/>
    </row>
    <row r="993" spans="1:1" x14ac:dyDescent="0.25">
      <c r="A993" s="54"/>
    </row>
    <row r="994" spans="1:1" x14ac:dyDescent="0.25">
      <c r="A994" s="54"/>
    </row>
    <row r="995" spans="1:1" x14ac:dyDescent="0.25">
      <c r="A995" s="54"/>
    </row>
    <row r="996" spans="1:1" x14ac:dyDescent="0.25">
      <c r="A996" s="54"/>
    </row>
    <row r="997" spans="1:1" x14ac:dyDescent="0.25">
      <c r="A997" s="54"/>
    </row>
    <row r="998" spans="1:1" x14ac:dyDescent="0.25">
      <c r="A998" s="54"/>
    </row>
    <row r="999" spans="1:1" x14ac:dyDescent="0.25">
      <c r="A999" s="54"/>
    </row>
    <row r="1000" spans="1:1" x14ac:dyDescent="0.25">
      <c r="A1000" s="54"/>
    </row>
    <row r="1001" spans="1:1" x14ac:dyDescent="0.25">
      <c r="A1001" s="54"/>
    </row>
    <row r="1002" spans="1:1" x14ac:dyDescent="0.25">
      <c r="A1002" s="54"/>
    </row>
    <row r="1003" spans="1:1" x14ac:dyDescent="0.25">
      <c r="A1003" s="54"/>
    </row>
    <row r="1004" spans="1:1" x14ac:dyDescent="0.25">
      <c r="A1004" s="54"/>
    </row>
    <row r="1005" spans="1:1" x14ac:dyDescent="0.25">
      <c r="A1005" s="54"/>
    </row>
    <row r="1006" spans="1:1" x14ac:dyDescent="0.25">
      <c r="A1006" s="54"/>
    </row>
    <row r="1007" spans="1:1" x14ac:dyDescent="0.25">
      <c r="A1007" s="54"/>
    </row>
    <row r="1008" spans="1:1" x14ac:dyDescent="0.25">
      <c r="A1008" s="54"/>
    </row>
    <row r="1009" spans="1:1" x14ac:dyDescent="0.25">
      <c r="A1009" s="54"/>
    </row>
    <row r="1010" spans="1:1" x14ac:dyDescent="0.25">
      <c r="A1010" s="54"/>
    </row>
    <row r="1011" spans="1:1" x14ac:dyDescent="0.25">
      <c r="A1011" s="54"/>
    </row>
    <row r="1012" spans="1:1" x14ac:dyDescent="0.25">
      <c r="A1012" s="54"/>
    </row>
    <row r="1013" spans="1:1" x14ac:dyDescent="0.25">
      <c r="A1013" s="54"/>
    </row>
    <row r="1014" spans="1:1" x14ac:dyDescent="0.25">
      <c r="A1014" s="54"/>
    </row>
    <row r="1015" spans="1:1" x14ac:dyDescent="0.25">
      <c r="A1015" s="54"/>
    </row>
    <row r="1016" spans="1:1" x14ac:dyDescent="0.25">
      <c r="A1016" s="54"/>
    </row>
    <row r="1017" spans="1:1" x14ac:dyDescent="0.25">
      <c r="A1017" s="54"/>
    </row>
    <row r="1018" spans="1:1" x14ac:dyDescent="0.25">
      <c r="A1018" s="54"/>
    </row>
    <row r="1019" spans="1:1" x14ac:dyDescent="0.25">
      <c r="A1019" s="54"/>
    </row>
    <row r="1020" spans="1:1" x14ac:dyDescent="0.25">
      <c r="A1020" s="54"/>
    </row>
    <row r="1025" spans="1:1" x14ac:dyDescent="0.25">
      <c r="A1025" s="54"/>
    </row>
    <row r="1026" spans="1:1" x14ac:dyDescent="0.25">
      <c r="A1026" s="54"/>
    </row>
    <row r="1029" spans="1:1" x14ac:dyDescent="0.25">
      <c r="A1029" s="54"/>
    </row>
    <row r="1031" spans="1:1" x14ac:dyDescent="0.25">
      <c r="A1031" s="54"/>
    </row>
    <row r="1033" spans="1:1" x14ac:dyDescent="0.25">
      <c r="A1033" s="54"/>
    </row>
    <row r="1035" spans="1:1" x14ac:dyDescent="0.25">
      <c r="A1035" s="54"/>
    </row>
    <row r="1038" spans="1:1" x14ac:dyDescent="0.25">
      <c r="A1038" s="54"/>
    </row>
    <row r="1039" spans="1:1" x14ac:dyDescent="0.25">
      <c r="A1039" s="54"/>
    </row>
    <row r="1040" spans="1:1" x14ac:dyDescent="0.25">
      <c r="A1040" s="54"/>
    </row>
    <row r="1041" spans="1:1" x14ac:dyDescent="0.25">
      <c r="A1041" s="54"/>
    </row>
    <row r="1042" spans="1:1" x14ac:dyDescent="0.25">
      <c r="A1042" s="54"/>
    </row>
    <row r="1043" spans="1:1" x14ac:dyDescent="0.25">
      <c r="A1043" s="54"/>
    </row>
    <row r="1044" spans="1:1" x14ac:dyDescent="0.25">
      <c r="A1044" s="54"/>
    </row>
    <row r="1045" spans="1:1" x14ac:dyDescent="0.25">
      <c r="A1045" s="54"/>
    </row>
  </sheetData>
  <pageMargins left="0.75" right="0.75" top="1" bottom="1" header="0.5" footer="0.5"/>
  <pageSetup scale="43" orientation="landscape" r:id="rId1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6" manualBreakCount="16">
    <brk id="124" max="65535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3" transitionEvaluation="1" transitionEntry="1" codeName="Sheet24"/>
  <dimension ref="A1:BX1111"/>
  <sheetViews>
    <sheetView tabSelected="1" view="pageBreakPreview" topLeftCell="A13" zoomScale="60" zoomScaleNormal="75" workbookViewId="0">
      <selection sqref="A1:J1"/>
    </sheetView>
  </sheetViews>
  <sheetFormatPr defaultColWidth="9.77734375" defaultRowHeight="15.75" x14ac:dyDescent="0.25"/>
  <cols>
    <col min="1" max="1" width="4.88671875" style="380" customWidth="1"/>
    <col min="2" max="2" width="0.6640625" style="380" customWidth="1"/>
    <col min="3" max="3" width="7.6640625" style="380" customWidth="1"/>
    <col min="4" max="4" width="43.88671875" style="380" customWidth="1"/>
    <col min="5" max="5" width="0.664062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2.21875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2.77734375" style="380" customWidth="1"/>
    <col min="15" max="15" width="0.5546875" style="380" customWidth="1"/>
    <col min="16" max="16" width="14.77734375" style="380" customWidth="1"/>
    <col min="17" max="17" width="0.5546875" style="380" customWidth="1"/>
    <col min="18" max="18" width="18.21875" style="380" customWidth="1"/>
    <col min="19" max="19" width="6.77734375" style="380" customWidth="1"/>
    <col min="20" max="20" width="5.44140625" style="380" customWidth="1"/>
    <col min="21" max="21" width="0.5546875" style="380" customWidth="1"/>
    <col min="22" max="22" width="7.6640625" style="380" customWidth="1"/>
    <col min="23" max="23" width="43.6640625" style="380" customWidth="1"/>
    <col min="24" max="24" width="0.5546875" style="380" customWidth="1"/>
    <col min="25" max="25" width="9.6640625" style="380" customWidth="1"/>
    <col min="26" max="26" width="0.6640625" style="380" customWidth="1"/>
    <col min="27" max="27" width="13.33203125" style="380" customWidth="1"/>
    <col min="28" max="28" width="0.6640625" style="380" customWidth="1"/>
    <col min="29" max="29" width="12.33203125" style="380" customWidth="1"/>
    <col min="30" max="30" width="0.88671875" style="380" customWidth="1"/>
    <col min="31" max="31" width="12.88671875" style="380" customWidth="1"/>
    <col min="32" max="32" width="0.77734375" style="380" customWidth="1"/>
    <col min="33" max="33" width="13.6640625" style="153" customWidth="1"/>
    <col min="34" max="34" width="0.6640625" style="380" customWidth="1"/>
    <col min="35" max="35" width="14.33203125" style="380" customWidth="1"/>
    <col min="36" max="36" width="0.77734375" style="380" customWidth="1"/>
    <col min="37" max="37" width="14.5546875" style="153" customWidth="1"/>
    <col min="38" max="38" width="0.5546875" style="380" customWidth="1"/>
    <col min="39" max="39" width="12.109375" style="380" customWidth="1"/>
    <col min="40" max="40" width="0.5546875" style="380" customWidth="1"/>
    <col min="41" max="41" width="13.21875" style="380" customWidth="1"/>
    <col min="42" max="42" width="0.6640625" style="380" customWidth="1"/>
    <col min="43" max="43" width="11.21875" style="153" customWidth="1"/>
    <col min="44" max="44" width="14.77734375" style="380" customWidth="1"/>
    <col min="45" max="45" width="4.77734375" style="380" customWidth="1"/>
    <col min="46" max="46" width="5.77734375" style="380" customWidth="1"/>
    <col min="47" max="47" width="10.77734375" style="380" customWidth="1"/>
    <col min="48" max="48" width="11.77734375" style="380" customWidth="1"/>
    <col min="49" max="49" width="12.77734375" style="380" customWidth="1"/>
    <col min="50" max="52" width="15.77734375" style="380" customWidth="1"/>
    <col min="53" max="53" width="12.77734375" style="380" customWidth="1"/>
    <col min="54" max="56" width="15.77734375" style="380" customWidth="1"/>
    <col min="57" max="57" width="12.77734375" style="380" customWidth="1"/>
    <col min="58" max="59" width="9.77734375" style="380"/>
    <col min="60" max="62" width="12.77734375" style="380" customWidth="1"/>
    <col min="63" max="63" width="14.77734375" style="380" customWidth="1"/>
    <col min="64" max="65" width="9.77734375" style="380"/>
    <col min="66" max="68" width="12.77734375" style="380" customWidth="1"/>
    <col min="69" max="69" width="14.77734375" style="380" customWidth="1"/>
    <col min="70" max="76" width="9.77734375" style="380"/>
    <col min="77" max="77" width="1.77734375" style="380" customWidth="1"/>
    <col min="78" max="79" width="9.77734375" style="380"/>
    <col min="80" max="80" width="10.77734375" style="380" customWidth="1"/>
    <col min="81" max="82" width="9.77734375" style="380"/>
    <col min="83" max="83" width="7.77734375" style="380" customWidth="1"/>
    <col min="84" max="16384" width="9.77734375" style="380"/>
  </cols>
  <sheetData>
    <row r="1" spans="1:40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4"/>
      <c r="K1" s="44"/>
      <c r="L1" s="43"/>
      <c r="M1" s="43"/>
      <c r="N1" s="43"/>
      <c r="O1" s="43"/>
      <c r="P1" s="43"/>
      <c r="Q1" s="43"/>
      <c r="R1" s="43"/>
      <c r="Z1" s="53"/>
    </row>
    <row r="2" spans="1:40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4"/>
      <c r="K2" s="44"/>
      <c r="L2" s="43"/>
      <c r="M2" s="43"/>
      <c r="N2" s="43"/>
      <c r="O2" s="43"/>
      <c r="P2" s="43"/>
      <c r="Q2" s="43"/>
      <c r="R2" s="43"/>
      <c r="Z2" s="53"/>
    </row>
    <row r="3" spans="1:40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Y3" s="54"/>
    </row>
    <row r="4" spans="1:4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4"/>
      <c r="K4" s="44"/>
      <c r="L4" s="43"/>
      <c r="M4" s="43"/>
      <c r="N4" s="43"/>
      <c r="O4" s="43"/>
      <c r="P4" s="43"/>
      <c r="Q4" s="43"/>
      <c r="R4" s="43"/>
      <c r="Z4" s="53"/>
    </row>
    <row r="5" spans="1:4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4"/>
      <c r="M5" s="44"/>
      <c r="N5" s="43"/>
      <c r="O5" s="43"/>
      <c r="P5" s="43"/>
      <c r="Q5" s="43"/>
      <c r="R5" s="43"/>
      <c r="AA5" s="54"/>
      <c r="AB5" s="54"/>
    </row>
    <row r="6" spans="1:40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K6" s="161"/>
      <c r="AL6" s="54"/>
    </row>
    <row r="7" spans="1:40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10 OF "&amp;TEXT(Page_Num_2.3,"00")</f>
        <v>PAGE 10 OF 23</v>
      </c>
      <c r="AK7" s="161"/>
      <c r="AL7" s="54"/>
    </row>
    <row r="8" spans="1:40" x14ac:dyDescent="0.25">
      <c r="A8" s="46" t="s">
        <v>177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K8" s="161"/>
      <c r="AL8" s="54"/>
    </row>
    <row r="9" spans="1:40" x14ac:dyDescent="0.25">
      <c r="A9" s="222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45" t="str">
        <f>WIT</f>
        <v>J. L. Kern</v>
      </c>
      <c r="AK9" s="161"/>
      <c r="AL9" s="54"/>
    </row>
    <row r="10" spans="1:40" x14ac:dyDescent="0.25">
      <c r="A10" s="222" t="str">
        <f>INPUT!B5</f>
        <v>6 Months Actual Ending May 31, 2019</v>
      </c>
      <c r="B10" s="378"/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78"/>
      <c r="P10" s="378"/>
      <c r="Q10" s="378"/>
      <c r="R10" s="45"/>
      <c r="AK10" s="161"/>
      <c r="AL10" s="54"/>
    </row>
    <row r="11" spans="1:40" x14ac:dyDescent="0.25">
      <c r="A11" s="44" t="s">
        <v>136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AA11" s="54"/>
      <c r="AB11" s="54"/>
      <c r="AK11" s="156"/>
      <c r="AL11" s="53"/>
    </row>
    <row r="12" spans="1:40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154"/>
      <c r="AH12" s="55"/>
      <c r="AI12" s="55"/>
      <c r="AJ12" s="55"/>
      <c r="AK12" s="154"/>
      <c r="AL12" s="55"/>
      <c r="AM12" s="55"/>
      <c r="AN12" s="55"/>
    </row>
    <row r="13" spans="1:40" ht="18" customHeight="1" x14ac:dyDescent="0.25">
      <c r="A13" s="378"/>
      <c r="B13" s="378"/>
      <c r="C13" s="378"/>
      <c r="D13" s="378"/>
      <c r="E13" s="378"/>
      <c r="F13" s="378"/>
      <c r="G13" s="378"/>
      <c r="H13" s="378"/>
      <c r="I13" s="378"/>
      <c r="J13" s="378"/>
      <c r="K13" s="378"/>
      <c r="L13" s="426" t="s">
        <v>6</v>
      </c>
      <c r="M13" s="426"/>
      <c r="N13" s="426" t="s">
        <v>7</v>
      </c>
      <c r="O13" s="426"/>
      <c r="P13" s="378"/>
      <c r="Q13" s="378"/>
      <c r="R13" s="426" t="s">
        <v>6</v>
      </c>
      <c r="AA13" s="56"/>
      <c r="AB13" s="56"/>
      <c r="AC13" s="56"/>
      <c r="AD13" s="56"/>
      <c r="AE13" s="56"/>
      <c r="AF13" s="56"/>
      <c r="AG13" s="155"/>
      <c r="AH13" s="56"/>
      <c r="AK13" s="155"/>
      <c r="AL13" s="56"/>
      <c r="AM13" s="56"/>
      <c r="AN13" s="56"/>
    </row>
    <row r="14" spans="1:40" x14ac:dyDescent="0.25">
      <c r="A14" s="378"/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426" t="s">
        <v>12</v>
      </c>
      <c r="M14" s="426"/>
      <c r="N14" s="426" t="s">
        <v>13</v>
      </c>
      <c r="O14" s="426"/>
      <c r="P14" s="378"/>
      <c r="Q14" s="378"/>
      <c r="R14" s="426" t="s">
        <v>11</v>
      </c>
      <c r="Z14" s="56"/>
      <c r="AA14" s="56"/>
      <c r="AB14" s="56"/>
      <c r="AC14" s="56"/>
      <c r="AD14" s="56"/>
      <c r="AE14" s="56"/>
      <c r="AF14" s="56"/>
      <c r="AG14" s="155"/>
      <c r="AH14" s="56"/>
      <c r="AK14" s="155"/>
      <c r="AL14" s="56"/>
      <c r="AM14" s="56"/>
      <c r="AN14" s="56"/>
    </row>
    <row r="15" spans="1:40" x14ac:dyDescent="0.25">
      <c r="A15" s="426" t="s">
        <v>17</v>
      </c>
      <c r="B15" s="378"/>
      <c r="C15" s="426" t="s">
        <v>18</v>
      </c>
      <c r="D15" s="426" t="s">
        <v>19</v>
      </c>
      <c r="E15" s="426"/>
      <c r="F15" s="426" t="s">
        <v>20</v>
      </c>
      <c r="G15" s="378"/>
      <c r="H15" s="378"/>
      <c r="I15" s="378"/>
      <c r="J15" s="426" t="s">
        <v>6</v>
      </c>
      <c r="K15" s="426"/>
      <c r="L15" s="426" t="s">
        <v>21</v>
      </c>
      <c r="M15" s="426"/>
      <c r="N15" s="426" t="s">
        <v>21</v>
      </c>
      <c r="O15" s="426"/>
      <c r="P15" s="426" t="s">
        <v>21</v>
      </c>
      <c r="Q15" s="426"/>
      <c r="R15" s="426" t="s">
        <v>9</v>
      </c>
      <c r="T15" s="56"/>
      <c r="U15" s="56"/>
      <c r="V15" s="56"/>
      <c r="Z15" s="56"/>
      <c r="AA15" s="56"/>
      <c r="AB15" s="56"/>
      <c r="AC15" s="56"/>
      <c r="AD15" s="56"/>
      <c r="AE15" s="56"/>
      <c r="AF15" s="56"/>
      <c r="AG15" s="155"/>
      <c r="AH15" s="56"/>
      <c r="AI15" s="56"/>
      <c r="AJ15" s="56"/>
      <c r="AK15" s="155"/>
      <c r="AL15" s="56"/>
      <c r="AM15" s="56"/>
      <c r="AN15" s="56"/>
    </row>
    <row r="16" spans="1:40" x14ac:dyDescent="0.25">
      <c r="A16" s="426" t="s">
        <v>24</v>
      </c>
      <c r="B16" s="378"/>
      <c r="C16" s="426" t="s">
        <v>25</v>
      </c>
      <c r="D16" s="426" t="s">
        <v>26</v>
      </c>
      <c r="E16" s="426"/>
      <c r="F16" s="426" t="s">
        <v>27</v>
      </c>
      <c r="G16" s="378"/>
      <c r="H16" s="426" t="s">
        <v>28</v>
      </c>
      <c r="I16" s="426"/>
      <c r="J16" s="426" t="s">
        <v>29</v>
      </c>
      <c r="K16" s="426"/>
      <c r="L16" s="426" t="s">
        <v>9</v>
      </c>
      <c r="M16" s="426"/>
      <c r="N16" s="426" t="s">
        <v>9</v>
      </c>
      <c r="O16" s="426"/>
      <c r="P16" s="426" t="s">
        <v>426</v>
      </c>
      <c r="Q16" s="426"/>
      <c r="R16" s="265" t="s">
        <v>30</v>
      </c>
      <c r="T16" s="56"/>
      <c r="U16" s="56"/>
      <c r="V16" s="56"/>
      <c r="Y16" s="56"/>
      <c r="Z16" s="56"/>
      <c r="AA16" s="56"/>
      <c r="AB16" s="56"/>
      <c r="AC16" s="56"/>
      <c r="AD16" s="56"/>
      <c r="AE16" s="56"/>
      <c r="AF16" s="56"/>
      <c r="AG16" s="155"/>
      <c r="AH16" s="56"/>
      <c r="AI16" s="56"/>
      <c r="AJ16" s="56"/>
      <c r="AK16" s="155"/>
      <c r="AL16" s="56"/>
      <c r="AM16" s="56"/>
      <c r="AN16" s="56"/>
    </row>
    <row r="17" spans="1:40" x14ac:dyDescent="0.25">
      <c r="A17" s="378"/>
      <c r="B17" s="378"/>
      <c r="C17" s="265" t="s">
        <v>35</v>
      </c>
      <c r="D17" s="265" t="s">
        <v>36</v>
      </c>
      <c r="E17" s="265"/>
      <c r="F17" s="265" t="s">
        <v>37</v>
      </c>
      <c r="G17" s="218"/>
      <c r="H17" s="265" t="s">
        <v>38</v>
      </c>
      <c r="I17" s="265"/>
      <c r="J17" s="265" t="s">
        <v>39</v>
      </c>
      <c r="K17" s="265"/>
      <c r="L17" s="265" t="s">
        <v>40</v>
      </c>
      <c r="M17" s="265"/>
      <c r="N17" s="265" t="s">
        <v>41</v>
      </c>
      <c r="O17" s="265"/>
      <c r="P17" s="265" t="s">
        <v>42</v>
      </c>
      <c r="Q17" s="265"/>
      <c r="R17" s="265" t="s">
        <v>43</v>
      </c>
      <c r="T17" s="56"/>
      <c r="U17" s="56"/>
      <c r="V17" s="56"/>
      <c r="Y17" s="56"/>
      <c r="Z17" s="56"/>
      <c r="AA17" s="56"/>
      <c r="AB17" s="56"/>
      <c r="AC17" s="56"/>
      <c r="AD17" s="56"/>
      <c r="AE17" s="56"/>
      <c r="AF17" s="56"/>
      <c r="AG17" s="155"/>
      <c r="AH17" s="56"/>
      <c r="AI17" s="56"/>
      <c r="AJ17" s="56"/>
      <c r="AK17" s="155"/>
      <c r="AL17" s="56"/>
      <c r="AM17" s="56"/>
      <c r="AN17" s="56"/>
    </row>
    <row r="18" spans="1:40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154"/>
      <c r="AH18" s="55"/>
      <c r="AI18" s="55"/>
      <c r="AJ18" s="55"/>
      <c r="AK18" s="154"/>
      <c r="AL18" s="55"/>
      <c r="AM18" s="55"/>
      <c r="AN18" s="55"/>
    </row>
    <row r="19" spans="1:40" ht="17.100000000000001" customHeight="1" x14ac:dyDescent="0.25">
      <c r="A19" s="378"/>
      <c r="B19" s="378"/>
      <c r="C19" s="378"/>
      <c r="D19" s="378"/>
      <c r="E19" s="378"/>
      <c r="F19" s="378"/>
      <c r="G19" s="378"/>
      <c r="H19" s="442" t="s">
        <v>51</v>
      </c>
      <c r="I19" s="441"/>
      <c r="J19" s="442" t="s">
        <v>368</v>
      </c>
      <c r="K19" s="441"/>
      <c r="L19" s="441" t="s">
        <v>52</v>
      </c>
      <c r="M19" s="441"/>
      <c r="N19" s="441" t="s">
        <v>53</v>
      </c>
      <c r="O19" s="441"/>
      <c r="P19" s="441" t="s">
        <v>52</v>
      </c>
      <c r="Q19" s="441"/>
      <c r="R19" s="441" t="s">
        <v>52</v>
      </c>
      <c r="Y19" s="56"/>
      <c r="Z19" s="56"/>
      <c r="AA19" s="56"/>
      <c r="AB19" s="56"/>
      <c r="AC19" s="56"/>
      <c r="AD19" s="56"/>
      <c r="AE19" s="56"/>
      <c r="AF19" s="56"/>
      <c r="AG19" s="155"/>
      <c r="AH19" s="56"/>
      <c r="AI19" s="56"/>
      <c r="AJ19" s="56"/>
      <c r="AK19" s="155"/>
      <c r="AL19" s="56"/>
      <c r="AM19" s="56"/>
      <c r="AN19" s="56"/>
    </row>
    <row r="20" spans="1:40" x14ac:dyDescent="0.25">
      <c r="A20" s="45">
        <v>1</v>
      </c>
      <c r="B20" s="378"/>
      <c r="C20" s="222" t="s">
        <v>425</v>
      </c>
      <c r="D20" s="222" t="s">
        <v>423</v>
      </c>
      <c r="E20" s="4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T20" s="54"/>
      <c r="U20" s="54"/>
    </row>
    <row r="21" spans="1:40" x14ac:dyDescent="0.25">
      <c r="A21" s="45">
        <v>2</v>
      </c>
      <c r="B21" s="378"/>
      <c r="C21" s="218"/>
      <c r="D21" s="222" t="s">
        <v>139</v>
      </c>
      <c r="E21" s="4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T21" s="54"/>
    </row>
    <row r="22" spans="1:40" ht="19.5" customHeight="1" x14ac:dyDescent="0.25">
      <c r="A22" s="378"/>
      <c r="B22" s="378"/>
      <c r="C22" s="378"/>
      <c r="D22" s="378"/>
      <c r="E22" s="37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40" x14ac:dyDescent="0.25">
      <c r="A23" s="45">
        <v>3</v>
      </c>
      <c r="B23" s="378"/>
      <c r="C23" s="222" t="s">
        <v>140</v>
      </c>
      <c r="D23" s="378"/>
      <c r="E23" s="378"/>
      <c r="F23" s="86"/>
      <c r="G23" s="2"/>
      <c r="H23" s="86"/>
      <c r="I23" s="86"/>
      <c r="J23" s="96"/>
      <c r="K23" s="96"/>
      <c r="L23" s="5"/>
      <c r="M23" s="5"/>
      <c r="N23" s="6"/>
      <c r="O23" s="6"/>
      <c r="P23" s="2"/>
      <c r="Q23" s="2"/>
      <c r="R23" s="5"/>
      <c r="S23" s="379"/>
      <c r="T23" s="54"/>
      <c r="V23" s="379"/>
      <c r="Y23" s="379"/>
      <c r="Z23" s="461"/>
      <c r="AA23" s="379"/>
      <c r="AB23" s="379"/>
      <c r="AC23" s="50"/>
      <c r="AD23" s="50"/>
      <c r="AE23" s="379"/>
      <c r="AF23" s="379"/>
      <c r="AG23" s="156"/>
      <c r="AH23" s="50"/>
      <c r="AI23" s="379"/>
      <c r="AJ23" s="379"/>
      <c r="AK23" s="156"/>
      <c r="AL23" s="379"/>
      <c r="AM23" s="50"/>
      <c r="AN23" s="50"/>
    </row>
    <row r="24" spans="1:40" x14ac:dyDescent="0.25">
      <c r="A24" s="45">
        <v>4</v>
      </c>
      <c r="B24" s="378"/>
      <c r="C24" s="46" t="s">
        <v>367</v>
      </c>
      <c r="D24" s="378"/>
      <c r="E24" s="378"/>
      <c r="F24" s="449">
        <v>24</v>
      </c>
      <c r="G24" s="2"/>
      <c r="H24" s="86"/>
      <c r="I24" s="86"/>
      <c r="J24" s="450">
        <f>INPUT!D153</f>
        <v>183</v>
      </c>
      <c r="K24" s="96"/>
      <c r="L24" s="5">
        <f>ROUND(F24*J24,0)</f>
        <v>4392</v>
      </c>
      <c r="M24" s="5"/>
      <c r="N24" s="88">
        <f>ROUND((L24/$L$39)*100,1)</f>
        <v>5</v>
      </c>
      <c r="O24" s="6"/>
      <c r="P24" s="1"/>
      <c r="Q24" s="1"/>
      <c r="R24" s="5">
        <f>L24+P24</f>
        <v>4392</v>
      </c>
      <c r="S24" s="379"/>
      <c r="V24" s="381"/>
      <c r="Y24" s="379"/>
      <c r="Z24" s="449"/>
      <c r="AA24" s="379"/>
      <c r="AB24" s="379"/>
      <c r="AC24" s="50"/>
      <c r="AD24" s="50"/>
      <c r="AE24" s="379"/>
      <c r="AF24" s="379"/>
      <c r="AI24" s="379"/>
      <c r="AJ24" s="379"/>
      <c r="AK24" s="156"/>
      <c r="AL24" s="379"/>
    </row>
    <row r="25" spans="1:40" ht="20.100000000000001" customHeight="1" x14ac:dyDescent="0.25">
      <c r="A25" s="45">
        <v>5</v>
      </c>
      <c r="B25" s="378"/>
      <c r="C25" s="222" t="s">
        <v>143</v>
      </c>
      <c r="D25" s="378"/>
      <c r="E25" s="378"/>
      <c r="F25" s="83"/>
      <c r="G25" s="2"/>
      <c r="H25" s="5"/>
      <c r="I25" s="5"/>
      <c r="J25" s="502"/>
      <c r="K25" s="446"/>
      <c r="L25" s="90">
        <f>SUM(L24)</f>
        <v>4392</v>
      </c>
      <c r="M25" s="5"/>
      <c r="N25" s="88">
        <f>ROUND((L25/$L$39)*100,1)</f>
        <v>5</v>
      </c>
      <c r="O25" s="6"/>
      <c r="P25" s="90"/>
      <c r="Q25" s="5"/>
      <c r="R25" s="90">
        <f>SUM(R24)</f>
        <v>4392</v>
      </c>
      <c r="S25" s="379"/>
      <c r="T25" s="54"/>
      <c r="V25" s="379"/>
      <c r="Y25" s="379"/>
      <c r="Z25" s="463"/>
      <c r="AA25" s="379"/>
      <c r="AB25" s="379"/>
      <c r="AC25" s="50"/>
      <c r="AD25" s="50"/>
      <c r="AE25" s="379"/>
      <c r="AF25" s="379"/>
      <c r="AG25" s="156"/>
      <c r="AH25" s="50"/>
      <c r="AI25" s="379"/>
      <c r="AJ25" s="379"/>
      <c r="AK25" s="156"/>
      <c r="AL25" s="379"/>
      <c r="AM25" s="50"/>
      <c r="AN25" s="50"/>
    </row>
    <row r="26" spans="1:40" ht="24" customHeight="1" x14ac:dyDescent="0.25">
      <c r="A26" s="378"/>
      <c r="B26" s="378"/>
      <c r="C26" s="378"/>
      <c r="D26" s="378"/>
      <c r="E26" s="378"/>
      <c r="F26" s="5"/>
      <c r="G26" s="2"/>
      <c r="H26" s="5"/>
      <c r="I26" s="5"/>
      <c r="J26" s="502"/>
      <c r="K26" s="446"/>
      <c r="L26" s="5"/>
      <c r="M26" s="5"/>
      <c r="N26" s="5"/>
      <c r="O26" s="5"/>
      <c r="P26" s="5"/>
      <c r="Q26" s="5"/>
      <c r="R26" s="5"/>
      <c r="S26" s="379"/>
      <c r="V26" s="381"/>
      <c r="Y26" s="381"/>
      <c r="Z26" s="464"/>
      <c r="AA26" s="381"/>
      <c r="AB26" s="381"/>
      <c r="AC26" s="381"/>
      <c r="AD26" s="381"/>
      <c r="AE26" s="381"/>
      <c r="AF26" s="381"/>
      <c r="AI26" s="381"/>
      <c r="AJ26" s="381"/>
      <c r="AK26" s="162"/>
      <c r="AL26" s="381"/>
      <c r="AM26" s="50"/>
      <c r="AN26" s="50"/>
    </row>
    <row r="27" spans="1:40" x14ac:dyDescent="0.25">
      <c r="A27" s="45">
        <v>6</v>
      </c>
      <c r="B27" s="378"/>
      <c r="C27" s="222" t="s">
        <v>69</v>
      </c>
      <c r="D27" s="378"/>
      <c r="E27" s="378"/>
      <c r="F27" s="86"/>
      <c r="G27" s="2"/>
      <c r="H27" s="86"/>
      <c r="I27" s="86"/>
      <c r="J27" s="504"/>
      <c r="K27" s="454"/>
      <c r="L27" s="5"/>
      <c r="M27" s="5"/>
      <c r="N27" s="6"/>
      <c r="O27" s="6"/>
      <c r="P27" s="94"/>
      <c r="Q27" s="86"/>
      <c r="R27" s="5"/>
      <c r="S27" s="379"/>
      <c r="T27" s="54"/>
      <c r="V27" s="379"/>
      <c r="Y27" s="379"/>
      <c r="Z27" s="464"/>
      <c r="AA27" s="379"/>
      <c r="AB27" s="379"/>
      <c r="AC27" s="50"/>
      <c r="AD27" s="50"/>
      <c r="AE27" s="379"/>
      <c r="AF27" s="379"/>
      <c r="AG27" s="156"/>
      <c r="AH27" s="50"/>
      <c r="AI27" s="379"/>
      <c r="AJ27" s="379"/>
      <c r="AK27" s="156"/>
      <c r="AL27" s="379"/>
      <c r="AM27" s="50"/>
      <c r="AN27" s="50"/>
    </row>
    <row r="28" spans="1:40" x14ac:dyDescent="0.25">
      <c r="A28" s="45">
        <v>7</v>
      </c>
      <c r="B28" s="378"/>
      <c r="C28" s="46" t="s">
        <v>443</v>
      </c>
      <c r="D28" s="378"/>
      <c r="E28" s="378"/>
      <c r="F28" s="94"/>
      <c r="G28" s="2"/>
      <c r="H28" s="392">
        <v>1569705</v>
      </c>
      <c r="I28" s="86"/>
      <c r="J28" s="457">
        <f>INPUT!D155</f>
        <v>1.8391000000000001E-2</v>
      </c>
      <c r="K28" s="454"/>
      <c r="L28" s="5">
        <f>ROUND((H28*J28),0)</f>
        <v>28868</v>
      </c>
      <c r="M28" s="5"/>
      <c r="N28" s="91">
        <f>ROUND((L28/$L$39)*100,1)</f>
        <v>32.799999999999997</v>
      </c>
      <c r="O28" s="91"/>
      <c r="P28" s="83"/>
      <c r="Q28" s="86"/>
      <c r="R28" s="5">
        <f>L28+P28</f>
        <v>28868</v>
      </c>
      <c r="S28" s="379"/>
      <c r="T28" s="54"/>
      <c r="Z28" s="464"/>
      <c r="AA28" s="379"/>
      <c r="AB28" s="379"/>
      <c r="AC28" s="50"/>
      <c r="AD28" s="50"/>
      <c r="AE28" s="379"/>
      <c r="AF28" s="379"/>
      <c r="AG28" s="156"/>
      <c r="AH28" s="50"/>
      <c r="AI28" s="379"/>
      <c r="AJ28" s="379"/>
      <c r="AK28" s="156"/>
      <c r="AL28" s="379"/>
      <c r="AM28" s="50"/>
      <c r="AN28" s="50"/>
    </row>
    <row r="29" spans="1:40" x14ac:dyDescent="0.25">
      <c r="A29" s="45">
        <v>8</v>
      </c>
      <c r="B29" s="378"/>
      <c r="C29" s="46" t="s">
        <v>431</v>
      </c>
      <c r="D29" s="378"/>
      <c r="E29" s="378"/>
      <c r="F29" s="94"/>
      <c r="G29" s="2"/>
      <c r="H29" s="86">
        <f>H28</f>
        <v>1569705</v>
      </c>
      <c r="I29" s="86"/>
      <c r="J29" s="457">
        <f>INPUT!D160</f>
        <v>2.9462000000000002E-2</v>
      </c>
      <c r="K29" s="454"/>
      <c r="L29" s="5">
        <f>ROUND((H29*J29),0)</f>
        <v>46247</v>
      </c>
      <c r="M29" s="5"/>
      <c r="N29" s="88">
        <f>ROUND((L29/$L$39)*100,1)</f>
        <v>52.5</v>
      </c>
      <c r="O29" s="91"/>
      <c r="P29" s="486">
        <v>0</v>
      </c>
      <c r="Q29" s="86"/>
      <c r="R29" s="5">
        <f>L29+P29</f>
        <v>46247</v>
      </c>
      <c r="S29" s="379"/>
      <c r="T29" s="54"/>
      <c r="Z29" s="464"/>
      <c r="AA29" s="379"/>
      <c r="AB29" s="379"/>
      <c r="AC29" s="50"/>
      <c r="AD29" s="50"/>
      <c r="AE29" s="379"/>
      <c r="AF29" s="379"/>
      <c r="AG29" s="156"/>
      <c r="AH29" s="50"/>
      <c r="AI29" s="379"/>
      <c r="AJ29" s="379"/>
      <c r="AK29" s="156"/>
      <c r="AL29" s="379"/>
      <c r="AM29" s="50"/>
      <c r="AN29" s="50"/>
    </row>
    <row r="30" spans="1:40" ht="20.100000000000001" customHeight="1" x14ac:dyDescent="0.25">
      <c r="A30" s="45">
        <v>9</v>
      </c>
      <c r="B30" s="378"/>
      <c r="C30" s="222" t="s">
        <v>149</v>
      </c>
      <c r="D30" s="378"/>
      <c r="E30" s="378"/>
      <c r="F30" s="81"/>
      <c r="G30" s="2"/>
      <c r="H30" s="90">
        <f>H28</f>
        <v>1569705</v>
      </c>
      <c r="I30" s="5"/>
      <c r="J30" s="267"/>
      <c r="K30" s="9"/>
      <c r="L30" s="90">
        <f>SUM(L28:L29)</f>
        <v>75115</v>
      </c>
      <c r="M30" s="5"/>
      <c r="N30" s="88">
        <f>ROUND((L30/$L$39)*100,1)</f>
        <v>85.3</v>
      </c>
      <c r="O30" s="6"/>
      <c r="P30" s="81">
        <f>P29</f>
        <v>0</v>
      </c>
      <c r="Q30" s="5"/>
      <c r="R30" s="90">
        <f>SUM(R28:R29)</f>
        <v>75115</v>
      </c>
      <c r="S30" s="379"/>
      <c r="T30" s="54"/>
      <c r="AA30" s="379"/>
      <c r="AB30" s="379"/>
      <c r="AC30" s="379"/>
      <c r="AD30" s="379"/>
      <c r="AI30" s="379"/>
      <c r="AJ30" s="379"/>
      <c r="AK30" s="156"/>
      <c r="AL30" s="379"/>
    </row>
    <row r="31" spans="1:40" ht="20.100000000000001" customHeight="1" x14ac:dyDescent="0.25">
      <c r="A31" s="45">
        <v>10</v>
      </c>
      <c r="B31" s="378"/>
      <c r="C31" s="444" t="s">
        <v>531</v>
      </c>
      <c r="D31" s="378"/>
      <c r="E31" s="378"/>
      <c r="F31" s="90">
        <f>F24</f>
        <v>24</v>
      </c>
      <c r="G31" s="2"/>
      <c r="H31" s="90">
        <f>H30</f>
        <v>1569705</v>
      </c>
      <c r="I31" s="5"/>
      <c r="J31" s="267"/>
      <c r="K31" s="9"/>
      <c r="L31" s="90">
        <f>L30+L25</f>
        <v>79507</v>
      </c>
      <c r="M31" s="5"/>
      <c r="N31" s="93">
        <f>ROUND((L31/$L$39)*100,1)</f>
        <v>90.3</v>
      </c>
      <c r="O31" s="6"/>
      <c r="P31" s="90">
        <f>P30+P25</f>
        <v>0</v>
      </c>
      <c r="Q31" s="5"/>
      <c r="R31" s="90">
        <f>R30+R25</f>
        <v>79507</v>
      </c>
      <c r="S31" s="379"/>
      <c r="T31" s="54"/>
      <c r="AA31" s="379"/>
      <c r="AB31" s="379"/>
      <c r="AC31" s="379"/>
      <c r="AD31" s="379"/>
      <c r="AI31" s="379"/>
      <c r="AJ31" s="379"/>
      <c r="AK31" s="156"/>
      <c r="AL31" s="379"/>
    </row>
    <row r="32" spans="1:40" ht="15.75" customHeight="1" x14ac:dyDescent="0.25">
      <c r="A32" s="45"/>
      <c r="B32" s="378"/>
      <c r="C32" s="46"/>
      <c r="D32" s="378"/>
      <c r="E32" s="378"/>
      <c r="F32" s="83"/>
      <c r="G32" s="2"/>
      <c r="H32" s="83"/>
      <c r="I32" s="5"/>
      <c r="J32" s="267"/>
      <c r="K32" s="9"/>
      <c r="L32" s="83"/>
      <c r="M32" s="5"/>
      <c r="N32" s="91"/>
      <c r="O32" s="6"/>
      <c r="P32" s="83"/>
      <c r="Q32" s="5"/>
      <c r="R32" s="83"/>
      <c r="S32" s="379"/>
      <c r="T32" s="54"/>
      <c r="AA32" s="379"/>
      <c r="AB32" s="379"/>
      <c r="AC32" s="379"/>
      <c r="AD32" s="379"/>
      <c r="AI32" s="379"/>
      <c r="AJ32" s="379"/>
      <c r="AK32" s="156"/>
      <c r="AL32" s="379"/>
    </row>
    <row r="33" spans="1:46" ht="15.75" customHeight="1" x14ac:dyDescent="0.25">
      <c r="A33" s="45">
        <v>11</v>
      </c>
      <c r="B33" s="378"/>
      <c r="C33" s="222" t="s">
        <v>504</v>
      </c>
      <c r="D33" s="378"/>
      <c r="E33" s="378"/>
      <c r="F33" s="83"/>
      <c r="G33" s="2"/>
      <c r="H33" s="83"/>
      <c r="I33" s="5"/>
      <c r="J33" s="267"/>
      <c r="K33" s="9"/>
      <c r="L33" s="83"/>
      <c r="M33" s="5"/>
      <c r="N33" s="91"/>
      <c r="O33" s="6"/>
      <c r="P33" s="83"/>
      <c r="Q33" s="5"/>
      <c r="R33" s="83"/>
      <c r="S33" s="379"/>
      <c r="T33" s="54"/>
      <c r="AA33" s="379"/>
      <c r="AB33" s="379"/>
      <c r="AC33" s="379"/>
      <c r="AD33" s="379"/>
      <c r="AI33" s="379"/>
      <c r="AJ33" s="379"/>
      <c r="AK33" s="156"/>
      <c r="AL33" s="379"/>
    </row>
    <row r="34" spans="1:46" ht="15.75" customHeight="1" x14ac:dyDescent="0.25">
      <c r="A34" s="45">
        <v>12</v>
      </c>
      <c r="B34" s="378"/>
      <c r="C34" s="216" t="str">
        <f>DSMR_Name</f>
        <v>DEMAND SIDE MANAGEMENT RIDER (DSMR)</v>
      </c>
      <c r="D34" s="378"/>
      <c r="E34" s="378"/>
      <c r="F34" s="83"/>
      <c r="G34" s="2"/>
      <c r="H34" s="83"/>
      <c r="I34" s="5"/>
      <c r="J34" s="457">
        <f>PRO_DSM_DIST</f>
        <v>5.091E-3</v>
      </c>
      <c r="K34" s="9"/>
      <c r="L34" s="83">
        <f>ROUND(H31*PRO_DSM_DIST,0)</f>
        <v>7991</v>
      </c>
      <c r="M34" s="383">
        <f>ROUND((K34/$L$39)*100,1)</f>
        <v>0</v>
      </c>
      <c r="N34" s="6">
        <f>ROUND((L34/$L$39)*100,1)</f>
        <v>9.1</v>
      </c>
      <c r="O34" s="83"/>
      <c r="P34" s="5"/>
      <c r="Q34" s="5">
        <f t="shared" ref="Q34" si="0">K34+O34</f>
        <v>0</v>
      </c>
      <c r="R34" s="5">
        <f t="shared" ref="R34:R36" si="1">L34+P34</f>
        <v>7991</v>
      </c>
      <c r="S34" s="379"/>
      <c r="T34" s="54"/>
      <c r="AA34" s="379"/>
      <c r="AB34" s="379"/>
      <c r="AC34" s="379"/>
      <c r="AD34" s="379"/>
      <c r="AI34" s="379"/>
      <c r="AJ34" s="379"/>
      <c r="AK34" s="156"/>
      <c r="AL34" s="379"/>
    </row>
    <row r="35" spans="1:46" ht="15.75" customHeight="1" x14ac:dyDescent="0.25">
      <c r="A35" s="45">
        <v>13</v>
      </c>
      <c r="B35" s="378"/>
      <c r="C35" s="216" t="str">
        <f>ESM_Name</f>
        <v>ENVIRONMENTAL SURCHARGE MECHANISM RIDER (ESM)</v>
      </c>
      <c r="D35" s="378"/>
      <c r="E35" s="378"/>
      <c r="F35" s="83"/>
      <c r="G35" s="2"/>
      <c r="H35" s="83"/>
      <c r="I35" s="5"/>
      <c r="J35" s="457"/>
      <c r="K35" s="9"/>
      <c r="L35" s="83">
        <f>AE79</f>
        <v>798</v>
      </c>
      <c r="M35" s="5"/>
      <c r="N35" s="383">
        <f>ROUND((L35/$L$39)*100,1)</f>
        <v>0.9</v>
      </c>
      <c r="O35" s="6"/>
      <c r="P35" s="83"/>
      <c r="Q35" s="5"/>
      <c r="R35" s="5">
        <f t="shared" si="1"/>
        <v>798</v>
      </c>
      <c r="S35" s="379"/>
      <c r="T35" s="54"/>
      <c r="AA35" s="379"/>
      <c r="AB35" s="379"/>
      <c r="AC35" s="379"/>
      <c r="AD35" s="379"/>
      <c r="AI35" s="379"/>
      <c r="AJ35" s="379"/>
      <c r="AK35" s="156"/>
      <c r="AL35" s="379"/>
    </row>
    <row r="36" spans="1:46" ht="15.75" customHeight="1" x14ac:dyDescent="0.25">
      <c r="A36" s="45">
        <v>14</v>
      </c>
      <c r="B36" s="378"/>
      <c r="C36" s="216" t="str">
        <f>PSM_Name</f>
        <v>PROFIT SHARING MECHANISM (PSM)</v>
      </c>
      <c r="D36" s="378"/>
      <c r="E36" s="378"/>
      <c r="F36" s="83"/>
      <c r="G36" s="2"/>
      <c r="H36" s="83"/>
      <c r="I36" s="5"/>
      <c r="J36" s="457">
        <f>PRO_PSM</f>
        <v>-1.63E-4</v>
      </c>
      <c r="K36" s="9"/>
      <c r="L36" s="83">
        <f>ROUND(H31*PRO_PSM,0)</f>
        <v>-256</v>
      </c>
      <c r="M36" s="5"/>
      <c r="N36" s="148">
        <f>ROUND((L36/$L$39)*100,1)</f>
        <v>-0.3</v>
      </c>
      <c r="O36" s="6"/>
      <c r="P36" s="81"/>
      <c r="Q36" s="5"/>
      <c r="R36" s="81">
        <f t="shared" si="1"/>
        <v>-256</v>
      </c>
      <c r="S36" s="379"/>
      <c r="T36" s="54"/>
      <c r="AA36" s="379"/>
      <c r="AB36" s="379"/>
      <c r="AC36" s="379"/>
      <c r="AD36" s="379"/>
      <c r="AI36" s="379"/>
      <c r="AJ36" s="379"/>
      <c r="AK36" s="156"/>
      <c r="AL36" s="379"/>
    </row>
    <row r="37" spans="1:46" ht="20.100000000000001" customHeight="1" x14ac:dyDescent="0.25">
      <c r="A37" s="45">
        <v>15</v>
      </c>
      <c r="B37" s="378"/>
      <c r="C37" s="222" t="s">
        <v>510</v>
      </c>
      <c r="D37" s="378"/>
      <c r="E37" s="378"/>
      <c r="F37" s="81"/>
      <c r="G37" s="2"/>
      <c r="H37" s="81"/>
      <c r="I37" s="5"/>
      <c r="J37" s="9"/>
      <c r="K37" s="9"/>
      <c r="L37" s="90">
        <f>SUM(L34:L36)</f>
        <v>8533</v>
      </c>
      <c r="M37" s="5"/>
      <c r="N37" s="150">
        <f>ROUND((L37/$L$39)*100,1)</f>
        <v>9.6999999999999993</v>
      </c>
      <c r="O37" s="6"/>
      <c r="P37" s="90">
        <f>SUM(P34:P36)</f>
        <v>0</v>
      </c>
      <c r="Q37" s="5"/>
      <c r="R37" s="90">
        <f>SUM(R34:R36)</f>
        <v>8533</v>
      </c>
      <c r="S37" s="379"/>
      <c r="T37" s="54"/>
      <c r="AA37" s="379"/>
      <c r="AB37" s="379"/>
      <c r="AC37" s="379"/>
      <c r="AD37" s="379"/>
      <c r="AI37" s="379"/>
      <c r="AJ37" s="379"/>
      <c r="AK37" s="156"/>
      <c r="AL37" s="379"/>
    </row>
    <row r="38" spans="1:46" ht="15.75" customHeight="1" x14ac:dyDescent="0.25">
      <c r="A38" s="45"/>
      <c r="B38" s="378"/>
      <c r="C38" s="222"/>
      <c r="D38" s="378"/>
      <c r="E38" s="378"/>
      <c r="F38" s="83"/>
      <c r="G38" s="2"/>
      <c r="H38" s="83"/>
      <c r="I38" s="5"/>
      <c r="J38" s="9"/>
      <c r="K38" s="9"/>
      <c r="L38" s="83"/>
      <c r="M38" s="5"/>
      <c r="N38" s="91"/>
      <c r="O38" s="6"/>
      <c r="P38" s="83"/>
      <c r="Q38" s="5"/>
      <c r="R38" s="83"/>
      <c r="S38" s="379"/>
      <c r="T38" s="54"/>
      <c r="AA38" s="379"/>
      <c r="AB38" s="379"/>
      <c r="AC38" s="379"/>
      <c r="AD38" s="379"/>
      <c r="AI38" s="379"/>
      <c r="AJ38" s="379"/>
      <c r="AK38" s="156"/>
      <c r="AL38" s="379"/>
    </row>
    <row r="39" spans="1:46" ht="20.100000000000001" customHeight="1" thickBot="1" x14ac:dyDescent="0.3">
      <c r="A39" s="45">
        <v>16</v>
      </c>
      <c r="B39" s="378"/>
      <c r="C39" s="444" t="s">
        <v>532</v>
      </c>
      <c r="D39" s="378"/>
      <c r="E39" s="378"/>
      <c r="F39" s="82">
        <f>F31</f>
        <v>24</v>
      </c>
      <c r="G39" s="2"/>
      <c r="H39" s="82">
        <f>H31</f>
        <v>1569705</v>
      </c>
      <c r="I39" s="5"/>
      <c r="J39" s="9"/>
      <c r="K39" s="9"/>
      <c r="L39" s="82">
        <f>L37+L31</f>
        <v>88040</v>
      </c>
      <c r="M39" s="5"/>
      <c r="N39" s="92">
        <v>100</v>
      </c>
      <c r="O39" s="6"/>
      <c r="P39" s="82">
        <f>P37+P31</f>
        <v>0</v>
      </c>
      <c r="Q39" s="5"/>
      <c r="R39" s="82">
        <f>R37+R31</f>
        <v>88040</v>
      </c>
      <c r="Y39" s="54"/>
    </row>
    <row r="40" spans="1:46" ht="16.5" thickTop="1" x14ac:dyDescent="0.25">
      <c r="A40" s="378"/>
      <c r="B40" s="378"/>
      <c r="C40" s="378"/>
      <c r="D40" s="378"/>
      <c r="E40" s="378"/>
      <c r="F40" s="5"/>
      <c r="G40" s="2"/>
      <c r="H40" s="5"/>
      <c r="I40" s="5"/>
      <c r="J40" s="9"/>
      <c r="K40" s="9"/>
      <c r="L40" s="5"/>
      <c r="M40" s="5"/>
      <c r="N40" s="5"/>
      <c r="O40" s="5"/>
      <c r="P40" s="5"/>
      <c r="Q40" s="5"/>
      <c r="R40" s="5"/>
      <c r="AA40" s="54"/>
      <c r="AB40" s="54"/>
    </row>
    <row r="41" spans="1:46" x14ac:dyDescent="0.25">
      <c r="A41" s="378"/>
      <c r="B41" s="378"/>
      <c r="C41" s="243" t="s">
        <v>61</v>
      </c>
      <c r="D41" s="378"/>
      <c r="E41" s="378"/>
      <c r="F41" s="48"/>
      <c r="G41" s="378"/>
      <c r="H41" s="48"/>
      <c r="I41" s="48"/>
      <c r="J41" s="51"/>
      <c r="K41" s="51"/>
      <c r="L41" s="48"/>
      <c r="M41" s="48"/>
      <c r="N41" s="48"/>
      <c r="O41" s="48"/>
      <c r="P41" s="48"/>
      <c r="Q41" s="48"/>
      <c r="R41" s="48"/>
      <c r="AK41" s="161"/>
      <c r="AL41" s="54"/>
    </row>
    <row r="42" spans="1:46" x14ac:dyDescent="0.25">
      <c r="A42" s="53"/>
      <c r="C42" s="46"/>
      <c r="H42" s="382"/>
      <c r="R42" s="54"/>
      <c r="T42" s="378"/>
      <c r="U42" s="378"/>
      <c r="V42" s="378"/>
      <c r="W42" s="378"/>
      <c r="X42" s="378"/>
      <c r="Y42" s="378"/>
      <c r="Z42" s="378"/>
      <c r="AA42" s="378"/>
      <c r="AB42" s="378"/>
      <c r="AC42" s="378"/>
      <c r="AD42" s="378"/>
      <c r="AE42" s="378"/>
      <c r="AF42" s="378"/>
      <c r="AG42" s="143"/>
      <c r="AH42" s="378"/>
      <c r="AI42" s="378"/>
      <c r="AJ42" s="378"/>
      <c r="AK42" s="143"/>
      <c r="AL42" s="378"/>
      <c r="AM42" s="378"/>
      <c r="AN42" s="378"/>
      <c r="AO42" s="378"/>
      <c r="AP42" s="378"/>
      <c r="AQ42" s="143"/>
      <c r="AR42" s="378"/>
      <c r="AS42" s="378"/>
      <c r="AT42" s="378"/>
    </row>
    <row r="43" spans="1:46" x14ac:dyDescent="0.25">
      <c r="A43" s="54"/>
      <c r="R43" s="54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143"/>
      <c r="AH43" s="378"/>
      <c r="AI43" s="378"/>
      <c r="AJ43" s="378"/>
      <c r="AK43" s="143"/>
      <c r="AL43" s="378"/>
      <c r="AM43" s="378"/>
      <c r="AN43" s="378"/>
      <c r="AO43" s="378"/>
      <c r="AP43" s="378"/>
      <c r="AQ43" s="143"/>
      <c r="AR43" s="378"/>
      <c r="AS43" s="378"/>
      <c r="AT43" s="378"/>
    </row>
    <row r="44" spans="1:46" x14ac:dyDescent="0.25">
      <c r="L44" s="54"/>
      <c r="M44" s="54"/>
      <c r="R44" s="53"/>
      <c r="T44" s="378"/>
      <c r="U44" s="378"/>
      <c r="V44" s="378"/>
      <c r="W44" s="378"/>
      <c r="X44" s="378"/>
      <c r="Y44" s="378"/>
      <c r="Z44" s="378"/>
      <c r="AA44" s="378"/>
      <c r="AB44" s="378"/>
      <c r="AC44" s="378"/>
      <c r="AD44" s="378"/>
      <c r="AE44" s="378"/>
      <c r="AF44" s="378"/>
      <c r="AG44" s="143"/>
      <c r="AH44" s="378"/>
      <c r="AI44" s="378"/>
      <c r="AJ44" s="378"/>
      <c r="AK44" s="143"/>
      <c r="AL44" s="378"/>
      <c r="AM44" s="378"/>
      <c r="AN44" s="378"/>
      <c r="AO44" s="378"/>
      <c r="AP44" s="378"/>
      <c r="AQ44" s="143"/>
      <c r="AR44" s="378"/>
      <c r="AS44" s="378"/>
      <c r="AT44" s="378"/>
    </row>
    <row r="45" spans="1:46" x14ac:dyDescent="0.25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T45" s="43" t="str">
        <f>NAME</f>
        <v>DUKE ENERGY KENTUCKY, INC.</v>
      </c>
      <c r="U45" s="43"/>
      <c r="V45" s="43"/>
      <c r="W45" s="43"/>
      <c r="X45" s="43"/>
      <c r="Y45" s="43"/>
      <c r="Z45" s="43"/>
      <c r="AA45" s="43"/>
      <c r="AB45" s="43"/>
      <c r="AC45" s="44"/>
      <c r="AD45" s="44"/>
      <c r="AE45" s="43"/>
      <c r="AF45" s="57"/>
      <c r="AG45" s="144"/>
      <c r="AH45" s="57"/>
      <c r="AI45" s="43"/>
      <c r="AJ45" s="43"/>
      <c r="AK45" s="144"/>
      <c r="AL45" s="43"/>
      <c r="AM45" s="43"/>
      <c r="AN45" s="57"/>
      <c r="AO45" s="43"/>
      <c r="AP45" s="43"/>
      <c r="AQ45" s="144"/>
    </row>
    <row r="46" spans="1:46" x14ac:dyDescent="0.25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T46" s="43" t="str">
        <f>CASE_NO</f>
        <v>CASE NO.   2019-000271</v>
      </c>
      <c r="U46" s="43"/>
      <c r="V46" s="43"/>
      <c r="W46" s="43"/>
      <c r="X46" s="43"/>
      <c r="Y46" s="43"/>
      <c r="Z46" s="43"/>
      <c r="AA46" s="43"/>
      <c r="AB46" s="43"/>
      <c r="AC46" s="44"/>
      <c r="AD46" s="44"/>
      <c r="AE46" s="43"/>
      <c r="AF46" s="57"/>
      <c r="AG46" s="144"/>
      <c r="AH46" s="57"/>
      <c r="AI46" s="43"/>
      <c r="AJ46" s="43"/>
      <c r="AK46" s="144"/>
      <c r="AL46" s="43"/>
      <c r="AM46" s="43"/>
      <c r="AN46" s="57"/>
      <c r="AO46" s="43"/>
      <c r="AP46" s="43"/>
      <c r="AQ46" s="144"/>
    </row>
    <row r="47" spans="1:46" x14ac:dyDescent="0.25">
      <c r="L47" s="56"/>
      <c r="M47" s="56"/>
      <c r="N47" s="56"/>
      <c r="O47" s="56"/>
      <c r="R47" s="56"/>
      <c r="T47" s="44" t="str">
        <f>TITLE</f>
        <v>ANNUALIZED BASE YEAR REVENUES AT PROPOSED VS. MOST CURRENT RATES</v>
      </c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57"/>
      <c r="AG47" s="144"/>
      <c r="AH47" s="57"/>
      <c r="AI47" s="43"/>
      <c r="AJ47" s="43"/>
      <c r="AK47" s="144"/>
      <c r="AL47" s="43"/>
      <c r="AM47" s="43"/>
      <c r="AN47" s="57"/>
      <c r="AO47" s="43"/>
      <c r="AP47" s="43"/>
      <c r="AQ47" s="144"/>
    </row>
    <row r="48" spans="1:46" x14ac:dyDescent="0.25">
      <c r="L48" s="56"/>
      <c r="M48" s="56"/>
      <c r="N48" s="56"/>
      <c r="O48" s="56"/>
      <c r="R48" s="56"/>
      <c r="T48" s="43" t="str">
        <f>DATE</f>
        <v>FOR THE TWELVE MONTHS ENDED November 30, 2019</v>
      </c>
      <c r="U48" s="43"/>
      <c r="V48" s="43"/>
      <c r="W48" s="43"/>
      <c r="X48" s="43"/>
      <c r="Y48" s="43"/>
      <c r="Z48" s="43"/>
      <c r="AA48" s="43"/>
      <c r="AB48" s="43"/>
      <c r="AC48" s="44"/>
      <c r="AD48" s="44"/>
      <c r="AE48" s="43"/>
      <c r="AF48" s="57"/>
      <c r="AG48" s="144"/>
      <c r="AH48" s="57"/>
      <c r="AI48" s="43"/>
      <c r="AJ48" s="43"/>
      <c r="AK48" s="144"/>
      <c r="AL48" s="43"/>
      <c r="AM48" s="43"/>
      <c r="AN48" s="57"/>
      <c r="AO48" s="43"/>
      <c r="AP48" s="43"/>
      <c r="AQ48" s="144"/>
    </row>
    <row r="49" spans="1:47" x14ac:dyDescent="0.25">
      <c r="A49" s="56"/>
      <c r="C49" s="56"/>
      <c r="D49" s="56"/>
      <c r="E49" s="56"/>
      <c r="F49" s="56"/>
      <c r="J49" s="56"/>
      <c r="K49" s="56"/>
      <c r="L49" s="56"/>
      <c r="M49" s="56"/>
      <c r="N49" s="56"/>
      <c r="O49" s="56"/>
      <c r="P49" s="56"/>
      <c r="Q49" s="56"/>
      <c r="R49" s="56"/>
      <c r="T49" s="43" t="str">
        <f>SERVICE</f>
        <v>(ELECTRIC SERVICE)</v>
      </c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4"/>
      <c r="AF49" s="58"/>
      <c r="AG49" s="144"/>
      <c r="AH49" s="57"/>
      <c r="AI49" s="43"/>
      <c r="AJ49" s="43"/>
      <c r="AK49" s="144"/>
      <c r="AL49" s="43"/>
      <c r="AM49" s="43"/>
      <c r="AN49" s="57"/>
      <c r="AO49" s="43"/>
      <c r="AP49" s="43"/>
      <c r="AQ49" s="144"/>
    </row>
    <row r="50" spans="1:47" x14ac:dyDescent="0.25">
      <c r="A50" s="56"/>
      <c r="C50" s="56"/>
      <c r="D50" s="56"/>
      <c r="E50" s="56"/>
      <c r="F50" s="56"/>
      <c r="J50" s="56"/>
      <c r="K50" s="56"/>
      <c r="L50" s="56"/>
      <c r="M50" s="56"/>
      <c r="N50" s="56"/>
      <c r="O50" s="56"/>
      <c r="P50" s="56"/>
      <c r="Q50" s="56"/>
      <c r="R50" s="56"/>
      <c r="T50" s="45" t="str">
        <f>DATA_PERIOD</f>
        <v>DATA: __X__ BASE PERIOD   ____FORECASTED PERIOD</v>
      </c>
      <c r="U50" s="378"/>
      <c r="V50" s="378"/>
      <c r="W50" s="378"/>
      <c r="X50" s="378"/>
      <c r="Y50" s="378"/>
      <c r="Z50" s="378"/>
      <c r="AA50" s="378"/>
      <c r="AB50" s="378"/>
      <c r="AC50" s="378"/>
      <c r="AD50" s="378"/>
      <c r="AE50" s="378"/>
      <c r="AG50" s="143"/>
      <c r="AI50" s="378"/>
      <c r="AJ50" s="378"/>
      <c r="AK50" s="143"/>
      <c r="AL50" s="378"/>
      <c r="AM50" s="378"/>
      <c r="AO50" s="46" t="s">
        <v>164</v>
      </c>
      <c r="AP50" s="46"/>
      <c r="AQ50" s="143"/>
    </row>
    <row r="51" spans="1:47" x14ac:dyDescent="0.25">
      <c r="A51" s="56"/>
      <c r="C51" s="56"/>
      <c r="D51" s="56"/>
      <c r="E51" s="56"/>
      <c r="F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T51" s="45" t="str">
        <f>TYPE</f>
        <v>TYPE OF FILING: _X_ ORIGINAL   ___UPDATED  ___ REVISED</v>
      </c>
      <c r="U51" s="378"/>
      <c r="V51" s="378"/>
      <c r="W51" s="378"/>
      <c r="X51" s="378"/>
      <c r="Y51" s="378"/>
      <c r="Z51" s="378"/>
      <c r="AA51" s="378"/>
      <c r="AB51" s="378"/>
      <c r="AC51" s="378"/>
      <c r="AD51" s="378"/>
      <c r="AE51" s="378"/>
      <c r="AG51" s="143"/>
      <c r="AI51" s="378"/>
      <c r="AJ51" s="378"/>
      <c r="AK51" s="143"/>
      <c r="AL51" s="378"/>
      <c r="AM51" s="378"/>
      <c r="AO51" s="52" t="str">
        <f>"PAGE 10 OF "&amp;TEXT(Page_Num_2.2,"00")</f>
        <v>PAGE 10 OF 22</v>
      </c>
      <c r="AP51" s="46"/>
      <c r="AQ51" s="143"/>
    </row>
    <row r="52" spans="1:47" x14ac:dyDescent="0.25">
      <c r="C52" s="56"/>
      <c r="D52" s="56"/>
      <c r="E52" s="56"/>
      <c r="F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T52" s="46" t="s">
        <v>177</v>
      </c>
      <c r="U52" s="378"/>
      <c r="V52" s="378"/>
      <c r="W52" s="378"/>
      <c r="X52" s="378"/>
      <c r="Y52" s="378"/>
      <c r="Z52" s="378"/>
      <c r="AA52" s="378"/>
      <c r="AB52" s="378"/>
      <c r="AC52" s="378"/>
      <c r="AD52" s="378"/>
      <c r="AE52" s="378"/>
      <c r="AG52" s="143"/>
      <c r="AI52" s="378"/>
      <c r="AJ52" s="378"/>
      <c r="AK52" s="143"/>
      <c r="AL52" s="378"/>
      <c r="AM52" s="378"/>
      <c r="AO52" s="46" t="s">
        <v>3</v>
      </c>
      <c r="AP52" s="46"/>
      <c r="AQ52" s="143"/>
    </row>
    <row r="53" spans="1:47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T53" s="222" t="str">
        <f>TIME</f>
        <v>6 Months Actual and 6 Months Projected with Riders</v>
      </c>
      <c r="U53" s="378"/>
      <c r="V53" s="378"/>
      <c r="W53" s="378"/>
      <c r="X53" s="378"/>
      <c r="Y53" s="378"/>
      <c r="Z53" s="378"/>
      <c r="AA53" s="378"/>
      <c r="AB53" s="378"/>
      <c r="AC53" s="378"/>
      <c r="AD53" s="378"/>
      <c r="AE53" s="378"/>
      <c r="AG53" s="143"/>
      <c r="AI53" s="378"/>
      <c r="AJ53" s="378"/>
      <c r="AK53" s="143"/>
      <c r="AL53" s="378"/>
      <c r="AM53" s="378"/>
      <c r="AO53" s="45" t="str">
        <f>WIT</f>
        <v>J. L. Kern</v>
      </c>
      <c r="AP53" s="45"/>
      <c r="AQ53" s="143"/>
    </row>
    <row r="54" spans="1:47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T54" s="222" t="str">
        <f>INPUT!B5</f>
        <v>6 Months Actual Ending May 31, 2019</v>
      </c>
      <c r="U54" s="378"/>
      <c r="V54" s="378"/>
      <c r="W54" s="378"/>
      <c r="X54" s="378"/>
      <c r="Y54" s="378"/>
      <c r="Z54" s="378"/>
      <c r="AA54" s="378"/>
      <c r="AB54" s="378"/>
      <c r="AC54" s="378"/>
      <c r="AD54" s="378"/>
      <c r="AE54" s="378"/>
      <c r="AG54" s="143"/>
      <c r="AI54" s="378"/>
      <c r="AJ54" s="378"/>
      <c r="AK54" s="143"/>
      <c r="AL54" s="378"/>
      <c r="AM54" s="378"/>
      <c r="AO54" s="45"/>
      <c r="AP54" s="45"/>
      <c r="AQ54" s="143"/>
    </row>
    <row r="55" spans="1:47" x14ac:dyDescent="0.25"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T55" s="44" t="s">
        <v>137</v>
      </c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57"/>
      <c r="AG55" s="144"/>
      <c r="AH55" s="57"/>
      <c r="AI55" s="43"/>
      <c r="AJ55" s="43"/>
      <c r="AK55" s="144"/>
      <c r="AL55" s="43"/>
      <c r="AM55" s="43"/>
      <c r="AN55" s="57"/>
      <c r="AO55" s="43"/>
      <c r="AP55" s="43"/>
      <c r="AQ55" s="144"/>
    </row>
    <row r="56" spans="1:47" x14ac:dyDescent="0.25">
      <c r="A56" s="53"/>
      <c r="C56" s="54"/>
      <c r="D56" s="54"/>
      <c r="E56" s="54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145"/>
      <c r="AH56" s="47"/>
      <c r="AI56" s="47"/>
      <c r="AJ56" s="47"/>
      <c r="AK56" s="145"/>
      <c r="AL56" s="47"/>
      <c r="AM56" s="47"/>
      <c r="AN56" s="47"/>
      <c r="AO56" s="47"/>
      <c r="AP56" s="47"/>
      <c r="AQ56" s="145"/>
    </row>
    <row r="57" spans="1:47" ht="18" customHeight="1" x14ac:dyDescent="0.25">
      <c r="A57" s="53"/>
      <c r="D57" s="54"/>
      <c r="E57" s="54"/>
      <c r="T57" s="378"/>
      <c r="U57" s="378"/>
      <c r="V57" s="378"/>
      <c r="W57" s="378"/>
      <c r="X57" s="378"/>
      <c r="Y57" s="378"/>
      <c r="Z57" s="378"/>
      <c r="AA57" s="378"/>
      <c r="AB57" s="378"/>
      <c r="AC57" s="378"/>
      <c r="AD57" s="378"/>
      <c r="AE57" s="426" t="s">
        <v>8</v>
      </c>
      <c r="AF57" s="56"/>
      <c r="AG57" s="146" t="s">
        <v>7</v>
      </c>
      <c r="AH57" s="56"/>
      <c r="AI57" s="426" t="s">
        <v>9</v>
      </c>
      <c r="AJ57" s="426"/>
      <c r="AK57" s="146" t="s">
        <v>10</v>
      </c>
      <c r="AL57" s="426"/>
      <c r="AM57" s="378"/>
      <c r="AO57" s="426" t="s">
        <v>8</v>
      </c>
      <c r="AP57" s="426"/>
      <c r="AQ57" s="146" t="s">
        <v>11</v>
      </c>
    </row>
    <row r="58" spans="1:47" x14ac:dyDescent="0.25">
      <c r="T58" s="378"/>
      <c r="U58" s="378"/>
      <c r="V58" s="378"/>
      <c r="W58" s="378"/>
      <c r="X58" s="378"/>
      <c r="Y58" s="378"/>
      <c r="Z58" s="378"/>
      <c r="AA58" s="378"/>
      <c r="AB58" s="378"/>
      <c r="AC58" s="426" t="s">
        <v>14</v>
      </c>
      <c r="AD58" s="426"/>
      <c r="AE58" s="426" t="s">
        <v>12</v>
      </c>
      <c r="AF58" s="56"/>
      <c r="AG58" s="146" t="s">
        <v>13</v>
      </c>
      <c r="AH58" s="56"/>
      <c r="AI58" s="426" t="s">
        <v>15</v>
      </c>
      <c r="AJ58" s="426"/>
      <c r="AK58" s="146" t="s">
        <v>16</v>
      </c>
      <c r="AL58" s="426"/>
      <c r="AM58" s="378"/>
      <c r="AO58" s="426" t="s">
        <v>11</v>
      </c>
      <c r="AP58" s="426"/>
      <c r="AQ58" s="146" t="s">
        <v>9</v>
      </c>
    </row>
    <row r="59" spans="1:47" x14ac:dyDescent="0.25">
      <c r="A59" s="53"/>
      <c r="C59" s="54"/>
      <c r="T59" s="426" t="s">
        <v>17</v>
      </c>
      <c r="U59" s="378"/>
      <c r="V59" s="426" t="s">
        <v>18</v>
      </c>
      <c r="W59" s="426" t="s">
        <v>19</v>
      </c>
      <c r="X59" s="426"/>
      <c r="Y59" s="426" t="s">
        <v>20</v>
      </c>
      <c r="Z59" s="378"/>
      <c r="AA59" s="378"/>
      <c r="AB59" s="378"/>
      <c r="AC59" s="426" t="s">
        <v>8</v>
      </c>
      <c r="AD59" s="426"/>
      <c r="AE59" s="426" t="s">
        <v>21</v>
      </c>
      <c r="AF59" s="56"/>
      <c r="AG59" s="146" t="s">
        <v>21</v>
      </c>
      <c r="AH59" s="56"/>
      <c r="AI59" s="426" t="s">
        <v>22</v>
      </c>
      <c r="AJ59" s="426"/>
      <c r="AK59" s="146" t="s">
        <v>22</v>
      </c>
      <c r="AL59" s="426"/>
      <c r="AM59" s="426" t="s">
        <v>21</v>
      </c>
      <c r="AN59" s="56"/>
      <c r="AO59" s="426" t="s">
        <v>9</v>
      </c>
      <c r="AP59" s="426"/>
      <c r="AQ59" s="146" t="s">
        <v>23</v>
      </c>
    </row>
    <row r="60" spans="1:47" x14ac:dyDescent="0.25">
      <c r="A60" s="53"/>
      <c r="C60" s="54"/>
      <c r="F60" s="449"/>
      <c r="H60" s="449"/>
      <c r="I60" s="449"/>
      <c r="J60" s="461"/>
      <c r="K60" s="461"/>
      <c r="L60" s="379"/>
      <c r="M60" s="379"/>
      <c r="N60" s="50"/>
      <c r="O60" s="50"/>
      <c r="P60" s="53"/>
      <c r="Q60" s="53"/>
      <c r="R60" s="379"/>
      <c r="T60" s="426" t="s">
        <v>24</v>
      </c>
      <c r="U60" s="378"/>
      <c r="V60" s="426" t="s">
        <v>25</v>
      </c>
      <c r="W60" s="426" t="s">
        <v>26</v>
      </c>
      <c r="X60" s="426"/>
      <c r="Y60" s="426" t="s">
        <v>27</v>
      </c>
      <c r="Z60" s="378"/>
      <c r="AA60" s="426" t="s">
        <v>28</v>
      </c>
      <c r="AB60" s="426"/>
      <c r="AC60" s="426" t="s">
        <v>29</v>
      </c>
      <c r="AD60" s="426"/>
      <c r="AE60" s="426" t="s">
        <v>9</v>
      </c>
      <c r="AF60" s="56"/>
      <c r="AG60" s="146" t="s">
        <v>9</v>
      </c>
      <c r="AH60" s="56"/>
      <c r="AI60" s="265" t="s">
        <v>31</v>
      </c>
      <c r="AJ60" s="265"/>
      <c r="AK60" s="440" t="s">
        <v>32</v>
      </c>
      <c r="AL60" s="426"/>
      <c r="AM60" s="426" t="s">
        <v>426</v>
      </c>
      <c r="AN60" s="56"/>
      <c r="AO60" s="265" t="s">
        <v>33</v>
      </c>
      <c r="AP60" s="265"/>
      <c r="AQ60" s="440" t="s">
        <v>34</v>
      </c>
    </row>
    <row r="61" spans="1:47" x14ac:dyDescent="0.25">
      <c r="A61" s="53"/>
      <c r="C61" s="54"/>
      <c r="F61" s="449"/>
      <c r="H61" s="449"/>
      <c r="I61" s="449"/>
      <c r="J61" s="461"/>
      <c r="K61" s="461"/>
      <c r="L61" s="379"/>
      <c r="M61" s="379"/>
      <c r="N61" s="50"/>
      <c r="O61" s="50"/>
      <c r="P61" s="53"/>
      <c r="Q61" s="53"/>
      <c r="R61" s="379"/>
      <c r="T61" s="378"/>
      <c r="U61" s="378"/>
      <c r="V61" s="265" t="s">
        <v>35</v>
      </c>
      <c r="W61" s="265" t="s">
        <v>36</v>
      </c>
      <c r="X61" s="265"/>
      <c r="Y61" s="265" t="s">
        <v>37</v>
      </c>
      <c r="Z61" s="218"/>
      <c r="AA61" s="265" t="s">
        <v>38</v>
      </c>
      <c r="AB61" s="265"/>
      <c r="AC61" s="265" t="s">
        <v>44</v>
      </c>
      <c r="AD61" s="265"/>
      <c r="AE61" s="265" t="s">
        <v>45</v>
      </c>
      <c r="AF61" s="466"/>
      <c r="AG61" s="440" t="s">
        <v>46</v>
      </c>
      <c r="AH61" s="466"/>
      <c r="AI61" s="265" t="s">
        <v>47</v>
      </c>
      <c r="AJ61" s="265"/>
      <c r="AK61" s="440" t="s">
        <v>48</v>
      </c>
      <c r="AL61" s="265"/>
      <c r="AM61" s="265" t="s">
        <v>42</v>
      </c>
      <c r="AN61" s="466"/>
      <c r="AO61" s="265" t="s">
        <v>49</v>
      </c>
      <c r="AP61" s="265"/>
      <c r="AQ61" s="440" t="s">
        <v>50</v>
      </c>
      <c r="AU61" s="378"/>
    </row>
    <row r="62" spans="1:47" x14ac:dyDescent="0.25">
      <c r="F62" s="381"/>
      <c r="H62" s="379"/>
      <c r="I62" s="379"/>
      <c r="J62" s="464"/>
      <c r="K62" s="464"/>
      <c r="L62" s="381"/>
      <c r="M62" s="381"/>
      <c r="N62" s="381"/>
      <c r="O62" s="381"/>
      <c r="P62" s="381"/>
      <c r="Q62" s="381"/>
      <c r="R62" s="381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145"/>
      <c r="AH62" s="47"/>
      <c r="AI62" s="47"/>
      <c r="AJ62" s="47"/>
      <c r="AK62" s="145"/>
      <c r="AL62" s="47"/>
      <c r="AM62" s="47"/>
      <c r="AN62" s="47"/>
      <c r="AO62" s="47"/>
      <c r="AP62" s="47"/>
      <c r="AQ62" s="145"/>
      <c r="AU62" s="378"/>
    </row>
    <row r="63" spans="1:47" ht="17.100000000000001" customHeight="1" x14ac:dyDescent="0.25">
      <c r="A63" s="53"/>
      <c r="C63" s="54"/>
      <c r="F63" s="379"/>
      <c r="H63" s="379"/>
      <c r="I63" s="379"/>
      <c r="J63" s="464"/>
      <c r="K63" s="464"/>
      <c r="L63" s="379"/>
      <c r="M63" s="379"/>
      <c r="N63" s="50"/>
      <c r="O63" s="50"/>
      <c r="P63" s="379"/>
      <c r="Q63" s="379"/>
      <c r="R63" s="379"/>
      <c r="T63" s="378"/>
      <c r="U63" s="378"/>
      <c r="V63" s="378"/>
      <c r="W63" s="378"/>
      <c r="X63" s="378"/>
      <c r="Y63" s="378"/>
      <c r="Z63" s="378"/>
      <c r="AA63" s="442" t="s">
        <v>51</v>
      </c>
      <c r="AB63" s="441"/>
      <c r="AC63" s="442" t="s">
        <v>368</v>
      </c>
      <c r="AD63" s="441"/>
      <c r="AE63" s="441" t="s">
        <v>52</v>
      </c>
      <c r="AF63" s="467"/>
      <c r="AG63" s="443" t="s">
        <v>53</v>
      </c>
      <c r="AH63" s="467"/>
      <c r="AI63" s="441" t="s">
        <v>52</v>
      </c>
      <c r="AJ63" s="441"/>
      <c r="AK63" s="443" t="s">
        <v>53</v>
      </c>
      <c r="AL63" s="441"/>
      <c r="AM63" s="441" t="s">
        <v>52</v>
      </c>
      <c r="AN63" s="467"/>
      <c r="AO63" s="441" t="s">
        <v>52</v>
      </c>
      <c r="AP63" s="441"/>
      <c r="AQ63" s="443" t="s">
        <v>53</v>
      </c>
      <c r="AU63" s="378"/>
    </row>
    <row r="64" spans="1:47" x14ac:dyDescent="0.25">
      <c r="F64" s="381"/>
      <c r="H64" s="379"/>
      <c r="I64" s="379"/>
      <c r="J64" s="464"/>
      <c r="K64" s="464"/>
      <c r="L64" s="381"/>
      <c r="M64" s="381"/>
      <c r="N64" s="381"/>
      <c r="O64" s="381"/>
      <c r="P64" s="381"/>
      <c r="Q64" s="381"/>
      <c r="R64" s="381"/>
      <c r="T64" s="45">
        <f t="shared" ref="T64:T75" si="2">A20</f>
        <v>1</v>
      </c>
      <c r="U64" s="378"/>
      <c r="V64" s="222" t="s">
        <v>362</v>
      </c>
      <c r="W64" s="222" t="s">
        <v>423</v>
      </c>
      <c r="X64" s="46"/>
      <c r="Y64" s="2"/>
      <c r="Z64" s="2"/>
      <c r="AA64" s="2"/>
      <c r="AB64" s="2"/>
      <c r="AC64" s="2"/>
      <c r="AD64" s="2"/>
      <c r="AE64" s="2"/>
      <c r="AF64" s="2"/>
      <c r="AG64" s="147"/>
      <c r="AH64" s="2"/>
      <c r="AI64" s="2"/>
      <c r="AJ64" s="2"/>
      <c r="AK64" s="147"/>
      <c r="AL64" s="2"/>
      <c r="AM64" s="2"/>
      <c r="AN64" s="2"/>
      <c r="AO64" s="2"/>
      <c r="AP64" s="2"/>
      <c r="AQ64" s="147"/>
      <c r="AR64" s="378"/>
      <c r="AS64" s="378"/>
      <c r="AT64" s="378"/>
      <c r="AU64" s="492"/>
    </row>
    <row r="65" spans="1:76" x14ac:dyDescent="0.25">
      <c r="F65" s="379"/>
      <c r="H65" s="379"/>
      <c r="I65" s="379"/>
      <c r="J65" s="464"/>
      <c r="K65" s="464"/>
      <c r="L65" s="379"/>
      <c r="M65" s="379"/>
      <c r="N65" s="50"/>
      <c r="O65" s="50"/>
      <c r="P65" s="379"/>
      <c r="Q65" s="379"/>
      <c r="R65" s="379"/>
      <c r="T65" s="45">
        <f t="shared" si="2"/>
        <v>2</v>
      </c>
      <c r="U65" s="378"/>
      <c r="V65" s="218"/>
      <c r="W65" s="222" t="s">
        <v>139</v>
      </c>
      <c r="X65" s="46"/>
      <c r="Y65" s="2"/>
      <c r="Z65" s="2"/>
      <c r="AA65" s="2"/>
      <c r="AB65" s="2"/>
      <c r="AC65" s="2"/>
      <c r="AD65" s="2"/>
      <c r="AE65" s="2"/>
      <c r="AF65" s="2"/>
      <c r="AG65" s="147"/>
      <c r="AH65" s="2"/>
      <c r="AI65" s="2"/>
      <c r="AJ65" s="2"/>
      <c r="AK65" s="147"/>
      <c r="AL65" s="2"/>
      <c r="AM65" s="2"/>
      <c r="AN65" s="2"/>
      <c r="AO65" s="2"/>
      <c r="AP65" s="2"/>
      <c r="AQ65" s="147"/>
      <c r="AR65" s="378"/>
      <c r="AS65" s="378"/>
      <c r="AT65" s="378"/>
      <c r="AU65" s="49"/>
      <c r="BX65" s="470"/>
    </row>
    <row r="66" spans="1:76" ht="21.75" customHeight="1" x14ac:dyDescent="0.25">
      <c r="A66" s="53"/>
      <c r="C66" s="54"/>
      <c r="F66" s="449"/>
      <c r="H66" s="449"/>
      <c r="I66" s="449"/>
      <c r="J66" s="461"/>
      <c r="K66" s="461"/>
      <c r="L66" s="379"/>
      <c r="M66" s="379"/>
      <c r="N66" s="50"/>
      <c r="O66" s="50"/>
      <c r="P66" s="379"/>
      <c r="Q66" s="379"/>
      <c r="R66" s="379"/>
      <c r="T66" s="45"/>
      <c r="U66" s="378"/>
      <c r="V66" s="378"/>
      <c r="W66" s="378"/>
      <c r="X66" s="378"/>
      <c r="Y66" s="2"/>
      <c r="Z66" s="2"/>
      <c r="AA66" s="2"/>
      <c r="AB66" s="2"/>
      <c r="AC66" s="2"/>
      <c r="AD66" s="2"/>
      <c r="AE66" s="2"/>
      <c r="AF66" s="2"/>
      <c r="AG66" s="147"/>
      <c r="AH66" s="2"/>
      <c r="AI66" s="2"/>
      <c r="AJ66" s="2"/>
      <c r="AK66" s="147"/>
      <c r="AL66" s="2"/>
      <c r="AM66" s="2"/>
      <c r="AN66" s="2"/>
      <c r="AO66" s="2"/>
      <c r="AP66" s="2"/>
      <c r="AQ66" s="147"/>
      <c r="AR66" s="378"/>
      <c r="AS66" s="378"/>
      <c r="AT66" s="378"/>
      <c r="AU66" s="49"/>
    </row>
    <row r="67" spans="1:76" x14ac:dyDescent="0.25">
      <c r="F67" s="379"/>
      <c r="H67" s="381"/>
      <c r="I67" s="381"/>
      <c r="J67" s="464"/>
      <c r="K67" s="464"/>
      <c r="L67" s="381"/>
      <c r="M67" s="381"/>
      <c r="N67" s="381"/>
      <c r="O67" s="381"/>
      <c r="P67" s="381"/>
      <c r="Q67" s="381"/>
      <c r="R67" s="381"/>
      <c r="T67" s="45">
        <f t="shared" si="2"/>
        <v>3</v>
      </c>
      <c r="U67" s="378"/>
      <c r="V67" s="222" t="s">
        <v>140</v>
      </c>
      <c r="W67" s="378"/>
      <c r="X67" s="378"/>
      <c r="Y67" s="5"/>
      <c r="Z67" s="2"/>
      <c r="AA67" s="86"/>
      <c r="AB67" s="86"/>
      <c r="AC67" s="96"/>
      <c r="AD67" s="96"/>
      <c r="AE67" s="5"/>
      <c r="AF67" s="5"/>
      <c r="AG67" s="149"/>
      <c r="AH67" s="6"/>
      <c r="AI67" s="5"/>
      <c r="AJ67" s="5"/>
      <c r="AK67" s="178"/>
      <c r="AL67" s="471"/>
      <c r="AM67" s="2"/>
      <c r="AN67" s="2"/>
      <c r="AO67" s="5"/>
      <c r="AP67" s="5"/>
      <c r="AQ67" s="178"/>
      <c r="AR67" s="378"/>
      <c r="AS67" s="48"/>
      <c r="AT67" s="48"/>
      <c r="AU67" s="49"/>
    </row>
    <row r="68" spans="1:76" x14ac:dyDescent="0.25">
      <c r="A68" s="53"/>
      <c r="C68" s="54"/>
      <c r="F68" s="379"/>
      <c r="H68" s="379"/>
      <c r="I68" s="379"/>
      <c r="J68" s="59"/>
      <c r="K68" s="59"/>
      <c r="L68" s="379"/>
      <c r="M68" s="379"/>
      <c r="N68" s="50"/>
      <c r="O68" s="50"/>
      <c r="P68" s="379"/>
      <c r="Q68" s="379"/>
      <c r="R68" s="379"/>
      <c r="T68" s="45">
        <f t="shared" si="2"/>
        <v>4</v>
      </c>
      <c r="U68" s="378"/>
      <c r="V68" s="46" t="s">
        <v>367</v>
      </c>
      <c r="W68" s="378"/>
      <c r="X68" s="378"/>
      <c r="Y68" s="83">
        <f>F24</f>
        <v>24</v>
      </c>
      <c r="Z68" s="2"/>
      <c r="AA68" s="86"/>
      <c r="AB68" s="86"/>
      <c r="AC68" s="450">
        <f>INPUT!C153</f>
        <v>183</v>
      </c>
      <c r="AD68" s="96"/>
      <c r="AE68" s="5">
        <f>ROUND(Y68*AC68,0)</f>
        <v>4392</v>
      </c>
      <c r="AF68" s="5"/>
      <c r="AG68" s="148">
        <f>ROUND((AE68/$AE$83)*100,1)</f>
        <v>6</v>
      </c>
      <c r="AH68" s="6"/>
      <c r="AI68" s="5">
        <f>L24-AE68</f>
        <v>0</v>
      </c>
      <c r="AJ68" s="5"/>
      <c r="AK68" s="148">
        <f>ROUND((AI68/AE68)*100,1)</f>
        <v>0</v>
      </c>
      <c r="AL68" s="8"/>
      <c r="AM68" s="5"/>
      <c r="AN68" s="1"/>
      <c r="AO68" s="5">
        <f>AE68+AM68</f>
        <v>4392</v>
      </c>
      <c r="AP68" s="5"/>
      <c r="AQ68" s="149">
        <f>ROUND((AI68/AO68)*100,1)</f>
        <v>0</v>
      </c>
      <c r="AR68" s="45"/>
      <c r="AS68" s="48"/>
      <c r="AT68" s="48"/>
      <c r="AU68" s="492"/>
    </row>
    <row r="69" spans="1:76" ht="20.100000000000001" customHeight="1" x14ac:dyDescent="0.25">
      <c r="A69" s="53"/>
      <c r="C69" s="54"/>
      <c r="F69" s="449"/>
      <c r="H69" s="449"/>
      <c r="I69" s="449"/>
      <c r="J69" s="472"/>
      <c r="K69" s="472"/>
      <c r="L69" s="379"/>
      <c r="M69" s="379"/>
      <c r="N69" s="50"/>
      <c r="O69" s="50"/>
      <c r="P69" s="449"/>
      <c r="Q69" s="449"/>
      <c r="R69" s="379"/>
      <c r="T69" s="45">
        <f t="shared" si="2"/>
        <v>5</v>
      </c>
      <c r="U69" s="378"/>
      <c r="V69" s="222" t="s">
        <v>143</v>
      </c>
      <c r="W69" s="378"/>
      <c r="X69" s="378"/>
      <c r="Y69" s="83"/>
      <c r="Z69" s="2"/>
      <c r="AA69" s="5"/>
      <c r="AB69" s="5"/>
      <c r="AC69" s="51"/>
      <c r="AD69" s="9"/>
      <c r="AE69" s="90">
        <f>SUM(AE68)</f>
        <v>4392</v>
      </c>
      <c r="AF69" s="5"/>
      <c r="AG69" s="148">
        <f>ROUND((AE69/$AE$83)*100,1)</f>
        <v>6</v>
      </c>
      <c r="AH69" s="6"/>
      <c r="AI69" s="90">
        <f>SUM(AI68)</f>
        <v>0</v>
      </c>
      <c r="AJ69" s="5"/>
      <c r="AK69" s="150">
        <f>ROUND((AI69/AE69)*100,1)</f>
        <v>0</v>
      </c>
      <c r="AL69" s="8"/>
      <c r="AM69" s="90"/>
      <c r="AN69" s="5"/>
      <c r="AO69" s="90">
        <f>SUM(AO68)</f>
        <v>4392</v>
      </c>
      <c r="AP69" s="5"/>
      <c r="AQ69" s="149">
        <f>ROUND((AI69/AO69)*100,1)</f>
        <v>0</v>
      </c>
      <c r="AR69" s="48"/>
      <c r="AS69" s="48"/>
      <c r="AT69" s="48"/>
      <c r="AU69" s="49"/>
    </row>
    <row r="70" spans="1:76" ht="18.75" customHeight="1" x14ac:dyDescent="0.25">
      <c r="A70" s="53"/>
      <c r="C70" s="54"/>
      <c r="F70" s="379"/>
      <c r="H70" s="379"/>
      <c r="I70" s="379"/>
      <c r="J70" s="59"/>
      <c r="K70" s="59"/>
      <c r="L70" s="379"/>
      <c r="M70" s="379"/>
      <c r="N70" s="50"/>
      <c r="O70" s="50"/>
      <c r="P70" s="379"/>
      <c r="Q70" s="379"/>
      <c r="R70" s="379"/>
      <c r="T70" s="45"/>
      <c r="U70" s="378"/>
      <c r="V70" s="378"/>
      <c r="W70" s="378"/>
      <c r="X70" s="378"/>
      <c r="Y70" s="5"/>
      <c r="Z70" s="2"/>
      <c r="AA70" s="5"/>
      <c r="AB70" s="5"/>
      <c r="AC70" s="502"/>
      <c r="AD70" s="446"/>
      <c r="AE70" s="5"/>
      <c r="AF70" s="5"/>
      <c r="AG70" s="149"/>
      <c r="AH70" s="5"/>
      <c r="AI70" s="5"/>
      <c r="AJ70" s="5"/>
      <c r="AK70" s="149"/>
      <c r="AL70" s="8"/>
      <c r="AM70" s="5"/>
      <c r="AN70" s="5"/>
      <c r="AO70" s="5"/>
      <c r="AP70" s="5"/>
      <c r="AQ70" s="149"/>
      <c r="AR70" s="48"/>
      <c r="AS70" s="48"/>
      <c r="AT70" s="48"/>
      <c r="AU70" s="49"/>
    </row>
    <row r="71" spans="1:76" x14ac:dyDescent="0.25">
      <c r="A71" s="54"/>
      <c r="F71" s="379"/>
      <c r="H71" s="379"/>
      <c r="I71" s="379"/>
      <c r="J71" s="59"/>
      <c r="K71" s="59"/>
      <c r="L71" s="379"/>
      <c r="M71" s="379"/>
      <c r="N71" s="379"/>
      <c r="O71" s="379"/>
      <c r="P71" s="379"/>
      <c r="Q71" s="379"/>
      <c r="R71" s="379"/>
      <c r="T71" s="45">
        <f t="shared" si="2"/>
        <v>6</v>
      </c>
      <c r="U71" s="378"/>
      <c r="V71" s="222" t="s">
        <v>69</v>
      </c>
      <c r="W71" s="378"/>
      <c r="X71" s="378"/>
      <c r="Y71" s="86"/>
      <c r="Z71" s="2"/>
      <c r="AA71" s="86"/>
      <c r="AB71" s="86"/>
      <c r="AC71" s="497"/>
      <c r="AD71" s="481"/>
      <c r="AE71" s="5"/>
      <c r="AF71" s="5"/>
      <c r="AG71" s="149"/>
      <c r="AH71" s="6"/>
      <c r="AI71" s="5"/>
      <c r="AJ71" s="5"/>
      <c r="AK71" s="149"/>
      <c r="AL71" s="8"/>
      <c r="AM71" s="86"/>
      <c r="AN71" s="86"/>
      <c r="AO71" s="5"/>
      <c r="AP71" s="5"/>
      <c r="AQ71" s="149"/>
      <c r="AR71" s="392"/>
      <c r="AS71" s="48"/>
      <c r="AT71" s="48"/>
      <c r="AU71" s="49"/>
    </row>
    <row r="72" spans="1:76" x14ac:dyDescent="0.25">
      <c r="T72" s="45">
        <f t="shared" si="2"/>
        <v>7</v>
      </c>
      <c r="U72" s="378"/>
      <c r="V72" s="46" t="s">
        <v>443</v>
      </c>
      <c r="W72" s="378"/>
      <c r="X72" s="378"/>
      <c r="Y72" s="86"/>
      <c r="Z72" s="2"/>
      <c r="AA72" s="5">
        <f>H28</f>
        <v>1569705</v>
      </c>
      <c r="AB72" s="5"/>
      <c r="AC72" s="457">
        <f>INPUT!C155</f>
        <v>9.1039999999999992E-3</v>
      </c>
      <c r="AD72" s="456"/>
      <c r="AE72" s="5">
        <f>ROUND((AA72*AC72),0)</f>
        <v>14291</v>
      </c>
      <c r="AF72" s="5"/>
      <c r="AG72" s="383">
        <f>ROUND((AE72/$AE$83)*100,1)</f>
        <v>19.5</v>
      </c>
      <c r="AH72" s="6"/>
      <c r="AI72" s="5">
        <f>L28-AE72</f>
        <v>14577</v>
      </c>
      <c r="AJ72" s="5"/>
      <c r="AK72" s="149">
        <f>ROUND((AI72/AE72)*100,1)</f>
        <v>102</v>
      </c>
      <c r="AL72" s="8"/>
      <c r="AM72" s="86"/>
      <c r="AN72" s="86"/>
      <c r="AO72" s="5">
        <f>AE72+AM72</f>
        <v>14291</v>
      </c>
      <c r="AP72" s="5"/>
      <c r="AQ72" s="149">
        <f>ROUND((AI72/AO72)*100,1)</f>
        <v>102</v>
      </c>
      <c r="AR72" s="392"/>
      <c r="AS72" s="48"/>
      <c r="AT72" s="48"/>
      <c r="AU72" s="49"/>
    </row>
    <row r="73" spans="1:76" x14ac:dyDescent="0.25">
      <c r="L73" s="379"/>
      <c r="M73" s="379"/>
      <c r="N73" s="379"/>
      <c r="O73" s="379"/>
      <c r="P73" s="379"/>
      <c r="Q73" s="379"/>
      <c r="R73" s="379"/>
      <c r="T73" s="45">
        <f t="shared" si="2"/>
        <v>8</v>
      </c>
      <c r="U73" s="378"/>
      <c r="V73" s="46" t="s">
        <v>431</v>
      </c>
      <c r="W73" s="378"/>
      <c r="X73" s="378"/>
      <c r="Y73" s="94"/>
      <c r="Z73" s="2"/>
      <c r="AA73" s="5">
        <f>H29</f>
        <v>1569705</v>
      </c>
      <c r="AB73" s="5"/>
      <c r="AC73" s="505">
        <f>INPUT!C160</f>
        <v>2.9462000000000002E-2</v>
      </c>
      <c r="AD73" s="456"/>
      <c r="AE73" s="5">
        <f>ROUND((AA73*AC73),0)</f>
        <v>46247</v>
      </c>
      <c r="AF73" s="5"/>
      <c r="AG73" s="148">
        <f>ROUND((AE73/$AE$83)*100,1)</f>
        <v>63</v>
      </c>
      <c r="AH73" s="6"/>
      <c r="AI73" s="5">
        <f>L29-AE73</f>
        <v>0</v>
      </c>
      <c r="AJ73" s="5"/>
      <c r="AK73" s="148">
        <f>ROUND((AI73/AE73)*100,1)</f>
        <v>0</v>
      </c>
      <c r="AL73" s="8"/>
      <c r="AM73" s="486">
        <v>0</v>
      </c>
      <c r="AN73" s="86"/>
      <c r="AO73" s="5">
        <f>AE73+AM73</f>
        <v>46247</v>
      </c>
      <c r="AP73" s="5"/>
      <c r="AQ73" s="149">
        <f>ROUND((AI73/AO73)*100,1)</f>
        <v>0</v>
      </c>
      <c r="AR73" s="392"/>
      <c r="AS73" s="48"/>
      <c r="AT73" s="48"/>
      <c r="AU73" s="49"/>
    </row>
    <row r="74" spans="1:76" ht="20.100000000000001" customHeight="1" x14ac:dyDescent="0.25">
      <c r="J74" s="53"/>
      <c r="K74" s="53"/>
      <c r="T74" s="45">
        <f t="shared" si="2"/>
        <v>9</v>
      </c>
      <c r="U74" s="378"/>
      <c r="V74" s="222" t="s">
        <v>149</v>
      </c>
      <c r="W74" s="378"/>
      <c r="X74" s="378"/>
      <c r="Y74" s="81"/>
      <c r="Z74" s="2"/>
      <c r="AA74" s="90">
        <f>H30</f>
        <v>1569705</v>
      </c>
      <c r="AB74" s="5"/>
      <c r="AC74" s="267"/>
      <c r="AD74" s="9"/>
      <c r="AE74" s="90">
        <f>SUM(AE72:AE73)</f>
        <v>60538</v>
      </c>
      <c r="AF74" s="5"/>
      <c r="AG74" s="148">
        <f>ROUND((AE74/$AE$83)*100,1)</f>
        <v>82.4</v>
      </c>
      <c r="AH74" s="6"/>
      <c r="AI74" s="90">
        <f>SUM(AI72:AI73)</f>
        <v>14577</v>
      </c>
      <c r="AJ74" s="5"/>
      <c r="AK74" s="150">
        <f>ROUND((AI74/AE74)*100,1)</f>
        <v>24.1</v>
      </c>
      <c r="AL74" s="8"/>
      <c r="AM74" s="90">
        <f>AM73</f>
        <v>0</v>
      </c>
      <c r="AN74" s="5"/>
      <c r="AO74" s="90">
        <f>SUM(AO72:AO73)</f>
        <v>60538</v>
      </c>
      <c r="AP74" s="5"/>
      <c r="AQ74" s="149">
        <f>ROUND((AI74/AO74)*100,1)</f>
        <v>24.1</v>
      </c>
      <c r="AR74" s="48"/>
      <c r="AS74" s="48"/>
      <c r="AT74" s="48"/>
      <c r="AU74" s="378"/>
    </row>
    <row r="75" spans="1:76" ht="20.100000000000001" customHeight="1" x14ac:dyDescent="0.25">
      <c r="J75" s="53"/>
      <c r="K75" s="53"/>
      <c r="T75" s="45">
        <f t="shared" si="2"/>
        <v>10</v>
      </c>
      <c r="U75" s="378"/>
      <c r="V75" s="444" t="s">
        <v>531</v>
      </c>
      <c r="W75" s="378"/>
      <c r="X75" s="378"/>
      <c r="Y75" s="90">
        <f>Y68</f>
        <v>24</v>
      </c>
      <c r="Z75" s="2"/>
      <c r="AA75" s="90">
        <f>AA74</f>
        <v>1569705</v>
      </c>
      <c r="AB75" s="5"/>
      <c r="AC75" s="267"/>
      <c r="AD75" s="9"/>
      <c r="AE75" s="90">
        <f>AE74+AE69</f>
        <v>64930</v>
      </c>
      <c r="AF75" s="5"/>
      <c r="AG75" s="148">
        <f>ROUND((AE75/$AE$83)*100,1)</f>
        <v>88.4</v>
      </c>
      <c r="AH75" s="6"/>
      <c r="AI75" s="90">
        <f>AI74+AI69</f>
        <v>14577</v>
      </c>
      <c r="AJ75" s="5"/>
      <c r="AK75" s="150">
        <f>ROUND((AI75/AE75)*100,1)</f>
        <v>22.5</v>
      </c>
      <c r="AL75" s="8"/>
      <c r="AM75" s="90">
        <f>AM74+AM69</f>
        <v>0</v>
      </c>
      <c r="AN75" s="5"/>
      <c r="AO75" s="90">
        <f>AO74+AO69</f>
        <v>64930</v>
      </c>
      <c r="AP75" s="5"/>
      <c r="AQ75" s="149">
        <f>ROUND((AI75/AO75)*100,1)</f>
        <v>22.5</v>
      </c>
      <c r="AR75" s="48"/>
      <c r="AS75" s="48"/>
      <c r="AT75" s="48"/>
      <c r="AU75" s="378"/>
    </row>
    <row r="76" spans="1:76" ht="15.75" customHeight="1" x14ac:dyDescent="0.25">
      <c r="J76" s="53"/>
      <c r="K76" s="53"/>
      <c r="T76" s="45"/>
      <c r="U76" s="378"/>
      <c r="V76" s="46"/>
      <c r="W76" s="378"/>
      <c r="X76" s="378"/>
      <c r="Y76" s="83"/>
      <c r="Z76" s="2"/>
      <c r="AA76" s="83"/>
      <c r="AB76" s="5"/>
      <c r="AC76" s="267"/>
      <c r="AD76" s="9"/>
      <c r="AE76" s="83"/>
      <c r="AF76" s="5"/>
      <c r="AG76" s="383"/>
      <c r="AH76" s="6"/>
      <c r="AI76" s="83"/>
      <c r="AJ76" s="5"/>
      <c r="AK76" s="383"/>
      <c r="AL76" s="8"/>
      <c r="AM76" s="83"/>
      <c r="AN76" s="5"/>
      <c r="AO76" s="83"/>
      <c r="AP76" s="5"/>
      <c r="AQ76" s="149"/>
      <c r="AR76" s="48"/>
      <c r="AS76" s="48"/>
      <c r="AT76" s="48"/>
      <c r="AU76" s="378"/>
    </row>
    <row r="77" spans="1:76" ht="15.75" customHeight="1" x14ac:dyDescent="0.25">
      <c r="J77" s="53"/>
      <c r="K77" s="53"/>
      <c r="T77" s="45">
        <f>A33</f>
        <v>11</v>
      </c>
      <c r="U77" s="378"/>
      <c r="V77" s="222" t="s">
        <v>504</v>
      </c>
      <c r="W77" s="378"/>
      <c r="X77" s="378"/>
      <c r="Y77" s="83"/>
      <c r="Z77" s="2"/>
      <c r="AA77" s="83"/>
      <c r="AB77" s="5"/>
      <c r="AC77" s="267"/>
      <c r="AD77" s="9"/>
      <c r="AE77" s="83"/>
      <c r="AF77" s="5"/>
      <c r="AG77" s="383"/>
      <c r="AH77" s="6"/>
      <c r="AI77" s="83"/>
      <c r="AJ77" s="5"/>
      <c r="AK77" s="383"/>
      <c r="AL77" s="8"/>
      <c r="AM77" s="83"/>
      <c r="AN77" s="5"/>
      <c r="AO77" s="83"/>
      <c r="AP77" s="5"/>
      <c r="AQ77" s="149"/>
      <c r="AR77" s="48"/>
      <c r="AS77" s="48"/>
      <c r="AT77" s="48"/>
      <c r="AU77" s="378"/>
    </row>
    <row r="78" spans="1:76" ht="15.75" customHeight="1" x14ac:dyDescent="0.25">
      <c r="J78" s="53"/>
      <c r="K78" s="53"/>
      <c r="T78" s="45">
        <f>A34</f>
        <v>12</v>
      </c>
      <c r="U78" s="378"/>
      <c r="V78" s="216" t="str">
        <f>C34</f>
        <v>DEMAND SIDE MANAGEMENT RIDER (DSMR)</v>
      </c>
      <c r="W78" s="378"/>
      <c r="X78" s="378"/>
      <c r="Y78" s="83"/>
      <c r="Z78" s="2"/>
      <c r="AA78" s="83"/>
      <c r="AB78" s="5"/>
      <c r="AC78" s="465">
        <f>DSM_DIST</f>
        <v>5.091E-3</v>
      </c>
      <c r="AD78" s="446"/>
      <c r="AE78" s="83">
        <f>ROUND(AA75*DSM_DIST,0)</f>
        <v>7991</v>
      </c>
      <c r="AF78" s="5"/>
      <c r="AG78" s="383">
        <f>ROUND((AE78/$AE$83)*100,1)</f>
        <v>10.9</v>
      </c>
      <c r="AH78" s="6"/>
      <c r="AI78" s="5">
        <f>L34-AE78</f>
        <v>0</v>
      </c>
      <c r="AJ78" s="5"/>
      <c r="AK78" s="149">
        <f>IF(AE78=0,0,ROUND((AI78/AE78)*100,1))</f>
        <v>0</v>
      </c>
      <c r="AL78" s="8"/>
      <c r="AM78" s="83"/>
      <c r="AN78" s="5"/>
      <c r="AO78" s="5">
        <f t="shared" ref="AO78:AO80" si="3">AE78+AM78</f>
        <v>7991</v>
      </c>
      <c r="AP78" s="5"/>
      <c r="AQ78" s="149">
        <f>IF(AO78=0,0,ROUND((AI78/AO78)*100,1))</f>
        <v>0</v>
      </c>
      <c r="AR78" s="48"/>
      <c r="AS78" s="48"/>
      <c r="AT78" s="48"/>
      <c r="AU78" s="378"/>
    </row>
    <row r="79" spans="1:76" ht="15.75" customHeight="1" x14ac:dyDescent="0.25">
      <c r="J79" s="53"/>
      <c r="K79" s="53"/>
      <c r="T79" s="45">
        <f>A35</f>
        <v>13</v>
      </c>
      <c r="U79" s="378"/>
      <c r="V79" s="216" t="str">
        <f>C35</f>
        <v>ENVIRONMENTAL SURCHARGE MECHANISM RIDER (ESM)</v>
      </c>
      <c r="W79" s="378"/>
      <c r="X79" s="378"/>
      <c r="Y79" s="83"/>
      <c r="Z79" s="2"/>
      <c r="AA79" s="83"/>
      <c r="AB79" s="5"/>
      <c r="AC79" s="473">
        <f>CUR_ESM_NONRES</f>
        <v>0.18160000000000001</v>
      </c>
      <c r="AD79" s="446"/>
      <c r="AE79" s="83">
        <f>ROUND(AO69*AC79,0)</f>
        <v>798</v>
      </c>
      <c r="AF79" s="5"/>
      <c r="AG79" s="383">
        <f>ROUND((AE79/$AE$83)*100,1)</f>
        <v>1.1000000000000001</v>
      </c>
      <c r="AH79" s="6"/>
      <c r="AI79" s="5">
        <f>L35-AE79</f>
        <v>0</v>
      </c>
      <c r="AJ79" s="5"/>
      <c r="AK79" s="149">
        <f>IF(AE79=0,0,ROUND((AI79/AE79)*100,1))</f>
        <v>0</v>
      </c>
      <c r="AL79" s="8"/>
      <c r="AM79" s="83"/>
      <c r="AN79" s="5"/>
      <c r="AO79" s="5">
        <f t="shared" ref="AO79" si="4">AE79+AM79</f>
        <v>798</v>
      </c>
      <c r="AP79" s="5"/>
      <c r="AQ79" s="149">
        <f>IF(AO79=0,0,ROUND((AI79/AO79)*100,1))</f>
        <v>0</v>
      </c>
      <c r="AR79" s="48"/>
      <c r="AS79" s="48"/>
      <c r="AT79" s="48"/>
      <c r="AU79" s="378"/>
    </row>
    <row r="80" spans="1:76" ht="15.75" customHeight="1" x14ac:dyDescent="0.25">
      <c r="J80" s="53"/>
      <c r="K80" s="53"/>
      <c r="T80" s="45">
        <f>A36</f>
        <v>14</v>
      </c>
      <c r="U80" s="378"/>
      <c r="V80" s="216" t="str">
        <f>C36</f>
        <v>PROFIT SHARING MECHANISM (PSM)</v>
      </c>
      <c r="W80" s="378"/>
      <c r="X80" s="378"/>
      <c r="Y80" s="83"/>
      <c r="Z80" s="2"/>
      <c r="AA80" s="83"/>
      <c r="AB80" s="5"/>
      <c r="AC80" s="465">
        <f>RS_PSM</f>
        <v>-1.63E-4</v>
      </c>
      <c r="AD80" s="446"/>
      <c r="AE80" s="81">
        <f>ROUND(AA75*RS_PSM,0)</f>
        <v>-256</v>
      </c>
      <c r="AF80" s="5"/>
      <c r="AG80" s="148">
        <f>ROUND((AE80/$AE$83)*100,1)</f>
        <v>-0.3</v>
      </c>
      <c r="AH80" s="6"/>
      <c r="AI80" s="81">
        <f>L36-AE80</f>
        <v>0</v>
      </c>
      <c r="AJ80" s="5"/>
      <c r="AK80" s="149">
        <f>IF(AE80=0,0,ROUND((AI80/AE80)*100,1))</f>
        <v>0</v>
      </c>
      <c r="AL80" s="8"/>
      <c r="AM80" s="81"/>
      <c r="AN80" s="5"/>
      <c r="AO80" s="81">
        <f t="shared" si="3"/>
        <v>-256</v>
      </c>
      <c r="AP80" s="5"/>
      <c r="AQ80" s="149">
        <f t="shared" ref="AQ80:AQ81" si="5">IF(AO80=0,0,ROUND((AI80/AO80)*100,1))</f>
        <v>0</v>
      </c>
      <c r="AR80" s="48"/>
      <c r="AS80" s="48"/>
      <c r="AT80" s="48"/>
      <c r="AU80" s="378"/>
    </row>
    <row r="81" spans="1:47" ht="20.100000000000001" customHeight="1" x14ac:dyDescent="0.25">
      <c r="J81" s="53"/>
      <c r="K81" s="53"/>
      <c r="T81" s="45">
        <f>A37</f>
        <v>15</v>
      </c>
      <c r="U81" s="378"/>
      <c r="V81" s="222" t="s">
        <v>510</v>
      </c>
      <c r="W81" s="378"/>
      <c r="X81" s="378"/>
      <c r="Y81" s="81"/>
      <c r="Z81" s="2"/>
      <c r="AA81" s="81"/>
      <c r="AB81" s="5"/>
      <c r="AC81" s="9"/>
      <c r="AD81" s="9"/>
      <c r="AE81" s="90">
        <f>SUM(AE78:AE80)</f>
        <v>8533</v>
      </c>
      <c r="AF81" s="5"/>
      <c r="AG81" s="150">
        <f>ROUND((AE81/$AE$83)*100,1)</f>
        <v>11.6</v>
      </c>
      <c r="AH81" s="6"/>
      <c r="AI81" s="90">
        <f>SUM(AI78:AI80)</f>
        <v>0</v>
      </c>
      <c r="AJ81" s="5"/>
      <c r="AK81" s="150">
        <f>IF(AE81=0,0,ROUND((AI81/AE81)*100,1))</f>
        <v>0</v>
      </c>
      <c r="AL81" s="8"/>
      <c r="AM81" s="90">
        <f>SUM(AM78:AM80)</f>
        <v>0</v>
      </c>
      <c r="AN81" s="5"/>
      <c r="AO81" s="90">
        <f>SUM(AO78:AO80)</f>
        <v>8533</v>
      </c>
      <c r="AP81" s="5"/>
      <c r="AQ81" s="149">
        <f t="shared" si="5"/>
        <v>0</v>
      </c>
      <c r="AR81" s="48"/>
      <c r="AS81" s="48"/>
      <c r="AT81" s="48"/>
      <c r="AU81" s="378"/>
    </row>
    <row r="82" spans="1:47" ht="15.75" customHeight="1" x14ac:dyDescent="0.25">
      <c r="J82" s="53"/>
      <c r="K82" s="53"/>
      <c r="T82" s="45"/>
      <c r="U82" s="378"/>
      <c r="V82" s="222"/>
      <c r="W82" s="378"/>
      <c r="X82" s="378"/>
      <c r="Y82" s="83"/>
      <c r="Z82" s="2"/>
      <c r="AA82" s="83"/>
      <c r="AB82" s="5"/>
      <c r="AC82" s="9"/>
      <c r="AD82" s="9"/>
      <c r="AE82" s="83"/>
      <c r="AF82" s="5"/>
      <c r="AG82" s="383"/>
      <c r="AH82" s="6"/>
      <c r="AI82" s="83"/>
      <c r="AJ82" s="5"/>
      <c r="AK82" s="383"/>
      <c r="AL82" s="8"/>
      <c r="AM82" s="83"/>
      <c r="AN82" s="5"/>
      <c r="AO82" s="83"/>
      <c r="AP82" s="5"/>
      <c r="AQ82" s="149"/>
      <c r="AR82" s="48"/>
      <c r="AS82" s="48"/>
      <c r="AT82" s="48"/>
      <c r="AU82" s="378"/>
    </row>
    <row r="83" spans="1:47" ht="20.100000000000001" customHeight="1" thickBot="1" x14ac:dyDescent="0.3">
      <c r="J83" s="53"/>
      <c r="K83" s="53"/>
      <c r="T83" s="45">
        <f>A39</f>
        <v>16</v>
      </c>
      <c r="U83" s="378"/>
      <c r="V83" s="444" t="s">
        <v>533</v>
      </c>
      <c r="W83" s="378"/>
      <c r="X83" s="378"/>
      <c r="Y83" s="82">
        <f>F39</f>
        <v>24</v>
      </c>
      <c r="Z83" s="2"/>
      <c r="AA83" s="82">
        <f>H39</f>
        <v>1569705</v>
      </c>
      <c r="AB83" s="5"/>
      <c r="AC83" s="9"/>
      <c r="AD83" s="9"/>
      <c r="AE83" s="82">
        <f>AE81+AE75</f>
        <v>73463</v>
      </c>
      <c r="AF83" s="5"/>
      <c r="AG83" s="151">
        <v>100</v>
      </c>
      <c r="AH83" s="6"/>
      <c r="AI83" s="82">
        <f>AI81+AI75</f>
        <v>14577</v>
      </c>
      <c r="AJ83" s="5"/>
      <c r="AK83" s="151">
        <f>ROUND((AI83/AE83)*100,1)</f>
        <v>19.8</v>
      </c>
      <c r="AL83" s="8"/>
      <c r="AM83" s="82">
        <f>AM81+AM75</f>
        <v>0</v>
      </c>
      <c r="AN83" s="5"/>
      <c r="AO83" s="82">
        <f>AO81+AO75</f>
        <v>73463</v>
      </c>
      <c r="AP83" s="5"/>
      <c r="AQ83" s="149">
        <f>ROUND((AI83/AO83)*100,1)</f>
        <v>19.8</v>
      </c>
      <c r="AR83" s="48"/>
      <c r="AS83" s="48"/>
      <c r="AT83" s="48"/>
    </row>
    <row r="84" spans="1:47" ht="16.5" thickTop="1" x14ac:dyDescent="0.25">
      <c r="L84" s="54"/>
      <c r="M84" s="54"/>
      <c r="T84" s="378"/>
      <c r="U84" s="378"/>
      <c r="V84" s="378"/>
      <c r="W84" s="378"/>
      <c r="X84" s="378"/>
      <c r="Y84" s="5"/>
      <c r="Z84" s="2"/>
      <c r="AA84" s="5"/>
      <c r="AB84" s="5"/>
      <c r="AC84" s="9"/>
      <c r="AD84" s="9"/>
      <c r="AE84" s="5"/>
      <c r="AF84" s="5"/>
      <c r="AG84" s="149"/>
      <c r="AH84" s="5"/>
      <c r="AI84" s="2"/>
      <c r="AJ84" s="2"/>
      <c r="AK84" s="147"/>
      <c r="AL84" s="2"/>
      <c r="AM84" s="2"/>
      <c r="AN84" s="2"/>
      <c r="AO84" s="2"/>
      <c r="AP84" s="2"/>
      <c r="AQ84" s="147"/>
      <c r="AR84" s="378"/>
      <c r="AS84" s="378"/>
      <c r="AT84" s="378"/>
    </row>
    <row r="85" spans="1:47" x14ac:dyDescent="0.25">
      <c r="A85" s="53"/>
      <c r="R85" s="54"/>
      <c r="T85" s="378"/>
      <c r="U85" s="378"/>
      <c r="V85" s="243" t="s">
        <v>61</v>
      </c>
      <c r="W85" s="378"/>
      <c r="X85" s="378"/>
      <c r="Y85" s="48"/>
      <c r="Z85" s="378"/>
      <c r="AA85" s="48"/>
      <c r="AB85" s="48"/>
      <c r="AC85" s="51"/>
      <c r="AD85" s="51"/>
      <c r="AE85" s="48"/>
      <c r="AF85" s="48"/>
      <c r="AG85" s="152"/>
      <c r="AH85" s="48"/>
      <c r="AI85" s="378"/>
      <c r="AJ85" s="378"/>
      <c r="AK85" s="143"/>
      <c r="AL85" s="378"/>
      <c r="AM85" s="378"/>
      <c r="AN85" s="378"/>
      <c r="AO85" s="378"/>
      <c r="AP85" s="378"/>
      <c r="AQ85" s="143"/>
      <c r="AR85" s="378"/>
      <c r="AS85" s="378"/>
      <c r="AT85" s="378"/>
    </row>
    <row r="86" spans="1:47" x14ac:dyDescent="0.25">
      <c r="A86" s="53"/>
      <c r="R86" s="54"/>
      <c r="V86" s="46"/>
      <c r="Z86" s="53"/>
    </row>
    <row r="87" spans="1:47" x14ac:dyDescent="0.25">
      <c r="A87" s="54"/>
      <c r="R87" s="54"/>
      <c r="AA87" s="54"/>
      <c r="AB87" s="54"/>
    </row>
    <row r="88" spans="1:47" x14ac:dyDescent="0.25">
      <c r="L88" s="54"/>
      <c r="M88" s="54"/>
      <c r="R88" s="53"/>
      <c r="AK88" s="161"/>
      <c r="AL88" s="54"/>
    </row>
    <row r="89" spans="1:47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AK89" s="161"/>
      <c r="AL89" s="54"/>
    </row>
    <row r="90" spans="1:47" x14ac:dyDescent="0.25">
      <c r="L90" s="56"/>
      <c r="M90" s="56"/>
      <c r="N90" s="56"/>
      <c r="O90" s="56"/>
      <c r="R90" s="56"/>
      <c r="AK90" s="161"/>
      <c r="AL90" s="54"/>
    </row>
    <row r="91" spans="1:47" x14ac:dyDescent="0.25">
      <c r="L91" s="56"/>
      <c r="M91" s="56"/>
      <c r="N91" s="56"/>
      <c r="O91" s="56"/>
      <c r="R91" s="56"/>
      <c r="AA91" s="54"/>
      <c r="AB91" s="54"/>
      <c r="AK91" s="156"/>
      <c r="AL91" s="53"/>
    </row>
    <row r="92" spans="1:47" x14ac:dyDescent="0.25">
      <c r="A92" s="56"/>
      <c r="C92" s="56"/>
      <c r="D92" s="56"/>
      <c r="E92" s="56"/>
      <c r="F92" s="56"/>
      <c r="J92" s="56"/>
      <c r="K92" s="56"/>
      <c r="L92" s="56"/>
      <c r="M92" s="56"/>
      <c r="N92" s="56"/>
      <c r="O92" s="56"/>
      <c r="P92" s="56"/>
      <c r="Q92" s="56"/>
      <c r="R92" s="56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154"/>
      <c r="AH92" s="55"/>
      <c r="AI92" s="55"/>
      <c r="AJ92" s="55"/>
      <c r="AK92" s="154"/>
      <c r="AL92" s="55"/>
      <c r="AM92" s="55"/>
      <c r="AN92" s="55"/>
    </row>
    <row r="93" spans="1:47" x14ac:dyDescent="0.25">
      <c r="A93" s="56"/>
      <c r="C93" s="56"/>
      <c r="D93" s="56"/>
      <c r="E93" s="56"/>
      <c r="F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AA93" s="56"/>
      <c r="AB93" s="56"/>
      <c r="AC93" s="56"/>
      <c r="AD93" s="56"/>
      <c r="AE93" s="56"/>
      <c r="AF93" s="56"/>
      <c r="AG93" s="155"/>
      <c r="AH93" s="56"/>
      <c r="AK93" s="155"/>
      <c r="AL93" s="56"/>
      <c r="AM93" s="56"/>
      <c r="AN93" s="56"/>
    </row>
    <row r="94" spans="1:47" x14ac:dyDescent="0.25">
      <c r="C94" s="56"/>
      <c r="D94" s="56"/>
      <c r="E94" s="56"/>
      <c r="F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Z94" s="56"/>
      <c r="AA94" s="56"/>
      <c r="AB94" s="56"/>
      <c r="AC94" s="56"/>
      <c r="AD94" s="56"/>
      <c r="AE94" s="56"/>
      <c r="AF94" s="56"/>
      <c r="AG94" s="155"/>
      <c r="AH94" s="56"/>
      <c r="AK94" s="155"/>
      <c r="AL94" s="56"/>
      <c r="AM94" s="56"/>
      <c r="AN94" s="56"/>
    </row>
    <row r="95" spans="1:47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T95" s="56"/>
      <c r="U95" s="56"/>
      <c r="V95" s="56"/>
      <c r="Z95" s="56"/>
      <c r="AA95" s="56"/>
      <c r="AB95" s="56"/>
      <c r="AC95" s="56"/>
      <c r="AD95" s="56"/>
      <c r="AE95" s="56"/>
      <c r="AF95" s="56"/>
      <c r="AG95" s="155"/>
      <c r="AH95" s="56"/>
      <c r="AI95" s="56"/>
      <c r="AJ95" s="56"/>
      <c r="AK95" s="155"/>
      <c r="AL95" s="56"/>
      <c r="AM95" s="56"/>
      <c r="AN95" s="56"/>
    </row>
    <row r="96" spans="1:47" x14ac:dyDescent="0.25"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Y96" s="56"/>
      <c r="Z96" s="56"/>
      <c r="AA96" s="56"/>
      <c r="AB96" s="56"/>
      <c r="AC96" s="56"/>
      <c r="AD96" s="56"/>
      <c r="AE96" s="56"/>
      <c r="AF96" s="56"/>
      <c r="AG96" s="155"/>
      <c r="AH96" s="56"/>
      <c r="AI96" s="56"/>
      <c r="AJ96" s="56"/>
      <c r="AK96" s="155"/>
      <c r="AL96" s="56"/>
      <c r="AM96" s="56"/>
      <c r="AN96" s="56"/>
    </row>
    <row r="97" spans="1:40" x14ac:dyDescent="0.25">
      <c r="A97" s="53"/>
      <c r="C97" s="54"/>
      <c r="D97" s="54"/>
      <c r="E97" s="54"/>
      <c r="T97" s="56"/>
      <c r="U97" s="56"/>
      <c r="V97" s="56"/>
      <c r="Y97" s="56"/>
      <c r="Z97" s="56"/>
      <c r="AA97" s="56"/>
      <c r="AB97" s="56"/>
      <c r="AC97" s="56"/>
      <c r="AD97" s="56"/>
      <c r="AE97" s="56"/>
      <c r="AF97" s="56"/>
      <c r="AG97" s="155"/>
      <c r="AH97" s="56"/>
      <c r="AI97" s="56"/>
      <c r="AJ97" s="56"/>
      <c r="AK97" s="155"/>
      <c r="AL97" s="56"/>
      <c r="AM97" s="56"/>
      <c r="AN97" s="56"/>
    </row>
    <row r="98" spans="1:40" x14ac:dyDescent="0.25">
      <c r="A98" s="53"/>
      <c r="C98" s="54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154"/>
      <c r="AH98" s="55"/>
      <c r="AI98" s="55"/>
      <c r="AJ98" s="55"/>
      <c r="AK98" s="154"/>
      <c r="AL98" s="55"/>
      <c r="AM98" s="55"/>
      <c r="AN98" s="55"/>
    </row>
    <row r="99" spans="1:40" x14ac:dyDescent="0.25">
      <c r="Y99" s="56"/>
      <c r="Z99" s="56"/>
      <c r="AA99" s="56"/>
      <c r="AB99" s="56"/>
      <c r="AC99" s="56"/>
      <c r="AD99" s="56"/>
      <c r="AE99" s="56"/>
      <c r="AF99" s="56"/>
      <c r="AG99" s="155"/>
      <c r="AH99" s="56"/>
      <c r="AI99" s="56"/>
      <c r="AJ99" s="56"/>
      <c r="AK99" s="155"/>
      <c r="AL99" s="56"/>
      <c r="AM99" s="56"/>
      <c r="AN99" s="56"/>
    </row>
    <row r="100" spans="1:40" x14ac:dyDescent="0.25">
      <c r="A100" s="53"/>
      <c r="C100" s="54"/>
      <c r="T100" s="54"/>
      <c r="U100" s="54"/>
    </row>
    <row r="101" spans="1:40" x14ac:dyDescent="0.25">
      <c r="A101" s="53"/>
      <c r="C101" s="54"/>
      <c r="F101" s="449"/>
      <c r="H101" s="449"/>
      <c r="I101" s="449"/>
      <c r="J101" s="461"/>
      <c r="K101" s="461"/>
      <c r="L101" s="379"/>
      <c r="M101" s="379"/>
      <c r="N101" s="50"/>
      <c r="O101" s="50"/>
      <c r="P101" s="53"/>
      <c r="Q101" s="53"/>
      <c r="R101" s="379"/>
      <c r="T101" s="54"/>
    </row>
    <row r="102" spans="1:40" x14ac:dyDescent="0.25">
      <c r="A102" s="53"/>
      <c r="C102" s="54"/>
      <c r="F102" s="449"/>
      <c r="H102" s="449"/>
      <c r="I102" s="449"/>
      <c r="J102" s="461"/>
      <c r="K102" s="461"/>
      <c r="L102" s="379"/>
      <c r="M102" s="379"/>
      <c r="N102" s="50"/>
      <c r="O102" s="50"/>
      <c r="P102" s="53"/>
      <c r="Q102" s="53"/>
      <c r="R102" s="379"/>
    </row>
    <row r="103" spans="1:40" x14ac:dyDescent="0.25">
      <c r="A103" s="53"/>
      <c r="C103" s="54"/>
      <c r="F103" s="449"/>
      <c r="H103" s="449"/>
      <c r="I103" s="449"/>
      <c r="J103" s="461"/>
      <c r="K103" s="461"/>
      <c r="L103" s="379"/>
      <c r="M103" s="379"/>
      <c r="N103" s="50"/>
      <c r="O103" s="50"/>
      <c r="P103" s="53"/>
      <c r="Q103" s="53"/>
      <c r="R103" s="379"/>
      <c r="T103" s="54"/>
    </row>
    <row r="104" spans="1:40" x14ac:dyDescent="0.25">
      <c r="F104" s="381"/>
      <c r="H104" s="379"/>
      <c r="I104" s="379"/>
      <c r="J104" s="464"/>
      <c r="K104" s="464"/>
      <c r="L104" s="381"/>
      <c r="M104" s="381"/>
      <c r="N104" s="381"/>
      <c r="O104" s="381"/>
      <c r="P104" s="381"/>
      <c r="Q104" s="381"/>
      <c r="R104" s="381"/>
      <c r="T104" s="54"/>
      <c r="V104" s="379"/>
      <c r="Y104" s="449"/>
      <c r="Z104" s="461"/>
      <c r="AA104" s="379"/>
      <c r="AB104" s="379"/>
      <c r="AC104" s="50"/>
      <c r="AD104" s="50"/>
      <c r="AE104" s="379"/>
      <c r="AF104" s="379"/>
      <c r="AG104" s="474"/>
      <c r="AH104" s="475"/>
      <c r="AI104" s="53"/>
      <c r="AJ104" s="53"/>
      <c r="AK104" s="156"/>
      <c r="AL104" s="379"/>
      <c r="AM104" s="476"/>
      <c r="AN104" s="476"/>
    </row>
    <row r="105" spans="1:40" x14ac:dyDescent="0.25">
      <c r="A105" s="53"/>
      <c r="C105" s="54"/>
      <c r="F105" s="379"/>
      <c r="H105" s="379"/>
      <c r="I105" s="379"/>
      <c r="J105" s="464"/>
      <c r="K105" s="464"/>
      <c r="L105" s="379"/>
      <c r="M105" s="379"/>
      <c r="N105" s="50"/>
      <c r="O105" s="50"/>
      <c r="P105" s="379"/>
      <c r="Q105" s="379"/>
      <c r="R105" s="379"/>
      <c r="T105" s="54"/>
      <c r="V105" s="379"/>
      <c r="Y105" s="449"/>
      <c r="Z105" s="461"/>
      <c r="AA105" s="379"/>
      <c r="AB105" s="379"/>
      <c r="AC105" s="50"/>
      <c r="AD105" s="50"/>
      <c r="AE105" s="379"/>
      <c r="AF105" s="379"/>
      <c r="AG105" s="156"/>
      <c r="AH105" s="60"/>
      <c r="AI105" s="53"/>
      <c r="AJ105" s="53"/>
      <c r="AK105" s="156"/>
      <c r="AL105" s="379"/>
      <c r="AM105" s="50"/>
      <c r="AN105" s="50"/>
    </row>
    <row r="106" spans="1:40" x14ac:dyDescent="0.25">
      <c r="F106" s="381"/>
      <c r="H106" s="379"/>
      <c r="I106" s="379"/>
      <c r="J106" s="464"/>
      <c r="K106" s="464"/>
      <c r="L106" s="381"/>
      <c r="M106" s="381"/>
      <c r="N106" s="381"/>
      <c r="O106" s="381"/>
      <c r="P106" s="381"/>
      <c r="Q106" s="381"/>
      <c r="R106" s="381"/>
      <c r="T106" s="54"/>
      <c r="V106" s="379"/>
      <c r="Y106" s="449"/>
      <c r="Z106" s="461"/>
      <c r="AA106" s="379"/>
      <c r="AB106" s="379"/>
      <c r="AC106" s="50"/>
      <c r="AD106" s="50"/>
      <c r="AE106" s="379"/>
      <c r="AF106" s="379"/>
      <c r="AG106" s="156"/>
      <c r="AH106" s="60"/>
      <c r="AI106" s="53"/>
      <c r="AJ106" s="53"/>
      <c r="AK106" s="156"/>
      <c r="AL106" s="379"/>
      <c r="AM106" s="50"/>
      <c r="AN106" s="50"/>
    </row>
    <row r="107" spans="1:40" x14ac:dyDescent="0.25">
      <c r="A107" s="53"/>
      <c r="C107" s="54"/>
      <c r="F107" s="449"/>
      <c r="H107" s="449"/>
      <c r="I107" s="449"/>
      <c r="J107" s="477"/>
      <c r="K107" s="477"/>
      <c r="L107" s="379"/>
      <c r="M107" s="379"/>
      <c r="N107" s="50"/>
      <c r="O107" s="50"/>
      <c r="P107" s="379"/>
      <c r="Q107" s="379"/>
      <c r="R107" s="379"/>
      <c r="S107" s="379"/>
      <c r="V107" s="381"/>
      <c r="Y107" s="379"/>
      <c r="Z107" s="464"/>
      <c r="AA107" s="381"/>
      <c r="AB107" s="381"/>
      <c r="AC107" s="381"/>
      <c r="AD107" s="381"/>
      <c r="AE107" s="381"/>
      <c r="AF107" s="381"/>
      <c r="AI107" s="381"/>
      <c r="AJ107" s="381"/>
      <c r="AK107" s="162"/>
      <c r="AL107" s="381"/>
      <c r="AM107" s="50"/>
      <c r="AN107" s="50"/>
    </row>
    <row r="108" spans="1:40" x14ac:dyDescent="0.25">
      <c r="A108" s="53"/>
      <c r="C108" s="54"/>
      <c r="F108" s="449"/>
      <c r="H108" s="449"/>
      <c r="I108" s="449"/>
      <c r="J108" s="461"/>
      <c r="K108" s="461"/>
      <c r="L108" s="379"/>
      <c r="M108" s="379"/>
      <c r="N108" s="50"/>
      <c r="O108" s="50"/>
      <c r="P108" s="379"/>
      <c r="Q108" s="379"/>
      <c r="R108" s="379"/>
      <c r="T108" s="54"/>
      <c r="V108" s="379"/>
      <c r="Y108" s="379"/>
      <c r="Z108" s="59"/>
      <c r="AA108" s="379"/>
      <c r="AB108" s="379"/>
      <c r="AC108" s="50"/>
      <c r="AD108" s="50"/>
      <c r="AE108" s="379"/>
      <c r="AF108" s="379"/>
      <c r="AG108" s="156"/>
      <c r="AH108" s="60"/>
      <c r="AI108" s="379"/>
      <c r="AJ108" s="379"/>
      <c r="AK108" s="156"/>
      <c r="AL108" s="379"/>
      <c r="AM108" s="50"/>
      <c r="AN108" s="50"/>
    </row>
    <row r="109" spans="1:40" x14ac:dyDescent="0.25">
      <c r="A109" s="53"/>
      <c r="C109" s="54"/>
      <c r="F109" s="449"/>
      <c r="H109" s="449"/>
      <c r="I109" s="449"/>
      <c r="J109" s="461"/>
      <c r="K109" s="461"/>
      <c r="L109" s="379"/>
      <c r="M109" s="379"/>
      <c r="N109" s="50"/>
      <c r="O109" s="50"/>
      <c r="P109" s="379"/>
      <c r="Q109" s="379"/>
      <c r="R109" s="379"/>
      <c r="V109" s="381"/>
      <c r="Y109" s="379"/>
      <c r="Z109" s="464"/>
      <c r="AA109" s="381"/>
      <c r="AB109" s="381"/>
      <c r="AC109" s="381"/>
      <c r="AD109" s="381"/>
      <c r="AE109" s="381"/>
      <c r="AF109" s="381"/>
      <c r="AI109" s="381"/>
      <c r="AJ109" s="381"/>
      <c r="AK109" s="162"/>
      <c r="AL109" s="381"/>
      <c r="AM109" s="50"/>
      <c r="AN109" s="50"/>
    </row>
    <row r="110" spans="1:40" x14ac:dyDescent="0.25">
      <c r="F110" s="379"/>
      <c r="H110" s="381"/>
      <c r="I110" s="381"/>
      <c r="J110" s="464"/>
      <c r="K110" s="464"/>
      <c r="L110" s="381"/>
      <c r="M110" s="381"/>
      <c r="N110" s="381"/>
      <c r="O110" s="381"/>
      <c r="P110" s="381"/>
      <c r="Q110" s="381"/>
      <c r="R110" s="381"/>
      <c r="T110" s="54"/>
      <c r="V110" s="449"/>
      <c r="Y110" s="449"/>
      <c r="Z110" s="477"/>
      <c r="AA110" s="379"/>
      <c r="AB110" s="379"/>
      <c r="AC110" s="50"/>
      <c r="AD110" s="50"/>
      <c r="AE110" s="379"/>
      <c r="AF110" s="379"/>
      <c r="AG110" s="156"/>
      <c r="AH110" s="50"/>
      <c r="AI110" s="379"/>
      <c r="AJ110" s="379"/>
      <c r="AK110" s="156"/>
      <c r="AL110" s="379"/>
      <c r="AM110" s="50"/>
      <c r="AN110" s="50"/>
    </row>
    <row r="111" spans="1:40" x14ac:dyDescent="0.25">
      <c r="A111" s="53"/>
      <c r="C111" s="54"/>
      <c r="F111" s="379"/>
      <c r="H111" s="379"/>
      <c r="I111" s="379"/>
      <c r="J111" s="464"/>
      <c r="K111" s="464"/>
      <c r="L111" s="379"/>
      <c r="M111" s="379"/>
      <c r="N111" s="50"/>
      <c r="O111" s="50"/>
      <c r="P111" s="379"/>
      <c r="Q111" s="379"/>
      <c r="R111" s="379"/>
      <c r="T111" s="54"/>
      <c r="V111" s="449"/>
      <c r="Y111" s="379"/>
      <c r="Z111" s="461"/>
      <c r="AA111" s="379"/>
      <c r="AB111" s="379"/>
      <c r="AC111" s="50"/>
      <c r="AD111" s="50"/>
      <c r="AE111" s="379"/>
      <c r="AF111" s="379"/>
      <c r="AG111" s="156"/>
      <c r="AH111" s="60"/>
      <c r="AI111" s="379"/>
      <c r="AJ111" s="379"/>
      <c r="AK111" s="156"/>
      <c r="AL111" s="379"/>
      <c r="AM111" s="50"/>
      <c r="AN111" s="50"/>
    </row>
    <row r="112" spans="1:40" x14ac:dyDescent="0.25">
      <c r="F112" s="379"/>
      <c r="H112" s="381"/>
      <c r="I112" s="381"/>
      <c r="J112" s="464"/>
      <c r="K112" s="464"/>
      <c r="L112" s="381"/>
      <c r="M112" s="381"/>
      <c r="N112" s="381"/>
      <c r="O112" s="381"/>
      <c r="P112" s="381"/>
      <c r="Q112" s="381"/>
      <c r="R112" s="381"/>
      <c r="T112" s="54"/>
      <c r="V112" s="449"/>
      <c r="Y112" s="379"/>
      <c r="Z112" s="461"/>
      <c r="AA112" s="379"/>
      <c r="AB112" s="379"/>
      <c r="AC112" s="50"/>
      <c r="AD112" s="50"/>
      <c r="AE112" s="379"/>
      <c r="AF112" s="379"/>
      <c r="AG112" s="156"/>
      <c r="AH112" s="60"/>
      <c r="AI112" s="379"/>
      <c r="AJ112" s="379"/>
      <c r="AK112" s="156"/>
      <c r="AL112" s="379"/>
      <c r="AM112" s="50"/>
      <c r="AN112" s="50"/>
    </row>
    <row r="113" spans="1:40" x14ac:dyDescent="0.25">
      <c r="A113" s="53"/>
      <c r="C113" s="54"/>
      <c r="F113" s="379"/>
      <c r="H113" s="379"/>
      <c r="I113" s="379"/>
      <c r="J113" s="464"/>
      <c r="K113" s="464"/>
      <c r="L113" s="379"/>
      <c r="M113" s="379"/>
      <c r="N113" s="379"/>
      <c r="O113" s="379"/>
      <c r="P113" s="379"/>
      <c r="Q113" s="379"/>
      <c r="R113" s="379"/>
      <c r="V113" s="379"/>
      <c r="Y113" s="381"/>
      <c r="Z113" s="464"/>
      <c r="AA113" s="381"/>
      <c r="AB113" s="381"/>
      <c r="AC113" s="381"/>
      <c r="AD113" s="381"/>
      <c r="AE113" s="381"/>
      <c r="AF113" s="381"/>
      <c r="AI113" s="381"/>
      <c r="AJ113" s="381"/>
      <c r="AK113" s="162"/>
      <c r="AL113" s="381"/>
      <c r="AM113" s="50"/>
      <c r="AN113" s="50"/>
    </row>
    <row r="114" spans="1:40" x14ac:dyDescent="0.25">
      <c r="A114" s="53"/>
      <c r="C114" s="54"/>
      <c r="F114" s="379"/>
      <c r="H114" s="449"/>
      <c r="I114" s="449"/>
      <c r="J114" s="221"/>
      <c r="K114" s="221"/>
      <c r="L114" s="379"/>
      <c r="M114" s="379"/>
      <c r="N114" s="50"/>
      <c r="O114" s="50"/>
      <c r="P114" s="379"/>
      <c r="Q114" s="379"/>
      <c r="R114" s="379"/>
      <c r="T114" s="54"/>
      <c r="V114" s="379"/>
      <c r="Y114" s="379"/>
      <c r="Z114" s="464"/>
      <c r="AA114" s="379"/>
      <c r="AB114" s="379"/>
      <c r="AC114" s="50"/>
      <c r="AD114" s="50"/>
      <c r="AE114" s="379"/>
      <c r="AF114" s="379"/>
      <c r="AG114" s="156"/>
      <c r="AH114" s="60"/>
      <c r="AI114" s="379"/>
      <c r="AJ114" s="379"/>
      <c r="AK114" s="156"/>
      <c r="AL114" s="379"/>
      <c r="AM114" s="50"/>
      <c r="AN114" s="50"/>
    </row>
    <row r="115" spans="1:40" x14ac:dyDescent="0.25">
      <c r="A115" s="53"/>
      <c r="C115" s="54"/>
      <c r="H115" s="449"/>
      <c r="I115" s="449"/>
      <c r="J115" s="221"/>
      <c r="K115" s="221"/>
      <c r="L115" s="379"/>
      <c r="M115" s="379"/>
      <c r="N115" s="50"/>
      <c r="O115" s="50"/>
      <c r="P115" s="379"/>
      <c r="Q115" s="379"/>
      <c r="R115" s="379"/>
      <c r="V115" s="379"/>
      <c r="Y115" s="381"/>
      <c r="Z115" s="464"/>
      <c r="AA115" s="381"/>
      <c r="AB115" s="381"/>
      <c r="AC115" s="381"/>
      <c r="AD115" s="381"/>
      <c r="AE115" s="381"/>
      <c r="AF115" s="381"/>
      <c r="AI115" s="381"/>
      <c r="AJ115" s="381"/>
      <c r="AK115" s="162"/>
      <c r="AL115" s="381"/>
      <c r="AM115" s="50"/>
      <c r="AN115" s="50"/>
    </row>
    <row r="116" spans="1:40" x14ac:dyDescent="0.25">
      <c r="F116" s="379"/>
      <c r="H116" s="379"/>
      <c r="I116" s="379"/>
      <c r="J116" s="464"/>
      <c r="K116" s="464"/>
      <c r="L116" s="381"/>
      <c r="M116" s="381"/>
      <c r="N116" s="381"/>
      <c r="O116" s="381"/>
      <c r="P116" s="381"/>
      <c r="Q116" s="381"/>
      <c r="R116" s="381"/>
      <c r="T116" s="54"/>
      <c r="V116" s="379"/>
      <c r="Y116" s="379"/>
      <c r="Z116" s="464"/>
      <c r="AA116" s="379"/>
      <c r="AB116" s="379"/>
      <c r="AC116" s="379"/>
      <c r="AD116" s="379"/>
      <c r="AE116" s="379"/>
      <c r="AF116" s="379"/>
      <c r="AG116" s="156"/>
      <c r="AH116" s="60"/>
      <c r="AI116" s="379"/>
      <c r="AJ116" s="379"/>
      <c r="AK116" s="156"/>
      <c r="AL116" s="379"/>
      <c r="AM116" s="50"/>
      <c r="AN116" s="50"/>
    </row>
    <row r="117" spans="1:40" x14ac:dyDescent="0.25">
      <c r="A117" s="53"/>
      <c r="C117" s="54"/>
      <c r="F117" s="379"/>
      <c r="H117" s="379"/>
      <c r="I117" s="379"/>
      <c r="J117" s="59"/>
      <c r="K117" s="59"/>
      <c r="L117" s="379"/>
      <c r="M117" s="379"/>
      <c r="N117" s="50"/>
      <c r="O117" s="50"/>
      <c r="P117" s="379"/>
      <c r="Q117" s="379"/>
      <c r="R117" s="379"/>
      <c r="T117" s="54"/>
      <c r="V117" s="379"/>
      <c r="Y117" s="379"/>
      <c r="Z117" s="221"/>
      <c r="AA117" s="379"/>
      <c r="AB117" s="379"/>
      <c r="AC117" s="50"/>
      <c r="AD117" s="50"/>
      <c r="AE117" s="379"/>
      <c r="AF117" s="379"/>
      <c r="AG117" s="156"/>
      <c r="AH117" s="60"/>
      <c r="AI117" s="379"/>
      <c r="AJ117" s="379"/>
      <c r="AK117" s="156"/>
      <c r="AL117" s="379"/>
      <c r="AM117" s="50"/>
      <c r="AN117" s="50"/>
    </row>
    <row r="118" spans="1:40" x14ac:dyDescent="0.25">
      <c r="F118" s="379"/>
      <c r="H118" s="379"/>
      <c r="I118" s="379"/>
      <c r="J118" s="464"/>
      <c r="K118" s="464"/>
      <c r="L118" s="381"/>
      <c r="M118" s="381"/>
      <c r="N118" s="381"/>
      <c r="O118" s="381"/>
      <c r="P118" s="381"/>
      <c r="Q118" s="381"/>
      <c r="R118" s="381"/>
      <c r="T118" s="54"/>
      <c r="Y118" s="379"/>
      <c r="Z118" s="221"/>
      <c r="AA118" s="379"/>
      <c r="AB118" s="379"/>
      <c r="AC118" s="50"/>
      <c r="AD118" s="50"/>
      <c r="AE118" s="379"/>
      <c r="AF118" s="379"/>
      <c r="AG118" s="156"/>
      <c r="AH118" s="60"/>
      <c r="AI118" s="379"/>
      <c r="AJ118" s="379"/>
      <c r="AK118" s="156"/>
      <c r="AL118" s="379"/>
      <c r="AM118" s="50"/>
      <c r="AN118" s="50"/>
    </row>
    <row r="119" spans="1:40" x14ac:dyDescent="0.25">
      <c r="A119" s="53"/>
      <c r="C119" s="54"/>
      <c r="F119" s="379"/>
      <c r="H119" s="379"/>
      <c r="I119" s="379"/>
      <c r="J119" s="59"/>
      <c r="K119" s="59"/>
      <c r="L119" s="379"/>
      <c r="M119" s="379"/>
      <c r="N119" s="50"/>
      <c r="O119" s="50"/>
      <c r="P119" s="379"/>
      <c r="Q119" s="379"/>
      <c r="R119" s="379"/>
      <c r="V119" s="379"/>
      <c r="Y119" s="379"/>
      <c r="Z119" s="464"/>
      <c r="AA119" s="381"/>
      <c r="AB119" s="381"/>
      <c r="AC119" s="381"/>
      <c r="AD119" s="381"/>
      <c r="AE119" s="381"/>
      <c r="AF119" s="381"/>
      <c r="AI119" s="381"/>
      <c r="AJ119" s="381"/>
      <c r="AK119" s="162"/>
      <c r="AL119" s="381"/>
      <c r="AM119" s="50"/>
      <c r="AN119" s="50"/>
    </row>
    <row r="120" spans="1:40" x14ac:dyDescent="0.25">
      <c r="A120" s="53"/>
      <c r="C120" s="54"/>
      <c r="F120" s="379"/>
      <c r="H120" s="449"/>
      <c r="I120" s="449"/>
      <c r="J120" s="472"/>
      <c r="K120" s="472"/>
      <c r="L120" s="379"/>
      <c r="M120" s="379"/>
      <c r="N120" s="50"/>
      <c r="O120" s="50"/>
      <c r="P120" s="379"/>
      <c r="Q120" s="379"/>
      <c r="R120" s="379"/>
      <c r="T120" s="54"/>
      <c r="V120" s="379"/>
      <c r="Y120" s="379"/>
      <c r="Z120" s="59"/>
      <c r="AA120" s="379"/>
      <c r="AB120" s="379"/>
      <c r="AC120" s="50"/>
      <c r="AD120" s="50"/>
      <c r="AE120" s="379"/>
      <c r="AF120" s="379"/>
      <c r="AG120" s="156"/>
      <c r="AH120" s="60"/>
      <c r="AI120" s="379"/>
      <c r="AJ120" s="379"/>
      <c r="AK120" s="156"/>
      <c r="AL120" s="379"/>
      <c r="AM120" s="50"/>
      <c r="AN120" s="50"/>
    </row>
    <row r="121" spans="1:40" x14ac:dyDescent="0.25">
      <c r="F121" s="381"/>
      <c r="H121" s="381"/>
      <c r="I121" s="381"/>
      <c r="J121" s="464"/>
      <c r="K121" s="464"/>
      <c r="L121" s="381"/>
      <c r="M121" s="381"/>
      <c r="N121" s="381"/>
      <c r="O121" s="381"/>
      <c r="P121" s="381"/>
      <c r="Q121" s="381"/>
      <c r="R121" s="381"/>
      <c r="V121" s="379"/>
      <c r="Y121" s="379"/>
      <c r="Z121" s="464"/>
      <c r="AA121" s="381"/>
      <c r="AB121" s="381"/>
      <c r="AC121" s="381"/>
      <c r="AD121" s="381"/>
      <c r="AE121" s="381"/>
      <c r="AF121" s="381"/>
      <c r="AI121" s="381"/>
      <c r="AJ121" s="381"/>
      <c r="AK121" s="162"/>
      <c r="AL121" s="381"/>
      <c r="AM121" s="50"/>
      <c r="AN121" s="50"/>
    </row>
    <row r="122" spans="1:40" x14ac:dyDescent="0.25">
      <c r="A122" s="53"/>
      <c r="C122" s="54"/>
      <c r="F122" s="379"/>
      <c r="H122" s="379"/>
      <c r="I122" s="379"/>
      <c r="J122" s="464"/>
      <c r="K122" s="464"/>
      <c r="L122" s="379"/>
      <c r="M122" s="379"/>
      <c r="N122" s="50"/>
      <c r="O122" s="50"/>
      <c r="P122" s="379"/>
      <c r="Q122" s="379"/>
      <c r="R122" s="379"/>
      <c r="S122" s="379"/>
      <c r="T122" s="54"/>
      <c r="V122" s="379"/>
      <c r="Y122" s="379"/>
      <c r="Z122" s="59"/>
      <c r="AA122" s="379"/>
      <c r="AB122" s="379"/>
      <c r="AC122" s="50"/>
      <c r="AD122" s="50"/>
      <c r="AE122" s="379"/>
      <c r="AF122" s="379"/>
      <c r="AG122" s="156"/>
      <c r="AH122" s="60"/>
      <c r="AI122" s="379"/>
      <c r="AJ122" s="379"/>
      <c r="AK122" s="156"/>
      <c r="AL122" s="379"/>
      <c r="AM122" s="50"/>
      <c r="AN122" s="50"/>
    </row>
    <row r="123" spans="1:40" x14ac:dyDescent="0.25">
      <c r="F123" s="381"/>
      <c r="H123" s="381"/>
      <c r="I123" s="381"/>
      <c r="J123" s="464"/>
      <c r="K123" s="464"/>
      <c r="L123" s="381"/>
      <c r="M123" s="381"/>
      <c r="N123" s="381"/>
      <c r="O123" s="381"/>
      <c r="P123" s="381"/>
      <c r="Q123" s="381"/>
      <c r="R123" s="381"/>
      <c r="S123" s="379"/>
      <c r="T123" s="54"/>
      <c r="V123" s="449"/>
      <c r="Y123" s="379"/>
      <c r="Z123" s="472"/>
      <c r="AA123" s="379"/>
      <c r="AB123" s="379"/>
      <c r="AC123" s="50"/>
      <c r="AD123" s="50"/>
      <c r="AE123" s="379"/>
      <c r="AF123" s="379"/>
      <c r="AG123" s="156"/>
      <c r="AH123" s="60"/>
      <c r="AI123" s="379"/>
      <c r="AJ123" s="379"/>
      <c r="AK123" s="156"/>
      <c r="AL123" s="379"/>
      <c r="AM123" s="50"/>
      <c r="AN123" s="50"/>
    </row>
    <row r="124" spans="1:40" x14ac:dyDescent="0.25">
      <c r="A124" s="53"/>
      <c r="C124" s="54"/>
      <c r="F124" s="449"/>
      <c r="H124" s="478"/>
      <c r="I124" s="478"/>
      <c r="J124" s="464"/>
      <c r="K124" s="464"/>
      <c r="L124" s="379"/>
      <c r="M124" s="379"/>
      <c r="N124" s="50"/>
      <c r="O124" s="50"/>
      <c r="P124" s="379"/>
      <c r="Q124" s="379"/>
      <c r="R124" s="379"/>
      <c r="S124" s="379"/>
      <c r="V124" s="381"/>
      <c r="Y124" s="381"/>
      <c r="Z124" s="464"/>
      <c r="AA124" s="381"/>
      <c r="AB124" s="381"/>
      <c r="AC124" s="381"/>
      <c r="AD124" s="381"/>
      <c r="AE124" s="381"/>
      <c r="AF124" s="381"/>
      <c r="AI124" s="381"/>
      <c r="AJ124" s="381"/>
      <c r="AK124" s="162"/>
      <c r="AL124" s="381"/>
      <c r="AM124" s="50"/>
      <c r="AN124" s="50"/>
    </row>
    <row r="125" spans="1:40" x14ac:dyDescent="0.25">
      <c r="T125" s="54"/>
      <c r="V125" s="379"/>
      <c r="Y125" s="379"/>
      <c r="Z125" s="464"/>
      <c r="AA125" s="379"/>
      <c r="AB125" s="379"/>
      <c r="AC125" s="50"/>
      <c r="AD125" s="50"/>
      <c r="AE125" s="379"/>
      <c r="AF125" s="379"/>
      <c r="AG125" s="156"/>
      <c r="AH125" s="50"/>
      <c r="AI125" s="379"/>
      <c r="AJ125" s="379"/>
      <c r="AK125" s="156"/>
      <c r="AL125" s="379"/>
      <c r="AM125" s="50"/>
      <c r="AN125" s="50"/>
    </row>
    <row r="126" spans="1:40" x14ac:dyDescent="0.25">
      <c r="A126" s="53"/>
      <c r="C126" s="54"/>
      <c r="V126" s="381"/>
      <c r="Y126" s="381"/>
      <c r="Z126" s="464"/>
      <c r="AA126" s="381"/>
      <c r="AB126" s="381"/>
      <c r="AC126" s="381"/>
      <c r="AD126" s="381"/>
      <c r="AE126" s="381"/>
      <c r="AF126" s="381"/>
      <c r="AI126" s="381"/>
      <c r="AJ126" s="381"/>
      <c r="AK126" s="162"/>
      <c r="AL126" s="381"/>
      <c r="AM126" s="50"/>
      <c r="AN126" s="50"/>
    </row>
    <row r="127" spans="1:40" x14ac:dyDescent="0.25">
      <c r="A127" s="53"/>
      <c r="C127" s="54"/>
      <c r="F127" s="449"/>
      <c r="H127" s="449"/>
      <c r="I127" s="449"/>
      <c r="J127" s="461"/>
      <c r="K127" s="461"/>
      <c r="L127" s="379"/>
      <c r="M127" s="379"/>
      <c r="N127" s="50"/>
      <c r="O127" s="50"/>
      <c r="P127" s="53"/>
      <c r="Q127" s="53"/>
      <c r="R127" s="379"/>
      <c r="T127" s="54"/>
      <c r="V127" s="449"/>
      <c r="Y127" s="449"/>
      <c r="Z127" s="464"/>
      <c r="AA127" s="379"/>
      <c r="AB127" s="379"/>
      <c r="AC127" s="50"/>
      <c r="AD127" s="50"/>
      <c r="AE127" s="379"/>
      <c r="AF127" s="379"/>
      <c r="AI127" s="379"/>
      <c r="AJ127" s="379"/>
      <c r="AK127" s="156"/>
      <c r="AL127" s="379"/>
      <c r="AM127" s="50"/>
      <c r="AN127" s="50"/>
    </row>
    <row r="128" spans="1:40" x14ac:dyDescent="0.25">
      <c r="A128" s="53"/>
      <c r="C128" s="54"/>
      <c r="F128" s="449"/>
      <c r="H128" s="449"/>
      <c r="I128" s="449"/>
      <c r="J128" s="461"/>
      <c r="K128" s="461"/>
      <c r="L128" s="379"/>
      <c r="M128" s="379"/>
      <c r="N128" s="50"/>
      <c r="O128" s="50"/>
      <c r="P128" s="53"/>
      <c r="Q128" s="53"/>
      <c r="R128" s="379"/>
    </row>
    <row r="129" spans="1:40" x14ac:dyDescent="0.25">
      <c r="A129" s="53"/>
      <c r="C129" s="54"/>
      <c r="F129" s="449"/>
      <c r="H129" s="449"/>
      <c r="I129" s="449"/>
      <c r="J129" s="461"/>
      <c r="K129" s="461"/>
      <c r="L129" s="379"/>
      <c r="M129" s="379"/>
      <c r="N129" s="50"/>
      <c r="O129" s="50"/>
      <c r="P129" s="53"/>
      <c r="Q129" s="53"/>
      <c r="R129" s="379"/>
      <c r="T129" s="54"/>
    </row>
    <row r="130" spans="1:40" x14ac:dyDescent="0.25">
      <c r="F130" s="381"/>
      <c r="H130" s="379"/>
      <c r="I130" s="379"/>
      <c r="J130" s="464"/>
      <c r="K130" s="464"/>
      <c r="L130" s="381"/>
      <c r="M130" s="381"/>
      <c r="N130" s="381"/>
      <c r="O130" s="381"/>
      <c r="P130" s="381"/>
      <c r="Q130" s="381"/>
      <c r="R130" s="381"/>
      <c r="T130" s="54"/>
      <c r="V130" s="379"/>
      <c r="Y130" s="449"/>
      <c r="Z130" s="461"/>
      <c r="AA130" s="379"/>
      <c r="AB130" s="379"/>
      <c r="AC130" s="50"/>
      <c r="AD130" s="50"/>
      <c r="AE130" s="379"/>
      <c r="AF130" s="379"/>
      <c r="AG130" s="474"/>
      <c r="AH130" s="475"/>
      <c r="AI130" s="53"/>
      <c r="AJ130" s="53"/>
      <c r="AK130" s="156"/>
      <c r="AL130" s="379"/>
      <c r="AM130" s="476"/>
      <c r="AN130" s="476"/>
    </row>
    <row r="131" spans="1:40" x14ac:dyDescent="0.25">
      <c r="A131" s="53"/>
      <c r="C131" s="54"/>
      <c r="F131" s="379"/>
      <c r="H131" s="379"/>
      <c r="I131" s="379"/>
      <c r="J131" s="464"/>
      <c r="K131" s="464"/>
      <c r="L131" s="379"/>
      <c r="M131" s="379"/>
      <c r="N131" s="50"/>
      <c r="O131" s="50"/>
      <c r="P131" s="379"/>
      <c r="Q131" s="379"/>
      <c r="R131" s="379"/>
      <c r="T131" s="54"/>
      <c r="V131" s="379"/>
      <c r="Y131" s="449"/>
      <c r="Z131" s="461"/>
      <c r="AA131" s="379"/>
      <c r="AB131" s="379"/>
      <c r="AC131" s="50"/>
      <c r="AD131" s="50"/>
      <c r="AE131" s="379"/>
      <c r="AF131" s="379"/>
      <c r="AG131" s="156"/>
      <c r="AH131" s="60"/>
      <c r="AI131" s="53"/>
      <c r="AJ131" s="53"/>
      <c r="AK131" s="156"/>
      <c r="AL131" s="379"/>
      <c r="AM131" s="50"/>
      <c r="AN131" s="50"/>
    </row>
    <row r="132" spans="1:40" x14ac:dyDescent="0.25">
      <c r="F132" s="381"/>
      <c r="H132" s="379"/>
      <c r="I132" s="379"/>
      <c r="J132" s="464"/>
      <c r="K132" s="464"/>
      <c r="L132" s="381"/>
      <c r="M132" s="381"/>
      <c r="N132" s="381"/>
      <c r="O132" s="381"/>
      <c r="P132" s="381"/>
      <c r="Q132" s="381"/>
      <c r="R132" s="381"/>
      <c r="T132" s="54"/>
      <c r="V132" s="379"/>
      <c r="Y132" s="449"/>
      <c r="Z132" s="461"/>
      <c r="AA132" s="379"/>
      <c r="AB132" s="379"/>
      <c r="AC132" s="50"/>
      <c r="AD132" s="50"/>
      <c r="AE132" s="379"/>
      <c r="AF132" s="379"/>
      <c r="AG132" s="156"/>
      <c r="AH132" s="60"/>
      <c r="AI132" s="53"/>
      <c r="AJ132" s="53"/>
      <c r="AK132" s="156"/>
      <c r="AL132" s="379"/>
      <c r="AM132" s="50"/>
      <c r="AN132" s="50"/>
    </row>
    <row r="133" spans="1:40" x14ac:dyDescent="0.25">
      <c r="A133" s="53"/>
      <c r="C133" s="54"/>
      <c r="F133" s="449"/>
      <c r="H133" s="449"/>
      <c r="I133" s="449"/>
      <c r="J133" s="477"/>
      <c r="K133" s="477"/>
      <c r="L133" s="379"/>
      <c r="M133" s="379"/>
      <c r="N133" s="50"/>
      <c r="O133" s="50"/>
      <c r="P133" s="379"/>
      <c r="Q133" s="379"/>
      <c r="R133" s="379"/>
      <c r="S133" s="379"/>
      <c r="V133" s="381"/>
      <c r="Y133" s="379"/>
      <c r="Z133" s="464"/>
      <c r="AA133" s="381"/>
      <c r="AB133" s="381"/>
      <c r="AC133" s="381"/>
      <c r="AD133" s="381"/>
      <c r="AE133" s="381"/>
      <c r="AF133" s="381"/>
      <c r="AI133" s="381"/>
      <c r="AJ133" s="381"/>
      <c r="AK133" s="162"/>
      <c r="AL133" s="381"/>
      <c r="AM133" s="50"/>
      <c r="AN133" s="50"/>
    </row>
    <row r="134" spans="1:40" x14ac:dyDescent="0.25">
      <c r="A134" s="53"/>
      <c r="C134" s="54"/>
      <c r="F134" s="449"/>
      <c r="H134" s="449"/>
      <c r="I134" s="449"/>
      <c r="J134" s="461"/>
      <c r="K134" s="461"/>
      <c r="L134" s="379"/>
      <c r="M134" s="379"/>
      <c r="N134" s="50"/>
      <c r="O134" s="50"/>
      <c r="P134" s="379"/>
      <c r="Q134" s="379"/>
      <c r="R134" s="379"/>
      <c r="T134" s="54"/>
      <c r="V134" s="379"/>
      <c r="Y134" s="379"/>
      <c r="Z134" s="464"/>
      <c r="AA134" s="379"/>
      <c r="AB134" s="379"/>
      <c r="AC134" s="50"/>
      <c r="AD134" s="50"/>
      <c r="AE134" s="379"/>
      <c r="AF134" s="379"/>
      <c r="AG134" s="156"/>
      <c r="AH134" s="60"/>
      <c r="AI134" s="379"/>
      <c r="AJ134" s="379"/>
      <c r="AK134" s="156"/>
      <c r="AL134" s="379"/>
      <c r="AM134" s="50"/>
      <c r="AN134" s="50"/>
    </row>
    <row r="135" spans="1:40" x14ac:dyDescent="0.25">
      <c r="A135" s="53"/>
      <c r="C135" s="54"/>
      <c r="F135" s="449"/>
      <c r="H135" s="449"/>
      <c r="I135" s="449"/>
      <c r="J135" s="461"/>
      <c r="K135" s="461"/>
      <c r="L135" s="379"/>
      <c r="M135" s="379"/>
      <c r="N135" s="50"/>
      <c r="O135" s="50"/>
      <c r="P135" s="379"/>
      <c r="Q135" s="379"/>
      <c r="R135" s="379"/>
      <c r="V135" s="381"/>
      <c r="Y135" s="379"/>
      <c r="Z135" s="464"/>
      <c r="AA135" s="381"/>
      <c r="AB135" s="381"/>
      <c r="AC135" s="381"/>
      <c r="AD135" s="381"/>
      <c r="AE135" s="381"/>
      <c r="AF135" s="381"/>
      <c r="AI135" s="381"/>
      <c r="AJ135" s="381"/>
      <c r="AK135" s="162"/>
      <c r="AL135" s="381"/>
      <c r="AM135" s="50"/>
      <c r="AN135" s="50"/>
    </row>
    <row r="136" spans="1:40" x14ac:dyDescent="0.25">
      <c r="F136" s="379"/>
      <c r="H136" s="381"/>
      <c r="I136" s="381"/>
      <c r="J136" s="464"/>
      <c r="K136" s="464"/>
      <c r="L136" s="381"/>
      <c r="M136" s="381"/>
      <c r="N136" s="381"/>
      <c r="O136" s="381"/>
      <c r="P136" s="381"/>
      <c r="Q136" s="381"/>
      <c r="R136" s="381"/>
      <c r="T136" s="54"/>
      <c r="V136" s="449"/>
      <c r="Y136" s="449"/>
      <c r="Z136" s="477"/>
      <c r="AA136" s="379"/>
      <c r="AB136" s="379"/>
      <c r="AC136" s="50"/>
      <c r="AD136" s="50"/>
      <c r="AE136" s="379"/>
      <c r="AF136" s="379"/>
      <c r="AG136" s="156"/>
      <c r="AH136" s="50"/>
      <c r="AI136" s="379"/>
      <c r="AJ136" s="379"/>
      <c r="AK136" s="156"/>
      <c r="AL136" s="379"/>
      <c r="AM136" s="50"/>
      <c r="AN136" s="50"/>
    </row>
    <row r="137" spans="1:40" x14ac:dyDescent="0.25">
      <c r="A137" s="53"/>
      <c r="C137" s="54"/>
      <c r="F137" s="379"/>
      <c r="H137" s="379"/>
      <c r="I137" s="379"/>
      <c r="J137" s="464"/>
      <c r="K137" s="464"/>
      <c r="L137" s="379"/>
      <c r="M137" s="379"/>
      <c r="N137" s="50"/>
      <c r="O137" s="50"/>
      <c r="P137" s="379"/>
      <c r="Q137" s="379"/>
      <c r="R137" s="379"/>
      <c r="T137" s="54"/>
      <c r="V137" s="449"/>
      <c r="Y137" s="379"/>
      <c r="Z137" s="461"/>
      <c r="AA137" s="379"/>
      <c r="AB137" s="379"/>
      <c r="AC137" s="50"/>
      <c r="AD137" s="50"/>
      <c r="AE137" s="379"/>
      <c r="AF137" s="379"/>
      <c r="AG137" s="156"/>
      <c r="AH137" s="60"/>
      <c r="AI137" s="379"/>
      <c r="AJ137" s="379"/>
      <c r="AK137" s="156"/>
      <c r="AL137" s="379"/>
      <c r="AM137" s="50"/>
      <c r="AN137" s="50"/>
    </row>
    <row r="138" spans="1:40" x14ac:dyDescent="0.25">
      <c r="F138" s="379"/>
      <c r="H138" s="381"/>
      <c r="I138" s="381"/>
      <c r="J138" s="464"/>
      <c r="K138" s="464"/>
      <c r="L138" s="381"/>
      <c r="M138" s="381"/>
      <c r="N138" s="381"/>
      <c r="O138" s="381"/>
      <c r="P138" s="381"/>
      <c r="Q138" s="381"/>
      <c r="R138" s="381"/>
      <c r="T138" s="54"/>
      <c r="V138" s="449"/>
      <c r="Y138" s="379"/>
      <c r="Z138" s="461"/>
      <c r="AA138" s="379"/>
      <c r="AB138" s="379"/>
      <c r="AC138" s="50"/>
      <c r="AD138" s="50"/>
      <c r="AE138" s="379"/>
      <c r="AF138" s="379"/>
      <c r="AG138" s="156"/>
      <c r="AH138" s="60"/>
      <c r="AI138" s="379"/>
      <c r="AJ138" s="379"/>
      <c r="AK138" s="156"/>
      <c r="AL138" s="379"/>
      <c r="AM138" s="50"/>
      <c r="AN138" s="50"/>
    </row>
    <row r="139" spans="1:40" x14ac:dyDescent="0.25">
      <c r="A139" s="53"/>
      <c r="C139" s="54"/>
      <c r="F139" s="379"/>
      <c r="H139" s="379"/>
      <c r="I139" s="379"/>
      <c r="J139" s="464"/>
      <c r="K139" s="464"/>
      <c r="L139" s="379"/>
      <c r="M139" s="379"/>
      <c r="N139" s="379"/>
      <c r="O139" s="379"/>
      <c r="P139" s="379"/>
      <c r="Q139" s="379"/>
      <c r="R139" s="379"/>
      <c r="V139" s="379"/>
      <c r="Y139" s="381"/>
      <c r="Z139" s="464"/>
      <c r="AA139" s="381"/>
      <c r="AB139" s="381"/>
      <c r="AC139" s="381"/>
      <c r="AD139" s="381"/>
      <c r="AE139" s="381"/>
      <c r="AF139" s="381"/>
      <c r="AI139" s="381"/>
      <c r="AJ139" s="381"/>
      <c r="AK139" s="162"/>
      <c r="AL139" s="381"/>
      <c r="AM139" s="50"/>
      <c r="AN139" s="50"/>
    </row>
    <row r="140" spans="1:40" x14ac:dyDescent="0.25">
      <c r="A140" s="53"/>
      <c r="C140" s="54"/>
      <c r="F140" s="379"/>
      <c r="H140" s="449"/>
      <c r="I140" s="449"/>
      <c r="J140" s="221"/>
      <c r="K140" s="221"/>
      <c r="L140" s="379"/>
      <c r="M140" s="379"/>
      <c r="N140" s="50"/>
      <c r="O140" s="50"/>
      <c r="P140" s="379"/>
      <c r="Q140" s="379"/>
      <c r="R140" s="379"/>
      <c r="T140" s="54"/>
      <c r="V140" s="379"/>
      <c r="Y140" s="379"/>
      <c r="Z140" s="464"/>
      <c r="AA140" s="379"/>
      <c r="AB140" s="379"/>
      <c r="AC140" s="50"/>
      <c r="AD140" s="50"/>
      <c r="AE140" s="379"/>
      <c r="AF140" s="379"/>
      <c r="AG140" s="156"/>
      <c r="AH140" s="60"/>
      <c r="AI140" s="379"/>
      <c r="AJ140" s="379"/>
      <c r="AK140" s="156"/>
      <c r="AL140" s="379"/>
      <c r="AM140" s="50"/>
      <c r="AN140" s="50"/>
    </row>
    <row r="141" spans="1:40" x14ac:dyDescent="0.25">
      <c r="A141" s="53"/>
      <c r="C141" s="54"/>
      <c r="H141" s="449"/>
      <c r="I141" s="449"/>
      <c r="J141" s="221"/>
      <c r="K141" s="221"/>
      <c r="L141" s="379"/>
      <c r="M141" s="379"/>
      <c r="N141" s="50"/>
      <c r="O141" s="50"/>
      <c r="P141" s="379"/>
      <c r="Q141" s="379"/>
      <c r="R141" s="379"/>
      <c r="V141" s="379"/>
      <c r="Y141" s="381"/>
      <c r="Z141" s="464"/>
      <c r="AA141" s="381"/>
      <c r="AB141" s="381"/>
      <c r="AC141" s="381"/>
      <c r="AD141" s="381"/>
      <c r="AE141" s="381"/>
      <c r="AF141" s="381"/>
      <c r="AI141" s="381"/>
      <c r="AJ141" s="381"/>
      <c r="AK141" s="162"/>
      <c r="AL141" s="381"/>
      <c r="AM141" s="50"/>
      <c r="AN141" s="50"/>
    </row>
    <row r="142" spans="1:40" x14ac:dyDescent="0.25">
      <c r="F142" s="379"/>
      <c r="H142" s="379"/>
      <c r="I142" s="379"/>
      <c r="J142" s="464"/>
      <c r="K142" s="464"/>
      <c r="L142" s="381"/>
      <c r="M142" s="381"/>
      <c r="N142" s="381"/>
      <c r="O142" s="381"/>
      <c r="P142" s="381"/>
      <c r="Q142" s="381"/>
      <c r="R142" s="381"/>
      <c r="T142" s="54"/>
      <c r="V142" s="379"/>
      <c r="Y142" s="379"/>
      <c r="Z142" s="464"/>
      <c r="AA142" s="379"/>
      <c r="AB142" s="379"/>
      <c r="AC142" s="379"/>
      <c r="AD142" s="379"/>
      <c r="AE142" s="379"/>
      <c r="AF142" s="379"/>
      <c r="AG142" s="156"/>
      <c r="AH142" s="60"/>
      <c r="AI142" s="379"/>
      <c r="AJ142" s="379"/>
      <c r="AK142" s="156"/>
      <c r="AL142" s="379"/>
      <c r="AM142" s="50"/>
      <c r="AN142" s="50"/>
    </row>
    <row r="143" spans="1:40" x14ac:dyDescent="0.25">
      <c r="A143" s="53"/>
      <c r="C143" s="54"/>
      <c r="F143" s="379"/>
      <c r="H143" s="379"/>
      <c r="I143" s="379"/>
      <c r="J143" s="59"/>
      <c r="K143" s="59"/>
      <c r="L143" s="379"/>
      <c r="M143" s="379"/>
      <c r="N143" s="50"/>
      <c r="O143" s="50"/>
      <c r="P143" s="379"/>
      <c r="Q143" s="379"/>
      <c r="R143" s="379"/>
      <c r="T143" s="54"/>
      <c r="V143" s="379"/>
      <c r="Y143" s="379"/>
      <c r="Z143" s="221"/>
      <c r="AA143" s="379"/>
      <c r="AB143" s="379"/>
      <c r="AC143" s="50"/>
      <c r="AD143" s="50"/>
      <c r="AE143" s="379"/>
      <c r="AF143" s="379"/>
      <c r="AG143" s="156"/>
      <c r="AH143" s="60"/>
      <c r="AI143" s="379"/>
      <c r="AJ143" s="379"/>
      <c r="AK143" s="156"/>
      <c r="AL143" s="379"/>
      <c r="AM143" s="50"/>
      <c r="AN143" s="50"/>
    </row>
    <row r="144" spans="1:40" x14ac:dyDescent="0.25">
      <c r="F144" s="379"/>
      <c r="H144" s="379"/>
      <c r="I144" s="379"/>
      <c r="J144" s="464"/>
      <c r="K144" s="464"/>
      <c r="L144" s="381"/>
      <c r="M144" s="381"/>
      <c r="N144" s="381"/>
      <c r="O144" s="381"/>
      <c r="P144" s="381"/>
      <c r="Q144" s="381"/>
      <c r="R144" s="381"/>
      <c r="T144" s="54"/>
      <c r="Y144" s="379"/>
      <c r="Z144" s="221"/>
      <c r="AA144" s="379"/>
      <c r="AB144" s="379"/>
      <c r="AC144" s="50"/>
      <c r="AD144" s="50"/>
      <c r="AE144" s="379"/>
      <c r="AF144" s="379"/>
      <c r="AG144" s="156"/>
      <c r="AH144" s="60"/>
      <c r="AI144" s="379"/>
      <c r="AJ144" s="379"/>
      <c r="AK144" s="156"/>
      <c r="AL144" s="379"/>
      <c r="AM144" s="50"/>
      <c r="AN144" s="50"/>
    </row>
    <row r="145" spans="1:40" x14ac:dyDescent="0.25">
      <c r="A145" s="53"/>
      <c r="C145" s="54"/>
      <c r="F145" s="379"/>
      <c r="H145" s="379"/>
      <c r="I145" s="379"/>
      <c r="J145" s="59"/>
      <c r="K145" s="59"/>
      <c r="L145" s="379"/>
      <c r="M145" s="379"/>
      <c r="N145" s="50"/>
      <c r="O145" s="50"/>
      <c r="P145" s="379"/>
      <c r="Q145" s="379"/>
      <c r="R145" s="379"/>
      <c r="V145" s="379"/>
      <c r="Y145" s="379"/>
      <c r="Z145" s="464"/>
      <c r="AA145" s="381"/>
      <c r="AB145" s="381"/>
      <c r="AC145" s="381"/>
      <c r="AD145" s="381"/>
      <c r="AE145" s="381"/>
      <c r="AF145" s="381"/>
      <c r="AI145" s="381"/>
      <c r="AJ145" s="381"/>
      <c r="AK145" s="162"/>
      <c r="AL145" s="381"/>
      <c r="AM145" s="50"/>
      <c r="AN145" s="50"/>
    </row>
    <row r="146" spans="1:40" x14ac:dyDescent="0.25">
      <c r="A146" s="53"/>
      <c r="C146" s="54"/>
      <c r="F146" s="449"/>
      <c r="H146" s="449"/>
      <c r="I146" s="449"/>
      <c r="J146" s="472"/>
      <c r="K146" s="472"/>
      <c r="L146" s="379"/>
      <c r="M146" s="379"/>
      <c r="N146" s="50"/>
      <c r="O146" s="50"/>
      <c r="P146" s="379"/>
      <c r="Q146" s="379"/>
      <c r="R146" s="379"/>
      <c r="T146" s="54"/>
      <c r="V146" s="379"/>
      <c r="Y146" s="379"/>
      <c r="Z146" s="59"/>
      <c r="AA146" s="379"/>
      <c r="AB146" s="379"/>
      <c r="AC146" s="50"/>
      <c r="AD146" s="50"/>
      <c r="AE146" s="379"/>
      <c r="AF146" s="379"/>
      <c r="AG146" s="156"/>
      <c r="AH146" s="60"/>
      <c r="AI146" s="379"/>
      <c r="AJ146" s="379"/>
      <c r="AK146" s="156"/>
      <c r="AL146" s="379"/>
      <c r="AM146" s="50"/>
      <c r="AN146" s="50"/>
    </row>
    <row r="147" spans="1:40" x14ac:dyDescent="0.25">
      <c r="F147" s="381"/>
      <c r="H147" s="381"/>
      <c r="I147" s="381"/>
      <c r="J147" s="464"/>
      <c r="K147" s="464"/>
      <c r="L147" s="381"/>
      <c r="M147" s="381"/>
      <c r="N147" s="381"/>
      <c r="O147" s="381"/>
      <c r="P147" s="381"/>
      <c r="Q147" s="381"/>
      <c r="R147" s="381"/>
      <c r="V147" s="379"/>
      <c r="Y147" s="379"/>
      <c r="Z147" s="464"/>
      <c r="AA147" s="381"/>
      <c r="AB147" s="381"/>
      <c r="AC147" s="381"/>
      <c r="AD147" s="381"/>
      <c r="AE147" s="381"/>
      <c r="AF147" s="381"/>
      <c r="AI147" s="381"/>
      <c r="AJ147" s="381"/>
      <c r="AK147" s="162"/>
      <c r="AL147" s="381"/>
      <c r="AM147" s="50"/>
      <c r="AN147" s="50"/>
    </row>
    <row r="148" spans="1:40" x14ac:dyDescent="0.25">
      <c r="A148" s="53"/>
      <c r="C148" s="54"/>
      <c r="F148" s="379"/>
      <c r="H148" s="379"/>
      <c r="I148" s="379"/>
      <c r="J148" s="464"/>
      <c r="K148" s="464"/>
      <c r="L148" s="379"/>
      <c r="M148" s="379"/>
      <c r="N148" s="50"/>
      <c r="O148" s="50"/>
      <c r="P148" s="379"/>
      <c r="Q148" s="379"/>
      <c r="R148" s="379"/>
      <c r="S148" s="379"/>
      <c r="T148" s="54"/>
      <c r="V148" s="379"/>
      <c r="Y148" s="379"/>
      <c r="Z148" s="59"/>
      <c r="AA148" s="379"/>
      <c r="AB148" s="379"/>
      <c r="AC148" s="50"/>
      <c r="AD148" s="50"/>
      <c r="AE148" s="379"/>
      <c r="AF148" s="379"/>
      <c r="AG148" s="156"/>
      <c r="AH148" s="60"/>
      <c r="AI148" s="379"/>
      <c r="AJ148" s="379"/>
      <c r="AK148" s="156"/>
      <c r="AL148" s="379"/>
      <c r="AM148" s="50"/>
      <c r="AN148" s="50"/>
    </row>
    <row r="149" spans="1:40" x14ac:dyDescent="0.25">
      <c r="F149" s="381"/>
      <c r="H149" s="381"/>
      <c r="I149" s="381"/>
      <c r="J149" s="464"/>
      <c r="K149" s="464"/>
      <c r="L149" s="381"/>
      <c r="M149" s="381"/>
      <c r="N149" s="381"/>
      <c r="O149" s="381"/>
      <c r="P149" s="381"/>
      <c r="Q149" s="381"/>
      <c r="R149" s="381"/>
      <c r="S149" s="379"/>
      <c r="T149" s="54"/>
      <c r="V149" s="449"/>
      <c r="Y149" s="379"/>
      <c r="Z149" s="472"/>
      <c r="AA149" s="379"/>
      <c r="AB149" s="379"/>
      <c r="AC149" s="50"/>
      <c r="AD149" s="50"/>
      <c r="AE149" s="379"/>
      <c r="AF149" s="379"/>
      <c r="AG149" s="156"/>
      <c r="AH149" s="60"/>
      <c r="AI149" s="379"/>
      <c r="AJ149" s="379"/>
      <c r="AK149" s="156"/>
      <c r="AL149" s="379"/>
      <c r="AM149" s="50"/>
      <c r="AN149" s="50"/>
    </row>
    <row r="150" spans="1:40" x14ac:dyDescent="0.25">
      <c r="A150" s="53"/>
      <c r="C150" s="54"/>
      <c r="V150" s="381"/>
      <c r="Y150" s="381"/>
      <c r="Z150" s="464"/>
      <c r="AA150" s="381"/>
      <c r="AB150" s="381"/>
      <c r="AC150" s="381"/>
      <c r="AD150" s="381"/>
      <c r="AE150" s="381"/>
      <c r="AF150" s="381"/>
      <c r="AI150" s="381"/>
      <c r="AJ150" s="381"/>
      <c r="AK150" s="162"/>
      <c r="AL150" s="381"/>
      <c r="AM150" s="50"/>
      <c r="AN150" s="50"/>
    </row>
    <row r="151" spans="1:40" x14ac:dyDescent="0.25">
      <c r="A151" s="53"/>
      <c r="C151" s="54"/>
      <c r="F151" s="379"/>
      <c r="H151" s="379"/>
      <c r="I151" s="379"/>
      <c r="L151" s="379"/>
      <c r="M151" s="379"/>
      <c r="N151" s="50"/>
      <c r="O151" s="50"/>
      <c r="P151" s="449"/>
      <c r="Q151" s="449"/>
      <c r="R151" s="379"/>
      <c r="T151" s="54"/>
      <c r="V151" s="379"/>
      <c r="Y151" s="379"/>
      <c r="Z151" s="464"/>
      <c r="AA151" s="379"/>
      <c r="AB151" s="379"/>
      <c r="AC151" s="50"/>
      <c r="AD151" s="50"/>
      <c r="AE151" s="379"/>
      <c r="AF151" s="379"/>
      <c r="AG151" s="156"/>
      <c r="AH151" s="50"/>
      <c r="AI151" s="379"/>
      <c r="AJ151" s="379"/>
      <c r="AK151" s="156"/>
      <c r="AL151" s="379"/>
      <c r="AM151" s="50"/>
      <c r="AN151" s="50"/>
    </row>
    <row r="152" spans="1:40" x14ac:dyDescent="0.25">
      <c r="F152" s="381"/>
      <c r="H152" s="381"/>
      <c r="I152" s="381"/>
      <c r="J152" s="464"/>
      <c r="K152" s="464"/>
      <c r="L152" s="381"/>
      <c r="M152" s="381"/>
      <c r="N152" s="381"/>
      <c r="O152" s="381"/>
      <c r="P152" s="381"/>
      <c r="Q152" s="381"/>
      <c r="R152" s="381"/>
      <c r="V152" s="381"/>
      <c r="Y152" s="381"/>
      <c r="Z152" s="464"/>
      <c r="AA152" s="381"/>
      <c r="AB152" s="381"/>
      <c r="AC152" s="381"/>
      <c r="AD152" s="381"/>
      <c r="AE152" s="381"/>
      <c r="AF152" s="381"/>
      <c r="AI152" s="381"/>
      <c r="AJ152" s="381"/>
      <c r="AK152" s="162"/>
      <c r="AL152" s="381"/>
      <c r="AM152" s="50"/>
      <c r="AN152" s="50"/>
    </row>
    <row r="153" spans="1:40" x14ac:dyDescent="0.25">
      <c r="T153" s="54"/>
    </row>
    <row r="154" spans="1:40" x14ac:dyDescent="0.25">
      <c r="C154" s="54"/>
      <c r="L154" s="379"/>
      <c r="M154" s="379"/>
      <c r="N154" s="379"/>
      <c r="O154" s="379"/>
      <c r="P154" s="379"/>
      <c r="Q154" s="379"/>
      <c r="R154" s="379"/>
      <c r="S154" s="379"/>
      <c r="T154" s="54"/>
      <c r="V154" s="379"/>
      <c r="Y154" s="379"/>
      <c r="AA154" s="379"/>
      <c r="AB154" s="379"/>
      <c r="AC154" s="50"/>
      <c r="AD154" s="50"/>
      <c r="AE154" s="379"/>
      <c r="AF154" s="379"/>
      <c r="AG154" s="156"/>
      <c r="AH154" s="50"/>
      <c r="AI154" s="449"/>
      <c r="AJ154" s="449"/>
      <c r="AK154" s="156"/>
      <c r="AL154" s="379"/>
      <c r="AM154" s="50"/>
      <c r="AN154" s="50"/>
    </row>
    <row r="155" spans="1:40" x14ac:dyDescent="0.25">
      <c r="A155" s="54"/>
      <c r="V155" s="381"/>
      <c r="Y155" s="381"/>
      <c r="Z155" s="464"/>
      <c r="AA155" s="381"/>
      <c r="AB155" s="381"/>
      <c r="AC155" s="381"/>
      <c r="AD155" s="381"/>
      <c r="AE155" s="381"/>
      <c r="AF155" s="381"/>
      <c r="AI155" s="381"/>
      <c r="AJ155" s="381"/>
      <c r="AK155" s="162"/>
      <c r="AL155" s="381"/>
    </row>
    <row r="156" spans="1:40" x14ac:dyDescent="0.25">
      <c r="J156" s="53"/>
      <c r="K156" s="53"/>
    </row>
    <row r="157" spans="1:40" x14ac:dyDescent="0.25">
      <c r="H157" s="54"/>
      <c r="I157" s="54"/>
      <c r="T157" s="54"/>
      <c r="AA157" s="379"/>
      <c r="AB157" s="379"/>
      <c r="AC157" s="379"/>
      <c r="AD157" s="379"/>
      <c r="AI157" s="379"/>
      <c r="AJ157" s="379"/>
      <c r="AK157" s="156"/>
      <c r="AL157" s="379"/>
    </row>
    <row r="158" spans="1:40" x14ac:dyDescent="0.25">
      <c r="J158" s="53"/>
      <c r="K158" s="53"/>
    </row>
    <row r="159" spans="1:40" x14ac:dyDescent="0.25">
      <c r="L159" s="54"/>
      <c r="M159" s="54"/>
      <c r="Z159" s="53"/>
    </row>
    <row r="160" spans="1:40" x14ac:dyDescent="0.25">
      <c r="A160" s="53"/>
      <c r="R160" s="54"/>
      <c r="Y160" s="54"/>
    </row>
    <row r="161" spans="1:40" x14ac:dyDescent="0.25">
      <c r="A161" s="53"/>
      <c r="R161" s="54"/>
      <c r="Z161" s="53"/>
    </row>
    <row r="162" spans="1:40" x14ac:dyDescent="0.25">
      <c r="A162" s="54"/>
      <c r="R162" s="54"/>
      <c r="AK162" s="161"/>
      <c r="AL162" s="54"/>
    </row>
    <row r="163" spans="1:40" x14ac:dyDescent="0.25">
      <c r="L163" s="54"/>
      <c r="M163" s="54"/>
      <c r="R163" s="53"/>
      <c r="AA163" s="54"/>
      <c r="AB163" s="54"/>
      <c r="AK163" s="156"/>
      <c r="AL163" s="53"/>
    </row>
    <row r="164" spans="1:40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154"/>
      <c r="AH164" s="55"/>
      <c r="AI164" s="55"/>
      <c r="AJ164" s="55"/>
      <c r="AK164" s="154"/>
      <c r="AL164" s="55"/>
      <c r="AM164" s="55"/>
      <c r="AN164" s="55"/>
    </row>
    <row r="165" spans="1:40" x14ac:dyDescent="0.25">
      <c r="L165" s="56"/>
      <c r="M165" s="56"/>
      <c r="N165" s="56"/>
      <c r="O165" s="56"/>
      <c r="R165" s="56"/>
      <c r="AA165" s="56"/>
      <c r="AB165" s="56"/>
      <c r="AC165" s="56"/>
      <c r="AD165" s="56"/>
      <c r="AE165" s="56"/>
      <c r="AF165" s="56"/>
      <c r="AG165" s="155"/>
      <c r="AH165" s="56"/>
      <c r="AK165" s="155"/>
      <c r="AL165" s="56"/>
      <c r="AM165" s="56"/>
      <c r="AN165" s="56"/>
    </row>
    <row r="166" spans="1:40" x14ac:dyDescent="0.25">
      <c r="L166" s="56"/>
      <c r="M166" s="56"/>
      <c r="N166" s="56"/>
      <c r="O166" s="56"/>
      <c r="R166" s="56"/>
      <c r="Z166" s="56"/>
      <c r="AA166" s="56"/>
      <c r="AB166" s="56"/>
      <c r="AC166" s="56"/>
      <c r="AD166" s="56"/>
      <c r="AE166" s="56"/>
      <c r="AF166" s="56"/>
      <c r="AG166" s="155"/>
      <c r="AH166" s="56"/>
      <c r="AK166" s="155"/>
      <c r="AL166" s="56"/>
      <c r="AM166" s="56"/>
      <c r="AN166" s="56"/>
    </row>
    <row r="167" spans="1:40" x14ac:dyDescent="0.25">
      <c r="A167" s="56"/>
      <c r="C167" s="56"/>
      <c r="D167" s="56"/>
      <c r="E167" s="56"/>
      <c r="F167" s="56"/>
      <c r="J167" s="56"/>
      <c r="K167" s="56"/>
      <c r="L167" s="56"/>
      <c r="M167" s="56"/>
      <c r="N167" s="56"/>
      <c r="O167" s="56"/>
      <c r="P167" s="56"/>
      <c r="Q167" s="56"/>
      <c r="R167" s="56"/>
      <c r="T167" s="56"/>
      <c r="U167" s="56"/>
      <c r="V167" s="56"/>
      <c r="Z167" s="56"/>
      <c r="AA167" s="56"/>
      <c r="AB167" s="56"/>
      <c r="AC167" s="56"/>
      <c r="AD167" s="56"/>
      <c r="AE167" s="56"/>
      <c r="AF167" s="56"/>
      <c r="AG167" s="155"/>
      <c r="AH167" s="56"/>
      <c r="AI167" s="56"/>
      <c r="AJ167" s="56"/>
      <c r="AK167" s="155"/>
      <c r="AL167" s="56"/>
      <c r="AM167" s="56"/>
      <c r="AN167" s="56"/>
    </row>
    <row r="168" spans="1:40" x14ac:dyDescent="0.25">
      <c r="A168" s="56"/>
      <c r="C168" s="56"/>
      <c r="D168" s="56"/>
      <c r="E168" s="56"/>
      <c r="F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T168" s="56"/>
      <c r="U168" s="56"/>
      <c r="V168" s="56"/>
      <c r="Y168" s="56"/>
      <c r="Z168" s="56"/>
      <c r="AA168" s="56"/>
      <c r="AB168" s="56"/>
      <c r="AC168" s="56"/>
      <c r="AD168" s="56"/>
      <c r="AE168" s="56"/>
      <c r="AF168" s="56"/>
      <c r="AG168" s="155"/>
      <c r="AH168" s="56"/>
      <c r="AI168" s="56"/>
      <c r="AJ168" s="56"/>
      <c r="AK168" s="155"/>
      <c r="AL168" s="56"/>
      <c r="AM168" s="56"/>
      <c r="AN168" s="56"/>
    </row>
    <row r="169" spans="1:40" x14ac:dyDescent="0.25">
      <c r="C169" s="56"/>
      <c r="D169" s="56"/>
      <c r="E169" s="56"/>
      <c r="F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T169" s="56"/>
      <c r="U169" s="56"/>
      <c r="V169" s="56"/>
      <c r="Y169" s="56"/>
      <c r="Z169" s="56"/>
      <c r="AA169" s="56"/>
      <c r="AB169" s="56"/>
      <c r="AC169" s="56"/>
      <c r="AD169" s="56"/>
      <c r="AE169" s="56"/>
      <c r="AF169" s="56"/>
      <c r="AG169" s="155"/>
      <c r="AH169" s="56"/>
      <c r="AI169" s="56"/>
      <c r="AJ169" s="56"/>
      <c r="AK169" s="155"/>
      <c r="AL169" s="56"/>
      <c r="AM169" s="56"/>
      <c r="AN169" s="56"/>
    </row>
    <row r="170" spans="1:40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154"/>
      <c r="AH170" s="55"/>
      <c r="AI170" s="55"/>
      <c r="AJ170" s="55"/>
      <c r="AK170" s="154"/>
      <c r="AL170" s="55"/>
      <c r="AM170" s="55"/>
      <c r="AN170" s="55"/>
    </row>
    <row r="171" spans="1:40" x14ac:dyDescent="0.25"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Y171" s="56"/>
      <c r="Z171" s="56"/>
      <c r="AA171" s="56"/>
      <c r="AB171" s="56"/>
      <c r="AC171" s="56"/>
      <c r="AD171" s="56"/>
      <c r="AE171" s="56"/>
      <c r="AF171" s="56"/>
      <c r="AG171" s="155"/>
      <c r="AH171" s="56"/>
      <c r="AI171" s="56"/>
      <c r="AJ171" s="56"/>
      <c r="AK171" s="155"/>
      <c r="AL171" s="56"/>
      <c r="AM171" s="56"/>
      <c r="AN171" s="56"/>
    </row>
    <row r="172" spans="1:40" x14ac:dyDescent="0.25">
      <c r="A172" s="53"/>
      <c r="C172" s="54"/>
      <c r="D172" s="54"/>
      <c r="E172" s="54"/>
      <c r="T172" s="54"/>
      <c r="U172" s="54"/>
    </row>
    <row r="173" spans="1:40" x14ac:dyDescent="0.25">
      <c r="A173" s="53"/>
      <c r="D173" s="54"/>
      <c r="E173" s="54"/>
      <c r="U173" s="54"/>
    </row>
    <row r="175" spans="1:40" x14ac:dyDescent="0.25">
      <c r="A175" s="53"/>
      <c r="C175" s="54"/>
      <c r="F175" s="449"/>
      <c r="H175" s="449"/>
      <c r="I175" s="449"/>
      <c r="J175" s="461"/>
      <c r="K175" s="461"/>
      <c r="L175" s="379"/>
      <c r="M175" s="379"/>
      <c r="N175" s="50"/>
      <c r="O175" s="50"/>
      <c r="R175" s="379"/>
      <c r="T175" s="54"/>
      <c r="V175" s="379"/>
      <c r="Y175" s="449"/>
      <c r="Z175" s="461"/>
      <c r="AA175" s="379"/>
      <c r="AB175" s="379"/>
      <c r="AC175" s="50"/>
      <c r="AD175" s="50"/>
      <c r="AE175" s="379"/>
      <c r="AF175" s="379"/>
      <c r="AG175" s="474"/>
      <c r="AH175" s="475"/>
      <c r="AK175" s="156"/>
      <c r="AL175" s="379"/>
      <c r="AM175" s="476"/>
      <c r="AN175" s="476"/>
    </row>
    <row r="176" spans="1:40" x14ac:dyDescent="0.25">
      <c r="A176" s="53"/>
      <c r="C176" s="54"/>
      <c r="F176" s="449"/>
      <c r="H176" s="449"/>
      <c r="I176" s="449"/>
      <c r="J176" s="461"/>
      <c r="K176" s="461"/>
      <c r="L176" s="379"/>
      <c r="M176" s="379"/>
      <c r="N176" s="50"/>
      <c r="O176" s="50"/>
      <c r="P176" s="53"/>
      <c r="Q176" s="53"/>
      <c r="R176" s="379"/>
      <c r="T176" s="54"/>
      <c r="V176" s="379"/>
      <c r="Y176" s="449"/>
      <c r="Z176" s="461"/>
      <c r="AA176" s="379"/>
      <c r="AB176" s="379"/>
      <c r="AC176" s="50"/>
      <c r="AD176" s="50"/>
      <c r="AE176" s="379"/>
      <c r="AF176" s="379"/>
      <c r="AG176" s="156"/>
      <c r="AH176" s="60"/>
      <c r="AI176" s="53"/>
      <c r="AJ176" s="53"/>
      <c r="AK176" s="156"/>
      <c r="AL176" s="379"/>
      <c r="AM176" s="50"/>
      <c r="AN176" s="50"/>
    </row>
    <row r="177" spans="1:40" x14ac:dyDescent="0.25">
      <c r="F177" s="381"/>
      <c r="H177" s="379"/>
      <c r="I177" s="379"/>
      <c r="J177" s="464"/>
      <c r="K177" s="464"/>
      <c r="L177" s="381"/>
      <c r="M177" s="381"/>
      <c r="N177" s="381"/>
      <c r="O177" s="381"/>
      <c r="P177" s="381"/>
      <c r="Q177" s="381"/>
      <c r="R177" s="381"/>
      <c r="V177" s="381"/>
      <c r="Y177" s="379"/>
      <c r="Z177" s="464"/>
      <c r="AA177" s="381"/>
      <c r="AB177" s="381"/>
      <c r="AC177" s="381"/>
      <c r="AD177" s="381"/>
      <c r="AE177" s="381"/>
      <c r="AF177" s="381"/>
      <c r="AI177" s="381"/>
      <c r="AJ177" s="381"/>
      <c r="AK177" s="162"/>
      <c r="AL177" s="381"/>
      <c r="AM177" s="50"/>
      <c r="AN177" s="50"/>
    </row>
    <row r="178" spans="1:40" x14ac:dyDescent="0.25">
      <c r="A178" s="53"/>
      <c r="C178" s="54"/>
      <c r="F178" s="379"/>
      <c r="H178" s="379"/>
      <c r="I178" s="379"/>
      <c r="J178" s="464"/>
      <c r="K178" s="464"/>
      <c r="L178" s="379"/>
      <c r="M178" s="379"/>
      <c r="N178" s="50"/>
      <c r="O178" s="50"/>
      <c r="P178" s="379"/>
      <c r="Q178" s="379"/>
      <c r="R178" s="379"/>
      <c r="T178" s="54"/>
      <c r="V178" s="379"/>
      <c r="Y178" s="379"/>
      <c r="Z178" s="59"/>
      <c r="AA178" s="379"/>
      <c r="AB178" s="379"/>
      <c r="AC178" s="50"/>
      <c r="AD178" s="50"/>
      <c r="AE178" s="379"/>
      <c r="AF178" s="379"/>
      <c r="AG178" s="156"/>
      <c r="AH178" s="60"/>
      <c r="AI178" s="379"/>
      <c r="AJ178" s="379"/>
      <c r="AK178" s="156"/>
      <c r="AL178" s="379"/>
      <c r="AM178" s="50"/>
      <c r="AN178" s="50"/>
    </row>
    <row r="179" spans="1:40" x14ac:dyDescent="0.25">
      <c r="F179" s="381"/>
      <c r="H179" s="379"/>
      <c r="I179" s="379"/>
      <c r="J179" s="464"/>
      <c r="K179" s="464"/>
      <c r="L179" s="381"/>
      <c r="M179" s="381"/>
      <c r="N179" s="381"/>
      <c r="O179" s="381"/>
      <c r="P179" s="381"/>
      <c r="Q179" s="381"/>
      <c r="R179" s="381"/>
      <c r="V179" s="381"/>
      <c r="Y179" s="379"/>
      <c r="Z179" s="464"/>
      <c r="AA179" s="381"/>
      <c r="AB179" s="381"/>
      <c r="AC179" s="381"/>
      <c r="AD179" s="381"/>
      <c r="AE179" s="381"/>
      <c r="AF179" s="381"/>
      <c r="AI179" s="381"/>
      <c r="AJ179" s="381"/>
      <c r="AK179" s="162"/>
      <c r="AL179" s="381"/>
      <c r="AM179" s="50"/>
      <c r="AN179" s="50"/>
    </row>
    <row r="180" spans="1:40" x14ac:dyDescent="0.25">
      <c r="F180" s="379"/>
      <c r="H180" s="379"/>
      <c r="I180" s="379"/>
      <c r="J180" s="464"/>
      <c r="K180" s="464"/>
      <c r="L180" s="379"/>
      <c r="M180" s="379"/>
      <c r="N180" s="50"/>
      <c r="O180" s="50"/>
      <c r="P180" s="379"/>
      <c r="Q180" s="379"/>
      <c r="R180" s="379"/>
      <c r="V180" s="379"/>
      <c r="Y180" s="379"/>
      <c r="Z180" s="59"/>
      <c r="AA180" s="379"/>
      <c r="AB180" s="379"/>
      <c r="AC180" s="50"/>
      <c r="AD180" s="50"/>
      <c r="AE180" s="379"/>
      <c r="AF180" s="379"/>
      <c r="AG180" s="156"/>
      <c r="AH180" s="60"/>
      <c r="AI180" s="379"/>
      <c r="AJ180" s="379"/>
      <c r="AK180" s="156"/>
      <c r="AL180" s="379"/>
      <c r="AM180" s="50"/>
      <c r="AN180" s="50"/>
    </row>
    <row r="181" spans="1:40" x14ac:dyDescent="0.25">
      <c r="A181" s="53"/>
      <c r="C181" s="54"/>
      <c r="F181" s="449"/>
      <c r="H181" s="449"/>
      <c r="I181" s="449"/>
      <c r="J181" s="461"/>
      <c r="K181" s="461"/>
      <c r="L181" s="379"/>
      <c r="M181" s="379"/>
      <c r="N181" s="50"/>
      <c r="O181" s="50"/>
      <c r="P181" s="379"/>
      <c r="Q181" s="379"/>
      <c r="R181" s="379"/>
      <c r="T181" s="54"/>
      <c r="V181" s="449"/>
      <c r="Y181" s="379"/>
      <c r="Z181" s="461"/>
      <c r="AA181" s="379"/>
      <c r="AB181" s="379"/>
      <c r="AC181" s="50"/>
      <c r="AD181" s="50"/>
      <c r="AE181" s="379"/>
      <c r="AF181" s="379"/>
      <c r="AG181" s="474"/>
      <c r="AH181" s="475"/>
      <c r="AI181" s="379"/>
      <c r="AJ181" s="379"/>
      <c r="AK181" s="156"/>
      <c r="AL181" s="379"/>
      <c r="AM181" s="476"/>
      <c r="AN181" s="476"/>
    </row>
    <row r="182" spans="1:40" x14ac:dyDescent="0.25">
      <c r="A182" s="53"/>
      <c r="C182" s="54"/>
      <c r="F182" s="449"/>
      <c r="H182" s="449"/>
      <c r="I182" s="449"/>
      <c r="J182" s="461"/>
      <c r="K182" s="461"/>
      <c r="L182" s="379"/>
      <c r="M182" s="379"/>
      <c r="N182" s="50"/>
      <c r="O182" s="50"/>
      <c r="P182" s="379"/>
      <c r="Q182" s="379"/>
      <c r="R182" s="379"/>
      <c r="T182" s="54"/>
      <c r="V182" s="449"/>
      <c r="Y182" s="379"/>
      <c r="Z182" s="461"/>
      <c r="AA182" s="379"/>
      <c r="AB182" s="379"/>
      <c r="AC182" s="50"/>
      <c r="AD182" s="50"/>
      <c r="AE182" s="379"/>
      <c r="AF182" s="379"/>
      <c r="AG182" s="156"/>
      <c r="AH182" s="60"/>
      <c r="AI182" s="379"/>
      <c r="AJ182" s="379"/>
      <c r="AK182" s="156"/>
      <c r="AL182" s="379"/>
      <c r="AM182" s="50"/>
      <c r="AN182" s="50"/>
    </row>
    <row r="183" spans="1:40" x14ac:dyDescent="0.25">
      <c r="F183" s="379"/>
      <c r="H183" s="381"/>
      <c r="I183" s="381"/>
      <c r="J183" s="464"/>
      <c r="K183" s="464"/>
      <c r="L183" s="381"/>
      <c r="M183" s="381"/>
      <c r="N183" s="381"/>
      <c r="O183" s="381"/>
      <c r="P183" s="381"/>
      <c r="Q183" s="381"/>
      <c r="R183" s="381"/>
      <c r="V183" s="379"/>
      <c r="Y183" s="381"/>
      <c r="Z183" s="464"/>
      <c r="AA183" s="381"/>
      <c r="AB183" s="381"/>
      <c r="AC183" s="381"/>
      <c r="AD183" s="381"/>
      <c r="AE183" s="381"/>
      <c r="AF183" s="381"/>
      <c r="AI183" s="381"/>
      <c r="AJ183" s="381"/>
      <c r="AK183" s="162"/>
      <c r="AL183" s="381"/>
      <c r="AM183" s="50"/>
      <c r="AN183" s="50"/>
    </row>
    <row r="184" spans="1:40" x14ac:dyDescent="0.25">
      <c r="A184" s="53"/>
      <c r="C184" s="54"/>
      <c r="F184" s="379"/>
      <c r="H184" s="379"/>
      <c r="I184" s="379"/>
      <c r="J184" s="464"/>
      <c r="K184" s="464"/>
      <c r="L184" s="379"/>
      <c r="M184" s="379"/>
      <c r="N184" s="50"/>
      <c r="O184" s="50"/>
      <c r="P184" s="379"/>
      <c r="Q184" s="379"/>
      <c r="R184" s="379"/>
      <c r="T184" s="54"/>
      <c r="V184" s="379"/>
      <c r="Y184" s="379"/>
      <c r="Z184" s="464"/>
      <c r="AA184" s="379"/>
      <c r="AB184" s="379"/>
      <c r="AC184" s="50"/>
      <c r="AD184" s="50"/>
      <c r="AE184" s="379"/>
      <c r="AF184" s="379"/>
      <c r="AG184" s="156"/>
      <c r="AH184" s="60"/>
      <c r="AI184" s="379"/>
      <c r="AJ184" s="379"/>
      <c r="AK184" s="156"/>
      <c r="AL184" s="379"/>
      <c r="AM184" s="50"/>
      <c r="AN184" s="50"/>
    </row>
    <row r="185" spans="1:40" x14ac:dyDescent="0.25">
      <c r="F185" s="379"/>
      <c r="H185" s="381"/>
      <c r="I185" s="381"/>
      <c r="J185" s="464"/>
      <c r="K185" s="464"/>
      <c r="L185" s="381"/>
      <c r="M185" s="381"/>
      <c r="N185" s="381"/>
      <c r="O185" s="381"/>
      <c r="P185" s="381"/>
      <c r="Q185" s="381"/>
      <c r="R185" s="381"/>
      <c r="V185" s="379"/>
      <c r="Y185" s="381"/>
      <c r="Z185" s="464"/>
      <c r="AA185" s="381"/>
      <c r="AB185" s="381"/>
      <c r="AC185" s="381"/>
      <c r="AD185" s="381"/>
      <c r="AE185" s="381"/>
      <c r="AF185" s="381"/>
      <c r="AI185" s="381"/>
      <c r="AJ185" s="381"/>
      <c r="AK185" s="162"/>
      <c r="AL185" s="381"/>
      <c r="AM185" s="50"/>
      <c r="AN185" s="50"/>
    </row>
    <row r="186" spans="1:40" x14ac:dyDescent="0.25">
      <c r="F186" s="379"/>
      <c r="H186" s="379"/>
      <c r="I186" s="379"/>
      <c r="J186" s="464"/>
      <c r="K186" s="464"/>
      <c r="L186" s="379"/>
      <c r="M186" s="379"/>
      <c r="N186" s="379"/>
      <c r="O186" s="379"/>
      <c r="P186" s="379"/>
      <c r="Q186" s="379"/>
      <c r="R186" s="379"/>
      <c r="V186" s="379"/>
      <c r="Y186" s="379"/>
      <c r="Z186" s="464"/>
      <c r="AA186" s="379"/>
      <c r="AB186" s="379"/>
      <c r="AC186" s="379"/>
      <c r="AD186" s="379"/>
      <c r="AE186" s="379"/>
      <c r="AF186" s="379"/>
      <c r="AG186" s="156"/>
      <c r="AH186" s="60"/>
      <c r="AI186" s="379"/>
      <c r="AJ186" s="379"/>
      <c r="AK186" s="156"/>
      <c r="AL186" s="379"/>
      <c r="AM186" s="50"/>
      <c r="AN186" s="50"/>
    </row>
    <row r="187" spans="1:40" x14ac:dyDescent="0.25">
      <c r="A187" s="53"/>
      <c r="C187" s="54"/>
      <c r="F187" s="449"/>
      <c r="H187" s="449"/>
      <c r="I187" s="449"/>
      <c r="J187" s="472"/>
      <c r="K187" s="472"/>
      <c r="L187" s="379"/>
      <c r="M187" s="379"/>
      <c r="N187" s="50"/>
      <c r="O187" s="50"/>
      <c r="P187" s="449"/>
      <c r="Q187" s="449"/>
      <c r="R187" s="379"/>
      <c r="T187" s="54"/>
      <c r="V187" s="449"/>
      <c r="Y187" s="449"/>
      <c r="Z187" s="477"/>
      <c r="AA187" s="379"/>
      <c r="AB187" s="379"/>
      <c r="AC187" s="50"/>
      <c r="AD187" s="50"/>
      <c r="AE187" s="379"/>
      <c r="AF187" s="379"/>
      <c r="AG187" s="156"/>
      <c r="AH187" s="60"/>
      <c r="AI187" s="449"/>
      <c r="AJ187" s="449"/>
      <c r="AK187" s="156"/>
      <c r="AL187" s="379"/>
      <c r="AM187" s="50"/>
      <c r="AN187" s="50"/>
    </row>
    <row r="188" spans="1:40" x14ac:dyDescent="0.25">
      <c r="A188" s="53"/>
      <c r="C188" s="54"/>
      <c r="F188" s="449"/>
      <c r="H188" s="449"/>
      <c r="I188" s="449"/>
      <c r="J188" s="472"/>
      <c r="K188" s="472"/>
      <c r="L188" s="379"/>
      <c r="M188" s="379"/>
      <c r="N188" s="50"/>
      <c r="O188" s="50"/>
      <c r="P188" s="449"/>
      <c r="Q188" s="449"/>
      <c r="R188" s="379"/>
      <c r="T188" s="54"/>
      <c r="V188" s="449"/>
      <c r="Y188" s="379"/>
      <c r="Z188" s="463"/>
      <c r="AA188" s="379"/>
      <c r="AB188" s="379"/>
      <c r="AC188" s="50"/>
      <c r="AD188" s="50"/>
      <c r="AE188" s="379"/>
      <c r="AF188" s="379"/>
      <c r="AG188" s="156"/>
      <c r="AH188" s="60"/>
      <c r="AI188" s="449"/>
      <c r="AJ188" s="449"/>
      <c r="AK188" s="156"/>
      <c r="AL188" s="379"/>
      <c r="AM188" s="50"/>
      <c r="AN188" s="50"/>
    </row>
    <row r="189" spans="1:40" x14ac:dyDescent="0.25">
      <c r="A189" s="53"/>
      <c r="C189" s="54"/>
      <c r="F189" s="449"/>
      <c r="H189" s="449"/>
      <c r="I189" s="449"/>
      <c r="J189" s="472"/>
      <c r="K189" s="472"/>
      <c r="L189" s="379"/>
      <c r="M189" s="379"/>
      <c r="N189" s="50"/>
      <c r="O189" s="50"/>
      <c r="P189" s="449"/>
      <c r="Q189" s="449"/>
      <c r="R189" s="379"/>
      <c r="T189" s="54"/>
      <c r="V189" s="449"/>
      <c r="Y189" s="379"/>
      <c r="Z189" s="463"/>
      <c r="AA189" s="379"/>
      <c r="AB189" s="379"/>
      <c r="AC189" s="50"/>
      <c r="AD189" s="50"/>
      <c r="AE189" s="379"/>
      <c r="AF189" s="379"/>
      <c r="AG189" s="156"/>
      <c r="AH189" s="60"/>
      <c r="AI189" s="449"/>
      <c r="AJ189" s="449"/>
      <c r="AK189" s="156"/>
      <c r="AL189" s="379"/>
      <c r="AM189" s="50"/>
      <c r="AN189" s="50"/>
    </row>
    <row r="190" spans="1:40" x14ac:dyDescent="0.25">
      <c r="F190" s="381"/>
      <c r="H190" s="381"/>
      <c r="I190" s="381"/>
      <c r="J190" s="464"/>
      <c r="K190" s="464"/>
      <c r="L190" s="381"/>
      <c r="M190" s="381"/>
      <c r="N190" s="381"/>
      <c r="O190" s="381"/>
      <c r="P190" s="381"/>
      <c r="Q190" s="381"/>
      <c r="R190" s="381"/>
      <c r="V190" s="381"/>
      <c r="Y190" s="381"/>
      <c r="Z190" s="464"/>
      <c r="AA190" s="381"/>
      <c r="AB190" s="381"/>
      <c r="AC190" s="381"/>
      <c r="AD190" s="381"/>
      <c r="AE190" s="381"/>
      <c r="AF190" s="381"/>
      <c r="AI190" s="381"/>
      <c r="AJ190" s="381"/>
      <c r="AK190" s="162"/>
      <c r="AL190" s="381"/>
      <c r="AM190" s="50"/>
      <c r="AN190" s="50"/>
    </row>
    <row r="191" spans="1:40" x14ac:dyDescent="0.25">
      <c r="A191" s="53"/>
      <c r="C191" s="54"/>
      <c r="F191" s="379"/>
      <c r="H191" s="379"/>
      <c r="I191" s="379"/>
      <c r="J191" s="59"/>
      <c r="K191" s="59"/>
      <c r="L191" s="379"/>
      <c r="M191" s="379"/>
      <c r="N191" s="50"/>
      <c r="O191" s="50"/>
      <c r="P191" s="379"/>
      <c r="Q191" s="379"/>
      <c r="R191" s="379"/>
      <c r="T191" s="54"/>
      <c r="V191" s="379"/>
      <c r="Y191" s="379"/>
      <c r="Z191" s="59"/>
      <c r="AA191" s="379"/>
      <c r="AB191" s="379"/>
      <c r="AC191" s="50"/>
      <c r="AD191" s="50"/>
      <c r="AE191" s="379"/>
      <c r="AF191" s="379"/>
      <c r="AG191" s="156"/>
      <c r="AH191" s="60"/>
      <c r="AI191" s="379"/>
      <c r="AJ191" s="379"/>
      <c r="AK191" s="156"/>
      <c r="AL191" s="379"/>
      <c r="AM191" s="50"/>
      <c r="AN191" s="50"/>
    </row>
    <row r="192" spans="1:40" x14ac:dyDescent="0.25">
      <c r="F192" s="381"/>
      <c r="H192" s="381"/>
      <c r="I192" s="381"/>
      <c r="J192" s="464"/>
      <c r="K192" s="464"/>
      <c r="L192" s="381"/>
      <c r="M192" s="381"/>
      <c r="N192" s="381"/>
      <c r="O192" s="381"/>
      <c r="P192" s="381"/>
      <c r="Q192" s="381"/>
      <c r="R192" s="381"/>
      <c r="V192" s="381"/>
      <c r="Y192" s="381"/>
      <c r="Z192" s="464"/>
      <c r="AA192" s="381"/>
      <c r="AB192" s="381"/>
      <c r="AC192" s="381"/>
      <c r="AD192" s="381"/>
      <c r="AE192" s="381"/>
      <c r="AF192" s="381"/>
      <c r="AI192" s="381"/>
      <c r="AJ192" s="381"/>
      <c r="AK192" s="162"/>
      <c r="AL192" s="381"/>
      <c r="AM192" s="50"/>
      <c r="AN192" s="50"/>
    </row>
    <row r="193" spans="1:40" x14ac:dyDescent="0.25">
      <c r="A193" s="53"/>
      <c r="C193" s="54"/>
      <c r="F193" s="379"/>
      <c r="H193" s="379"/>
      <c r="I193" s="379"/>
      <c r="J193" s="59"/>
      <c r="K193" s="59"/>
      <c r="L193" s="379"/>
      <c r="M193" s="379"/>
      <c r="N193" s="50"/>
      <c r="O193" s="50"/>
      <c r="P193" s="379"/>
      <c r="Q193" s="379"/>
      <c r="R193" s="379"/>
      <c r="T193" s="54"/>
      <c r="V193" s="379"/>
      <c r="Y193" s="379"/>
      <c r="Z193" s="59"/>
      <c r="AA193" s="379"/>
      <c r="AB193" s="379"/>
      <c r="AC193" s="50"/>
      <c r="AD193" s="50"/>
      <c r="AE193" s="379"/>
      <c r="AF193" s="379"/>
      <c r="AG193" s="156"/>
      <c r="AH193" s="60"/>
      <c r="AI193" s="379"/>
      <c r="AJ193" s="379"/>
      <c r="AK193" s="156"/>
      <c r="AL193" s="379"/>
      <c r="AM193" s="50"/>
      <c r="AN193" s="50"/>
    </row>
    <row r="194" spans="1:40" x14ac:dyDescent="0.25">
      <c r="A194" s="53"/>
      <c r="C194" s="54"/>
      <c r="F194" s="379"/>
      <c r="H194" s="379"/>
      <c r="I194" s="379"/>
      <c r="J194" s="59"/>
      <c r="K194" s="59"/>
      <c r="L194" s="379"/>
      <c r="M194" s="379"/>
      <c r="N194" s="50"/>
      <c r="O194" s="50"/>
      <c r="P194" s="379"/>
      <c r="Q194" s="379"/>
      <c r="R194" s="379"/>
      <c r="T194" s="54"/>
      <c r="V194" s="379"/>
      <c r="Y194" s="379"/>
      <c r="Z194" s="59"/>
      <c r="AA194" s="379"/>
      <c r="AB194" s="379"/>
      <c r="AC194" s="50"/>
      <c r="AD194" s="50"/>
      <c r="AE194" s="379"/>
      <c r="AF194" s="379"/>
      <c r="AG194" s="156"/>
      <c r="AH194" s="60"/>
      <c r="AI194" s="379"/>
      <c r="AJ194" s="379"/>
      <c r="AK194" s="156"/>
      <c r="AL194" s="379"/>
      <c r="AM194" s="50"/>
      <c r="AN194" s="50"/>
    </row>
    <row r="195" spans="1:40" x14ac:dyDescent="0.25">
      <c r="F195" s="381"/>
      <c r="H195" s="381"/>
      <c r="I195" s="381"/>
      <c r="J195" s="464"/>
      <c r="K195" s="464"/>
      <c r="L195" s="381"/>
      <c r="M195" s="381"/>
      <c r="N195" s="381"/>
      <c r="O195" s="381"/>
      <c r="P195" s="381"/>
      <c r="Q195" s="381"/>
      <c r="R195" s="381"/>
      <c r="V195" s="381"/>
      <c r="Y195" s="381"/>
      <c r="Z195" s="464"/>
      <c r="AA195" s="381"/>
      <c r="AB195" s="381"/>
      <c r="AC195" s="381"/>
      <c r="AD195" s="381"/>
      <c r="AE195" s="381"/>
      <c r="AF195" s="381"/>
      <c r="AI195" s="381"/>
      <c r="AJ195" s="381"/>
      <c r="AK195" s="162"/>
      <c r="AL195" s="381"/>
      <c r="AM195" s="379"/>
      <c r="AN195" s="379"/>
    </row>
    <row r="196" spans="1:40" x14ac:dyDescent="0.25">
      <c r="F196" s="379"/>
      <c r="H196" s="379"/>
      <c r="I196" s="379"/>
      <c r="J196" s="59"/>
      <c r="K196" s="59"/>
      <c r="L196" s="379"/>
      <c r="M196" s="379"/>
      <c r="N196" s="379"/>
      <c r="O196" s="379"/>
      <c r="P196" s="379"/>
      <c r="Q196" s="379"/>
      <c r="R196" s="379"/>
      <c r="V196" s="379"/>
      <c r="Y196" s="379"/>
      <c r="Z196" s="59"/>
      <c r="AA196" s="379"/>
      <c r="AB196" s="379"/>
      <c r="AC196" s="379"/>
      <c r="AD196" s="379"/>
    </row>
    <row r="197" spans="1:40" x14ac:dyDescent="0.25">
      <c r="C197" s="54"/>
      <c r="F197" s="379"/>
      <c r="H197" s="379"/>
      <c r="I197" s="379"/>
      <c r="J197" s="59"/>
      <c r="K197" s="59"/>
      <c r="L197" s="379"/>
      <c r="M197" s="379"/>
      <c r="N197" s="379"/>
      <c r="O197" s="379"/>
      <c r="P197" s="379"/>
      <c r="Q197" s="379"/>
      <c r="R197" s="379"/>
      <c r="T197" s="54"/>
      <c r="V197" s="379"/>
      <c r="Y197" s="379"/>
      <c r="Z197" s="59"/>
      <c r="AA197" s="379"/>
      <c r="AB197" s="379"/>
      <c r="AC197" s="379"/>
      <c r="AD197" s="379"/>
    </row>
    <row r="198" spans="1:40" x14ac:dyDescent="0.25">
      <c r="A198" s="54"/>
    </row>
    <row r="199" spans="1:40" x14ac:dyDescent="0.25">
      <c r="J199" s="53"/>
      <c r="K199" s="53"/>
      <c r="Z199" s="53"/>
    </row>
    <row r="200" spans="1:40" x14ac:dyDescent="0.25">
      <c r="H200" s="54"/>
      <c r="I200" s="54"/>
      <c r="Y200" s="54"/>
    </row>
    <row r="201" spans="1:40" x14ac:dyDescent="0.25">
      <c r="J201" s="53"/>
      <c r="K201" s="53"/>
      <c r="Z201" s="53"/>
    </row>
    <row r="202" spans="1:40" x14ac:dyDescent="0.25">
      <c r="L202" s="54"/>
      <c r="M202" s="54"/>
      <c r="AA202" s="54"/>
      <c r="AB202" s="54"/>
    </row>
    <row r="203" spans="1:40" x14ac:dyDescent="0.25">
      <c r="A203" s="53"/>
      <c r="R203" s="54"/>
      <c r="AK203" s="161"/>
      <c r="AL203" s="54"/>
    </row>
    <row r="204" spans="1:40" x14ac:dyDescent="0.25">
      <c r="A204" s="53"/>
      <c r="R204" s="54"/>
      <c r="AK204" s="161"/>
      <c r="AL204" s="54"/>
    </row>
    <row r="205" spans="1:40" x14ac:dyDescent="0.25">
      <c r="A205" s="54"/>
      <c r="R205" s="54"/>
      <c r="AK205" s="161"/>
      <c r="AL205" s="54"/>
    </row>
    <row r="206" spans="1:40" x14ac:dyDescent="0.25">
      <c r="L206" s="54"/>
      <c r="M206" s="54"/>
      <c r="R206" s="53"/>
      <c r="AA206" s="54"/>
      <c r="AB206" s="54"/>
      <c r="AK206" s="156"/>
      <c r="AL206" s="53"/>
    </row>
    <row r="207" spans="1:40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154"/>
      <c r="AH207" s="55"/>
      <c r="AI207" s="55"/>
      <c r="AJ207" s="55"/>
      <c r="AK207" s="154"/>
      <c r="AL207" s="55"/>
      <c r="AM207" s="55"/>
      <c r="AN207" s="55"/>
    </row>
    <row r="208" spans="1:40" x14ac:dyDescent="0.25">
      <c r="L208" s="56"/>
      <c r="M208" s="56"/>
      <c r="N208" s="56"/>
      <c r="O208" s="56"/>
      <c r="R208" s="56"/>
      <c r="AA208" s="56"/>
      <c r="AB208" s="56"/>
      <c r="AC208" s="56"/>
      <c r="AD208" s="56"/>
      <c r="AE208" s="56"/>
      <c r="AF208" s="56"/>
      <c r="AG208" s="155"/>
      <c r="AH208" s="56"/>
      <c r="AK208" s="155"/>
      <c r="AL208" s="56"/>
      <c r="AM208" s="56"/>
      <c r="AN208" s="56"/>
    </row>
    <row r="209" spans="1:40" x14ac:dyDescent="0.25">
      <c r="L209" s="56"/>
      <c r="M209" s="56"/>
      <c r="N209" s="56"/>
      <c r="O209" s="56"/>
      <c r="R209" s="56"/>
      <c r="Z209" s="56"/>
      <c r="AA209" s="56"/>
      <c r="AB209" s="56"/>
      <c r="AC209" s="56"/>
      <c r="AD209" s="56"/>
      <c r="AE209" s="56"/>
      <c r="AF209" s="56"/>
      <c r="AG209" s="155"/>
      <c r="AH209" s="56"/>
      <c r="AK209" s="155"/>
      <c r="AL209" s="56"/>
      <c r="AM209" s="56"/>
      <c r="AN209" s="56"/>
    </row>
    <row r="210" spans="1:40" x14ac:dyDescent="0.25">
      <c r="A210" s="56"/>
      <c r="C210" s="56"/>
      <c r="D210" s="56"/>
      <c r="E210" s="56"/>
      <c r="F210" s="56"/>
      <c r="J210" s="56"/>
      <c r="K210" s="56"/>
      <c r="L210" s="56"/>
      <c r="M210" s="56"/>
      <c r="N210" s="56"/>
      <c r="O210" s="56"/>
      <c r="P210" s="56"/>
      <c r="Q210" s="56"/>
      <c r="R210" s="56"/>
      <c r="T210" s="56"/>
      <c r="U210" s="56"/>
      <c r="V210" s="56"/>
      <c r="Z210" s="56"/>
      <c r="AA210" s="56"/>
      <c r="AB210" s="56"/>
      <c r="AC210" s="56"/>
      <c r="AD210" s="56"/>
      <c r="AE210" s="56"/>
      <c r="AF210" s="56"/>
      <c r="AG210" s="155"/>
      <c r="AH210" s="56"/>
      <c r="AI210" s="56"/>
      <c r="AJ210" s="56"/>
      <c r="AK210" s="155"/>
      <c r="AL210" s="56"/>
      <c r="AM210" s="56"/>
      <c r="AN210" s="56"/>
    </row>
    <row r="211" spans="1:40" x14ac:dyDescent="0.25">
      <c r="A211" s="56"/>
      <c r="C211" s="56"/>
      <c r="D211" s="56"/>
      <c r="E211" s="56"/>
      <c r="F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T211" s="56"/>
      <c r="U211" s="56"/>
      <c r="V211" s="56"/>
      <c r="Y211" s="56"/>
      <c r="Z211" s="56"/>
      <c r="AA211" s="56"/>
      <c r="AB211" s="56"/>
      <c r="AC211" s="56"/>
      <c r="AD211" s="56"/>
      <c r="AE211" s="56"/>
      <c r="AF211" s="56"/>
      <c r="AG211" s="155"/>
      <c r="AH211" s="56"/>
      <c r="AI211" s="56"/>
      <c r="AJ211" s="56"/>
      <c r="AK211" s="155"/>
      <c r="AL211" s="56"/>
      <c r="AM211" s="56"/>
      <c r="AN211" s="56"/>
    </row>
    <row r="212" spans="1:40" x14ac:dyDescent="0.25">
      <c r="C212" s="56"/>
      <c r="D212" s="56"/>
      <c r="E212" s="56"/>
      <c r="F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T212" s="56"/>
      <c r="U212" s="56"/>
      <c r="V212" s="56"/>
      <c r="Y212" s="56"/>
      <c r="Z212" s="56"/>
      <c r="AA212" s="56"/>
      <c r="AB212" s="56"/>
      <c r="AC212" s="56"/>
      <c r="AD212" s="56"/>
      <c r="AE212" s="56"/>
      <c r="AF212" s="56"/>
      <c r="AG212" s="155"/>
      <c r="AH212" s="56"/>
      <c r="AI212" s="56"/>
      <c r="AJ212" s="56"/>
      <c r="AK212" s="155"/>
      <c r="AL212" s="56"/>
      <c r="AM212" s="56"/>
      <c r="AN212" s="56"/>
    </row>
    <row r="213" spans="1:40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154"/>
      <c r="AH213" s="55"/>
      <c r="AI213" s="55"/>
      <c r="AJ213" s="55"/>
      <c r="AK213" s="154"/>
      <c r="AL213" s="55"/>
      <c r="AM213" s="55"/>
      <c r="AN213" s="55"/>
    </row>
    <row r="214" spans="1:40" x14ac:dyDescent="0.25"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Y214" s="56"/>
      <c r="Z214" s="56"/>
      <c r="AA214" s="56"/>
      <c r="AB214" s="56"/>
      <c r="AC214" s="56"/>
      <c r="AD214" s="56"/>
      <c r="AE214" s="56"/>
      <c r="AF214" s="56"/>
      <c r="AG214" s="155"/>
      <c r="AH214" s="56"/>
      <c r="AI214" s="56"/>
      <c r="AJ214" s="56"/>
      <c r="AK214" s="155"/>
      <c r="AL214" s="56"/>
      <c r="AM214" s="56"/>
      <c r="AN214" s="56"/>
    </row>
    <row r="215" spans="1:40" x14ac:dyDescent="0.25">
      <c r="A215" s="53"/>
      <c r="C215" s="54"/>
      <c r="D215" s="54"/>
      <c r="E215" s="54"/>
      <c r="T215" s="54"/>
      <c r="U215" s="54"/>
    </row>
    <row r="217" spans="1:40" x14ac:dyDescent="0.25">
      <c r="A217" s="53"/>
      <c r="C217" s="54"/>
      <c r="F217" s="449"/>
      <c r="H217" s="470"/>
      <c r="I217" s="470"/>
      <c r="J217" s="461"/>
      <c r="K217" s="461"/>
      <c r="L217" s="379"/>
      <c r="M217" s="379"/>
      <c r="N217" s="53"/>
      <c r="O217" s="53"/>
      <c r="P217" s="53"/>
      <c r="Q217" s="53"/>
      <c r="R217" s="379"/>
      <c r="T217" s="54"/>
      <c r="V217" s="379"/>
      <c r="Y217" s="53"/>
      <c r="Z217" s="461"/>
      <c r="AA217" s="379"/>
      <c r="AB217" s="379"/>
      <c r="AC217" s="53"/>
      <c r="AD217" s="53"/>
      <c r="AE217" s="379"/>
      <c r="AF217" s="379"/>
      <c r="AG217" s="474"/>
      <c r="AH217" s="475"/>
      <c r="AI217" s="379"/>
      <c r="AJ217" s="379"/>
      <c r="AK217" s="156"/>
      <c r="AL217" s="379"/>
      <c r="AM217" s="476"/>
      <c r="AN217" s="476"/>
    </row>
    <row r="218" spans="1:40" x14ac:dyDescent="0.25">
      <c r="F218" s="449"/>
      <c r="H218" s="470"/>
      <c r="I218" s="470"/>
      <c r="J218" s="470"/>
      <c r="K218" s="470"/>
      <c r="R218" s="379"/>
      <c r="V218" s="379"/>
      <c r="Z218" s="470"/>
    </row>
    <row r="219" spans="1:40" x14ac:dyDescent="0.25">
      <c r="A219" s="53"/>
      <c r="C219" s="54"/>
      <c r="F219" s="449"/>
      <c r="H219" s="449"/>
      <c r="I219" s="449"/>
      <c r="J219" s="472"/>
      <c r="K219" s="472"/>
      <c r="L219" s="379"/>
      <c r="M219" s="379"/>
      <c r="N219" s="50"/>
      <c r="O219" s="50"/>
      <c r="P219" s="449"/>
      <c r="Q219" s="449"/>
      <c r="R219" s="379"/>
      <c r="T219" s="54"/>
      <c r="V219" s="379"/>
      <c r="Y219" s="379"/>
      <c r="Z219" s="463"/>
      <c r="AA219" s="379"/>
      <c r="AB219" s="379"/>
      <c r="AC219" s="50"/>
      <c r="AD219" s="50"/>
      <c r="AE219" s="379"/>
      <c r="AF219" s="379"/>
      <c r="AG219" s="156"/>
      <c r="AH219" s="60"/>
      <c r="AI219" s="449"/>
      <c r="AJ219" s="449"/>
      <c r="AK219" s="156"/>
      <c r="AL219" s="379"/>
      <c r="AM219" s="50"/>
      <c r="AN219" s="50"/>
    </row>
    <row r="220" spans="1:40" x14ac:dyDescent="0.25">
      <c r="F220" s="381"/>
      <c r="H220" s="381"/>
      <c r="I220" s="381"/>
      <c r="J220" s="464"/>
      <c r="K220" s="464"/>
      <c r="L220" s="381"/>
      <c r="M220" s="381"/>
      <c r="N220" s="381"/>
      <c r="O220" s="381"/>
      <c r="P220" s="381"/>
      <c r="Q220" s="381"/>
      <c r="R220" s="381"/>
      <c r="V220" s="381"/>
      <c r="Y220" s="381"/>
      <c r="Z220" s="464"/>
      <c r="AA220" s="381"/>
      <c r="AB220" s="381"/>
      <c r="AC220" s="381"/>
      <c r="AD220" s="381"/>
      <c r="AE220" s="381"/>
      <c r="AF220" s="381"/>
      <c r="AI220" s="381"/>
      <c r="AJ220" s="381"/>
      <c r="AK220" s="162"/>
      <c r="AL220" s="381"/>
    </row>
    <row r="221" spans="1:40" x14ac:dyDescent="0.25">
      <c r="A221" s="53"/>
      <c r="D221" s="54"/>
      <c r="E221" s="54"/>
      <c r="F221" s="379"/>
      <c r="H221" s="379"/>
      <c r="I221" s="379"/>
      <c r="J221" s="59"/>
      <c r="K221" s="59"/>
      <c r="L221" s="379"/>
      <c r="M221" s="379"/>
      <c r="N221" s="50"/>
      <c r="O221" s="50"/>
      <c r="P221" s="379"/>
      <c r="Q221" s="379"/>
      <c r="R221" s="379"/>
      <c r="U221" s="54"/>
      <c r="V221" s="379"/>
      <c r="Y221" s="379"/>
      <c r="Z221" s="59"/>
      <c r="AA221" s="379"/>
      <c r="AB221" s="379"/>
      <c r="AC221" s="50"/>
      <c r="AD221" s="50"/>
      <c r="AE221" s="379"/>
      <c r="AF221" s="379"/>
      <c r="AG221" s="156"/>
      <c r="AH221" s="60"/>
      <c r="AI221" s="379"/>
      <c r="AJ221" s="379"/>
      <c r="AK221" s="156"/>
      <c r="AL221" s="379"/>
      <c r="AM221" s="50"/>
      <c r="AN221" s="50"/>
    </row>
    <row r="222" spans="1:40" x14ac:dyDescent="0.25">
      <c r="F222" s="381"/>
      <c r="H222" s="381"/>
      <c r="I222" s="381"/>
      <c r="J222" s="464"/>
      <c r="K222" s="464"/>
      <c r="L222" s="381"/>
      <c r="M222" s="381"/>
      <c r="N222" s="381"/>
      <c r="O222" s="381"/>
      <c r="P222" s="381"/>
      <c r="Q222" s="381"/>
      <c r="R222" s="381"/>
      <c r="V222" s="381"/>
      <c r="Y222" s="381"/>
      <c r="Z222" s="464"/>
      <c r="AA222" s="381"/>
      <c r="AB222" s="381"/>
      <c r="AC222" s="381"/>
      <c r="AD222" s="381"/>
      <c r="AE222" s="381"/>
      <c r="AF222" s="381"/>
      <c r="AI222" s="381"/>
      <c r="AJ222" s="381"/>
      <c r="AK222" s="162"/>
      <c r="AL222" s="381"/>
    </row>
    <row r="223" spans="1:40" x14ac:dyDescent="0.25">
      <c r="R223" s="379"/>
    </row>
    <row r="224" spans="1:40" x14ac:dyDescent="0.25">
      <c r="R224" s="379"/>
    </row>
    <row r="225" spans="1:40" x14ac:dyDescent="0.25">
      <c r="R225" s="379"/>
    </row>
    <row r="226" spans="1:40" x14ac:dyDescent="0.25">
      <c r="A226" s="53"/>
      <c r="C226" s="54"/>
      <c r="D226" s="54"/>
      <c r="E226" s="54"/>
      <c r="H226" s="379"/>
      <c r="I226" s="379"/>
      <c r="J226" s="59"/>
      <c r="K226" s="59"/>
      <c r="L226" s="379"/>
      <c r="M226" s="379"/>
      <c r="N226" s="50"/>
      <c r="O226" s="50"/>
      <c r="P226" s="379"/>
      <c r="Q226" s="379"/>
      <c r="R226" s="379"/>
      <c r="T226" s="54"/>
      <c r="U226" s="54"/>
      <c r="Y226" s="379"/>
      <c r="Z226" s="59"/>
      <c r="AA226" s="379"/>
      <c r="AB226" s="379"/>
      <c r="AC226" s="50"/>
      <c r="AD226" s="50"/>
    </row>
    <row r="227" spans="1:40" x14ac:dyDescent="0.25">
      <c r="H227" s="379"/>
      <c r="I227" s="379"/>
      <c r="J227" s="59"/>
      <c r="K227" s="59"/>
      <c r="L227" s="379"/>
      <c r="M227" s="379"/>
      <c r="N227" s="50"/>
      <c r="O227" s="50"/>
      <c r="P227" s="379"/>
      <c r="Q227" s="379"/>
      <c r="R227" s="379"/>
      <c r="Y227" s="379"/>
      <c r="Z227" s="59"/>
      <c r="AA227" s="379"/>
      <c r="AB227" s="379"/>
      <c r="AC227" s="50"/>
      <c r="AD227" s="50"/>
    </row>
    <row r="228" spans="1:40" x14ac:dyDescent="0.25">
      <c r="A228" s="53"/>
      <c r="C228" s="54"/>
      <c r="F228" s="449"/>
      <c r="H228" s="449"/>
      <c r="I228" s="449"/>
      <c r="J228" s="61"/>
      <c r="K228" s="61"/>
      <c r="L228" s="449"/>
      <c r="M228" s="449"/>
      <c r="N228" s="50"/>
      <c r="O228" s="50"/>
      <c r="P228" s="379"/>
      <c r="Q228" s="379"/>
      <c r="R228" s="379"/>
      <c r="T228" s="54"/>
      <c r="V228" s="379"/>
      <c r="Y228" s="379"/>
      <c r="Z228" s="61"/>
      <c r="AA228" s="379"/>
      <c r="AB228" s="379"/>
      <c r="AC228" s="50"/>
      <c r="AD228" s="50"/>
      <c r="AE228" s="379"/>
      <c r="AF228" s="379"/>
      <c r="AG228" s="156"/>
      <c r="AH228" s="60"/>
      <c r="AI228" s="379"/>
      <c r="AJ228" s="379"/>
      <c r="AK228" s="156"/>
      <c r="AL228" s="379"/>
      <c r="AM228" s="50"/>
      <c r="AN228" s="50"/>
    </row>
    <row r="229" spans="1:40" x14ac:dyDescent="0.25">
      <c r="F229" s="449"/>
      <c r="H229" s="470"/>
      <c r="I229" s="470"/>
      <c r="J229" s="470"/>
      <c r="K229" s="470"/>
      <c r="R229" s="379"/>
      <c r="V229" s="379"/>
      <c r="Z229" s="470"/>
    </row>
    <row r="230" spans="1:40" x14ac:dyDescent="0.25">
      <c r="A230" s="53"/>
      <c r="C230" s="54"/>
      <c r="F230" s="449"/>
      <c r="H230" s="449"/>
      <c r="I230" s="449"/>
      <c r="J230" s="461"/>
      <c r="K230" s="461"/>
      <c r="L230" s="379"/>
      <c r="M230" s="379"/>
      <c r="N230" s="50"/>
      <c r="O230" s="50"/>
      <c r="P230" s="379"/>
      <c r="Q230" s="379"/>
      <c r="R230" s="379"/>
      <c r="T230" s="54"/>
      <c r="V230" s="379"/>
      <c r="Y230" s="379"/>
      <c r="Z230" s="461"/>
      <c r="AA230" s="379"/>
      <c r="AB230" s="379"/>
      <c r="AC230" s="50"/>
      <c r="AD230" s="50"/>
      <c r="AE230" s="379"/>
      <c r="AF230" s="379"/>
      <c r="AG230" s="156"/>
      <c r="AH230" s="60"/>
      <c r="AI230" s="379"/>
      <c r="AJ230" s="379"/>
      <c r="AK230" s="156"/>
      <c r="AL230" s="379"/>
      <c r="AM230" s="50"/>
      <c r="AN230" s="50"/>
    </row>
    <row r="231" spans="1:40" x14ac:dyDescent="0.25">
      <c r="F231" s="449"/>
      <c r="H231" s="470"/>
      <c r="I231" s="470"/>
      <c r="J231" s="470"/>
      <c r="K231" s="470"/>
      <c r="R231" s="379"/>
      <c r="V231" s="379"/>
      <c r="Z231" s="470"/>
    </row>
    <row r="232" spans="1:40" x14ac:dyDescent="0.25">
      <c r="A232" s="53"/>
      <c r="C232" s="54"/>
      <c r="F232" s="449"/>
      <c r="H232" s="449"/>
      <c r="I232" s="449"/>
      <c r="J232" s="472"/>
      <c r="K232" s="472"/>
      <c r="L232" s="379"/>
      <c r="M232" s="379"/>
      <c r="N232" s="50"/>
      <c r="O232" s="50"/>
      <c r="P232" s="379"/>
      <c r="Q232" s="379"/>
      <c r="R232" s="379"/>
      <c r="T232" s="54"/>
      <c r="V232" s="379"/>
      <c r="Y232" s="379"/>
      <c r="Z232" s="463"/>
      <c r="AA232" s="379"/>
      <c r="AB232" s="379"/>
      <c r="AC232" s="50"/>
      <c r="AD232" s="50"/>
      <c r="AE232" s="379"/>
      <c r="AF232" s="379"/>
      <c r="AG232" s="156"/>
      <c r="AH232" s="60"/>
      <c r="AI232" s="379"/>
      <c r="AJ232" s="379"/>
      <c r="AK232" s="156"/>
      <c r="AL232" s="379"/>
      <c r="AM232" s="50"/>
      <c r="AN232" s="50"/>
    </row>
    <row r="233" spans="1:40" x14ac:dyDescent="0.25">
      <c r="F233" s="381"/>
      <c r="H233" s="381"/>
      <c r="I233" s="381"/>
      <c r="J233" s="464"/>
      <c r="K233" s="464"/>
      <c r="L233" s="381"/>
      <c r="M233" s="381"/>
      <c r="N233" s="381"/>
      <c r="O233" s="381"/>
      <c r="P233" s="381"/>
      <c r="Q233" s="381"/>
      <c r="R233" s="381"/>
      <c r="S233" s="379"/>
      <c r="V233" s="381"/>
      <c r="Y233" s="381"/>
      <c r="Z233" s="464"/>
      <c r="AA233" s="381"/>
      <c r="AB233" s="381"/>
      <c r="AC233" s="381"/>
      <c r="AD233" s="381"/>
      <c r="AE233" s="381"/>
      <c r="AF233" s="381"/>
      <c r="AI233" s="381"/>
      <c r="AJ233" s="381"/>
      <c r="AK233" s="162"/>
      <c r="AL233" s="381"/>
    </row>
    <row r="234" spans="1:40" x14ac:dyDescent="0.25">
      <c r="A234" s="53"/>
      <c r="D234" s="54"/>
      <c r="E234" s="54"/>
      <c r="F234" s="379"/>
      <c r="H234" s="379"/>
      <c r="I234" s="379"/>
      <c r="J234" s="59"/>
      <c r="K234" s="59"/>
      <c r="L234" s="379"/>
      <c r="M234" s="379"/>
      <c r="N234" s="50"/>
      <c r="O234" s="50"/>
      <c r="P234" s="449"/>
      <c r="Q234" s="449"/>
      <c r="R234" s="379"/>
      <c r="S234" s="379"/>
      <c r="U234" s="54"/>
      <c r="V234" s="379"/>
      <c r="Y234" s="379"/>
      <c r="Z234" s="59"/>
      <c r="AA234" s="379"/>
      <c r="AB234" s="379"/>
      <c r="AC234" s="50"/>
      <c r="AD234" s="50"/>
      <c r="AE234" s="379"/>
      <c r="AF234" s="379"/>
      <c r="AG234" s="156"/>
      <c r="AH234" s="60"/>
      <c r="AI234" s="449"/>
      <c r="AJ234" s="449"/>
      <c r="AK234" s="156"/>
      <c r="AL234" s="379"/>
      <c r="AM234" s="50"/>
      <c r="AN234" s="50"/>
    </row>
    <row r="235" spans="1:40" x14ac:dyDescent="0.25">
      <c r="F235" s="381"/>
      <c r="H235" s="381"/>
      <c r="I235" s="381"/>
      <c r="J235" s="464"/>
      <c r="K235" s="464"/>
      <c r="L235" s="381"/>
      <c r="M235" s="381"/>
      <c r="N235" s="381"/>
      <c r="O235" s="381"/>
      <c r="P235" s="381"/>
      <c r="Q235" s="381"/>
      <c r="R235" s="381"/>
      <c r="S235" s="379"/>
      <c r="V235" s="381"/>
      <c r="Y235" s="381"/>
      <c r="Z235" s="464"/>
      <c r="AA235" s="381"/>
      <c r="AB235" s="381"/>
      <c r="AC235" s="381"/>
      <c r="AD235" s="381"/>
      <c r="AE235" s="381"/>
      <c r="AF235" s="381"/>
      <c r="AI235" s="381"/>
      <c r="AJ235" s="381"/>
      <c r="AK235" s="162"/>
      <c r="AL235" s="381"/>
    </row>
    <row r="236" spans="1:40" x14ac:dyDescent="0.25">
      <c r="R236" s="379"/>
    </row>
    <row r="237" spans="1:40" x14ac:dyDescent="0.25">
      <c r="F237" s="379"/>
      <c r="H237" s="379"/>
      <c r="I237" s="379"/>
      <c r="J237" s="59"/>
      <c r="K237" s="59"/>
      <c r="L237" s="379"/>
      <c r="M237" s="379"/>
      <c r="N237" s="379"/>
      <c r="O237" s="379"/>
      <c r="P237" s="379"/>
      <c r="Q237" s="379"/>
      <c r="R237" s="379"/>
      <c r="V237" s="379"/>
      <c r="Y237" s="379"/>
      <c r="Z237" s="59"/>
      <c r="AA237" s="379"/>
      <c r="AB237" s="379"/>
      <c r="AC237" s="379"/>
      <c r="AD237" s="379"/>
    </row>
    <row r="238" spans="1:40" x14ac:dyDescent="0.25">
      <c r="C238" s="54"/>
      <c r="F238" s="379"/>
      <c r="H238" s="379"/>
      <c r="I238" s="379"/>
      <c r="J238" s="59"/>
      <c r="K238" s="59"/>
      <c r="L238" s="379"/>
      <c r="M238" s="379"/>
      <c r="N238" s="379"/>
      <c r="O238" s="379"/>
      <c r="P238" s="379"/>
      <c r="Q238" s="379"/>
      <c r="R238" s="379"/>
      <c r="T238" s="54"/>
      <c r="V238" s="379"/>
      <c r="Y238" s="379"/>
      <c r="Z238" s="59"/>
      <c r="AA238" s="379"/>
      <c r="AB238" s="379"/>
      <c r="AC238" s="379"/>
      <c r="AD238" s="379"/>
    </row>
    <row r="239" spans="1:40" x14ac:dyDescent="0.25">
      <c r="C239" s="54"/>
      <c r="T239" s="54"/>
    </row>
    <row r="240" spans="1:40" x14ac:dyDescent="0.25">
      <c r="A240" s="54"/>
    </row>
    <row r="242" spans="1:40" x14ac:dyDescent="0.25">
      <c r="J242" s="53"/>
      <c r="K242" s="53"/>
      <c r="Z242" s="53"/>
    </row>
    <row r="243" spans="1:40" x14ac:dyDescent="0.25">
      <c r="H243" s="54"/>
      <c r="I243" s="54"/>
      <c r="Y243" s="54"/>
    </row>
    <row r="244" spans="1:40" x14ac:dyDescent="0.25">
      <c r="J244" s="53"/>
      <c r="K244" s="53"/>
      <c r="Z244" s="53"/>
    </row>
    <row r="245" spans="1:40" x14ac:dyDescent="0.25">
      <c r="L245" s="54"/>
      <c r="M245" s="54"/>
      <c r="AA245" s="54"/>
      <c r="AB245" s="54"/>
    </row>
    <row r="246" spans="1:40" x14ac:dyDescent="0.25">
      <c r="A246" s="53"/>
      <c r="R246" s="54"/>
      <c r="AK246" s="161"/>
      <c r="AL246" s="54"/>
    </row>
    <row r="247" spans="1:40" x14ac:dyDescent="0.25">
      <c r="A247" s="53"/>
      <c r="R247" s="54"/>
      <c r="AK247" s="161"/>
      <c r="AL247" s="54"/>
    </row>
    <row r="248" spans="1:40" x14ac:dyDescent="0.25">
      <c r="A248" s="54"/>
      <c r="R248" s="54"/>
      <c r="AK248" s="161"/>
      <c r="AL248" s="54"/>
    </row>
    <row r="249" spans="1:40" x14ac:dyDescent="0.25">
      <c r="L249" s="54"/>
      <c r="M249" s="54"/>
      <c r="R249" s="53"/>
      <c r="AA249" s="54"/>
      <c r="AB249" s="54"/>
      <c r="AK249" s="156"/>
      <c r="AL249" s="53"/>
    </row>
    <row r="250" spans="1:40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154"/>
      <c r="AH250" s="55"/>
      <c r="AI250" s="55"/>
      <c r="AJ250" s="55"/>
      <c r="AK250" s="154"/>
      <c r="AL250" s="55"/>
      <c r="AM250" s="55"/>
      <c r="AN250" s="55"/>
    </row>
    <row r="251" spans="1:40" x14ac:dyDescent="0.25">
      <c r="L251" s="56"/>
      <c r="M251" s="56"/>
      <c r="N251" s="56"/>
      <c r="O251" s="56"/>
      <c r="R251" s="56"/>
      <c r="AA251" s="56"/>
      <c r="AB251" s="56"/>
      <c r="AC251" s="56"/>
      <c r="AD251" s="56"/>
      <c r="AE251" s="56"/>
      <c r="AF251" s="56"/>
      <c r="AG251" s="155"/>
      <c r="AH251" s="56"/>
      <c r="AK251" s="155"/>
      <c r="AL251" s="56"/>
      <c r="AM251" s="56"/>
      <c r="AN251" s="56"/>
    </row>
    <row r="252" spans="1:40" x14ac:dyDescent="0.25">
      <c r="L252" s="56"/>
      <c r="M252" s="56"/>
      <c r="N252" s="56"/>
      <c r="O252" s="56"/>
      <c r="R252" s="56"/>
      <c r="Z252" s="56"/>
      <c r="AA252" s="56"/>
      <c r="AB252" s="56"/>
      <c r="AC252" s="56"/>
      <c r="AD252" s="56"/>
      <c r="AE252" s="56"/>
      <c r="AF252" s="56"/>
      <c r="AG252" s="155"/>
      <c r="AH252" s="56"/>
      <c r="AK252" s="155"/>
      <c r="AL252" s="56"/>
      <c r="AM252" s="56"/>
      <c r="AN252" s="56"/>
    </row>
    <row r="253" spans="1:40" x14ac:dyDescent="0.25">
      <c r="A253" s="56"/>
      <c r="C253" s="56"/>
      <c r="D253" s="56"/>
      <c r="E253" s="56"/>
      <c r="F253" s="56"/>
      <c r="J253" s="56"/>
      <c r="K253" s="56"/>
      <c r="L253" s="56"/>
      <c r="M253" s="56"/>
      <c r="N253" s="56"/>
      <c r="O253" s="56"/>
      <c r="P253" s="56"/>
      <c r="Q253" s="56"/>
      <c r="R253" s="56"/>
      <c r="T253" s="56"/>
      <c r="U253" s="56"/>
      <c r="V253" s="56"/>
      <c r="Z253" s="56"/>
      <c r="AA253" s="56"/>
      <c r="AB253" s="56"/>
      <c r="AC253" s="56"/>
      <c r="AD253" s="56"/>
      <c r="AE253" s="56"/>
      <c r="AF253" s="56"/>
      <c r="AG253" s="155"/>
      <c r="AH253" s="56"/>
      <c r="AI253" s="56"/>
      <c r="AJ253" s="56"/>
      <c r="AK253" s="155"/>
      <c r="AL253" s="56"/>
      <c r="AM253" s="56"/>
      <c r="AN253" s="56"/>
    </row>
    <row r="254" spans="1:40" x14ac:dyDescent="0.25">
      <c r="A254" s="56"/>
      <c r="C254" s="56"/>
      <c r="D254" s="56"/>
      <c r="E254" s="56"/>
      <c r="F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T254" s="56"/>
      <c r="U254" s="56"/>
      <c r="V254" s="56"/>
      <c r="Y254" s="56"/>
      <c r="Z254" s="56"/>
      <c r="AA254" s="56"/>
      <c r="AB254" s="56"/>
      <c r="AC254" s="56"/>
      <c r="AD254" s="56"/>
      <c r="AE254" s="56"/>
      <c r="AF254" s="56"/>
      <c r="AG254" s="155"/>
      <c r="AH254" s="56"/>
      <c r="AI254" s="56"/>
      <c r="AJ254" s="56"/>
      <c r="AK254" s="155"/>
      <c r="AL254" s="56"/>
      <c r="AM254" s="56"/>
      <c r="AN254" s="56"/>
    </row>
    <row r="255" spans="1:40" x14ac:dyDescent="0.25">
      <c r="C255" s="56"/>
      <c r="D255" s="56"/>
      <c r="E255" s="56"/>
      <c r="F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T255" s="56"/>
      <c r="U255" s="56"/>
      <c r="V255" s="56"/>
      <c r="Y255" s="56"/>
      <c r="Z255" s="56"/>
      <c r="AA255" s="56"/>
      <c r="AB255" s="56"/>
      <c r="AC255" s="56"/>
      <c r="AD255" s="56"/>
      <c r="AE255" s="56"/>
      <c r="AF255" s="56"/>
      <c r="AG255" s="155"/>
      <c r="AH255" s="56"/>
      <c r="AI255" s="56"/>
      <c r="AJ255" s="56"/>
      <c r="AK255" s="155"/>
      <c r="AL255" s="56"/>
      <c r="AM255" s="56"/>
      <c r="AN255" s="56"/>
    </row>
    <row r="256" spans="1:40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154"/>
      <c r="AH256" s="55"/>
      <c r="AI256" s="55"/>
      <c r="AJ256" s="55"/>
      <c r="AK256" s="154"/>
      <c r="AL256" s="55"/>
      <c r="AM256" s="55"/>
      <c r="AN256" s="55"/>
    </row>
    <row r="257" spans="1:40" x14ac:dyDescent="0.25"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Y257" s="56"/>
      <c r="Z257" s="56"/>
      <c r="AA257" s="56"/>
      <c r="AB257" s="56"/>
      <c r="AC257" s="56"/>
      <c r="AD257" s="56"/>
      <c r="AE257" s="56"/>
      <c r="AF257" s="56"/>
      <c r="AG257" s="155"/>
      <c r="AH257" s="56"/>
      <c r="AI257" s="56"/>
      <c r="AJ257" s="56"/>
      <c r="AK257" s="155"/>
      <c r="AL257" s="56"/>
      <c r="AM257" s="56"/>
      <c r="AN257" s="56"/>
    </row>
    <row r="258" spans="1:40" x14ac:dyDescent="0.25">
      <c r="A258" s="53"/>
      <c r="C258" s="54"/>
      <c r="D258" s="54"/>
      <c r="E258" s="54"/>
      <c r="T258" s="54"/>
      <c r="U258" s="54"/>
    </row>
    <row r="259" spans="1:40" x14ac:dyDescent="0.25">
      <c r="A259" s="53"/>
      <c r="D259" s="54"/>
      <c r="E259" s="54"/>
      <c r="U259" s="54"/>
    </row>
    <row r="261" spans="1:40" x14ac:dyDescent="0.25">
      <c r="A261" s="53"/>
      <c r="C261" s="54"/>
      <c r="F261" s="379"/>
      <c r="J261" s="62"/>
      <c r="K261" s="62"/>
      <c r="L261" s="379"/>
      <c r="M261" s="379"/>
      <c r="R261" s="379"/>
      <c r="T261" s="54"/>
      <c r="V261" s="379"/>
      <c r="Z261" s="62"/>
      <c r="AA261" s="379"/>
      <c r="AB261" s="379"/>
      <c r="AK261" s="156"/>
      <c r="AL261" s="379"/>
    </row>
    <row r="262" spans="1:40" x14ac:dyDescent="0.25">
      <c r="F262" s="379"/>
      <c r="R262" s="379"/>
      <c r="V262" s="379"/>
      <c r="AK262" s="156"/>
      <c r="AL262" s="379"/>
    </row>
    <row r="263" spans="1:40" x14ac:dyDescent="0.25">
      <c r="A263" s="53"/>
      <c r="C263" s="54"/>
      <c r="F263" s="449"/>
      <c r="H263" s="449"/>
      <c r="I263" s="449"/>
      <c r="J263" s="461"/>
      <c r="K263" s="461"/>
      <c r="L263" s="379"/>
      <c r="M263" s="379"/>
      <c r="N263" s="50"/>
      <c r="O263" s="50"/>
      <c r="P263" s="379"/>
      <c r="Q263" s="379"/>
      <c r="R263" s="379"/>
      <c r="T263" s="54"/>
      <c r="V263" s="379"/>
      <c r="Y263" s="379"/>
      <c r="Z263" s="461"/>
      <c r="AA263" s="379"/>
      <c r="AB263" s="379"/>
      <c r="AC263" s="50"/>
      <c r="AD263" s="50"/>
      <c r="AE263" s="379"/>
      <c r="AF263" s="379"/>
      <c r="AG263" s="156"/>
      <c r="AH263" s="60"/>
      <c r="AI263" s="379"/>
      <c r="AJ263" s="379"/>
      <c r="AK263" s="156"/>
      <c r="AL263" s="379"/>
      <c r="AM263" s="50"/>
      <c r="AN263" s="50"/>
    </row>
    <row r="264" spans="1:40" x14ac:dyDescent="0.25">
      <c r="A264" s="53"/>
      <c r="C264" s="54"/>
      <c r="F264" s="449"/>
      <c r="H264" s="470"/>
      <c r="I264" s="470"/>
      <c r="J264" s="461"/>
      <c r="K264" s="461"/>
      <c r="L264" s="379"/>
      <c r="M264" s="379"/>
      <c r="N264" s="50"/>
      <c r="O264" s="50"/>
      <c r="P264" s="379"/>
      <c r="Q264" s="379"/>
      <c r="R264" s="379"/>
      <c r="T264" s="54"/>
      <c r="V264" s="379"/>
      <c r="Y264" s="379"/>
      <c r="Z264" s="461"/>
      <c r="AA264" s="379"/>
      <c r="AB264" s="379"/>
      <c r="AC264" s="50"/>
      <c r="AD264" s="50"/>
      <c r="AE264" s="379"/>
      <c r="AF264" s="379"/>
      <c r="AG264" s="156"/>
      <c r="AH264" s="60"/>
      <c r="AI264" s="379"/>
      <c r="AJ264" s="379"/>
      <c r="AK264" s="156"/>
      <c r="AL264" s="379"/>
      <c r="AM264" s="50"/>
      <c r="AN264" s="50"/>
    </row>
    <row r="265" spans="1:40" x14ac:dyDescent="0.25">
      <c r="F265" s="381"/>
      <c r="H265" s="379"/>
      <c r="I265" s="379"/>
      <c r="J265" s="464"/>
      <c r="K265" s="464"/>
      <c r="L265" s="381"/>
      <c r="M265" s="381"/>
      <c r="N265" s="381"/>
      <c r="O265" s="381"/>
      <c r="P265" s="381"/>
      <c r="Q265" s="381"/>
      <c r="R265" s="381"/>
      <c r="V265" s="381"/>
      <c r="Y265" s="379"/>
      <c r="Z265" s="464"/>
      <c r="AA265" s="381"/>
      <c r="AB265" s="381"/>
      <c r="AC265" s="381"/>
      <c r="AD265" s="381"/>
      <c r="AE265" s="381"/>
      <c r="AF265" s="381"/>
      <c r="AI265" s="381"/>
      <c r="AJ265" s="381"/>
      <c r="AK265" s="162"/>
      <c r="AL265" s="381"/>
    </row>
    <row r="266" spans="1:40" x14ac:dyDescent="0.25">
      <c r="A266" s="53"/>
      <c r="C266" s="54"/>
      <c r="F266" s="379"/>
      <c r="H266" s="379"/>
      <c r="I266" s="379"/>
      <c r="J266" s="59"/>
      <c r="K266" s="59"/>
      <c r="L266" s="379"/>
      <c r="M266" s="379"/>
      <c r="N266" s="50"/>
      <c r="O266" s="50"/>
      <c r="P266" s="379"/>
      <c r="Q266" s="379"/>
      <c r="R266" s="379"/>
      <c r="T266" s="54"/>
      <c r="V266" s="379"/>
      <c r="Y266" s="379"/>
      <c r="Z266" s="59"/>
      <c r="AA266" s="379"/>
      <c r="AB266" s="379"/>
      <c r="AC266" s="50"/>
      <c r="AD266" s="50"/>
      <c r="AE266" s="379"/>
      <c r="AF266" s="379"/>
      <c r="AG266" s="156"/>
      <c r="AH266" s="60"/>
      <c r="AI266" s="379"/>
      <c r="AJ266" s="379"/>
      <c r="AK266" s="156"/>
      <c r="AL266" s="379"/>
      <c r="AM266" s="50"/>
      <c r="AN266" s="50"/>
    </row>
    <row r="267" spans="1:40" x14ac:dyDescent="0.25">
      <c r="F267" s="381"/>
      <c r="H267" s="379"/>
      <c r="I267" s="379"/>
      <c r="J267" s="464"/>
      <c r="K267" s="464"/>
      <c r="L267" s="381"/>
      <c r="M267" s="381"/>
      <c r="N267" s="381"/>
      <c r="O267" s="381"/>
      <c r="P267" s="381"/>
      <c r="Q267" s="381"/>
      <c r="R267" s="381"/>
      <c r="V267" s="381"/>
      <c r="Y267" s="379"/>
      <c r="Z267" s="464"/>
      <c r="AA267" s="381"/>
      <c r="AB267" s="381"/>
      <c r="AC267" s="381"/>
      <c r="AD267" s="381"/>
      <c r="AE267" s="381"/>
      <c r="AF267" s="381"/>
      <c r="AI267" s="381"/>
      <c r="AJ267" s="381"/>
      <c r="AK267" s="162"/>
      <c r="AL267" s="381"/>
    </row>
    <row r="268" spans="1:40" x14ac:dyDescent="0.25">
      <c r="F268" s="379"/>
      <c r="R268" s="379"/>
      <c r="V268" s="379"/>
      <c r="AK268" s="156"/>
      <c r="AL268" s="379"/>
    </row>
    <row r="269" spans="1:40" x14ac:dyDescent="0.25">
      <c r="A269" s="53"/>
      <c r="C269" s="54"/>
      <c r="F269" s="379"/>
      <c r="R269" s="379"/>
      <c r="T269" s="54"/>
      <c r="V269" s="379"/>
      <c r="AK269" s="156"/>
      <c r="AL269" s="379"/>
    </row>
    <row r="270" spans="1:40" x14ac:dyDescent="0.25">
      <c r="F270" s="379"/>
      <c r="R270" s="379"/>
      <c r="V270" s="379"/>
      <c r="AK270" s="156"/>
      <c r="AL270" s="379"/>
    </row>
    <row r="271" spans="1:40" x14ac:dyDescent="0.25">
      <c r="A271" s="53"/>
      <c r="C271" s="54"/>
      <c r="F271" s="379"/>
      <c r="H271" s="449"/>
      <c r="I271" s="449"/>
      <c r="J271" s="472"/>
      <c r="K271" s="472"/>
      <c r="L271" s="379"/>
      <c r="M271" s="379"/>
      <c r="N271" s="50"/>
      <c r="O271" s="50"/>
      <c r="P271" s="449"/>
      <c r="Q271" s="449"/>
      <c r="R271" s="379"/>
      <c r="T271" s="54"/>
      <c r="V271" s="379"/>
      <c r="Y271" s="379"/>
      <c r="Z271" s="463"/>
      <c r="AA271" s="379"/>
      <c r="AB271" s="379"/>
      <c r="AC271" s="50"/>
      <c r="AD271" s="50"/>
      <c r="AE271" s="379"/>
      <c r="AF271" s="379"/>
      <c r="AG271" s="156"/>
      <c r="AH271" s="60"/>
      <c r="AI271" s="449"/>
      <c r="AJ271" s="449"/>
      <c r="AK271" s="156"/>
      <c r="AL271" s="379"/>
      <c r="AM271" s="50"/>
      <c r="AN271" s="50"/>
    </row>
    <row r="272" spans="1:40" x14ac:dyDescent="0.25">
      <c r="F272" s="381"/>
      <c r="H272" s="381"/>
      <c r="I272" s="381"/>
      <c r="J272" s="464"/>
      <c r="K272" s="464"/>
      <c r="L272" s="381"/>
      <c r="M272" s="381"/>
      <c r="N272" s="381"/>
      <c r="O272" s="381"/>
      <c r="P272" s="381"/>
      <c r="Q272" s="381"/>
      <c r="R272" s="381"/>
      <c r="V272" s="381"/>
      <c r="Y272" s="381"/>
      <c r="Z272" s="464"/>
      <c r="AA272" s="381"/>
      <c r="AB272" s="381"/>
      <c r="AC272" s="381"/>
      <c r="AD272" s="381"/>
      <c r="AE272" s="381"/>
      <c r="AF272" s="381"/>
      <c r="AI272" s="381"/>
      <c r="AJ272" s="381"/>
      <c r="AK272" s="162"/>
      <c r="AL272" s="381"/>
    </row>
    <row r="274" spans="1:40" x14ac:dyDescent="0.25">
      <c r="A274" s="53"/>
      <c r="C274" s="54"/>
      <c r="F274" s="379"/>
      <c r="H274" s="379"/>
      <c r="I274" s="379"/>
      <c r="J274" s="62"/>
      <c r="K274" s="62"/>
      <c r="L274" s="379"/>
      <c r="M274" s="379"/>
      <c r="N274" s="50"/>
      <c r="O274" s="50"/>
      <c r="P274" s="379"/>
      <c r="Q274" s="379"/>
      <c r="R274" s="379"/>
      <c r="T274" s="54"/>
      <c r="V274" s="379"/>
      <c r="Y274" s="379"/>
      <c r="Z274" s="62"/>
      <c r="AA274" s="379"/>
      <c r="AB274" s="379"/>
      <c r="AC274" s="50"/>
      <c r="AD274" s="50"/>
      <c r="AE274" s="379"/>
      <c r="AF274" s="379"/>
      <c r="AG274" s="156"/>
      <c r="AH274" s="60"/>
      <c r="AI274" s="379"/>
      <c r="AJ274" s="379"/>
      <c r="AK274" s="156"/>
      <c r="AL274" s="379"/>
      <c r="AM274" s="50"/>
      <c r="AN274" s="50"/>
    </row>
    <row r="275" spans="1:40" x14ac:dyDescent="0.25">
      <c r="F275" s="381"/>
      <c r="H275" s="381"/>
      <c r="I275" s="381"/>
      <c r="J275" s="464"/>
      <c r="K275" s="464"/>
      <c r="L275" s="381"/>
      <c r="M275" s="381"/>
      <c r="N275" s="381"/>
      <c r="O275" s="381"/>
      <c r="P275" s="381"/>
      <c r="Q275" s="381"/>
      <c r="R275" s="381"/>
      <c r="V275" s="381"/>
      <c r="Y275" s="381"/>
      <c r="Z275" s="464"/>
      <c r="AA275" s="381"/>
      <c r="AB275" s="381"/>
      <c r="AC275" s="381"/>
      <c r="AD275" s="381"/>
      <c r="AE275" s="381"/>
      <c r="AF275" s="381"/>
      <c r="AI275" s="381"/>
      <c r="AJ275" s="381"/>
      <c r="AK275" s="162"/>
      <c r="AL275" s="381"/>
    </row>
    <row r="276" spans="1:40" x14ac:dyDescent="0.25">
      <c r="R276" s="379"/>
      <c r="AG276" s="156"/>
      <c r="AH276" s="379"/>
    </row>
    <row r="277" spans="1:40" x14ac:dyDescent="0.25">
      <c r="F277" s="379"/>
      <c r="H277" s="379"/>
      <c r="I277" s="379"/>
      <c r="J277" s="59"/>
      <c r="K277" s="59"/>
      <c r="L277" s="379"/>
      <c r="M277" s="379"/>
      <c r="N277" s="379"/>
      <c r="O277" s="379"/>
      <c r="P277" s="379"/>
      <c r="Q277" s="379"/>
      <c r="R277" s="379"/>
      <c r="V277" s="379"/>
      <c r="Y277" s="379"/>
      <c r="Z277" s="59"/>
      <c r="AA277" s="379"/>
      <c r="AB277" s="379"/>
      <c r="AC277" s="379"/>
      <c r="AD277" s="379"/>
      <c r="AE277" s="379"/>
      <c r="AF277" s="379"/>
      <c r="AG277" s="156"/>
      <c r="AH277" s="379"/>
    </row>
    <row r="278" spans="1:40" x14ac:dyDescent="0.25">
      <c r="C278" s="54"/>
      <c r="F278" s="379"/>
      <c r="H278" s="379"/>
      <c r="I278" s="379"/>
      <c r="J278" s="59"/>
      <c r="K278" s="59"/>
      <c r="L278" s="379"/>
      <c r="M278" s="379"/>
      <c r="N278" s="379"/>
      <c r="O278" s="379"/>
      <c r="P278" s="379"/>
      <c r="Q278" s="379"/>
      <c r="R278" s="379"/>
      <c r="T278" s="54"/>
      <c r="V278" s="379"/>
      <c r="Y278" s="379"/>
      <c r="Z278" s="59"/>
      <c r="AA278" s="379"/>
      <c r="AB278" s="379"/>
      <c r="AC278" s="379"/>
      <c r="AD278" s="379"/>
      <c r="AE278" s="379"/>
      <c r="AF278" s="379"/>
      <c r="AG278" s="156"/>
      <c r="AH278" s="379"/>
    </row>
    <row r="279" spans="1:40" x14ac:dyDescent="0.25">
      <c r="A279" s="54"/>
    </row>
    <row r="281" spans="1:40" x14ac:dyDescent="0.25">
      <c r="J281" s="53"/>
      <c r="K281" s="53"/>
      <c r="Z281" s="53"/>
    </row>
    <row r="282" spans="1:40" x14ac:dyDescent="0.25">
      <c r="H282" s="54"/>
      <c r="I282" s="54"/>
      <c r="Y282" s="54"/>
    </row>
    <row r="283" spans="1:40" x14ac:dyDescent="0.25">
      <c r="J283" s="53"/>
      <c r="K283" s="53"/>
      <c r="Z283" s="53"/>
    </row>
    <row r="284" spans="1:40" x14ac:dyDescent="0.25">
      <c r="L284" s="54"/>
      <c r="M284" s="54"/>
      <c r="AA284" s="54"/>
      <c r="AB284" s="54"/>
    </row>
    <row r="285" spans="1:40" x14ac:dyDescent="0.25">
      <c r="A285" s="53"/>
      <c r="R285" s="54"/>
      <c r="AK285" s="161"/>
      <c r="AL285" s="54"/>
    </row>
    <row r="286" spans="1:40" x14ac:dyDescent="0.25">
      <c r="A286" s="53"/>
      <c r="R286" s="54"/>
      <c r="AK286" s="161"/>
      <c r="AL286" s="54"/>
    </row>
    <row r="287" spans="1:40" x14ac:dyDescent="0.25">
      <c r="A287" s="54"/>
      <c r="R287" s="54"/>
      <c r="AK287" s="161"/>
      <c r="AL287" s="54"/>
    </row>
    <row r="288" spans="1:40" x14ac:dyDescent="0.25">
      <c r="L288" s="54"/>
      <c r="M288" s="54"/>
      <c r="R288" s="53"/>
      <c r="AA288" s="54"/>
      <c r="AB288" s="54"/>
      <c r="AK288" s="156"/>
      <c r="AL288" s="53"/>
    </row>
    <row r="289" spans="1:40" x14ac:dyDescent="0.25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154"/>
      <c r="AH289" s="55"/>
      <c r="AI289" s="55"/>
      <c r="AJ289" s="55"/>
      <c r="AK289" s="154"/>
      <c r="AL289" s="55"/>
      <c r="AM289" s="55"/>
      <c r="AN289" s="55"/>
    </row>
    <row r="290" spans="1:40" x14ac:dyDescent="0.25">
      <c r="L290" s="56"/>
      <c r="M290" s="56"/>
      <c r="N290" s="56"/>
      <c r="O290" s="56"/>
      <c r="R290" s="56"/>
      <c r="AA290" s="56"/>
      <c r="AB290" s="56"/>
      <c r="AC290" s="56"/>
      <c r="AD290" s="56"/>
      <c r="AE290" s="56"/>
      <c r="AF290" s="56"/>
      <c r="AG290" s="155"/>
      <c r="AH290" s="56"/>
      <c r="AK290" s="155"/>
      <c r="AL290" s="56"/>
      <c r="AM290" s="56"/>
      <c r="AN290" s="56"/>
    </row>
    <row r="291" spans="1:40" x14ac:dyDescent="0.25">
      <c r="L291" s="56"/>
      <c r="M291" s="56"/>
      <c r="N291" s="56"/>
      <c r="O291" s="56"/>
      <c r="R291" s="56"/>
      <c r="Z291" s="56"/>
      <c r="AA291" s="56"/>
      <c r="AB291" s="56"/>
      <c r="AC291" s="56"/>
      <c r="AD291" s="56"/>
      <c r="AE291" s="56"/>
      <c r="AF291" s="56"/>
      <c r="AG291" s="155"/>
      <c r="AH291" s="56"/>
      <c r="AK291" s="155"/>
      <c r="AL291" s="56"/>
      <c r="AM291" s="56"/>
      <c r="AN291" s="56"/>
    </row>
    <row r="292" spans="1:40" x14ac:dyDescent="0.25">
      <c r="A292" s="56"/>
      <c r="C292" s="56"/>
      <c r="D292" s="56"/>
      <c r="E292" s="56"/>
      <c r="F292" s="56"/>
      <c r="J292" s="56"/>
      <c r="K292" s="56"/>
      <c r="L292" s="56"/>
      <c r="M292" s="56"/>
      <c r="N292" s="56"/>
      <c r="O292" s="56"/>
      <c r="P292" s="56"/>
      <c r="Q292" s="56"/>
      <c r="R292" s="56"/>
      <c r="T292" s="56"/>
      <c r="U292" s="56"/>
      <c r="V292" s="56"/>
      <c r="Z292" s="56"/>
      <c r="AA292" s="56"/>
      <c r="AB292" s="56"/>
      <c r="AC292" s="56"/>
      <c r="AD292" s="56"/>
      <c r="AE292" s="56"/>
      <c r="AF292" s="56"/>
      <c r="AG292" s="155"/>
      <c r="AH292" s="56"/>
      <c r="AI292" s="56"/>
      <c r="AJ292" s="56"/>
      <c r="AK292" s="155"/>
      <c r="AL292" s="56"/>
      <c r="AM292" s="56"/>
      <c r="AN292" s="56"/>
    </row>
    <row r="293" spans="1:40" x14ac:dyDescent="0.25">
      <c r="A293" s="56"/>
      <c r="C293" s="56"/>
      <c r="D293" s="56"/>
      <c r="E293" s="56"/>
      <c r="F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T293" s="56"/>
      <c r="U293" s="56"/>
      <c r="V293" s="56"/>
      <c r="Y293" s="56"/>
      <c r="Z293" s="56"/>
      <c r="AA293" s="56"/>
      <c r="AB293" s="56"/>
      <c r="AC293" s="56"/>
      <c r="AD293" s="56"/>
      <c r="AE293" s="56"/>
      <c r="AF293" s="56"/>
      <c r="AG293" s="155"/>
      <c r="AH293" s="56"/>
      <c r="AI293" s="56"/>
      <c r="AJ293" s="56"/>
      <c r="AK293" s="155"/>
      <c r="AL293" s="56"/>
      <c r="AM293" s="56"/>
      <c r="AN293" s="56"/>
    </row>
    <row r="294" spans="1:40" x14ac:dyDescent="0.25">
      <c r="C294" s="56"/>
      <c r="D294" s="56"/>
      <c r="E294" s="56"/>
      <c r="F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T294" s="56"/>
      <c r="U294" s="56"/>
      <c r="V294" s="56"/>
      <c r="Y294" s="56"/>
      <c r="Z294" s="56"/>
      <c r="AA294" s="56"/>
      <c r="AB294" s="56"/>
      <c r="AC294" s="56"/>
      <c r="AD294" s="56"/>
      <c r="AE294" s="56"/>
      <c r="AF294" s="56"/>
      <c r="AG294" s="155"/>
      <c r="AH294" s="56"/>
      <c r="AI294" s="56"/>
      <c r="AJ294" s="56"/>
      <c r="AK294" s="155"/>
      <c r="AL294" s="56"/>
      <c r="AM294" s="56"/>
      <c r="AN294" s="56"/>
    </row>
    <row r="295" spans="1:40" x14ac:dyDescent="0.25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154"/>
      <c r="AH295" s="55"/>
      <c r="AI295" s="55"/>
      <c r="AJ295" s="55"/>
      <c r="AK295" s="154"/>
      <c r="AL295" s="55"/>
      <c r="AM295" s="55"/>
      <c r="AN295" s="55"/>
    </row>
    <row r="296" spans="1:40" x14ac:dyDescent="0.25"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Y296" s="56"/>
      <c r="Z296" s="56"/>
      <c r="AA296" s="56"/>
      <c r="AB296" s="56"/>
      <c r="AC296" s="56"/>
      <c r="AD296" s="56"/>
      <c r="AE296" s="56"/>
      <c r="AF296" s="56"/>
      <c r="AG296" s="155"/>
      <c r="AH296" s="56"/>
      <c r="AI296" s="56"/>
      <c r="AJ296" s="56"/>
      <c r="AK296" s="155"/>
      <c r="AL296" s="56"/>
      <c r="AM296" s="56"/>
      <c r="AN296" s="56"/>
    </row>
    <row r="297" spans="1:40" x14ac:dyDescent="0.25">
      <c r="A297" s="53"/>
      <c r="C297" s="54"/>
      <c r="D297" s="54"/>
      <c r="E297" s="54"/>
      <c r="T297" s="54"/>
      <c r="U297" s="54"/>
    </row>
    <row r="298" spans="1:40" x14ac:dyDescent="0.25">
      <c r="A298" s="53"/>
      <c r="C298" s="54"/>
      <c r="T298" s="54"/>
    </row>
    <row r="300" spans="1:40" x14ac:dyDescent="0.25">
      <c r="A300" s="53"/>
      <c r="C300" s="54"/>
      <c r="F300" s="449"/>
      <c r="H300" s="449"/>
      <c r="I300" s="449"/>
      <c r="J300" s="461"/>
      <c r="K300" s="461"/>
      <c r="L300" s="379"/>
      <c r="M300" s="379"/>
      <c r="N300" s="50"/>
      <c r="O300" s="50"/>
      <c r="P300" s="53"/>
      <c r="Q300" s="53"/>
      <c r="R300" s="379"/>
      <c r="T300" s="54"/>
      <c r="V300" s="379"/>
      <c r="Y300" s="449"/>
      <c r="Z300" s="461"/>
      <c r="AA300" s="379"/>
      <c r="AB300" s="379"/>
      <c r="AC300" s="50"/>
      <c r="AD300" s="50"/>
      <c r="AE300" s="379"/>
      <c r="AF300" s="379"/>
      <c r="AG300" s="156"/>
      <c r="AH300" s="60"/>
      <c r="AI300" s="53"/>
      <c r="AJ300" s="53"/>
      <c r="AK300" s="156"/>
      <c r="AL300" s="379"/>
      <c r="AM300" s="50"/>
      <c r="AN300" s="50"/>
    </row>
    <row r="301" spans="1:40" x14ac:dyDescent="0.25">
      <c r="F301" s="381"/>
      <c r="H301" s="379"/>
      <c r="I301" s="379"/>
      <c r="J301" s="464"/>
      <c r="K301" s="464"/>
      <c r="L301" s="381"/>
      <c r="M301" s="381"/>
      <c r="N301" s="381"/>
      <c r="O301" s="381"/>
      <c r="P301" s="381"/>
      <c r="Q301" s="381"/>
      <c r="R301" s="381"/>
      <c r="V301" s="381"/>
      <c r="Y301" s="379"/>
      <c r="Z301" s="464"/>
      <c r="AA301" s="381"/>
      <c r="AB301" s="381"/>
      <c r="AC301" s="381"/>
      <c r="AD301" s="381"/>
      <c r="AE301" s="381"/>
      <c r="AF301" s="381"/>
      <c r="AI301" s="381"/>
      <c r="AJ301" s="381"/>
      <c r="AK301" s="162"/>
      <c r="AL301" s="381"/>
      <c r="AM301" s="50"/>
      <c r="AN301" s="50"/>
    </row>
    <row r="302" spans="1:40" x14ac:dyDescent="0.25">
      <c r="A302" s="53"/>
      <c r="C302" s="54"/>
      <c r="F302" s="449"/>
      <c r="H302" s="449"/>
      <c r="I302" s="449"/>
      <c r="J302" s="477"/>
      <c r="K302" s="477"/>
      <c r="L302" s="379"/>
      <c r="M302" s="379"/>
      <c r="N302" s="50"/>
      <c r="O302" s="50"/>
      <c r="P302" s="379"/>
      <c r="Q302" s="379"/>
      <c r="R302" s="379"/>
      <c r="S302" s="379"/>
      <c r="T302" s="54"/>
      <c r="V302" s="449"/>
      <c r="Y302" s="449"/>
      <c r="Z302" s="477"/>
      <c r="AA302" s="379"/>
      <c r="AB302" s="379"/>
      <c r="AC302" s="50"/>
      <c r="AD302" s="50"/>
      <c r="AE302" s="379"/>
      <c r="AF302" s="379"/>
      <c r="AG302" s="156"/>
      <c r="AH302" s="50"/>
      <c r="AI302" s="379"/>
      <c r="AJ302" s="379"/>
      <c r="AK302" s="156"/>
      <c r="AL302" s="379"/>
      <c r="AM302" s="50"/>
      <c r="AN302" s="50"/>
    </row>
    <row r="303" spans="1:40" x14ac:dyDescent="0.25">
      <c r="A303" s="53"/>
      <c r="C303" s="54"/>
      <c r="F303" s="449"/>
      <c r="H303" s="449"/>
      <c r="I303" s="449"/>
      <c r="J303" s="461"/>
      <c r="K303" s="461"/>
      <c r="L303" s="379"/>
      <c r="M303" s="379"/>
      <c r="N303" s="50"/>
      <c r="O303" s="50"/>
      <c r="P303" s="379"/>
      <c r="Q303" s="379"/>
      <c r="R303" s="379"/>
      <c r="T303" s="54"/>
      <c r="V303" s="449"/>
      <c r="Y303" s="379"/>
      <c r="Z303" s="461"/>
      <c r="AA303" s="379"/>
      <c r="AB303" s="379"/>
      <c r="AC303" s="50"/>
      <c r="AD303" s="50"/>
      <c r="AE303" s="379"/>
      <c r="AF303" s="379"/>
      <c r="AG303" s="156"/>
      <c r="AH303" s="60"/>
      <c r="AI303" s="379"/>
      <c r="AJ303" s="379"/>
      <c r="AK303" s="156"/>
      <c r="AL303" s="379"/>
      <c r="AM303" s="50"/>
      <c r="AN303" s="50"/>
    </row>
    <row r="304" spans="1:40" x14ac:dyDescent="0.25">
      <c r="A304" s="53"/>
      <c r="C304" s="54"/>
      <c r="F304" s="449"/>
      <c r="H304" s="449"/>
      <c r="I304" s="449"/>
      <c r="J304" s="461"/>
      <c r="K304" s="461"/>
      <c r="L304" s="379"/>
      <c r="M304" s="379"/>
      <c r="N304" s="50"/>
      <c r="O304" s="50"/>
      <c r="P304" s="379"/>
      <c r="Q304" s="379"/>
      <c r="R304" s="379"/>
      <c r="T304" s="54"/>
      <c r="V304" s="449"/>
      <c r="Y304" s="379"/>
      <c r="Z304" s="461"/>
      <c r="AA304" s="379"/>
      <c r="AB304" s="379"/>
      <c r="AC304" s="50"/>
      <c r="AD304" s="50"/>
      <c r="AE304" s="379"/>
      <c r="AF304" s="379"/>
      <c r="AG304" s="156"/>
      <c r="AH304" s="60"/>
      <c r="AI304" s="379"/>
      <c r="AJ304" s="379"/>
      <c r="AK304" s="156"/>
      <c r="AL304" s="379"/>
      <c r="AM304" s="50"/>
      <c r="AN304" s="50"/>
    </row>
    <row r="305" spans="1:40" x14ac:dyDescent="0.25">
      <c r="F305" s="381"/>
      <c r="H305" s="381"/>
      <c r="I305" s="381"/>
      <c r="J305" s="464"/>
      <c r="K305" s="464"/>
      <c r="L305" s="381"/>
      <c r="M305" s="381"/>
      <c r="N305" s="381"/>
      <c r="O305" s="381"/>
      <c r="P305" s="381"/>
      <c r="Q305" s="381"/>
      <c r="R305" s="381"/>
      <c r="V305" s="381"/>
      <c r="Y305" s="381"/>
      <c r="Z305" s="464"/>
      <c r="AA305" s="381"/>
      <c r="AB305" s="381"/>
      <c r="AC305" s="381"/>
      <c r="AD305" s="381"/>
      <c r="AE305" s="381"/>
      <c r="AF305" s="381"/>
      <c r="AI305" s="381"/>
      <c r="AJ305" s="381"/>
      <c r="AK305" s="162"/>
      <c r="AL305" s="381"/>
      <c r="AM305" s="50"/>
      <c r="AN305" s="50"/>
    </row>
    <row r="306" spans="1:40" x14ac:dyDescent="0.25">
      <c r="A306" s="53"/>
      <c r="C306" s="54"/>
      <c r="F306" s="379"/>
      <c r="H306" s="379"/>
      <c r="I306" s="379"/>
      <c r="J306" s="59"/>
      <c r="K306" s="59"/>
      <c r="L306" s="379"/>
      <c r="M306" s="379"/>
      <c r="N306" s="50"/>
      <c r="O306" s="50"/>
      <c r="P306" s="379"/>
      <c r="Q306" s="379"/>
      <c r="R306" s="379"/>
      <c r="T306" s="54"/>
      <c r="V306" s="379"/>
      <c r="Y306" s="379"/>
      <c r="Z306" s="59"/>
      <c r="AA306" s="379"/>
      <c r="AB306" s="379"/>
      <c r="AC306" s="50"/>
      <c r="AD306" s="50"/>
      <c r="AE306" s="379"/>
      <c r="AF306" s="379"/>
      <c r="AG306" s="156"/>
      <c r="AH306" s="60"/>
      <c r="AI306" s="379"/>
      <c r="AJ306" s="379"/>
      <c r="AK306" s="156"/>
      <c r="AL306" s="379"/>
      <c r="AM306" s="50"/>
      <c r="AN306" s="50"/>
    </row>
    <row r="307" spans="1:40" x14ac:dyDescent="0.25">
      <c r="F307" s="381"/>
      <c r="H307" s="381"/>
      <c r="I307" s="381"/>
      <c r="J307" s="464"/>
      <c r="K307" s="464"/>
      <c r="L307" s="381"/>
      <c r="M307" s="381"/>
      <c r="N307" s="381"/>
      <c r="O307" s="381"/>
      <c r="P307" s="381"/>
      <c r="Q307" s="381"/>
      <c r="R307" s="381"/>
      <c r="V307" s="381"/>
      <c r="Y307" s="381"/>
      <c r="Z307" s="464"/>
      <c r="AA307" s="381"/>
      <c r="AB307" s="381"/>
      <c r="AC307" s="381"/>
      <c r="AD307" s="381"/>
      <c r="AE307" s="381"/>
      <c r="AF307" s="381"/>
      <c r="AI307" s="381"/>
      <c r="AJ307" s="381"/>
      <c r="AK307" s="162"/>
      <c r="AL307" s="381"/>
      <c r="AM307" s="50"/>
      <c r="AN307" s="50"/>
    </row>
    <row r="308" spans="1:40" x14ac:dyDescent="0.25">
      <c r="A308" s="53"/>
      <c r="C308" s="54"/>
      <c r="F308" s="379"/>
      <c r="H308" s="379"/>
      <c r="I308" s="379"/>
      <c r="J308" s="59"/>
      <c r="K308" s="59"/>
      <c r="L308" s="379"/>
      <c r="M308" s="379"/>
      <c r="N308" s="50"/>
      <c r="O308" s="50"/>
      <c r="P308" s="379"/>
      <c r="Q308" s="379"/>
      <c r="R308" s="379"/>
      <c r="T308" s="54"/>
      <c r="V308" s="379"/>
      <c r="Y308" s="379"/>
      <c r="Z308" s="59"/>
      <c r="AA308" s="379"/>
      <c r="AB308" s="379"/>
      <c r="AC308" s="50"/>
      <c r="AD308" s="50"/>
      <c r="AE308" s="379"/>
      <c r="AF308" s="379"/>
      <c r="AG308" s="156"/>
      <c r="AH308" s="60"/>
      <c r="AI308" s="379"/>
      <c r="AJ308" s="379"/>
      <c r="AK308" s="156"/>
      <c r="AL308" s="379"/>
      <c r="AM308" s="50"/>
      <c r="AN308" s="50"/>
    </row>
    <row r="309" spans="1:40" x14ac:dyDescent="0.25">
      <c r="A309" s="53"/>
      <c r="C309" s="54"/>
      <c r="F309" s="379"/>
      <c r="H309" s="449"/>
      <c r="I309" s="449"/>
      <c r="J309" s="472"/>
      <c r="K309" s="472"/>
      <c r="L309" s="379"/>
      <c r="M309" s="379"/>
      <c r="N309" s="50"/>
      <c r="O309" s="50"/>
      <c r="P309" s="379"/>
      <c r="Q309" s="379"/>
      <c r="R309" s="379"/>
      <c r="T309" s="54"/>
      <c r="V309" s="379"/>
      <c r="Y309" s="379"/>
      <c r="Z309" s="463"/>
      <c r="AA309" s="379"/>
      <c r="AB309" s="379"/>
      <c r="AC309" s="50"/>
      <c r="AD309" s="50"/>
      <c r="AE309" s="379"/>
      <c r="AF309" s="379"/>
      <c r="AG309" s="156"/>
      <c r="AH309" s="60"/>
      <c r="AI309" s="379"/>
      <c r="AJ309" s="379"/>
      <c r="AK309" s="156"/>
      <c r="AL309" s="379"/>
      <c r="AM309" s="50"/>
      <c r="AN309" s="50"/>
    </row>
    <row r="310" spans="1:40" x14ac:dyDescent="0.25">
      <c r="F310" s="381"/>
      <c r="H310" s="381"/>
      <c r="I310" s="381"/>
      <c r="J310" s="464"/>
      <c r="K310" s="464"/>
      <c r="L310" s="381"/>
      <c r="M310" s="381"/>
      <c r="N310" s="381"/>
      <c r="O310" s="381"/>
      <c r="P310" s="381"/>
      <c r="Q310" s="381"/>
      <c r="R310" s="381"/>
      <c r="V310" s="381"/>
      <c r="Y310" s="381"/>
      <c r="Z310" s="464"/>
      <c r="AA310" s="381"/>
      <c r="AB310" s="381"/>
      <c r="AC310" s="381"/>
      <c r="AD310" s="381"/>
      <c r="AE310" s="381"/>
      <c r="AF310" s="381"/>
      <c r="AI310" s="381"/>
      <c r="AJ310" s="381"/>
      <c r="AK310" s="162"/>
      <c r="AL310" s="381"/>
      <c r="AM310" s="50"/>
      <c r="AN310" s="50"/>
    </row>
    <row r="312" spans="1:40" x14ac:dyDescent="0.25">
      <c r="A312" s="53"/>
      <c r="C312" s="54"/>
      <c r="F312" s="379"/>
      <c r="H312" s="379"/>
      <c r="I312" s="379"/>
      <c r="J312" s="464"/>
      <c r="K312" s="464"/>
      <c r="L312" s="379"/>
      <c r="M312" s="379"/>
      <c r="N312" s="50"/>
      <c r="O312" s="50"/>
      <c r="P312" s="379"/>
      <c r="Q312" s="379"/>
      <c r="R312" s="379"/>
      <c r="S312" s="379"/>
      <c r="T312" s="54"/>
      <c r="V312" s="379"/>
      <c r="Y312" s="379"/>
      <c r="Z312" s="464"/>
      <c r="AA312" s="379"/>
      <c r="AB312" s="379"/>
      <c r="AC312" s="50"/>
      <c r="AD312" s="50"/>
      <c r="AE312" s="379"/>
      <c r="AF312" s="379"/>
      <c r="AG312" s="156"/>
      <c r="AH312" s="50"/>
      <c r="AI312" s="379"/>
      <c r="AJ312" s="379"/>
      <c r="AK312" s="156"/>
      <c r="AL312" s="379"/>
      <c r="AM312" s="50"/>
      <c r="AN312" s="50"/>
    </row>
    <row r="313" spans="1:40" x14ac:dyDescent="0.25">
      <c r="F313" s="381"/>
      <c r="H313" s="381"/>
      <c r="I313" s="381"/>
      <c r="J313" s="464"/>
      <c r="K313" s="464"/>
      <c r="L313" s="381"/>
      <c r="M313" s="381"/>
      <c r="N313" s="381"/>
      <c r="O313" s="381"/>
      <c r="P313" s="381"/>
      <c r="Q313" s="381"/>
      <c r="R313" s="381"/>
      <c r="S313" s="379"/>
      <c r="V313" s="381"/>
      <c r="Y313" s="381"/>
      <c r="Z313" s="464"/>
      <c r="AA313" s="381"/>
      <c r="AB313" s="381"/>
      <c r="AC313" s="381"/>
      <c r="AD313" s="381"/>
      <c r="AE313" s="381"/>
      <c r="AF313" s="381"/>
      <c r="AI313" s="381"/>
      <c r="AJ313" s="381"/>
      <c r="AK313" s="162"/>
      <c r="AL313" s="381"/>
      <c r="AM313" s="50"/>
      <c r="AN313" s="50"/>
    </row>
    <row r="314" spans="1:40" x14ac:dyDescent="0.25">
      <c r="A314" s="53"/>
      <c r="C314" s="54"/>
      <c r="F314" s="449"/>
      <c r="H314" s="449"/>
      <c r="I314" s="449"/>
      <c r="J314" s="464"/>
      <c r="K314" s="464"/>
      <c r="L314" s="379"/>
      <c r="M314" s="379"/>
      <c r="N314" s="50"/>
      <c r="O314" s="50"/>
      <c r="P314" s="379"/>
      <c r="Q314" s="379"/>
      <c r="R314" s="379"/>
      <c r="S314" s="379"/>
      <c r="T314" s="54"/>
      <c r="V314" s="449"/>
      <c r="Y314" s="449"/>
      <c r="Z314" s="464"/>
      <c r="AA314" s="379"/>
      <c r="AB314" s="379"/>
      <c r="AC314" s="50"/>
      <c r="AD314" s="50"/>
      <c r="AE314" s="379"/>
      <c r="AF314" s="379"/>
      <c r="AI314" s="379"/>
      <c r="AJ314" s="379"/>
      <c r="AK314" s="156"/>
      <c r="AL314" s="379"/>
      <c r="AM314" s="50"/>
      <c r="AN314" s="50"/>
    </row>
    <row r="316" spans="1:40" x14ac:dyDescent="0.25">
      <c r="A316" s="53"/>
      <c r="C316" s="54"/>
      <c r="F316" s="449"/>
      <c r="H316" s="449"/>
      <c r="I316" s="449"/>
      <c r="J316" s="461"/>
      <c r="K316" s="461"/>
      <c r="L316" s="379"/>
      <c r="M316" s="379"/>
      <c r="N316" s="50"/>
      <c r="O316" s="50"/>
      <c r="P316" s="53"/>
      <c r="Q316" s="53"/>
      <c r="R316" s="379"/>
      <c r="T316" s="54"/>
      <c r="V316" s="379"/>
      <c r="Y316" s="449"/>
      <c r="Z316" s="461"/>
      <c r="AA316" s="379"/>
      <c r="AB316" s="379"/>
      <c r="AC316" s="50"/>
      <c r="AD316" s="50"/>
      <c r="AE316" s="379"/>
      <c r="AF316" s="379"/>
      <c r="AG316" s="156"/>
      <c r="AH316" s="60"/>
      <c r="AI316" s="53"/>
      <c r="AJ316" s="53"/>
      <c r="AK316" s="156"/>
      <c r="AL316" s="379"/>
      <c r="AM316" s="50"/>
      <c r="AN316" s="50"/>
    </row>
    <row r="317" spans="1:40" x14ac:dyDescent="0.25">
      <c r="F317" s="381"/>
      <c r="H317" s="379"/>
      <c r="I317" s="379"/>
      <c r="J317" s="464"/>
      <c r="K317" s="464"/>
      <c r="L317" s="381"/>
      <c r="M317" s="381"/>
      <c r="N317" s="381"/>
      <c r="O317" s="381"/>
      <c r="P317" s="381"/>
      <c r="Q317" s="381"/>
      <c r="R317" s="381"/>
      <c r="V317" s="381"/>
      <c r="Y317" s="379"/>
      <c r="Z317" s="464"/>
      <c r="AA317" s="381"/>
      <c r="AB317" s="381"/>
      <c r="AC317" s="381"/>
      <c r="AD317" s="381"/>
      <c r="AE317" s="381"/>
      <c r="AF317" s="381"/>
      <c r="AI317" s="381"/>
      <c r="AJ317" s="381"/>
      <c r="AK317" s="162"/>
      <c r="AL317" s="381"/>
      <c r="AM317" s="50"/>
      <c r="AN317" s="50"/>
    </row>
    <row r="318" spans="1:40" x14ac:dyDescent="0.25">
      <c r="A318" s="53"/>
      <c r="C318" s="54"/>
      <c r="F318" s="449"/>
      <c r="H318" s="449"/>
      <c r="I318" s="449"/>
      <c r="J318" s="477"/>
      <c r="K318" s="477"/>
      <c r="L318" s="379"/>
      <c r="M318" s="379"/>
      <c r="N318" s="50"/>
      <c r="O318" s="50"/>
      <c r="P318" s="379"/>
      <c r="Q318" s="379"/>
      <c r="R318" s="379"/>
      <c r="S318" s="379"/>
      <c r="T318" s="54"/>
      <c r="V318" s="449"/>
      <c r="Y318" s="449"/>
      <c r="Z318" s="477"/>
      <c r="AA318" s="379"/>
      <c r="AB318" s="379"/>
      <c r="AC318" s="50"/>
      <c r="AD318" s="50"/>
      <c r="AE318" s="379"/>
      <c r="AF318" s="379"/>
      <c r="AG318" s="156"/>
      <c r="AH318" s="50"/>
      <c r="AI318" s="379"/>
      <c r="AJ318" s="379"/>
      <c r="AK318" s="156"/>
      <c r="AL318" s="379"/>
      <c r="AM318" s="50"/>
      <c r="AN318" s="50"/>
    </row>
    <row r="319" spans="1:40" x14ac:dyDescent="0.25">
      <c r="A319" s="53"/>
      <c r="C319" s="54"/>
      <c r="F319" s="449"/>
      <c r="H319" s="449"/>
      <c r="I319" s="449"/>
      <c r="J319" s="461"/>
      <c r="K319" s="461"/>
      <c r="L319" s="379"/>
      <c r="M319" s="379"/>
      <c r="N319" s="50"/>
      <c r="O319" s="50"/>
      <c r="P319" s="379"/>
      <c r="Q319" s="379"/>
      <c r="R319" s="379"/>
      <c r="T319" s="54"/>
      <c r="V319" s="449"/>
      <c r="Y319" s="379"/>
      <c r="Z319" s="461"/>
      <c r="AA319" s="379"/>
      <c r="AB319" s="379"/>
      <c r="AC319" s="50"/>
      <c r="AD319" s="50"/>
      <c r="AE319" s="379"/>
      <c r="AF319" s="379"/>
      <c r="AG319" s="156"/>
      <c r="AH319" s="60"/>
      <c r="AI319" s="379"/>
      <c r="AJ319" s="379"/>
      <c r="AK319" s="156"/>
      <c r="AL319" s="379"/>
      <c r="AM319" s="50"/>
      <c r="AN319" s="50"/>
    </row>
    <row r="320" spans="1:40" x14ac:dyDescent="0.25">
      <c r="A320" s="53"/>
      <c r="C320" s="54"/>
      <c r="F320" s="449"/>
      <c r="H320" s="449"/>
      <c r="I320" s="449"/>
      <c r="J320" s="461"/>
      <c r="K320" s="461"/>
      <c r="L320" s="379"/>
      <c r="M320" s="379"/>
      <c r="N320" s="50"/>
      <c r="O320" s="50"/>
      <c r="P320" s="379"/>
      <c r="Q320" s="379"/>
      <c r="R320" s="379"/>
      <c r="T320" s="54"/>
      <c r="V320" s="449"/>
      <c r="Y320" s="379"/>
      <c r="Z320" s="461"/>
      <c r="AA320" s="379"/>
      <c r="AB320" s="379"/>
      <c r="AC320" s="50"/>
      <c r="AD320" s="50"/>
      <c r="AE320" s="379"/>
      <c r="AF320" s="379"/>
      <c r="AG320" s="156"/>
      <c r="AH320" s="60"/>
      <c r="AI320" s="379"/>
      <c r="AJ320" s="379"/>
      <c r="AK320" s="156"/>
      <c r="AL320" s="379"/>
      <c r="AM320" s="50"/>
      <c r="AN320" s="50"/>
    </row>
    <row r="321" spans="1:40" x14ac:dyDescent="0.25">
      <c r="F321" s="381"/>
      <c r="H321" s="381"/>
      <c r="I321" s="381"/>
      <c r="J321" s="464"/>
      <c r="K321" s="464"/>
      <c r="L321" s="381"/>
      <c r="M321" s="381"/>
      <c r="N321" s="381"/>
      <c r="O321" s="381"/>
      <c r="P321" s="381"/>
      <c r="Q321" s="381"/>
      <c r="R321" s="381"/>
      <c r="V321" s="381"/>
      <c r="Y321" s="381"/>
      <c r="Z321" s="464"/>
      <c r="AA321" s="381"/>
      <c r="AB321" s="381"/>
      <c r="AC321" s="381"/>
      <c r="AD321" s="381"/>
      <c r="AE321" s="381"/>
      <c r="AF321" s="381"/>
      <c r="AI321" s="381"/>
      <c r="AJ321" s="381"/>
      <c r="AK321" s="162"/>
      <c r="AL321" s="381"/>
      <c r="AM321" s="50"/>
      <c r="AN321" s="50"/>
    </row>
    <row r="322" spans="1:40" x14ac:dyDescent="0.25">
      <c r="A322" s="53"/>
      <c r="C322" s="54"/>
      <c r="F322" s="379"/>
      <c r="H322" s="379"/>
      <c r="I322" s="379"/>
      <c r="J322" s="59"/>
      <c r="K322" s="59"/>
      <c r="L322" s="379"/>
      <c r="M322" s="379"/>
      <c r="N322" s="50"/>
      <c r="O322" s="50"/>
      <c r="P322" s="379"/>
      <c r="Q322" s="379"/>
      <c r="R322" s="379"/>
      <c r="T322" s="54"/>
      <c r="V322" s="379"/>
      <c r="Y322" s="379"/>
      <c r="Z322" s="59"/>
      <c r="AA322" s="379"/>
      <c r="AB322" s="379"/>
      <c r="AC322" s="50"/>
      <c r="AD322" s="50"/>
      <c r="AE322" s="379"/>
      <c r="AF322" s="379"/>
      <c r="AG322" s="156"/>
      <c r="AH322" s="60"/>
      <c r="AI322" s="379"/>
      <c r="AJ322" s="379"/>
      <c r="AK322" s="156"/>
      <c r="AL322" s="379"/>
      <c r="AM322" s="50"/>
      <c r="AN322" s="50"/>
    </row>
    <row r="323" spans="1:40" x14ac:dyDescent="0.25">
      <c r="F323" s="381"/>
      <c r="H323" s="381"/>
      <c r="I323" s="381"/>
      <c r="J323" s="464"/>
      <c r="K323" s="464"/>
      <c r="L323" s="381"/>
      <c r="M323" s="381"/>
      <c r="N323" s="381"/>
      <c r="O323" s="381"/>
      <c r="P323" s="381"/>
      <c r="Q323" s="381"/>
      <c r="R323" s="381"/>
      <c r="V323" s="381"/>
      <c r="Y323" s="381"/>
      <c r="Z323" s="464"/>
      <c r="AA323" s="381"/>
      <c r="AB323" s="381"/>
      <c r="AC323" s="381"/>
      <c r="AD323" s="381"/>
      <c r="AE323" s="381"/>
      <c r="AF323" s="381"/>
      <c r="AI323" s="381"/>
      <c r="AJ323" s="381"/>
      <c r="AK323" s="162"/>
      <c r="AL323" s="381"/>
      <c r="AM323" s="50"/>
      <c r="AN323" s="50"/>
    </row>
    <row r="324" spans="1:40" x14ac:dyDescent="0.25">
      <c r="A324" s="53"/>
      <c r="C324" s="54"/>
      <c r="F324" s="379"/>
      <c r="H324" s="379"/>
      <c r="I324" s="379"/>
      <c r="J324" s="59"/>
      <c r="K324" s="59"/>
      <c r="L324" s="379"/>
      <c r="M324" s="379"/>
      <c r="N324" s="50"/>
      <c r="O324" s="50"/>
      <c r="P324" s="379"/>
      <c r="Q324" s="379"/>
      <c r="R324" s="379"/>
      <c r="T324" s="54"/>
      <c r="V324" s="379"/>
      <c r="Y324" s="379"/>
      <c r="Z324" s="59"/>
      <c r="AA324" s="379"/>
      <c r="AB324" s="379"/>
      <c r="AC324" s="50"/>
      <c r="AD324" s="50"/>
      <c r="AE324" s="379"/>
      <c r="AF324" s="379"/>
      <c r="AG324" s="156"/>
      <c r="AH324" s="60"/>
      <c r="AI324" s="379"/>
      <c r="AJ324" s="379"/>
      <c r="AK324" s="156"/>
      <c r="AL324" s="379"/>
      <c r="AM324" s="50"/>
      <c r="AN324" s="50"/>
    </row>
    <row r="325" spans="1:40" x14ac:dyDescent="0.25">
      <c r="A325" s="53"/>
      <c r="C325" s="54"/>
      <c r="F325" s="379"/>
      <c r="H325" s="449"/>
      <c r="I325" s="449"/>
      <c r="J325" s="472"/>
      <c r="K325" s="472"/>
      <c r="L325" s="379"/>
      <c r="M325" s="379"/>
      <c r="N325" s="50"/>
      <c r="O325" s="50"/>
      <c r="P325" s="379"/>
      <c r="Q325" s="379"/>
      <c r="R325" s="379"/>
      <c r="T325" s="54"/>
      <c r="V325" s="379"/>
      <c r="Y325" s="379"/>
      <c r="Z325" s="463"/>
      <c r="AA325" s="379"/>
      <c r="AB325" s="379"/>
      <c r="AC325" s="50"/>
      <c r="AD325" s="50"/>
      <c r="AE325" s="379"/>
      <c r="AF325" s="379"/>
      <c r="AG325" s="156"/>
      <c r="AH325" s="60"/>
      <c r="AI325" s="379"/>
      <c r="AJ325" s="379"/>
      <c r="AK325" s="156"/>
      <c r="AL325" s="379"/>
      <c r="AM325" s="50"/>
      <c r="AN325" s="50"/>
    </row>
    <row r="326" spans="1:40" x14ac:dyDescent="0.25">
      <c r="F326" s="381"/>
      <c r="H326" s="381"/>
      <c r="I326" s="381"/>
      <c r="J326" s="464"/>
      <c r="K326" s="464"/>
      <c r="L326" s="381"/>
      <c r="M326" s="381"/>
      <c r="N326" s="381"/>
      <c r="O326" s="381"/>
      <c r="P326" s="381"/>
      <c r="Q326" s="381"/>
      <c r="R326" s="381"/>
      <c r="V326" s="381"/>
      <c r="Y326" s="381"/>
      <c r="Z326" s="464"/>
      <c r="AA326" s="381"/>
      <c r="AB326" s="381"/>
      <c r="AC326" s="381"/>
      <c r="AD326" s="381"/>
      <c r="AE326" s="381"/>
      <c r="AF326" s="381"/>
      <c r="AI326" s="381"/>
      <c r="AJ326" s="381"/>
      <c r="AK326" s="162"/>
      <c r="AL326" s="381"/>
      <c r="AM326" s="50"/>
      <c r="AN326" s="50"/>
    </row>
    <row r="328" spans="1:40" x14ac:dyDescent="0.25">
      <c r="A328" s="53"/>
      <c r="C328" s="54"/>
      <c r="F328" s="379"/>
      <c r="H328" s="379"/>
      <c r="I328" s="379"/>
      <c r="J328" s="464"/>
      <c r="K328" s="464"/>
      <c r="L328" s="379"/>
      <c r="M328" s="379"/>
      <c r="N328" s="50"/>
      <c r="O328" s="50"/>
      <c r="P328" s="379"/>
      <c r="Q328" s="379"/>
      <c r="R328" s="379"/>
      <c r="S328" s="379"/>
      <c r="T328" s="54"/>
      <c r="V328" s="379"/>
      <c r="Y328" s="379"/>
      <c r="Z328" s="464"/>
      <c r="AA328" s="379"/>
      <c r="AB328" s="379"/>
      <c r="AC328" s="50"/>
      <c r="AD328" s="50"/>
      <c r="AE328" s="379"/>
      <c r="AF328" s="379"/>
      <c r="AG328" s="156"/>
      <c r="AH328" s="50"/>
      <c r="AI328" s="379"/>
      <c r="AJ328" s="379"/>
      <c r="AK328" s="156"/>
      <c r="AL328" s="379"/>
      <c r="AM328" s="50"/>
      <c r="AN328" s="50"/>
    </row>
    <row r="329" spans="1:40" x14ac:dyDescent="0.25">
      <c r="F329" s="381"/>
      <c r="H329" s="381"/>
      <c r="I329" s="381"/>
      <c r="J329" s="464"/>
      <c r="K329" s="464"/>
      <c r="L329" s="381"/>
      <c r="M329" s="381"/>
      <c r="N329" s="381"/>
      <c r="O329" s="381"/>
      <c r="P329" s="381"/>
      <c r="Q329" s="381"/>
      <c r="R329" s="381"/>
      <c r="S329" s="379"/>
      <c r="V329" s="381"/>
      <c r="Y329" s="381"/>
      <c r="Z329" s="464"/>
      <c r="AA329" s="381"/>
      <c r="AB329" s="381"/>
      <c r="AC329" s="381"/>
      <c r="AD329" s="381"/>
      <c r="AE329" s="381"/>
      <c r="AF329" s="381"/>
      <c r="AI329" s="381"/>
      <c r="AJ329" s="381"/>
      <c r="AK329" s="162"/>
      <c r="AL329" s="381"/>
      <c r="AM329" s="50"/>
      <c r="AN329" s="50"/>
    </row>
    <row r="330" spans="1:40" x14ac:dyDescent="0.25">
      <c r="A330" s="53"/>
      <c r="C330" s="54"/>
      <c r="T330" s="54"/>
    </row>
    <row r="331" spans="1:40" x14ac:dyDescent="0.25">
      <c r="A331" s="53"/>
      <c r="C331" s="54"/>
      <c r="F331" s="379"/>
      <c r="H331" s="379"/>
      <c r="I331" s="379"/>
      <c r="L331" s="379"/>
      <c r="M331" s="379"/>
      <c r="N331" s="50"/>
      <c r="O331" s="50"/>
      <c r="P331" s="449"/>
      <c r="Q331" s="449"/>
      <c r="R331" s="379"/>
      <c r="T331" s="54"/>
      <c r="V331" s="379"/>
      <c r="Y331" s="379"/>
      <c r="AA331" s="379"/>
      <c r="AB331" s="379"/>
      <c r="AC331" s="50"/>
      <c r="AD331" s="50"/>
      <c r="AE331" s="379"/>
      <c r="AF331" s="379"/>
      <c r="AG331" s="156"/>
      <c r="AH331" s="50"/>
      <c r="AI331" s="449"/>
      <c r="AJ331" s="449"/>
      <c r="AK331" s="156"/>
      <c r="AL331" s="379"/>
      <c r="AM331" s="50"/>
      <c r="AN331" s="50"/>
    </row>
    <row r="332" spans="1:40" x14ac:dyDescent="0.25">
      <c r="F332" s="381"/>
      <c r="H332" s="381"/>
      <c r="I332" s="381"/>
      <c r="J332" s="464"/>
      <c r="K332" s="464"/>
      <c r="L332" s="381"/>
      <c r="M332" s="381"/>
      <c r="N332" s="381"/>
      <c r="O332" s="381"/>
      <c r="P332" s="381"/>
      <c r="Q332" s="381"/>
      <c r="R332" s="381"/>
      <c r="V332" s="381"/>
      <c r="Y332" s="381"/>
      <c r="Z332" s="464"/>
      <c r="AA332" s="381"/>
      <c r="AB332" s="381"/>
      <c r="AC332" s="381"/>
      <c r="AD332" s="381"/>
      <c r="AE332" s="381"/>
      <c r="AF332" s="381"/>
      <c r="AI332" s="381"/>
      <c r="AJ332" s="381"/>
      <c r="AK332" s="162"/>
      <c r="AL332" s="381"/>
    </row>
    <row r="334" spans="1:40" x14ac:dyDescent="0.25">
      <c r="C334" s="54"/>
      <c r="L334" s="379"/>
      <c r="M334" s="379"/>
      <c r="N334" s="379"/>
      <c r="O334" s="379"/>
      <c r="P334" s="379"/>
      <c r="Q334" s="379"/>
      <c r="R334" s="379"/>
      <c r="S334" s="379"/>
      <c r="T334" s="54"/>
      <c r="AA334" s="379"/>
      <c r="AB334" s="379"/>
      <c r="AC334" s="379"/>
      <c r="AD334" s="379"/>
      <c r="AI334" s="379"/>
      <c r="AJ334" s="379"/>
      <c r="AK334" s="156"/>
      <c r="AL334" s="379"/>
    </row>
    <row r="335" spans="1:40" x14ac:dyDescent="0.25">
      <c r="A335" s="54"/>
    </row>
    <row r="336" spans="1:40" x14ac:dyDescent="0.25">
      <c r="J336" s="53"/>
      <c r="K336" s="53"/>
      <c r="Z336" s="53"/>
    </row>
    <row r="337" spans="1:40" x14ac:dyDescent="0.25">
      <c r="H337" s="54"/>
      <c r="I337" s="54"/>
      <c r="Y337" s="54"/>
    </row>
    <row r="338" spans="1:40" x14ac:dyDescent="0.25">
      <c r="J338" s="53"/>
      <c r="K338" s="53"/>
      <c r="Z338" s="53"/>
    </row>
    <row r="339" spans="1:40" x14ac:dyDescent="0.25">
      <c r="L339" s="54"/>
      <c r="M339" s="54"/>
      <c r="AA339" s="54"/>
      <c r="AB339" s="54"/>
    </row>
    <row r="340" spans="1:40" x14ac:dyDescent="0.25">
      <c r="A340" s="53"/>
      <c r="R340" s="54"/>
      <c r="AK340" s="161"/>
      <c r="AL340" s="54"/>
    </row>
    <row r="341" spans="1:40" x14ac:dyDescent="0.25">
      <c r="A341" s="53"/>
      <c r="R341" s="54"/>
      <c r="AK341" s="161"/>
      <c r="AL341" s="54"/>
    </row>
    <row r="342" spans="1:40" x14ac:dyDescent="0.25">
      <c r="A342" s="54"/>
      <c r="R342" s="54"/>
      <c r="AK342" s="161"/>
      <c r="AL342" s="54"/>
    </row>
    <row r="343" spans="1:40" x14ac:dyDescent="0.25">
      <c r="L343" s="54"/>
      <c r="M343" s="54"/>
      <c r="R343" s="53"/>
      <c r="AA343" s="54"/>
      <c r="AB343" s="54"/>
      <c r="AK343" s="156"/>
      <c r="AL343" s="53"/>
    </row>
    <row r="344" spans="1:40" x14ac:dyDescent="0.25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154"/>
      <c r="AH344" s="55"/>
      <c r="AI344" s="55"/>
      <c r="AJ344" s="55"/>
      <c r="AK344" s="154"/>
      <c r="AL344" s="55"/>
      <c r="AM344" s="55"/>
      <c r="AN344" s="55"/>
    </row>
    <row r="345" spans="1:40" x14ac:dyDescent="0.25">
      <c r="L345" s="56"/>
      <c r="M345" s="56"/>
      <c r="N345" s="56"/>
      <c r="O345" s="56"/>
      <c r="R345" s="56"/>
      <c r="AA345" s="56"/>
      <c r="AB345" s="56"/>
      <c r="AC345" s="56"/>
      <c r="AD345" s="56"/>
      <c r="AE345" s="56"/>
      <c r="AF345" s="56"/>
      <c r="AG345" s="155"/>
      <c r="AH345" s="56"/>
      <c r="AK345" s="155"/>
      <c r="AL345" s="56"/>
      <c r="AM345" s="56"/>
      <c r="AN345" s="56"/>
    </row>
    <row r="346" spans="1:40" x14ac:dyDescent="0.25">
      <c r="L346" s="56"/>
      <c r="M346" s="56"/>
      <c r="N346" s="56"/>
      <c r="O346" s="56"/>
      <c r="R346" s="56"/>
      <c r="Z346" s="56"/>
      <c r="AA346" s="56"/>
      <c r="AB346" s="56"/>
      <c r="AC346" s="56"/>
      <c r="AD346" s="56"/>
      <c r="AE346" s="56"/>
      <c r="AF346" s="56"/>
      <c r="AG346" s="155"/>
      <c r="AH346" s="56"/>
      <c r="AK346" s="155"/>
      <c r="AL346" s="56"/>
      <c r="AM346" s="56"/>
      <c r="AN346" s="56"/>
    </row>
    <row r="347" spans="1:40" x14ac:dyDescent="0.25">
      <c r="A347" s="56"/>
      <c r="C347" s="56"/>
      <c r="D347" s="56"/>
      <c r="E347" s="56"/>
      <c r="F347" s="56"/>
      <c r="J347" s="56"/>
      <c r="K347" s="56"/>
      <c r="L347" s="56"/>
      <c r="M347" s="56"/>
      <c r="N347" s="56"/>
      <c r="O347" s="56"/>
      <c r="P347" s="56"/>
      <c r="Q347" s="56"/>
      <c r="R347" s="56"/>
      <c r="T347" s="56"/>
      <c r="U347" s="56"/>
      <c r="V347" s="56"/>
      <c r="Z347" s="56"/>
      <c r="AA347" s="56"/>
      <c r="AB347" s="56"/>
      <c r="AC347" s="56"/>
      <c r="AD347" s="56"/>
      <c r="AE347" s="56"/>
      <c r="AF347" s="56"/>
      <c r="AG347" s="155"/>
      <c r="AH347" s="56"/>
      <c r="AI347" s="56"/>
      <c r="AJ347" s="56"/>
      <c r="AK347" s="155"/>
      <c r="AL347" s="56"/>
      <c r="AM347" s="56"/>
      <c r="AN347" s="56"/>
    </row>
    <row r="348" spans="1:40" x14ac:dyDescent="0.25">
      <c r="A348" s="56"/>
      <c r="C348" s="56"/>
      <c r="D348" s="56"/>
      <c r="E348" s="56"/>
      <c r="F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T348" s="56"/>
      <c r="U348" s="56"/>
      <c r="V348" s="56"/>
      <c r="Y348" s="56"/>
      <c r="Z348" s="56"/>
      <c r="AA348" s="56"/>
      <c r="AB348" s="56"/>
      <c r="AC348" s="56"/>
      <c r="AD348" s="56"/>
      <c r="AE348" s="56"/>
      <c r="AF348" s="56"/>
      <c r="AG348" s="155"/>
      <c r="AH348" s="56"/>
      <c r="AI348" s="56"/>
      <c r="AJ348" s="56"/>
      <c r="AK348" s="155"/>
      <c r="AL348" s="56"/>
      <c r="AM348" s="56"/>
      <c r="AN348" s="56"/>
    </row>
    <row r="349" spans="1:40" x14ac:dyDescent="0.25">
      <c r="C349" s="56"/>
      <c r="D349" s="56"/>
      <c r="E349" s="56"/>
      <c r="F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T349" s="56"/>
      <c r="U349" s="56"/>
      <c r="V349" s="56"/>
      <c r="Y349" s="56"/>
      <c r="Z349" s="56"/>
      <c r="AA349" s="56"/>
      <c r="AB349" s="56"/>
      <c r="AC349" s="56"/>
      <c r="AD349" s="56"/>
      <c r="AE349" s="56"/>
      <c r="AF349" s="56"/>
      <c r="AG349" s="155"/>
      <c r="AH349" s="56"/>
      <c r="AI349" s="56"/>
      <c r="AJ349" s="56"/>
      <c r="AK349" s="155"/>
      <c r="AL349" s="56"/>
      <c r="AM349" s="56"/>
      <c r="AN349" s="56"/>
    </row>
    <row r="350" spans="1:40" x14ac:dyDescent="0.25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154"/>
      <c r="AH350" s="55"/>
      <c r="AI350" s="55"/>
      <c r="AJ350" s="55"/>
      <c r="AK350" s="154"/>
      <c r="AL350" s="55"/>
      <c r="AM350" s="55"/>
      <c r="AN350" s="55"/>
    </row>
    <row r="351" spans="1:40" x14ac:dyDescent="0.25"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Y351" s="56"/>
      <c r="Z351" s="56"/>
      <c r="AA351" s="56"/>
      <c r="AB351" s="56"/>
      <c r="AC351" s="56"/>
      <c r="AD351" s="56"/>
      <c r="AE351" s="56"/>
      <c r="AF351" s="56"/>
      <c r="AG351" s="155"/>
      <c r="AH351" s="56"/>
      <c r="AI351" s="56"/>
      <c r="AJ351" s="56"/>
      <c r="AK351" s="155"/>
      <c r="AL351" s="56"/>
      <c r="AM351" s="56"/>
      <c r="AN351" s="56"/>
    </row>
    <row r="352" spans="1:40" x14ac:dyDescent="0.25">
      <c r="A352" s="53"/>
      <c r="C352" s="54"/>
      <c r="D352" s="54"/>
      <c r="E352" s="54"/>
      <c r="T352" s="54"/>
      <c r="U352" s="54"/>
    </row>
    <row r="353" spans="1:40" x14ac:dyDescent="0.25">
      <c r="D353" s="54"/>
      <c r="E353" s="54"/>
      <c r="U353" s="54"/>
    </row>
    <row r="355" spans="1:40" x14ac:dyDescent="0.25">
      <c r="A355" s="53"/>
      <c r="C355" s="54"/>
      <c r="T355" s="54"/>
    </row>
    <row r="356" spans="1:40" x14ac:dyDescent="0.25">
      <c r="A356" s="53"/>
      <c r="C356" s="54"/>
      <c r="F356" s="449"/>
      <c r="H356" s="449"/>
      <c r="I356" s="449"/>
      <c r="J356" s="221"/>
      <c r="K356" s="221"/>
      <c r="L356" s="379"/>
      <c r="M356" s="379"/>
      <c r="N356" s="50"/>
      <c r="O356" s="50"/>
      <c r="P356" s="379"/>
      <c r="Q356" s="379"/>
      <c r="R356" s="379"/>
      <c r="T356" s="54"/>
      <c r="V356" s="449"/>
      <c r="W356" s="379"/>
      <c r="X356" s="379"/>
      <c r="Y356" s="449"/>
      <c r="Z356" s="221"/>
      <c r="AA356" s="379"/>
      <c r="AB356" s="379"/>
      <c r="AC356" s="50"/>
      <c r="AD356" s="50"/>
      <c r="AE356" s="379"/>
      <c r="AF356" s="379"/>
      <c r="AG356" s="156"/>
      <c r="AH356" s="60"/>
      <c r="AI356" s="379"/>
      <c r="AJ356" s="379"/>
      <c r="AK356" s="156"/>
      <c r="AL356" s="379"/>
      <c r="AM356" s="50"/>
      <c r="AN356" s="50"/>
    </row>
    <row r="357" spans="1:40" x14ac:dyDescent="0.25">
      <c r="A357" s="53"/>
      <c r="C357" s="54"/>
      <c r="F357" s="379"/>
      <c r="H357" s="379"/>
      <c r="I357" s="379"/>
      <c r="J357" s="464"/>
      <c r="K357" s="464"/>
      <c r="L357" s="379"/>
      <c r="M357" s="379"/>
      <c r="N357" s="50"/>
      <c r="O357" s="50"/>
      <c r="P357" s="379"/>
      <c r="Q357" s="379"/>
      <c r="R357" s="379"/>
      <c r="T357" s="54"/>
      <c r="V357" s="449"/>
      <c r="W357" s="379"/>
      <c r="X357" s="379"/>
      <c r="Y357" s="449"/>
      <c r="Z357" s="464"/>
      <c r="AA357" s="379"/>
      <c r="AB357" s="379"/>
      <c r="AC357" s="50"/>
      <c r="AD357" s="50"/>
      <c r="AE357" s="379"/>
      <c r="AF357" s="379"/>
      <c r="AG357" s="156"/>
      <c r="AH357" s="60"/>
      <c r="AI357" s="379"/>
      <c r="AJ357" s="379"/>
      <c r="AK357" s="156"/>
      <c r="AL357" s="379"/>
      <c r="AM357" s="50"/>
      <c r="AN357" s="50"/>
    </row>
    <row r="358" spans="1:40" x14ac:dyDescent="0.25">
      <c r="A358" s="53"/>
      <c r="C358" s="54"/>
      <c r="F358" s="449"/>
      <c r="H358" s="449"/>
      <c r="I358" s="449"/>
      <c r="J358" s="221"/>
      <c r="K358" s="221"/>
      <c r="L358" s="379"/>
      <c r="M358" s="379"/>
      <c r="N358" s="50"/>
      <c r="O358" s="50"/>
      <c r="P358" s="379"/>
      <c r="Q358" s="379"/>
      <c r="R358" s="379"/>
      <c r="T358" s="54"/>
      <c r="V358" s="449"/>
      <c r="W358" s="379"/>
      <c r="X358" s="379"/>
      <c r="Y358" s="449"/>
      <c r="Z358" s="221"/>
      <c r="AA358" s="379"/>
      <c r="AB358" s="379"/>
      <c r="AC358" s="50"/>
      <c r="AD358" s="50"/>
      <c r="AE358" s="379"/>
      <c r="AF358" s="379"/>
      <c r="AG358" s="156"/>
      <c r="AH358" s="60"/>
      <c r="AI358" s="379"/>
      <c r="AJ358" s="379"/>
      <c r="AK358" s="156"/>
      <c r="AL358" s="379"/>
      <c r="AM358" s="50"/>
      <c r="AN358" s="50"/>
    </row>
    <row r="359" spans="1:40" x14ac:dyDescent="0.25">
      <c r="A359" s="53"/>
      <c r="C359" s="54"/>
      <c r="F359" s="449"/>
      <c r="H359" s="449"/>
      <c r="I359" s="449"/>
      <c r="J359" s="221"/>
      <c r="K359" s="221"/>
      <c r="L359" s="379"/>
      <c r="M359" s="379"/>
      <c r="N359" s="50"/>
      <c r="O359" s="50"/>
      <c r="P359" s="379"/>
      <c r="Q359" s="379"/>
      <c r="R359" s="379"/>
      <c r="T359" s="54"/>
      <c r="V359" s="449"/>
      <c r="W359" s="379"/>
      <c r="X359" s="379"/>
      <c r="Y359" s="449"/>
      <c r="Z359" s="221"/>
      <c r="AA359" s="379"/>
      <c r="AB359" s="379"/>
      <c r="AC359" s="50"/>
      <c r="AD359" s="50"/>
      <c r="AE359" s="379"/>
      <c r="AF359" s="379"/>
      <c r="AG359" s="156"/>
      <c r="AH359" s="60"/>
      <c r="AI359" s="379"/>
      <c r="AJ359" s="379"/>
      <c r="AK359" s="156"/>
      <c r="AL359" s="379"/>
      <c r="AM359" s="50"/>
      <c r="AN359" s="50"/>
    </row>
    <row r="360" spans="1:40" x14ac:dyDescent="0.25">
      <c r="A360" s="53"/>
      <c r="C360" s="54"/>
      <c r="F360" s="449"/>
      <c r="H360" s="449"/>
      <c r="I360" s="449"/>
      <c r="J360" s="221"/>
      <c r="K360" s="221"/>
      <c r="L360" s="379"/>
      <c r="M360" s="379"/>
      <c r="N360" s="50"/>
      <c r="O360" s="50"/>
      <c r="P360" s="379"/>
      <c r="Q360" s="379"/>
      <c r="R360" s="379"/>
      <c r="T360" s="54"/>
      <c r="V360" s="449"/>
      <c r="W360" s="379"/>
      <c r="X360" s="379"/>
      <c r="Y360" s="449"/>
      <c r="Z360" s="221"/>
      <c r="AA360" s="379"/>
      <c r="AB360" s="379"/>
      <c r="AC360" s="50"/>
      <c r="AD360" s="50"/>
      <c r="AE360" s="379"/>
      <c r="AF360" s="379"/>
      <c r="AG360" s="156"/>
      <c r="AH360" s="60"/>
      <c r="AI360" s="379"/>
      <c r="AJ360" s="379"/>
      <c r="AK360" s="156"/>
      <c r="AL360" s="379"/>
      <c r="AM360" s="50"/>
      <c r="AN360" s="50"/>
    </row>
    <row r="361" spans="1:40" x14ac:dyDescent="0.25">
      <c r="A361" s="53"/>
      <c r="C361" s="54"/>
      <c r="F361" s="379"/>
      <c r="H361" s="379"/>
      <c r="I361" s="379"/>
      <c r="J361" s="221"/>
      <c r="K361" s="221"/>
      <c r="L361" s="379"/>
      <c r="M361" s="379"/>
      <c r="N361" s="50"/>
      <c r="O361" s="50"/>
      <c r="P361" s="379"/>
      <c r="Q361" s="379"/>
      <c r="R361" s="379"/>
      <c r="T361" s="54"/>
      <c r="V361" s="449"/>
      <c r="W361" s="379"/>
      <c r="X361" s="379"/>
      <c r="Y361" s="449"/>
      <c r="Z361" s="221"/>
      <c r="AA361" s="379"/>
      <c r="AB361" s="379"/>
      <c r="AC361" s="50"/>
      <c r="AD361" s="50"/>
      <c r="AE361" s="379"/>
      <c r="AF361" s="379"/>
      <c r="AG361" s="156"/>
      <c r="AH361" s="60"/>
      <c r="AI361" s="379"/>
      <c r="AJ361" s="379"/>
      <c r="AK361" s="156"/>
      <c r="AL361" s="379"/>
      <c r="AM361" s="50"/>
      <c r="AN361" s="50"/>
    </row>
    <row r="362" spans="1:40" x14ac:dyDescent="0.25">
      <c r="A362" s="53"/>
      <c r="C362" s="54"/>
      <c r="F362" s="379"/>
      <c r="H362" s="379"/>
      <c r="I362" s="379"/>
      <c r="J362" s="221"/>
      <c r="K362" s="221"/>
      <c r="L362" s="379"/>
      <c r="M362" s="379"/>
      <c r="N362" s="50"/>
      <c r="O362" s="50"/>
      <c r="P362" s="379"/>
      <c r="Q362" s="379"/>
      <c r="R362" s="379"/>
      <c r="T362" s="54"/>
      <c r="V362" s="449"/>
      <c r="W362" s="379"/>
      <c r="X362" s="379"/>
      <c r="Y362" s="449"/>
      <c r="Z362" s="221"/>
      <c r="AA362" s="379"/>
      <c r="AB362" s="379"/>
      <c r="AC362" s="50"/>
      <c r="AD362" s="50"/>
      <c r="AE362" s="379"/>
      <c r="AF362" s="379"/>
      <c r="AG362" s="156"/>
      <c r="AH362" s="60"/>
      <c r="AI362" s="379"/>
      <c r="AJ362" s="379"/>
      <c r="AK362" s="156"/>
      <c r="AL362" s="379"/>
      <c r="AM362" s="50"/>
      <c r="AN362" s="50"/>
    </row>
    <row r="363" spans="1:40" x14ac:dyDescent="0.25">
      <c r="F363" s="63"/>
      <c r="H363" s="479"/>
      <c r="I363" s="479"/>
      <c r="J363" s="221"/>
      <c r="K363" s="221"/>
      <c r="L363" s="63"/>
      <c r="M363" s="63"/>
      <c r="N363" s="381"/>
      <c r="O363" s="381"/>
      <c r="P363" s="63"/>
      <c r="Q363" s="63"/>
      <c r="R363" s="63"/>
      <c r="V363" s="63"/>
      <c r="W363" s="379"/>
      <c r="X363" s="379"/>
      <c r="Y363" s="63"/>
      <c r="Z363" s="221"/>
      <c r="AA363" s="63"/>
      <c r="AB363" s="63"/>
      <c r="AC363" s="64"/>
      <c r="AD363" s="64"/>
      <c r="AE363" s="63"/>
      <c r="AF363" s="63"/>
      <c r="AG363" s="156"/>
      <c r="AH363" s="60"/>
      <c r="AI363" s="63"/>
      <c r="AJ363" s="63"/>
      <c r="AK363" s="154"/>
      <c r="AL363" s="63"/>
      <c r="AM363" s="50"/>
      <c r="AN363" s="50"/>
    </row>
    <row r="364" spans="1:40" x14ac:dyDescent="0.25">
      <c r="A364" s="53"/>
      <c r="C364" s="54"/>
      <c r="F364" s="379"/>
      <c r="H364" s="379"/>
      <c r="I364" s="379"/>
      <c r="J364" s="221"/>
      <c r="K364" s="221"/>
      <c r="L364" s="379"/>
      <c r="M364" s="379"/>
      <c r="N364" s="60"/>
      <c r="O364" s="60"/>
      <c r="P364" s="379"/>
      <c r="Q364" s="379"/>
      <c r="R364" s="379"/>
      <c r="T364" s="56"/>
      <c r="V364" s="379"/>
      <c r="W364" s="379"/>
      <c r="X364" s="379"/>
      <c r="Y364" s="379"/>
      <c r="Z364" s="221"/>
      <c r="AA364" s="379"/>
      <c r="AB364" s="379"/>
      <c r="AC364" s="60"/>
      <c r="AD364" s="60"/>
      <c r="AE364" s="379"/>
      <c r="AF364" s="379"/>
      <c r="AG364" s="156"/>
      <c r="AH364" s="60"/>
      <c r="AI364" s="379"/>
      <c r="AJ364" s="379"/>
      <c r="AK364" s="156"/>
      <c r="AL364" s="379"/>
      <c r="AM364" s="50"/>
      <c r="AN364" s="50"/>
    </row>
    <row r="365" spans="1:40" x14ac:dyDescent="0.25">
      <c r="F365" s="55"/>
      <c r="H365" s="55"/>
      <c r="I365" s="55"/>
      <c r="L365" s="55"/>
      <c r="M365" s="55"/>
      <c r="N365" s="64"/>
      <c r="O365" s="64"/>
      <c r="P365" s="63"/>
      <c r="Q365" s="63"/>
      <c r="R365" s="63"/>
      <c r="V365" s="63"/>
      <c r="Y365" s="63"/>
      <c r="Z365" s="464"/>
      <c r="AA365" s="63"/>
      <c r="AB365" s="63"/>
      <c r="AC365" s="63"/>
      <c r="AD365" s="63"/>
      <c r="AE365" s="63"/>
      <c r="AF365" s="63"/>
      <c r="AI365" s="63"/>
      <c r="AJ365" s="63"/>
      <c r="AK365" s="154"/>
      <c r="AL365" s="63"/>
      <c r="AM365" s="64"/>
      <c r="AN365" s="64"/>
    </row>
    <row r="366" spans="1:40" x14ac:dyDescent="0.25">
      <c r="AI366" s="53"/>
      <c r="AJ366" s="53"/>
    </row>
    <row r="370" spans="1:40" x14ac:dyDescent="0.25">
      <c r="N370" s="379"/>
      <c r="O370" s="379"/>
      <c r="P370" s="379"/>
      <c r="Q370" s="379"/>
      <c r="R370" s="379"/>
      <c r="V370" s="379"/>
      <c r="Y370" s="379"/>
      <c r="Z370" s="59"/>
      <c r="AA370" s="379"/>
      <c r="AB370" s="379"/>
      <c r="AC370" s="50"/>
      <c r="AD370" s="50"/>
      <c r="AE370" s="379"/>
      <c r="AF370" s="379"/>
      <c r="AG370" s="156"/>
      <c r="AH370" s="60"/>
      <c r="AI370" s="379"/>
      <c r="AJ370" s="379"/>
      <c r="AK370" s="156"/>
      <c r="AL370" s="379"/>
      <c r="AM370" s="50"/>
      <c r="AN370" s="50"/>
    </row>
    <row r="371" spans="1:40" x14ac:dyDescent="0.25">
      <c r="A371" s="53"/>
      <c r="C371" s="54"/>
      <c r="D371" s="54"/>
      <c r="E371" s="54"/>
      <c r="J371" s="65"/>
      <c r="K371" s="65"/>
      <c r="T371" s="54"/>
      <c r="U371" s="54"/>
      <c r="Z371" s="65"/>
      <c r="AE371" s="379"/>
      <c r="AF371" s="379"/>
      <c r="AI371" s="379"/>
      <c r="AJ371" s="379"/>
      <c r="AK371" s="156"/>
      <c r="AL371" s="379"/>
      <c r="AM371" s="50"/>
      <c r="AN371" s="50"/>
    </row>
    <row r="372" spans="1:40" x14ac:dyDescent="0.25">
      <c r="D372" s="54"/>
      <c r="E372" s="54"/>
      <c r="F372" s="379"/>
      <c r="H372" s="379"/>
      <c r="I372" s="379"/>
      <c r="J372" s="221"/>
      <c r="K372" s="221"/>
      <c r="L372" s="379"/>
      <c r="M372" s="379"/>
      <c r="N372" s="50"/>
      <c r="O372" s="50"/>
      <c r="P372" s="379"/>
      <c r="Q372" s="379"/>
      <c r="R372" s="379"/>
      <c r="U372" s="54"/>
      <c r="V372" s="379"/>
      <c r="Y372" s="379"/>
      <c r="Z372" s="221"/>
      <c r="AA372" s="379"/>
      <c r="AB372" s="379"/>
      <c r="AC372" s="50"/>
      <c r="AD372" s="50"/>
      <c r="AE372" s="379"/>
      <c r="AF372" s="379"/>
      <c r="AG372" s="156"/>
      <c r="AH372" s="60"/>
      <c r="AI372" s="379"/>
      <c r="AJ372" s="379"/>
      <c r="AK372" s="156"/>
      <c r="AL372" s="379"/>
      <c r="AM372" s="50"/>
      <c r="AN372" s="50"/>
    </row>
    <row r="373" spans="1:40" x14ac:dyDescent="0.25">
      <c r="F373" s="379"/>
      <c r="H373" s="379"/>
      <c r="I373" s="379"/>
      <c r="J373" s="464"/>
      <c r="K373" s="464"/>
      <c r="L373" s="379"/>
      <c r="M373" s="379"/>
      <c r="N373" s="379"/>
      <c r="O373" s="379"/>
      <c r="P373" s="379"/>
      <c r="Q373" s="379"/>
      <c r="R373" s="379"/>
      <c r="V373" s="379"/>
      <c r="Y373" s="379"/>
      <c r="Z373" s="464"/>
      <c r="AA373" s="379"/>
      <c r="AB373" s="379"/>
      <c r="AC373" s="379"/>
      <c r="AD373" s="379"/>
      <c r="AE373" s="379"/>
      <c r="AF373" s="379"/>
      <c r="AG373" s="156"/>
      <c r="AH373" s="60"/>
      <c r="AI373" s="449"/>
      <c r="AJ373" s="449"/>
      <c r="AK373" s="156"/>
      <c r="AL373" s="379"/>
      <c r="AM373" s="50"/>
      <c r="AN373" s="50"/>
    </row>
    <row r="374" spans="1:40" x14ac:dyDescent="0.25">
      <c r="A374" s="53"/>
      <c r="C374" s="54"/>
      <c r="F374" s="449"/>
      <c r="H374" s="449"/>
      <c r="I374" s="449"/>
      <c r="J374" s="463"/>
      <c r="K374" s="463"/>
      <c r="L374" s="379"/>
      <c r="M374" s="379"/>
      <c r="N374" s="50"/>
      <c r="O374" s="50"/>
      <c r="P374" s="379"/>
      <c r="Q374" s="379"/>
      <c r="R374" s="379"/>
      <c r="T374" s="54"/>
      <c r="V374" s="449"/>
      <c r="Y374" s="449"/>
      <c r="Z374" s="463"/>
      <c r="AA374" s="379"/>
      <c r="AB374" s="379"/>
      <c r="AC374" s="50"/>
      <c r="AD374" s="50"/>
      <c r="AE374" s="379"/>
      <c r="AF374" s="379"/>
      <c r="AG374" s="156"/>
      <c r="AH374" s="60"/>
      <c r="AI374" s="379"/>
      <c r="AJ374" s="379"/>
      <c r="AK374" s="156"/>
      <c r="AL374" s="379"/>
      <c r="AM374" s="50"/>
      <c r="AN374" s="50"/>
    </row>
    <row r="375" spans="1:40" x14ac:dyDescent="0.25">
      <c r="F375" s="55"/>
      <c r="H375" s="55"/>
      <c r="I375" s="55"/>
      <c r="L375" s="55"/>
      <c r="M375" s="55"/>
      <c r="N375" s="55"/>
      <c r="O375" s="55"/>
      <c r="P375" s="55"/>
      <c r="Q375" s="55"/>
      <c r="R375" s="55"/>
      <c r="V375" s="55"/>
      <c r="Y375" s="55"/>
      <c r="AA375" s="55"/>
      <c r="AB375" s="55"/>
      <c r="AC375" s="55"/>
      <c r="AD375" s="55"/>
      <c r="AE375" s="55"/>
      <c r="AF375" s="55"/>
      <c r="AG375" s="154"/>
      <c r="AH375" s="55"/>
      <c r="AI375" s="55"/>
      <c r="AJ375" s="55"/>
      <c r="AK375" s="154"/>
      <c r="AL375" s="55"/>
      <c r="AM375" s="55"/>
      <c r="AN375" s="55"/>
    </row>
    <row r="376" spans="1:40" x14ac:dyDescent="0.25">
      <c r="A376" s="53"/>
      <c r="C376" s="56"/>
      <c r="F376" s="449"/>
      <c r="H376" s="449"/>
      <c r="I376" s="449"/>
      <c r="J376" s="461"/>
      <c r="K376" s="461"/>
      <c r="L376" s="449"/>
      <c r="M376" s="449"/>
      <c r="N376" s="50"/>
      <c r="O376" s="50"/>
      <c r="P376" s="449"/>
      <c r="Q376" s="449"/>
      <c r="R376" s="449"/>
      <c r="T376" s="56"/>
      <c r="V376" s="379"/>
      <c r="Y376" s="379"/>
      <c r="Z376" s="59"/>
      <c r="AA376" s="379"/>
      <c r="AB376" s="379"/>
      <c r="AC376" s="50"/>
      <c r="AD376" s="50"/>
      <c r="AE376" s="53"/>
      <c r="AF376" s="53"/>
      <c r="AG376" s="156"/>
      <c r="AH376" s="60"/>
      <c r="AI376" s="379"/>
      <c r="AJ376" s="379"/>
      <c r="AK376" s="156"/>
      <c r="AL376" s="379"/>
      <c r="AM376" s="50"/>
      <c r="AN376" s="50"/>
    </row>
    <row r="377" spans="1:40" x14ac:dyDescent="0.25">
      <c r="F377" s="63"/>
      <c r="H377" s="63"/>
      <c r="I377" s="63"/>
      <c r="J377" s="464"/>
      <c r="K377" s="464"/>
      <c r="L377" s="63"/>
      <c r="M377" s="63"/>
      <c r="N377" s="63"/>
      <c r="O377" s="63"/>
      <c r="P377" s="63"/>
      <c r="Q377" s="63"/>
      <c r="R377" s="63"/>
      <c r="V377" s="55"/>
      <c r="Y377" s="55"/>
      <c r="AA377" s="55"/>
      <c r="AB377" s="55"/>
      <c r="AC377" s="55"/>
      <c r="AD377" s="55"/>
      <c r="AE377" s="55"/>
      <c r="AF377" s="55"/>
      <c r="AG377" s="154"/>
      <c r="AH377" s="55"/>
      <c r="AI377" s="55"/>
      <c r="AJ377" s="55"/>
      <c r="AK377" s="154"/>
      <c r="AL377" s="55"/>
      <c r="AM377" s="55"/>
      <c r="AN377" s="55"/>
    </row>
    <row r="378" spans="1:40" x14ac:dyDescent="0.25">
      <c r="F378" s="449"/>
      <c r="H378" s="449"/>
      <c r="I378" s="449"/>
      <c r="J378" s="477"/>
      <c r="K378" s="477"/>
      <c r="L378" s="379"/>
      <c r="M378" s="379"/>
      <c r="N378" s="50"/>
      <c r="O378" s="50"/>
      <c r="P378" s="379"/>
      <c r="Q378" s="379"/>
      <c r="R378" s="379"/>
    </row>
    <row r="379" spans="1:40" x14ac:dyDescent="0.25">
      <c r="A379" s="54"/>
      <c r="F379" s="449"/>
      <c r="H379" s="449"/>
      <c r="I379" s="449"/>
      <c r="J379" s="461"/>
      <c r="K379" s="461"/>
      <c r="L379" s="379"/>
      <c r="M379" s="379"/>
      <c r="N379" s="50"/>
      <c r="O379" s="50"/>
      <c r="P379" s="379"/>
      <c r="Q379" s="379"/>
      <c r="R379" s="379"/>
    </row>
    <row r="380" spans="1:40" x14ac:dyDescent="0.25">
      <c r="F380" s="449"/>
      <c r="H380" s="449"/>
      <c r="I380" s="449"/>
      <c r="J380" s="461"/>
      <c r="K380" s="461"/>
      <c r="L380" s="379"/>
      <c r="M380" s="379"/>
      <c r="N380" s="50"/>
      <c r="O380" s="50"/>
      <c r="P380" s="379"/>
      <c r="Q380" s="379"/>
      <c r="R380" s="379"/>
    </row>
    <row r="381" spans="1:40" x14ac:dyDescent="0.25">
      <c r="A381" s="54"/>
    </row>
    <row r="383" spans="1:40" x14ac:dyDescent="0.25">
      <c r="J383" s="53"/>
      <c r="K383" s="53"/>
      <c r="Z383" s="53"/>
    </row>
    <row r="384" spans="1:40" x14ac:dyDescent="0.25">
      <c r="H384" s="54"/>
      <c r="I384" s="54"/>
      <c r="Y384" s="54"/>
    </row>
    <row r="385" spans="1:40" x14ac:dyDescent="0.25">
      <c r="J385" s="53"/>
      <c r="K385" s="53"/>
      <c r="Z385" s="53"/>
    </row>
    <row r="386" spans="1:40" x14ac:dyDescent="0.25">
      <c r="L386" s="54"/>
      <c r="M386" s="54"/>
      <c r="AA386" s="54"/>
      <c r="AB386" s="54"/>
    </row>
    <row r="387" spans="1:40" x14ac:dyDescent="0.25">
      <c r="A387" s="53"/>
      <c r="R387" s="54"/>
      <c r="AK387" s="161"/>
      <c r="AL387" s="54"/>
    </row>
    <row r="388" spans="1:40" x14ac:dyDescent="0.25">
      <c r="A388" s="53"/>
      <c r="R388" s="54"/>
      <c r="AK388" s="161"/>
      <c r="AL388" s="54"/>
    </row>
    <row r="389" spans="1:40" x14ac:dyDescent="0.25">
      <c r="A389" s="54"/>
      <c r="R389" s="54"/>
      <c r="AK389" s="161"/>
      <c r="AL389" s="54"/>
    </row>
    <row r="390" spans="1:40" x14ac:dyDescent="0.25">
      <c r="L390" s="54"/>
      <c r="M390" s="54"/>
      <c r="R390" s="53"/>
      <c r="AA390" s="54"/>
      <c r="AB390" s="54"/>
      <c r="AK390" s="156"/>
      <c r="AL390" s="53"/>
    </row>
    <row r="391" spans="1:40" x14ac:dyDescent="0.25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154"/>
      <c r="AH391" s="55"/>
      <c r="AI391" s="55"/>
      <c r="AJ391" s="55"/>
      <c r="AK391" s="154"/>
      <c r="AL391" s="55"/>
      <c r="AM391" s="55"/>
      <c r="AN391" s="55"/>
    </row>
    <row r="392" spans="1:40" x14ac:dyDescent="0.25">
      <c r="L392" s="56"/>
      <c r="M392" s="56"/>
      <c r="N392" s="56"/>
      <c r="O392" s="56"/>
      <c r="R392" s="56"/>
      <c r="AA392" s="56"/>
      <c r="AB392" s="56"/>
      <c r="AC392" s="56"/>
      <c r="AD392" s="56"/>
      <c r="AE392" s="56"/>
      <c r="AF392" s="56"/>
      <c r="AG392" s="155"/>
      <c r="AH392" s="56"/>
      <c r="AK392" s="155"/>
      <c r="AL392" s="56"/>
      <c r="AM392" s="56"/>
      <c r="AN392" s="56"/>
    </row>
    <row r="393" spans="1:40" x14ac:dyDescent="0.25">
      <c r="L393" s="56"/>
      <c r="M393" s="56"/>
      <c r="N393" s="56"/>
      <c r="O393" s="56"/>
      <c r="R393" s="56"/>
      <c r="Z393" s="56"/>
      <c r="AA393" s="56"/>
      <c r="AB393" s="56"/>
      <c r="AC393" s="56"/>
      <c r="AD393" s="56"/>
      <c r="AE393" s="56"/>
      <c r="AF393" s="56"/>
      <c r="AG393" s="155"/>
      <c r="AH393" s="56"/>
      <c r="AK393" s="155"/>
      <c r="AL393" s="56"/>
      <c r="AM393" s="56"/>
      <c r="AN393" s="56"/>
    </row>
    <row r="394" spans="1:40" x14ac:dyDescent="0.25">
      <c r="A394" s="56"/>
      <c r="C394" s="56"/>
      <c r="D394" s="56"/>
      <c r="E394" s="56"/>
      <c r="F394" s="56"/>
      <c r="J394" s="56"/>
      <c r="K394" s="56"/>
      <c r="L394" s="56"/>
      <c r="M394" s="56"/>
      <c r="N394" s="56"/>
      <c r="O394" s="56"/>
      <c r="P394" s="56"/>
      <c r="Q394" s="56"/>
      <c r="R394" s="56"/>
      <c r="T394" s="56"/>
      <c r="U394" s="56"/>
      <c r="V394" s="56"/>
      <c r="Z394" s="56"/>
      <c r="AA394" s="56"/>
      <c r="AB394" s="56"/>
      <c r="AC394" s="56"/>
      <c r="AD394" s="56"/>
      <c r="AE394" s="56"/>
      <c r="AF394" s="56"/>
      <c r="AG394" s="155"/>
      <c r="AH394" s="56"/>
      <c r="AI394" s="56"/>
      <c r="AJ394" s="56"/>
      <c r="AK394" s="155"/>
      <c r="AL394" s="56"/>
      <c r="AM394" s="56"/>
      <c r="AN394" s="56"/>
    </row>
    <row r="395" spans="1:40" x14ac:dyDescent="0.25">
      <c r="A395" s="56"/>
      <c r="C395" s="56"/>
      <c r="D395" s="56"/>
      <c r="E395" s="56"/>
      <c r="F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T395" s="56"/>
      <c r="U395" s="56"/>
      <c r="V395" s="56"/>
      <c r="Y395" s="56"/>
      <c r="Z395" s="56"/>
      <c r="AA395" s="56"/>
      <c r="AB395" s="56"/>
      <c r="AC395" s="56"/>
      <c r="AD395" s="56"/>
      <c r="AE395" s="56"/>
      <c r="AF395" s="56"/>
      <c r="AG395" s="155"/>
      <c r="AH395" s="56"/>
      <c r="AI395" s="56"/>
      <c r="AJ395" s="56"/>
      <c r="AK395" s="155"/>
      <c r="AL395" s="56"/>
      <c r="AM395" s="56"/>
      <c r="AN395" s="56"/>
    </row>
    <row r="396" spans="1:40" x14ac:dyDescent="0.25">
      <c r="C396" s="56"/>
      <c r="D396" s="56"/>
      <c r="E396" s="56"/>
      <c r="F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T396" s="56"/>
      <c r="U396" s="56"/>
      <c r="V396" s="56"/>
      <c r="Y396" s="56"/>
      <c r="Z396" s="56"/>
      <c r="AA396" s="56"/>
      <c r="AB396" s="56"/>
      <c r="AC396" s="56"/>
      <c r="AD396" s="56"/>
      <c r="AE396" s="56"/>
      <c r="AF396" s="56"/>
      <c r="AG396" s="155"/>
      <c r="AH396" s="56"/>
      <c r="AI396" s="56"/>
      <c r="AJ396" s="56"/>
      <c r="AK396" s="155"/>
      <c r="AL396" s="56"/>
      <c r="AM396" s="56"/>
      <c r="AN396" s="56"/>
    </row>
    <row r="397" spans="1:40" x14ac:dyDescent="0.25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154"/>
      <c r="AH397" s="55"/>
      <c r="AI397" s="55"/>
      <c r="AJ397" s="55"/>
      <c r="AK397" s="154"/>
      <c r="AL397" s="55"/>
      <c r="AM397" s="55"/>
      <c r="AN397" s="55"/>
    </row>
    <row r="398" spans="1:40" x14ac:dyDescent="0.25"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Y398" s="56"/>
      <c r="Z398" s="56"/>
      <c r="AA398" s="56"/>
      <c r="AB398" s="56"/>
      <c r="AC398" s="56"/>
      <c r="AD398" s="56"/>
      <c r="AE398" s="56"/>
      <c r="AF398" s="56"/>
      <c r="AG398" s="155"/>
      <c r="AH398" s="56"/>
      <c r="AI398" s="56"/>
      <c r="AJ398" s="56"/>
      <c r="AK398" s="155"/>
      <c r="AL398" s="56"/>
      <c r="AM398" s="56"/>
      <c r="AN398" s="56"/>
    </row>
    <row r="399" spans="1:40" x14ac:dyDescent="0.25">
      <c r="A399" s="53"/>
      <c r="C399" s="54"/>
      <c r="D399" s="54"/>
      <c r="E399" s="54"/>
      <c r="T399" s="54"/>
      <c r="U399" s="54"/>
    </row>
    <row r="401" spans="1:40" x14ac:dyDescent="0.25">
      <c r="A401" s="53"/>
      <c r="C401" s="54"/>
      <c r="T401" s="54"/>
    </row>
    <row r="402" spans="1:40" x14ac:dyDescent="0.25">
      <c r="A402" s="53"/>
      <c r="C402" s="54"/>
      <c r="F402" s="449"/>
      <c r="H402" s="449"/>
      <c r="I402" s="449"/>
      <c r="J402" s="464"/>
      <c r="K402" s="464"/>
      <c r="L402" s="379"/>
      <c r="M402" s="379"/>
      <c r="N402" s="50"/>
      <c r="O402" s="50"/>
      <c r="P402" s="379"/>
      <c r="Q402" s="379"/>
      <c r="R402" s="379"/>
      <c r="T402" s="54"/>
      <c r="V402" s="449"/>
      <c r="Y402" s="449"/>
      <c r="Z402" s="464"/>
      <c r="AA402" s="379"/>
      <c r="AB402" s="379"/>
      <c r="AC402" s="50"/>
      <c r="AD402" s="50"/>
      <c r="AE402" s="379"/>
      <c r="AF402" s="379"/>
      <c r="AG402" s="156"/>
      <c r="AH402" s="60"/>
      <c r="AI402" s="379"/>
      <c r="AJ402" s="379"/>
      <c r="AK402" s="156"/>
      <c r="AL402" s="379"/>
      <c r="AM402" s="50"/>
      <c r="AN402" s="50"/>
    </row>
    <row r="403" spans="1:40" x14ac:dyDescent="0.25">
      <c r="A403" s="53"/>
      <c r="C403" s="54"/>
      <c r="T403" s="54"/>
    </row>
    <row r="404" spans="1:40" x14ac:dyDescent="0.25">
      <c r="A404" s="53"/>
      <c r="C404" s="54"/>
      <c r="F404" s="449"/>
      <c r="H404" s="449"/>
      <c r="I404" s="449"/>
      <c r="J404" s="221"/>
      <c r="K404" s="221"/>
      <c r="L404" s="379"/>
      <c r="M404" s="379"/>
      <c r="N404" s="50"/>
      <c r="O404" s="50"/>
      <c r="P404" s="379"/>
      <c r="Q404" s="379"/>
      <c r="R404" s="379"/>
      <c r="T404" s="54"/>
      <c r="V404" s="379"/>
      <c r="Y404" s="379"/>
      <c r="Z404" s="221"/>
      <c r="AA404" s="379"/>
      <c r="AB404" s="379"/>
      <c r="AC404" s="50"/>
      <c r="AD404" s="50"/>
      <c r="AE404" s="379"/>
      <c r="AF404" s="379"/>
      <c r="AG404" s="156"/>
      <c r="AH404" s="60"/>
      <c r="AI404" s="379"/>
      <c r="AJ404" s="379"/>
      <c r="AK404" s="156"/>
      <c r="AL404" s="379"/>
      <c r="AM404" s="50"/>
      <c r="AN404" s="50"/>
    </row>
    <row r="405" spans="1:40" x14ac:dyDescent="0.25">
      <c r="A405" s="53"/>
      <c r="C405" s="54"/>
      <c r="F405" s="449"/>
      <c r="H405" s="449"/>
      <c r="I405" s="449"/>
      <c r="J405" s="221"/>
      <c r="K405" s="221"/>
      <c r="L405" s="379"/>
      <c r="M405" s="379"/>
      <c r="N405" s="50"/>
      <c r="O405" s="50"/>
      <c r="P405" s="379"/>
      <c r="Q405" s="379"/>
      <c r="R405" s="379"/>
      <c r="T405" s="54"/>
      <c r="V405" s="379"/>
      <c r="Y405" s="379"/>
      <c r="Z405" s="221"/>
      <c r="AA405" s="379"/>
      <c r="AB405" s="379"/>
      <c r="AC405" s="50"/>
      <c r="AD405" s="50"/>
      <c r="AE405" s="379"/>
      <c r="AF405" s="379"/>
      <c r="AG405" s="156"/>
      <c r="AH405" s="60"/>
      <c r="AI405" s="379"/>
      <c r="AJ405" s="379"/>
      <c r="AK405" s="156"/>
      <c r="AL405" s="379"/>
      <c r="AM405" s="50"/>
      <c r="AN405" s="50"/>
    </row>
    <row r="406" spans="1:40" x14ac:dyDescent="0.25">
      <c r="A406" s="53"/>
      <c r="C406" s="54"/>
      <c r="F406" s="449"/>
      <c r="H406" s="449"/>
      <c r="I406" s="449"/>
      <c r="J406" s="221"/>
      <c r="K406" s="221"/>
      <c r="L406" s="379"/>
      <c r="M406" s="379"/>
      <c r="N406" s="50"/>
      <c r="O406" s="50"/>
      <c r="P406" s="379"/>
      <c r="Q406" s="379"/>
      <c r="R406" s="379"/>
      <c r="T406" s="54"/>
      <c r="V406" s="379"/>
      <c r="Y406" s="379"/>
      <c r="Z406" s="221"/>
      <c r="AA406" s="379"/>
      <c r="AB406" s="379"/>
      <c r="AC406" s="50"/>
      <c r="AD406" s="50"/>
      <c r="AE406" s="379"/>
      <c r="AF406" s="379"/>
      <c r="AG406" s="156"/>
      <c r="AH406" s="60"/>
      <c r="AI406" s="379"/>
      <c r="AJ406" s="379"/>
      <c r="AK406" s="156"/>
      <c r="AL406" s="379"/>
      <c r="AM406" s="50"/>
      <c r="AN406" s="50"/>
    </row>
    <row r="407" spans="1:40" x14ac:dyDescent="0.25">
      <c r="A407" s="53"/>
      <c r="C407" s="54"/>
      <c r="F407" s="449"/>
      <c r="H407" s="449"/>
      <c r="I407" s="449"/>
      <c r="J407" s="221"/>
      <c r="K407" s="221"/>
      <c r="L407" s="379"/>
      <c r="M407" s="379"/>
      <c r="N407" s="50"/>
      <c r="O407" s="50"/>
      <c r="P407" s="379"/>
      <c r="Q407" s="379"/>
      <c r="R407" s="379"/>
      <c r="T407" s="54"/>
      <c r="V407" s="379"/>
      <c r="Y407" s="379"/>
      <c r="Z407" s="221"/>
      <c r="AA407" s="379"/>
      <c r="AB407" s="379"/>
      <c r="AC407" s="50"/>
      <c r="AD407" s="50"/>
      <c r="AE407" s="379"/>
      <c r="AF407" s="379"/>
      <c r="AG407" s="156"/>
      <c r="AH407" s="60"/>
      <c r="AI407" s="379"/>
      <c r="AJ407" s="379"/>
      <c r="AK407" s="156"/>
      <c r="AL407" s="379"/>
      <c r="AM407" s="50"/>
      <c r="AN407" s="50"/>
    </row>
    <row r="408" spans="1:40" x14ac:dyDescent="0.25">
      <c r="A408" s="53"/>
      <c r="C408" s="54"/>
      <c r="J408" s="65"/>
      <c r="K408" s="65"/>
      <c r="T408" s="54"/>
      <c r="Z408" s="65"/>
    </row>
    <row r="409" spans="1:40" x14ac:dyDescent="0.25">
      <c r="A409" s="53"/>
      <c r="C409" s="54"/>
      <c r="F409" s="449"/>
      <c r="H409" s="449"/>
      <c r="I409" s="449"/>
      <c r="J409" s="221"/>
      <c r="K409" s="221"/>
      <c r="L409" s="379"/>
      <c r="M409" s="379"/>
      <c r="N409" s="50"/>
      <c r="O409" s="50"/>
      <c r="P409" s="379"/>
      <c r="Q409" s="379"/>
      <c r="R409" s="379"/>
      <c r="T409" s="54"/>
      <c r="V409" s="379"/>
      <c r="Y409" s="379"/>
      <c r="Z409" s="221"/>
      <c r="AA409" s="379"/>
      <c r="AB409" s="379"/>
      <c r="AC409" s="50"/>
      <c r="AD409" s="50"/>
      <c r="AE409" s="379"/>
      <c r="AF409" s="379"/>
      <c r="AG409" s="156"/>
      <c r="AH409" s="60"/>
      <c r="AI409" s="379"/>
      <c r="AJ409" s="379"/>
      <c r="AK409" s="156"/>
      <c r="AL409" s="379"/>
      <c r="AM409" s="50"/>
      <c r="AN409" s="50"/>
    </row>
    <row r="410" spans="1:40" x14ac:dyDescent="0.25">
      <c r="A410" s="53"/>
      <c r="C410" s="54"/>
      <c r="F410" s="449"/>
      <c r="H410" s="449"/>
      <c r="I410" s="449"/>
      <c r="J410" s="221"/>
      <c r="K410" s="221"/>
      <c r="L410" s="379"/>
      <c r="M410" s="379"/>
      <c r="N410" s="50"/>
      <c r="O410" s="50"/>
      <c r="P410" s="379"/>
      <c r="Q410" s="379"/>
      <c r="R410" s="379"/>
      <c r="T410" s="54"/>
      <c r="V410" s="379"/>
      <c r="Y410" s="379"/>
      <c r="Z410" s="221"/>
      <c r="AA410" s="379"/>
      <c r="AB410" s="379"/>
      <c r="AC410" s="50"/>
      <c r="AD410" s="50"/>
      <c r="AE410" s="379"/>
      <c r="AF410" s="379"/>
      <c r="AG410" s="156"/>
      <c r="AH410" s="60"/>
      <c r="AI410" s="379"/>
      <c r="AJ410" s="379"/>
      <c r="AK410" s="156"/>
      <c r="AL410" s="379"/>
      <c r="AM410" s="50"/>
      <c r="AN410" s="50"/>
    </row>
    <row r="411" spans="1:40" x14ac:dyDescent="0.25">
      <c r="A411" s="53"/>
      <c r="C411" s="54"/>
      <c r="F411" s="449"/>
      <c r="H411" s="449"/>
      <c r="I411" s="449"/>
      <c r="J411" s="221"/>
      <c r="K411" s="221"/>
      <c r="L411" s="379"/>
      <c r="M411" s="379"/>
      <c r="N411" s="50"/>
      <c r="O411" s="50"/>
      <c r="P411" s="379"/>
      <c r="Q411" s="379"/>
      <c r="R411" s="379"/>
      <c r="T411" s="54"/>
      <c r="V411" s="379"/>
      <c r="Y411" s="379"/>
      <c r="Z411" s="221"/>
      <c r="AA411" s="379"/>
      <c r="AB411" s="379"/>
      <c r="AC411" s="50"/>
      <c r="AD411" s="50"/>
      <c r="AE411" s="379"/>
      <c r="AF411" s="379"/>
      <c r="AG411" s="156"/>
      <c r="AH411" s="60"/>
      <c r="AI411" s="379"/>
      <c r="AJ411" s="379"/>
      <c r="AK411" s="156"/>
      <c r="AL411" s="379"/>
      <c r="AM411" s="50"/>
      <c r="AN411" s="50"/>
    </row>
    <row r="412" spans="1:40" x14ac:dyDescent="0.25">
      <c r="A412" s="53"/>
      <c r="C412" s="54"/>
      <c r="J412" s="65"/>
      <c r="K412" s="65"/>
      <c r="T412" s="54"/>
      <c r="Z412" s="65"/>
    </row>
    <row r="413" spans="1:40" x14ac:dyDescent="0.25">
      <c r="A413" s="53"/>
      <c r="C413" s="54"/>
      <c r="F413" s="449"/>
      <c r="H413" s="449"/>
      <c r="I413" s="449"/>
      <c r="J413" s="221"/>
      <c r="K413" s="221"/>
      <c r="L413" s="379"/>
      <c r="M413" s="379"/>
      <c r="N413" s="50"/>
      <c r="O413" s="50"/>
      <c r="P413" s="379"/>
      <c r="Q413" s="379"/>
      <c r="R413" s="379"/>
      <c r="T413" s="54"/>
      <c r="V413" s="379"/>
      <c r="Y413" s="379"/>
      <c r="Z413" s="221"/>
      <c r="AA413" s="379"/>
      <c r="AB413" s="379"/>
      <c r="AC413" s="50"/>
      <c r="AD413" s="50"/>
      <c r="AE413" s="379"/>
      <c r="AF413" s="379"/>
      <c r="AG413" s="156"/>
      <c r="AH413" s="60"/>
      <c r="AI413" s="379"/>
      <c r="AJ413" s="379"/>
      <c r="AK413" s="156"/>
      <c r="AL413" s="379"/>
      <c r="AM413" s="50"/>
      <c r="AN413" s="50"/>
    </row>
    <row r="414" spans="1:40" x14ac:dyDescent="0.25">
      <c r="A414" s="53"/>
      <c r="C414" s="54"/>
      <c r="F414" s="449"/>
      <c r="H414" s="449"/>
      <c r="I414" s="449"/>
      <c r="J414" s="221"/>
      <c r="K414" s="221"/>
      <c r="L414" s="379"/>
      <c r="M414" s="379"/>
      <c r="N414" s="50"/>
      <c r="O414" s="50"/>
      <c r="P414" s="379"/>
      <c r="Q414" s="379"/>
      <c r="R414" s="379"/>
      <c r="T414" s="54"/>
      <c r="V414" s="379"/>
      <c r="Y414" s="379"/>
      <c r="Z414" s="221"/>
      <c r="AA414" s="379"/>
      <c r="AB414" s="379"/>
      <c r="AC414" s="50"/>
      <c r="AD414" s="50"/>
      <c r="AE414" s="379"/>
      <c r="AF414" s="379"/>
      <c r="AG414" s="156"/>
      <c r="AH414" s="60"/>
      <c r="AI414" s="379"/>
      <c r="AJ414" s="379"/>
      <c r="AK414" s="156"/>
      <c r="AL414" s="379"/>
      <c r="AM414" s="50"/>
      <c r="AN414" s="50"/>
    </row>
    <row r="415" spans="1:40" x14ac:dyDescent="0.25">
      <c r="A415" s="53"/>
      <c r="C415" s="54"/>
      <c r="J415" s="65"/>
      <c r="K415" s="65"/>
      <c r="T415" s="54"/>
      <c r="Z415" s="65"/>
    </row>
    <row r="416" spans="1:40" x14ac:dyDescent="0.25">
      <c r="A416" s="53"/>
      <c r="C416" s="54"/>
      <c r="F416" s="449"/>
      <c r="H416" s="449"/>
      <c r="I416" s="449"/>
      <c r="J416" s="221"/>
      <c r="K416" s="221"/>
      <c r="L416" s="379"/>
      <c r="M416" s="379"/>
      <c r="N416" s="50"/>
      <c r="O416" s="50"/>
      <c r="P416" s="379"/>
      <c r="Q416" s="379"/>
      <c r="R416" s="379"/>
      <c r="T416" s="54"/>
      <c r="V416" s="379"/>
      <c r="Y416" s="379"/>
      <c r="Z416" s="221"/>
      <c r="AA416" s="379"/>
      <c r="AB416" s="379"/>
      <c r="AC416" s="50"/>
      <c r="AD416" s="50"/>
      <c r="AE416" s="379"/>
      <c r="AF416" s="379"/>
      <c r="AG416" s="156"/>
      <c r="AH416" s="60"/>
      <c r="AI416" s="379"/>
      <c r="AJ416" s="379"/>
      <c r="AK416" s="156"/>
      <c r="AL416" s="379"/>
      <c r="AM416" s="50"/>
      <c r="AN416" s="50"/>
    </row>
    <row r="417" spans="1:40" x14ac:dyDescent="0.25">
      <c r="A417" s="53"/>
      <c r="C417" s="54"/>
      <c r="F417" s="449"/>
      <c r="H417" s="449"/>
      <c r="I417" s="449"/>
      <c r="J417" s="221"/>
      <c r="K417" s="221"/>
      <c r="L417" s="379"/>
      <c r="M417" s="379"/>
      <c r="N417" s="50"/>
      <c r="O417" s="50"/>
      <c r="P417" s="379"/>
      <c r="Q417" s="379"/>
      <c r="R417" s="379"/>
      <c r="T417" s="54"/>
      <c r="V417" s="379"/>
      <c r="Y417" s="379"/>
      <c r="Z417" s="221"/>
      <c r="AA417" s="379"/>
      <c r="AB417" s="379"/>
      <c r="AC417" s="50"/>
      <c r="AD417" s="50"/>
      <c r="AE417" s="379"/>
      <c r="AF417" s="379"/>
      <c r="AG417" s="156"/>
      <c r="AH417" s="60"/>
      <c r="AI417" s="379"/>
      <c r="AJ417" s="379"/>
      <c r="AK417" s="156"/>
      <c r="AL417" s="379"/>
      <c r="AM417" s="50"/>
      <c r="AN417" s="50"/>
    </row>
    <row r="418" spans="1:40" x14ac:dyDescent="0.25">
      <c r="A418" s="53"/>
      <c r="C418" s="54"/>
      <c r="F418" s="449"/>
      <c r="H418" s="449"/>
      <c r="I418" s="449"/>
      <c r="J418" s="221"/>
      <c r="K418" s="221"/>
      <c r="L418" s="379"/>
      <c r="M418" s="379"/>
      <c r="N418" s="50"/>
      <c r="O418" s="50"/>
      <c r="P418" s="379"/>
      <c r="Q418" s="379"/>
      <c r="R418" s="379"/>
      <c r="T418" s="54"/>
      <c r="V418" s="379"/>
      <c r="Y418" s="379"/>
      <c r="Z418" s="221"/>
      <c r="AA418" s="379"/>
      <c r="AB418" s="379"/>
      <c r="AC418" s="50"/>
      <c r="AD418" s="50"/>
      <c r="AE418" s="379"/>
      <c r="AF418" s="379"/>
      <c r="AG418" s="156"/>
      <c r="AH418" s="60"/>
      <c r="AI418" s="379"/>
      <c r="AJ418" s="379"/>
      <c r="AK418" s="156"/>
      <c r="AL418" s="379"/>
      <c r="AM418" s="50"/>
      <c r="AN418" s="50"/>
    </row>
    <row r="419" spans="1:40" x14ac:dyDescent="0.25">
      <c r="F419" s="381"/>
      <c r="H419" s="381"/>
      <c r="I419" s="381"/>
      <c r="J419" s="221"/>
      <c r="K419" s="221"/>
      <c r="L419" s="381"/>
      <c r="M419" s="381"/>
      <c r="N419" s="381"/>
      <c r="O419" s="381"/>
      <c r="P419" s="381"/>
      <c r="Q419" s="381"/>
      <c r="R419" s="381"/>
      <c r="V419" s="381"/>
      <c r="Y419" s="381"/>
      <c r="Z419" s="221"/>
      <c r="AA419" s="381"/>
      <c r="AB419" s="381"/>
      <c r="AC419" s="381"/>
      <c r="AD419" s="381"/>
      <c r="AE419" s="381"/>
      <c r="AF419" s="381"/>
      <c r="AI419" s="381"/>
      <c r="AJ419" s="381"/>
      <c r="AK419" s="162"/>
      <c r="AL419" s="381"/>
    </row>
    <row r="420" spans="1:40" x14ac:dyDescent="0.25">
      <c r="A420" s="53"/>
      <c r="C420" s="56"/>
      <c r="F420" s="379"/>
      <c r="H420" s="379"/>
      <c r="I420" s="379"/>
      <c r="J420" s="65"/>
      <c r="K420" s="65"/>
      <c r="L420" s="379"/>
      <c r="M420" s="379"/>
      <c r="N420" s="60"/>
      <c r="O420" s="60"/>
      <c r="P420" s="379"/>
      <c r="Q420" s="379"/>
      <c r="R420" s="379"/>
      <c r="T420" s="56"/>
      <c r="V420" s="379"/>
      <c r="Y420" s="379"/>
      <c r="Z420" s="65"/>
      <c r="AA420" s="379"/>
      <c r="AB420" s="379"/>
      <c r="AC420" s="379"/>
      <c r="AD420" s="379"/>
      <c r="AE420" s="379"/>
      <c r="AF420" s="379"/>
      <c r="AG420" s="156"/>
      <c r="AH420" s="60"/>
      <c r="AI420" s="379"/>
      <c r="AJ420" s="379"/>
      <c r="AK420" s="156"/>
      <c r="AL420" s="379"/>
      <c r="AM420" s="50"/>
      <c r="AN420" s="50"/>
    </row>
    <row r="421" spans="1:40" x14ac:dyDescent="0.25">
      <c r="F421" s="381"/>
      <c r="H421" s="381"/>
      <c r="I421" s="381"/>
      <c r="J421" s="221"/>
      <c r="K421" s="221"/>
      <c r="L421" s="381"/>
      <c r="M421" s="381"/>
      <c r="N421" s="381"/>
      <c r="O421" s="381"/>
      <c r="P421" s="381"/>
      <c r="Q421" s="381"/>
      <c r="R421" s="381"/>
      <c r="V421" s="381"/>
      <c r="Y421" s="381"/>
      <c r="Z421" s="221"/>
      <c r="AA421" s="381"/>
      <c r="AB421" s="381"/>
      <c r="AC421" s="381"/>
      <c r="AD421" s="381"/>
      <c r="AE421" s="381"/>
      <c r="AF421" s="381"/>
      <c r="AI421" s="381"/>
      <c r="AJ421" s="381"/>
      <c r="AK421" s="162"/>
      <c r="AL421" s="381"/>
    </row>
    <row r="422" spans="1:40" x14ac:dyDescent="0.25">
      <c r="A422" s="53"/>
      <c r="C422" s="54"/>
      <c r="J422" s="65"/>
      <c r="K422" s="65"/>
      <c r="T422" s="54"/>
      <c r="Z422" s="65"/>
    </row>
    <row r="423" spans="1:40" x14ac:dyDescent="0.25">
      <c r="A423" s="53"/>
      <c r="C423" s="54"/>
      <c r="J423" s="65"/>
      <c r="K423" s="65"/>
      <c r="T423" s="54"/>
      <c r="Z423" s="65"/>
    </row>
    <row r="424" spans="1:40" x14ac:dyDescent="0.25">
      <c r="A424" s="53"/>
      <c r="C424" s="54"/>
      <c r="F424" s="449"/>
      <c r="H424" s="449"/>
      <c r="I424" s="449"/>
      <c r="J424" s="221"/>
      <c r="K424" s="221"/>
      <c r="L424" s="379"/>
      <c r="M424" s="379"/>
      <c r="N424" s="50"/>
      <c r="O424" s="50"/>
      <c r="P424" s="379"/>
      <c r="Q424" s="379"/>
      <c r="R424" s="379"/>
      <c r="T424" s="54"/>
      <c r="V424" s="379"/>
      <c r="Y424" s="379"/>
      <c r="Z424" s="221"/>
      <c r="AA424" s="379"/>
      <c r="AB424" s="379"/>
      <c r="AC424" s="50"/>
      <c r="AD424" s="50"/>
      <c r="AE424" s="379"/>
      <c r="AF424" s="379"/>
      <c r="AG424" s="156"/>
      <c r="AH424" s="60"/>
      <c r="AI424" s="379"/>
      <c r="AJ424" s="379"/>
      <c r="AK424" s="156"/>
      <c r="AL424" s="379"/>
      <c r="AM424" s="50"/>
      <c r="AN424" s="50"/>
    </row>
    <row r="425" spans="1:40" x14ac:dyDescent="0.25">
      <c r="A425" s="53"/>
      <c r="C425" s="54"/>
      <c r="F425" s="449"/>
      <c r="H425" s="449"/>
      <c r="I425" s="449"/>
      <c r="J425" s="221"/>
      <c r="K425" s="221"/>
      <c r="L425" s="379"/>
      <c r="M425" s="379"/>
      <c r="N425" s="50"/>
      <c r="O425" s="50"/>
      <c r="P425" s="379"/>
      <c r="Q425" s="379"/>
      <c r="R425" s="379"/>
      <c r="T425" s="54"/>
      <c r="V425" s="379"/>
      <c r="Y425" s="379"/>
      <c r="Z425" s="221"/>
      <c r="AA425" s="379"/>
      <c r="AB425" s="379"/>
      <c r="AC425" s="50"/>
      <c r="AD425" s="50"/>
      <c r="AE425" s="379"/>
      <c r="AF425" s="379"/>
      <c r="AG425" s="156"/>
      <c r="AH425" s="60"/>
      <c r="AI425" s="379"/>
      <c r="AJ425" s="379"/>
      <c r="AK425" s="156"/>
      <c r="AL425" s="379"/>
      <c r="AM425" s="50"/>
      <c r="AN425" s="50"/>
    </row>
    <row r="426" spans="1:40" x14ac:dyDescent="0.25">
      <c r="A426" s="53"/>
      <c r="C426" s="54"/>
      <c r="F426" s="449"/>
      <c r="H426" s="449"/>
      <c r="I426" s="449"/>
      <c r="J426" s="221"/>
      <c r="K426" s="221"/>
      <c r="L426" s="379"/>
      <c r="M426" s="379"/>
      <c r="N426" s="50"/>
      <c r="O426" s="50"/>
      <c r="P426" s="379"/>
      <c r="Q426" s="379"/>
      <c r="R426" s="379"/>
      <c r="T426" s="54"/>
      <c r="V426" s="379"/>
      <c r="Y426" s="379"/>
      <c r="Z426" s="221"/>
      <c r="AA426" s="379"/>
      <c r="AB426" s="379"/>
      <c r="AC426" s="50"/>
      <c r="AD426" s="50"/>
      <c r="AE426" s="379"/>
      <c r="AF426" s="379"/>
      <c r="AG426" s="156"/>
      <c r="AH426" s="60"/>
      <c r="AI426" s="379"/>
      <c r="AJ426" s="379"/>
      <c r="AK426" s="156"/>
      <c r="AL426" s="379"/>
      <c r="AM426" s="50"/>
      <c r="AN426" s="50"/>
    </row>
    <row r="427" spans="1:40" x14ac:dyDescent="0.25">
      <c r="A427" s="53"/>
      <c r="C427" s="54"/>
      <c r="F427" s="449"/>
      <c r="H427" s="449"/>
      <c r="I427" s="449"/>
      <c r="J427" s="221"/>
      <c r="K427" s="221"/>
      <c r="L427" s="379"/>
      <c r="M427" s="379"/>
      <c r="N427" s="50"/>
      <c r="O427" s="50"/>
      <c r="P427" s="379"/>
      <c r="Q427" s="379"/>
      <c r="R427" s="379"/>
      <c r="T427" s="54"/>
      <c r="V427" s="379"/>
      <c r="Y427" s="379"/>
      <c r="Z427" s="221"/>
      <c r="AA427" s="379"/>
      <c r="AB427" s="379"/>
      <c r="AC427" s="50"/>
      <c r="AD427" s="50"/>
      <c r="AE427" s="379"/>
      <c r="AF427" s="379"/>
      <c r="AG427" s="156"/>
      <c r="AH427" s="60"/>
      <c r="AI427" s="379"/>
      <c r="AJ427" s="379"/>
      <c r="AK427" s="156"/>
      <c r="AL427" s="379"/>
      <c r="AM427" s="50"/>
      <c r="AN427" s="50"/>
    </row>
    <row r="428" spans="1:40" x14ac:dyDescent="0.25">
      <c r="A428" s="53"/>
      <c r="C428" s="54"/>
      <c r="F428" s="449"/>
      <c r="H428" s="449"/>
      <c r="I428" s="449"/>
      <c r="J428" s="221"/>
      <c r="K428" s="221"/>
      <c r="L428" s="379"/>
      <c r="M428" s="379"/>
      <c r="N428" s="50"/>
      <c r="O428" s="50"/>
      <c r="P428" s="379"/>
      <c r="Q428" s="379"/>
      <c r="R428" s="379"/>
      <c r="T428" s="54"/>
      <c r="V428" s="379"/>
      <c r="Y428" s="379"/>
      <c r="Z428" s="221"/>
      <c r="AA428" s="379"/>
      <c r="AB428" s="379"/>
      <c r="AC428" s="50"/>
      <c r="AD428" s="50"/>
      <c r="AE428" s="379"/>
      <c r="AF428" s="379"/>
      <c r="AG428" s="156"/>
      <c r="AH428" s="60"/>
      <c r="AI428" s="379"/>
      <c r="AJ428" s="379"/>
      <c r="AK428" s="156"/>
      <c r="AL428" s="379"/>
      <c r="AM428" s="50"/>
      <c r="AN428" s="50"/>
    </row>
    <row r="429" spans="1:40" x14ac:dyDescent="0.25">
      <c r="A429" s="53"/>
      <c r="C429" s="54"/>
      <c r="F429" s="449"/>
      <c r="H429" s="449"/>
      <c r="I429" s="449"/>
      <c r="J429" s="221"/>
      <c r="K429" s="221"/>
      <c r="L429" s="379"/>
      <c r="M429" s="379"/>
      <c r="N429" s="50"/>
      <c r="O429" s="50"/>
      <c r="P429" s="379"/>
      <c r="Q429" s="379"/>
      <c r="R429" s="379"/>
      <c r="T429" s="54"/>
      <c r="V429" s="379"/>
      <c r="Y429" s="379"/>
      <c r="Z429" s="221"/>
      <c r="AA429" s="379"/>
      <c r="AB429" s="379"/>
      <c r="AC429" s="50"/>
      <c r="AD429" s="50"/>
      <c r="AE429" s="379"/>
      <c r="AF429" s="379"/>
      <c r="AG429" s="156"/>
      <c r="AH429" s="60"/>
      <c r="AI429" s="379"/>
      <c r="AJ429" s="379"/>
      <c r="AK429" s="156"/>
      <c r="AL429" s="379"/>
      <c r="AM429" s="50"/>
      <c r="AN429" s="50"/>
    </row>
    <row r="430" spans="1:40" x14ac:dyDescent="0.25">
      <c r="A430" s="53"/>
      <c r="C430" s="54"/>
      <c r="F430" s="449"/>
      <c r="H430" s="449"/>
      <c r="I430" s="449"/>
      <c r="J430" s="221"/>
      <c r="K430" s="221"/>
      <c r="L430" s="379"/>
      <c r="M430" s="379"/>
      <c r="N430" s="50"/>
      <c r="O430" s="50"/>
      <c r="P430" s="379"/>
      <c r="Q430" s="379"/>
      <c r="R430" s="379"/>
      <c r="T430" s="54"/>
      <c r="V430" s="379"/>
      <c r="Y430" s="379"/>
      <c r="Z430" s="221"/>
      <c r="AA430" s="379"/>
      <c r="AB430" s="379"/>
      <c r="AC430" s="50"/>
      <c r="AD430" s="50"/>
      <c r="AE430" s="379"/>
      <c r="AF430" s="379"/>
      <c r="AG430" s="156"/>
      <c r="AH430" s="60"/>
      <c r="AI430" s="379"/>
      <c r="AJ430" s="379"/>
      <c r="AK430" s="156"/>
      <c r="AL430" s="379"/>
      <c r="AM430" s="50"/>
      <c r="AN430" s="50"/>
    </row>
    <row r="431" spans="1:40" x14ac:dyDescent="0.25">
      <c r="A431" s="53"/>
      <c r="C431" s="54"/>
      <c r="J431" s="65"/>
      <c r="K431" s="65"/>
      <c r="T431" s="54"/>
      <c r="Z431" s="65"/>
    </row>
    <row r="432" spans="1:40" x14ac:dyDescent="0.25">
      <c r="A432" s="53"/>
      <c r="C432" s="54"/>
      <c r="F432" s="449"/>
      <c r="H432" s="449"/>
      <c r="I432" s="449"/>
      <c r="J432" s="221"/>
      <c r="K432" s="221"/>
      <c r="L432" s="379"/>
      <c r="M432" s="379"/>
      <c r="N432" s="50"/>
      <c r="O432" s="50"/>
      <c r="P432" s="379"/>
      <c r="Q432" s="379"/>
      <c r="R432" s="379"/>
      <c r="T432" s="54"/>
      <c r="V432" s="379"/>
      <c r="Y432" s="379"/>
      <c r="Z432" s="221"/>
      <c r="AA432" s="379"/>
      <c r="AB432" s="379"/>
      <c r="AC432" s="50"/>
      <c r="AD432" s="50"/>
      <c r="AE432" s="379"/>
      <c r="AF432" s="379"/>
      <c r="AG432" s="156"/>
      <c r="AH432" s="60"/>
      <c r="AI432" s="379"/>
      <c r="AJ432" s="379"/>
      <c r="AK432" s="156"/>
      <c r="AL432" s="379"/>
      <c r="AM432" s="50"/>
      <c r="AN432" s="50"/>
    </row>
    <row r="433" spans="1:40" x14ac:dyDescent="0.25">
      <c r="A433" s="53"/>
      <c r="C433" s="54"/>
      <c r="F433" s="449"/>
      <c r="H433" s="449"/>
      <c r="I433" s="449"/>
      <c r="J433" s="221"/>
      <c r="K433" s="221"/>
      <c r="L433" s="379"/>
      <c r="M433" s="379"/>
      <c r="N433" s="50"/>
      <c r="O433" s="50"/>
      <c r="P433" s="379"/>
      <c r="Q433" s="379"/>
      <c r="R433" s="379"/>
      <c r="T433" s="54"/>
      <c r="V433" s="379"/>
      <c r="Y433" s="379"/>
      <c r="Z433" s="221"/>
      <c r="AA433" s="379"/>
      <c r="AB433" s="379"/>
      <c r="AC433" s="50"/>
      <c r="AD433" s="50"/>
      <c r="AE433" s="379"/>
      <c r="AF433" s="379"/>
      <c r="AG433" s="156"/>
      <c r="AH433" s="60"/>
      <c r="AI433" s="379"/>
      <c r="AJ433" s="379"/>
      <c r="AK433" s="156"/>
      <c r="AL433" s="379"/>
      <c r="AM433" s="50"/>
      <c r="AN433" s="50"/>
    </row>
    <row r="434" spans="1:40" x14ac:dyDescent="0.25">
      <c r="A434" s="53"/>
      <c r="C434" s="54"/>
      <c r="F434" s="449"/>
      <c r="H434" s="449"/>
      <c r="I434" s="449"/>
      <c r="J434" s="221"/>
      <c r="K434" s="221"/>
      <c r="L434" s="379"/>
      <c r="M434" s="379"/>
      <c r="N434" s="50"/>
      <c r="O434" s="50"/>
      <c r="P434" s="379"/>
      <c r="Q434" s="379"/>
      <c r="R434" s="379"/>
      <c r="T434" s="54"/>
      <c r="V434" s="379"/>
      <c r="Y434" s="379"/>
      <c r="Z434" s="221"/>
      <c r="AA434" s="379"/>
      <c r="AB434" s="379"/>
      <c r="AC434" s="50"/>
      <c r="AD434" s="50"/>
      <c r="AE434" s="379"/>
      <c r="AF434" s="379"/>
      <c r="AG434" s="156"/>
      <c r="AH434" s="60"/>
      <c r="AI434" s="379"/>
      <c r="AJ434" s="379"/>
      <c r="AK434" s="156"/>
      <c r="AL434" s="379"/>
      <c r="AM434" s="50"/>
      <c r="AN434" s="50"/>
    </row>
    <row r="435" spans="1:40" x14ac:dyDescent="0.25">
      <c r="A435" s="53"/>
      <c r="C435" s="54"/>
      <c r="F435" s="449"/>
      <c r="H435" s="449"/>
      <c r="I435" s="449"/>
      <c r="J435" s="221"/>
      <c r="K435" s="221"/>
      <c r="L435" s="379"/>
      <c r="M435" s="379"/>
      <c r="N435" s="50"/>
      <c r="O435" s="50"/>
      <c r="P435" s="379"/>
      <c r="Q435" s="379"/>
      <c r="R435" s="379"/>
      <c r="T435" s="54"/>
      <c r="V435" s="379"/>
      <c r="Y435" s="379"/>
      <c r="Z435" s="221"/>
      <c r="AA435" s="379"/>
      <c r="AB435" s="379"/>
      <c r="AC435" s="50"/>
      <c r="AD435" s="50"/>
      <c r="AE435" s="379"/>
      <c r="AF435" s="379"/>
      <c r="AG435" s="156"/>
      <c r="AH435" s="60"/>
      <c r="AI435" s="379"/>
      <c r="AJ435" s="379"/>
      <c r="AK435" s="156"/>
      <c r="AL435" s="379"/>
      <c r="AM435" s="50"/>
      <c r="AN435" s="50"/>
    </row>
    <row r="436" spans="1:40" x14ac:dyDescent="0.25">
      <c r="A436" s="53"/>
      <c r="C436" s="54"/>
      <c r="J436" s="65"/>
      <c r="K436" s="65"/>
      <c r="T436" s="54"/>
      <c r="Z436" s="65"/>
    </row>
    <row r="437" spans="1:40" x14ac:dyDescent="0.25">
      <c r="A437" s="53"/>
      <c r="C437" s="54"/>
      <c r="F437" s="449"/>
      <c r="H437" s="449"/>
      <c r="I437" s="449"/>
      <c r="J437" s="221"/>
      <c r="K437" s="221"/>
      <c r="L437" s="379"/>
      <c r="M437" s="379"/>
      <c r="N437" s="50"/>
      <c r="O437" s="50"/>
      <c r="P437" s="379"/>
      <c r="Q437" s="379"/>
      <c r="R437" s="379"/>
      <c r="T437" s="54"/>
      <c r="V437" s="379"/>
      <c r="Y437" s="379"/>
      <c r="Z437" s="221"/>
      <c r="AA437" s="379"/>
      <c r="AB437" s="379"/>
      <c r="AC437" s="50"/>
      <c r="AD437" s="50"/>
      <c r="AE437" s="379"/>
      <c r="AF437" s="379"/>
      <c r="AG437" s="156"/>
      <c r="AH437" s="60"/>
      <c r="AI437" s="379"/>
      <c r="AJ437" s="379"/>
      <c r="AK437" s="156"/>
      <c r="AL437" s="379"/>
      <c r="AM437" s="50"/>
      <c r="AN437" s="50"/>
    </row>
    <row r="438" spans="1:40" x14ac:dyDescent="0.25">
      <c r="A438" s="53"/>
      <c r="C438" s="54"/>
      <c r="F438" s="449"/>
      <c r="H438" s="449"/>
      <c r="I438" s="449"/>
      <c r="J438" s="221"/>
      <c r="K438" s="221"/>
      <c r="L438" s="379"/>
      <c r="M438" s="379"/>
      <c r="N438" s="50"/>
      <c r="O438" s="50"/>
      <c r="P438" s="379"/>
      <c r="Q438" s="379"/>
      <c r="R438" s="379"/>
      <c r="T438" s="54"/>
      <c r="V438" s="379"/>
      <c r="Y438" s="379"/>
      <c r="Z438" s="221"/>
      <c r="AA438" s="379"/>
      <c r="AB438" s="379"/>
      <c r="AC438" s="50"/>
      <c r="AD438" s="50"/>
      <c r="AE438" s="379"/>
      <c r="AF438" s="379"/>
      <c r="AG438" s="156"/>
      <c r="AH438" s="60"/>
      <c r="AI438" s="379"/>
      <c r="AJ438" s="379"/>
      <c r="AK438" s="156"/>
      <c r="AL438" s="379"/>
      <c r="AM438" s="50"/>
      <c r="AN438" s="50"/>
    </row>
    <row r="439" spans="1:40" x14ac:dyDescent="0.25">
      <c r="A439" s="53"/>
      <c r="C439" s="54"/>
      <c r="F439" s="449"/>
      <c r="H439" s="449"/>
      <c r="I439" s="449"/>
      <c r="J439" s="221"/>
      <c r="K439" s="221"/>
      <c r="L439" s="379"/>
      <c r="M439" s="379"/>
      <c r="N439" s="50"/>
      <c r="O439" s="50"/>
      <c r="P439" s="379"/>
      <c r="Q439" s="379"/>
      <c r="R439" s="379"/>
      <c r="T439" s="54"/>
      <c r="V439" s="379"/>
      <c r="Y439" s="379"/>
      <c r="Z439" s="221"/>
      <c r="AA439" s="379"/>
      <c r="AB439" s="379"/>
      <c r="AC439" s="50"/>
      <c r="AD439" s="50"/>
      <c r="AE439" s="379"/>
      <c r="AF439" s="379"/>
      <c r="AG439" s="156"/>
      <c r="AH439" s="60"/>
      <c r="AI439" s="379"/>
      <c r="AJ439" s="379"/>
      <c r="AK439" s="156"/>
      <c r="AL439" s="379"/>
      <c r="AM439" s="50"/>
      <c r="AN439" s="50"/>
    </row>
    <row r="440" spans="1:40" x14ac:dyDescent="0.25">
      <c r="A440" s="53"/>
      <c r="C440" s="54"/>
      <c r="F440" s="449"/>
      <c r="H440" s="449"/>
      <c r="I440" s="449"/>
      <c r="J440" s="221"/>
      <c r="K440" s="221"/>
      <c r="L440" s="379"/>
      <c r="M440" s="379"/>
      <c r="N440" s="50"/>
      <c r="O440" s="50"/>
      <c r="P440" s="379"/>
      <c r="Q440" s="379"/>
      <c r="R440" s="379"/>
      <c r="T440" s="54"/>
      <c r="V440" s="379"/>
      <c r="Y440" s="379"/>
      <c r="Z440" s="221"/>
      <c r="AA440" s="379"/>
      <c r="AB440" s="379"/>
      <c r="AC440" s="50"/>
      <c r="AD440" s="50"/>
      <c r="AE440" s="379"/>
      <c r="AF440" s="379"/>
      <c r="AG440" s="156"/>
      <c r="AH440" s="60"/>
      <c r="AI440" s="379"/>
      <c r="AJ440" s="379"/>
      <c r="AK440" s="156"/>
      <c r="AL440" s="379"/>
      <c r="AM440" s="50"/>
      <c r="AN440" s="50"/>
    </row>
    <row r="441" spans="1:40" x14ac:dyDescent="0.25">
      <c r="A441" s="53"/>
      <c r="C441" s="54"/>
      <c r="F441" s="449"/>
      <c r="H441" s="449"/>
      <c r="I441" s="449"/>
      <c r="J441" s="221"/>
      <c r="K441" s="221"/>
      <c r="L441" s="379"/>
      <c r="M441" s="379"/>
      <c r="N441" s="50"/>
      <c r="O441" s="50"/>
      <c r="P441" s="379"/>
      <c r="Q441" s="379"/>
      <c r="R441" s="379"/>
      <c r="T441" s="54"/>
      <c r="V441" s="379"/>
      <c r="Y441" s="379"/>
      <c r="Z441" s="221"/>
      <c r="AA441" s="379"/>
      <c r="AB441" s="379"/>
      <c r="AC441" s="50"/>
      <c r="AD441" s="50"/>
      <c r="AE441" s="379"/>
      <c r="AF441" s="379"/>
      <c r="AG441" s="156"/>
      <c r="AH441" s="60"/>
      <c r="AI441" s="379"/>
      <c r="AJ441" s="379"/>
      <c r="AK441" s="156"/>
      <c r="AL441" s="379"/>
      <c r="AM441" s="50"/>
      <c r="AN441" s="50"/>
    </row>
    <row r="442" spans="1:40" x14ac:dyDescent="0.25">
      <c r="F442" s="381"/>
      <c r="H442" s="381"/>
      <c r="I442" s="381"/>
      <c r="J442" s="464"/>
      <c r="K442" s="464"/>
      <c r="L442" s="381"/>
      <c r="M442" s="381"/>
      <c r="N442" s="381"/>
      <c r="O442" s="381"/>
      <c r="P442" s="381"/>
      <c r="Q442" s="381"/>
      <c r="R442" s="381"/>
      <c r="V442" s="381"/>
      <c r="Y442" s="381"/>
      <c r="Z442" s="221"/>
      <c r="AA442" s="381"/>
      <c r="AB442" s="381"/>
      <c r="AC442" s="381"/>
      <c r="AD442" s="381"/>
      <c r="AE442" s="381"/>
      <c r="AF442" s="381"/>
      <c r="AI442" s="381"/>
      <c r="AJ442" s="381"/>
      <c r="AK442" s="162"/>
      <c r="AL442" s="381"/>
    </row>
    <row r="443" spans="1:40" x14ac:dyDescent="0.25">
      <c r="A443" s="53"/>
      <c r="C443" s="54"/>
      <c r="F443" s="379"/>
      <c r="H443" s="379"/>
      <c r="I443" s="379"/>
      <c r="L443" s="379"/>
      <c r="M443" s="379"/>
      <c r="N443" s="60"/>
      <c r="O443" s="60"/>
      <c r="P443" s="379"/>
      <c r="Q443" s="379"/>
      <c r="R443" s="379"/>
      <c r="T443" s="54"/>
      <c r="V443" s="379"/>
      <c r="Y443" s="379"/>
      <c r="AA443" s="379"/>
      <c r="AB443" s="379"/>
      <c r="AC443" s="50"/>
      <c r="AD443" s="50"/>
      <c r="AE443" s="379"/>
      <c r="AF443" s="379"/>
      <c r="AG443" s="156"/>
      <c r="AH443" s="60"/>
      <c r="AI443" s="379"/>
      <c r="AJ443" s="379"/>
      <c r="AK443" s="156"/>
      <c r="AL443" s="379"/>
      <c r="AM443" s="50"/>
      <c r="AN443" s="50"/>
    </row>
    <row r="444" spans="1:40" x14ac:dyDescent="0.25">
      <c r="F444" s="381"/>
      <c r="H444" s="381"/>
      <c r="I444" s="381"/>
      <c r="J444" s="464"/>
      <c r="K444" s="464"/>
      <c r="L444" s="381"/>
      <c r="M444" s="381"/>
      <c r="N444" s="381"/>
      <c r="O444" s="381"/>
      <c r="P444" s="381"/>
      <c r="Q444" s="381"/>
      <c r="R444" s="381"/>
      <c r="V444" s="381"/>
      <c r="Y444" s="381"/>
      <c r="Z444" s="464"/>
      <c r="AA444" s="381"/>
      <c r="AB444" s="381"/>
      <c r="AC444" s="381"/>
      <c r="AD444" s="381"/>
      <c r="AE444" s="381"/>
      <c r="AF444" s="381"/>
      <c r="AI444" s="381"/>
      <c r="AJ444" s="381"/>
      <c r="AK444" s="162"/>
      <c r="AL444" s="381"/>
    </row>
    <row r="445" spans="1:40" x14ac:dyDescent="0.25">
      <c r="A445" s="53"/>
      <c r="C445" s="54"/>
      <c r="T445" s="54"/>
    </row>
    <row r="446" spans="1:40" x14ac:dyDescent="0.25">
      <c r="A446" s="53"/>
      <c r="C446" s="54"/>
      <c r="F446" s="449"/>
      <c r="H446" s="449"/>
      <c r="I446" s="449"/>
      <c r="J446" s="461"/>
      <c r="K446" s="461"/>
      <c r="L446" s="379"/>
      <c r="M446" s="379"/>
      <c r="N446" s="50"/>
      <c r="O446" s="50"/>
      <c r="P446" s="379"/>
      <c r="Q446" s="379"/>
      <c r="R446" s="379"/>
      <c r="T446" s="54"/>
      <c r="V446" s="379"/>
      <c r="Y446" s="379"/>
      <c r="Z446" s="461"/>
      <c r="AA446" s="379"/>
      <c r="AB446" s="379"/>
      <c r="AC446" s="50"/>
      <c r="AD446" s="50"/>
      <c r="AE446" s="379"/>
      <c r="AF446" s="379"/>
      <c r="AG446" s="156"/>
      <c r="AH446" s="60"/>
      <c r="AI446" s="379"/>
      <c r="AJ446" s="379"/>
      <c r="AK446" s="156"/>
      <c r="AL446" s="379"/>
      <c r="AM446" s="50"/>
      <c r="AN446" s="50"/>
    </row>
    <row r="447" spans="1:40" x14ac:dyDescent="0.25">
      <c r="A447" s="53"/>
      <c r="C447" s="54"/>
      <c r="F447" s="449"/>
      <c r="H447" s="449"/>
      <c r="I447" s="449"/>
      <c r="J447" s="461"/>
      <c r="K447" s="461"/>
      <c r="L447" s="379"/>
      <c r="M447" s="379"/>
      <c r="N447" s="50"/>
      <c r="O447" s="50"/>
      <c r="P447" s="379"/>
      <c r="Q447" s="379"/>
      <c r="R447" s="379"/>
      <c r="T447" s="54"/>
      <c r="V447" s="379"/>
      <c r="Y447" s="379"/>
      <c r="Z447" s="461"/>
      <c r="AA447" s="379"/>
      <c r="AB447" s="379"/>
      <c r="AC447" s="50"/>
      <c r="AD447" s="50"/>
      <c r="AE447" s="379"/>
      <c r="AF447" s="379"/>
      <c r="AG447" s="156"/>
      <c r="AH447" s="60"/>
      <c r="AI447" s="379"/>
      <c r="AJ447" s="379"/>
      <c r="AK447" s="156"/>
      <c r="AL447" s="379"/>
      <c r="AM447" s="50"/>
      <c r="AN447" s="50"/>
    </row>
    <row r="448" spans="1:40" x14ac:dyDescent="0.25">
      <c r="F448" s="381"/>
      <c r="H448" s="379"/>
      <c r="I448" s="379"/>
      <c r="J448" s="464"/>
      <c r="K448" s="464"/>
      <c r="L448" s="381"/>
      <c r="M448" s="381"/>
      <c r="N448" s="381"/>
      <c r="O448" s="381"/>
      <c r="P448" s="381"/>
      <c r="Q448" s="381"/>
      <c r="R448" s="381"/>
      <c r="V448" s="381"/>
      <c r="Y448" s="379"/>
      <c r="Z448" s="464"/>
      <c r="AA448" s="381"/>
      <c r="AB448" s="381"/>
      <c r="AC448" s="381"/>
      <c r="AD448" s="381"/>
      <c r="AE448" s="381"/>
      <c r="AF448" s="381"/>
      <c r="AI448" s="381"/>
      <c r="AJ448" s="381"/>
      <c r="AK448" s="162"/>
      <c r="AL448" s="381"/>
    </row>
    <row r="449" spans="1:40" x14ac:dyDescent="0.25">
      <c r="F449" s="379"/>
      <c r="H449" s="379"/>
      <c r="I449" s="379"/>
      <c r="J449" s="464"/>
      <c r="K449" s="464"/>
      <c r="L449" s="379"/>
      <c r="M449" s="379"/>
      <c r="N449" s="379"/>
      <c r="O449" s="379"/>
      <c r="P449" s="379"/>
      <c r="Q449" s="379"/>
      <c r="R449" s="379"/>
      <c r="V449" s="379"/>
      <c r="Y449" s="379"/>
      <c r="Z449" s="464"/>
      <c r="AA449" s="379"/>
      <c r="AB449" s="379"/>
      <c r="AC449" s="379"/>
      <c r="AD449" s="379"/>
      <c r="AE449" s="379"/>
      <c r="AF449" s="379"/>
      <c r="AI449" s="379"/>
      <c r="AJ449" s="379"/>
      <c r="AK449" s="156"/>
      <c r="AL449" s="379"/>
    </row>
    <row r="450" spans="1:40" x14ac:dyDescent="0.25">
      <c r="A450" s="53"/>
      <c r="C450" s="54"/>
      <c r="F450" s="379"/>
      <c r="H450" s="379"/>
      <c r="I450" s="379"/>
      <c r="L450" s="379"/>
      <c r="M450" s="379"/>
      <c r="N450" s="50"/>
      <c r="O450" s="50"/>
      <c r="P450" s="379"/>
      <c r="Q450" s="379"/>
      <c r="R450" s="379"/>
      <c r="T450" s="54"/>
      <c r="V450" s="379"/>
      <c r="Y450" s="379"/>
      <c r="AA450" s="379"/>
      <c r="AB450" s="379"/>
      <c r="AC450" s="50"/>
      <c r="AD450" s="50"/>
      <c r="AE450" s="379"/>
      <c r="AF450" s="379"/>
      <c r="AG450" s="156"/>
      <c r="AH450" s="60"/>
      <c r="AI450" s="449"/>
      <c r="AJ450" s="449"/>
      <c r="AK450" s="156"/>
      <c r="AL450" s="379"/>
      <c r="AM450" s="50"/>
      <c r="AN450" s="50"/>
    </row>
    <row r="451" spans="1:40" x14ac:dyDescent="0.25">
      <c r="F451" s="381"/>
      <c r="H451" s="381"/>
      <c r="I451" s="381"/>
      <c r="J451" s="464"/>
      <c r="K451" s="464"/>
      <c r="L451" s="381"/>
      <c r="M451" s="381"/>
      <c r="N451" s="381"/>
      <c r="O451" s="381"/>
      <c r="P451" s="381"/>
      <c r="Q451" s="381"/>
      <c r="R451" s="381"/>
      <c r="V451" s="381"/>
      <c r="Y451" s="381"/>
      <c r="Z451" s="464"/>
      <c r="AA451" s="381"/>
      <c r="AB451" s="381"/>
      <c r="AC451" s="381"/>
      <c r="AD451" s="381"/>
      <c r="AE451" s="381"/>
      <c r="AF451" s="381"/>
      <c r="AI451" s="381"/>
      <c r="AJ451" s="381"/>
      <c r="AK451" s="162"/>
      <c r="AL451" s="381"/>
    </row>
    <row r="453" spans="1:40" x14ac:dyDescent="0.25">
      <c r="A453" s="54"/>
      <c r="T453" s="54"/>
    </row>
    <row r="454" spans="1:40" x14ac:dyDescent="0.25">
      <c r="A454" s="54"/>
      <c r="T454" s="54"/>
    </row>
    <row r="455" spans="1:40" x14ac:dyDescent="0.25">
      <c r="A455" s="54"/>
      <c r="T455" s="54"/>
    </row>
    <row r="456" spans="1:40" x14ac:dyDescent="0.25">
      <c r="A456" s="54"/>
      <c r="T456" s="54"/>
    </row>
    <row r="457" spans="1:40" x14ac:dyDescent="0.25">
      <c r="A457" s="54"/>
      <c r="T457" s="54"/>
    </row>
    <row r="458" spans="1:40" x14ac:dyDescent="0.25">
      <c r="A458" s="54"/>
      <c r="T458" s="54"/>
    </row>
    <row r="459" spans="1:40" x14ac:dyDescent="0.25">
      <c r="A459" s="54"/>
      <c r="T459" s="54"/>
    </row>
    <row r="460" spans="1:40" x14ac:dyDescent="0.25">
      <c r="A460" s="54"/>
      <c r="T460" s="54"/>
    </row>
    <row r="461" spans="1:40" x14ac:dyDescent="0.25">
      <c r="A461" s="54"/>
      <c r="T461" s="54"/>
    </row>
    <row r="463" spans="1:40" x14ac:dyDescent="0.25">
      <c r="A463" s="54"/>
    </row>
    <row r="464" spans="1:40" x14ac:dyDescent="0.25">
      <c r="J464" s="53"/>
      <c r="K464" s="53"/>
      <c r="Z464" s="53"/>
    </row>
    <row r="465" spans="1:40" x14ac:dyDescent="0.25">
      <c r="H465" s="54"/>
      <c r="I465" s="54"/>
      <c r="Y465" s="54"/>
    </row>
    <row r="466" spans="1:40" x14ac:dyDescent="0.25">
      <c r="J466" s="53"/>
      <c r="K466" s="53"/>
      <c r="Z466" s="53"/>
    </row>
    <row r="467" spans="1:40" x14ac:dyDescent="0.25">
      <c r="L467" s="54"/>
      <c r="M467" s="54"/>
      <c r="AA467" s="54"/>
      <c r="AB467" s="54"/>
    </row>
    <row r="468" spans="1:40" x14ac:dyDescent="0.25">
      <c r="A468" s="53"/>
      <c r="R468" s="54"/>
      <c r="AK468" s="161"/>
      <c r="AL468" s="54"/>
    </row>
    <row r="469" spans="1:40" x14ac:dyDescent="0.25">
      <c r="A469" s="53"/>
      <c r="R469" s="54"/>
      <c r="AK469" s="161"/>
      <c r="AL469" s="54"/>
    </row>
    <row r="470" spans="1:40" x14ac:dyDescent="0.25">
      <c r="A470" s="54"/>
      <c r="R470" s="54"/>
      <c r="AK470" s="161"/>
      <c r="AL470" s="54"/>
    </row>
    <row r="471" spans="1:40" x14ac:dyDescent="0.25">
      <c r="L471" s="54"/>
      <c r="M471" s="54"/>
      <c r="R471" s="53"/>
      <c r="AA471" s="54"/>
      <c r="AB471" s="54"/>
      <c r="AK471" s="156"/>
      <c r="AL471" s="53"/>
    </row>
    <row r="472" spans="1:40" x14ac:dyDescent="0.25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154"/>
      <c r="AH472" s="55"/>
      <c r="AI472" s="55"/>
      <c r="AJ472" s="55"/>
      <c r="AK472" s="154"/>
      <c r="AL472" s="55"/>
      <c r="AM472" s="55"/>
      <c r="AN472" s="55"/>
    </row>
    <row r="473" spans="1:40" x14ac:dyDescent="0.25">
      <c r="L473" s="56"/>
      <c r="M473" s="56"/>
      <c r="N473" s="56"/>
      <c r="O473" s="56"/>
      <c r="R473" s="56"/>
      <c r="AA473" s="56"/>
      <c r="AB473" s="56"/>
      <c r="AC473" s="56"/>
      <c r="AD473" s="56"/>
      <c r="AE473" s="56"/>
      <c r="AF473" s="56"/>
      <c r="AG473" s="155"/>
      <c r="AH473" s="56"/>
      <c r="AK473" s="155"/>
      <c r="AL473" s="56"/>
      <c r="AM473" s="56"/>
      <c r="AN473" s="56"/>
    </row>
    <row r="474" spans="1:40" x14ac:dyDescent="0.25">
      <c r="L474" s="56"/>
      <c r="M474" s="56"/>
      <c r="N474" s="56"/>
      <c r="O474" s="56"/>
      <c r="R474" s="56"/>
      <c r="Z474" s="56"/>
      <c r="AA474" s="56"/>
      <c r="AB474" s="56"/>
      <c r="AC474" s="56"/>
      <c r="AD474" s="56"/>
      <c r="AE474" s="56"/>
      <c r="AF474" s="56"/>
      <c r="AG474" s="155"/>
      <c r="AH474" s="56"/>
      <c r="AK474" s="155"/>
      <c r="AL474" s="56"/>
      <c r="AM474" s="56"/>
      <c r="AN474" s="56"/>
    </row>
    <row r="475" spans="1:40" x14ac:dyDescent="0.25">
      <c r="A475" s="56"/>
      <c r="C475" s="56"/>
      <c r="D475" s="56"/>
      <c r="E475" s="56"/>
      <c r="F475" s="56"/>
      <c r="J475" s="56"/>
      <c r="K475" s="56"/>
      <c r="L475" s="56"/>
      <c r="M475" s="56"/>
      <c r="N475" s="56"/>
      <c r="O475" s="56"/>
      <c r="P475" s="56"/>
      <c r="Q475" s="56"/>
      <c r="R475" s="56"/>
      <c r="T475" s="56"/>
      <c r="U475" s="56"/>
      <c r="V475" s="56"/>
      <c r="Z475" s="56"/>
      <c r="AA475" s="56"/>
      <c r="AB475" s="56"/>
      <c r="AC475" s="56"/>
      <c r="AD475" s="56"/>
      <c r="AE475" s="56"/>
      <c r="AF475" s="56"/>
      <c r="AG475" s="155"/>
      <c r="AH475" s="56"/>
      <c r="AI475" s="56"/>
      <c r="AJ475" s="56"/>
      <c r="AK475" s="155"/>
      <c r="AL475" s="56"/>
      <c r="AM475" s="56"/>
      <c r="AN475" s="56"/>
    </row>
    <row r="476" spans="1:40" x14ac:dyDescent="0.25">
      <c r="A476" s="56"/>
      <c r="C476" s="56"/>
      <c r="D476" s="56"/>
      <c r="E476" s="56"/>
      <c r="F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T476" s="56"/>
      <c r="U476" s="56"/>
      <c r="V476" s="56"/>
      <c r="Y476" s="56"/>
      <c r="Z476" s="56"/>
      <c r="AA476" s="56"/>
      <c r="AB476" s="56"/>
      <c r="AC476" s="56"/>
      <c r="AD476" s="56"/>
      <c r="AE476" s="56"/>
      <c r="AF476" s="56"/>
      <c r="AG476" s="155"/>
      <c r="AH476" s="56"/>
      <c r="AI476" s="56"/>
      <c r="AJ476" s="56"/>
      <c r="AK476" s="155"/>
      <c r="AL476" s="56"/>
      <c r="AM476" s="56"/>
      <c r="AN476" s="56"/>
    </row>
    <row r="477" spans="1:40" x14ac:dyDescent="0.25">
      <c r="C477" s="56"/>
      <c r="D477" s="56"/>
      <c r="E477" s="56"/>
      <c r="F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T477" s="56"/>
      <c r="U477" s="56"/>
      <c r="V477" s="56"/>
      <c r="Y477" s="56"/>
      <c r="Z477" s="56"/>
      <c r="AA477" s="56"/>
      <c r="AB477" s="56"/>
      <c r="AC477" s="56"/>
      <c r="AD477" s="56"/>
      <c r="AE477" s="56"/>
      <c r="AF477" s="56"/>
      <c r="AG477" s="155"/>
      <c r="AH477" s="56"/>
      <c r="AI477" s="56"/>
      <c r="AJ477" s="56"/>
      <c r="AK477" s="155"/>
      <c r="AL477" s="56"/>
      <c r="AM477" s="56"/>
      <c r="AN477" s="56"/>
    </row>
    <row r="478" spans="1:40" x14ac:dyDescent="0.25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154"/>
      <c r="AH478" s="55"/>
      <c r="AI478" s="55"/>
      <c r="AJ478" s="55"/>
      <c r="AK478" s="154"/>
      <c r="AL478" s="55"/>
      <c r="AM478" s="55"/>
      <c r="AN478" s="55"/>
    </row>
    <row r="479" spans="1:40" x14ac:dyDescent="0.25"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Y479" s="56"/>
      <c r="Z479" s="56"/>
      <c r="AA479" s="56"/>
      <c r="AB479" s="56"/>
      <c r="AC479" s="56"/>
      <c r="AD479" s="56"/>
      <c r="AE479" s="56"/>
      <c r="AF479" s="56"/>
      <c r="AG479" s="155"/>
      <c r="AH479" s="56"/>
      <c r="AI479" s="56"/>
      <c r="AJ479" s="56"/>
      <c r="AK479" s="155"/>
      <c r="AL479" s="56"/>
      <c r="AM479" s="56"/>
      <c r="AN479" s="56"/>
    </row>
    <row r="480" spans="1:40" x14ac:dyDescent="0.25">
      <c r="A480" s="53"/>
      <c r="C480" s="54"/>
      <c r="D480" s="54"/>
      <c r="E480" s="54"/>
      <c r="T480" s="54"/>
      <c r="U480" s="54"/>
    </row>
    <row r="481" spans="1:40" x14ac:dyDescent="0.25">
      <c r="A481" s="53"/>
      <c r="D481" s="54"/>
      <c r="E481" s="54"/>
      <c r="U481" s="54"/>
    </row>
    <row r="483" spans="1:40" x14ac:dyDescent="0.25">
      <c r="A483" s="53"/>
      <c r="C483" s="54"/>
      <c r="F483" s="379"/>
      <c r="J483" s="62"/>
      <c r="K483" s="62"/>
      <c r="L483" s="379"/>
      <c r="M483" s="379"/>
      <c r="R483" s="379"/>
      <c r="T483" s="54"/>
      <c r="V483" s="379"/>
      <c r="Z483" s="62"/>
      <c r="AA483" s="379"/>
      <c r="AB483" s="379"/>
      <c r="AG483" s="156"/>
      <c r="AH483" s="379"/>
      <c r="AK483" s="156"/>
      <c r="AL483" s="379"/>
    </row>
    <row r="484" spans="1:40" x14ac:dyDescent="0.25">
      <c r="A484" s="53"/>
      <c r="C484" s="54"/>
      <c r="F484" s="379"/>
      <c r="R484" s="379"/>
      <c r="T484" s="54"/>
      <c r="V484" s="379"/>
      <c r="AG484" s="156"/>
      <c r="AH484" s="379"/>
      <c r="AK484" s="156"/>
      <c r="AL484" s="379"/>
    </row>
    <row r="485" spans="1:40" x14ac:dyDescent="0.25">
      <c r="AI485" s="379"/>
      <c r="AJ485" s="379"/>
      <c r="AK485" s="156"/>
      <c r="AL485" s="379"/>
      <c r="AM485" s="50"/>
      <c r="AN485" s="50"/>
    </row>
    <row r="486" spans="1:40" x14ac:dyDescent="0.25">
      <c r="A486" s="53"/>
      <c r="C486" s="54"/>
      <c r="F486" s="449"/>
      <c r="H486" s="449"/>
      <c r="I486" s="449"/>
      <c r="J486" s="477"/>
      <c r="K486" s="477"/>
      <c r="L486" s="379"/>
      <c r="M486" s="379"/>
      <c r="N486" s="50"/>
      <c r="O486" s="50"/>
      <c r="P486" s="379"/>
      <c r="Q486" s="379"/>
      <c r="R486" s="379"/>
      <c r="T486" s="54"/>
      <c r="V486" s="379"/>
      <c r="Y486" s="379"/>
      <c r="Z486" s="477"/>
      <c r="AA486" s="379"/>
      <c r="AB486" s="379"/>
      <c r="AC486" s="50"/>
      <c r="AD486" s="50"/>
      <c r="AE486" s="379"/>
      <c r="AF486" s="379"/>
      <c r="AG486" s="156"/>
      <c r="AH486" s="60"/>
      <c r="AI486" s="379"/>
      <c r="AJ486" s="379"/>
      <c r="AK486" s="156"/>
      <c r="AL486" s="379"/>
      <c r="AM486" s="50"/>
      <c r="AN486" s="50"/>
    </row>
    <row r="487" spans="1:40" x14ac:dyDescent="0.25">
      <c r="F487" s="379"/>
      <c r="H487" s="379"/>
      <c r="I487" s="379"/>
      <c r="J487" s="59"/>
      <c r="K487" s="59"/>
      <c r="L487" s="379"/>
      <c r="M487" s="379"/>
      <c r="P487" s="379"/>
      <c r="Q487" s="379"/>
      <c r="R487" s="379"/>
      <c r="V487" s="379"/>
      <c r="Y487" s="379"/>
      <c r="Z487" s="59"/>
      <c r="AA487" s="379"/>
      <c r="AB487" s="379"/>
      <c r="AI487" s="379"/>
      <c r="AJ487" s="379"/>
      <c r="AK487" s="156"/>
      <c r="AL487" s="379"/>
      <c r="AM487" s="50"/>
      <c r="AN487" s="50"/>
    </row>
    <row r="488" spans="1:40" x14ac:dyDescent="0.25">
      <c r="F488" s="379"/>
      <c r="R488" s="379"/>
      <c r="V488" s="379"/>
      <c r="AK488" s="156"/>
      <c r="AL488" s="379"/>
      <c r="AM488" s="50"/>
      <c r="AN488" s="50"/>
    </row>
    <row r="489" spans="1:40" x14ac:dyDescent="0.25">
      <c r="A489" s="53"/>
      <c r="C489" s="54"/>
      <c r="F489" s="379"/>
      <c r="J489" s="62"/>
      <c r="K489" s="62"/>
      <c r="L489" s="379"/>
      <c r="M489" s="379"/>
      <c r="N489" s="50"/>
      <c r="O489" s="50"/>
      <c r="R489" s="379"/>
      <c r="T489" s="54"/>
      <c r="V489" s="379"/>
      <c r="Z489" s="62"/>
      <c r="AA489" s="379"/>
      <c r="AB489" s="379"/>
      <c r="AC489" s="50"/>
      <c r="AD489" s="50"/>
      <c r="AK489" s="156"/>
      <c r="AL489" s="379"/>
      <c r="AM489" s="50"/>
      <c r="AN489" s="50"/>
    </row>
    <row r="490" spans="1:40" x14ac:dyDescent="0.25">
      <c r="A490" s="53"/>
      <c r="C490" s="54"/>
      <c r="F490" s="379"/>
      <c r="H490" s="379"/>
      <c r="I490" s="379"/>
      <c r="J490" s="62"/>
      <c r="K490" s="62"/>
      <c r="L490" s="379"/>
      <c r="M490" s="379"/>
      <c r="N490" s="50"/>
      <c r="O490" s="50"/>
      <c r="P490" s="379"/>
      <c r="Q490" s="379"/>
      <c r="R490" s="379"/>
      <c r="T490" s="54"/>
      <c r="V490" s="379"/>
      <c r="Y490" s="379"/>
      <c r="Z490" s="62"/>
      <c r="AA490" s="379"/>
      <c r="AB490" s="379"/>
      <c r="AC490" s="50"/>
      <c r="AD490" s="50"/>
      <c r="AI490" s="379"/>
      <c r="AJ490" s="379"/>
      <c r="AK490" s="156"/>
      <c r="AL490" s="379"/>
      <c r="AM490" s="50"/>
      <c r="AN490" s="50"/>
    </row>
    <row r="491" spans="1:40" x14ac:dyDescent="0.25">
      <c r="A491" s="53"/>
      <c r="C491" s="54"/>
      <c r="T491" s="54"/>
      <c r="AM491" s="50"/>
      <c r="AN491" s="50"/>
    </row>
    <row r="492" spans="1:40" x14ac:dyDescent="0.25">
      <c r="A492" s="53"/>
      <c r="C492" s="54"/>
      <c r="T492" s="54"/>
      <c r="AM492" s="50"/>
      <c r="AN492" s="50"/>
    </row>
    <row r="493" spans="1:40" x14ac:dyDescent="0.25">
      <c r="AM493" s="50"/>
      <c r="AN493" s="50"/>
    </row>
    <row r="494" spans="1:40" x14ac:dyDescent="0.25">
      <c r="A494" s="53"/>
      <c r="C494" s="54"/>
      <c r="F494" s="449"/>
      <c r="H494" s="449"/>
      <c r="I494" s="449"/>
      <c r="J494" s="477"/>
      <c r="K494" s="477"/>
      <c r="L494" s="379"/>
      <c r="M494" s="379"/>
      <c r="N494" s="50"/>
      <c r="O494" s="50"/>
      <c r="P494" s="379"/>
      <c r="Q494" s="379"/>
      <c r="R494" s="379"/>
      <c r="T494" s="54"/>
      <c r="V494" s="379"/>
      <c r="Y494" s="379"/>
      <c r="Z494" s="477"/>
      <c r="AA494" s="379"/>
      <c r="AB494" s="379"/>
      <c r="AC494" s="50"/>
      <c r="AD494" s="50"/>
      <c r="AE494" s="379"/>
      <c r="AF494" s="379"/>
      <c r="AG494" s="156"/>
      <c r="AH494" s="60"/>
      <c r="AI494" s="379"/>
      <c r="AJ494" s="379"/>
      <c r="AK494" s="156"/>
      <c r="AL494" s="379"/>
      <c r="AM494" s="50"/>
      <c r="AN494" s="50"/>
    </row>
    <row r="495" spans="1:40" x14ac:dyDescent="0.25">
      <c r="F495" s="381"/>
      <c r="H495" s="381"/>
      <c r="I495" s="381"/>
      <c r="J495" s="464"/>
      <c r="K495" s="464"/>
      <c r="L495" s="381"/>
      <c r="M495" s="381"/>
      <c r="N495" s="381"/>
      <c r="O495" s="381"/>
      <c r="P495" s="381"/>
      <c r="Q495" s="381"/>
      <c r="R495" s="381"/>
      <c r="V495" s="381"/>
      <c r="Y495" s="381"/>
      <c r="Z495" s="464"/>
      <c r="AA495" s="381"/>
      <c r="AB495" s="381"/>
      <c r="AC495" s="381"/>
      <c r="AD495" s="381"/>
      <c r="AE495" s="381"/>
      <c r="AF495" s="381"/>
      <c r="AI495" s="381"/>
      <c r="AJ495" s="381"/>
      <c r="AK495" s="162"/>
      <c r="AL495" s="381"/>
      <c r="AM495" s="50"/>
      <c r="AN495" s="50"/>
    </row>
    <row r="496" spans="1:40" x14ac:dyDescent="0.25">
      <c r="H496" s="379"/>
      <c r="I496" s="379"/>
      <c r="Y496" s="379"/>
      <c r="AM496" s="50"/>
      <c r="AN496" s="50"/>
    </row>
    <row r="497" spans="1:40" x14ac:dyDescent="0.25">
      <c r="A497" s="53"/>
      <c r="C497" s="54"/>
      <c r="F497" s="379"/>
      <c r="H497" s="379"/>
      <c r="I497" s="379"/>
      <c r="L497" s="379"/>
      <c r="M497" s="379"/>
      <c r="N497" s="50"/>
      <c r="O497" s="50"/>
      <c r="P497" s="449"/>
      <c r="Q497" s="449"/>
      <c r="R497" s="379"/>
      <c r="T497" s="54"/>
      <c r="V497" s="379"/>
      <c r="Y497" s="379"/>
      <c r="AA497" s="379"/>
      <c r="AB497" s="379"/>
      <c r="AC497" s="50"/>
      <c r="AD497" s="50"/>
      <c r="AE497" s="379"/>
      <c r="AF497" s="379"/>
      <c r="AG497" s="156"/>
      <c r="AH497" s="60"/>
      <c r="AI497" s="449"/>
      <c r="AJ497" s="449"/>
      <c r="AK497" s="156"/>
      <c r="AL497" s="379"/>
      <c r="AM497" s="50"/>
      <c r="AN497" s="50"/>
    </row>
    <row r="498" spans="1:40" x14ac:dyDescent="0.25">
      <c r="F498" s="381"/>
      <c r="H498" s="381"/>
      <c r="I498" s="381"/>
      <c r="J498" s="464"/>
      <c r="K498" s="464"/>
      <c r="L498" s="381"/>
      <c r="M498" s="381"/>
      <c r="N498" s="381"/>
      <c r="O498" s="381"/>
      <c r="P498" s="381"/>
      <c r="Q498" s="381"/>
      <c r="R498" s="381"/>
      <c r="V498" s="381"/>
      <c r="Y498" s="381"/>
      <c r="Z498" s="464"/>
      <c r="AA498" s="381"/>
      <c r="AB498" s="381"/>
      <c r="AC498" s="381"/>
      <c r="AD498" s="381"/>
      <c r="AE498" s="381"/>
      <c r="AF498" s="381"/>
      <c r="AI498" s="381"/>
      <c r="AJ498" s="381"/>
      <c r="AK498" s="162"/>
      <c r="AL498" s="381"/>
      <c r="AM498" s="50"/>
      <c r="AN498" s="50"/>
    </row>
    <row r="500" spans="1:40" x14ac:dyDescent="0.25">
      <c r="F500" s="379"/>
      <c r="H500" s="379"/>
      <c r="I500" s="379"/>
      <c r="J500" s="59"/>
      <c r="K500" s="59"/>
      <c r="L500" s="379"/>
      <c r="M500" s="379"/>
      <c r="N500" s="379"/>
      <c r="O500" s="379"/>
      <c r="P500" s="379"/>
      <c r="Q500" s="379"/>
      <c r="R500" s="379"/>
      <c r="V500" s="379"/>
      <c r="Y500" s="379"/>
      <c r="Z500" s="59"/>
      <c r="AA500" s="379"/>
      <c r="AB500" s="379"/>
      <c r="AC500" s="379"/>
      <c r="AD500" s="379"/>
      <c r="AE500" s="379"/>
      <c r="AF500" s="379"/>
      <c r="AG500" s="156"/>
      <c r="AH500" s="379"/>
      <c r="AI500" s="379"/>
      <c r="AJ500" s="379"/>
      <c r="AK500" s="156"/>
      <c r="AL500" s="379"/>
    </row>
    <row r="501" spans="1:40" x14ac:dyDescent="0.25">
      <c r="A501" s="54"/>
    </row>
    <row r="502" spans="1:40" x14ac:dyDescent="0.25">
      <c r="J502" s="53"/>
      <c r="K502" s="53"/>
      <c r="Z502" s="53"/>
    </row>
    <row r="503" spans="1:40" x14ac:dyDescent="0.25">
      <c r="H503" s="54"/>
      <c r="I503" s="54"/>
      <c r="Y503" s="54"/>
    </row>
    <row r="504" spans="1:40" x14ac:dyDescent="0.25">
      <c r="J504" s="53"/>
      <c r="K504" s="53"/>
      <c r="Z504" s="53"/>
    </row>
    <row r="505" spans="1:40" x14ac:dyDescent="0.25">
      <c r="L505" s="54"/>
      <c r="M505" s="54"/>
      <c r="AA505" s="54"/>
      <c r="AB505" s="54"/>
    </row>
    <row r="506" spans="1:40" x14ac:dyDescent="0.25">
      <c r="A506" s="53"/>
      <c r="R506" s="54"/>
      <c r="AK506" s="161"/>
      <c r="AL506" s="54"/>
    </row>
    <row r="507" spans="1:40" x14ac:dyDescent="0.25">
      <c r="A507" s="53"/>
      <c r="R507" s="54"/>
      <c r="AK507" s="161"/>
      <c r="AL507" s="54"/>
    </row>
    <row r="508" spans="1:40" x14ac:dyDescent="0.25">
      <c r="A508" s="54"/>
      <c r="R508" s="54"/>
      <c r="AK508" s="161"/>
      <c r="AL508" s="54"/>
    </row>
    <row r="509" spans="1:40" x14ac:dyDescent="0.25">
      <c r="L509" s="54"/>
      <c r="M509" s="54"/>
      <c r="R509" s="53"/>
      <c r="AA509" s="54"/>
      <c r="AB509" s="54"/>
      <c r="AK509" s="156"/>
      <c r="AL509" s="53"/>
    </row>
    <row r="510" spans="1:40" x14ac:dyDescent="0.25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154"/>
      <c r="AH510" s="55"/>
      <c r="AI510" s="55"/>
      <c r="AJ510" s="55"/>
      <c r="AK510" s="154"/>
      <c r="AL510" s="55"/>
      <c r="AM510" s="55"/>
      <c r="AN510" s="55"/>
    </row>
    <row r="511" spans="1:40" x14ac:dyDescent="0.25">
      <c r="L511" s="56"/>
      <c r="M511" s="56"/>
      <c r="N511" s="56"/>
      <c r="O511" s="56"/>
      <c r="R511" s="56"/>
      <c r="AA511" s="56"/>
      <c r="AB511" s="56"/>
      <c r="AC511" s="56"/>
      <c r="AD511" s="56"/>
      <c r="AE511" s="56"/>
      <c r="AF511" s="56"/>
      <c r="AG511" s="155"/>
      <c r="AH511" s="56"/>
      <c r="AK511" s="155"/>
      <c r="AL511" s="56"/>
      <c r="AM511" s="56"/>
      <c r="AN511" s="56"/>
    </row>
    <row r="512" spans="1:40" x14ac:dyDescent="0.25">
      <c r="L512" s="56"/>
      <c r="M512" s="56"/>
      <c r="N512" s="56"/>
      <c r="O512" s="56"/>
      <c r="R512" s="56"/>
      <c r="Z512" s="56"/>
      <c r="AA512" s="56"/>
      <c r="AB512" s="56"/>
      <c r="AC512" s="56"/>
      <c r="AD512" s="56"/>
      <c r="AE512" s="56"/>
      <c r="AF512" s="56"/>
      <c r="AG512" s="155"/>
      <c r="AH512" s="56"/>
      <c r="AK512" s="155"/>
      <c r="AL512" s="56"/>
      <c r="AM512" s="56"/>
      <c r="AN512" s="56"/>
    </row>
    <row r="513" spans="1:40" x14ac:dyDescent="0.25">
      <c r="A513" s="56"/>
      <c r="C513" s="56"/>
      <c r="D513" s="56"/>
      <c r="E513" s="56"/>
      <c r="F513" s="56"/>
      <c r="J513" s="56"/>
      <c r="K513" s="56"/>
      <c r="L513" s="56"/>
      <c r="M513" s="56"/>
      <c r="N513" s="56"/>
      <c r="O513" s="56"/>
      <c r="P513" s="56"/>
      <c r="Q513" s="56"/>
      <c r="R513" s="56"/>
      <c r="T513" s="56"/>
      <c r="U513" s="56"/>
      <c r="V513" s="56"/>
      <c r="Z513" s="56"/>
      <c r="AA513" s="56"/>
      <c r="AB513" s="56"/>
      <c r="AC513" s="56"/>
      <c r="AD513" s="56"/>
      <c r="AE513" s="56"/>
      <c r="AF513" s="56"/>
      <c r="AG513" s="155"/>
      <c r="AH513" s="56"/>
      <c r="AI513" s="56"/>
      <c r="AJ513" s="56"/>
      <c r="AK513" s="155"/>
      <c r="AL513" s="56"/>
      <c r="AM513" s="56"/>
      <c r="AN513" s="56"/>
    </row>
    <row r="514" spans="1:40" x14ac:dyDescent="0.25">
      <c r="A514" s="56"/>
      <c r="C514" s="56"/>
      <c r="D514" s="56"/>
      <c r="E514" s="56"/>
      <c r="F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T514" s="56"/>
      <c r="U514" s="56"/>
      <c r="V514" s="56"/>
      <c r="Y514" s="56"/>
      <c r="Z514" s="56"/>
      <c r="AA514" s="56"/>
      <c r="AB514" s="56"/>
      <c r="AC514" s="56"/>
      <c r="AD514" s="56"/>
      <c r="AE514" s="56"/>
      <c r="AF514" s="56"/>
      <c r="AG514" s="155"/>
      <c r="AH514" s="56"/>
      <c r="AI514" s="56"/>
      <c r="AJ514" s="56"/>
      <c r="AK514" s="155"/>
      <c r="AL514" s="56"/>
      <c r="AM514" s="56"/>
      <c r="AN514" s="56"/>
    </row>
    <row r="515" spans="1:40" x14ac:dyDescent="0.25">
      <c r="C515" s="56"/>
      <c r="D515" s="56"/>
      <c r="E515" s="56"/>
      <c r="F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T515" s="56"/>
      <c r="U515" s="56"/>
      <c r="V515" s="56"/>
      <c r="Y515" s="56"/>
      <c r="Z515" s="56"/>
      <c r="AA515" s="56"/>
      <c r="AB515" s="56"/>
      <c r="AC515" s="56"/>
      <c r="AD515" s="56"/>
      <c r="AE515" s="56"/>
      <c r="AF515" s="56"/>
      <c r="AG515" s="155"/>
      <c r="AH515" s="56"/>
      <c r="AI515" s="56"/>
      <c r="AJ515" s="56"/>
      <c r="AK515" s="155"/>
      <c r="AL515" s="56"/>
      <c r="AM515" s="56"/>
      <c r="AN515" s="56"/>
    </row>
    <row r="516" spans="1:40" x14ac:dyDescent="0.25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154"/>
      <c r="AH516" s="55"/>
      <c r="AI516" s="55"/>
      <c r="AJ516" s="55"/>
      <c r="AK516" s="154"/>
      <c r="AL516" s="55"/>
      <c r="AM516" s="55"/>
      <c r="AN516" s="55"/>
    </row>
    <row r="517" spans="1:40" x14ac:dyDescent="0.25"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Y517" s="56"/>
      <c r="Z517" s="56"/>
      <c r="AA517" s="56"/>
      <c r="AB517" s="56"/>
      <c r="AC517" s="56"/>
      <c r="AD517" s="56"/>
      <c r="AE517" s="56"/>
      <c r="AF517" s="56"/>
      <c r="AG517" s="155"/>
      <c r="AH517" s="56"/>
      <c r="AI517" s="56"/>
      <c r="AJ517" s="56"/>
      <c r="AK517" s="155"/>
      <c r="AL517" s="56"/>
      <c r="AM517" s="56"/>
      <c r="AN517" s="56"/>
    </row>
    <row r="518" spans="1:40" x14ac:dyDescent="0.25">
      <c r="A518" s="53"/>
      <c r="C518" s="54"/>
      <c r="D518" s="54"/>
      <c r="E518" s="54"/>
      <c r="T518" s="54"/>
      <c r="U518" s="54"/>
      <c r="V518" s="379"/>
      <c r="W518" s="379"/>
      <c r="X518" s="379"/>
      <c r="Y518" s="379"/>
      <c r="Z518" s="477"/>
    </row>
    <row r="520" spans="1:40" x14ac:dyDescent="0.25">
      <c r="A520" s="53"/>
      <c r="C520" s="54"/>
      <c r="T520" s="54"/>
      <c r="V520" s="379"/>
      <c r="W520" s="379"/>
      <c r="X520" s="379"/>
      <c r="Y520" s="379"/>
      <c r="Z520" s="477"/>
    </row>
    <row r="521" spans="1:40" x14ac:dyDescent="0.25">
      <c r="A521" s="53"/>
      <c r="C521" s="54"/>
      <c r="F521" s="449"/>
      <c r="H521" s="449"/>
      <c r="I521" s="449"/>
      <c r="J521" s="221"/>
      <c r="K521" s="221"/>
      <c r="L521" s="379"/>
      <c r="M521" s="379"/>
      <c r="N521" s="50"/>
      <c r="O521" s="50"/>
      <c r="P521" s="379"/>
      <c r="Q521" s="379"/>
      <c r="R521" s="379"/>
      <c r="T521" s="54"/>
      <c r="V521" s="379"/>
      <c r="W521" s="379"/>
      <c r="X521" s="379"/>
      <c r="Y521" s="379"/>
      <c r="Z521" s="221"/>
      <c r="AA521" s="379"/>
      <c r="AB521" s="379"/>
      <c r="AC521" s="50"/>
      <c r="AD521" s="50"/>
      <c r="AE521" s="379"/>
      <c r="AF521" s="379"/>
      <c r="AG521" s="156"/>
      <c r="AH521" s="60"/>
      <c r="AI521" s="379"/>
      <c r="AJ521" s="379"/>
      <c r="AK521" s="156"/>
      <c r="AL521" s="379"/>
      <c r="AM521" s="50"/>
      <c r="AN521" s="50"/>
    </row>
    <row r="522" spans="1:40" x14ac:dyDescent="0.25">
      <c r="A522" s="53"/>
      <c r="C522" s="54"/>
      <c r="F522" s="449"/>
      <c r="H522" s="449"/>
      <c r="I522" s="449"/>
      <c r="J522" s="221"/>
      <c r="K522" s="221"/>
      <c r="L522" s="379"/>
      <c r="M522" s="379"/>
      <c r="N522" s="50"/>
      <c r="O522" s="50"/>
      <c r="P522" s="379"/>
      <c r="Q522" s="379"/>
      <c r="R522" s="379"/>
      <c r="T522" s="54"/>
      <c r="V522" s="379"/>
      <c r="W522" s="379"/>
      <c r="X522" s="379"/>
      <c r="Y522" s="379"/>
      <c r="Z522" s="221"/>
      <c r="AA522" s="379"/>
      <c r="AB522" s="379"/>
      <c r="AC522" s="50"/>
      <c r="AD522" s="50"/>
      <c r="AE522" s="379"/>
      <c r="AF522" s="379"/>
      <c r="AG522" s="156"/>
      <c r="AH522" s="60"/>
      <c r="AI522" s="379"/>
      <c r="AJ522" s="379"/>
      <c r="AK522" s="156"/>
      <c r="AL522" s="379"/>
      <c r="AM522" s="50"/>
      <c r="AN522" s="50"/>
    </row>
    <row r="523" spans="1:40" x14ac:dyDescent="0.25">
      <c r="A523" s="53"/>
      <c r="C523" s="54"/>
      <c r="F523" s="449"/>
      <c r="H523" s="449"/>
      <c r="I523" s="449"/>
      <c r="J523" s="221"/>
      <c r="K523" s="221"/>
      <c r="L523" s="379"/>
      <c r="M523" s="379"/>
      <c r="N523" s="50"/>
      <c r="O523" s="50"/>
      <c r="P523" s="379"/>
      <c r="Q523" s="379"/>
      <c r="R523" s="379"/>
      <c r="T523" s="54"/>
      <c r="V523" s="379"/>
      <c r="W523" s="379"/>
      <c r="X523" s="379"/>
      <c r="Y523" s="379"/>
      <c r="Z523" s="221"/>
      <c r="AA523" s="379"/>
      <c r="AB523" s="379"/>
      <c r="AC523" s="50"/>
      <c r="AD523" s="50"/>
      <c r="AE523" s="379"/>
      <c r="AF523" s="379"/>
      <c r="AG523" s="156"/>
      <c r="AH523" s="60"/>
      <c r="AI523" s="379"/>
      <c r="AJ523" s="379"/>
      <c r="AK523" s="156"/>
      <c r="AL523" s="379"/>
      <c r="AM523" s="50"/>
      <c r="AN523" s="50"/>
    </row>
    <row r="524" spans="1:40" x14ac:dyDescent="0.25">
      <c r="A524" s="53"/>
      <c r="C524" s="54"/>
      <c r="F524" s="449"/>
      <c r="H524" s="449"/>
      <c r="I524" s="449"/>
      <c r="J524" s="221"/>
      <c r="K524" s="221"/>
      <c r="L524" s="379"/>
      <c r="M524" s="379"/>
      <c r="N524" s="50"/>
      <c r="O524" s="50"/>
      <c r="P524" s="379"/>
      <c r="Q524" s="379"/>
      <c r="R524" s="379"/>
      <c r="T524" s="54"/>
      <c r="V524" s="379"/>
      <c r="W524" s="379"/>
      <c r="X524" s="379"/>
      <c r="Y524" s="379"/>
      <c r="Z524" s="221"/>
      <c r="AA524" s="379"/>
      <c r="AB524" s="379"/>
      <c r="AC524" s="50"/>
      <c r="AD524" s="50"/>
      <c r="AE524" s="379"/>
      <c r="AF524" s="379"/>
      <c r="AG524" s="156"/>
      <c r="AH524" s="60"/>
      <c r="AI524" s="379"/>
      <c r="AJ524" s="379"/>
      <c r="AK524" s="156"/>
      <c r="AL524" s="379"/>
      <c r="AM524" s="50"/>
      <c r="AN524" s="50"/>
    </row>
    <row r="525" spans="1:40" x14ac:dyDescent="0.25">
      <c r="J525" s="65"/>
      <c r="K525" s="65"/>
      <c r="V525" s="379"/>
      <c r="W525" s="379"/>
      <c r="X525" s="379"/>
      <c r="Y525" s="379"/>
      <c r="Z525" s="221"/>
    </row>
    <row r="526" spans="1:40" x14ac:dyDescent="0.25">
      <c r="A526" s="53"/>
      <c r="C526" s="54"/>
      <c r="F526" s="449"/>
      <c r="H526" s="449"/>
      <c r="I526" s="449"/>
      <c r="J526" s="221"/>
      <c r="K526" s="221"/>
      <c r="L526" s="379"/>
      <c r="M526" s="379"/>
      <c r="N526" s="50"/>
      <c r="O526" s="50"/>
      <c r="P526" s="379"/>
      <c r="Q526" s="379"/>
      <c r="R526" s="379"/>
      <c r="T526" s="54"/>
      <c r="V526" s="379"/>
      <c r="W526" s="379"/>
      <c r="X526" s="379"/>
      <c r="Y526" s="379"/>
      <c r="Z526" s="221"/>
      <c r="AA526" s="379"/>
      <c r="AB526" s="379"/>
      <c r="AC526" s="50"/>
      <c r="AD526" s="50"/>
      <c r="AE526" s="379"/>
      <c r="AF526" s="379"/>
      <c r="AG526" s="156"/>
      <c r="AH526" s="60"/>
      <c r="AI526" s="379"/>
      <c r="AJ526" s="379"/>
      <c r="AK526" s="156"/>
      <c r="AL526" s="379"/>
      <c r="AM526" s="60"/>
      <c r="AN526" s="60"/>
    </row>
    <row r="527" spans="1:40" x14ac:dyDescent="0.25">
      <c r="A527" s="53"/>
      <c r="C527" s="54"/>
      <c r="J527" s="65"/>
      <c r="K527" s="65"/>
      <c r="T527" s="54"/>
      <c r="V527" s="379"/>
      <c r="W527" s="379"/>
      <c r="X527" s="379"/>
      <c r="Y527" s="379"/>
      <c r="Z527" s="221"/>
    </row>
    <row r="528" spans="1:40" x14ac:dyDescent="0.25">
      <c r="A528" s="53"/>
      <c r="C528" s="54"/>
      <c r="F528" s="449"/>
      <c r="H528" s="449"/>
      <c r="I528" s="449"/>
      <c r="J528" s="221"/>
      <c r="K528" s="221"/>
      <c r="L528" s="379"/>
      <c r="M528" s="379"/>
      <c r="N528" s="50"/>
      <c r="O528" s="50"/>
      <c r="P528" s="379"/>
      <c r="Q528" s="379"/>
      <c r="R528" s="379"/>
      <c r="T528" s="54"/>
      <c r="V528" s="379"/>
      <c r="W528" s="379"/>
      <c r="X528" s="379"/>
      <c r="Y528" s="379"/>
      <c r="Z528" s="221"/>
      <c r="AA528" s="379"/>
      <c r="AB528" s="379"/>
      <c r="AC528" s="50"/>
      <c r="AD528" s="50"/>
      <c r="AE528" s="379"/>
      <c r="AF528" s="379"/>
      <c r="AG528" s="156"/>
      <c r="AH528" s="60"/>
      <c r="AI528" s="379"/>
      <c r="AJ528" s="379"/>
      <c r="AK528" s="156"/>
      <c r="AL528" s="379"/>
      <c r="AM528" s="60"/>
      <c r="AN528" s="60"/>
    </row>
    <row r="529" spans="1:40" x14ac:dyDescent="0.25">
      <c r="J529" s="65"/>
      <c r="K529" s="65"/>
      <c r="Z529" s="65"/>
    </row>
    <row r="530" spans="1:40" x14ac:dyDescent="0.25">
      <c r="A530" s="53"/>
      <c r="C530" s="54"/>
      <c r="J530" s="65"/>
      <c r="K530" s="65"/>
      <c r="T530" s="54"/>
      <c r="V530" s="379"/>
      <c r="W530" s="379"/>
      <c r="X530" s="379"/>
      <c r="Y530" s="379"/>
      <c r="Z530" s="221"/>
    </row>
    <row r="531" spans="1:40" x14ac:dyDescent="0.25">
      <c r="A531" s="53"/>
      <c r="C531" s="54"/>
      <c r="F531" s="449"/>
      <c r="H531" s="449"/>
      <c r="I531" s="449"/>
      <c r="J531" s="221"/>
      <c r="K531" s="221"/>
      <c r="L531" s="379"/>
      <c r="M531" s="379"/>
      <c r="N531" s="50"/>
      <c r="O531" s="50"/>
      <c r="P531" s="379"/>
      <c r="Q531" s="379"/>
      <c r="R531" s="379"/>
      <c r="T531" s="54"/>
      <c r="V531" s="379"/>
      <c r="W531" s="379"/>
      <c r="X531" s="379"/>
      <c r="Y531" s="379"/>
      <c r="Z531" s="221"/>
      <c r="AA531" s="379"/>
      <c r="AB531" s="379"/>
      <c r="AC531" s="50"/>
      <c r="AD531" s="50"/>
      <c r="AE531" s="379"/>
      <c r="AF531" s="379"/>
      <c r="AG531" s="156"/>
      <c r="AH531" s="60"/>
      <c r="AI531" s="379"/>
      <c r="AJ531" s="379"/>
      <c r="AK531" s="156"/>
      <c r="AL531" s="379"/>
      <c r="AM531" s="60"/>
      <c r="AN531" s="60"/>
    </row>
    <row r="532" spans="1:40" x14ac:dyDescent="0.25">
      <c r="A532" s="53"/>
      <c r="C532" s="54"/>
      <c r="F532" s="449"/>
      <c r="H532" s="449"/>
      <c r="I532" s="449"/>
      <c r="J532" s="221"/>
      <c r="K532" s="221"/>
      <c r="L532" s="379"/>
      <c r="M532" s="379"/>
      <c r="N532" s="50"/>
      <c r="O532" s="50"/>
      <c r="P532" s="379"/>
      <c r="Q532" s="379"/>
      <c r="R532" s="379"/>
      <c r="T532" s="54"/>
      <c r="V532" s="379"/>
      <c r="W532" s="379"/>
      <c r="X532" s="379"/>
      <c r="Y532" s="379"/>
      <c r="Z532" s="221"/>
      <c r="AA532" s="379"/>
      <c r="AB532" s="379"/>
      <c r="AC532" s="50"/>
      <c r="AD532" s="50"/>
      <c r="AE532" s="379"/>
      <c r="AF532" s="379"/>
      <c r="AG532" s="156"/>
      <c r="AH532" s="60"/>
      <c r="AI532" s="379"/>
      <c r="AJ532" s="379"/>
      <c r="AK532" s="156"/>
      <c r="AL532" s="379"/>
      <c r="AM532" s="60"/>
      <c r="AN532" s="60"/>
    </row>
    <row r="533" spans="1:40" x14ac:dyDescent="0.25">
      <c r="F533" s="381"/>
      <c r="H533" s="381"/>
      <c r="I533" s="381"/>
      <c r="J533" s="221"/>
      <c r="K533" s="221"/>
      <c r="L533" s="381"/>
      <c r="M533" s="381"/>
      <c r="N533" s="381"/>
      <c r="O533" s="381"/>
      <c r="P533" s="381"/>
      <c r="Q533" s="381"/>
      <c r="R533" s="381"/>
      <c r="V533" s="381"/>
      <c r="Y533" s="381"/>
      <c r="Z533" s="464"/>
      <c r="AA533" s="381"/>
      <c r="AB533" s="381"/>
      <c r="AC533" s="381"/>
      <c r="AD533" s="381"/>
      <c r="AE533" s="381"/>
      <c r="AF533" s="381"/>
      <c r="AI533" s="381"/>
      <c r="AJ533" s="381"/>
      <c r="AK533" s="162"/>
      <c r="AL533" s="381"/>
    </row>
    <row r="534" spans="1:40" x14ac:dyDescent="0.25">
      <c r="A534" s="53"/>
      <c r="C534" s="54"/>
      <c r="F534" s="379"/>
      <c r="H534" s="379"/>
      <c r="I534" s="379"/>
      <c r="L534" s="379"/>
      <c r="M534" s="379"/>
      <c r="N534" s="50"/>
      <c r="O534" s="50"/>
      <c r="P534" s="449"/>
      <c r="Q534" s="449"/>
      <c r="R534" s="379"/>
      <c r="T534" s="54"/>
      <c r="V534" s="379"/>
      <c r="W534" s="379"/>
      <c r="X534" s="379"/>
      <c r="Y534" s="379"/>
      <c r="Z534" s="477"/>
      <c r="AA534" s="379"/>
      <c r="AB534" s="379"/>
      <c r="AC534" s="50"/>
      <c r="AD534" s="50"/>
      <c r="AE534" s="379"/>
      <c r="AF534" s="379"/>
      <c r="AG534" s="156"/>
      <c r="AH534" s="60"/>
      <c r="AI534" s="449"/>
      <c r="AJ534" s="449"/>
      <c r="AK534" s="156"/>
      <c r="AL534" s="379"/>
      <c r="AM534" s="60"/>
      <c r="AN534" s="60"/>
    </row>
    <row r="535" spans="1:40" x14ac:dyDescent="0.25">
      <c r="F535" s="381"/>
      <c r="H535" s="381"/>
      <c r="I535" s="381"/>
      <c r="J535" s="464"/>
      <c r="K535" s="464"/>
      <c r="L535" s="381"/>
      <c r="M535" s="381"/>
      <c r="N535" s="381"/>
      <c r="O535" s="381"/>
      <c r="P535" s="381"/>
      <c r="Q535" s="381"/>
      <c r="R535" s="381"/>
      <c r="V535" s="381"/>
      <c r="Y535" s="381"/>
      <c r="Z535" s="464"/>
      <c r="AA535" s="381"/>
      <c r="AB535" s="381"/>
      <c r="AC535" s="381"/>
      <c r="AD535" s="381"/>
      <c r="AE535" s="381"/>
      <c r="AF535" s="381"/>
      <c r="AI535" s="381"/>
      <c r="AJ535" s="381"/>
      <c r="AK535" s="162"/>
      <c r="AL535" s="381"/>
    </row>
    <row r="537" spans="1:40" x14ac:dyDescent="0.25">
      <c r="C537" s="53"/>
      <c r="T537" s="53"/>
    </row>
    <row r="538" spans="1:40" x14ac:dyDescent="0.25">
      <c r="A538" s="54"/>
    </row>
    <row r="539" spans="1:40" x14ac:dyDescent="0.25">
      <c r="J539" s="53"/>
      <c r="K539" s="53"/>
      <c r="Z539" s="53"/>
    </row>
    <row r="540" spans="1:40" x14ac:dyDescent="0.25">
      <c r="H540" s="54"/>
      <c r="I540" s="54"/>
      <c r="Y540" s="54"/>
    </row>
    <row r="541" spans="1:40" x14ac:dyDescent="0.25">
      <c r="J541" s="53"/>
      <c r="K541" s="53"/>
      <c r="Z541" s="53"/>
    </row>
    <row r="542" spans="1:40" x14ac:dyDescent="0.25">
      <c r="L542" s="54"/>
      <c r="M542" s="54"/>
      <c r="AA542" s="54"/>
      <c r="AB542" s="54"/>
    </row>
    <row r="543" spans="1:40" x14ac:dyDescent="0.25">
      <c r="A543" s="53"/>
      <c r="R543" s="54"/>
      <c r="AK543" s="161"/>
      <c r="AL543" s="54"/>
    </row>
    <row r="544" spans="1:40" x14ac:dyDescent="0.25">
      <c r="A544" s="53"/>
      <c r="R544" s="54"/>
      <c r="AK544" s="161"/>
      <c r="AL544" s="54"/>
    </row>
    <row r="545" spans="1:40" x14ac:dyDescent="0.25">
      <c r="A545" s="54"/>
      <c r="R545" s="54"/>
      <c r="AK545" s="161"/>
      <c r="AL545" s="54"/>
    </row>
    <row r="546" spans="1:40" x14ac:dyDescent="0.25">
      <c r="L546" s="54"/>
      <c r="M546" s="54"/>
      <c r="R546" s="53"/>
      <c r="AA546" s="54"/>
      <c r="AB546" s="54"/>
      <c r="AK546" s="156"/>
      <c r="AL546" s="53"/>
    </row>
    <row r="547" spans="1:40" x14ac:dyDescent="0.25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154"/>
      <c r="AH547" s="55"/>
      <c r="AI547" s="55"/>
      <c r="AJ547" s="55"/>
      <c r="AK547" s="154"/>
      <c r="AL547" s="55"/>
      <c r="AM547" s="55"/>
      <c r="AN547" s="55"/>
    </row>
    <row r="548" spans="1:40" x14ac:dyDescent="0.25">
      <c r="L548" s="56"/>
      <c r="M548" s="56"/>
      <c r="N548" s="56"/>
      <c r="O548" s="56"/>
      <c r="R548" s="56"/>
      <c r="AA548" s="56"/>
      <c r="AB548" s="56"/>
      <c r="AC548" s="56"/>
      <c r="AD548" s="56"/>
      <c r="AE548" s="56"/>
      <c r="AF548" s="56"/>
      <c r="AG548" s="155"/>
      <c r="AH548" s="56"/>
      <c r="AK548" s="155"/>
      <c r="AL548" s="56"/>
      <c r="AM548" s="56"/>
      <c r="AN548" s="56"/>
    </row>
    <row r="549" spans="1:40" x14ac:dyDescent="0.25">
      <c r="L549" s="56"/>
      <c r="M549" s="56"/>
      <c r="N549" s="56"/>
      <c r="O549" s="56"/>
      <c r="R549" s="56"/>
      <c r="Z549" s="56"/>
      <c r="AA549" s="56"/>
      <c r="AB549" s="56"/>
      <c r="AC549" s="56"/>
      <c r="AD549" s="56"/>
      <c r="AE549" s="56"/>
      <c r="AF549" s="56"/>
      <c r="AG549" s="155"/>
      <c r="AH549" s="56"/>
      <c r="AK549" s="155"/>
      <c r="AL549" s="56"/>
      <c r="AM549" s="56"/>
      <c r="AN549" s="56"/>
    </row>
    <row r="550" spans="1:40" x14ac:dyDescent="0.25">
      <c r="A550" s="56"/>
      <c r="C550" s="56"/>
      <c r="D550" s="56"/>
      <c r="E550" s="56"/>
      <c r="F550" s="56"/>
      <c r="J550" s="56"/>
      <c r="K550" s="56"/>
      <c r="L550" s="56"/>
      <c r="M550" s="56"/>
      <c r="N550" s="56"/>
      <c r="O550" s="56"/>
      <c r="P550" s="56"/>
      <c r="Q550" s="56"/>
      <c r="R550" s="56"/>
      <c r="T550" s="56"/>
      <c r="U550" s="56"/>
      <c r="V550" s="56"/>
      <c r="Z550" s="56"/>
      <c r="AA550" s="56"/>
      <c r="AB550" s="56"/>
      <c r="AC550" s="56"/>
      <c r="AD550" s="56"/>
      <c r="AE550" s="56"/>
      <c r="AF550" s="56"/>
      <c r="AG550" s="155"/>
      <c r="AH550" s="56"/>
      <c r="AI550" s="56"/>
      <c r="AJ550" s="56"/>
      <c r="AK550" s="155"/>
      <c r="AL550" s="56"/>
      <c r="AM550" s="56"/>
      <c r="AN550" s="56"/>
    </row>
    <row r="551" spans="1:40" x14ac:dyDescent="0.25">
      <c r="A551" s="56"/>
      <c r="C551" s="56"/>
      <c r="D551" s="56"/>
      <c r="E551" s="56"/>
      <c r="F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T551" s="56"/>
      <c r="U551" s="56"/>
      <c r="V551" s="56"/>
      <c r="Y551" s="56"/>
      <c r="Z551" s="56"/>
      <c r="AA551" s="56"/>
      <c r="AB551" s="56"/>
      <c r="AC551" s="56"/>
      <c r="AD551" s="56"/>
      <c r="AE551" s="56"/>
      <c r="AF551" s="56"/>
      <c r="AG551" s="155"/>
      <c r="AH551" s="56"/>
      <c r="AI551" s="56"/>
      <c r="AJ551" s="56"/>
      <c r="AK551" s="155"/>
      <c r="AL551" s="56"/>
      <c r="AM551" s="56"/>
      <c r="AN551" s="56"/>
    </row>
    <row r="552" spans="1:40" x14ac:dyDescent="0.25">
      <c r="C552" s="56"/>
      <c r="D552" s="56"/>
      <c r="E552" s="56"/>
      <c r="F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T552" s="56"/>
      <c r="U552" s="56"/>
      <c r="V552" s="56"/>
      <c r="Y552" s="56"/>
      <c r="Z552" s="56"/>
      <c r="AA552" s="56"/>
      <c r="AB552" s="56"/>
      <c r="AC552" s="56"/>
      <c r="AD552" s="56"/>
      <c r="AE552" s="56"/>
      <c r="AF552" s="56"/>
      <c r="AG552" s="155"/>
      <c r="AH552" s="56"/>
      <c r="AI552" s="56"/>
      <c r="AJ552" s="56"/>
      <c r="AK552" s="155"/>
      <c r="AL552" s="56"/>
      <c r="AM552" s="56"/>
      <c r="AN552" s="56"/>
    </row>
    <row r="553" spans="1:40" x14ac:dyDescent="0.25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154"/>
      <c r="AH553" s="55"/>
      <c r="AI553" s="55"/>
      <c r="AJ553" s="55"/>
      <c r="AK553" s="154"/>
      <c r="AL553" s="55"/>
      <c r="AM553" s="55"/>
      <c r="AN553" s="55"/>
    </row>
    <row r="554" spans="1:40" x14ac:dyDescent="0.25"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Y554" s="56"/>
      <c r="Z554" s="56"/>
      <c r="AA554" s="56"/>
      <c r="AB554" s="56"/>
      <c r="AC554" s="56"/>
      <c r="AD554" s="56"/>
      <c r="AE554" s="56"/>
      <c r="AF554" s="56"/>
      <c r="AG554" s="155"/>
      <c r="AH554" s="56"/>
      <c r="AI554" s="56"/>
      <c r="AJ554" s="56"/>
      <c r="AK554" s="155"/>
      <c r="AL554" s="56"/>
      <c r="AM554" s="56"/>
      <c r="AN554" s="56"/>
    </row>
    <row r="555" spans="1:40" x14ac:dyDescent="0.25">
      <c r="A555" s="53"/>
      <c r="C555" s="54"/>
      <c r="D555" s="54"/>
      <c r="E555" s="54"/>
      <c r="T555" s="54"/>
      <c r="U555" s="54"/>
    </row>
    <row r="557" spans="1:40" x14ac:dyDescent="0.25">
      <c r="A557" s="53"/>
      <c r="C557" s="54"/>
      <c r="T557" s="54"/>
    </row>
    <row r="558" spans="1:40" x14ac:dyDescent="0.25">
      <c r="A558" s="53"/>
      <c r="C558" s="54"/>
      <c r="T558" s="54"/>
    </row>
    <row r="559" spans="1:40" x14ac:dyDescent="0.25">
      <c r="A559" s="53"/>
      <c r="C559" s="54"/>
      <c r="F559" s="449"/>
      <c r="H559" s="449"/>
      <c r="I559" s="449"/>
      <c r="J559" s="221"/>
      <c r="K559" s="221"/>
      <c r="L559" s="379"/>
      <c r="M559" s="379"/>
      <c r="N559" s="50"/>
      <c r="O559" s="50"/>
      <c r="P559" s="379"/>
      <c r="Q559" s="379"/>
      <c r="R559" s="379"/>
      <c r="T559" s="54"/>
      <c r="V559" s="379"/>
      <c r="W559" s="379"/>
      <c r="X559" s="379"/>
      <c r="Y559" s="379"/>
      <c r="Z559" s="221"/>
      <c r="AA559" s="379"/>
      <c r="AB559" s="379"/>
      <c r="AC559" s="50"/>
      <c r="AD559" s="50"/>
      <c r="AE559" s="379"/>
      <c r="AF559" s="379"/>
      <c r="AG559" s="156"/>
      <c r="AH559" s="60"/>
      <c r="AI559" s="379"/>
      <c r="AJ559" s="379"/>
      <c r="AK559" s="156"/>
      <c r="AL559" s="379"/>
      <c r="AM559" s="60"/>
      <c r="AN559" s="60"/>
    </row>
    <row r="560" spans="1:40" x14ac:dyDescent="0.25">
      <c r="A560" s="53"/>
      <c r="C560" s="54"/>
      <c r="F560" s="379"/>
      <c r="H560" s="379"/>
      <c r="I560" s="379"/>
      <c r="J560" s="65"/>
      <c r="K560" s="65"/>
      <c r="L560" s="379"/>
      <c r="M560" s="379"/>
      <c r="N560" s="50"/>
      <c r="O560" s="50"/>
      <c r="P560" s="379"/>
      <c r="Q560" s="379"/>
      <c r="R560" s="379"/>
      <c r="T560" s="54"/>
      <c r="V560" s="379"/>
      <c r="W560" s="379"/>
      <c r="X560" s="379"/>
      <c r="Y560" s="379"/>
      <c r="Z560" s="65"/>
      <c r="AA560" s="379"/>
      <c r="AB560" s="379"/>
      <c r="AC560" s="50"/>
      <c r="AD560" s="50"/>
      <c r="AE560" s="379"/>
      <c r="AF560" s="379"/>
      <c r="AG560" s="156"/>
      <c r="AH560" s="60"/>
      <c r="AI560" s="379"/>
      <c r="AJ560" s="379"/>
      <c r="AK560" s="156"/>
      <c r="AL560" s="379"/>
      <c r="AM560" s="60"/>
      <c r="AN560" s="60"/>
    </row>
    <row r="561" spans="1:40" x14ac:dyDescent="0.25">
      <c r="A561" s="53"/>
      <c r="C561" s="54"/>
      <c r="F561" s="379"/>
      <c r="H561" s="379"/>
      <c r="I561" s="379"/>
      <c r="J561" s="65"/>
      <c r="K561" s="65"/>
      <c r="L561" s="379"/>
      <c r="M561" s="379"/>
      <c r="N561" s="50"/>
      <c r="O561" s="50"/>
      <c r="P561" s="379"/>
      <c r="Q561" s="379"/>
      <c r="R561" s="379"/>
      <c r="T561" s="54"/>
      <c r="V561" s="379"/>
      <c r="W561" s="379"/>
      <c r="X561" s="379"/>
      <c r="Y561" s="379"/>
      <c r="Z561" s="65"/>
      <c r="AA561" s="379"/>
      <c r="AB561" s="379"/>
      <c r="AC561" s="50"/>
      <c r="AD561" s="50"/>
      <c r="AE561" s="379"/>
      <c r="AF561" s="379"/>
      <c r="AG561" s="156"/>
      <c r="AH561" s="60"/>
      <c r="AI561" s="379"/>
      <c r="AJ561" s="379"/>
      <c r="AK561" s="156"/>
      <c r="AL561" s="379"/>
      <c r="AM561" s="60"/>
      <c r="AN561" s="60"/>
    </row>
    <row r="562" spans="1:40" x14ac:dyDescent="0.25">
      <c r="A562" s="53"/>
      <c r="C562" s="54"/>
      <c r="F562" s="379"/>
      <c r="H562" s="379"/>
      <c r="I562" s="379"/>
      <c r="J562" s="65"/>
      <c r="K562" s="65"/>
      <c r="T562" s="54"/>
      <c r="V562" s="379"/>
      <c r="Z562" s="65"/>
    </row>
    <row r="563" spans="1:40" x14ac:dyDescent="0.25">
      <c r="A563" s="53"/>
      <c r="C563" s="54"/>
      <c r="F563" s="449"/>
      <c r="H563" s="449"/>
      <c r="I563" s="449"/>
      <c r="J563" s="221"/>
      <c r="K563" s="221"/>
      <c r="L563" s="379"/>
      <c r="M563" s="379"/>
      <c r="N563" s="50"/>
      <c r="O563" s="50"/>
      <c r="P563" s="379"/>
      <c r="Q563" s="379"/>
      <c r="R563" s="379"/>
      <c r="T563" s="54"/>
      <c r="V563" s="379"/>
      <c r="W563" s="379"/>
      <c r="X563" s="379"/>
      <c r="Y563" s="379"/>
      <c r="Z563" s="221"/>
      <c r="AA563" s="379"/>
      <c r="AB563" s="379"/>
      <c r="AC563" s="50"/>
      <c r="AD563" s="50"/>
      <c r="AE563" s="379"/>
      <c r="AF563" s="379"/>
      <c r="AG563" s="156"/>
      <c r="AH563" s="60"/>
      <c r="AI563" s="379"/>
      <c r="AJ563" s="379"/>
      <c r="AK563" s="156"/>
      <c r="AL563" s="379"/>
      <c r="AM563" s="60"/>
      <c r="AN563" s="60"/>
    </row>
    <row r="564" spans="1:40" x14ac:dyDescent="0.25">
      <c r="A564" s="53"/>
      <c r="C564" s="54"/>
      <c r="F564" s="379"/>
      <c r="H564" s="379"/>
      <c r="I564" s="379"/>
      <c r="J564" s="65"/>
      <c r="K564" s="65"/>
      <c r="T564" s="54"/>
      <c r="V564" s="379"/>
      <c r="W564" s="379"/>
      <c r="X564" s="379"/>
      <c r="Y564" s="379"/>
      <c r="Z564" s="65"/>
      <c r="AC564" s="50"/>
      <c r="AD564" s="50"/>
      <c r="AE564" s="379"/>
      <c r="AF564" s="379"/>
      <c r="AG564" s="156"/>
      <c r="AH564" s="60"/>
      <c r="AI564" s="379"/>
      <c r="AJ564" s="379"/>
      <c r="AK564" s="156"/>
      <c r="AL564" s="379"/>
      <c r="AM564" s="60"/>
      <c r="AN564" s="60"/>
    </row>
    <row r="565" spans="1:40" x14ac:dyDescent="0.25">
      <c r="A565" s="53"/>
      <c r="C565" s="54"/>
      <c r="F565" s="449"/>
      <c r="H565" s="449"/>
      <c r="I565" s="449"/>
      <c r="J565" s="221"/>
      <c r="K565" s="221"/>
      <c r="L565" s="379"/>
      <c r="M565" s="379"/>
      <c r="N565" s="50"/>
      <c r="O565" s="50"/>
      <c r="P565" s="379"/>
      <c r="Q565" s="379"/>
      <c r="R565" s="379"/>
      <c r="T565" s="54"/>
      <c r="V565" s="379"/>
      <c r="W565" s="379"/>
      <c r="X565" s="379"/>
      <c r="Y565" s="379"/>
      <c r="Z565" s="221"/>
      <c r="AA565" s="379"/>
      <c r="AB565" s="379"/>
      <c r="AC565" s="50"/>
      <c r="AD565" s="50"/>
      <c r="AE565" s="379"/>
      <c r="AF565" s="379"/>
      <c r="AG565" s="156"/>
      <c r="AH565" s="60"/>
      <c r="AI565" s="379"/>
      <c r="AJ565" s="379"/>
      <c r="AK565" s="156"/>
      <c r="AL565" s="379"/>
      <c r="AM565" s="60"/>
      <c r="AN565" s="60"/>
    </row>
    <row r="566" spans="1:40" x14ac:dyDescent="0.25">
      <c r="A566" s="53"/>
      <c r="C566" s="54"/>
      <c r="F566" s="379"/>
      <c r="H566" s="379"/>
      <c r="I566" s="379"/>
      <c r="J566" s="65"/>
      <c r="K566" s="65"/>
      <c r="L566" s="379"/>
      <c r="M566" s="379"/>
      <c r="N566" s="50"/>
      <c r="O566" s="50"/>
      <c r="P566" s="379"/>
      <c r="Q566" s="379"/>
      <c r="R566" s="379"/>
      <c r="T566" s="54"/>
      <c r="V566" s="379"/>
      <c r="W566" s="379"/>
      <c r="X566" s="379"/>
      <c r="Y566" s="379"/>
      <c r="Z566" s="65"/>
      <c r="AA566" s="379"/>
      <c r="AB566" s="379"/>
      <c r="AC566" s="50"/>
      <c r="AD566" s="50"/>
      <c r="AE566" s="379"/>
      <c r="AF566" s="379"/>
      <c r="AG566" s="156"/>
      <c r="AH566" s="60"/>
      <c r="AI566" s="379"/>
      <c r="AJ566" s="379"/>
      <c r="AK566" s="156"/>
      <c r="AL566" s="379"/>
      <c r="AM566" s="60"/>
      <c r="AN566" s="60"/>
    </row>
    <row r="567" spans="1:40" x14ac:dyDescent="0.25">
      <c r="F567" s="379"/>
      <c r="H567" s="379"/>
      <c r="I567" s="379"/>
      <c r="J567" s="65"/>
      <c r="K567" s="65"/>
      <c r="Z567" s="65"/>
    </row>
    <row r="568" spans="1:40" x14ac:dyDescent="0.25">
      <c r="A568" s="53"/>
      <c r="C568" s="54"/>
      <c r="F568" s="379"/>
      <c r="H568" s="449"/>
      <c r="I568" s="449"/>
      <c r="J568" s="221"/>
      <c r="K568" s="221"/>
      <c r="L568" s="379"/>
      <c r="M568" s="379"/>
      <c r="N568" s="50"/>
      <c r="O568" s="50"/>
      <c r="P568" s="379"/>
      <c r="Q568" s="379"/>
      <c r="R568" s="379"/>
      <c r="T568" s="54"/>
      <c r="V568" s="379"/>
      <c r="W568" s="379"/>
      <c r="X568" s="379"/>
      <c r="Y568" s="379"/>
      <c r="Z568" s="221"/>
      <c r="AA568" s="379"/>
      <c r="AB568" s="379"/>
      <c r="AC568" s="50"/>
      <c r="AD568" s="50"/>
      <c r="AE568" s="379"/>
      <c r="AF568" s="379"/>
      <c r="AG568" s="156"/>
      <c r="AH568" s="60"/>
      <c r="AI568" s="379"/>
      <c r="AJ568" s="379"/>
      <c r="AK568" s="156"/>
      <c r="AL568" s="379"/>
      <c r="AM568" s="60"/>
      <c r="AN568" s="60"/>
    </row>
    <row r="569" spans="1:40" x14ac:dyDescent="0.25">
      <c r="F569" s="381"/>
      <c r="H569" s="381"/>
      <c r="I569" s="381"/>
      <c r="J569" s="221"/>
      <c r="K569" s="221"/>
      <c r="L569" s="381"/>
      <c r="M569" s="381"/>
      <c r="N569" s="381"/>
      <c r="O569" s="381"/>
      <c r="P569" s="381"/>
      <c r="Q569" s="381"/>
      <c r="R569" s="381"/>
      <c r="V569" s="381"/>
      <c r="Y569" s="381"/>
      <c r="Z569" s="221"/>
      <c r="AA569" s="381"/>
      <c r="AB569" s="381"/>
      <c r="AC569" s="381"/>
      <c r="AD569" s="381"/>
      <c r="AE569" s="381"/>
      <c r="AF569" s="381"/>
      <c r="AI569" s="381"/>
      <c r="AJ569" s="381"/>
      <c r="AK569" s="162"/>
      <c r="AL569" s="381"/>
    </row>
    <row r="570" spans="1:40" x14ac:dyDescent="0.25">
      <c r="A570" s="53"/>
      <c r="C570" s="54"/>
      <c r="F570" s="379"/>
      <c r="H570" s="379"/>
      <c r="I570" s="379"/>
      <c r="J570" s="65"/>
      <c r="K570" s="65"/>
      <c r="L570" s="379"/>
      <c r="M570" s="379"/>
      <c r="N570" s="53"/>
      <c r="O570" s="53"/>
      <c r="P570" s="379"/>
      <c r="Q570" s="379"/>
      <c r="R570" s="379"/>
      <c r="T570" s="54"/>
      <c r="V570" s="379"/>
      <c r="Y570" s="379"/>
      <c r="Z570" s="65"/>
      <c r="AA570" s="379"/>
      <c r="AB570" s="379"/>
      <c r="AC570" s="60"/>
      <c r="AD570" s="60"/>
      <c r="AE570" s="379"/>
      <c r="AF570" s="379"/>
      <c r="AG570" s="156"/>
      <c r="AH570" s="60"/>
      <c r="AI570" s="379"/>
      <c r="AJ570" s="379"/>
      <c r="AK570" s="156"/>
      <c r="AL570" s="379"/>
      <c r="AM570" s="60"/>
      <c r="AN570" s="60"/>
    </row>
    <row r="571" spans="1:40" x14ac:dyDescent="0.25">
      <c r="F571" s="381"/>
      <c r="H571" s="381"/>
      <c r="I571" s="381"/>
      <c r="J571" s="221"/>
      <c r="K571" s="221"/>
      <c r="L571" s="381"/>
      <c r="M571" s="381"/>
      <c r="N571" s="381"/>
      <c r="O571" s="381"/>
      <c r="P571" s="381"/>
      <c r="Q571" s="381"/>
      <c r="R571" s="381"/>
      <c r="V571" s="381"/>
      <c r="Y571" s="381"/>
      <c r="Z571" s="221"/>
      <c r="AA571" s="381"/>
      <c r="AB571" s="381"/>
      <c r="AC571" s="381"/>
      <c r="AD571" s="381"/>
      <c r="AE571" s="381"/>
      <c r="AF571" s="381"/>
      <c r="AI571" s="381"/>
      <c r="AJ571" s="381"/>
      <c r="AK571" s="162"/>
      <c r="AL571" s="381"/>
    </row>
    <row r="572" spans="1:40" x14ac:dyDescent="0.25">
      <c r="J572" s="65"/>
      <c r="K572" s="65"/>
      <c r="Z572" s="65"/>
    </row>
    <row r="573" spans="1:40" x14ac:dyDescent="0.25">
      <c r="A573" s="53"/>
      <c r="C573" s="54"/>
      <c r="J573" s="65"/>
      <c r="K573" s="65"/>
      <c r="T573" s="54"/>
      <c r="Z573" s="65"/>
    </row>
    <row r="574" spans="1:40" x14ac:dyDescent="0.25">
      <c r="A574" s="53"/>
      <c r="C574" s="54"/>
      <c r="J574" s="65"/>
      <c r="K574" s="65"/>
      <c r="T574" s="54"/>
      <c r="Z574" s="65"/>
    </row>
    <row r="575" spans="1:40" x14ac:dyDescent="0.25">
      <c r="A575" s="53"/>
      <c r="C575" s="54"/>
      <c r="F575" s="449"/>
      <c r="H575" s="449"/>
      <c r="I575" s="449"/>
      <c r="J575" s="221"/>
      <c r="K575" s="221"/>
      <c r="L575" s="379"/>
      <c r="M575" s="379"/>
      <c r="N575" s="50"/>
      <c r="O575" s="50"/>
      <c r="P575" s="379"/>
      <c r="Q575" s="379"/>
      <c r="R575" s="379"/>
      <c r="T575" s="54"/>
      <c r="V575" s="379"/>
      <c r="W575" s="379"/>
      <c r="X575" s="379"/>
      <c r="Y575" s="379"/>
      <c r="Z575" s="221"/>
      <c r="AA575" s="379"/>
      <c r="AB575" s="379"/>
      <c r="AC575" s="50"/>
      <c r="AD575" s="50"/>
      <c r="AE575" s="379"/>
      <c r="AF575" s="379"/>
      <c r="AG575" s="156"/>
      <c r="AH575" s="60"/>
      <c r="AI575" s="379"/>
      <c r="AJ575" s="379"/>
      <c r="AK575" s="156"/>
      <c r="AL575" s="379"/>
      <c r="AM575" s="60"/>
      <c r="AN575" s="60"/>
    </row>
    <row r="576" spans="1:40" x14ac:dyDescent="0.25">
      <c r="A576" s="53"/>
      <c r="C576" s="54"/>
      <c r="J576" s="65"/>
      <c r="K576" s="65"/>
      <c r="T576" s="54"/>
      <c r="Z576" s="65"/>
    </row>
    <row r="577" spans="1:40" x14ac:dyDescent="0.25">
      <c r="A577" s="53"/>
      <c r="C577" s="54"/>
      <c r="F577" s="449"/>
      <c r="H577" s="449"/>
      <c r="I577" s="449"/>
      <c r="J577" s="221"/>
      <c r="K577" s="221"/>
      <c r="L577" s="379"/>
      <c r="M577" s="379"/>
      <c r="N577" s="50"/>
      <c r="O577" s="50"/>
      <c r="P577" s="379"/>
      <c r="Q577" s="379"/>
      <c r="R577" s="379"/>
      <c r="T577" s="54"/>
      <c r="V577" s="379"/>
      <c r="W577" s="379"/>
      <c r="X577" s="379"/>
      <c r="Y577" s="379"/>
      <c r="Z577" s="221"/>
      <c r="AA577" s="379"/>
      <c r="AB577" s="379"/>
      <c r="AC577" s="50"/>
      <c r="AD577" s="50"/>
      <c r="AE577" s="379"/>
      <c r="AF577" s="379"/>
      <c r="AG577" s="156"/>
      <c r="AH577" s="60"/>
      <c r="AI577" s="379"/>
      <c r="AJ577" s="379"/>
      <c r="AK577" s="156"/>
      <c r="AL577" s="379"/>
      <c r="AM577" s="60"/>
      <c r="AN577" s="60"/>
    </row>
    <row r="578" spans="1:40" x14ac:dyDescent="0.25">
      <c r="F578" s="381"/>
      <c r="H578" s="381"/>
      <c r="I578" s="381"/>
      <c r="J578" s="221"/>
      <c r="K578" s="221"/>
      <c r="L578" s="381"/>
      <c r="M578" s="381"/>
      <c r="N578" s="381"/>
      <c r="O578" s="381"/>
      <c r="P578" s="381"/>
      <c r="Q578" s="381"/>
      <c r="R578" s="381"/>
      <c r="V578" s="381"/>
      <c r="Y578" s="381"/>
      <c r="Z578" s="221"/>
      <c r="AA578" s="381"/>
      <c r="AB578" s="381"/>
      <c r="AC578" s="381"/>
      <c r="AD578" s="381"/>
      <c r="AE578" s="381"/>
      <c r="AF578" s="381"/>
      <c r="AI578" s="381"/>
      <c r="AJ578" s="381"/>
      <c r="AK578" s="162"/>
      <c r="AL578" s="381"/>
    </row>
    <row r="579" spans="1:40" x14ac:dyDescent="0.25">
      <c r="A579" s="53"/>
      <c r="C579" s="54"/>
      <c r="F579" s="379"/>
      <c r="H579" s="379"/>
      <c r="I579" s="379"/>
      <c r="J579" s="65"/>
      <c r="K579" s="65"/>
      <c r="L579" s="379"/>
      <c r="M579" s="379"/>
      <c r="N579" s="60"/>
      <c r="O579" s="60"/>
      <c r="P579" s="379"/>
      <c r="Q579" s="379"/>
      <c r="R579" s="379"/>
      <c r="T579" s="54"/>
      <c r="V579" s="379"/>
      <c r="Y579" s="379"/>
      <c r="Z579" s="65"/>
      <c r="AA579" s="379"/>
      <c r="AB579" s="379"/>
      <c r="AC579" s="60"/>
      <c r="AD579" s="60"/>
      <c r="AE579" s="379"/>
      <c r="AF579" s="379"/>
      <c r="AG579" s="156"/>
      <c r="AH579" s="60"/>
      <c r="AI579" s="379"/>
      <c r="AJ579" s="379"/>
      <c r="AK579" s="156"/>
      <c r="AL579" s="379"/>
      <c r="AM579" s="60"/>
      <c r="AN579" s="60"/>
    </row>
    <row r="580" spans="1:40" x14ac:dyDescent="0.25">
      <c r="F580" s="381"/>
      <c r="H580" s="381"/>
      <c r="I580" s="381"/>
      <c r="J580" s="221"/>
      <c r="K580" s="221"/>
      <c r="L580" s="381"/>
      <c r="M580" s="381"/>
      <c r="N580" s="381"/>
      <c r="O580" s="381"/>
      <c r="P580" s="381"/>
      <c r="Q580" s="381"/>
      <c r="R580" s="381"/>
      <c r="V580" s="381"/>
      <c r="Y580" s="381"/>
      <c r="Z580" s="464"/>
      <c r="AA580" s="381"/>
      <c r="AB580" s="381"/>
      <c r="AC580" s="381"/>
      <c r="AD580" s="381"/>
      <c r="AE580" s="381"/>
      <c r="AF580" s="381"/>
      <c r="AI580" s="381"/>
      <c r="AJ580" s="381"/>
      <c r="AK580" s="162"/>
      <c r="AL580" s="381"/>
    </row>
    <row r="581" spans="1:40" x14ac:dyDescent="0.25">
      <c r="J581" s="65"/>
      <c r="K581" s="65"/>
    </row>
    <row r="582" spans="1:40" x14ac:dyDescent="0.25">
      <c r="A582" s="53"/>
      <c r="C582" s="54"/>
      <c r="F582" s="379"/>
      <c r="H582" s="379"/>
      <c r="I582" s="379"/>
      <c r="J582" s="65"/>
      <c r="K582" s="65"/>
      <c r="L582" s="379"/>
      <c r="M582" s="379"/>
      <c r="N582" s="50"/>
      <c r="O582" s="50"/>
      <c r="P582" s="449"/>
      <c r="Q582" s="449"/>
      <c r="R582" s="379"/>
      <c r="T582" s="54"/>
      <c r="V582" s="379"/>
      <c r="Y582" s="379"/>
      <c r="AA582" s="379"/>
      <c r="AB582" s="379"/>
      <c r="AC582" s="60"/>
      <c r="AD582" s="60"/>
      <c r="AE582" s="379"/>
      <c r="AF582" s="379"/>
      <c r="AG582" s="156"/>
      <c r="AH582" s="60"/>
      <c r="AI582" s="449"/>
      <c r="AJ582" s="449"/>
      <c r="AK582" s="156"/>
      <c r="AL582" s="379"/>
      <c r="AM582" s="60"/>
      <c r="AN582" s="60"/>
    </row>
    <row r="583" spans="1:40" x14ac:dyDescent="0.25">
      <c r="F583" s="381"/>
      <c r="H583" s="381"/>
      <c r="I583" s="381"/>
      <c r="J583" s="221"/>
      <c r="K583" s="221"/>
      <c r="L583" s="381"/>
      <c r="M583" s="381"/>
      <c r="N583" s="381"/>
      <c r="O583" s="381"/>
      <c r="P583" s="381"/>
      <c r="Q583" s="381"/>
      <c r="R583" s="381"/>
      <c r="V583" s="381"/>
      <c r="Y583" s="381"/>
      <c r="Z583" s="464"/>
      <c r="AA583" s="381"/>
      <c r="AB583" s="381"/>
      <c r="AC583" s="381"/>
      <c r="AD583" s="381"/>
      <c r="AE583" s="381"/>
      <c r="AF583" s="381"/>
      <c r="AI583" s="381"/>
      <c r="AJ583" s="381"/>
      <c r="AK583" s="162"/>
      <c r="AL583" s="381"/>
    </row>
    <row r="585" spans="1:40" x14ac:dyDescent="0.25">
      <c r="C585" s="53"/>
      <c r="T585" s="53"/>
    </row>
    <row r="586" spans="1:40" x14ac:dyDescent="0.25">
      <c r="A586" s="54"/>
    </row>
    <row r="587" spans="1:40" x14ac:dyDescent="0.25">
      <c r="J587" s="53"/>
      <c r="K587" s="53"/>
      <c r="Z587" s="53"/>
    </row>
    <row r="588" spans="1:40" x14ac:dyDescent="0.25">
      <c r="H588" s="54"/>
      <c r="I588" s="54"/>
      <c r="Y588" s="54"/>
    </row>
    <row r="589" spans="1:40" x14ac:dyDescent="0.25">
      <c r="J589" s="53"/>
      <c r="K589" s="53"/>
      <c r="Z589" s="53"/>
    </row>
    <row r="590" spans="1:40" x14ac:dyDescent="0.25">
      <c r="L590" s="54"/>
      <c r="M590" s="54"/>
      <c r="AA590" s="54"/>
      <c r="AB590" s="54"/>
    </row>
    <row r="591" spans="1:40" x14ac:dyDescent="0.25">
      <c r="A591" s="53"/>
      <c r="R591" s="54"/>
      <c r="AK591" s="161"/>
      <c r="AL591" s="54"/>
    </row>
    <row r="592" spans="1:40" x14ac:dyDescent="0.25">
      <c r="A592" s="53"/>
      <c r="R592" s="54"/>
      <c r="AK592" s="161"/>
      <c r="AL592" s="54"/>
    </row>
    <row r="593" spans="1:40" x14ac:dyDescent="0.25">
      <c r="A593" s="54"/>
      <c r="R593" s="54"/>
      <c r="AK593" s="161"/>
      <c r="AL593" s="54"/>
    </row>
    <row r="594" spans="1:40" x14ac:dyDescent="0.25">
      <c r="L594" s="54"/>
      <c r="M594" s="54"/>
      <c r="R594" s="53"/>
      <c r="AA594" s="54"/>
      <c r="AB594" s="54"/>
      <c r="AK594" s="156"/>
      <c r="AL594" s="53"/>
    </row>
    <row r="595" spans="1:40" x14ac:dyDescent="0.25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154"/>
      <c r="AH595" s="55"/>
      <c r="AI595" s="55"/>
      <c r="AJ595" s="55"/>
      <c r="AK595" s="154"/>
      <c r="AL595" s="55"/>
      <c r="AM595" s="55"/>
      <c r="AN595" s="55"/>
    </row>
    <row r="596" spans="1:40" x14ac:dyDescent="0.25">
      <c r="L596" s="56"/>
      <c r="M596" s="56"/>
      <c r="N596" s="56"/>
      <c r="O596" s="56"/>
      <c r="R596" s="56"/>
      <c r="AA596" s="56"/>
      <c r="AB596" s="56"/>
      <c r="AC596" s="56"/>
      <c r="AD596" s="56"/>
      <c r="AE596" s="56"/>
      <c r="AF596" s="56"/>
      <c r="AG596" s="155"/>
      <c r="AH596" s="56"/>
      <c r="AK596" s="155"/>
      <c r="AL596" s="56"/>
      <c r="AM596" s="56"/>
      <c r="AN596" s="56"/>
    </row>
    <row r="597" spans="1:40" x14ac:dyDescent="0.25">
      <c r="L597" s="56"/>
      <c r="M597" s="56"/>
      <c r="N597" s="56"/>
      <c r="O597" s="56"/>
      <c r="R597" s="56"/>
      <c r="Z597" s="56"/>
      <c r="AA597" s="56"/>
      <c r="AB597" s="56"/>
      <c r="AC597" s="56"/>
      <c r="AD597" s="56"/>
      <c r="AE597" s="56"/>
      <c r="AF597" s="56"/>
      <c r="AG597" s="155"/>
      <c r="AH597" s="56"/>
      <c r="AK597" s="155"/>
      <c r="AL597" s="56"/>
      <c r="AM597" s="56"/>
      <c r="AN597" s="56"/>
    </row>
    <row r="598" spans="1:40" x14ac:dyDescent="0.25">
      <c r="A598" s="56"/>
      <c r="C598" s="56"/>
      <c r="D598" s="56"/>
      <c r="E598" s="56"/>
      <c r="F598" s="56"/>
      <c r="J598" s="56"/>
      <c r="K598" s="56"/>
      <c r="L598" s="56"/>
      <c r="M598" s="56"/>
      <c r="N598" s="56"/>
      <c r="O598" s="56"/>
      <c r="P598" s="56"/>
      <c r="Q598" s="56"/>
      <c r="R598" s="56"/>
      <c r="T598" s="56"/>
      <c r="U598" s="56"/>
      <c r="V598" s="56"/>
      <c r="Z598" s="56"/>
      <c r="AA598" s="56"/>
      <c r="AB598" s="56"/>
      <c r="AC598" s="56"/>
      <c r="AD598" s="56"/>
      <c r="AE598" s="56"/>
      <c r="AF598" s="56"/>
      <c r="AG598" s="155"/>
      <c r="AH598" s="56"/>
      <c r="AI598" s="56"/>
      <c r="AJ598" s="56"/>
      <c r="AK598" s="155"/>
      <c r="AL598" s="56"/>
      <c r="AM598" s="56"/>
      <c r="AN598" s="56"/>
    </row>
    <row r="599" spans="1:40" x14ac:dyDescent="0.25">
      <c r="A599" s="56"/>
      <c r="C599" s="56"/>
      <c r="D599" s="56"/>
      <c r="E599" s="56"/>
      <c r="F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T599" s="56"/>
      <c r="U599" s="56"/>
      <c r="V599" s="56"/>
      <c r="Y599" s="56"/>
      <c r="Z599" s="56"/>
      <c r="AA599" s="56"/>
      <c r="AB599" s="56"/>
      <c r="AC599" s="56"/>
      <c r="AD599" s="56"/>
      <c r="AE599" s="56"/>
      <c r="AF599" s="56"/>
      <c r="AG599" s="155"/>
      <c r="AH599" s="56"/>
      <c r="AI599" s="56"/>
      <c r="AJ599" s="56"/>
      <c r="AK599" s="155"/>
      <c r="AL599" s="56"/>
      <c r="AM599" s="56"/>
      <c r="AN599" s="56"/>
    </row>
    <row r="600" spans="1:40" x14ac:dyDescent="0.25">
      <c r="C600" s="56"/>
      <c r="D600" s="56"/>
      <c r="E600" s="56"/>
      <c r="F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T600" s="56"/>
      <c r="U600" s="56"/>
      <c r="V600" s="56"/>
      <c r="Y600" s="56"/>
      <c r="Z600" s="56"/>
      <c r="AA600" s="56"/>
      <c r="AB600" s="56"/>
      <c r="AC600" s="56"/>
      <c r="AD600" s="56"/>
      <c r="AE600" s="56"/>
      <c r="AF600" s="56"/>
      <c r="AG600" s="155"/>
      <c r="AH600" s="56"/>
      <c r="AI600" s="56"/>
      <c r="AJ600" s="56"/>
      <c r="AK600" s="155"/>
      <c r="AL600" s="56"/>
      <c r="AM600" s="56"/>
      <c r="AN600" s="56"/>
    </row>
    <row r="601" spans="1:40" x14ac:dyDescent="0.25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154"/>
      <c r="AH601" s="55"/>
      <c r="AI601" s="55"/>
      <c r="AJ601" s="55"/>
      <c r="AK601" s="154"/>
      <c r="AL601" s="55"/>
      <c r="AM601" s="55"/>
      <c r="AN601" s="55"/>
    </row>
    <row r="602" spans="1:40" x14ac:dyDescent="0.25"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Y602" s="56"/>
      <c r="Z602" s="56"/>
      <c r="AA602" s="56"/>
      <c r="AB602" s="56"/>
      <c r="AC602" s="56"/>
      <c r="AD602" s="56"/>
      <c r="AE602" s="56"/>
      <c r="AF602" s="56"/>
      <c r="AG602" s="155"/>
      <c r="AH602" s="56"/>
      <c r="AI602" s="56"/>
      <c r="AJ602" s="56"/>
      <c r="AK602" s="155"/>
      <c r="AL602" s="56"/>
      <c r="AM602" s="56"/>
      <c r="AN602" s="56"/>
    </row>
    <row r="603" spans="1:40" x14ac:dyDescent="0.25">
      <c r="A603" s="53"/>
      <c r="C603" s="54"/>
      <c r="D603" s="54"/>
      <c r="E603" s="54"/>
      <c r="T603" s="54"/>
      <c r="U603" s="54"/>
    </row>
    <row r="605" spans="1:40" x14ac:dyDescent="0.25">
      <c r="A605" s="53"/>
      <c r="C605" s="54"/>
      <c r="D605" s="54"/>
      <c r="E605" s="54"/>
      <c r="T605" s="54"/>
      <c r="U605" s="54"/>
    </row>
    <row r="606" spans="1:40" x14ac:dyDescent="0.25">
      <c r="A606" s="53"/>
      <c r="C606" s="54"/>
      <c r="T606" s="54"/>
    </row>
    <row r="607" spans="1:40" x14ac:dyDescent="0.25">
      <c r="A607" s="53"/>
      <c r="C607" s="54"/>
      <c r="T607" s="54"/>
    </row>
    <row r="608" spans="1:40" x14ac:dyDescent="0.25">
      <c r="A608" s="53"/>
      <c r="C608" s="54"/>
      <c r="F608" s="449"/>
      <c r="H608" s="449"/>
      <c r="I608" s="449"/>
      <c r="J608" s="221"/>
      <c r="K608" s="221"/>
      <c r="L608" s="379"/>
      <c r="M608" s="379"/>
      <c r="N608" s="50"/>
      <c r="O608" s="50"/>
      <c r="P608" s="379"/>
      <c r="Q608" s="379"/>
      <c r="R608" s="379"/>
      <c r="T608" s="54"/>
      <c r="V608" s="379"/>
      <c r="W608" s="379"/>
      <c r="X608" s="379"/>
      <c r="Y608" s="379"/>
      <c r="Z608" s="221"/>
      <c r="AA608" s="379"/>
      <c r="AB608" s="379"/>
      <c r="AC608" s="50"/>
      <c r="AD608" s="50"/>
      <c r="AE608" s="379"/>
      <c r="AF608" s="379"/>
      <c r="AG608" s="156"/>
      <c r="AH608" s="60"/>
      <c r="AI608" s="379"/>
      <c r="AJ608" s="379"/>
      <c r="AK608" s="156"/>
      <c r="AL608" s="379"/>
      <c r="AM608" s="50"/>
      <c r="AN608" s="50"/>
    </row>
    <row r="609" spans="1:40" x14ac:dyDescent="0.25">
      <c r="A609" s="53"/>
      <c r="C609" s="54"/>
      <c r="J609" s="65"/>
      <c r="K609" s="65"/>
      <c r="T609" s="54"/>
      <c r="V609" s="379"/>
      <c r="W609" s="379"/>
      <c r="X609" s="379"/>
      <c r="Y609" s="379"/>
      <c r="Z609" s="221"/>
    </row>
    <row r="610" spans="1:40" x14ac:dyDescent="0.25">
      <c r="A610" s="53"/>
      <c r="C610" s="54"/>
      <c r="F610" s="449"/>
      <c r="H610" s="449"/>
      <c r="I610" s="449"/>
      <c r="J610" s="221"/>
      <c r="K610" s="221"/>
      <c r="L610" s="379"/>
      <c r="M610" s="379"/>
      <c r="N610" s="50"/>
      <c r="O610" s="50"/>
      <c r="P610" s="379"/>
      <c r="Q610" s="379"/>
      <c r="R610" s="379"/>
      <c r="T610" s="54"/>
      <c r="V610" s="379"/>
      <c r="W610" s="379"/>
      <c r="X610" s="379"/>
      <c r="Y610" s="379"/>
      <c r="Z610" s="221"/>
      <c r="AA610" s="379"/>
      <c r="AB610" s="379"/>
      <c r="AC610" s="50"/>
      <c r="AD610" s="50"/>
      <c r="AE610" s="379"/>
      <c r="AF610" s="379"/>
      <c r="AG610" s="156"/>
      <c r="AH610" s="60"/>
      <c r="AI610" s="379"/>
      <c r="AJ610" s="379"/>
      <c r="AK610" s="156"/>
      <c r="AL610" s="379"/>
      <c r="AM610" s="50"/>
      <c r="AN610" s="50"/>
    </row>
    <row r="611" spans="1:40" x14ac:dyDescent="0.25">
      <c r="A611" s="53"/>
      <c r="C611" s="54"/>
      <c r="J611" s="65"/>
      <c r="K611" s="65"/>
      <c r="T611" s="54"/>
      <c r="V611" s="379"/>
      <c r="W611" s="379"/>
      <c r="X611" s="379"/>
      <c r="Y611" s="379"/>
      <c r="Z611" s="221"/>
    </row>
    <row r="612" spans="1:40" x14ac:dyDescent="0.25">
      <c r="A612" s="53"/>
      <c r="C612" s="54"/>
      <c r="F612" s="449"/>
      <c r="H612" s="449"/>
      <c r="I612" s="449"/>
      <c r="J612" s="221"/>
      <c r="K612" s="221"/>
      <c r="L612" s="379"/>
      <c r="M612" s="379"/>
      <c r="N612" s="50"/>
      <c r="O612" s="50"/>
      <c r="P612" s="379"/>
      <c r="Q612" s="379"/>
      <c r="R612" s="379"/>
      <c r="T612" s="54"/>
      <c r="V612" s="379"/>
      <c r="W612" s="379"/>
      <c r="X612" s="379"/>
      <c r="Y612" s="379"/>
      <c r="Z612" s="221"/>
      <c r="AA612" s="379"/>
      <c r="AB612" s="379"/>
      <c r="AC612" s="50"/>
      <c r="AD612" s="50"/>
      <c r="AE612" s="379"/>
      <c r="AF612" s="379"/>
      <c r="AG612" s="156"/>
      <c r="AH612" s="60"/>
      <c r="AI612" s="379"/>
      <c r="AJ612" s="379"/>
      <c r="AK612" s="156"/>
      <c r="AL612" s="379"/>
      <c r="AM612" s="50"/>
      <c r="AN612" s="50"/>
    </row>
    <row r="613" spans="1:40" x14ac:dyDescent="0.25">
      <c r="A613" s="53"/>
      <c r="C613" s="54"/>
      <c r="J613" s="65"/>
      <c r="K613" s="65"/>
      <c r="T613" s="54"/>
      <c r="V613" s="379"/>
      <c r="W613" s="379"/>
      <c r="X613" s="379"/>
      <c r="Y613" s="379"/>
      <c r="Z613" s="221"/>
    </row>
    <row r="614" spans="1:40" x14ac:dyDescent="0.25">
      <c r="A614" s="53"/>
      <c r="C614" s="54"/>
      <c r="F614" s="449"/>
      <c r="H614" s="449"/>
      <c r="I614" s="449"/>
      <c r="J614" s="221"/>
      <c r="K614" s="221"/>
      <c r="L614" s="379"/>
      <c r="M614" s="379"/>
      <c r="N614" s="50"/>
      <c r="O614" s="50"/>
      <c r="P614" s="379"/>
      <c r="Q614" s="379"/>
      <c r="R614" s="379"/>
      <c r="T614" s="54"/>
      <c r="V614" s="379"/>
      <c r="W614" s="379"/>
      <c r="X614" s="379"/>
      <c r="Y614" s="379"/>
      <c r="Z614" s="221"/>
      <c r="AA614" s="379"/>
      <c r="AB614" s="379"/>
      <c r="AC614" s="50"/>
      <c r="AD614" s="50"/>
      <c r="AE614" s="379"/>
      <c r="AF614" s="379"/>
      <c r="AG614" s="156"/>
      <c r="AH614" s="60"/>
      <c r="AI614" s="379"/>
      <c r="AJ614" s="379"/>
      <c r="AK614" s="156"/>
      <c r="AL614" s="379"/>
      <c r="AM614" s="50"/>
      <c r="AN614" s="50"/>
    </row>
    <row r="615" spans="1:40" x14ac:dyDescent="0.25">
      <c r="A615" s="53"/>
      <c r="C615" s="54"/>
      <c r="J615" s="65"/>
      <c r="K615" s="65"/>
      <c r="T615" s="54"/>
      <c r="V615" s="379"/>
      <c r="W615" s="379"/>
      <c r="X615" s="379"/>
      <c r="Y615" s="379"/>
      <c r="Z615" s="221"/>
    </row>
    <row r="616" spans="1:40" x14ac:dyDescent="0.25">
      <c r="A616" s="53"/>
      <c r="C616" s="54"/>
      <c r="F616" s="449"/>
      <c r="H616" s="449"/>
      <c r="I616" s="449"/>
      <c r="J616" s="221"/>
      <c r="K616" s="221"/>
      <c r="L616" s="379"/>
      <c r="M616" s="379"/>
      <c r="N616" s="50"/>
      <c r="O616" s="50"/>
      <c r="P616" s="379"/>
      <c r="Q616" s="379"/>
      <c r="R616" s="379"/>
      <c r="T616" s="54"/>
      <c r="V616" s="379"/>
      <c r="W616" s="379"/>
      <c r="X616" s="379"/>
      <c r="Y616" s="379"/>
      <c r="Z616" s="221"/>
      <c r="AA616" s="379"/>
      <c r="AB616" s="379"/>
      <c r="AC616" s="50"/>
      <c r="AD616" s="50"/>
      <c r="AE616" s="379"/>
      <c r="AF616" s="379"/>
      <c r="AG616" s="156"/>
      <c r="AH616" s="60"/>
      <c r="AI616" s="379"/>
      <c r="AJ616" s="379"/>
      <c r="AK616" s="156"/>
      <c r="AL616" s="379"/>
      <c r="AM616" s="50"/>
      <c r="AN616" s="50"/>
    </row>
    <row r="617" spans="1:40" x14ac:dyDescent="0.25">
      <c r="A617" s="53"/>
      <c r="C617" s="54"/>
      <c r="J617" s="65"/>
      <c r="K617" s="65"/>
      <c r="T617" s="54"/>
      <c r="V617" s="379"/>
      <c r="W617" s="379"/>
      <c r="X617" s="379"/>
      <c r="Y617" s="379"/>
      <c r="Z617" s="221"/>
    </row>
    <row r="618" spans="1:40" x14ac:dyDescent="0.25">
      <c r="A618" s="53"/>
      <c r="C618" s="54"/>
      <c r="F618" s="449"/>
      <c r="H618" s="449"/>
      <c r="I618" s="449"/>
      <c r="J618" s="221"/>
      <c r="K618" s="221"/>
      <c r="L618" s="379"/>
      <c r="M618" s="379"/>
      <c r="N618" s="50"/>
      <c r="O618" s="50"/>
      <c r="P618" s="379"/>
      <c r="Q618" s="379"/>
      <c r="R618" s="379"/>
      <c r="T618" s="54"/>
      <c r="V618" s="379"/>
      <c r="W618" s="379"/>
      <c r="X618" s="379"/>
      <c r="Y618" s="379"/>
      <c r="Z618" s="221"/>
      <c r="AA618" s="379"/>
      <c r="AB618" s="379"/>
      <c r="AC618" s="50"/>
      <c r="AD618" s="50"/>
      <c r="AE618" s="379"/>
      <c r="AF618" s="379"/>
      <c r="AG618" s="156"/>
      <c r="AH618" s="60"/>
      <c r="AI618" s="379"/>
      <c r="AJ618" s="379"/>
      <c r="AK618" s="156"/>
      <c r="AL618" s="379"/>
      <c r="AM618" s="50"/>
      <c r="AN618" s="50"/>
    </row>
    <row r="619" spans="1:40" x14ac:dyDescent="0.25">
      <c r="F619" s="381"/>
      <c r="H619" s="381"/>
      <c r="I619" s="381"/>
      <c r="J619" s="221"/>
      <c r="K619" s="221"/>
      <c r="L619" s="381"/>
      <c r="M619" s="381"/>
      <c r="N619" s="381"/>
      <c r="O619" s="381"/>
      <c r="P619" s="381"/>
      <c r="Q619" s="381"/>
      <c r="R619" s="381"/>
      <c r="V619" s="381"/>
      <c r="Y619" s="381"/>
      <c r="Z619" s="221"/>
      <c r="AA619" s="381"/>
      <c r="AB619" s="381"/>
      <c r="AC619" s="381"/>
      <c r="AD619" s="381"/>
      <c r="AE619" s="381"/>
      <c r="AF619" s="381"/>
      <c r="AI619" s="381"/>
      <c r="AJ619" s="381"/>
      <c r="AK619" s="162"/>
      <c r="AL619" s="381"/>
      <c r="AM619" s="50"/>
      <c r="AN619" s="50"/>
    </row>
    <row r="620" spans="1:40" x14ac:dyDescent="0.25">
      <c r="A620" s="53"/>
      <c r="C620" s="54"/>
      <c r="F620" s="379"/>
      <c r="H620" s="379"/>
      <c r="I620" s="379"/>
      <c r="J620" s="65"/>
      <c r="K620" s="65"/>
      <c r="L620" s="379"/>
      <c r="M620" s="379"/>
      <c r="N620" s="50"/>
      <c r="O620" s="50"/>
      <c r="P620" s="449"/>
      <c r="Q620" s="449"/>
      <c r="R620" s="379"/>
      <c r="T620" s="54"/>
      <c r="V620" s="379"/>
      <c r="W620" s="379"/>
      <c r="X620" s="379"/>
      <c r="Y620" s="379"/>
      <c r="Z620" s="221"/>
      <c r="AA620" s="379"/>
      <c r="AB620" s="379"/>
      <c r="AC620" s="50"/>
      <c r="AD620" s="50"/>
      <c r="AE620" s="379"/>
      <c r="AF620" s="379"/>
      <c r="AG620" s="156"/>
      <c r="AH620" s="60"/>
      <c r="AI620" s="449"/>
      <c r="AJ620" s="449"/>
      <c r="AK620" s="156"/>
      <c r="AL620" s="379"/>
      <c r="AM620" s="50"/>
      <c r="AN620" s="50"/>
    </row>
    <row r="621" spans="1:40" x14ac:dyDescent="0.25">
      <c r="F621" s="381"/>
      <c r="H621" s="381"/>
      <c r="I621" s="381"/>
      <c r="J621" s="221"/>
      <c r="K621" s="221"/>
      <c r="L621" s="381"/>
      <c r="M621" s="381"/>
      <c r="N621" s="381"/>
      <c r="O621" s="381"/>
      <c r="P621" s="381"/>
      <c r="Q621" s="381"/>
      <c r="R621" s="381"/>
      <c r="V621" s="381"/>
      <c r="Y621" s="381"/>
      <c r="Z621" s="221"/>
      <c r="AA621" s="381"/>
      <c r="AB621" s="381"/>
      <c r="AC621" s="381"/>
      <c r="AD621" s="381"/>
      <c r="AE621" s="381"/>
      <c r="AF621" s="381"/>
      <c r="AI621" s="381"/>
      <c r="AJ621" s="381"/>
      <c r="AK621" s="162"/>
      <c r="AL621" s="381"/>
    </row>
    <row r="622" spans="1:40" x14ac:dyDescent="0.25">
      <c r="A622" s="53"/>
      <c r="C622" s="54"/>
      <c r="D622" s="54"/>
      <c r="E622" s="54"/>
      <c r="J622" s="65"/>
      <c r="K622" s="65"/>
      <c r="T622" s="54"/>
      <c r="U622" s="54"/>
      <c r="V622" s="379"/>
      <c r="W622" s="379"/>
      <c r="X622" s="379"/>
      <c r="Y622" s="379"/>
      <c r="Z622" s="221"/>
    </row>
    <row r="623" spans="1:40" x14ac:dyDescent="0.25">
      <c r="A623" s="53"/>
      <c r="C623" s="54"/>
      <c r="J623" s="65"/>
      <c r="K623" s="65"/>
      <c r="T623" s="54"/>
      <c r="V623" s="379"/>
      <c r="W623" s="379"/>
      <c r="X623" s="379"/>
      <c r="Y623" s="379"/>
      <c r="Z623" s="221"/>
    </row>
    <row r="624" spans="1:40" x14ac:dyDescent="0.25">
      <c r="A624" s="53"/>
      <c r="C624" s="54"/>
      <c r="J624" s="65"/>
      <c r="K624" s="65"/>
      <c r="T624" s="54"/>
      <c r="V624" s="379"/>
      <c r="W624" s="379"/>
      <c r="X624" s="379"/>
      <c r="Y624" s="379"/>
      <c r="Z624" s="221"/>
    </row>
    <row r="625" spans="1:40" x14ac:dyDescent="0.25">
      <c r="A625" s="53"/>
      <c r="C625" s="54"/>
      <c r="F625" s="449"/>
      <c r="H625" s="449"/>
      <c r="I625" s="449"/>
      <c r="J625" s="221"/>
      <c r="K625" s="221"/>
      <c r="L625" s="379"/>
      <c r="M625" s="379"/>
      <c r="N625" s="50"/>
      <c r="O625" s="50"/>
      <c r="P625" s="379"/>
      <c r="Q625" s="379"/>
      <c r="R625" s="379"/>
      <c r="T625" s="54"/>
      <c r="V625" s="379"/>
      <c r="W625" s="379"/>
      <c r="X625" s="379"/>
      <c r="Y625" s="379"/>
      <c r="Z625" s="221"/>
      <c r="AA625" s="379"/>
      <c r="AB625" s="379"/>
      <c r="AC625" s="50"/>
      <c r="AD625" s="50"/>
      <c r="AE625" s="379"/>
      <c r="AF625" s="379"/>
      <c r="AG625" s="156"/>
      <c r="AH625" s="60"/>
      <c r="AI625" s="379"/>
      <c r="AJ625" s="379"/>
      <c r="AK625" s="156"/>
      <c r="AL625" s="379"/>
      <c r="AM625" s="50"/>
      <c r="AN625" s="50"/>
    </row>
    <row r="626" spans="1:40" x14ac:dyDescent="0.25">
      <c r="A626" s="53"/>
      <c r="C626" s="54"/>
      <c r="J626" s="65"/>
      <c r="K626" s="65"/>
      <c r="T626" s="54"/>
      <c r="V626" s="379"/>
      <c r="W626" s="379"/>
      <c r="X626" s="379"/>
      <c r="Y626" s="379"/>
      <c r="Z626" s="221"/>
    </row>
    <row r="627" spans="1:40" x14ac:dyDescent="0.25">
      <c r="A627" s="53"/>
      <c r="C627" s="54"/>
      <c r="F627" s="449"/>
      <c r="H627" s="449"/>
      <c r="I627" s="449"/>
      <c r="J627" s="221"/>
      <c r="K627" s="221"/>
      <c r="L627" s="379"/>
      <c r="M627" s="379"/>
      <c r="N627" s="50"/>
      <c r="O627" s="50"/>
      <c r="P627" s="379"/>
      <c r="Q627" s="379"/>
      <c r="R627" s="379"/>
      <c r="T627" s="54"/>
      <c r="V627" s="379"/>
      <c r="W627" s="379"/>
      <c r="X627" s="379"/>
      <c r="Y627" s="379"/>
      <c r="Z627" s="221"/>
      <c r="AA627" s="379"/>
      <c r="AB627" s="379"/>
      <c r="AC627" s="50"/>
      <c r="AD627" s="50"/>
      <c r="AE627" s="379"/>
      <c r="AF627" s="379"/>
      <c r="AG627" s="156"/>
      <c r="AH627" s="60"/>
      <c r="AI627" s="379"/>
      <c r="AJ627" s="379"/>
      <c r="AK627" s="156"/>
      <c r="AL627" s="379"/>
      <c r="AM627" s="50"/>
      <c r="AN627" s="50"/>
    </row>
    <row r="628" spans="1:40" x14ac:dyDescent="0.25">
      <c r="F628" s="381"/>
      <c r="H628" s="381"/>
      <c r="I628" s="381"/>
      <c r="J628" s="221"/>
      <c r="K628" s="221"/>
      <c r="L628" s="381"/>
      <c r="M628" s="381"/>
      <c r="N628" s="381"/>
      <c r="O628" s="381"/>
      <c r="P628" s="381"/>
      <c r="Q628" s="381"/>
      <c r="R628" s="381"/>
      <c r="V628" s="381"/>
      <c r="Y628" s="381"/>
      <c r="Z628" s="464"/>
      <c r="AA628" s="381"/>
      <c r="AB628" s="381"/>
      <c r="AC628" s="381"/>
      <c r="AD628" s="381"/>
      <c r="AE628" s="381"/>
      <c r="AF628" s="381"/>
      <c r="AI628" s="381"/>
      <c r="AJ628" s="381"/>
      <c r="AK628" s="162"/>
      <c r="AL628" s="381"/>
    </row>
    <row r="629" spans="1:40" x14ac:dyDescent="0.25">
      <c r="A629" s="53"/>
      <c r="C629" s="54"/>
      <c r="F629" s="379"/>
      <c r="H629" s="379"/>
      <c r="I629" s="379"/>
      <c r="L629" s="379"/>
      <c r="M629" s="379"/>
      <c r="N629" s="50"/>
      <c r="O629" s="50"/>
      <c r="P629" s="449"/>
      <c r="Q629" s="449"/>
      <c r="R629" s="379"/>
      <c r="T629" s="54"/>
      <c r="V629" s="379"/>
      <c r="W629" s="379"/>
      <c r="X629" s="379"/>
      <c r="Y629" s="379"/>
      <c r="Z629" s="477"/>
      <c r="AA629" s="379"/>
      <c r="AB629" s="379"/>
      <c r="AC629" s="50"/>
      <c r="AD629" s="50"/>
      <c r="AE629" s="379"/>
      <c r="AF629" s="379"/>
      <c r="AG629" s="156"/>
      <c r="AH629" s="60"/>
      <c r="AI629" s="449"/>
      <c r="AJ629" s="449"/>
      <c r="AK629" s="156"/>
      <c r="AL629" s="379"/>
      <c r="AM629" s="50"/>
      <c r="AN629" s="50"/>
    </row>
    <row r="630" spans="1:40" x14ac:dyDescent="0.25">
      <c r="F630" s="381"/>
      <c r="H630" s="381"/>
      <c r="I630" s="381"/>
      <c r="J630" s="464"/>
      <c r="K630" s="464"/>
      <c r="L630" s="381"/>
      <c r="M630" s="381"/>
      <c r="N630" s="381"/>
      <c r="O630" s="381"/>
      <c r="P630" s="381"/>
      <c r="Q630" s="381"/>
      <c r="R630" s="381"/>
      <c r="V630" s="381"/>
      <c r="Y630" s="381"/>
      <c r="Z630" s="464"/>
      <c r="AA630" s="381"/>
      <c r="AB630" s="381"/>
      <c r="AC630" s="381"/>
      <c r="AD630" s="381"/>
      <c r="AE630" s="381"/>
      <c r="AF630" s="381"/>
      <c r="AI630" s="381"/>
      <c r="AJ630" s="381"/>
      <c r="AK630" s="162"/>
      <c r="AL630" s="381"/>
    </row>
    <row r="631" spans="1:40" x14ac:dyDescent="0.25">
      <c r="A631" s="53"/>
      <c r="C631" s="54"/>
      <c r="D631" s="54"/>
      <c r="E631" s="54"/>
      <c r="T631" s="54"/>
      <c r="U631" s="54"/>
      <c r="V631" s="379"/>
      <c r="W631" s="379"/>
      <c r="X631" s="379"/>
      <c r="Y631" s="379"/>
      <c r="Z631" s="477"/>
    </row>
    <row r="632" spans="1:40" x14ac:dyDescent="0.25">
      <c r="A632" s="53"/>
      <c r="C632" s="54"/>
      <c r="T632" s="54"/>
      <c r="V632" s="379"/>
      <c r="W632" s="379"/>
      <c r="X632" s="379"/>
      <c r="Y632" s="379"/>
      <c r="Z632" s="477"/>
    </row>
    <row r="633" spans="1:40" x14ac:dyDescent="0.25">
      <c r="A633" s="53"/>
      <c r="C633" s="54"/>
      <c r="F633" s="449"/>
      <c r="H633" s="449"/>
      <c r="I633" s="449"/>
      <c r="J633" s="477"/>
      <c r="K633" s="477"/>
      <c r="L633" s="379"/>
      <c r="M633" s="379"/>
      <c r="N633" s="50"/>
      <c r="O633" s="50"/>
      <c r="P633" s="379"/>
      <c r="Q633" s="379"/>
      <c r="R633" s="379"/>
      <c r="T633" s="54"/>
      <c r="V633" s="379"/>
      <c r="W633" s="379"/>
      <c r="X633" s="379"/>
      <c r="Y633" s="379"/>
      <c r="Z633" s="477"/>
      <c r="AA633" s="379"/>
      <c r="AB633" s="379"/>
      <c r="AC633" s="50"/>
      <c r="AD633" s="50"/>
      <c r="AE633" s="379"/>
      <c r="AF633" s="379"/>
      <c r="AG633" s="156"/>
      <c r="AH633" s="60"/>
      <c r="AI633" s="379"/>
      <c r="AJ633" s="379"/>
      <c r="AK633" s="156"/>
      <c r="AL633" s="379"/>
      <c r="AM633" s="50"/>
      <c r="AN633" s="50"/>
    </row>
    <row r="634" spans="1:40" x14ac:dyDescent="0.25">
      <c r="A634" s="53"/>
      <c r="C634" s="54"/>
      <c r="T634" s="54"/>
      <c r="V634" s="379"/>
      <c r="W634" s="379"/>
      <c r="X634" s="379"/>
      <c r="Y634" s="379"/>
      <c r="Z634" s="477"/>
    </row>
    <row r="635" spans="1:40" x14ac:dyDescent="0.25">
      <c r="A635" s="53"/>
      <c r="C635" s="54"/>
      <c r="F635" s="449"/>
      <c r="H635" s="449"/>
      <c r="I635" s="449"/>
      <c r="J635" s="477"/>
      <c r="K635" s="477"/>
      <c r="L635" s="379"/>
      <c r="M635" s="379"/>
      <c r="N635" s="50"/>
      <c r="O635" s="50"/>
      <c r="P635" s="379"/>
      <c r="Q635" s="379"/>
      <c r="R635" s="379"/>
      <c r="T635" s="54"/>
      <c r="V635" s="379"/>
      <c r="W635" s="379"/>
      <c r="X635" s="379"/>
      <c r="Y635" s="379"/>
      <c r="Z635" s="477"/>
      <c r="AA635" s="379"/>
      <c r="AB635" s="379"/>
      <c r="AC635" s="50"/>
      <c r="AD635" s="50"/>
      <c r="AE635" s="379"/>
      <c r="AF635" s="379"/>
      <c r="AG635" s="156"/>
      <c r="AH635" s="60"/>
      <c r="AI635" s="379"/>
      <c r="AJ635" s="379"/>
      <c r="AK635" s="156"/>
      <c r="AL635" s="379"/>
      <c r="AM635" s="50"/>
      <c r="AN635" s="50"/>
    </row>
    <row r="636" spans="1:40" x14ac:dyDescent="0.25">
      <c r="A636" s="53"/>
      <c r="C636" s="54"/>
      <c r="T636" s="54"/>
      <c r="V636" s="379"/>
      <c r="W636" s="379"/>
      <c r="X636" s="379"/>
      <c r="Y636" s="379"/>
      <c r="Z636" s="477"/>
    </row>
    <row r="637" spans="1:40" x14ac:dyDescent="0.25">
      <c r="A637" s="53"/>
      <c r="C637" s="54"/>
      <c r="F637" s="449"/>
      <c r="H637" s="449"/>
      <c r="I637" s="449"/>
      <c r="J637" s="477"/>
      <c r="K637" s="477"/>
      <c r="L637" s="379"/>
      <c r="M637" s="379"/>
      <c r="N637" s="50"/>
      <c r="O637" s="50"/>
      <c r="P637" s="379"/>
      <c r="Q637" s="379"/>
      <c r="R637" s="379"/>
      <c r="T637" s="54"/>
      <c r="V637" s="379"/>
      <c r="W637" s="379"/>
      <c r="X637" s="379"/>
      <c r="Y637" s="379"/>
      <c r="Z637" s="477"/>
      <c r="AA637" s="379"/>
      <c r="AB637" s="379"/>
      <c r="AC637" s="50"/>
      <c r="AD637" s="50"/>
      <c r="AE637" s="379"/>
      <c r="AF637" s="379"/>
      <c r="AG637" s="156"/>
      <c r="AH637" s="60"/>
      <c r="AI637" s="379"/>
      <c r="AJ637" s="379"/>
      <c r="AK637" s="156"/>
      <c r="AL637" s="379"/>
      <c r="AM637" s="50"/>
      <c r="AN637" s="50"/>
    </row>
    <row r="638" spans="1:40" x14ac:dyDescent="0.25">
      <c r="A638" s="53"/>
      <c r="C638" s="54"/>
      <c r="T638" s="54"/>
      <c r="V638" s="379"/>
      <c r="W638" s="379"/>
      <c r="X638" s="379"/>
      <c r="Y638" s="379"/>
      <c r="Z638" s="477"/>
    </row>
    <row r="639" spans="1:40" x14ac:dyDescent="0.25">
      <c r="A639" s="53"/>
      <c r="C639" s="54"/>
      <c r="F639" s="449"/>
      <c r="H639" s="449"/>
      <c r="I639" s="449"/>
      <c r="J639" s="477"/>
      <c r="K639" s="477"/>
      <c r="L639" s="379"/>
      <c r="M639" s="379"/>
      <c r="N639" s="50"/>
      <c r="O639" s="50"/>
      <c r="P639" s="379"/>
      <c r="Q639" s="379"/>
      <c r="R639" s="379"/>
      <c r="T639" s="54"/>
      <c r="V639" s="379"/>
      <c r="W639" s="379"/>
      <c r="X639" s="379"/>
      <c r="Y639" s="379"/>
      <c r="Z639" s="477"/>
      <c r="AA639" s="379"/>
      <c r="AB639" s="379"/>
      <c r="AC639" s="50"/>
      <c r="AD639" s="50"/>
      <c r="AE639" s="379"/>
      <c r="AF639" s="379"/>
      <c r="AG639" s="156"/>
      <c r="AH639" s="60"/>
      <c r="AI639" s="379"/>
      <c r="AJ639" s="379"/>
      <c r="AK639" s="156"/>
      <c r="AL639" s="379"/>
      <c r="AM639" s="50"/>
      <c r="AN639" s="50"/>
    </row>
    <row r="640" spans="1:40" x14ac:dyDescent="0.25">
      <c r="F640" s="381"/>
      <c r="H640" s="381"/>
      <c r="I640" s="381"/>
      <c r="J640" s="464"/>
      <c r="K640" s="464"/>
      <c r="L640" s="381"/>
      <c r="M640" s="381"/>
      <c r="N640" s="381"/>
      <c r="O640" s="381"/>
      <c r="P640" s="381"/>
      <c r="Q640" s="381"/>
      <c r="R640" s="381"/>
      <c r="V640" s="381"/>
      <c r="Y640" s="381"/>
      <c r="Z640" s="464"/>
      <c r="AA640" s="381"/>
      <c r="AB640" s="381"/>
      <c r="AC640" s="381"/>
      <c r="AD640" s="381"/>
      <c r="AE640" s="381"/>
      <c r="AF640" s="381"/>
      <c r="AI640" s="381"/>
      <c r="AJ640" s="381"/>
      <c r="AK640" s="162"/>
      <c r="AL640" s="381"/>
    </row>
    <row r="641" spans="1:40" x14ac:dyDescent="0.25">
      <c r="A641" s="53"/>
      <c r="C641" s="54"/>
      <c r="F641" s="379"/>
      <c r="H641" s="379"/>
      <c r="I641" s="379"/>
      <c r="L641" s="379"/>
      <c r="M641" s="379"/>
      <c r="N641" s="50"/>
      <c r="O641" s="50"/>
      <c r="P641" s="449"/>
      <c r="Q641" s="449"/>
      <c r="R641" s="379"/>
      <c r="T641" s="54"/>
      <c r="V641" s="379"/>
      <c r="W641" s="379"/>
      <c r="X641" s="379"/>
      <c r="Y641" s="379"/>
      <c r="Z641" s="477"/>
      <c r="AA641" s="379"/>
      <c r="AB641" s="379"/>
      <c r="AC641" s="50"/>
      <c r="AD641" s="50"/>
      <c r="AE641" s="379"/>
      <c r="AF641" s="379"/>
      <c r="AG641" s="156"/>
      <c r="AH641" s="60"/>
      <c r="AI641" s="449"/>
      <c r="AJ641" s="449"/>
      <c r="AK641" s="156"/>
      <c r="AL641" s="379"/>
      <c r="AM641" s="50"/>
      <c r="AN641" s="50"/>
    </row>
    <row r="642" spans="1:40" x14ac:dyDescent="0.25">
      <c r="F642" s="381"/>
      <c r="H642" s="381"/>
      <c r="I642" s="381"/>
      <c r="J642" s="464"/>
      <c r="K642" s="464"/>
      <c r="L642" s="381"/>
      <c r="M642" s="381"/>
      <c r="N642" s="381"/>
      <c r="O642" s="381"/>
      <c r="P642" s="381"/>
      <c r="Q642" s="381"/>
      <c r="R642" s="381"/>
      <c r="V642" s="381"/>
      <c r="Y642" s="381"/>
      <c r="Z642" s="464"/>
      <c r="AA642" s="381"/>
      <c r="AB642" s="381"/>
      <c r="AC642" s="381"/>
      <c r="AD642" s="381"/>
      <c r="AE642" s="381"/>
      <c r="AF642" s="381"/>
      <c r="AI642" s="381"/>
      <c r="AJ642" s="381"/>
      <c r="AK642" s="162"/>
      <c r="AL642" s="381"/>
    </row>
    <row r="643" spans="1:40" x14ac:dyDescent="0.25">
      <c r="A643" s="53"/>
      <c r="C643" s="54"/>
      <c r="F643" s="379"/>
      <c r="H643" s="379"/>
      <c r="I643" s="379"/>
      <c r="L643" s="379"/>
      <c r="M643" s="379"/>
      <c r="N643" s="50"/>
      <c r="O643" s="50"/>
      <c r="P643" s="379"/>
      <c r="Q643" s="379"/>
      <c r="R643" s="379"/>
      <c r="T643" s="54"/>
      <c r="V643" s="379"/>
      <c r="W643" s="379"/>
      <c r="X643" s="379"/>
      <c r="Y643" s="379"/>
      <c r="AA643" s="379"/>
      <c r="AB643" s="379"/>
      <c r="AC643" s="50"/>
      <c r="AD643" s="50"/>
      <c r="AE643" s="379"/>
      <c r="AF643" s="379"/>
      <c r="AG643" s="156"/>
      <c r="AH643" s="60"/>
      <c r="AI643" s="379"/>
      <c r="AJ643" s="379"/>
      <c r="AK643" s="156"/>
      <c r="AL643" s="379"/>
      <c r="AM643" s="60"/>
      <c r="AN643" s="60"/>
    </row>
    <row r="644" spans="1:40" x14ac:dyDescent="0.25">
      <c r="F644" s="381"/>
      <c r="H644" s="381"/>
      <c r="I644" s="381"/>
      <c r="J644" s="464"/>
      <c r="K644" s="464"/>
      <c r="L644" s="381"/>
      <c r="M644" s="381"/>
      <c r="N644" s="381"/>
      <c r="O644" s="381"/>
      <c r="P644" s="381"/>
      <c r="Q644" s="381"/>
      <c r="R644" s="381"/>
      <c r="V644" s="381"/>
      <c r="Y644" s="381"/>
      <c r="Z644" s="464"/>
      <c r="AA644" s="381"/>
      <c r="AB644" s="381"/>
      <c r="AC644" s="381"/>
      <c r="AD644" s="381"/>
      <c r="AE644" s="381"/>
      <c r="AF644" s="381"/>
      <c r="AI644" s="381"/>
      <c r="AJ644" s="381"/>
      <c r="AK644" s="162"/>
      <c r="AL644" s="381"/>
    </row>
    <row r="646" spans="1:40" x14ac:dyDescent="0.25">
      <c r="C646" s="53"/>
      <c r="T646" s="53"/>
    </row>
    <row r="647" spans="1:40" x14ac:dyDescent="0.25">
      <c r="A647" s="54"/>
    </row>
    <row r="648" spans="1:40" x14ac:dyDescent="0.25">
      <c r="J648" s="53"/>
      <c r="K648" s="53"/>
      <c r="Z648" s="53"/>
    </row>
    <row r="649" spans="1:40" x14ac:dyDescent="0.25">
      <c r="H649" s="54"/>
      <c r="I649" s="54"/>
      <c r="Y649" s="54"/>
    </row>
    <row r="650" spans="1:40" x14ac:dyDescent="0.25">
      <c r="J650" s="53"/>
      <c r="K650" s="53"/>
      <c r="Z650" s="53"/>
    </row>
    <row r="651" spans="1:40" x14ac:dyDescent="0.25">
      <c r="L651" s="54"/>
      <c r="M651" s="54"/>
      <c r="AA651" s="54"/>
      <c r="AB651" s="54"/>
    </row>
    <row r="652" spans="1:40" x14ac:dyDescent="0.25">
      <c r="A652" s="53"/>
      <c r="R652" s="54"/>
      <c r="AK652" s="161"/>
      <c r="AL652" s="54"/>
    </row>
    <row r="653" spans="1:40" x14ac:dyDescent="0.25">
      <c r="A653" s="53"/>
      <c r="R653" s="54"/>
      <c r="AK653" s="161"/>
      <c r="AL653" s="54"/>
    </row>
    <row r="654" spans="1:40" x14ac:dyDescent="0.25">
      <c r="A654" s="54"/>
      <c r="R654" s="54"/>
      <c r="AK654" s="161"/>
      <c r="AL654" s="54"/>
    </row>
    <row r="655" spans="1:40" x14ac:dyDescent="0.25">
      <c r="L655" s="54"/>
      <c r="M655" s="54"/>
      <c r="R655" s="53"/>
      <c r="AA655" s="54"/>
      <c r="AB655" s="54"/>
      <c r="AK655" s="156"/>
      <c r="AL655" s="53"/>
    </row>
    <row r="656" spans="1:40" x14ac:dyDescent="0.25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154"/>
      <c r="AH656" s="55"/>
      <c r="AI656" s="55"/>
      <c r="AJ656" s="55"/>
      <c r="AK656" s="154"/>
      <c r="AL656" s="55"/>
      <c r="AM656" s="55"/>
      <c r="AN656" s="55"/>
    </row>
    <row r="657" spans="1:40" x14ac:dyDescent="0.25">
      <c r="L657" s="56"/>
      <c r="M657" s="56"/>
      <c r="N657" s="56"/>
      <c r="O657" s="56"/>
      <c r="R657" s="56"/>
      <c r="AA657" s="56"/>
      <c r="AB657" s="56"/>
      <c r="AC657" s="56"/>
      <c r="AD657" s="56"/>
      <c r="AE657" s="56"/>
      <c r="AF657" s="56"/>
      <c r="AG657" s="155"/>
      <c r="AH657" s="56"/>
      <c r="AK657" s="155"/>
      <c r="AL657" s="56"/>
      <c r="AM657" s="56"/>
      <c r="AN657" s="56"/>
    </row>
    <row r="658" spans="1:40" x14ac:dyDescent="0.25">
      <c r="L658" s="56"/>
      <c r="M658" s="56"/>
      <c r="N658" s="56"/>
      <c r="O658" s="56"/>
      <c r="R658" s="56"/>
      <c r="Z658" s="56"/>
      <c r="AA658" s="56"/>
      <c r="AB658" s="56"/>
      <c r="AC658" s="56"/>
      <c r="AD658" s="56"/>
      <c r="AE658" s="56"/>
      <c r="AF658" s="56"/>
      <c r="AG658" s="155"/>
      <c r="AH658" s="56"/>
      <c r="AK658" s="155"/>
      <c r="AL658" s="56"/>
      <c r="AM658" s="56"/>
      <c r="AN658" s="56"/>
    </row>
    <row r="659" spans="1:40" x14ac:dyDescent="0.25">
      <c r="A659" s="56"/>
      <c r="C659" s="56"/>
      <c r="D659" s="56"/>
      <c r="E659" s="56"/>
      <c r="F659" s="56"/>
      <c r="J659" s="56"/>
      <c r="K659" s="56"/>
      <c r="L659" s="56"/>
      <c r="M659" s="56"/>
      <c r="N659" s="56"/>
      <c r="O659" s="56"/>
      <c r="P659" s="56"/>
      <c r="Q659" s="56"/>
      <c r="R659" s="56"/>
      <c r="T659" s="56"/>
      <c r="U659" s="56"/>
      <c r="V659" s="56"/>
      <c r="Z659" s="56"/>
      <c r="AA659" s="56"/>
      <c r="AB659" s="56"/>
      <c r="AC659" s="56"/>
      <c r="AD659" s="56"/>
      <c r="AE659" s="56"/>
      <c r="AF659" s="56"/>
      <c r="AG659" s="155"/>
      <c r="AH659" s="56"/>
      <c r="AI659" s="56"/>
      <c r="AJ659" s="56"/>
      <c r="AK659" s="155"/>
      <c r="AL659" s="56"/>
      <c r="AM659" s="56"/>
      <c r="AN659" s="56"/>
    </row>
    <row r="660" spans="1:40" x14ac:dyDescent="0.25">
      <c r="A660" s="56"/>
      <c r="C660" s="56"/>
      <c r="D660" s="56"/>
      <c r="E660" s="56"/>
      <c r="F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T660" s="56"/>
      <c r="U660" s="56"/>
      <c r="V660" s="56"/>
      <c r="Y660" s="56"/>
      <c r="Z660" s="56"/>
      <c r="AA660" s="56"/>
      <c r="AB660" s="56"/>
      <c r="AC660" s="56"/>
      <c r="AD660" s="56"/>
      <c r="AE660" s="56"/>
      <c r="AF660" s="56"/>
      <c r="AG660" s="155"/>
      <c r="AH660" s="56"/>
      <c r="AI660" s="56"/>
      <c r="AJ660" s="56"/>
      <c r="AK660" s="155"/>
      <c r="AL660" s="56"/>
      <c r="AM660" s="56"/>
      <c r="AN660" s="56"/>
    </row>
    <row r="661" spans="1:40" x14ac:dyDescent="0.25">
      <c r="C661" s="56"/>
      <c r="D661" s="56"/>
      <c r="E661" s="56"/>
      <c r="F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T661" s="56"/>
      <c r="U661" s="56"/>
      <c r="V661" s="56"/>
      <c r="Y661" s="56"/>
      <c r="Z661" s="56"/>
      <c r="AA661" s="56"/>
      <c r="AB661" s="56"/>
      <c r="AC661" s="56"/>
      <c r="AD661" s="56"/>
      <c r="AE661" s="56"/>
      <c r="AF661" s="56"/>
      <c r="AG661" s="155"/>
      <c r="AH661" s="56"/>
      <c r="AI661" s="56"/>
      <c r="AJ661" s="56"/>
      <c r="AK661" s="155"/>
      <c r="AL661" s="56"/>
      <c r="AM661" s="56"/>
      <c r="AN661" s="56"/>
    </row>
    <row r="662" spans="1:40" x14ac:dyDescent="0.25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154"/>
      <c r="AH662" s="55"/>
      <c r="AI662" s="55"/>
      <c r="AJ662" s="55"/>
      <c r="AK662" s="154"/>
      <c r="AL662" s="55"/>
      <c r="AM662" s="55"/>
      <c r="AN662" s="55"/>
    </row>
    <row r="663" spans="1:40" x14ac:dyDescent="0.25"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Y663" s="56"/>
      <c r="Z663" s="56"/>
      <c r="AA663" s="56"/>
      <c r="AB663" s="56"/>
      <c r="AC663" s="56"/>
      <c r="AD663" s="56"/>
      <c r="AE663" s="56"/>
      <c r="AF663" s="56"/>
      <c r="AG663" s="155"/>
      <c r="AH663" s="56"/>
      <c r="AI663" s="56"/>
      <c r="AJ663" s="56"/>
      <c r="AK663" s="155"/>
      <c r="AL663" s="56"/>
      <c r="AM663" s="56"/>
      <c r="AN663" s="56"/>
    </row>
    <row r="664" spans="1:40" x14ac:dyDescent="0.25">
      <c r="A664" s="53"/>
      <c r="C664" s="54"/>
      <c r="D664" s="54"/>
      <c r="E664" s="54"/>
      <c r="F664" s="379"/>
      <c r="H664" s="379"/>
      <c r="I664" s="379"/>
      <c r="J664" s="59"/>
      <c r="K664" s="59"/>
      <c r="L664" s="379"/>
      <c r="M664" s="379"/>
      <c r="N664" s="59"/>
      <c r="O664" s="59"/>
      <c r="P664" s="379"/>
      <c r="Q664" s="379"/>
      <c r="R664" s="379"/>
      <c r="T664" s="54"/>
      <c r="U664" s="54"/>
      <c r="V664" s="379"/>
      <c r="Y664" s="379"/>
      <c r="Z664" s="59"/>
      <c r="AA664" s="379"/>
      <c r="AB664" s="379"/>
      <c r="AC664" s="59"/>
      <c r="AD664" s="59"/>
      <c r="AE664" s="379"/>
      <c r="AF664" s="379"/>
      <c r="AG664" s="156"/>
      <c r="AH664" s="60"/>
      <c r="AI664" s="379"/>
      <c r="AJ664" s="379"/>
      <c r="AK664" s="156"/>
      <c r="AL664" s="379"/>
      <c r="AM664" s="50"/>
      <c r="AN664" s="50"/>
    </row>
    <row r="665" spans="1:40" x14ac:dyDescent="0.25">
      <c r="F665" s="381"/>
      <c r="H665" s="381"/>
      <c r="I665" s="381"/>
      <c r="J665" s="464"/>
      <c r="K665" s="464"/>
      <c r="L665" s="381"/>
      <c r="M665" s="381"/>
      <c r="N665" s="381"/>
      <c r="O665" s="381"/>
      <c r="P665" s="381"/>
      <c r="Q665" s="381"/>
      <c r="R665" s="381"/>
      <c r="V665" s="381"/>
      <c r="Y665" s="381"/>
      <c r="Z665" s="464"/>
      <c r="AA665" s="381"/>
      <c r="AB665" s="381"/>
      <c r="AC665" s="381"/>
      <c r="AD665" s="381"/>
      <c r="AE665" s="381"/>
      <c r="AF665" s="381"/>
      <c r="AI665" s="381"/>
      <c r="AJ665" s="381"/>
      <c r="AK665" s="162"/>
      <c r="AL665" s="381"/>
      <c r="AM665" s="50"/>
      <c r="AN665" s="50"/>
    </row>
    <row r="666" spans="1:40" x14ac:dyDescent="0.25">
      <c r="A666" s="53"/>
      <c r="C666" s="54"/>
      <c r="F666" s="379"/>
      <c r="H666" s="379"/>
      <c r="I666" s="379"/>
      <c r="J666" s="59"/>
      <c r="K666" s="59"/>
      <c r="L666" s="379"/>
      <c r="M666" s="379"/>
      <c r="N666" s="59"/>
      <c r="O666" s="59"/>
      <c r="P666" s="379"/>
      <c r="Q666" s="379"/>
      <c r="R666" s="379"/>
      <c r="T666" s="54"/>
      <c r="V666" s="379"/>
      <c r="Y666" s="379"/>
      <c r="Z666" s="59"/>
      <c r="AA666" s="379"/>
      <c r="AB666" s="379"/>
      <c r="AC666" s="59"/>
      <c r="AD666" s="59"/>
      <c r="AE666" s="379"/>
      <c r="AF666" s="379"/>
      <c r="AG666" s="156"/>
      <c r="AH666" s="60"/>
      <c r="AI666" s="379"/>
      <c r="AJ666" s="379"/>
      <c r="AK666" s="156"/>
      <c r="AL666" s="379"/>
      <c r="AM666" s="50"/>
      <c r="AN666" s="50"/>
    </row>
    <row r="667" spans="1:40" x14ac:dyDescent="0.25">
      <c r="F667" s="379"/>
      <c r="H667" s="379"/>
      <c r="I667" s="379"/>
      <c r="J667" s="59"/>
      <c r="K667" s="59"/>
      <c r="L667" s="379"/>
      <c r="M667" s="379"/>
      <c r="N667" s="59"/>
      <c r="O667" s="59"/>
      <c r="P667" s="379"/>
      <c r="Q667" s="379"/>
      <c r="R667" s="379"/>
      <c r="V667" s="379"/>
      <c r="Y667" s="379"/>
      <c r="Z667" s="59"/>
      <c r="AA667" s="379"/>
      <c r="AB667" s="379"/>
      <c r="AC667" s="59"/>
      <c r="AD667" s="59"/>
      <c r="AG667" s="156"/>
      <c r="AH667" s="60"/>
      <c r="AI667" s="379"/>
      <c r="AJ667" s="379"/>
      <c r="AK667" s="156"/>
      <c r="AL667" s="379"/>
      <c r="AM667" s="50"/>
      <c r="AN667" s="50"/>
    </row>
    <row r="668" spans="1:40" x14ac:dyDescent="0.25">
      <c r="A668" s="53"/>
      <c r="C668" s="54"/>
      <c r="D668" s="54"/>
      <c r="E668" s="54"/>
      <c r="F668" s="379"/>
      <c r="H668" s="379"/>
      <c r="I668" s="379"/>
      <c r="J668" s="59"/>
      <c r="K668" s="59"/>
      <c r="L668" s="379"/>
      <c r="M668" s="379"/>
      <c r="N668" s="59"/>
      <c r="O668" s="59"/>
      <c r="P668" s="379"/>
      <c r="Q668" s="379"/>
      <c r="R668" s="379"/>
      <c r="T668" s="54"/>
      <c r="U668" s="54"/>
      <c r="V668" s="379"/>
      <c r="Y668" s="379"/>
      <c r="Z668" s="59"/>
      <c r="AA668" s="379"/>
      <c r="AB668" s="379"/>
      <c r="AC668" s="59"/>
      <c r="AD668" s="59"/>
      <c r="AE668" s="379"/>
      <c r="AF668" s="379"/>
      <c r="AG668" s="156"/>
      <c r="AH668" s="60"/>
      <c r="AI668" s="379"/>
      <c r="AJ668" s="379"/>
      <c r="AK668" s="156"/>
      <c r="AL668" s="379"/>
      <c r="AM668" s="50"/>
      <c r="AN668" s="50"/>
    </row>
    <row r="669" spans="1:40" x14ac:dyDescent="0.25">
      <c r="A669" s="53"/>
      <c r="C669" s="54"/>
      <c r="D669" s="54"/>
      <c r="E669" s="54"/>
      <c r="F669" s="379"/>
      <c r="H669" s="379"/>
      <c r="I669" s="379"/>
      <c r="J669" s="59"/>
      <c r="K669" s="59"/>
      <c r="L669" s="379"/>
      <c r="M669" s="379"/>
      <c r="N669" s="59"/>
      <c r="O669" s="59"/>
      <c r="P669" s="379"/>
      <c r="Q669" s="379"/>
      <c r="R669" s="379"/>
      <c r="T669" s="54"/>
      <c r="U669" s="54"/>
      <c r="V669" s="379"/>
      <c r="Y669" s="379"/>
      <c r="Z669" s="59"/>
      <c r="AA669" s="379"/>
      <c r="AB669" s="379"/>
      <c r="AC669" s="59"/>
      <c r="AD669" s="59"/>
      <c r="AE669" s="379"/>
      <c r="AF669" s="379"/>
      <c r="AG669" s="156"/>
      <c r="AH669" s="60"/>
      <c r="AI669" s="379"/>
      <c r="AJ669" s="379"/>
      <c r="AK669" s="156"/>
      <c r="AL669" s="379"/>
      <c r="AM669" s="50"/>
      <c r="AN669" s="50"/>
    </row>
    <row r="670" spans="1:40" x14ac:dyDescent="0.25">
      <c r="A670" s="53"/>
      <c r="C670" s="54"/>
      <c r="D670" s="54"/>
      <c r="E670" s="54"/>
      <c r="F670" s="379"/>
      <c r="H670" s="379"/>
      <c r="I670" s="379"/>
      <c r="J670" s="59"/>
      <c r="K670" s="59"/>
      <c r="L670" s="379"/>
      <c r="M670" s="379"/>
      <c r="N670" s="59"/>
      <c r="O670" s="59"/>
      <c r="P670" s="379"/>
      <c r="Q670" s="379"/>
      <c r="R670" s="379"/>
      <c r="T670" s="54"/>
      <c r="U670" s="54"/>
      <c r="V670" s="379"/>
      <c r="Y670" s="379"/>
      <c r="Z670" s="59"/>
      <c r="AA670" s="379"/>
      <c r="AB670" s="379"/>
      <c r="AC670" s="59"/>
      <c r="AD670" s="59"/>
      <c r="AE670" s="379"/>
      <c r="AF670" s="379"/>
      <c r="AG670" s="156"/>
      <c r="AH670" s="60"/>
      <c r="AI670" s="379"/>
      <c r="AJ670" s="379"/>
      <c r="AK670" s="156"/>
      <c r="AL670" s="379"/>
      <c r="AM670" s="50"/>
      <c r="AN670" s="50"/>
    </row>
    <row r="671" spans="1:40" x14ac:dyDescent="0.25">
      <c r="A671" s="53"/>
      <c r="C671" s="54"/>
      <c r="D671" s="54"/>
      <c r="E671" s="54"/>
      <c r="F671" s="379"/>
      <c r="H671" s="379"/>
      <c r="I671" s="379"/>
      <c r="J671" s="59"/>
      <c r="K671" s="59"/>
      <c r="L671" s="379"/>
      <c r="M671" s="379"/>
      <c r="N671" s="59"/>
      <c r="O671" s="59"/>
      <c r="P671" s="379"/>
      <c r="Q671" s="379"/>
      <c r="R671" s="379"/>
      <c r="T671" s="54"/>
      <c r="U671" s="54"/>
      <c r="V671" s="379"/>
      <c r="Y671" s="379"/>
      <c r="Z671" s="59"/>
      <c r="AA671" s="379"/>
      <c r="AB671" s="379"/>
      <c r="AC671" s="59"/>
      <c r="AD671" s="59"/>
      <c r="AE671" s="379"/>
      <c r="AF671" s="379"/>
      <c r="AG671" s="156"/>
      <c r="AH671" s="60"/>
      <c r="AI671" s="379"/>
      <c r="AJ671" s="379"/>
      <c r="AK671" s="156"/>
      <c r="AL671" s="379"/>
      <c r="AM671" s="50"/>
      <c r="AN671" s="50"/>
    </row>
    <row r="672" spans="1:40" x14ac:dyDescent="0.25">
      <c r="A672" s="53"/>
      <c r="C672" s="54"/>
      <c r="D672" s="54"/>
      <c r="E672" s="54"/>
      <c r="F672" s="379"/>
      <c r="H672" s="379"/>
      <c r="I672" s="379"/>
      <c r="J672" s="59"/>
      <c r="K672" s="59"/>
      <c r="L672" s="379"/>
      <c r="M672" s="379"/>
      <c r="N672" s="59"/>
      <c r="O672" s="59"/>
      <c r="P672" s="379"/>
      <c r="Q672" s="379"/>
      <c r="R672" s="379"/>
      <c r="T672" s="54"/>
      <c r="U672" s="54"/>
      <c r="V672" s="379"/>
      <c r="Y672" s="379"/>
      <c r="Z672" s="59"/>
      <c r="AA672" s="379"/>
      <c r="AB672" s="379"/>
      <c r="AC672" s="59"/>
      <c r="AD672" s="59"/>
      <c r="AE672" s="379"/>
      <c r="AF672" s="379"/>
      <c r="AG672" s="156"/>
      <c r="AH672" s="60"/>
      <c r="AI672" s="379"/>
      <c r="AJ672" s="379"/>
      <c r="AK672" s="156"/>
      <c r="AL672" s="379"/>
      <c r="AM672" s="50"/>
      <c r="AN672" s="50"/>
    </row>
    <row r="673" spans="1:40" x14ac:dyDescent="0.25">
      <c r="A673" s="53"/>
      <c r="C673" s="54"/>
      <c r="D673" s="54"/>
      <c r="E673" s="54"/>
      <c r="F673" s="379"/>
      <c r="H673" s="379"/>
      <c r="I673" s="379"/>
      <c r="J673" s="59"/>
      <c r="K673" s="59"/>
      <c r="L673" s="379"/>
      <c r="M673" s="379"/>
      <c r="N673" s="59"/>
      <c r="O673" s="59"/>
      <c r="P673" s="379"/>
      <c r="Q673" s="379"/>
      <c r="R673" s="379"/>
      <c r="T673" s="54"/>
      <c r="U673" s="54"/>
      <c r="V673" s="379"/>
      <c r="Y673" s="379"/>
      <c r="Z673" s="59"/>
      <c r="AA673" s="379"/>
      <c r="AB673" s="379"/>
      <c r="AC673" s="59"/>
      <c r="AD673" s="59"/>
      <c r="AE673" s="379"/>
      <c r="AF673" s="379"/>
      <c r="AG673" s="156"/>
      <c r="AH673" s="60"/>
      <c r="AI673" s="379"/>
      <c r="AJ673" s="379"/>
      <c r="AK673" s="156"/>
      <c r="AL673" s="379"/>
      <c r="AM673" s="50"/>
      <c r="AN673" s="50"/>
    </row>
    <row r="674" spans="1:40" x14ac:dyDescent="0.25">
      <c r="F674" s="381"/>
      <c r="H674" s="381"/>
      <c r="I674" s="381"/>
      <c r="J674" s="464"/>
      <c r="K674" s="464"/>
      <c r="L674" s="381"/>
      <c r="M674" s="381"/>
      <c r="N674" s="381"/>
      <c r="O674" s="381"/>
      <c r="P674" s="381"/>
      <c r="Q674" s="381"/>
      <c r="R674" s="381"/>
      <c r="V674" s="381"/>
      <c r="Y674" s="381"/>
      <c r="Z674" s="464"/>
      <c r="AA674" s="381"/>
      <c r="AB674" s="381"/>
      <c r="AC674" s="381"/>
      <c r="AD674" s="381"/>
      <c r="AE674" s="381"/>
      <c r="AF674" s="381"/>
      <c r="AI674" s="381"/>
      <c r="AJ674" s="381"/>
      <c r="AK674" s="162"/>
      <c r="AL674" s="381"/>
      <c r="AM674" s="50"/>
      <c r="AN674" s="50"/>
    </row>
    <row r="675" spans="1:40" x14ac:dyDescent="0.25">
      <c r="A675" s="53"/>
      <c r="C675" s="54"/>
      <c r="F675" s="379"/>
      <c r="H675" s="379"/>
      <c r="I675" s="379"/>
      <c r="J675" s="59"/>
      <c r="K675" s="59"/>
      <c r="L675" s="379"/>
      <c r="M675" s="379"/>
      <c r="N675" s="59"/>
      <c r="O675" s="59"/>
      <c r="P675" s="379"/>
      <c r="Q675" s="379"/>
      <c r="R675" s="379"/>
      <c r="T675" s="54"/>
      <c r="V675" s="379"/>
      <c r="Y675" s="379"/>
      <c r="Z675" s="59"/>
      <c r="AA675" s="379"/>
      <c r="AB675" s="379"/>
      <c r="AC675" s="59"/>
      <c r="AD675" s="59"/>
      <c r="AE675" s="379"/>
      <c r="AF675" s="379"/>
      <c r="AG675" s="156"/>
      <c r="AH675" s="60"/>
      <c r="AI675" s="379"/>
      <c r="AJ675" s="379"/>
      <c r="AK675" s="156"/>
      <c r="AL675" s="379"/>
      <c r="AM675" s="50"/>
      <c r="AN675" s="50"/>
    </row>
    <row r="676" spans="1:40" x14ac:dyDescent="0.25">
      <c r="F676" s="379"/>
      <c r="H676" s="379"/>
      <c r="I676" s="379"/>
      <c r="J676" s="59"/>
      <c r="K676" s="59"/>
      <c r="L676" s="379"/>
      <c r="M676" s="379"/>
      <c r="N676" s="59"/>
      <c r="O676" s="59"/>
      <c r="P676" s="379"/>
      <c r="Q676" s="379"/>
      <c r="R676" s="379"/>
      <c r="V676" s="379"/>
      <c r="Y676" s="379"/>
      <c r="Z676" s="59"/>
      <c r="AA676" s="379"/>
      <c r="AB676" s="379"/>
      <c r="AC676" s="59"/>
      <c r="AD676" s="59"/>
      <c r="AG676" s="156"/>
      <c r="AH676" s="60"/>
      <c r="AI676" s="379"/>
      <c r="AJ676" s="379"/>
      <c r="AK676" s="156"/>
      <c r="AL676" s="379"/>
      <c r="AM676" s="50"/>
      <c r="AN676" s="50"/>
    </row>
    <row r="677" spans="1:40" x14ac:dyDescent="0.25">
      <c r="A677" s="53"/>
      <c r="C677" s="54"/>
      <c r="D677" s="54"/>
      <c r="E677" s="54"/>
      <c r="F677" s="379"/>
      <c r="H677" s="379"/>
      <c r="I677" s="379"/>
      <c r="J677" s="59"/>
      <c r="K677" s="59"/>
      <c r="L677" s="379"/>
      <c r="M677" s="379"/>
      <c r="N677" s="59"/>
      <c r="O677" s="59"/>
      <c r="P677" s="379"/>
      <c r="Q677" s="379"/>
      <c r="R677" s="379"/>
      <c r="T677" s="54"/>
      <c r="U677" s="54"/>
      <c r="V677" s="379"/>
      <c r="Y677" s="379"/>
      <c r="Z677" s="59"/>
      <c r="AA677" s="379"/>
      <c r="AB677" s="379"/>
      <c r="AC677" s="59"/>
      <c r="AD677" s="59"/>
      <c r="AE677" s="379"/>
      <c r="AF677" s="379"/>
      <c r="AG677" s="156"/>
      <c r="AH677" s="60"/>
      <c r="AI677" s="379"/>
      <c r="AJ677" s="379"/>
      <c r="AK677" s="156"/>
      <c r="AL677" s="379"/>
      <c r="AM677" s="50"/>
      <c r="AN677" s="50"/>
    </row>
    <row r="678" spans="1:40" x14ac:dyDescent="0.25">
      <c r="F678" s="381"/>
      <c r="H678" s="381"/>
      <c r="I678" s="381"/>
      <c r="J678" s="464"/>
      <c r="K678" s="464"/>
      <c r="L678" s="381"/>
      <c r="M678" s="381"/>
      <c r="N678" s="381"/>
      <c r="O678" s="381"/>
      <c r="P678" s="381"/>
      <c r="Q678" s="381"/>
      <c r="R678" s="381"/>
      <c r="V678" s="381"/>
      <c r="Y678" s="381"/>
      <c r="Z678" s="464"/>
      <c r="AA678" s="381"/>
      <c r="AB678" s="381"/>
      <c r="AC678" s="381"/>
      <c r="AD678" s="381"/>
      <c r="AE678" s="381"/>
      <c r="AF678" s="381"/>
      <c r="AI678" s="381"/>
      <c r="AJ678" s="381"/>
      <c r="AK678" s="162"/>
      <c r="AL678" s="381"/>
      <c r="AM678" s="50"/>
      <c r="AN678" s="50"/>
    </row>
    <row r="679" spans="1:40" x14ac:dyDescent="0.25">
      <c r="A679" s="53"/>
      <c r="C679" s="54"/>
      <c r="F679" s="379"/>
      <c r="H679" s="379"/>
      <c r="I679" s="379"/>
      <c r="J679" s="59"/>
      <c r="K679" s="59"/>
      <c r="L679" s="379"/>
      <c r="M679" s="379"/>
      <c r="N679" s="59"/>
      <c r="O679" s="59"/>
      <c r="P679" s="379"/>
      <c r="Q679" s="379"/>
      <c r="R679" s="379"/>
      <c r="T679" s="54"/>
      <c r="V679" s="379"/>
      <c r="Y679" s="379"/>
      <c r="Z679" s="59"/>
      <c r="AA679" s="379"/>
      <c r="AB679" s="379"/>
      <c r="AC679" s="59"/>
      <c r="AD679" s="59"/>
      <c r="AE679" s="379"/>
      <c r="AF679" s="379"/>
      <c r="AG679" s="156"/>
      <c r="AH679" s="60"/>
      <c r="AI679" s="379"/>
      <c r="AJ679" s="379"/>
      <c r="AK679" s="156"/>
      <c r="AL679" s="379"/>
      <c r="AM679" s="50"/>
      <c r="AN679" s="50"/>
    </row>
    <row r="680" spans="1:40" x14ac:dyDescent="0.25">
      <c r="F680" s="379"/>
      <c r="H680" s="379"/>
      <c r="I680" s="379"/>
      <c r="J680" s="59"/>
      <c r="K680" s="59"/>
      <c r="L680" s="379"/>
      <c r="M680" s="379"/>
      <c r="N680" s="59"/>
      <c r="O680" s="59"/>
      <c r="P680" s="379"/>
      <c r="Q680" s="379"/>
      <c r="R680" s="379"/>
      <c r="V680" s="379"/>
      <c r="Y680" s="379"/>
      <c r="Z680" s="59"/>
      <c r="AA680" s="379"/>
      <c r="AB680" s="379"/>
      <c r="AC680" s="59"/>
      <c r="AD680" s="59"/>
      <c r="AG680" s="156"/>
      <c r="AH680" s="60"/>
      <c r="AI680" s="379"/>
      <c r="AJ680" s="379"/>
      <c r="AK680" s="156"/>
      <c r="AL680" s="379"/>
      <c r="AM680" s="50"/>
      <c r="AN680" s="50"/>
    </row>
    <row r="681" spans="1:40" x14ac:dyDescent="0.25">
      <c r="A681" s="53"/>
      <c r="C681" s="54"/>
      <c r="D681" s="54"/>
      <c r="E681" s="54"/>
      <c r="F681" s="379"/>
      <c r="H681" s="379"/>
      <c r="I681" s="379"/>
      <c r="J681" s="59"/>
      <c r="K681" s="59"/>
      <c r="L681" s="379"/>
      <c r="M681" s="379"/>
      <c r="N681" s="59"/>
      <c r="O681" s="59"/>
      <c r="P681" s="379"/>
      <c r="Q681" s="379"/>
      <c r="R681" s="379"/>
      <c r="T681" s="54"/>
      <c r="U681" s="54"/>
      <c r="V681" s="379"/>
      <c r="Y681" s="379"/>
      <c r="Z681" s="59"/>
      <c r="AA681" s="379"/>
      <c r="AB681" s="379"/>
      <c r="AC681" s="59"/>
      <c r="AD681" s="59"/>
      <c r="AE681" s="379"/>
      <c r="AF681" s="379"/>
      <c r="AG681" s="156"/>
      <c r="AH681" s="60"/>
      <c r="AI681" s="379"/>
      <c r="AJ681" s="379"/>
      <c r="AK681" s="156"/>
      <c r="AL681" s="379"/>
      <c r="AM681" s="50"/>
      <c r="AN681" s="50"/>
    </row>
    <row r="682" spans="1:40" x14ac:dyDescent="0.25">
      <c r="A682" s="53"/>
      <c r="C682" s="54"/>
      <c r="D682" s="54"/>
      <c r="E682" s="54"/>
      <c r="F682" s="379"/>
      <c r="G682" s="379"/>
      <c r="H682" s="379"/>
      <c r="I682" s="379"/>
      <c r="J682" s="59"/>
      <c r="K682" s="59"/>
      <c r="L682" s="379"/>
      <c r="M682" s="379"/>
      <c r="N682" s="59"/>
      <c r="O682" s="59"/>
      <c r="P682" s="379"/>
      <c r="Q682" s="379"/>
      <c r="R682" s="379"/>
      <c r="T682" s="54"/>
      <c r="U682" s="54"/>
      <c r="V682" s="379"/>
      <c r="W682" s="379"/>
      <c r="X682" s="379"/>
      <c r="Y682" s="379"/>
      <c r="Z682" s="59"/>
      <c r="AA682" s="379"/>
      <c r="AB682" s="379"/>
      <c r="AC682" s="59"/>
      <c r="AD682" s="59"/>
      <c r="AE682" s="379"/>
      <c r="AF682" s="379"/>
      <c r="AG682" s="156"/>
      <c r="AH682" s="60"/>
      <c r="AI682" s="379"/>
      <c r="AJ682" s="379"/>
      <c r="AK682" s="156"/>
      <c r="AL682" s="379"/>
      <c r="AM682" s="50"/>
      <c r="AN682" s="50"/>
    </row>
    <row r="683" spans="1:40" x14ac:dyDescent="0.25">
      <c r="A683" s="53"/>
      <c r="C683" s="54"/>
      <c r="D683" s="54"/>
      <c r="E683" s="54"/>
      <c r="F683" s="379"/>
      <c r="G683" s="379"/>
      <c r="H683" s="379"/>
      <c r="I683" s="379"/>
      <c r="J683" s="59"/>
      <c r="K683" s="59"/>
      <c r="L683" s="379"/>
      <c r="M683" s="379"/>
      <c r="N683" s="59"/>
      <c r="O683" s="59"/>
      <c r="P683" s="379"/>
      <c r="Q683" s="379"/>
      <c r="R683" s="379"/>
      <c r="T683" s="54"/>
      <c r="U683" s="54"/>
      <c r="V683" s="379"/>
      <c r="W683" s="379"/>
      <c r="X683" s="379"/>
      <c r="Y683" s="379"/>
      <c r="Z683" s="59"/>
      <c r="AA683" s="379"/>
      <c r="AB683" s="379"/>
      <c r="AC683" s="59"/>
      <c r="AD683" s="59"/>
      <c r="AE683" s="379"/>
      <c r="AF683" s="379"/>
      <c r="AG683" s="156"/>
      <c r="AH683" s="60"/>
      <c r="AI683" s="379"/>
      <c r="AJ683" s="379"/>
      <c r="AK683" s="156"/>
      <c r="AL683" s="379"/>
      <c r="AM683" s="50"/>
      <c r="AN683" s="50"/>
    </row>
    <row r="684" spans="1:40" x14ac:dyDescent="0.25">
      <c r="A684" s="53"/>
      <c r="C684" s="54"/>
      <c r="D684" s="54"/>
      <c r="E684" s="54"/>
      <c r="F684" s="379"/>
      <c r="H684" s="379"/>
      <c r="I684" s="379"/>
      <c r="J684" s="59"/>
      <c r="K684" s="59"/>
      <c r="L684" s="379"/>
      <c r="M684" s="379"/>
      <c r="N684" s="59"/>
      <c r="O684" s="59"/>
      <c r="P684" s="379"/>
      <c r="Q684" s="379"/>
      <c r="R684" s="379"/>
      <c r="T684" s="54"/>
      <c r="U684" s="54"/>
      <c r="V684" s="379"/>
      <c r="Y684" s="379"/>
      <c r="Z684" s="59"/>
      <c r="AA684" s="379"/>
      <c r="AB684" s="379"/>
      <c r="AC684" s="59"/>
      <c r="AD684" s="59"/>
      <c r="AE684" s="379"/>
      <c r="AF684" s="379"/>
      <c r="AG684" s="156"/>
      <c r="AH684" s="60"/>
      <c r="AI684" s="379"/>
      <c r="AJ684" s="379"/>
      <c r="AK684" s="156"/>
      <c r="AL684" s="379"/>
      <c r="AM684" s="50"/>
      <c r="AN684" s="50"/>
    </row>
    <row r="685" spans="1:40" x14ac:dyDescent="0.25">
      <c r="A685" s="53"/>
      <c r="C685" s="54"/>
      <c r="D685" s="54"/>
      <c r="E685" s="54"/>
      <c r="F685" s="379"/>
      <c r="H685" s="379"/>
      <c r="I685" s="379"/>
      <c r="J685" s="59"/>
      <c r="K685" s="59"/>
      <c r="L685" s="379"/>
      <c r="M685" s="379"/>
      <c r="N685" s="59"/>
      <c r="O685" s="59"/>
      <c r="P685" s="379"/>
      <c r="Q685" s="379"/>
      <c r="R685" s="379"/>
      <c r="T685" s="54"/>
      <c r="U685" s="54"/>
      <c r="V685" s="379"/>
      <c r="Y685" s="379"/>
      <c r="Z685" s="59"/>
      <c r="AA685" s="379"/>
      <c r="AB685" s="379"/>
      <c r="AC685" s="59"/>
      <c r="AD685" s="59"/>
      <c r="AE685" s="379"/>
      <c r="AF685" s="379"/>
      <c r="AG685" s="156"/>
      <c r="AH685" s="60"/>
      <c r="AI685" s="379"/>
      <c r="AJ685" s="379"/>
      <c r="AK685" s="156"/>
      <c r="AL685" s="379"/>
      <c r="AM685" s="50"/>
      <c r="AN685" s="50"/>
    </row>
    <row r="686" spans="1:40" x14ac:dyDescent="0.25">
      <c r="A686" s="53"/>
      <c r="C686" s="54"/>
      <c r="D686" s="54"/>
      <c r="E686" s="54"/>
      <c r="F686" s="379"/>
      <c r="H686" s="379"/>
      <c r="I686" s="379"/>
      <c r="J686" s="59"/>
      <c r="K686" s="59"/>
      <c r="L686" s="379"/>
      <c r="M686" s="379"/>
      <c r="N686" s="59"/>
      <c r="O686" s="59"/>
      <c r="P686" s="379"/>
      <c r="Q686" s="379"/>
      <c r="R686" s="379"/>
      <c r="T686" s="54"/>
      <c r="U686" s="54"/>
      <c r="V686" s="379"/>
      <c r="Y686" s="379"/>
      <c r="Z686" s="59"/>
      <c r="AA686" s="379"/>
      <c r="AB686" s="379"/>
      <c r="AC686" s="59"/>
      <c r="AD686" s="59"/>
      <c r="AE686" s="379"/>
      <c r="AF686" s="379"/>
      <c r="AG686" s="156"/>
      <c r="AH686" s="60"/>
      <c r="AI686" s="379"/>
      <c r="AJ686" s="379"/>
      <c r="AK686" s="156"/>
      <c r="AL686" s="379"/>
      <c r="AM686" s="50"/>
      <c r="AN686" s="50"/>
    </row>
    <row r="687" spans="1:40" x14ac:dyDescent="0.25">
      <c r="A687" s="53"/>
      <c r="C687" s="54"/>
      <c r="D687" s="54"/>
      <c r="E687" s="54"/>
      <c r="F687" s="379"/>
      <c r="H687" s="379"/>
      <c r="I687" s="379"/>
      <c r="J687" s="59"/>
      <c r="K687" s="59"/>
      <c r="L687" s="379"/>
      <c r="M687" s="379"/>
      <c r="N687" s="59"/>
      <c r="O687" s="59"/>
      <c r="P687" s="379"/>
      <c r="Q687" s="379"/>
      <c r="R687" s="379"/>
      <c r="T687" s="54"/>
      <c r="U687" s="54"/>
      <c r="V687" s="379"/>
      <c r="Y687" s="379"/>
      <c r="Z687" s="59"/>
      <c r="AA687" s="379"/>
      <c r="AB687" s="379"/>
      <c r="AC687" s="59"/>
      <c r="AD687" s="59"/>
      <c r="AE687" s="379"/>
      <c r="AF687" s="379"/>
      <c r="AG687" s="156"/>
      <c r="AH687" s="60"/>
      <c r="AI687" s="379"/>
      <c r="AJ687" s="379"/>
      <c r="AK687" s="156"/>
      <c r="AL687" s="379"/>
      <c r="AM687" s="50"/>
      <c r="AN687" s="50"/>
    </row>
    <row r="688" spans="1:40" x14ac:dyDescent="0.25">
      <c r="F688" s="381"/>
      <c r="H688" s="381"/>
      <c r="I688" s="381"/>
      <c r="J688" s="464"/>
      <c r="K688" s="464"/>
      <c r="L688" s="381"/>
      <c r="M688" s="381"/>
      <c r="N688" s="381"/>
      <c r="O688" s="381"/>
      <c r="P688" s="381"/>
      <c r="Q688" s="381"/>
      <c r="R688" s="381"/>
      <c r="V688" s="381"/>
      <c r="Y688" s="381"/>
      <c r="Z688" s="464"/>
      <c r="AA688" s="381"/>
      <c r="AB688" s="381"/>
      <c r="AC688" s="381"/>
      <c r="AD688" s="381"/>
      <c r="AE688" s="381"/>
      <c r="AF688" s="381"/>
      <c r="AI688" s="381"/>
      <c r="AJ688" s="381"/>
      <c r="AK688" s="162"/>
      <c r="AL688" s="381"/>
      <c r="AM688" s="50"/>
      <c r="AN688" s="50"/>
    </row>
    <row r="689" spans="1:40" x14ac:dyDescent="0.25">
      <c r="A689" s="53"/>
      <c r="C689" s="54"/>
      <c r="F689" s="379"/>
      <c r="H689" s="379"/>
      <c r="I689" s="379"/>
      <c r="J689" s="59"/>
      <c r="K689" s="59"/>
      <c r="L689" s="379"/>
      <c r="M689" s="379"/>
      <c r="N689" s="59"/>
      <c r="O689" s="59"/>
      <c r="P689" s="379"/>
      <c r="Q689" s="379"/>
      <c r="R689" s="379"/>
      <c r="T689" s="54"/>
      <c r="V689" s="379"/>
      <c r="Y689" s="379"/>
      <c r="Z689" s="59"/>
      <c r="AA689" s="379"/>
      <c r="AB689" s="379"/>
      <c r="AC689" s="59"/>
      <c r="AD689" s="59"/>
      <c r="AE689" s="379"/>
      <c r="AF689" s="379"/>
      <c r="AG689" s="156"/>
      <c r="AH689" s="60"/>
      <c r="AI689" s="379"/>
      <c r="AJ689" s="379"/>
      <c r="AK689" s="156"/>
      <c r="AL689" s="379"/>
      <c r="AM689" s="50"/>
      <c r="AN689" s="50"/>
    </row>
    <row r="690" spans="1:40" x14ac:dyDescent="0.25">
      <c r="V690" s="379"/>
      <c r="Y690" s="379"/>
      <c r="Z690" s="464"/>
      <c r="AA690" s="379"/>
      <c r="AB690" s="379"/>
      <c r="AC690" s="379"/>
      <c r="AD690" s="379"/>
      <c r="AE690" s="379"/>
      <c r="AF690" s="379"/>
      <c r="AI690" s="379"/>
      <c r="AJ690" s="379"/>
      <c r="AK690" s="156"/>
      <c r="AL690" s="379"/>
      <c r="AM690" s="50"/>
      <c r="AN690" s="50"/>
    </row>
    <row r="691" spans="1:40" x14ac:dyDescent="0.25">
      <c r="A691" s="53"/>
      <c r="C691" s="54"/>
      <c r="D691" s="54"/>
      <c r="E691" s="54"/>
      <c r="L691" s="379"/>
      <c r="M691" s="379"/>
      <c r="N691" s="59"/>
      <c r="O691" s="59"/>
      <c r="P691" s="53"/>
      <c r="Q691" s="53"/>
      <c r="R691" s="379"/>
      <c r="T691" s="54"/>
      <c r="U691" s="54"/>
      <c r="AA691" s="379"/>
      <c r="AB691" s="379"/>
      <c r="AC691" s="59"/>
      <c r="AD691" s="59"/>
      <c r="AE691" s="379"/>
      <c r="AF691" s="379"/>
      <c r="AG691" s="156"/>
      <c r="AH691" s="60"/>
      <c r="AI691" s="53"/>
      <c r="AJ691" s="53"/>
      <c r="AK691" s="156"/>
      <c r="AL691" s="379"/>
      <c r="AM691" s="50"/>
      <c r="AN691" s="50"/>
    </row>
    <row r="692" spans="1:40" x14ac:dyDescent="0.25">
      <c r="A692" s="53"/>
      <c r="D692" s="54"/>
      <c r="E692" s="54"/>
      <c r="F692" s="449"/>
      <c r="H692" s="449"/>
      <c r="I692" s="449"/>
      <c r="J692" s="59"/>
      <c r="K692" s="59"/>
      <c r="L692" s="379"/>
      <c r="M692" s="379"/>
      <c r="N692" s="59"/>
      <c r="O692" s="59"/>
      <c r="P692" s="449"/>
      <c r="Q692" s="449"/>
      <c r="R692" s="379"/>
      <c r="U692" s="54"/>
      <c r="V692" s="379"/>
      <c r="Y692" s="379"/>
      <c r="Z692" s="59"/>
      <c r="AA692" s="379"/>
      <c r="AB692" s="379"/>
      <c r="AC692" s="59"/>
      <c r="AD692" s="59"/>
      <c r="AE692" s="379"/>
      <c r="AF692" s="379"/>
      <c r="AG692" s="156"/>
      <c r="AH692" s="60"/>
      <c r="AI692" s="379"/>
      <c r="AJ692" s="379"/>
      <c r="AK692" s="156"/>
      <c r="AL692" s="379"/>
      <c r="AM692" s="50"/>
      <c r="AN692" s="50"/>
    </row>
    <row r="693" spans="1:40" x14ac:dyDescent="0.25">
      <c r="F693" s="381"/>
      <c r="H693" s="381"/>
      <c r="I693" s="381"/>
      <c r="J693" s="464"/>
      <c r="K693" s="464"/>
      <c r="L693" s="381"/>
      <c r="M693" s="381"/>
      <c r="N693" s="381"/>
      <c r="O693" s="381"/>
      <c r="P693" s="381"/>
      <c r="Q693" s="381"/>
      <c r="R693" s="381"/>
      <c r="V693" s="381"/>
      <c r="Y693" s="381"/>
      <c r="Z693" s="464"/>
      <c r="AA693" s="381"/>
      <c r="AB693" s="381"/>
      <c r="AC693" s="381"/>
      <c r="AD693" s="381"/>
      <c r="AE693" s="381"/>
      <c r="AF693" s="381"/>
      <c r="AI693" s="381"/>
      <c r="AJ693" s="381"/>
      <c r="AK693" s="162"/>
      <c r="AL693" s="381"/>
      <c r="AM693" s="50"/>
      <c r="AN693" s="50"/>
    </row>
    <row r="694" spans="1:40" x14ac:dyDescent="0.25">
      <c r="A694" s="53"/>
      <c r="C694" s="54"/>
      <c r="F694" s="379"/>
      <c r="H694" s="379"/>
      <c r="I694" s="379"/>
      <c r="J694" s="59"/>
      <c r="K694" s="59"/>
      <c r="L694" s="379"/>
      <c r="M694" s="379"/>
      <c r="N694" s="59"/>
      <c r="O694" s="59"/>
      <c r="P694" s="379"/>
      <c r="Q694" s="379"/>
      <c r="R694" s="379"/>
      <c r="T694" s="54"/>
      <c r="V694" s="379"/>
      <c r="Y694" s="379"/>
      <c r="Z694" s="59"/>
      <c r="AA694" s="379"/>
      <c r="AB694" s="379"/>
      <c r="AC694" s="59"/>
      <c r="AD694" s="59"/>
      <c r="AE694" s="379"/>
      <c r="AF694" s="379"/>
      <c r="AG694" s="156"/>
      <c r="AH694" s="60"/>
      <c r="AI694" s="379"/>
      <c r="AJ694" s="379"/>
      <c r="AK694" s="156"/>
      <c r="AL694" s="379"/>
      <c r="AM694" s="50"/>
      <c r="AN694" s="50"/>
    </row>
    <row r="695" spans="1:40" x14ac:dyDescent="0.25">
      <c r="F695" s="379"/>
      <c r="H695" s="379"/>
      <c r="I695" s="379"/>
      <c r="J695" s="59"/>
      <c r="K695" s="59"/>
      <c r="L695" s="379"/>
      <c r="M695" s="379"/>
      <c r="N695" s="59"/>
      <c r="O695" s="59"/>
      <c r="P695" s="379"/>
      <c r="Q695" s="379"/>
      <c r="R695" s="379"/>
      <c r="V695" s="379"/>
      <c r="Y695" s="379"/>
      <c r="Z695" s="59"/>
      <c r="AA695" s="379"/>
      <c r="AB695" s="379"/>
      <c r="AC695" s="59"/>
      <c r="AD695" s="59"/>
      <c r="AG695" s="156"/>
      <c r="AH695" s="60"/>
      <c r="AI695" s="379"/>
      <c r="AJ695" s="379"/>
      <c r="AK695" s="156"/>
      <c r="AL695" s="379"/>
      <c r="AM695" s="50"/>
      <c r="AN695" s="50"/>
    </row>
    <row r="696" spans="1:40" x14ac:dyDescent="0.25">
      <c r="A696" s="53"/>
      <c r="D696" s="54"/>
      <c r="E696" s="54"/>
      <c r="F696" s="379"/>
      <c r="H696" s="379"/>
      <c r="I696" s="379"/>
      <c r="J696" s="59"/>
      <c r="K696" s="59"/>
      <c r="L696" s="449"/>
      <c r="M696" s="449"/>
      <c r="N696" s="59"/>
      <c r="O696" s="59"/>
      <c r="P696" s="379"/>
      <c r="Q696" s="379"/>
      <c r="R696" s="379"/>
      <c r="U696" s="54"/>
      <c r="V696" s="379"/>
      <c r="Y696" s="379"/>
      <c r="Z696" s="59"/>
      <c r="AA696" s="449"/>
      <c r="AB696" s="449"/>
      <c r="AC696" s="59"/>
      <c r="AD696" s="59"/>
      <c r="AE696" s="379"/>
      <c r="AF696" s="379"/>
      <c r="AG696" s="156"/>
      <c r="AH696" s="60"/>
      <c r="AI696" s="379"/>
      <c r="AJ696" s="379"/>
      <c r="AK696" s="156"/>
      <c r="AL696" s="379"/>
      <c r="AM696" s="50"/>
      <c r="AN696" s="50"/>
    </row>
    <row r="697" spans="1:40" x14ac:dyDescent="0.25">
      <c r="A697" s="53"/>
      <c r="D697" s="54"/>
      <c r="E697" s="54"/>
      <c r="F697" s="379"/>
      <c r="H697" s="379"/>
      <c r="I697" s="379"/>
      <c r="J697" s="59"/>
      <c r="K697" s="59"/>
      <c r="L697" s="449"/>
      <c r="M697" s="449"/>
      <c r="N697" s="59"/>
      <c r="O697" s="59"/>
      <c r="P697" s="379"/>
      <c r="Q697" s="379"/>
      <c r="R697" s="379"/>
      <c r="U697" s="54"/>
      <c r="V697" s="379"/>
      <c r="Y697" s="379"/>
      <c r="Z697" s="59"/>
      <c r="AA697" s="449"/>
      <c r="AB697" s="449"/>
      <c r="AC697" s="59"/>
      <c r="AD697" s="59"/>
      <c r="AE697" s="379"/>
      <c r="AF697" s="379"/>
      <c r="AG697" s="156"/>
      <c r="AH697" s="60"/>
      <c r="AI697" s="379"/>
      <c r="AJ697" s="379"/>
      <c r="AK697" s="156"/>
      <c r="AL697" s="379"/>
      <c r="AM697" s="50"/>
      <c r="AN697" s="50"/>
    </row>
    <row r="698" spans="1:40" x14ac:dyDescent="0.25">
      <c r="A698" s="53"/>
      <c r="D698" s="54"/>
      <c r="E698" s="54"/>
      <c r="F698" s="379"/>
      <c r="H698" s="379"/>
      <c r="I698" s="379"/>
      <c r="J698" s="59"/>
      <c r="K698" s="59"/>
      <c r="L698" s="449"/>
      <c r="M698" s="449"/>
      <c r="N698" s="59"/>
      <c r="O698" s="59"/>
      <c r="P698" s="379"/>
      <c r="Q698" s="379"/>
      <c r="R698" s="379"/>
      <c r="U698" s="54"/>
      <c r="V698" s="379"/>
      <c r="Y698" s="379"/>
      <c r="Z698" s="59"/>
      <c r="AA698" s="449"/>
      <c r="AB698" s="449"/>
      <c r="AC698" s="59"/>
      <c r="AD698" s="59"/>
      <c r="AE698" s="379"/>
      <c r="AF698" s="379"/>
      <c r="AG698" s="156"/>
      <c r="AH698" s="60"/>
      <c r="AI698" s="379"/>
      <c r="AJ698" s="379"/>
      <c r="AK698" s="156"/>
      <c r="AL698" s="379"/>
      <c r="AM698" s="50"/>
      <c r="AN698" s="50"/>
    </row>
    <row r="699" spans="1:40" x14ac:dyDescent="0.25">
      <c r="F699" s="381"/>
      <c r="H699" s="381"/>
      <c r="I699" s="381"/>
      <c r="J699" s="464"/>
      <c r="K699" s="464"/>
      <c r="L699" s="381"/>
      <c r="M699" s="381"/>
      <c r="N699" s="381"/>
      <c r="O699" s="381"/>
      <c r="P699" s="381"/>
      <c r="Q699" s="381"/>
      <c r="R699" s="381"/>
      <c r="V699" s="381"/>
      <c r="Y699" s="381"/>
      <c r="Z699" s="464"/>
      <c r="AA699" s="381"/>
      <c r="AB699" s="381"/>
      <c r="AC699" s="381"/>
      <c r="AD699" s="381"/>
      <c r="AE699" s="381"/>
      <c r="AF699" s="381"/>
      <c r="AI699" s="381"/>
      <c r="AJ699" s="381"/>
      <c r="AK699" s="162"/>
      <c r="AL699" s="381"/>
      <c r="AM699" s="50"/>
      <c r="AN699" s="50"/>
    </row>
    <row r="700" spans="1:40" x14ac:dyDescent="0.25">
      <c r="A700" s="53"/>
      <c r="C700" s="54"/>
      <c r="F700" s="379"/>
      <c r="H700" s="379"/>
      <c r="I700" s="379"/>
      <c r="J700" s="59"/>
      <c r="K700" s="59"/>
      <c r="L700" s="379"/>
      <c r="M700" s="379"/>
      <c r="N700" s="59"/>
      <c r="O700" s="59"/>
      <c r="P700" s="379"/>
      <c r="Q700" s="379"/>
      <c r="R700" s="379"/>
      <c r="T700" s="54"/>
      <c r="V700" s="379"/>
      <c r="Y700" s="379"/>
      <c r="Z700" s="59"/>
      <c r="AA700" s="379"/>
      <c r="AB700" s="379"/>
      <c r="AC700" s="59"/>
      <c r="AD700" s="59"/>
      <c r="AE700" s="379"/>
      <c r="AF700" s="379"/>
      <c r="AG700" s="156"/>
      <c r="AH700" s="60"/>
      <c r="AI700" s="379"/>
      <c r="AJ700" s="379"/>
      <c r="AK700" s="156"/>
      <c r="AL700" s="379"/>
      <c r="AM700" s="50"/>
      <c r="AN700" s="50"/>
    </row>
    <row r="701" spans="1:40" x14ac:dyDescent="0.25">
      <c r="F701" s="379"/>
      <c r="H701" s="379"/>
      <c r="I701" s="379"/>
      <c r="J701" s="59"/>
      <c r="K701" s="59"/>
      <c r="L701" s="379"/>
      <c r="M701" s="379"/>
      <c r="N701" s="59"/>
      <c r="O701" s="59"/>
      <c r="P701" s="379"/>
      <c r="Q701" s="379"/>
      <c r="R701" s="379"/>
      <c r="V701" s="379"/>
      <c r="Y701" s="379"/>
      <c r="Z701" s="59"/>
      <c r="AA701" s="379"/>
      <c r="AB701" s="379"/>
      <c r="AC701" s="59"/>
      <c r="AD701" s="59"/>
      <c r="AG701" s="156"/>
      <c r="AH701" s="60"/>
      <c r="AI701" s="379"/>
      <c r="AJ701" s="379"/>
      <c r="AK701" s="156"/>
      <c r="AL701" s="379"/>
      <c r="AM701" s="50"/>
      <c r="AN701" s="50"/>
    </row>
    <row r="702" spans="1:40" x14ac:dyDescent="0.25">
      <c r="A702" s="53"/>
      <c r="C702" s="54"/>
      <c r="F702" s="379"/>
      <c r="H702" s="379"/>
      <c r="I702" s="379"/>
      <c r="J702" s="59"/>
      <c r="K702" s="59"/>
      <c r="L702" s="379"/>
      <c r="M702" s="379"/>
      <c r="N702" s="59"/>
      <c r="O702" s="59"/>
      <c r="P702" s="379"/>
      <c r="Q702" s="379"/>
      <c r="R702" s="379"/>
      <c r="T702" s="54"/>
      <c r="V702" s="379"/>
      <c r="Y702" s="379"/>
      <c r="Z702" s="59"/>
      <c r="AA702" s="379"/>
      <c r="AB702" s="379"/>
      <c r="AC702" s="59"/>
      <c r="AD702" s="59"/>
      <c r="AE702" s="379"/>
      <c r="AF702" s="379"/>
      <c r="AG702" s="156"/>
      <c r="AH702" s="60"/>
      <c r="AI702" s="379"/>
      <c r="AJ702" s="379"/>
      <c r="AK702" s="156"/>
      <c r="AL702" s="379"/>
      <c r="AM702" s="50"/>
      <c r="AN702" s="50"/>
    </row>
    <row r="703" spans="1:40" x14ac:dyDescent="0.25">
      <c r="F703" s="381"/>
      <c r="H703" s="381"/>
      <c r="I703" s="381"/>
      <c r="J703" s="464"/>
      <c r="K703" s="464"/>
      <c r="L703" s="381"/>
      <c r="M703" s="381"/>
      <c r="N703" s="381"/>
      <c r="O703" s="381"/>
      <c r="P703" s="381"/>
      <c r="Q703" s="381"/>
      <c r="R703" s="381"/>
      <c r="V703" s="381"/>
      <c r="Y703" s="381"/>
      <c r="Z703" s="464"/>
      <c r="AA703" s="381"/>
      <c r="AB703" s="381"/>
      <c r="AC703" s="381"/>
      <c r="AD703" s="381"/>
      <c r="AE703" s="381"/>
      <c r="AF703" s="381"/>
      <c r="AI703" s="381"/>
      <c r="AJ703" s="381"/>
      <c r="AK703" s="162"/>
      <c r="AL703" s="381"/>
    </row>
    <row r="705" spans="1:20" x14ac:dyDescent="0.25">
      <c r="C705" s="54"/>
      <c r="L705" s="379"/>
      <c r="M705" s="379"/>
      <c r="P705" s="379"/>
      <c r="Q705" s="379"/>
      <c r="R705" s="379"/>
      <c r="T705" s="54"/>
    </row>
    <row r="706" spans="1:20" x14ac:dyDescent="0.25">
      <c r="A706" s="54"/>
      <c r="L706" s="379"/>
      <c r="M706" s="379"/>
      <c r="P706" s="379"/>
      <c r="Q706" s="379"/>
      <c r="R706" s="379"/>
    </row>
    <row r="707" spans="1:20" x14ac:dyDescent="0.25">
      <c r="L707" s="379"/>
      <c r="M707" s="379"/>
      <c r="P707" s="379"/>
      <c r="Q707" s="379"/>
      <c r="R707" s="379"/>
    </row>
    <row r="708" spans="1:20" x14ac:dyDescent="0.25">
      <c r="L708" s="379"/>
      <c r="M708" s="379"/>
      <c r="P708" s="379"/>
      <c r="Q708" s="379"/>
      <c r="R708" s="379"/>
    </row>
    <row r="709" spans="1:20" x14ac:dyDescent="0.25">
      <c r="L709" s="379"/>
      <c r="M709" s="379"/>
      <c r="P709" s="379"/>
      <c r="Q709" s="379"/>
      <c r="R709" s="379"/>
    </row>
    <row r="710" spans="1:20" x14ac:dyDescent="0.25">
      <c r="L710" s="379"/>
      <c r="M710" s="379"/>
      <c r="P710" s="379"/>
      <c r="Q710" s="379"/>
      <c r="R710" s="379"/>
    </row>
    <row r="711" spans="1:20" x14ac:dyDescent="0.25">
      <c r="L711" s="379"/>
      <c r="M711" s="379"/>
      <c r="P711" s="379"/>
      <c r="Q711" s="379"/>
      <c r="R711" s="379"/>
    </row>
    <row r="744" spans="49:49" x14ac:dyDescent="0.25">
      <c r="AW744" s="379"/>
    </row>
    <row r="745" spans="49:49" x14ac:dyDescent="0.25">
      <c r="AW745" s="379"/>
    </row>
    <row r="746" spans="49:49" x14ac:dyDescent="0.25">
      <c r="AW746" s="379"/>
    </row>
    <row r="747" spans="49:49" x14ac:dyDescent="0.25">
      <c r="AW747" s="379"/>
    </row>
    <row r="748" spans="49:49" x14ac:dyDescent="0.25">
      <c r="AW748" s="379"/>
    </row>
    <row r="749" spans="49:49" x14ac:dyDescent="0.25">
      <c r="AW749" s="379"/>
    </row>
    <row r="752" spans="49:49" x14ac:dyDescent="0.25">
      <c r="AW752" s="379"/>
    </row>
    <row r="753" spans="49:49" x14ac:dyDescent="0.25">
      <c r="AW753" s="379"/>
    </row>
    <row r="754" spans="49:49" x14ac:dyDescent="0.25">
      <c r="AW754" s="379"/>
    </row>
    <row r="755" spans="49:49" x14ac:dyDescent="0.25">
      <c r="AW755" s="379"/>
    </row>
    <row r="756" spans="49:49" x14ac:dyDescent="0.25">
      <c r="AW756" s="379"/>
    </row>
    <row r="757" spans="49:49" x14ac:dyDescent="0.25">
      <c r="AW757" s="379"/>
    </row>
    <row r="758" spans="49:49" x14ac:dyDescent="0.25">
      <c r="AW758" s="379"/>
    </row>
    <row r="759" spans="49:49" x14ac:dyDescent="0.25">
      <c r="AW759" s="379"/>
    </row>
    <row r="762" spans="49:49" x14ac:dyDescent="0.25">
      <c r="AW762" s="379"/>
    </row>
    <row r="763" spans="49:49" x14ac:dyDescent="0.25">
      <c r="AW763" s="379"/>
    </row>
    <row r="766" spans="49:49" x14ac:dyDescent="0.25">
      <c r="AW766" s="379"/>
    </row>
    <row r="767" spans="49:49" x14ac:dyDescent="0.25">
      <c r="AW767" s="379"/>
    </row>
    <row r="768" spans="49:49" x14ac:dyDescent="0.25">
      <c r="AW768" s="379"/>
    </row>
    <row r="769" spans="45:57" x14ac:dyDescent="0.25">
      <c r="AW769" s="379"/>
    </row>
    <row r="775" spans="45:57" x14ac:dyDescent="0.25">
      <c r="AY775" s="53"/>
    </row>
    <row r="776" spans="45:57" x14ac:dyDescent="0.25">
      <c r="AY776" s="53"/>
    </row>
    <row r="777" spans="45:57" x14ac:dyDescent="0.25">
      <c r="AY777" s="54"/>
    </row>
    <row r="778" spans="45:57" x14ac:dyDescent="0.25">
      <c r="AY778" s="54"/>
    </row>
    <row r="779" spans="45:57" x14ac:dyDescent="0.25">
      <c r="AS779" s="53"/>
      <c r="BD779" s="54"/>
    </row>
    <row r="780" spans="45:57" x14ac:dyDescent="0.25">
      <c r="AS780" s="53"/>
      <c r="BD780" s="54"/>
    </row>
    <row r="781" spans="45:57" x14ac:dyDescent="0.25">
      <c r="AS781" s="54"/>
      <c r="BD781" s="54"/>
    </row>
    <row r="782" spans="45:57" x14ac:dyDescent="0.25">
      <c r="BD782" s="53"/>
    </row>
    <row r="783" spans="45:57" x14ac:dyDescent="0.25"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</row>
    <row r="784" spans="45:57" x14ac:dyDescent="0.25">
      <c r="AX784" s="54"/>
    </row>
    <row r="785" spans="45:69" x14ac:dyDescent="0.25">
      <c r="AX785" s="55"/>
      <c r="AY785" s="55"/>
      <c r="AZ785" s="55"/>
      <c r="BA785" s="55"/>
      <c r="BC785" s="56"/>
      <c r="BD785" s="56"/>
    </row>
    <row r="786" spans="45:69" x14ac:dyDescent="0.25">
      <c r="AV786" s="56"/>
      <c r="AW786" s="56"/>
      <c r="AZ786" s="56"/>
      <c r="BA786" s="56"/>
      <c r="BC786" s="56"/>
      <c r="BD786" s="56"/>
      <c r="BE786" s="56"/>
      <c r="BG786" s="55"/>
      <c r="BH786" s="54"/>
      <c r="BK786" s="55"/>
      <c r="BM786" s="55"/>
      <c r="BN786" s="54"/>
      <c r="BQ786" s="55"/>
    </row>
    <row r="787" spans="45:69" x14ac:dyDescent="0.25"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H787" s="56"/>
      <c r="BI787" s="56"/>
      <c r="BJ787" s="56"/>
      <c r="BN787" s="56"/>
      <c r="BO787" s="56"/>
      <c r="BP787" s="56"/>
    </row>
    <row r="788" spans="45:69" x14ac:dyDescent="0.25">
      <c r="AS788" s="56"/>
      <c r="AU788" s="54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G788" s="56"/>
      <c r="BH788" s="56"/>
      <c r="BI788" s="56"/>
      <c r="BJ788" s="56"/>
      <c r="BK788" s="56"/>
      <c r="BM788" s="56"/>
      <c r="BN788" s="56"/>
      <c r="BO788" s="56"/>
      <c r="BP788" s="56"/>
      <c r="BQ788" s="56"/>
    </row>
    <row r="789" spans="45:69" x14ac:dyDescent="0.25">
      <c r="AS789" s="56"/>
      <c r="AU789" s="54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G789" s="56"/>
      <c r="BH789" s="56"/>
      <c r="BI789" s="56"/>
      <c r="BJ789" s="56"/>
      <c r="BK789" s="56"/>
      <c r="BM789" s="56"/>
      <c r="BN789" s="56"/>
      <c r="BO789" s="56"/>
      <c r="BP789" s="56"/>
      <c r="BQ789" s="56"/>
    </row>
    <row r="790" spans="45:69" x14ac:dyDescent="0.25"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G790" s="55"/>
      <c r="BH790" s="55"/>
      <c r="BI790" s="55"/>
      <c r="BJ790" s="55"/>
      <c r="BK790" s="55"/>
      <c r="BM790" s="55"/>
      <c r="BN790" s="55"/>
      <c r="BO790" s="55"/>
      <c r="BP790" s="55"/>
      <c r="BQ790" s="55"/>
    </row>
    <row r="791" spans="45:69" x14ac:dyDescent="0.25"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</row>
    <row r="792" spans="45:69" x14ac:dyDescent="0.25">
      <c r="AS792" s="53"/>
      <c r="AU792" s="54"/>
      <c r="AV792" s="56"/>
      <c r="AY792" s="59"/>
    </row>
    <row r="793" spans="45:69" x14ac:dyDescent="0.25">
      <c r="AS793" s="53"/>
      <c r="AV793" s="56"/>
      <c r="AW793" s="379"/>
      <c r="AX793" s="65"/>
      <c r="AY793" s="65"/>
      <c r="AZ793" s="65"/>
      <c r="BA793" s="50"/>
      <c r="BB793" s="65"/>
      <c r="BC793" s="59"/>
      <c r="BD793" s="59"/>
      <c r="BE793" s="50"/>
      <c r="BG793" s="65"/>
      <c r="BH793" s="65"/>
      <c r="BI793" s="65"/>
      <c r="BJ793" s="65"/>
      <c r="BK793" s="65"/>
      <c r="BM793" s="65"/>
      <c r="BN793" s="65"/>
      <c r="BO793" s="65"/>
      <c r="BP793" s="65"/>
      <c r="BQ793" s="65"/>
    </row>
    <row r="794" spans="45:69" x14ac:dyDescent="0.25">
      <c r="AS794" s="53"/>
      <c r="AV794" s="56"/>
      <c r="AW794" s="379"/>
      <c r="AX794" s="65"/>
      <c r="AY794" s="65"/>
      <c r="AZ794" s="65"/>
      <c r="BA794" s="50"/>
      <c r="BB794" s="65"/>
      <c r="BC794" s="59"/>
      <c r="BD794" s="59"/>
      <c r="BE794" s="50"/>
      <c r="BG794" s="65"/>
      <c r="BH794" s="65"/>
      <c r="BI794" s="65"/>
      <c r="BJ794" s="65"/>
      <c r="BK794" s="65"/>
      <c r="BM794" s="65"/>
      <c r="BN794" s="65"/>
      <c r="BO794" s="65"/>
      <c r="BP794" s="65"/>
      <c r="BQ794" s="65"/>
    </row>
    <row r="795" spans="45:69" x14ac:dyDescent="0.25">
      <c r="AS795" s="53"/>
      <c r="AV795" s="56"/>
      <c r="AW795" s="379"/>
      <c r="AX795" s="65"/>
      <c r="AY795" s="65"/>
      <c r="AZ795" s="65"/>
      <c r="BA795" s="50"/>
      <c r="BB795" s="65"/>
      <c r="BC795" s="59"/>
      <c r="BD795" s="59"/>
      <c r="BE795" s="50"/>
      <c r="BG795" s="65"/>
      <c r="BH795" s="65"/>
      <c r="BI795" s="65"/>
      <c r="BJ795" s="65"/>
      <c r="BK795" s="65"/>
      <c r="BM795" s="65"/>
      <c r="BN795" s="65"/>
      <c r="BO795" s="65"/>
      <c r="BP795" s="65"/>
      <c r="BQ795" s="65"/>
    </row>
    <row r="796" spans="45:69" x14ac:dyDescent="0.25">
      <c r="AS796" s="53"/>
      <c r="AV796" s="56"/>
      <c r="AW796" s="379"/>
      <c r="AX796" s="65"/>
      <c r="AY796" s="65"/>
      <c r="AZ796" s="65"/>
      <c r="BA796" s="50"/>
      <c r="BB796" s="65"/>
      <c r="BC796" s="59"/>
      <c r="BD796" s="59"/>
      <c r="BE796" s="50"/>
      <c r="BG796" s="65"/>
      <c r="BH796" s="65"/>
      <c r="BI796" s="65"/>
      <c r="BJ796" s="65"/>
      <c r="BK796" s="65"/>
      <c r="BM796" s="65"/>
      <c r="BN796" s="65"/>
      <c r="BO796" s="65"/>
      <c r="BP796" s="65"/>
      <c r="BQ796" s="65"/>
    </row>
    <row r="797" spans="45:69" x14ac:dyDescent="0.25">
      <c r="AS797" s="53"/>
      <c r="AV797" s="56"/>
      <c r="AW797" s="379"/>
      <c r="AX797" s="65"/>
      <c r="AY797" s="65"/>
      <c r="AZ797" s="65"/>
      <c r="BA797" s="50"/>
      <c r="BB797" s="65"/>
      <c r="BC797" s="59"/>
      <c r="BD797" s="59"/>
      <c r="BE797" s="50"/>
      <c r="BG797" s="65"/>
      <c r="BH797" s="65"/>
      <c r="BI797" s="65"/>
      <c r="BJ797" s="65"/>
      <c r="BK797" s="65"/>
      <c r="BM797" s="65"/>
      <c r="BN797" s="65"/>
      <c r="BO797" s="65"/>
      <c r="BP797" s="65"/>
      <c r="BQ797" s="65"/>
    </row>
    <row r="798" spans="45:69" x14ac:dyDescent="0.25">
      <c r="AS798" s="53"/>
      <c r="AV798" s="56"/>
      <c r="AW798" s="379"/>
      <c r="AX798" s="65"/>
      <c r="AY798" s="65"/>
      <c r="AZ798" s="65"/>
      <c r="BA798" s="50"/>
      <c r="BB798" s="65"/>
      <c r="BC798" s="59"/>
      <c r="BD798" s="59"/>
      <c r="BE798" s="50"/>
      <c r="BG798" s="65"/>
      <c r="BH798" s="65"/>
      <c r="BI798" s="65"/>
      <c r="BJ798" s="65"/>
      <c r="BK798" s="65"/>
      <c r="BM798" s="65"/>
      <c r="BN798" s="65"/>
      <c r="BO798" s="65"/>
      <c r="BP798" s="65"/>
      <c r="BQ798" s="65"/>
    </row>
    <row r="799" spans="45:69" x14ac:dyDescent="0.25">
      <c r="AS799" s="53"/>
      <c r="AV799" s="56"/>
      <c r="AW799" s="379"/>
      <c r="AX799" s="65"/>
      <c r="AY799" s="65"/>
      <c r="AZ799" s="65"/>
      <c r="BA799" s="50"/>
      <c r="BB799" s="65"/>
      <c r="BC799" s="59"/>
      <c r="BD799" s="59"/>
      <c r="BE799" s="50"/>
      <c r="BG799" s="65"/>
      <c r="BH799" s="65"/>
      <c r="BI799" s="65"/>
      <c r="BJ799" s="65"/>
      <c r="BK799" s="65"/>
      <c r="BM799" s="65"/>
      <c r="BN799" s="65"/>
      <c r="BO799" s="65"/>
      <c r="BP799" s="65"/>
      <c r="BQ799" s="65"/>
    </row>
    <row r="800" spans="45:69" x14ac:dyDescent="0.25">
      <c r="AY800" s="59"/>
      <c r="AZ800" s="65"/>
      <c r="BA800" s="50"/>
      <c r="BB800" s="65"/>
      <c r="BC800" s="59"/>
      <c r="BD800" s="59"/>
      <c r="BE800" s="50"/>
      <c r="BK800" s="65"/>
      <c r="BQ800" s="65"/>
    </row>
    <row r="801" spans="45:69" x14ac:dyDescent="0.25">
      <c r="AS801" s="53"/>
      <c r="AV801" s="56"/>
      <c r="AY801" s="59"/>
      <c r="AZ801" s="65"/>
      <c r="BA801" s="50"/>
      <c r="BB801" s="65"/>
      <c r="BC801" s="59"/>
      <c r="BD801" s="59"/>
      <c r="BE801" s="50"/>
      <c r="BK801" s="65"/>
      <c r="BQ801" s="65"/>
    </row>
    <row r="802" spans="45:69" x14ac:dyDescent="0.25">
      <c r="AS802" s="53"/>
      <c r="AV802" s="56"/>
      <c r="AW802" s="379"/>
      <c r="AX802" s="65"/>
      <c r="AY802" s="65"/>
      <c r="AZ802" s="65"/>
      <c r="BA802" s="50"/>
      <c r="BB802" s="65"/>
      <c r="BC802" s="59"/>
      <c r="BD802" s="59"/>
      <c r="BE802" s="50"/>
      <c r="BG802" s="65"/>
      <c r="BH802" s="65"/>
      <c r="BI802" s="65"/>
      <c r="BJ802" s="65"/>
      <c r="BK802" s="65"/>
      <c r="BM802" s="65"/>
      <c r="BN802" s="65"/>
      <c r="BO802" s="65"/>
      <c r="BP802" s="65"/>
      <c r="BQ802" s="65"/>
    </row>
    <row r="803" spans="45:69" x14ac:dyDescent="0.25">
      <c r="AS803" s="53"/>
      <c r="AV803" s="56"/>
      <c r="AW803" s="379"/>
      <c r="AX803" s="65"/>
      <c r="AY803" s="65"/>
      <c r="AZ803" s="65"/>
      <c r="BA803" s="50"/>
      <c r="BB803" s="65"/>
      <c r="BC803" s="59"/>
      <c r="BD803" s="59"/>
      <c r="BE803" s="50"/>
      <c r="BG803" s="65"/>
      <c r="BH803" s="65"/>
      <c r="BI803" s="65"/>
      <c r="BJ803" s="65"/>
      <c r="BK803" s="65"/>
      <c r="BM803" s="65"/>
      <c r="BN803" s="65"/>
      <c r="BO803" s="65"/>
      <c r="BP803" s="65"/>
      <c r="BQ803" s="65"/>
    </row>
    <row r="804" spans="45:69" x14ac:dyDescent="0.25">
      <c r="AS804" s="53"/>
      <c r="AV804" s="56"/>
      <c r="AW804" s="379"/>
      <c r="AX804" s="65"/>
      <c r="AY804" s="65"/>
      <c r="AZ804" s="65"/>
      <c r="BA804" s="50"/>
      <c r="BB804" s="65"/>
      <c r="BC804" s="59"/>
      <c r="BD804" s="59"/>
      <c r="BE804" s="50"/>
      <c r="BG804" s="65"/>
      <c r="BH804" s="65"/>
      <c r="BI804" s="65"/>
      <c r="BJ804" s="65"/>
      <c r="BK804" s="65"/>
      <c r="BM804" s="65"/>
      <c r="BN804" s="65"/>
      <c r="BO804" s="65"/>
      <c r="BP804" s="65"/>
      <c r="BQ804" s="65"/>
    </row>
    <row r="805" spans="45:69" x14ac:dyDescent="0.25">
      <c r="AS805" s="53"/>
      <c r="AV805" s="56"/>
      <c r="AW805" s="379"/>
      <c r="AX805" s="65"/>
      <c r="AY805" s="65"/>
      <c r="AZ805" s="65"/>
      <c r="BA805" s="50"/>
      <c r="BB805" s="65"/>
      <c r="BC805" s="59"/>
      <c r="BD805" s="59"/>
      <c r="BE805" s="50"/>
      <c r="BG805" s="65"/>
      <c r="BH805" s="65"/>
      <c r="BI805" s="65"/>
      <c r="BJ805" s="65"/>
      <c r="BK805" s="65"/>
      <c r="BM805" s="65"/>
      <c r="BN805" s="65"/>
      <c r="BO805" s="65"/>
      <c r="BP805" s="65"/>
      <c r="BQ805" s="65"/>
    </row>
    <row r="806" spans="45:69" x14ac:dyDescent="0.25">
      <c r="AS806" s="53"/>
      <c r="AV806" s="56"/>
      <c r="AW806" s="379"/>
      <c r="AX806" s="65"/>
      <c r="AY806" s="65"/>
      <c r="AZ806" s="65"/>
      <c r="BA806" s="50"/>
      <c r="BB806" s="65"/>
      <c r="BC806" s="59"/>
      <c r="BD806" s="59"/>
      <c r="BE806" s="50"/>
      <c r="BG806" s="65"/>
      <c r="BH806" s="65"/>
      <c r="BI806" s="65"/>
      <c r="BJ806" s="65"/>
      <c r="BK806" s="65"/>
      <c r="BM806" s="65"/>
      <c r="BN806" s="65"/>
      <c r="BO806" s="65"/>
      <c r="BP806" s="65"/>
      <c r="BQ806" s="65"/>
    </row>
    <row r="807" spans="45:69" x14ac:dyDescent="0.25">
      <c r="AS807" s="53"/>
      <c r="AV807" s="56"/>
      <c r="AW807" s="379"/>
      <c r="AX807" s="65"/>
      <c r="AY807" s="65"/>
      <c r="AZ807" s="65"/>
      <c r="BA807" s="50"/>
      <c r="BB807" s="65"/>
      <c r="BC807" s="59"/>
      <c r="BD807" s="59"/>
      <c r="BE807" s="50"/>
      <c r="BG807" s="65"/>
      <c r="BH807" s="65"/>
      <c r="BI807" s="65"/>
      <c r="BJ807" s="65"/>
      <c r="BK807" s="65"/>
      <c r="BM807" s="65"/>
      <c r="BN807" s="65"/>
      <c r="BO807" s="65"/>
      <c r="BP807" s="65"/>
      <c r="BQ807" s="65"/>
    </row>
    <row r="808" spans="45:69" x14ac:dyDescent="0.25">
      <c r="AS808" s="53"/>
      <c r="AV808" s="56"/>
      <c r="AW808" s="379"/>
      <c r="AX808" s="65"/>
      <c r="AY808" s="65"/>
      <c r="AZ808" s="65"/>
      <c r="BA808" s="50"/>
      <c r="BB808" s="65"/>
      <c r="BC808" s="59"/>
      <c r="BD808" s="59"/>
      <c r="BE808" s="50"/>
      <c r="BG808" s="65"/>
      <c r="BH808" s="65"/>
      <c r="BI808" s="65"/>
      <c r="BJ808" s="65"/>
      <c r="BK808" s="65"/>
      <c r="BM808" s="65"/>
      <c r="BN808" s="65"/>
      <c r="BO808" s="65"/>
      <c r="BP808" s="65"/>
      <c r="BQ808" s="65"/>
    </row>
    <row r="809" spans="45:69" x14ac:dyDescent="0.25">
      <c r="AS809" s="53"/>
      <c r="AV809" s="56"/>
      <c r="AW809" s="379"/>
      <c r="AX809" s="65"/>
      <c r="AY809" s="65"/>
      <c r="AZ809" s="65"/>
      <c r="BA809" s="50"/>
      <c r="BB809" s="65"/>
      <c r="BC809" s="59"/>
      <c r="BD809" s="59"/>
      <c r="BE809" s="50"/>
      <c r="BG809" s="65"/>
      <c r="BH809" s="65"/>
      <c r="BI809" s="65"/>
      <c r="BJ809" s="65"/>
      <c r="BK809" s="65"/>
      <c r="BM809" s="65"/>
      <c r="BN809" s="65"/>
      <c r="BO809" s="65"/>
      <c r="BP809" s="65"/>
      <c r="BQ809" s="65"/>
    </row>
    <row r="810" spans="45:69" x14ac:dyDescent="0.25">
      <c r="AY810" s="59"/>
      <c r="AZ810" s="65"/>
      <c r="BA810" s="50"/>
      <c r="BB810" s="65"/>
      <c r="BC810" s="59"/>
      <c r="BD810" s="59"/>
      <c r="BE810" s="50"/>
      <c r="BK810" s="65"/>
      <c r="BQ810" s="65"/>
    </row>
    <row r="811" spans="45:69" x14ac:dyDescent="0.25">
      <c r="AU811" s="54"/>
      <c r="AZ811" s="65"/>
      <c r="BB811" s="65"/>
      <c r="BG811" s="65"/>
      <c r="BH811" s="65"/>
      <c r="BJ811" s="65"/>
      <c r="BK811" s="65"/>
    </row>
    <row r="812" spans="45:69" x14ac:dyDescent="0.25">
      <c r="AZ812" s="65"/>
      <c r="BB812" s="65"/>
    </row>
    <row r="813" spans="45:69" x14ac:dyDescent="0.25">
      <c r="AS813" s="54"/>
      <c r="AZ813" s="65"/>
      <c r="BB813" s="65"/>
      <c r="BI813" s="65"/>
    </row>
    <row r="814" spans="45:69" x14ac:dyDescent="0.25">
      <c r="AY814" s="53"/>
      <c r="AZ814" s="65"/>
      <c r="BB814" s="65"/>
    </row>
    <row r="815" spans="45:69" x14ac:dyDescent="0.25">
      <c r="AY815" s="65"/>
      <c r="BB815" s="65"/>
    </row>
    <row r="816" spans="45:69" x14ac:dyDescent="0.25">
      <c r="AY816" s="54"/>
      <c r="AZ816" s="65"/>
      <c r="BB816" s="65"/>
    </row>
    <row r="817" spans="45:75" x14ac:dyDescent="0.25">
      <c r="AY817" s="54"/>
      <c r="AZ817" s="65"/>
      <c r="BB817" s="65"/>
    </row>
    <row r="818" spans="45:75" x14ac:dyDescent="0.25">
      <c r="AS818" s="53"/>
      <c r="AZ818" s="65"/>
      <c r="BB818" s="65"/>
      <c r="BD818" s="54"/>
    </row>
    <row r="819" spans="45:75" x14ac:dyDescent="0.25">
      <c r="AS819" s="53"/>
      <c r="AZ819" s="65"/>
      <c r="BB819" s="65"/>
      <c r="BD819" s="54"/>
    </row>
    <row r="820" spans="45:75" x14ac:dyDescent="0.25">
      <c r="AS820" s="54"/>
      <c r="AZ820" s="65"/>
      <c r="BB820" s="65"/>
      <c r="BD820" s="54"/>
    </row>
    <row r="821" spans="45:75" x14ac:dyDescent="0.25">
      <c r="AZ821" s="65"/>
      <c r="BB821" s="65"/>
      <c r="BD821" s="53"/>
    </row>
    <row r="822" spans="45:75" x14ac:dyDescent="0.25">
      <c r="AS822" s="55"/>
      <c r="AT822" s="55"/>
      <c r="AU822" s="55"/>
      <c r="AV822" s="55"/>
      <c r="AW822" s="55"/>
      <c r="AX822" s="55"/>
      <c r="AY822" s="55"/>
      <c r="AZ822" s="66"/>
      <c r="BA822" s="55"/>
      <c r="BB822" s="66"/>
      <c r="BC822" s="55"/>
      <c r="BD822" s="55"/>
      <c r="BE822" s="55"/>
    </row>
    <row r="823" spans="45:75" x14ac:dyDescent="0.25">
      <c r="AX823" s="54"/>
      <c r="AZ823" s="65"/>
      <c r="BB823" s="65"/>
    </row>
    <row r="824" spans="45:75" x14ac:dyDescent="0.25">
      <c r="AX824" s="55"/>
      <c r="AY824" s="55"/>
      <c r="AZ824" s="66"/>
      <c r="BA824" s="55"/>
      <c r="BB824" s="65"/>
      <c r="BC824" s="56"/>
      <c r="BD824" s="56"/>
    </row>
    <row r="825" spans="45:75" x14ac:dyDescent="0.25">
      <c r="AV825" s="56"/>
      <c r="AW825" s="56"/>
      <c r="AZ825" s="67"/>
      <c r="BA825" s="56"/>
      <c r="BB825" s="65"/>
      <c r="BC825" s="56"/>
      <c r="BD825" s="56"/>
      <c r="BE825" s="56"/>
      <c r="BG825" s="55"/>
      <c r="BH825" s="55"/>
      <c r="BI825" s="54"/>
      <c r="BM825" s="55"/>
      <c r="BN825" s="55"/>
      <c r="BP825" s="55"/>
      <c r="BQ825" s="55"/>
      <c r="BR825" s="54"/>
      <c r="BV825" s="55"/>
      <c r="BW825" s="55"/>
    </row>
    <row r="826" spans="45:75" x14ac:dyDescent="0.25">
      <c r="AV826" s="56"/>
      <c r="AW826" s="56"/>
      <c r="AX826" s="56"/>
      <c r="AY826" s="56"/>
      <c r="AZ826" s="67"/>
      <c r="BA826" s="56"/>
      <c r="BB826" s="67"/>
      <c r="BC826" s="56"/>
      <c r="BD826" s="56"/>
      <c r="BE826" s="56"/>
      <c r="BH826" s="56"/>
      <c r="BI826" s="56"/>
      <c r="BJ826" s="56"/>
      <c r="BK826" s="56"/>
      <c r="BL826" s="56"/>
      <c r="BM826" s="56"/>
      <c r="BQ826" s="56"/>
      <c r="BR826" s="56"/>
      <c r="BS826" s="56"/>
      <c r="BT826" s="56"/>
      <c r="BU826" s="56"/>
      <c r="BV826" s="56"/>
    </row>
    <row r="827" spans="45:75" x14ac:dyDescent="0.25">
      <c r="AS827" s="56"/>
      <c r="AU827" s="54"/>
      <c r="AV827" s="56"/>
      <c r="AW827" s="56"/>
      <c r="AX827" s="56"/>
      <c r="AY827" s="56"/>
      <c r="AZ827" s="67"/>
      <c r="BA827" s="56"/>
      <c r="BB827" s="67"/>
      <c r="BC827" s="56"/>
      <c r="BD827" s="56"/>
      <c r="BE827" s="56"/>
      <c r="BG827" s="56"/>
      <c r="BH827" s="56"/>
      <c r="BI827" s="56"/>
      <c r="BJ827" s="56"/>
      <c r="BK827" s="56"/>
      <c r="BL827" s="56"/>
      <c r="BM827" s="56"/>
      <c r="BN827" s="56"/>
      <c r="BP827" s="56"/>
      <c r="BQ827" s="56"/>
      <c r="BR827" s="56"/>
      <c r="BS827" s="56"/>
      <c r="BT827" s="56"/>
      <c r="BU827" s="56"/>
      <c r="BV827" s="56"/>
      <c r="BW827" s="56"/>
    </row>
    <row r="828" spans="45:75" x14ac:dyDescent="0.25">
      <c r="AS828" s="56"/>
      <c r="AU828" s="54"/>
      <c r="AV828" s="56"/>
      <c r="AW828" s="56"/>
      <c r="AX828" s="56"/>
      <c r="AY828" s="56"/>
      <c r="AZ828" s="67"/>
      <c r="BA828" s="56"/>
      <c r="BB828" s="67"/>
      <c r="BC828" s="56"/>
      <c r="BD828" s="56"/>
      <c r="BE828" s="56"/>
      <c r="BG828" s="56"/>
      <c r="BH828" s="56"/>
      <c r="BI828" s="56"/>
      <c r="BJ828" s="56"/>
      <c r="BK828" s="56"/>
      <c r="BL828" s="56"/>
      <c r="BM828" s="56"/>
      <c r="BN828" s="56"/>
      <c r="BP828" s="56"/>
      <c r="BQ828" s="56"/>
      <c r="BR828" s="56"/>
      <c r="BS828" s="56"/>
      <c r="BT828" s="56"/>
      <c r="BU828" s="56"/>
      <c r="BV828" s="56"/>
      <c r="BW828" s="56"/>
    </row>
    <row r="829" spans="45:75" x14ac:dyDescent="0.25">
      <c r="AS829" s="55"/>
      <c r="AT829" s="55"/>
      <c r="AU829" s="55"/>
      <c r="AV829" s="55"/>
      <c r="AW829" s="55"/>
      <c r="AX829" s="55"/>
      <c r="AY829" s="55"/>
      <c r="AZ829" s="66"/>
      <c r="BA829" s="55"/>
      <c r="BB829" s="66"/>
      <c r="BC829" s="55"/>
      <c r="BD829" s="55"/>
      <c r="BE829" s="55"/>
      <c r="BG829" s="55"/>
      <c r="BH829" s="55"/>
      <c r="BI829" s="55"/>
      <c r="BJ829" s="55"/>
      <c r="BK829" s="55"/>
      <c r="BL829" s="55"/>
      <c r="BM829" s="55"/>
      <c r="BN829" s="55"/>
      <c r="BP829" s="55"/>
      <c r="BQ829" s="55"/>
      <c r="BR829" s="55"/>
      <c r="BS829" s="55"/>
      <c r="BT829" s="55"/>
      <c r="BU829" s="55"/>
      <c r="BV829" s="55"/>
      <c r="BW829" s="55"/>
    </row>
    <row r="830" spans="45:75" x14ac:dyDescent="0.25">
      <c r="AV830" s="56"/>
      <c r="AW830" s="56"/>
      <c r="AX830" s="56"/>
      <c r="AY830" s="56"/>
      <c r="AZ830" s="67"/>
      <c r="BA830" s="56"/>
      <c r="BB830" s="67"/>
      <c r="BC830" s="56"/>
      <c r="BD830" s="56"/>
      <c r="BE830" s="56"/>
      <c r="BG830" s="65"/>
      <c r="BH830" s="65"/>
      <c r="BI830" s="65"/>
      <c r="BJ830" s="65"/>
      <c r="BK830" s="65"/>
      <c r="BL830" s="65"/>
      <c r="BM830" s="65"/>
      <c r="BN830" s="65"/>
      <c r="BO830" s="65"/>
      <c r="BP830" s="65"/>
      <c r="BQ830" s="65"/>
      <c r="BR830" s="65"/>
      <c r="BS830" s="65"/>
      <c r="BT830" s="65"/>
      <c r="BU830" s="65"/>
      <c r="BV830" s="65"/>
      <c r="BW830" s="65"/>
    </row>
    <row r="831" spans="45:75" x14ac:dyDescent="0.25">
      <c r="AS831" s="53"/>
      <c r="AU831" s="54"/>
      <c r="AV831" s="53"/>
      <c r="AW831" s="379"/>
      <c r="AX831" s="65"/>
      <c r="AY831" s="65"/>
      <c r="AZ831" s="65"/>
      <c r="BA831" s="60"/>
      <c r="BB831" s="65"/>
      <c r="BC831" s="65"/>
      <c r="BD831" s="65"/>
      <c r="BE831" s="60"/>
      <c r="BG831" s="65"/>
      <c r="BH831" s="65"/>
      <c r="BI831" s="65"/>
      <c r="BJ831" s="65"/>
      <c r="BK831" s="65"/>
      <c r="BL831" s="65"/>
      <c r="BM831" s="65"/>
      <c r="BN831" s="65"/>
      <c r="BO831" s="65"/>
      <c r="BP831" s="65"/>
      <c r="BQ831" s="65"/>
      <c r="BR831" s="65"/>
      <c r="BS831" s="65"/>
      <c r="BT831" s="65"/>
      <c r="BU831" s="65"/>
      <c r="BV831" s="65"/>
      <c r="BW831" s="65"/>
    </row>
    <row r="832" spans="45:75" x14ac:dyDescent="0.25">
      <c r="AS832" s="53"/>
      <c r="AV832" s="53"/>
      <c r="AW832" s="379"/>
      <c r="AX832" s="65"/>
      <c r="AY832" s="65"/>
      <c r="AZ832" s="65"/>
      <c r="BA832" s="60"/>
      <c r="BB832" s="65"/>
      <c r="BC832" s="65"/>
      <c r="BD832" s="65"/>
      <c r="BE832" s="60"/>
      <c r="BG832" s="65"/>
      <c r="BH832" s="65"/>
      <c r="BI832" s="65"/>
      <c r="BJ832" s="65"/>
      <c r="BK832" s="65"/>
      <c r="BL832" s="65"/>
      <c r="BM832" s="65"/>
      <c r="BN832" s="65"/>
      <c r="BO832" s="65"/>
      <c r="BP832" s="65"/>
      <c r="BQ832" s="65"/>
      <c r="BR832" s="65"/>
      <c r="BS832" s="65"/>
      <c r="BT832" s="65"/>
      <c r="BU832" s="65"/>
      <c r="BV832" s="65"/>
      <c r="BW832" s="65"/>
    </row>
    <row r="833" spans="45:75" x14ac:dyDescent="0.25">
      <c r="AS833" s="53"/>
      <c r="AV833" s="53"/>
      <c r="AW833" s="379"/>
      <c r="AX833" s="65"/>
      <c r="AY833" s="65"/>
      <c r="AZ833" s="65"/>
      <c r="BA833" s="60"/>
      <c r="BB833" s="65"/>
      <c r="BC833" s="65"/>
      <c r="BD833" s="65"/>
      <c r="BE833" s="60"/>
      <c r="BG833" s="65"/>
      <c r="BH833" s="65"/>
      <c r="BI833" s="65"/>
      <c r="BJ833" s="65"/>
      <c r="BK833" s="65"/>
      <c r="BL833" s="65"/>
      <c r="BM833" s="65"/>
      <c r="BN833" s="65"/>
      <c r="BO833" s="65"/>
      <c r="BP833" s="65"/>
      <c r="BQ833" s="65"/>
      <c r="BR833" s="65"/>
      <c r="BS833" s="65"/>
      <c r="BT833" s="65"/>
      <c r="BU833" s="65"/>
      <c r="BV833" s="65"/>
      <c r="BW833" s="65"/>
    </row>
    <row r="834" spans="45:75" x14ac:dyDescent="0.25">
      <c r="AS834" s="53"/>
      <c r="AV834" s="53"/>
      <c r="AW834" s="379"/>
      <c r="AX834" s="65"/>
      <c r="AY834" s="65"/>
      <c r="AZ834" s="65"/>
      <c r="BA834" s="60"/>
      <c r="BB834" s="65"/>
      <c r="BC834" s="65"/>
      <c r="BD834" s="65"/>
      <c r="BE834" s="60"/>
      <c r="BG834" s="65"/>
      <c r="BH834" s="65"/>
      <c r="BI834" s="65"/>
      <c r="BJ834" s="65"/>
      <c r="BK834" s="65"/>
      <c r="BL834" s="65"/>
      <c r="BM834" s="65"/>
      <c r="BN834" s="65"/>
      <c r="BO834" s="65"/>
      <c r="BP834" s="65"/>
      <c r="BQ834" s="65"/>
      <c r="BR834" s="65"/>
      <c r="BS834" s="65"/>
      <c r="BT834" s="65"/>
      <c r="BU834" s="65"/>
      <c r="BV834" s="65"/>
      <c r="BW834" s="65"/>
    </row>
    <row r="835" spans="45:75" x14ac:dyDescent="0.25">
      <c r="AS835" s="53"/>
      <c r="AV835" s="53"/>
      <c r="AW835" s="379"/>
      <c r="AX835" s="65"/>
      <c r="AY835" s="65"/>
      <c r="AZ835" s="65"/>
      <c r="BA835" s="60"/>
      <c r="BB835" s="65"/>
      <c r="BC835" s="65"/>
      <c r="BD835" s="65"/>
      <c r="BE835" s="60"/>
      <c r="BG835" s="65"/>
      <c r="BH835" s="65"/>
      <c r="BI835" s="65"/>
      <c r="BJ835" s="65"/>
      <c r="BK835" s="65"/>
      <c r="BL835" s="65"/>
      <c r="BM835" s="65"/>
      <c r="BN835" s="65"/>
      <c r="BO835" s="65"/>
      <c r="BP835" s="65"/>
      <c r="BQ835" s="65"/>
      <c r="BR835" s="65"/>
      <c r="BS835" s="65"/>
      <c r="BT835" s="65"/>
      <c r="BU835" s="65"/>
      <c r="BV835" s="65"/>
      <c r="BW835" s="65"/>
    </row>
    <row r="836" spans="45:75" x14ac:dyDescent="0.25">
      <c r="AS836" s="53"/>
      <c r="AV836" s="53"/>
      <c r="AW836" s="379"/>
      <c r="AX836" s="65"/>
      <c r="AY836" s="65"/>
      <c r="AZ836" s="65"/>
      <c r="BA836" s="60"/>
      <c r="BB836" s="65"/>
      <c r="BC836" s="65"/>
      <c r="BD836" s="65"/>
      <c r="BE836" s="60"/>
      <c r="BG836" s="65"/>
      <c r="BH836" s="65"/>
      <c r="BI836" s="65"/>
      <c r="BJ836" s="65"/>
      <c r="BK836" s="65"/>
      <c r="BL836" s="65"/>
      <c r="BM836" s="65"/>
      <c r="BN836" s="65"/>
      <c r="BO836" s="65"/>
      <c r="BP836" s="65"/>
      <c r="BQ836" s="65"/>
      <c r="BR836" s="65"/>
      <c r="BS836" s="65"/>
      <c r="BT836" s="65"/>
      <c r="BU836" s="65"/>
      <c r="BV836" s="65"/>
      <c r="BW836" s="65"/>
    </row>
    <row r="837" spans="45:75" x14ac:dyDescent="0.25">
      <c r="AS837" s="53"/>
      <c r="AV837" s="53"/>
      <c r="AW837" s="379"/>
      <c r="AX837" s="65"/>
      <c r="AY837" s="65"/>
      <c r="AZ837" s="65"/>
      <c r="BA837" s="60"/>
      <c r="BB837" s="65"/>
      <c r="BC837" s="65"/>
      <c r="BD837" s="65"/>
      <c r="BE837" s="60"/>
      <c r="BG837" s="65"/>
      <c r="BH837" s="65"/>
      <c r="BI837" s="65"/>
      <c r="BJ837" s="65"/>
      <c r="BK837" s="65"/>
      <c r="BL837" s="65"/>
      <c r="BM837" s="65"/>
      <c r="BN837" s="65"/>
      <c r="BO837" s="65"/>
      <c r="BP837" s="65"/>
      <c r="BQ837" s="65"/>
      <c r="BR837" s="65"/>
      <c r="BS837" s="65"/>
      <c r="BT837" s="65"/>
      <c r="BU837" s="65"/>
      <c r="BV837" s="65"/>
      <c r="BW837" s="65"/>
    </row>
    <row r="838" spans="45:75" x14ac:dyDescent="0.25">
      <c r="AS838" s="53"/>
      <c r="AV838" s="53"/>
      <c r="AW838" s="379"/>
      <c r="AX838" s="65"/>
      <c r="AY838" s="65"/>
      <c r="AZ838" s="65"/>
      <c r="BA838" s="60"/>
      <c r="BB838" s="65"/>
      <c r="BC838" s="65"/>
      <c r="BD838" s="65"/>
      <c r="BE838" s="60"/>
      <c r="BG838" s="65"/>
      <c r="BH838" s="65"/>
      <c r="BI838" s="65"/>
      <c r="BJ838" s="65"/>
      <c r="BK838" s="65"/>
      <c r="BL838" s="65"/>
      <c r="BM838" s="65"/>
      <c r="BN838" s="65"/>
      <c r="BO838" s="65"/>
      <c r="BP838" s="65"/>
      <c r="BQ838" s="65"/>
      <c r="BR838" s="65"/>
      <c r="BS838" s="65"/>
      <c r="BT838" s="65"/>
      <c r="BU838" s="65"/>
      <c r="BV838" s="65"/>
      <c r="BW838" s="65"/>
    </row>
    <row r="839" spans="45:75" x14ac:dyDescent="0.25">
      <c r="AS839" s="53"/>
      <c r="AV839" s="53"/>
      <c r="AW839" s="379"/>
      <c r="AX839" s="65"/>
      <c r="AY839" s="65"/>
      <c r="AZ839" s="65"/>
      <c r="BA839" s="60"/>
      <c r="BB839" s="65"/>
      <c r="BC839" s="65"/>
      <c r="BD839" s="65"/>
      <c r="BE839" s="60"/>
      <c r="BG839" s="65"/>
      <c r="BH839" s="65"/>
      <c r="BI839" s="65"/>
      <c r="BJ839" s="65"/>
      <c r="BK839" s="65"/>
      <c r="BL839" s="65"/>
      <c r="BM839" s="65"/>
      <c r="BN839" s="65"/>
      <c r="BO839" s="65"/>
      <c r="BP839" s="65"/>
      <c r="BQ839" s="65"/>
      <c r="BR839" s="65"/>
      <c r="BS839" s="65"/>
      <c r="BT839" s="65"/>
      <c r="BU839" s="65"/>
      <c r="BV839" s="65"/>
      <c r="BW839" s="65"/>
    </row>
    <row r="840" spans="45:75" x14ac:dyDescent="0.25">
      <c r="AS840" s="53"/>
      <c r="AV840" s="53"/>
      <c r="AW840" s="379"/>
      <c r="AX840" s="65"/>
      <c r="AY840" s="65"/>
      <c r="AZ840" s="65"/>
      <c r="BA840" s="60"/>
      <c r="BB840" s="65"/>
      <c r="BC840" s="65"/>
      <c r="BD840" s="65"/>
      <c r="BE840" s="60"/>
      <c r="BG840" s="65"/>
      <c r="BH840" s="65"/>
      <c r="BI840" s="65"/>
      <c r="BJ840" s="65"/>
      <c r="BK840" s="65"/>
      <c r="BL840" s="65"/>
      <c r="BM840" s="65"/>
      <c r="BN840" s="65"/>
      <c r="BO840" s="65"/>
      <c r="BP840" s="65"/>
      <c r="BQ840" s="65"/>
      <c r="BR840" s="65"/>
      <c r="BS840" s="65"/>
      <c r="BT840" s="65"/>
      <c r="BU840" s="65"/>
      <c r="BV840" s="65"/>
      <c r="BW840" s="65"/>
    </row>
    <row r="841" spans="45:75" x14ac:dyDescent="0.25">
      <c r="AS841" s="53"/>
      <c r="AV841" s="53"/>
      <c r="AW841" s="379"/>
      <c r="AX841" s="65"/>
      <c r="AY841" s="65"/>
      <c r="AZ841" s="65"/>
      <c r="BA841" s="60"/>
      <c r="BB841" s="65"/>
      <c r="BC841" s="65"/>
      <c r="BD841" s="65"/>
      <c r="BE841" s="60"/>
      <c r="BG841" s="65"/>
      <c r="BH841" s="65"/>
      <c r="BI841" s="65"/>
      <c r="BJ841" s="65"/>
      <c r="BK841" s="65"/>
      <c r="BL841" s="65"/>
      <c r="BM841" s="65"/>
      <c r="BN841" s="65"/>
      <c r="BO841" s="65"/>
      <c r="BP841" s="65"/>
      <c r="BQ841" s="65"/>
      <c r="BR841" s="65"/>
      <c r="BS841" s="65"/>
      <c r="BT841" s="65"/>
      <c r="BU841" s="65"/>
      <c r="BV841" s="65"/>
      <c r="BW841" s="65"/>
    </row>
    <row r="842" spans="45:75" x14ac:dyDescent="0.25">
      <c r="AS842" s="53"/>
      <c r="AV842" s="53"/>
      <c r="AW842" s="379"/>
      <c r="AX842" s="65"/>
      <c r="AY842" s="65"/>
      <c r="AZ842" s="65"/>
      <c r="BA842" s="60"/>
      <c r="BB842" s="65"/>
      <c r="BC842" s="65"/>
      <c r="BD842" s="65"/>
      <c r="BE842" s="60"/>
      <c r="BG842" s="65"/>
      <c r="BH842" s="65"/>
      <c r="BI842" s="65"/>
      <c r="BJ842" s="65"/>
      <c r="BK842" s="65"/>
      <c r="BL842" s="65"/>
      <c r="BM842" s="65"/>
      <c r="BN842" s="65"/>
      <c r="BO842" s="65"/>
      <c r="BP842" s="65"/>
      <c r="BQ842" s="65"/>
      <c r="BR842" s="65"/>
      <c r="BS842" s="65"/>
      <c r="BT842" s="65"/>
      <c r="BU842" s="65"/>
      <c r="BV842" s="65"/>
      <c r="BW842" s="65"/>
    </row>
    <row r="843" spans="45:75" x14ac:dyDescent="0.25">
      <c r="AS843" s="53"/>
      <c r="AV843" s="53"/>
      <c r="AW843" s="379"/>
      <c r="AX843" s="65"/>
      <c r="AY843" s="65"/>
      <c r="AZ843" s="65"/>
      <c r="BA843" s="60"/>
      <c r="BB843" s="65"/>
      <c r="BC843" s="65"/>
      <c r="BD843" s="65"/>
      <c r="BE843" s="60"/>
      <c r="BG843" s="65"/>
      <c r="BH843" s="65"/>
      <c r="BI843" s="65"/>
      <c r="BJ843" s="65"/>
      <c r="BK843" s="65"/>
      <c r="BL843" s="65"/>
      <c r="BM843" s="65"/>
      <c r="BN843" s="65"/>
      <c r="BO843" s="65"/>
      <c r="BP843" s="65"/>
      <c r="BQ843" s="65"/>
      <c r="BR843" s="65"/>
      <c r="BS843" s="65"/>
      <c r="BT843" s="65"/>
      <c r="BU843" s="65"/>
      <c r="BV843" s="65"/>
      <c r="BW843" s="65"/>
    </row>
    <row r="844" spans="45:75" x14ac:dyDescent="0.25">
      <c r="AS844" s="53"/>
      <c r="AV844" s="53"/>
      <c r="AW844" s="379"/>
      <c r="AX844" s="65"/>
      <c r="AY844" s="65"/>
      <c r="AZ844" s="65"/>
      <c r="BA844" s="60"/>
      <c r="BB844" s="65"/>
      <c r="BC844" s="65"/>
      <c r="BD844" s="65"/>
      <c r="BE844" s="60"/>
      <c r="BG844" s="65"/>
      <c r="BH844" s="65"/>
      <c r="BI844" s="65"/>
      <c r="BJ844" s="65"/>
      <c r="BK844" s="65"/>
      <c r="BL844" s="65"/>
      <c r="BM844" s="65"/>
      <c r="BN844" s="65"/>
      <c r="BO844" s="65"/>
      <c r="BP844" s="65"/>
      <c r="BQ844" s="65"/>
      <c r="BR844" s="65"/>
      <c r="BS844" s="65"/>
      <c r="BT844" s="65"/>
      <c r="BU844" s="65"/>
      <c r="BV844" s="65"/>
      <c r="BW844" s="65"/>
    </row>
    <row r="845" spans="45:75" x14ac:dyDescent="0.25">
      <c r="AS845" s="53"/>
      <c r="AV845" s="53"/>
      <c r="AW845" s="379"/>
      <c r="AX845" s="65"/>
      <c r="AY845" s="65"/>
      <c r="AZ845" s="65"/>
      <c r="BA845" s="60"/>
      <c r="BB845" s="65"/>
      <c r="BC845" s="65"/>
      <c r="BD845" s="65"/>
      <c r="BE845" s="60"/>
      <c r="BG845" s="65"/>
      <c r="BH845" s="65"/>
      <c r="BI845" s="65"/>
      <c r="BJ845" s="65"/>
      <c r="BK845" s="65"/>
      <c r="BL845" s="65"/>
      <c r="BM845" s="65"/>
      <c r="BN845" s="65"/>
      <c r="BO845" s="65"/>
      <c r="BP845" s="65"/>
      <c r="BQ845" s="65"/>
      <c r="BR845" s="65"/>
      <c r="BS845" s="65"/>
      <c r="BT845" s="65"/>
      <c r="BU845" s="65"/>
      <c r="BV845" s="65"/>
      <c r="BW845" s="65"/>
    </row>
    <row r="846" spans="45:75" x14ac:dyDescent="0.25">
      <c r="AS846" s="53"/>
      <c r="AV846" s="53"/>
      <c r="AW846" s="379"/>
      <c r="AX846" s="65"/>
      <c r="AY846" s="65"/>
      <c r="AZ846" s="65"/>
      <c r="BA846" s="60"/>
      <c r="BB846" s="65"/>
      <c r="BC846" s="65"/>
      <c r="BD846" s="65"/>
      <c r="BE846" s="60"/>
      <c r="BG846" s="65"/>
      <c r="BH846" s="65"/>
      <c r="BI846" s="65"/>
      <c r="BJ846" s="65"/>
      <c r="BK846" s="65"/>
      <c r="BL846" s="65"/>
      <c r="BM846" s="65"/>
      <c r="BN846" s="65"/>
      <c r="BO846" s="65"/>
      <c r="BP846" s="65"/>
      <c r="BQ846" s="65"/>
      <c r="BR846" s="65"/>
      <c r="BS846" s="65"/>
      <c r="BT846" s="65"/>
      <c r="BU846" s="65"/>
      <c r="BV846" s="65"/>
      <c r="BW846" s="65"/>
    </row>
    <row r="847" spans="45:75" x14ac:dyDescent="0.25">
      <c r="AS847" s="53"/>
      <c r="AV847" s="53"/>
      <c r="AW847" s="379"/>
      <c r="AX847" s="65"/>
      <c r="AY847" s="65"/>
      <c r="AZ847" s="65"/>
      <c r="BA847" s="60"/>
      <c r="BB847" s="65"/>
      <c r="BC847" s="65"/>
      <c r="BD847" s="65"/>
      <c r="BE847" s="60"/>
      <c r="BG847" s="65"/>
      <c r="BH847" s="65"/>
      <c r="BI847" s="65"/>
      <c r="BJ847" s="65"/>
      <c r="BK847" s="65"/>
      <c r="BL847" s="65"/>
      <c r="BM847" s="65"/>
      <c r="BN847" s="65"/>
      <c r="BO847" s="65"/>
      <c r="BP847" s="65"/>
      <c r="BQ847" s="65"/>
      <c r="BR847" s="65"/>
      <c r="BS847" s="65"/>
      <c r="BT847" s="65"/>
      <c r="BU847" s="65"/>
      <c r="BV847" s="65"/>
      <c r="BW847" s="65"/>
    </row>
    <row r="848" spans="45:75" x14ac:dyDescent="0.25">
      <c r="AS848" s="53"/>
      <c r="AV848" s="53"/>
      <c r="AW848" s="379"/>
      <c r="AX848" s="65"/>
      <c r="AY848" s="65"/>
      <c r="AZ848" s="65"/>
      <c r="BA848" s="60"/>
      <c r="BB848" s="65"/>
      <c r="BC848" s="65"/>
      <c r="BD848" s="65"/>
      <c r="BE848" s="60"/>
      <c r="BG848" s="65"/>
      <c r="BH848" s="65"/>
      <c r="BI848" s="65"/>
      <c r="BJ848" s="65"/>
      <c r="BK848" s="65"/>
      <c r="BL848" s="65"/>
      <c r="BM848" s="65"/>
      <c r="BN848" s="65"/>
      <c r="BO848" s="65"/>
      <c r="BP848" s="65"/>
      <c r="BQ848" s="65"/>
      <c r="BR848" s="65"/>
      <c r="BS848" s="65"/>
      <c r="BT848" s="65"/>
      <c r="BU848" s="65"/>
      <c r="BV848" s="65"/>
      <c r="BW848" s="65"/>
    </row>
    <row r="849" spans="45:75" x14ac:dyDescent="0.25">
      <c r="AS849" s="53"/>
      <c r="AV849" s="53"/>
      <c r="AW849" s="379"/>
      <c r="AX849" s="65"/>
      <c r="AY849" s="65"/>
      <c r="AZ849" s="65"/>
      <c r="BA849" s="60"/>
      <c r="BB849" s="65"/>
      <c r="BC849" s="65"/>
      <c r="BD849" s="65"/>
      <c r="BE849" s="60"/>
      <c r="BG849" s="65"/>
      <c r="BH849" s="65"/>
      <c r="BI849" s="65"/>
      <c r="BJ849" s="65"/>
      <c r="BK849" s="65"/>
      <c r="BL849" s="65"/>
      <c r="BM849" s="65"/>
      <c r="BN849" s="65"/>
      <c r="BO849" s="65"/>
      <c r="BP849" s="65"/>
      <c r="BQ849" s="65"/>
      <c r="BR849" s="65"/>
      <c r="BS849" s="65"/>
      <c r="BT849" s="65"/>
      <c r="BU849" s="65"/>
      <c r="BV849" s="65"/>
      <c r="BW849" s="65"/>
    </row>
    <row r="850" spans="45:75" x14ac:dyDescent="0.25">
      <c r="AS850" s="53"/>
      <c r="AV850" s="53"/>
      <c r="AW850" s="379"/>
      <c r="AX850" s="65"/>
      <c r="AY850" s="65"/>
      <c r="AZ850" s="65"/>
      <c r="BA850" s="60"/>
      <c r="BB850" s="65"/>
      <c r="BC850" s="65"/>
      <c r="BD850" s="65"/>
      <c r="BE850" s="60"/>
      <c r="BG850" s="65"/>
      <c r="BH850" s="65"/>
      <c r="BI850" s="65"/>
      <c r="BJ850" s="65"/>
      <c r="BK850" s="65"/>
      <c r="BL850" s="65"/>
      <c r="BM850" s="65"/>
      <c r="BN850" s="65"/>
      <c r="BO850" s="65"/>
      <c r="BP850" s="65"/>
      <c r="BQ850" s="65"/>
      <c r="BR850" s="65"/>
      <c r="BS850" s="65"/>
      <c r="BT850" s="65"/>
      <c r="BU850" s="65"/>
      <c r="BV850" s="65"/>
      <c r="BW850" s="65"/>
    </row>
    <row r="851" spans="45:75" x14ac:dyDescent="0.25">
      <c r="AS851" s="53"/>
      <c r="AV851" s="53"/>
      <c r="AW851" s="379"/>
      <c r="AX851" s="65"/>
      <c r="AY851" s="65"/>
      <c r="AZ851" s="65"/>
      <c r="BA851" s="60"/>
      <c r="BB851" s="65"/>
      <c r="BC851" s="65"/>
      <c r="BD851" s="65"/>
      <c r="BE851" s="60"/>
      <c r="BG851" s="65"/>
      <c r="BH851" s="65"/>
      <c r="BI851" s="65"/>
      <c r="BJ851" s="65"/>
      <c r="BK851" s="65"/>
      <c r="BL851" s="65"/>
      <c r="BM851" s="65"/>
      <c r="BN851" s="65"/>
      <c r="BO851" s="65"/>
      <c r="BP851" s="65"/>
      <c r="BQ851" s="65"/>
      <c r="BR851" s="65"/>
      <c r="BS851" s="65"/>
      <c r="BT851" s="65"/>
      <c r="BU851" s="65"/>
      <c r="BV851" s="65"/>
      <c r="BW851" s="65"/>
    </row>
    <row r="852" spans="45:75" x14ac:dyDescent="0.25">
      <c r="AW852" s="379"/>
      <c r="AX852" s="65"/>
      <c r="AY852" s="65"/>
      <c r="AZ852" s="65"/>
      <c r="BA852" s="60"/>
      <c r="BB852" s="65"/>
      <c r="BC852" s="65"/>
      <c r="BD852" s="65"/>
      <c r="BE852" s="60"/>
      <c r="BG852" s="55"/>
      <c r="BH852" s="55"/>
      <c r="BI852" s="54"/>
      <c r="BM852" s="55"/>
      <c r="BN852" s="55"/>
      <c r="BO852" s="65"/>
      <c r="BP852" s="55"/>
      <c r="BQ852" s="55"/>
      <c r="BR852" s="54"/>
      <c r="BV852" s="55"/>
      <c r="BW852" s="55"/>
    </row>
    <row r="853" spans="45:75" x14ac:dyDescent="0.25">
      <c r="AS853" s="53"/>
      <c r="AU853" s="54"/>
      <c r="AV853" s="56"/>
      <c r="AW853" s="379"/>
      <c r="AX853" s="65"/>
      <c r="AY853" s="65"/>
      <c r="AZ853" s="65"/>
      <c r="BA853" s="60"/>
      <c r="BB853" s="65"/>
      <c r="BC853" s="65"/>
      <c r="BD853" s="65"/>
      <c r="BE853" s="60"/>
      <c r="BG853" s="67"/>
      <c r="BH853" s="65"/>
      <c r="BI853" s="65"/>
      <c r="BJ853" s="65"/>
      <c r="BK853" s="67"/>
      <c r="BL853" s="68"/>
      <c r="BM853" s="65"/>
      <c r="BN853" s="67"/>
      <c r="BO853" s="65"/>
      <c r="BP853" s="67"/>
      <c r="BQ853" s="65"/>
      <c r="BR853" s="65"/>
      <c r="BS853" s="65"/>
      <c r="BT853" s="67"/>
      <c r="BU853" s="68"/>
      <c r="BV853" s="65"/>
      <c r="BW853" s="67"/>
    </row>
    <row r="854" spans="45:75" x14ac:dyDescent="0.25">
      <c r="AS854" s="53"/>
      <c r="AV854" s="56"/>
      <c r="AW854" s="379"/>
      <c r="AX854" s="65"/>
      <c r="AY854" s="65"/>
      <c r="AZ854" s="65"/>
      <c r="BA854" s="60"/>
      <c r="BB854" s="65"/>
      <c r="BC854" s="65"/>
      <c r="BD854" s="65"/>
      <c r="BE854" s="60"/>
      <c r="BG854" s="65"/>
      <c r="BH854" s="65"/>
      <c r="BI854" s="65"/>
      <c r="BJ854" s="65"/>
      <c r="BK854" s="65"/>
      <c r="BL854" s="68"/>
      <c r="BM854" s="65"/>
      <c r="BN854" s="65"/>
      <c r="BO854" s="65"/>
      <c r="BP854" s="65"/>
      <c r="BQ854" s="65"/>
      <c r="BR854" s="65"/>
      <c r="BS854" s="65"/>
      <c r="BT854" s="65"/>
      <c r="BU854" s="68"/>
      <c r="BV854" s="65"/>
      <c r="BW854" s="65"/>
    </row>
    <row r="855" spans="45:75" x14ac:dyDescent="0.25">
      <c r="AS855" s="53"/>
      <c r="AV855" s="56"/>
      <c r="AW855" s="379"/>
      <c r="AX855" s="65"/>
      <c r="AY855" s="65"/>
      <c r="AZ855" s="65"/>
      <c r="BA855" s="60"/>
      <c r="BB855" s="65"/>
      <c r="BC855" s="65"/>
      <c r="BD855" s="65"/>
      <c r="BE855" s="60"/>
      <c r="BG855" s="65"/>
      <c r="BH855" s="65"/>
      <c r="BI855" s="65"/>
      <c r="BJ855" s="65"/>
      <c r="BK855" s="65"/>
      <c r="BL855" s="68"/>
      <c r="BM855" s="65"/>
      <c r="BN855" s="65"/>
      <c r="BO855" s="65"/>
      <c r="BP855" s="65"/>
      <c r="BQ855" s="65"/>
      <c r="BR855" s="65"/>
      <c r="BS855" s="65"/>
      <c r="BT855" s="65"/>
      <c r="BU855" s="68"/>
      <c r="BV855" s="65"/>
      <c r="BW855" s="65"/>
    </row>
    <row r="856" spans="45:75" x14ac:dyDescent="0.25">
      <c r="AS856" s="53"/>
      <c r="AV856" s="56"/>
      <c r="AW856" s="379"/>
      <c r="AX856" s="65"/>
      <c r="AY856" s="65"/>
      <c r="AZ856" s="65"/>
      <c r="BA856" s="60"/>
      <c r="BB856" s="65"/>
      <c r="BC856" s="65"/>
      <c r="BD856" s="65"/>
      <c r="BE856" s="60"/>
      <c r="BG856" s="65"/>
      <c r="BH856" s="65"/>
      <c r="BI856" s="65"/>
      <c r="BJ856" s="65"/>
      <c r="BK856" s="65"/>
      <c r="BL856" s="68"/>
      <c r="BM856" s="65"/>
      <c r="BN856" s="65"/>
      <c r="BO856" s="65"/>
      <c r="BP856" s="65"/>
      <c r="BQ856" s="65"/>
      <c r="BR856" s="65"/>
      <c r="BS856" s="65"/>
      <c r="BT856" s="65"/>
      <c r="BU856" s="68"/>
      <c r="BV856" s="65"/>
      <c r="BW856" s="65"/>
    </row>
    <row r="857" spans="45:75" x14ac:dyDescent="0.25">
      <c r="AX857" s="65"/>
      <c r="AY857" s="65"/>
      <c r="AZ857" s="65"/>
      <c r="BA857" s="60"/>
      <c r="BB857" s="65"/>
      <c r="BC857" s="65"/>
      <c r="BD857" s="65"/>
      <c r="BE857" s="60"/>
      <c r="BG857" s="65"/>
      <c r="BH857" s="65"/>
      <c r="BI857" s="65"/>
      <c r="BJ857" s="65"/>
      <c r="BK857" s="65"/>
      <c r="BL857" s="65"/>
      <c r="BM857" s="65"/>
      <c r="BN857" s="65"/>
      <c r="BO857" s="65"/>
      <c r="BP857" s="65"/>
      <c r="BQ857" s="65"/>
      <c r="BR857" s="65"/>
      <c r="BS857" s="65"/>
      <c r="BT857" s="65"/>
      <c r="BU857" s="65"/>
      <c r="BV857" s="65"/>
    </row>
    <row r="858" spans="45:75" x14ac:dyDescent="0.25">
      <c r="AU858" s="54"/>
    </row>
    <row r="859" spans="45:75" x14ac:dyDescent="0.25">
      <c r="AU859" s="54"/>
      <c r="AZ859" s="65"/>
      <c r="BA859" s="60"/>
      <c r="BB859" s="65"/>
      <c r="BC859" s="65"/>
      <c r="BD859" s="65"/>
      <c r="BE859" s="60"/>
      <c r="BG859" s="65"/>
      <c r="BH859" s="65"/>
      <c r="BI859" s="65"/>
      <c r="BJ859" s="65"/>
      <c r="BK859" s="65"/>
      <c r="BL859" s="65"/>
      <c r="BM859" s="65"/>
      <c r="BN859" s="65"/>
      <c r="BO859" s="65"/>
      <c r="BP859" s="65"/>
      <c r="BQ859" s="65"/>
      <c r="BR859" s="65"/>
      <c r="BS859" s="65"/>
      <c r="BT859" s="65"/>
      <c r="BU859" s="65"/>
      <c r="BV859" s="65"/>
    </row>
    <row r="860" spans="45:75" x14ac:dyDescent="0.25">
      <c r="AS860" s="54"/>
      <c r="AZ860" s="65"/>
      <c r="BB860" s="65"/>
    </row>
    <row r="861" spans="45:75" x14ac:dyDescent="0.25">
      <c r="AY861" s="53"/>
      <c r="AZ861" s="65"/>
      <c r="BB861" s="65"/>
      <c r="BO861" s="65"/>
      <c r="BP861" s="65"/>
      <c r="BQ861" s="65"/>
      <c r="BR861" s="65"/>
      <c r="BS861" s="65"/>
      <c r="BT861" s="65"/>
      <c r="BU861" s="65"/>
      <c r="BV861" s="65"/>
    </row>
    <row r="862" spans="45:75" x14ac:dyDescent="0.25">
      <c r="AY862" s="65"/>
      <c r="AZ862" s="65"/>
      <c r="BB862" s="65"/>
      <c r="BO862" s="65"/>
      <c r="BP862" s="65"/>
      <c r="BQ862" s="65"/>
      <c r="BR862" s="65"/>
      <c r="BS862" s="65"/>
      <c r="BT862" s="65"/>
      <c r="BU862" s="65"/>
      <c r="BV862" s="65"/>
    </row>
    <row r="863" spans="45:75" x14ac:dyDescent="0.25">
      <c r="AY863" s="54"/>
      <c r="AZ863" s="65"/>
      <c r="BB863" s="65"/>
      <c r="BO863" s="65"/>
      <c r="BP863" s="65"/>
      <c r="BQ863" s="65"/>
      <c r="BR863" s="65"/>
      <c r="BS863" s="65"/>
      <c r="BT863" s="65"/>
      <c r="BU863" s="65"/>
      <c r="BV863" s="65"/>
    </row>
    <row r="864" spans="45:75" x14ac:dyDescent="0.25">
      <c r="AY864" s="54"/>
      <c r="AZ864" s="65"/>
      <c r="BB864" s="65"/>
      <c r="BO864" s="65"/>
      <c r="BP864" s="65"/>
      <c r="BQ864" s="65"/>
      <c r="BR864" s="65"/>
      <c r="BS864" s="65"/>
      <c r="BT864" s="65"/>
      <c r="BU864" s="65"/>
      <c r="BV864" s="65"/>
    </row>
    <row r="865" spans="45:74" x14ac:dyDescent="0.25">
      <c r="AS865" s="53"/>
      <c r="AZ865" s="65"/>
      <c r="BB865" s="65"/>
      <c r="BD865" s="54"/>
      <c r="BO865" s="65"/>
      <c r="BP865" s="65"/>
      <c r="BQ865" s="65"/>
      <c r="BR865" s="65"/>
      <c r="BS865" s="65"/>
      <c r="BT865" s="65"/>
      <c r="BU865" s="65"/>
      <c r="BV865" s="65"/>
    </row>
    <row r="866" spans="45:74" x14ac:dyDescent="0.25">
      <c r="AS866" s="53"/>
      <c r="AZ866" s="65"/>
      <c r="BB866" s="65"/>
      <c r="BD866" s="54"/>
      <c r="BO866" s="65"/>
      <c r="BP866" s="65"/>
      <c r="BQ866" s="65"/>
      <c r="BR866" s="65"/>
      <c r="BS866" s="65"/>
      <c r="BT866" s="65"/>
      <c r="BU866" s="65"/>
      <c r="BV866" s="65"/>
    </row>
    <row r="867" spans="45:74" x14ac:dyDescent="0.25">
      <c r="AS867" s="54"/>
      <c r="AZ867" s="65"/>
      <c r="BB867" s="65"/>
      <c r="BD867" s="54"/>
      <c r="BO867" s="65"/>
      <c r="BP867" s="65"/>
      <c r="BQ867" s="65"/>
      <c r="BR867" s="65"/>
      <c r="BS867" s="65"/>
      <c r="BT867" s="65"/>
      <c r="BU867" s="65"/>
      <c r="BV867" s="65"/>
    </row>
    <row r="868" spans="45:74" x14ac:dyDescent="0.25">
      <c r="AZ868" s="65"/>
      <c r="BB868" s="65"/>
      <c r="BD868" s="53"/>
      <c r="BO868" s="65"/>
      <c r="BP868" s="65"/>
      <c r="BQ868" s="65"/>
      <c r="BR868" s="65"/>
      <c r="BS868" s="65"/>
      <c r="BT868" s="65"/>
      <c r="BU868" s="65"/>
      <c r="BV868" s="65"/>
    </row>
    <row r="869" spans="45:74" x14ac:dyDescent="0.25">
      <c r="AS869" s="55"/>
      <c r="AT869" s="55"/>
      <c r="AU869" s="55"/>
      <c r="AV869" s="55"/>
      <c r="AW869" s="55"/>
      <c r="AX869" s="55"/>
      <c r="AY869" s="55"/>
      <c r="AZ869" s="66"/>
      <c r="BA869" s="55"/>
      <c r="BB869" s="66"/>
      <c r="BC869" s="55"/>
      <c r="BD869" s="55"/>
      <c r="BE869" s="55"/>
      <c r="BO869" s="65"/>
      <c r="BP869" s="65"/>
      <c r="BQ869" s="65"/>
      <c r="BR869" s="65"/>
      <c r="BS869" s="65"/>
      <c r="BT869" s="65"/>
      <c r="BU869" s="65"/>
      <c r="BV869" s="65"/>
    </row>
    <row r="870" spans="45:74" x14ac:dyDescent="0.25">
      <c r="AX870" s="54"/>
      <c r="AZ870" s="65"/>
      <c r="BB870" s="65"/>
      <c r="BO870" s="65"/>
      <c r="BP870" s="65"/>
      <c r="BQ870" s="65"/>
      <c r="BR870" s="65"/>
      <c r="BS870" s="65"/>
      <c r="BT870" s="65"/>
      <c r="BU870" s="65"/>
      <c r="BV870" s="65"/>
    </row>
    <row r="871" spans="45:74" x14ac:dyDescent="0.25">
      <c r="AX871" s="55"/>
      <c r="AY871" s="55"/>
      <c r="AZ871" s="66"/>
      <c r="BA871" s="55"/>
      <c r="BB871" s="65"/>
      <c r="BC871" s="56"/>
      <c r="BD871" s="56"/>
      <c r="BO871" s="65"/>
      <c r="BP871" s="65"/>
      <c r="BQ871" s="65"/>
      <c r="BR871" s="65"/>
      <c r="BS871" s="65"/>
      <c r="BT871" s="65"/>
      <c r="BU871" s="65"/>
      <c r="BV871" s="65"/>
    </row>
    <row r="872" spans="45:74" x14ac:dyDescent="0.25">
      <c r="AV872" s="56"/>
      <c r="AW872" s="56"/>
      <c r="AZ872" s="67"/>
      <c r="BA872" s="56"/>
      <c r="BB872" s="65"/>
      <c r="BC872" s="56"/>
      <c r="BD872" s="56"/>
      <c r="BE872" s="56"/>
      <c r="BG872" s="55"/>
      <c r="BH872" s="54"/>
      <c r="BK872" s="55"/>
      <c r="BM872" s="55"/>
      <c r="BN872" s="54"/>
      <c r="BQ872" s="55"/>
    </row>
    <row r="873" spans="45:74" x14ac:dyDescent="0.25">
      <c r="AV873" s="56"/>
      <c r="AW873" s="56"/>
      <c r="AX873" s="56"/>
      <c r="AY873" s="56"/>
      <c r="AZ873" s="67"/>
      <c r="BA873" s="56"/>
      <c r="BB873" s="67"/>
      <c r="BC873" s="56"/>
      <c r="BD873" s="56"/>
      <c r="BE873" s="56"/>
      <c r="BH873" s="56"/>
      <c r="BI873" s="56"/>
      <c r="BN873" s="56"/>
      <c r="BO873" s="56"/>
    </row>
    <row r="874" spans="45:74" x14ac:dyDescent="0.25">
      <c r="AS874" s="56"/>
      <c r="AU874" s="54"/>
      <c r="AV874" s="56"/>
      <c r="AW874" s="56"/>
      <c r="AX874" s="56"/>
      <c r="AY874" s="56"/>
      <c r="AZ874" s="67"/>
      <c r="BA874" s="56"/>
      <c r="BB874" s="67"/>
      <c r="BC874" s="56"/>
      <c r="BD874" s="56"/>
      <c r="BE874" s="56"/>
      <c r="BG874" s="56"/>
      <c r="BH874" s="56"/>
      <c r="BI874" s="56"/>
      <c r="BJ874" s="56"/>
      <c r="BK874" s="56"/>
      <c r="BM874" s="56"/>
      <c r="BN874" s="56"/>
      <c r="BO874" s="56"/>
      <c r="BP874" s="56"/>
      <c r="BQ874" s="56"/>
    </row>
    <row r="875" spans="45:74" x14ac:dyDescent="0.25">
      <c r="AS875" s="56"/>
      <c r="AU875" s="54"/>
      <c r="AV875" s="56"/>
      <c r="AW875" s="56"/>
      <c r="AX875" s="56"/>
      <c r="AY875" s="56"/>
      <c r="AZ875" s="67"/>
      <c r="BA875" s="56"/>
      <c r="BB875" s="67"/>
      <c r="BC875" s="56"/>
      <c r="BD875" s="56"/>
      <c r="BE875" s="56"/>
      <c r="BG875" s="56"/>
      <c r="BH875" s="56"/>
      <c r="BI875" s="56"/>
      <c r="BJ875" s="56"/>
      <c r="BK875" s="56"/>
      <c r="BM875" s="56"/>
      <c r="BN875" s="56"/>
      <c r="BO875" s="56"/>
      <c r="BP875" s="56"/>
      <c r="BQ875" s="56"/>
    </row>
    <row r="876" spans="45:74" x14ac:dyDescent="0.25">
      <c r="AS876" s="55"/>
      <c r="AT876" s="55"/>
      <c r="AU876" s="55"/>
      <c r="AV876" s="55"/>
      <c r="AW876" s="55"/>
      <c r="AX876" s="55"/>
      <c r="AY876" s="55"/>
      <c r="AZ876" s="66"/>
      <c r="BA876" s="55"/>
      <c r="BB876" s="66"/>
      <c r="BC876" s="55"/>
      <c r="BD876" s="55"/>
      <c r="BE876" s="55"/>
      <c r="BG876" s="55"/>
      <c r="BH876" s="55"/>
      <c r="BI876" s="55"/>
      <c r="BJ876" s="55"/>
      <c r="BK876" s="55"/>
      <c r="BM876" s="55"/>
      <c r="BN876" s="55"/>
      <c r="BO876" s="55"/>
      <c r="BP876" s="55"/>
      <c r="BQ876" s="55"/>
    </row>
    <row r="877" spans="45:74" x14ac:dyDescent="0.25">
      <c r="AV877" s="56"/>
      <c r="AW877" s="56"/>
      <c r="AX877" s="56"/>
      <c r="AY877" s="56"/>
      <c r="AZ877" s="67"/>
      <c r="BA877" s="56"/>
      <c r="BB877" s="67"/>
      <c r="BC877" s="56"/>
      <c r="BD877" s="56"/>
      <c r="BE877" s="56"/>
      <c r="BG877" s="65"/>
      <c r="BH877" s="65"/>
      <c r="BI877" s="65"/>
      <c r="BJ877" s="65"/>
      <c r="BK877" s="65"/>
      <c r="BL877" s="65"/>
      <c r="BM877" s="65"/>
      <c r="BN877" s="65"/>
      <c r="BO877" s="65"/>
      <c r="BP877" s="65"/>
      <c r="BQ877" s="65"/>
    </row>
    <row r="878" spans="45:74" x14ac:dyDescent="0.25">
      <c r="AS878" s="53"/>
      <c r="AT878" s="54"/>
      <c r="AV878" s="379"/>
      <c r="AW878" s="379"/>
      <c r="AX878" s="65"/>
      <c r="AY878" s="65"/>
      <c r="AZ878" s="65"/>
      <c r="BA878" s="60"/>
      <c r="BB878" s="65"/>
      <c r="BC878" s="65"/>
      <c r="BD878" s="65"/>
      <c r="BE878" s="60"/>
      <c r="BG878" s="65"/>
      <c r="BH878" s="65"/>
      <c r="BI878" s="65"/>
      <c r="BJ878" s="65"/>
      <c r="BK878" s="65"/>
      <c r="BL878" s="65"/>
      <c r="BM878" s="65"/>
      <c r="BN878" s="65"/>
      <c r="BO878" s="65"/>
      <c r="BP878" s="65"/>
      <c r="BQ878" s="65"/>
      <c r="BR878" s="65"/>
      <c r="BS878" s="65"/>
    </row>
    <row r="879" spans="45:74" x14ac:dyDescent="0.25">
      <c r="AS879" s="53"/>
      <c r="AV879" s="379"/>
      <c r="AW879" s="379"/>
      <c r="AX879" s="65"/>
      <c r="AY879" s="65"/>
      <c r="AZ879" s="65"/>
      <c r="BA879" s="60"/>
      <c r="BB879" s="65"/>
      <c r="BC879" s="65"/>
      <c r="BD879" s="65"/>
      <c r="BE879" s="60"/>
      <c r="BG879" s="65"/>
      <c r="BH879" s="65"/>
      <c r="BI879" s="65"/>
      <c r="BJ879" s="65"/>
      <c r="BK879" s="65"/>
      <c r="BL879" s="65"/>
      <c r="BM879" s="65"/>
      <c r="BN879" s="65"/>
      <c r="BO879" s="65"/>
      <c r="BP879" s="65"/>
      <c r="BQ879" s="65"/>
      <c r="BR879" s="65"/>
      <c r="BS879" s="65"/>
    </row>
    <row r="880" spans="45:74" x14ac:dyDescent="0.25">
      <c r="AS880" s="53"/>
      <c r="AV880" s="379"/>
      <c r="AW880" s="379"/>
      <c r="AX880" s="65"/>
      <c r="AY880" s="65"/>
      <c r="AZ880" s="65"/>
      <c r="BA880" s="60"/>
      <c r="BB880" s="65"/>
      <c r="BC880" s="65"/>
      <c r="BD880" s="65"/>
      <c r="BE880" s="60"/>
      <c r="BG880" s="65"/>
      <c r="BH880" s="65"/>
      <c r="BI880" s="65"/>
      <c r="BJ880" s="65"/>
      <c r="BK880" s="65"/>
      <c r="BL880" s="65"/>
      <c r="BM880" s="65"/>
      <c r="BN880" s="65"/>
      <c r="BO880" s="65"/>
      <c r="BP880" s="65"/>
      <c r="BQ880" s="65"/>
      <c r="BR880" s="65"/>
      <c r="BS880" s="65"/>
    </row>
    <row r="881" spans="45:71" x14ac:dyDescent="0.25">
      <c r="AS881" s="53"/>
      <c r="AV881" s="379"/>
      <c r="AW881" s="379"/>
      <c r="AX881" s="65"/>
      <c r="AY881" s="65"/>
      <c r="AZ881" s="65"/>
      <c r="BA881" s="60"/>
      <c r="BB881" s="65"/>
      <c r="BC881" s="65"/>
      <c r="BD881" s="65"/>
      <c r="BE881" s="60"/>
      <c r="BG881" s="65"/>
      <c r="BH881" s="65"/>
      <c r="BI881" s="65"/>
      <c r="BJ881" s="65"/>
      <c r="BK881" s="65"/>
      <c r="BL881" s="65"/>
      <c r="BM881" s="65"/>
      <c r="BN881" s="65"/>
      <c r="BO881" s="65"/>
      <c r="BP881" s="65"/>
      <c r="BQ881" s="65"/>
      <c r="BR881" s="65"/>
      <c r="BS881" s="65"/>
    </row>
    <row r="882" spans="45:71" x14ac:dyDescent="0.25">
      <c r="AS882" s="53"/>
      <c r="AV882" s="379"/>
      <c r="AW882" s="379"/>
      <c r="AX882" s="65"/>
      <c r="AY882" s="65"/>
      <c r="AZ882" s="65"/>
      <c r="BA882" s="60"/>
      <c r="BB882" s="65"/>
      <c r="BC882" s="65"/>
      <c r="BD882" s="65"/>
      <c r="BE882" s="60"/>
      <c r="BG882" s="65"/>
      <c r="BH882" s="65"/>
      <c r="BI882" s="65"/>
      <c r="BJ882" s="65"/>
      <c r="BK882" s="65"/>
      <c r="BL882" s="65"/>
      <c r="BM882" s="65"/>
      <c r="BN882" s="65"/>
      <c r="BO882" s="65"/>
      <c r="BP882" s="65"/>
      <c r="BQ882" s="65"/>
      <c r="BR882" s="65"/>
      <c r="BS882" s="65"/>
    </row>
    <row r="883" spans="45:71" x14ac:dyDescent="0.25">
      <c r="AS883" s="53"/>
      <c r="AV883" s="379"/>
      <c r="AW883" s="379"/>
      <c r="AX883" s="65"/>
      <c r="AY883" s="65"/>
      <c r="AZ883" s="65"/>
      <c r="BA883" s="60"/>
      <c r="BB883" s="65"/>
      <c r="BC883" s="65"/>
      <c r="BD883" s="65"/>
      <c r="BE883" s="60"/>
      <c r="BG883" s="65"/>
      <c r="BH883" s="65"/>
      <c r="BI883" s="65"/>
      <c r="BJ883" s="65"/>
      <c r="BK883" s="65"/>
      <c r="BL883" s="65"/>
      <c r="BM883" s="65"/>
      <c r="BN883" s="65"/>
      <c r="BO883" s="65"/>
      <c r="BP883" s="65"/>
      <c r="BQ883" s="65"/>
      <c r="BR883" s="65"/>
      <c r="BS883" s="65"/>
    </row>
    <row r="884" spans="45:71" x14ac:dyDescent="0.25">
      <c r="AS884" s="53"/>
      <c r="AV884" s="379"/>
      <c r="AW884" s="379"/>
      <c r="AX884" s="65"/>
      <c r="AY884" s="65"/>
      <c r="AZ884" s="65"/>
      <c r="BA884" s="60"/>
      <c r="BB884" s="65"/>
      <c r="BC884" s="65"/>
      <c r="BD884" s="65"/>
      <c r="BE884" s="60"/>
      <c r="BG884" s="65"/>
      <c r="BH884" s="65"/>
      <c r="BI884" s="65"/>
      <c r="BJ884" s="65"/>
      <c r="BK884" s="65"/>
      <c r="BL884" s="65"/>
      <c r="BM884" s="65"/>
      <c r="BN884" s="65"/>
      <c r="BO884" s="65"/>
      <c r="BP884" s="65"/>
      <c r="BQ884" s="65"/>
      <c r="BR884" s="65"/>
      <c r="BS884" s="65"/>
    </row>
    <row r="885" spans="45:71" x14ac:dyDescent="0.25">
      <c r="AS885" s="53"/>
      <c r="AV885" s="379"/>
      <c r="AW885" s="379"/>
      <c r="AX885" s="65"/>
      <c r="AY885" s="65"/>
      <c r="AZ885" s="65"/>
      <c r="BA885" s="60"/>
      <c r="BB885" s="65"/>
      <c r="BC885" s="65"/>
      <c r="BD885" s="65"/>
      <c r="BE885" s="60"/>
      <c r="BG885" s="65"/>
      <c r="BH885" s="65"/>
      <c r="BI885" s="65"/>
      <c r="BJ885" s="65"/>
      <c r="BK885" s="65"/>
      <c r="BL885" s="65"/>
      <c r="BM885" s="65"/>
      <c r="BN885" s="65"/>
      <c r="BO885" s="65"/>
      <c r="BP885" s="65"/>
      <c r="BQ885" s="65"/>
      <c r="BR885" s="65"/>
      <c r="BS885" s="65"/>
    </row>
    <row r="886" spans="45:71" x14ac:dyDescent="0.25">
      <c r="AS886" s="53"/>
      <c r="AV886" s="379"/>
      <c r="AW886" s="379"/>
      <c r="AX886" s="65"/>
      <c r="AY886" s="65"/>
      <c r="AZ886" s="65"/>
      <c r="BA886" s="60"/>
      <c r="BB886" s="65"/>
      <c r="BC886" s="65"/>
      <c r="BD886" s="65"/>
      <c r="BE886" s="60"/>
      <c r="BG886" s="65"/>
      <c r="BH886" s="65"/>
      <c r="BI886" s="65"/>
      <c r="BJ886" s="65"/>
      <c r="BK886" s="65"/>
      <c r="BL886" s="65"/>
      <c r="BM886" s="65"/>
      <c r="BN886" s="65"/>
      <c r="BO886" s="65"/>
      <c r="BP886" s="65"/>
      <c r="BQ886" s="65"/>
      <c r="BR886" s="65"/>
      <c r="BS886" s="65"/>
    </row>
    <row r="887" spans="45:71" x14ac:dyDescent="0.25">
      <c r="AS887" s="53"/>
      <c r="AV887" s="379"/>
      <c r="AW887" s="379"/>
      <c r="AX887" s="65"/>
      <c r="AY887" s="65"/>
      <c r="AZ887" s="65"/>
      <c r="BA887" s="60"/>
      <c r="BB887" s="65"/>
      <c r="BC887" s="65"/>
      <c r="BD887" s="65"/>
      <c r="BE887" s="60"/>
      <c r="BG887" s="65"/>
      <c r="BH887" s="65"/>
      <c r="BI887" s="65"/>
      <c r="BJ887" s="65"/>
      <c r="BK887" s="65"/>
      <c r="BL887" s="65"/>
      <c r="BM887" s="65"/>
      <c r="BN887" s="65"/>
      <c r="BO887" s="65"/>
      <c r="BP887" s="65"/>
      <c r="BQ887" s="65"/>
      <c r="BR887" s="65"/>
      <c r="BS887" s="65"/>
    </row>
    <row r="888" spans="45:71" x14ac:dyDescent="0.25">
      <c r="AS888" s="53"/>
      <c r="AV888" s="379"/>
      <c r="AW888" s="379"/>
      <c r="AX888" s="65"/>
      <c r="AY888" s="65"/>
      <c r="AZ888" s="65"/>
      <c r="BA888" s="60"/>
      <c r="BB888" s="65"/>
      <c r="BC888" s="65"/>
      <c r="BD888" s="65"/>
      <c r="BE888" s="60"/>
      <c r="BG888" s="65"/>
      <c r="BH888" s="65"/>
      <c r="BI888" s="65"/>
      <c r="BJ888" s="65"/>
      <c r="BK888" s="65"/>
      <c r="BL888" s="65"/>
      <c r="BM888" s="65"/>
      <c r="BN888" s="65"/>
      <c r="BO888" s="65"/>
      <c r="BP888" s="65"/>
      <c r="BQ888" s="65"/>
      <c r="BR888" s="65"/>
      <c r="BS888" s="65"/>
    </row>
    <row r="889" spans="45:71" x14ac:dyDescent="0.25">
      <c r="AS889" s="53"/>
      <c r="AV889" s="379"/>
      <c r="AW889" s="379"/>
      <c r="AX889" s="65"/>
      <c r="AY889" s="65"/>
      <c r="AZ889" s="65"/>
      <c r="BA889" s="60"/>
      <c r="BB889" s="65"/>
      <c r="BC889" s="65"/>
      <c r="BD889" s="65"/>
      <c r="BE889" s="60"/>
      <c r="BG889" s="65"/>
      <c r="BH889" s="65"/>
      <c r="BI889" s="65"/>
      <c r="BJ889" s="65"/>
      <c r="BK889" s="65"/>
      <c r="BL889" s="65"/>
      <c r="BM889" s="65"/>
      <c r="BN889" s="65"/>
      <c r="BO889" s="65"/>
      <c r="BP889" s="65"/>
      <c r="BQ889" s="65"/>
      <c r="BR889" s="65"/>
      <c r="BS889" s="65"/>
    </row>
    <row r="890" spans="45:71" x14ac:dyDescent="0.25">
      <c r="AS890" s="53"/>
      <c r="AV890" s="379"/>
      <c r="AW890" s="379"/>
      <c r="AX890" s="65"/>
      <c r="AY890" s="65"/>
      <c r="AZ890" s="65"/>
      <c r="BA890" s="60"/>
      <c r="BB890" s="65"/>
      <c r="BC890" s="65"/>
      <c r="BD890" s="65"/>
      <c r="BE890" s="60"/>
      <c r="BG890" s="65"/>
      <c r="BH890" s="65"/>
      <c r="BI890" s="65"/>
      <c r="BJ890" s="65"/>
      <c r="BK890" s="65"/>
      <c r="BL890" s="65"/>
      <c r="BM890" s="65"/>
      <c r="BN890" s="65"/>
      <c r="BO890" s="65"/>
      <c r="BP890" s="65"/>
      <c r="BQ890" s="65"/>
      <c r="BR890" s="65"/>
      <c r="BS890" s="65"/>
    </row>
    <row r="891" spans="45:71" x14ac:dyDescent="0.25">
      <c r="AS891" s="53"/>
      <c r="AV891" s="379"/>
      <c r="AW891" s="379"/>
      <c r="AX891" s="65"/>
      <c r="AY891" s="65"/>
      <c r="AZ891" s="65"/>
      <c r="BA891" s="60"/>
      <c r="BB891" s="65"/>
      <c r="BC891" s="65"/>
      <c r="BD891" s="65"/>
      <c r="BE891" s="60"/>
      <c r="BG891" s="65"/>
      <c r="BH891" s="65"/>
      <c r="BI891" s="65"/>
      <c r="BJ891" s="65"/>
      <c r="BK891" s="65"/>
      <c r="BL891" s="65"/>
      <c r="BM891" s="65"/>
      <c r="BN891" s="65"/>
      <c r="BO891" s="65"/>
      <c r="BP891" s="65"/>
      <c r="BQ891" s="65"/>
      <c r="BR891" s="65"/>
      <c r="BS891" s="65"/>
    </row>
    <row r="892" spans="45:71" x14ac:dyDescent="0.25">
      <c r="AS892" s="53"/>
      <c r="AV892" s="379"/>
      <c r="AW892" s="379"/>
      <c r="AX892" s="65"/>
      <c r="AY892" s="65"/>
      <c r="AZ892" s="65"/>
      <c r="BA892" s="60"/>
      <c r="BB892" s="65"/>
      <c r="BC892" s="65"/>
      <c r="BD892" s="65"/>
      <c r="BE892" s="60"/>
      <c r="BG892" s="65"/>
      <c r="BH892" s="65"/>
      <c r="BI892" s="65"/>
      <c r="BJ892" s="65"/>
      <c r="BK892" s="65"/>
      <c r="BL892" s="65"/>
      <c r="BM892" s="65"/>
      <c r="BN892" s="65"/>
      <c r="BO892" s="65"/>
      <c r="BP892" s="65"/>
      <c r="BQ892" s="65"/>
      <c r="BR892" s="65"/>
      <c r="BS892" s="65"/>
    </row>
    <row r="893" spans="45:71" x14ac:dyDescent="0.25">
      <c r="AS893" s="53"/>
      <c r="AV893" s="379"/>
      <c r="AW893" s="379"/>
      <c r="AX893" s="65"/>
      <c r="AY893" s="65"/>
      <c r="AZ893" s="65"/>
      <c r="BA893" s="60"/>
      <c r="BB893" s="65"/>
      <c r="BC893" s="65"/>
      <c r="BD893" s="65"/>
      <c r="BE893" s="60"/>
      <c r="BG893" s="65"/>
      <c r="BH893" s="65"/>
      <c r="BI893" s="65"/>
      <c r="BJ893" s="65"/>
      <c r="BK893" s="65"/>
      <c r="BL893" s="65"/>
      <c r="BM893" s="65"/>
      <c r="BN893" s="65"/>
      <c r="BO893" s="65"/>
      <c r="BP893" s="65"/>
      <c r="BQ893" s="65"/>
      <c r="BR893" s="65"/>
      <c r="BS893" s="65"/>
    </row>
    <row r="894" spans="45:71" x14ac:dyDescent="0.25">
      <c r="AS894" s="53"/>
      <c r="AV894" s="379"/>
      <c r="AW894" s="379"/>
      <c r="AX894" s="65"/>
      <c r="AY894" s="65"/>
      <c r="AZ894" s="65"/>
      <c r="BA894" s="60"/>
      <c r="BB894" s="65"/>
      <c r="BC894" s="65"/>
      <c r="BD894" s="65"/>
      <c r="BE894" s="60"/>
      <c r="BG894" s="65"/>
      <c r="BH894" s="65"/>
      <c r="BI894" s="65"/>
      <c r="BJ894" s="65"/>
      <c r="BK894" s="65"/>
      <c r="BL894" s="65"/>
      <c r="BM894" s="65"/>
      <c r="BN894" s="65"/>
      <c r="BO894" s="65"/>
      <c r="BP894" s="65"/>
      <c r="BQ894" s="65"/>
      <c r="BR894" s="65"/>
      <c r="BS894" s="65"/>
    </row>
    <row r="895" spans="45:71" x14ac:dyDescent="0.25">
      <c r="AS895" s="53"/>
      <c r="AV895" s="379"/>
      <c r="AW895" s="379"/>
      <c r="AX895" s="65"/>
      <c r="AY895" s="65"/>
      <c r="AZ895" s="65"/>
      <c r="BA895" s="60"/>
      <c r="BB895" s="65"/>
      <c r="BC895" s="65"/>
      <c r="BD895" s="65"/>
      <c r="BE895" s="60"/>
      <c r="BG895" s="65"/>
      <c r="BH895" s="65"/>
      <c r="BI895" s="65"/>
      <c r="BJ895" s="65"/>
      <c r="BK895" s="65"/>
      <c r="BL895" s="65"/>
      <c r="BM895" s="65"/>
      <c r="BN895" s="65"/>
      <c r="BO895" s="65"/>
      <c r="BP895" s="65"/>
      <c r="BQ895" s="65"/>
      <c r="BR895" s="65"/>
      <c r="BS895" s="65"/>
    </row>
    <row r="896" spans="45:71" x14ac:dyDescent="0.25">
      <c r="AZ896" s="65"/>
      <c r="BB896" s="65"/>
      <c r="BC896" s="65"/>
      <c r="BD896" s="65"/>
      <c r="BG896" s="65"/>
      <c r="BH896" s="65"/>
      <c r="BI896" s="65"/>
      <c r="BJ896" s="65"/>
      <c r="BK896" s="65"/>
      <c r="BL896" s="65"/>
      <c r="BM896" s="65"/>
      <c r="BN896" s="65"/>
      <c r="BO896" s="65"/>
      <c r="BP896" s="65"/>
      <c r="BQ896" s="65"/>
      <c r="BR896" s="65"/>
      <c r="BS896" s="65"/>
    </row>
    <row r="897" spans="45:57" x14ac:dyDescent="0.25">
      <c r="AS897" s="53"/>
      <c r="AT897" s="54"/>
      <c r="AV897" s="379"/>
      <c r="AW897" s="379"/>
      <c r="AX897" s="65"/>
      <c r="AY897" s="65"/>
      <c r="AZ897" s="65"/>
      <c r="BA897" s="60"/>
      <c r="BB897" s="65"/>
      <c r="BC897" s="65"/>
      <c r="BD897" s="65"/>
      <c r="BE897" s="60"/>
    </row>
    <row r="898" spans="45:57" x14ac:dyDescent="0.25">
      <c r="AS898" s="53"/>
      <c r="AV898" s="379"/>
      <c r="AW898" s="379"/>
      <c r="AX898" s="65"/>
      <c r="AY898" s="65"/>
      <c r="AZ898" s="65"/>
      <c r="BA898" s="60"/>
      <c r="BB898" s="65"/>
      <c r="BC898" s="65"/>
      <c r="BD898" s="65"/>
      <c r="BE898" s="60"/>
    </row>
    <row r="899" spans="45:57" x14ac:dyDescent="0.25">
      <c r="AS899" s="53"/>
      <c r="AV899" s="379"/>
      <c r="AW899" s="379"/>
      <c r="AX899" s="65"/>
      <c r="AY899" s="65"/>
      <c r="AZ899" s="65"/>
      <c r="BA899" s="60"/>
      <c r="BB899" s="65"/>
      <c r="BC899" s="65"/>
      <c r="BD899" s="65"/>
      <c r="BE899" s="60"/>
    </row>
    <row r="900" spans="45:57" x14ac:dyDescent="0.25">
      <c r="AS900" s="53"/>
      <c r="AV900" s="379"/>
      <c r="AW900" s="379"/>
      <c r="AX900" s="65"/>
      <c r="AY900" s="65"/>
      <c r="AZ900" s="65"/>
      <c r="BA900" s="60"/>
      <c r="BB900" s="65"/>
      <c r="BC900" s="65"/>
      <c r="BD900" s="65"/>
      <c r="BE900" s="60"/>
    </row>
    <row r="901" spans="45:57" x14ac:dyDescent="0.25">
      <c r="AS901" s="53"/>
      <c r="AV901" s="379"/>
      <c r="AW901" s="379"/>
      <c r="AX901" s="65"/>
      <c r="AY901" s="65"/>
      <c r="AZ901" s="65"/>
      <c r="BA901" s="60"/>
      <c r="BB901" s="65"/>
      <c r="BC901" s="65"/>
      <c r="BD901" s="65"/>
      <c r="BE901" s="60"/>
    </row>
    <row r="902" spans="45:57" x14ac:dyDescent="0.25">
      <c r="AS902" s="53"/>
      <c r="AV902" s="379"/>
      <c r="AW902" s="379"/>
      <c r="AX902" s="65"/>
      <c r="AY902" s="65"/>
      <c r="AZ902" s="65"/>
      <c r="BA902" s="60"/>
      <c r="BB902" s="65"/>
      <c r="BC902" s="65"/>
      <c r="BD902" s="65"/>
      <c r="BE902" s="60"/>
    </row>
    <row r="903" spans="45:57" x14ac:dyDescent="0.25">
      <c r="AS903" s="53"/>
      <c r="AV903" s="379"/>
      <c r="AW903" s="379"/>
      <c r="AX903" s="65"/>
      <c r="AY903" s="65"/>
      <c r="AZ903" s="65"/>
      <c r="BA903" s="60"/>
      <c r="BB903" s="65"/>
      <c r="BC903" s="65"/>
      <c r="BD903" s="65"/>
      <c r="BE903" s="60"/>
    </row>
    <row r="904" spans="45:57" x14ac:dyDescent="0.25">
      <c r="AS904" s="53"/>
      <c r="AV904" s="379"/>
      <c r="AW904" s="379"/>
      <c r="AX904" s="65"/>
      <c r="AY904" s="65"/>
      <c r="AZ904" s="65"/>
      <c r="BA904" s="60"/>
      <c r="BB904" s="65"/>
      <c r="BC904" s="65"/>
      <c r="BD904" s="65"/>
      <c r="BE904" s="60"/>
    </row>
    <row r="905" spans="45:57" x14ac:dyDescent="0.25">
      <c r="AS905" s="53"/>
      <c r="AV905" s="379"/>
      <c r="AW905" s="379"/>
      <c r="AX905" s="65"/>
      <c r="AY905" s="65"/>
      <c r="AZ905" s="65"/>
      <c r="BA905" s="60"/>
      <c r="BB905" s="65"/>
      <c r="BC905" s="65"/>
      <c r="BD905" s="65"/>
      <c r="BE905" s="60"/>
    </row>
    <row r="906" spans="45:57" x14ac:dyDescent="0.25">
      <c r="AS906" s="53"/>
      <c r="AV906" s="379"/>
      <c r="AW906" s="379"/>
      <c r="AX906" s="65"/>
      <c r="AY906" s="65"/>
      <c r="AZ906" s="65"/>
      <c r="BA906" s="60"/>
      <c r="BB906" s="65"/>
      <c r="BC906" s="65"/>
      <c r="BD906" s="65"/>
      <c r="BE906" s="60"/>
    </row>
    <row r="907" spans="45:57" x14ac:dyDescent="0.25">
      <c r="AS907" s="53"/>
      <c r="AV907" s="379"/>
      <c r="AW907" s="379"/>
      <c r="AX907" s="65"/>
      <c r="AY907" s="65"/>
      <c r="AZ907" s="65"/>
      <c r="BA907" s="60"/>
      <c r="BB907" s="65"/>
      <c r="BC907" s="65"/>
      <c r="BD907" s="65"/>
      <c r="BE907" s="60"/>
    </row>
    <row r="908" spans="45:57" x14ac:dyDescent="0.25">
      <c r="AS908" s="53"/>
      <c r="AV908" s="379"/>
      <c r="AW908" s="379"/>
      <c r="AX908" s="65"/>
      <c r="AY908" s="65"/>
      <c r="AZ908" s="65"/>
      <c r="BA908" s="60"/>
      <c r="BB908" s="65"/>
      <c r="BC908" s="65"/>
      <c r="BD908" s="65"/>
      <c r="BE908" s="60"/>
    </row>
    <row r="909" spans="45:57" x14ac:dyDescent="0.25">
      <c r="AS909" s="53"/>
      <c r="AV909" s="379"/>
      <c r="AW909" s="379"/>
      <c r="AX909" s="65"/>
      <c r="AY909" s="65"/>
      <c r="AZ909" s="65"/>
      <c r="BA909" s="60"/>
      <c r="BB909" s="65"/>
      <c r="BC909" s="65"/>
      <c r="BD909" s="65"/>
      <c r="BE909" s="60"/>
    </row>
    <row r="910" spans="45:57" x14ac:dyDescent="0.25">
      <c r="AS910" s="53"/>
      <c r="AV910" s="379"/>
      <c r="AW910" s="379"/>
      <c r="AX910" s="65"/>
      <c r="AY910" s="65"/>
      <c r="AZ910" s="65"/>
      <c r="BA910" s="60"/>
      <c r="BB910" s="65"/>
      <c r="BC910" s="65"/>
      <c r="BD910" s="65"/>
      <c r="BE910" s="60"/>
    </row>
    <row r="911" spans="45:57" x14ac:dyDescent="0.25">
      <c r="AS911" s="53"/>
      <c r="AV911" s="379"/>
      <c r="AW911" s="379"/>
      <c r="AX911" s="65"/>
      <c r="AY911" s="65"/>
      <c r="AZ911" s="65"/>
      <c r="BA911" s="60"/>
      <c r="BB911" s="65"/>
      <c r="BC911" s="65"/>
      <c r="BD911" s="65"/>
      <c r="BE911" s="60"/>
    </row>
    <row r="912" spans="45:57" x14ac:dyDescent="0.25">
      <c r="AS912" s="53"/>
      <c r="AV912" s="379"/>
      <c r="AW912" s="379"/>
      <c r="AX912" s="65"/>
      <c r="AY912" s="65"/>
      <c r="AZ912" s="65"/>
      <c r="BA912" s="60"/>
      <c r="BB912" s="65"/>
      <c r="BC912" s="65"/>
      <c r="BD912" s="65"/>
      <c r="BE912" s="60"/>
    </row>
    <row r="913" spans="45:57" x14ac:dyDescent="0.25">
      <c r="AS913" s="53"/>
      <c r="AV913" s="379"/>
      <c r="AW913" s="379"/>
      <c r="AX913" s="65"/>
      <c r="AY913" s="65"/>
      <c r="AZ913" s="65"/>
      <c r="BA913" s="60"/>
      <c r="BB913" s="65"/>
      <c r="BC913" s="65"/>
      <c r="BD913" s="65"/>
      <c r="BE913" s="60"/>
    </row>
    <row r="914" spans="45:57" x14ac:dyDescent="0.25">
      <c r="AS914" s="53"/>
      <c r="AV914" s="379"/>
      <c r="AW914" s="379"/>
      <c r="AX914" s="65"/>
      <c r="AY914" s="65"/>
      <c r="AZ914" s="65"/>
      <c r="BA914" s="60"/>
      <c r="BB914" s="65"/>
      <c r="BC914" s="65"/>
      <c r="BD914" s="65"/>
      <c r="BE914" s="60"/>
    </row>
    <row r="915" spans="45:57" x14ac:dyDescent="0.25">
      <c r="BB915" s="65"/>
    </row>
    <row r="916" spans="45:57" x14ac:dyDescent="0.25">
      <c r="AU916" s="54"/>
      <c r="BB916" s="65"/>
    </row>
    <row r="917" spans="45:57" x14ac:dyDescent="0.25">
      <c r="AU917" s="54"/>
    </row>
    <row r="918" spans="45:57" x14ac:dyDescent="0.25">
      <c r="AU918" s="54"/>
      <c r="BB918" s="65"/>
    </row>
    <row r="919" spans="45:57" x14ac:dyDescent="0.25">
      <c r="AS919" s="54"/>
      <c r="AZ919" s="65"/>
      <c r="BB919" s="65"/>
    </row>
    <row r="920" spans="45:57" x14ac:dyDescent="0.25">
      <c r="AY920" s="53"/>
      <c r="AZ920" s="65"/>
      <c r="BB920" s="65"/>
    </row>
    <row r="921" spans="45:57" x14ac:dyDescent="0.25">
      <c r="AY921" s="65"/>
      <c r="AZ921" s="65"/>
      <c r="BB921" s="65"/>
    </row>
    <row r="922" spans="45:57" x14ac:dyDescent="0.25">
      <c r="AY922" s="54"/>
      <c r="AZ922" s="65"/>
      <c r="BB922" s="65"/>
    </row>
    <row r="923" spans="45:57" x14ac:dyDescent="0.25">
      <c r="AY923" s="54"/>
      <c r="AZ923" s="65"/>
      <c r="BB923" s="65"/>
    </row>
    <row r="924" spans="45:57" x14ac:dyDescent="0.25">
      <c r="AS924" s="53"/>
      <c r="AZ924" s="65"/>
      <c r="BB924" s="65"/>
      <c r="BD924" s="54"/>
    </row>
    <row r="925" spans="45:57" x14ac:dyDescent="0.25">
      <c r="AS925" s="53"/>
      <c r="AZ925" s="65"/>
      <c r="BB925" s="65"/>
      <c r="BD925" s="54"/>
    </row>
    <row r="926" spans="45:57" x14ac:dyDescent="0.25">
      <c r="AS926" s="54"/>
      <c r="AZ926" s="65"/>
      <c r="BB926" s="65"/>
      <c r="BD926" s="54"/>
    </row>
    <row r="927" spans="45:57" x14ac:dyDescent="0.25">
      <c r="AZ927" s="65"/>
      <c r="BB927" s="65"/>
      <c r="BD927" s="53"/>
    </row>
    <row r="928" spans="45:57" x14ac:dyDescent="0.25">
      <c r="AS928" s="55"/>
      <c r="AT928" s="55"/>
      <c r="AU928" s="55"/>
      <c r="AV928" s="55"/>
      <c r="AW928" s="55"/>
      <c r="AX928" s="55"/>
      <c r="AY928" s="55"/>
      <c r="AZ928" s="66"/>
      <c r="BA928" s="55"/>
      <c r="BB928" s="66"/>
      <c r="BC928" s="55"/>
      <c r="BD928" s="55"/>
      <c r="BE928" s="55"/>
    </row>
    <row r="929" spans="45:57" x14ac:dyDescent="0.25">
      <c r="AX929" s="54"/>
      <c r="AZ929" s="65"/>
      <c r="BB929" s="65"/>
    </row>
    <row r="930" spans="45:57" x14ac:dyDescent="0.25">
      <c r="AX930" s="55"/>
      <c r="AY930" s="55"/>
      <c r="AZ930" s="66"/>
      <c r="BA930" s="55"/>
      <c r="BB930" s="65"/>
      <c r="BC930" s="56"/>
      <c r="BD930" s="56"/>
    </row>
    <row r="931" spans="45:57" x14ac:dyDescent="0.25">
      <c r="AV931" s="56"/>
      <c r="AW931" s="56"/>
      <c r="AZ931" s="67"/>
      <c r="BA931" s="56"/>
      <c r="BB931" s="65"/>
      <c r="BC931" s="56"/>
      <c r="BD931" s="56"/>
      <c r="BE931" s="56"/>
    </row>
    <row r="932" spans="45:57" x14ac:dyDescent="0.25">
      <c r="AV932" s="56"/>
      <c r="AW932" s="56"/>
      <c r="AX932" s="56"/>
      <c r="AY932" s="56"/>
      <c r="AZ932" s="67"/>
      <c r="BA932" s="56"/>
      <c r="BB932" s="67"/>
      <c r="BC932" s="56"/>
      <c r="BD932" s="56"/>
      <c r="BE932" s="56"/>
    </row>
    <row r="933" spans="45:57" x14ac:dyDescent="0.25">
      <c r="AS933" s="56"/>
      <c r="AU933" s="54"/>
      <c r="AV933" s="56"/>
      <c r="AW933" s="56"/>
      <c r="AX933" s="56"/>
      <c r="AY933" s="56"/>
      <c r="AZ933" s="67"/>
      <c r="BA933" s="56"/>
      <c r="BB933" s="67"/>
      <c r="BC933" s="56"/>
      <c r="BD933" s="56"/>
      <c r="BE933" s="56"/>
    </row>
    <row r="934" spans="45:57" x14ac:dyDescent="0.25">
      <c r="AS934" s="56"/>
      <c r="AU934" s="54"/>
      <c r="AV934" s="56"/>
      <c r="AW934" s="56"/>
      <c r="AX934" s="56"/>
      <c r="AY934" s="56"/>
      <c r="AZ934" s="67"/>
      <c r="BA934" s="56"/>
      <c r="BB934" s="67"/>
      <c r="BC934" s="56"/>
      <c r="BD934" s="56"/>
      <c r="BE934" s="56"/>
    </row>
    <row r="935" spans="45:57" x14ac:dyDescent="0.25">
      <c r="AS935" s="55"/>
      <c r="AT935" s="55"/>
      <c r="AU935" s="55"/>
      <c r="AV935" s="55"/>
      <c r="AW935" s="55"/>
      <c r="AX935" s="55"/>
      <c r="AY935" s="55"/>
      <c r="AZ935" s="66"/>
      <c r="BA935" s="55"/>
      <c r="BB935" s="66"/>
      <c r="BC935" s="55"/>
      <c r="BD935" s="55"/>
      <c r="BE935" s="55"/>
    </row>
    <row r="936" spans="45:57" x14ac:dyDescent="0.25">
      <c r="AV936" s="56"/>
      <c r="AW936" s="56"/>
      <c r="AX936" s="56"/>
      <c r="AY936" s="56"/>
      <c r="AZ936" s="67"/>
      <c r="BA936" s="56"/>
      <c r="BB936" s="67"/>
      <c r="BC936" s="56"/>
      <c r="BD936" s="56"/>
      <c r="BE936" s="56"/>
    </row>
    <row r="937" spans="45:57" x14ac:dyDescent="0.25">
      <c r="AS937" s="53"/>
      <c r="AT937" s="54"/>
      <c r="AV937" s="379"/>
      <c r="AW937" s="379"/>
      <c r="AX937" s="65"/>
      <c r="AY937" s="65"/>
      <c r="AZ937" s="65"/>
      <c r="BA937" s="60"/>
      <c r="BB937" s="65"/>
      <c r="BC937" s="65"/>
      <c r="BD937" s="65"/>
      <c r="BE937" s="60"/>
    </row>
    <row r="938" spans="45:57" x14ac:dyDescent="0.25">
      <c r="AS938" s="53"/>
      <c r="AV938" s="379"/>
      <c r="AW938" s="379"/>
      <c r="AX938" s="65"/>
      <c r="AY938" s="65"/>
      <c r="AZ938" s="65"/>
      <c r="BA938" s="60"/>
      <c r="BB938" s="65"/>
      <c r="BC938" s="65"/>
      <c r="BD938" s="65"/>
      <c r="BE938" s="60"/>
    </row>
    <row r="939" spans="45:57" x14ac:dyDescent="0.25">
      <c r="AS939" s="53"/>
      <c r="AV939" s="379"/>
      <c r="AW939" s="379"/>
      <c r="AX939" s="65"/>
      <c r="AY939" s="65"/>
      <c r="AZ939" s="65"/>
      <c r="BA939" s="60"/>
      <c r="BB939" s="65"/>
      <c r="BC939" s="65"/>
      <c r="BD939" s="65"/>
      <c r="BE939" s="60"/>
    </row>
    <row r="940" spans="45:57" x14ac:dyDescent="0.25">
      <c r="AS940" s="53"/>
      <c r="AV940" s="379"/>
      <c r="AW940" s="379"/>
      <c r="AX940" s="65"/>
      <c r="AY940" s="65"/>
      <c r="AZ940" s="65"/>
      <c r="BA940" s="60"/>
      <c r="BB940" s="65"/>
      <c r="BC940" s="65"/>
      <c r="BD940" s="65"/>
      <c r="BE940" s="60"/>
    </row>
    <row r="941" spans="45:57" x14ac:dyDescent="0.25">
      <c r="AS941" s="53"/>
      <c r="AV941" s="379"/>
      <c r="AW941" s="379"/>
      <c r="AX941" s="65"/>
      <c r="AY941" s="65"/>
      <c r="AZ941" s="65"/>
      <c r="BA941" s="60"/>
      <c r="BB941" s="65"/>
      <c r="BC941" s="65"/>
      <c r="BD941" s="65"/>
      <c r="BE941" s="60"/>
    </row>
    <row r="942" spans="45:57" x14ac:dyDescent="0.25">
      <c r="AS942" s="53"/>
      <c r="AV942" s="379"/>
      <c r="AW942" s="379"/>
      <c r="AX942" s="65"/>
      <c r="AY942" s="65"/>
      <c r="AZ942" s="65"/>
      <c r="BA942" s="60"/>
      <c r="BB942" s="65"/>
      <c r="BC942" s="65"/>
      <c r="BD942" s="65"/>
      <c r="BE942" s="60"/>
    </row>
    <row r="943" spans="45:57" x14ac:dyDescent="0.25">
      <c r="AS943" s="53"/>
      <c r="AV943" s="379"/>
      <c r="AW943" s="379"/>
      <c r="AX943" s="65"/>
      <c r="AY943" s="65"/>
      <c r="AZ943" s="65"/>
      <c r="BA943" s="60"/>
      <c r="BB943" s="65"/>
      <c r="BC943" s="65"/>
      <c r="BD943" s="65"/>
      <c r="BE943" s="60"/>
    </row>
    <row r="944" spans="45:57" x14ac:dyDescent="0.25">
      <c r="AS944" s="53"/>
      <c r="AV944" s="379"/>
      <c r="AW944" s="379"/>
      <c r="AX944" s="65"/>
      <c r="AY944" s="65"/>
      <c r="AZ944" s="65"/>
      <c r="BA944" s="60"/>
      <c r="BB944" s="65"/>
      <c r="BC944" s="65"/>
      <c r="BD944" s="65"/>
      <c r="BE944" s="60"/>
    </row>
    <row r="945" spans="45:57" x14ac:dyDescent="0.25">
      <c r="AS945" s="53"/>
      <c r="AV945" s="379"/>
      <c r="AW945" s="379"/>
      <c r="AX945" s="65"/>
      <c r="AY945" s="65"/>
      <c r="AZ945" s="65"/>
      <c r="BA945" s="60"/>
      <c r="BB945" s="65"/>
      <c r="BC945" s="65"/>
      <c r="BD945" s="65"/>
      <c r="BE945" s="60"/>
    </row>
    <row r="946" spans="45:57" x14ac:dyDescent="0.25">
      <c r="AS946" s="53"/>
      <c r="AV946" s="379"/>
      <c r="AW946" s="379"/>
      <c r="AX946" s="65"/>
      <c r="AY946" s="65"/>
      <c r="AZ946" s="65"/>
      <c r="BA946" s="60"/>
      <c r="BB946" s="65"/>
      <c r="BC946" s="65"/>
      <c r="BD946" s="65"/>
      <c r="BE946" s="60"/>
    </row>
    <row r="947" spans="45:57" x14ac:dyDescent="0.25">
      <c r="AV947" s="379"/>
      <c r="AW947" s="379"/>
      <c r="BB947" s="65"/>
    </row>
    <row r="948" spans="45:57" x14ac:dyDescent="0.25">
      <c r="AS948" s="53"/>
      <c r="AT948" s="54"/>
      <c r="AV948" s="379"/>
      <c r="AW948" s="379"/>
      <c r="AX948" s="65"/>
      <c r="AY948" s="65"/>
      <c r="AZ948" s="65"/>
      <c r="BA948" s="60"/>
      <c r="BB948" s="65"/>
      <c r="BC948" s="65"/>
      <c r="BD948" s="65"/>
      <c r="BE948" s="60"/>
    </row>
    <row r="949" spans="45:57" x14ac:dyDescent="0.25">
      <c r="AS949" s="53"/>
      <c r="AV949" s="379"/>
      <c r="AW949" s="379"/>
      <c r="AX949" s="65"/>
      <c r="AY949" s="65"/>
      <c r="AZ949" s="65"/>
      <c r="BA949" s="60"/>
      <c r="BB949" s="65"/>
      <c r="BC949" s="65"/>
      <c r="BD949" s="65"/>
      <c r="BE949" s="60"/>
    </row>
    <row r="950" spans="45:57" x14ac:dyDescent="0.25">
      <c r="AS950" s="53"/>
      <c r="AV950" s="379"/>
      <c r="AW950" s="379"/>
      <c r="AX950" s="65"/>
      <c r="AY950" s="65"/>
      <c r="AZ950" s="65"/>
      <c r="BA950" s="60"/>
      <c r="BB950" s="65"/>
      <c r="BC950" s="65"/>
      <c r="BD950" s="65"/>
      <c r="BE950" s="60"/>
    </row>
    <row r="951" spans="45:57" x14ac:dyDescent="0.25">
      <c r="AS951" s="53"/>
      <c r="AV951" s="379"/>
      <c r="AW951" s="379"/>
      <c r="AX951" s="65"/>
      <c r="AY951" s="65"/>
      <c r="AZ951" s="65"/>
      <c r="BA951" s="60"/>
      <c r="BB951" s="65"/>
      <c r="BC951" s="65"/>
      <c r="BD951" s="65"/>
      <c r="BE951" s="60"/>
    </row>
    <row r="952" spans="45:57" x14ac:dyDescent="0.25">
      <c r="AS952" s="53"/>
      <c r="AV952" s="379"/>
      <c r="AW952" s="379"/>
      <c r="AX952" s="65"/>
      <c r="AY952" s="65"/>
      <c r="AZ952" s="65"/>
      <c r="BA952" s="60"/>
      <c r="BB952" s="65"/>
      <c r="BC952" s="65"/>
      <c r="BD952" s="65"/>
      <c r="BE952" s="60"/>
    </row>
    <row r="953" spans="45:57" x14ac:dyDescent="0.25">
      <c r="AS953" s="53"/>
      <c r="AV953" s="379"/>
      <c r="AW953" s="379"/>
      <c r="AX953" s="65"/>
      <c r="AY953" s="65"/>
      <c r="AZ953" s="65"/>
      <c r="BA953" s="60"/>
      <c r="BB953" s="65"/>
      <c r="BC953" s="65"/>
      <c r="BD953" s="65"/>
      <c r="BE953" s="60"/>
    </row>
    <row r="954" spans="45:57" x14ac:dyDescent="0.25">
      <c r="AS954" s="53"/>
      <c r="AV954" s="379"/>
      <c r="AW954" s="379"/>
      <c r="AX954" s="65"/>
      <c r="AY954" s="65"/>
      <c r="AZ954" s="65"/>
      <c r="BA954" s="60"/>
      <c r="BB954" s="65"/>
      <c r="BC954" s="65"/>
      <c r="BD954" s="65"/>
      <c r="BE954" s="60"/>
    </row>
    <row r="955" spans="45:57" x14ac:dyDescent="0.25">
      <c r="AS955" s="53"/>
      <c r="AV955" s="379"/>
      <c r="AW955" s="379"/>
      <c r="AX955" s="65"/>
      <c r="AY955" s="65"/>
      <c r="AZ955" s="65"/>
      <c r="BA955" s="60"/>
      <c r="BB955" s="65"/>
      <c r="BC955" s="65"/>
      <c r="BD955" s="65"/>
      <c r="BE955" s="60"/>
    </row>
    <row r="956" spans="45:57" x14ac:dyDescent="0.25">
      <c r="AS956" s="53"/>
      <c r="AV956" s="379"/>
      <c r="AW956" s="379"/>
      <c r="AX956" s="65"/>
      <c r="AY956" s="65"/>
      <c r="AZ956" s="65"/>
      <c r="BA956" s="60"/>
      <c r="BB956" s="65"/>
      <c r="BC956" s="65"/>
      <c r="BD956" s="65"/>
      <c r="BE956" s="60"/>
    </row>
    <row r="957" spans="45:57" x14ac:dyDescent="0.25">
      <c r="AS957" s="53"/>
      <c r="AV957" s="379"/>
      <c r="AW957" s="379"/>
      <c r="AX957" s="65"/>
      <c r="AY957" s="65"/>
      <c r="AZ957" s="65"/>
      <c r="BA957" s="60"/>
      <c r="BB957" s="65"/>
      <c r="BC957" s="65"/>
      <c r="BD957" s="65"/>
      <c r="BE957" s="60"/>
    </row>
    <row r="959" spans="45:57" x14ac:dyDescent="0.25">
      <c r="AU959" s="54"/>
    </row>
    <row r="960" spans="45:57" x14ac:dyDescent="0.25">
      <c r="AU960" s="54"/>
    </row>
    <row r="961" spans="45:47" x14ac:dyDescent="0.25">
      <c r="AU961" s="54"/>
    </row>
    <row r="962" spans="45:47" x14ac:dyDescent="0.25">
      <c r="AS962" s="54"/>
    </row>
    <row r="983" spans="52:71" x14ac:dyDescent="0.25">
      <c r="AZ983" s="65"/>
      <c r="BB983" s="65"/>
      <c r="BC983" s="65"/>
      <c r="BD983" s="65"/>
      <c r="BG983" s="65"/>
      <c r="BH983" s="65"/>
      <c r="BI983" s="65"/>
      <c r="BJ983" s="65"/>
      <c r="BK983" s="65"/>
      <c r="BL983" s="65"/>
      <c r="BM983" s="65"/>
      <c r="BN983" s="65"/>
      <c r="BO983" s="65"/>
      <c r="BP983" s="65"/>
      <c r="BQ983" s="65"/>
      <c r="BR983" s="65"/>
      <c r="BS983" s="65"/>
    </row>
    <row r="984" spans="52:71" x14ac:dyDescent="0.25">
      <c r="AZ984" s="65"/>
      <c r="BB984" s="65"/>
      <c r="BC984" s="65"/>
      <c r="BD984" s="65"/>
      <c r="BG984" s="65"/>
      <c r="BH984" s="65"/>
      <c r="BI984" s="65"/>
      <c r="BJ984" s="65"/>
      <c r="BK984" s="65"/>
      <c r="BL984" s="65"/>
      <c r="BM984" s="65"/>
      <c r="BN984" s="65"/>
      <c r="BO984" s="65"/>
      <c r="BP984" s="65"/>
      <c r="BQ984" s="65"/>
      <c r="BR984" s="65"/>
      <c r="BS984" s="65"/>
    </row>
    <row r="985" spans="52:71" x14ac:dyDescent="0.25">
      <c r="AZ985" s="65"/>
      <c r="BB985" s="65"/>
      <c r="BC985" s="65"/>
      <c r="BD985" s="65"/>
      <c r="BG985" s="65"/>
      <c r="BH985" s="65"/>
      <c r="BI985" s="65"/>
      <c r="BJ985" s="65"/>
      <c r="BK985" s="65"/>
      <c r="BL985" s="65"/>
      <c r="BM985" s="65"/>
      <c r="BN985" s="65"/>
      <c r="BO985" s="65"/>
      <c r="BP985" s="65"/>
      <c r="BQ985" s="65"/>
      <c r="BR985" s="65"/>
      <c r="BS985" s="65"/>
    </row>
    <row r="986" spans="52:71" x14ac:dyDescent="0.25">
      <c r="AZ986" s="65"/>
      <c r="BB986" s="65"/>
      <c r="BC986" s="65"/>
      <c r="BD986" s="65"/>
      <c r="BG986" s="65"/>
      <c r="BH986" s="65"/>
      <c r="BI986" s="65"/>
      <c r="BJ986" s="65"/>
      <c r="BK986" s="65"/>
      <c r="BL986" s="65"/>
      <c r="BM986" s="65"/>
      <c r="BN986" s="65"/>
      <c r="BO986" s="65"/>
      <c r="BP986" s="65"/>
      <c r="BQ986" s="65"/>
      <c r="BR986" s="65"/>
      <c r="BS986" s="65"/>
    </row>
    <row r="987" spans="52:71" x14ac:dyDescent="0.25">
      <c r="AZ987" s="65"/>
      <c r="BB987" s="65"/>
      <c r="BC987" s="65"/>
      <c r="BD987" s="65"/>
      <c r="BG987" s="65"/>
      <c r="BH987" s="65"/>
      <c r="BI987" s="65"/>
      <c r="BJ987" s="65"/>
      <c r="BK987" s="65"/>
      <c r="BL987" s="65"/>
      <c r="BM987" s="65"/>
      <c r="BN987" s="65"/>
      <c r="BO987" s="65"/>
      <c r="BP987" s="65"/>
      <c r="BQ987" s="65"/>
      <c r="BR987" s="65"/>
      <c r="BS987" s="65"/>
    </row>
    <row r="988" spans="52:71" x14ac:dyDescent="0.25">
      <c r="AZ988" s="65"/>
      <c r="BB988" s="65"/>
      <c r="BC988" s="65"/>
      <c r="BD988" s="65"/>
      <c r="BG988" s="65"/>
      <c r="BH988" s="65"/>
      <c r="BI988" s="65"/>
      <c r="BJ988" s="65"/>
      <c r="BK988" s="65"/>
      <c r="BL988" s="65"/>
      <c r="BM988" s="65"/>
      <c r="BN988" s="65"/>
      <c r="BO988" s="65"/>
      <c r="BP988" s="65"/>
      <c r="BQ988" s="65"/>
      <c r="BR988" s="65"/>
      <c r="BS988" s="65"/>
    </row>
    <row r="989" spans="52:71" x14ac:dyDescent="0.25">
      <c r="AZ989" s="65"/>
      <c r="BB989" s="65"/>
      <c r="BC989" s="65"/>
      <c r="BD989" s="65"/>
      <c r="BG989" s="65"/>
      <c r="BH989" s="65"/>
      <c r="BI989" s="65"/>
      <c r="BJ989" s="65"/>
      <c r="BK989" s="65"/>
      <c r="BL989" s="65"/>
      <c r="BM989" s="65"/>
      <c r="BN989" s="65"/>
      <c r="BO989" s="65"/>
      <c r="BP989" s="65"/>
      <c r="BQ989" s="65"/>
      <c r="BR989" s="65"/>
      <c r="BS989" s="65"/>
    </row>
    <row r="990" spans="52:71" x14ac:dyDescent="0.25">
      <c r="AZ990" s="65"/>
      <c r="BB990" s="65"/>
      <c r="BC990" s="65"/>
      <c r="BD990" s="65"/>
      <c r="BG990" s="65"/>
      <c r="BH990" s="65"/>
      <c r="BI990" s="65"/>
      <c r="BJ990" s="65"/>
      <c r="BK990" s="65"/>
      <c r="BL990" s="65"/>
      <c r="BM990" s="65"/>
      <c r="BN990" s="65"/>
      <c r="BO990" s="65"/>
      <c r="BP990" s="65"/>
      <c r="BQ990" s="65"/>
      <c r="BR990" s="65"/>
      <c r="BS990" s="65"/>
    </row>
    <row r="991" spans="52:71" x14ac:dyDescent="0.25">
      <c r="AZ991" s="65"/>
      <c r="BB991" s="65"/>
      <c r="BC991" s="65"/>
      <c r="BD991" s="65"/>
      <c r="BG991" s="65"/>
      <c r="BH991" s="65"/>
      <c r="BI991" s="65"/>
      <c r="BJ991" s="65"/>
      <c r="BK991" s="65"/>
      <c r="BL991" s="65"/>
      <c r="BM991" s="65"/>
      <c r="BN991" s="65"/>
      <c r="BO991" s="65"/>
      <c r="BP991" s="65"/>
      <c r="BQ991" s="65"/>
      <c r="BR991" s="65"/>
      <c r="BS991" s="65"/>
    </row>
    <row r="992" spans="52:71" x14ac:dyDescent="0.25">
      <c r="AZ992" s="65"/>
      <c r="BB992" s="65"/>
      <c r="BC992" s="65"/>
      <c r="BD992" s="65"/>
      <c r="BG992" s="65"/>
      <c r="BH992" s="65"/>
      <c r="BI992" s="65"/>
      <c r="BJ992" s="65"/>
      <c r="BK992" s="65"/>
      <c r="BL992" s="65"/>
      <c r="BM992" s="65"/>
      <c r="BN992" s="65"/>
      <c r="BO992" s="65"/>
      <c r="BP992" s="65"/>
      <c r="BQ992" s="65"/>
      <c r="BR992" s="65"/>
      <c r="BS992" s="65"/>
    </row>
    <row r="993" spans="52:71" x14ac:dyDescent="0.25">
      <c r="AZ993" s="65"/>
      <c r="BB993" s="65"/>
      <c r="BC993" s="65"/>
      <c r="BD993" s="65"/>
      <c r="BG993" s="65"/>
      <c r="BH993" s="65"/>
      <c r="BI993" s="65"/>
      <c r="BJ993" s="65"/>
      <c r="BK993" s="65"/>
      <c r="BL993" s="65"/>
      <c r="BM993" s="65"/>
      <c r="BN993" s="65"/>
      <c r="BO993" s="65"/>
      <c r="BP993" s="65"/>
      <c r="BQ993" s="65"/>
      <c r="BR993" s="65"/>
      <c r="BS993" s="65"/>
    </row>
    <row r="994" spans="52:71" x14ac:dyDescent="0.25">
      <c r="AZ994" s="65"/>
      <c r="BB994" s="65"/>
      <c r="BC994" s="65"/>
      <c r="BD994" s="65"/>
      <c r="BG994" s="65"/>
      <c r="BH994" s="65"/>
      <c r="BI994" s="65"/>
      <c r="BJ994" s="65"/>
      <c r="BK994" s="65"/>
      <c r="BL994" s="65"/>
      <c r="BM994" s="65"/>
      <c r="BN994" s="65"/>
      <c r="BO994" s="65"/>
      <c r="BP994" s="65"/>
      <c r="BQ994" s="65"/>
      <c r="BR994" s="65"/>
      <c r="BS994" s="65"/>
    </row>
    <row r="995" spans="52:71" x14ac:dyDescent="0.25">
      <c r="AZ995" s="65"/>
      <c r="BG995" s="65"/>
      <c r="BH995" s="65"/>
      <c r="BI995" s="65"/>
      <c r="BJ995" s="65"/>
      <c r="BK995" s="65"/>
      <c r="BL995" s="65"/>
      <c r="BM995" s="65"/>
      <c r="BN995" s="65"/>
      <c r="BO995" s="65"/>
      <c r="BP995" s="65"/>
      <c r="BQ995" s="65"/>
      <c r="BR995" s="65"/>
      <c r="BS995" s="65"/>
    </row>
    <row r="996" spans="52:71" x14ac:dyDescent="0.25">
      <c r="AZ996" s="65"/>
      <c r="BG996" s="65"/>
      <c r="BH996" s="65"/>
      <c r="BI996" s="65"/>
      <c r="BJ996" s="65"/>
      <c r="BK996" s="65"/>
      <c r="BL996" s="65"/>
      <c r="BM996" s="65"/>
      <c r="BN996" s="65"/>
      <c r="BO996" s="65"/>
      <c r="BP996" s="65"/>
      <c r="BQ996" s="65"/>
      <c r="BR996" s="65"/>
      <c r="BS996" s="65"/>
    </row>
    <row r="997" spans="52:71" x14ac:dyDescent="0.25">
      <c r="AZ997" s="65"/>
      <c r="BG997" s="65"/>
      <c r="BH997" s="65"/>
      <c r="BI997" s="65"/>
      <c r="BJ997" s="65"/>
      <c r="BK997" s="65"/>
      <c r="BL997" s="65"/>
      <c r="BM997" s="65"/>
      <c r="BN997" s="65"/>
      <c r="BO997" s="65"/>
      <c r="BP997" s="65"/>
      <c r="BQ997" s="65"/>
      <c r="BR997" s="65"/>
      <c r="BS997" s="65"/>
    </row>
    <row r="998" spans="52:71" x14ac:dyDescent="0.25">
      <c r="AZ998" s="65"/>
      <c r="BG998" s="65"/>
      <c r="BH998" s="65"/>
      <c r="BI998" s="65"/>
      <c r="BJ998" s="65"/>
      <c r="BK998" s="65"/>
      <c r="BL998" s="65"/>
      <c r="BM998" s="65"/>
      <c r="BN998" s="65"/>
      <c r="BO998" s="65"/>
      <c r="BP998" s="65"/>
      <c r="BQ998" s="65"/>
      <c r="BR998" s="65"/>
      <c r="BS998" s="65"/>
    </row>
    <row r="999" spans="52:71" x14ac:dyDescent="0.25">
      <c r="AZ999" s="65"/>
      <c r="BG999" s="65"/>
      <c r="BH999" s="65"/>
      <c r="BI999" s="65"/>
      <c r="BJ999" s="65"/>
      <c r="BK999" s="65"/>
      <c r="BL999" s="65"/>
      <c r="BM999" s="65"/>
      <c r="BN999" s="65"/>
      <c r="BO999" s="65"/>
      <c r="BP999" s="65"/>
      <c r="BQ999" s="65"/>
      <c r="BR999" s="65"/>
      <c r="BS999" s="65"/>
    </row>
    <row r="1000" spans="52:71" x14ac:dyDescent="0.25">
      <c r="AZ1000" s="65"/>
      <c r="BG1000" s="65"/>
      <c r="BH1000" s="65"/>
      <c r="BI1000" s="65"/>
      <c r="BJ1000" s="65"/>
      <c r="BK1000" s="65"/>
      <c r="BL1000" s="65"/>
      <c r="BM1000" s="65"/>
      <c r="BN1000" s="65"/>
      <c r="BO1000" s="65"/>
      <c r="BP1000" s="65"/>
      <c r="BQ1000" s="65"/>
      <c r="BR1000" s="65"/>
      <c r="BS1000" s="65"/>
    </row>
    <row r="1001" spans="52:71" x14ac:dyDescent="0.25">
      <c r="AZ1001" s="65"/>
      <c r="BG1001" s="65"/>
      <c r="BH1001" s="65"/>
      <c r="BI1001" s="65"/>
      <c r="BJ1001" s="65"/>
      <c r="BK1001" s="65"/>
      <c r="BL1001" s="65"/>
      <c r="BM1001" s="65"/>
      <c r="BN1001" s="65"/>
      <c r="BO1001" s="65"/>
      <c r="BP1001" s="65"/>
      <c r="BQ1001" s="65"/>
      <c r="BR1001" s="65"/>
      <c r="BS1001" s="65"/>
    </row>
    <row r="1002" spans="52:71" x14ac:dyDescent="0.25">
      <c r="AZ1002" s="65"/>
    </row>
    <row r="1003" spans="52:71" x14ac:dyDescent="0.25">
      <c r="AZ1003" s="65"/>
    </row>
    <row r="1017" spans="1:28" x14ac:dyDescent="0.25">
      <c r="A1017" s="54"/>
    </row>
    <row r="1020" spans="1:28" x14ac:dyDescent="0.25">
      <c r="Y1020" s="54"/>
    </row>
    <row r="1021" spans="1:28" x14ac:dyDescent="0.25">
      <c r="A1021" s="54"/>
      <c r="H1021" s="54"/>
      <c r="I1021" s="54"/>
    </row>
    <row r="1022" spans="1:28" x14ac:dyDescent="0.25">
      <c r="A1022" s="54"/>
      <c r="V1022" s="56"/>
      <c r="AA1022" s="56"/>
      <c r="AB1022" s="56"/>
    </row>
    <row r="1023" spans="1:28" x14ac:dyDescent="0.25">
      <c r="A1023" s="54"/>
      <c r="V1023" s="55"/>
      <c r="AA1023" s="55"/>
      <c r="AB1023" s="55"/>
    </row>
    <row r="1024" spans="1:28" x14ac:dyDescent="0.25">
      <c r="A1024" s="54"/>
      <c r="U1024" s="54"/>
      <c r="AA1024" s="56"/>
      <c r="AB1024" s="56"/>
    </row>
    <row r="1025" spans="1:28" x14ac:dyDescent="0.25">
      <c r="A1025" s="54"/>
    </row>
    <row r="1026" spans="1:28" x14ac:dyDescent="0.25">
      <c r="A1026" s="54"/>
      <c r="U1026" s="54"/>
      <c r="AA1026" s="56"/>
      <c r="AB1026" s="56"/>
    </row>
    <row r="1027" spans="1:28" x14ac:dyDescent="0.25">
      <c r="A1027" s="54"/>
    </row>
    <row r="1028" spans="1:28" x14ac:dyDescent="0.25">
      <c r="A1028" s="54"/>
      <c r="U1028" s="54"/>
      <c r="V1028" s="480"/>
      <c r="AA1028" s="56"/>
      <c r="AB1028" s="56"/>
    </row>
    <row r="1029" spans="1:28" x14ac:dyDescent="0.25">
      <c r="A1029" s="54"/>
    </row>
    <row r="1030" spans="1:28" x14ac:dyDescent="0.25">
      <c r="A1030" s="54"/>
      <c r="U1030" s="54"/>
      <c r="AA1030" s="56"/>
      <c r="AB1030" s="56"/>
    </row>
    <row r="1031" spans="1:28" x14ac:dyDescent="0.25">
      <c r="A1031" s="54"/>
    </row>
    <row r="1032" spans="1:28" x14ac:dyDescent="0.25">
      <c r="A1032" s="54"/>
      <c r="U1032" s="54"/>
      <c r="AA1032" s="56"/>
      <c r="AB1032" s="56"/>
    </row>
    <row r="1033" spans="1:28" x14ac:dyDescent="0.25">
      <c r="A1033" s="54"/>
    </row>
    <row r="1034" spans="1:28" x14ac:dyDescent="0.25">
      <c r="A1034" s="54"/>
    </row>
    <row r="1035" spans="1:28" x14ac:dyDescent="0.25">
      <c r="A1035" s="54"/>
    </row>
    <row r="1036" spans="1:28" x14ac:dyDescent="0.25">
      <c r="A1036" s="54"/>
    </row>
    <row r="1037" spans="1:28" x14ac:dyDescent="0.25">
      <c r="A1037" s="54"/>
    </row>
    <row r="1038" spans="1:28" x14ac:dyDescent="0.25">
      <c r="A1038" s="54"/>
    </row>
    <row r="1039" spans="1:28" x14ac:dyDescent="0.25">
      <c r="A1039" s="54"/>
    </row>
    <row r="1040" spans="1:28" x14ac:dyDescent="0.25">
      <c r="A1040" s="54"/>
    </row>
    <row r="1041" spans="1:9" x14ac:dyDescent="0.25">
      <c r="A1041" s="54"/>
    </row>
    <row r="1042" spans="1:9" x14ac:dyDescent="0.25">
      <c r="A1042" s="54"/>
    </row>
    <row r="1043" spans="1:9" x14ac:dyDescent="0.25">
      <c r="A1043" s="54"/>
      <c r="H1043" s="54"/>
      <c r="I1043" s="54"/>
    </row>
    <row r="1046" spans="1:9" x14ac:dyDescent="0.25">
      <c r="A1046" s="54"/>
    </row>
    <row r="1049" spans="1:9" x14ac:dyDescent="0.25">
      <c r="A1049" s="54"/>
    </row>
    <row r="1052" spans="1:9" x14ac:dyDescent="0.25">
      <c r="A1052" s="54"/>
    </row>
    <row r="1053" spans="1:9" x14ac:dyDescent="0.25">
      <c r="A1053" s="54"/>
    </row>
    <row r="1054" spans="1:9" x14ac:dyDescent="0.25">
      <c r="A1054" s="54"/>
    </row>
    <row r="1055" spans="1:9" x14ac:dyDescent="0.25">
      <c r="A1055" s="54"/>
    </row>
    <row r="1056" spans="1:9" x14ac:dyDescent="0.25">
      <c r="A1056" s="54"/>
    </row>
    <row r="1057" spans="1:1" x14ac:dyDescent="0.25">
      <c r="A1057" s="54"/>
    </row>
    <row r="1058" spans="1:1" x14ac:dyDescent="0.25">
      <c r="A1058" s="54"/>
    </row>
    <row r="1059" spans="1:1" x14ac:dyDescent="0.25">
      <c r="A1059" s="54"/>
    </row>
    <row r="1060" spans="1:1" x14ac:dyDescent="0.25">
      <c r="A1060" s="54"/>
    </row>
    <row r="1061" spans="1:1" x14ac:dyDescent="0.25">
      <c r="A1061" s="54"/>
    </row>
    <row r="1062" spans="1:1" x14ac:dyDescent="0.25">
      <c r="A1062" s="54"/>
    </row>
    <row r="1063" spans="1:1" x14ac:dyDescent="0.25">
      <c r="A1063" s="54"/>
    </row>
    <row r="1064" spans="1:1" x14ac:dyDescent="0.25">
      <c r="A1064" s="54"/>
    </row>
    <row r="1065" spans="1:1" x14ac:dyDescent="0.25">
      <c r="A1065" s="54"/>
    </row>
    <row r="1066" spans="1:1" x14ac:dyDescent="0.25">
      <c r="A1066" s="54"/>
    </row>
    <row r="1067" spans="1:1" x14ac:dyDescent="0.25">
      <c r="A1067" s="54"/>
    </row>
    <row r="1068" spans="1:1" x14ac:dyDescent="0.25">
      <c r="A1068" s="54"/>
    </row>
    <row r="1069" spans="1:1" x14ac:dyDescent="0.25">
      <c r="A1069" s="54"/>
    </row>
    <row r="1070" spans="1:1" x14ac:dyDescent="0.25">
      <c r="A1070" s="54"/>
    </row>
    <row r="1071" spans="1:1" x14ac:dyDescent="0.25">
      <c r="A1071" s="54"/>
    </row>
    <row r="1072" spans="1:1" x14ac:dyDescent="0.25">
      <c r="A1072" s="54"/>
    </row>
    <row r="1073" spans="1:1" x14ac:dyDescent="0.25">
      <c r="A1073" s="54"/>
    </row>
    <row r="1074" spans="1:1" x14ac:dyDescent="0.25">
      <c r="A1074" s="54"/>
    </row>
    <row r="1075" spans="1:1" x14ac:dyDescent="0.25">
      <c r="A1075" s="54"/>
    </row>
    <row r="1076" spans="1:1" x14ac:dyDescent="0.25">
      <c r="A1076" s="54"/>
    </row>
    <row r="1077" spans="1:1" x14ac:dyDescent="0.25">
      <c r="A1077" s="54"/>
    </row>
    <row r="1078" spans="1:1" x14ac:dyDescent="0.25">
      <c r="A1078" s="54"/>
    </row>
    <row r="1079" spans="1:1" x14ac:dyDescent="0.25">
      <c r="A1079" s="54"/>
    </row>
    <row r="1080" spans="1:1" x14ac:dyDescent="0.25">
      <c r="A1080" s="54"/>
    </row>
    <row r="1081" spans="1:1" x14ac:dyDescent="0.25">
      <c r="A1081" s="54"/>
    </row>
    <row r="1082" spans="1:1" x14ac:dyDescent="0.25">
      <c r="A1082" s="54"/>
    </row>
    <row r="1083" spans="1:1" x14ac:dyDescent="0.25">
      <c r="A1083" s="54"/>
    </row>
    <row r="1084" spans="1:1" x14ac:dyDescent="0.25">
      <c r="A1084" s="54"/>
    </row>
    <row r="1085" spans="1:1" x14ac:dyDescent="0.25">
      <c r="A1085" s="54"/>
    </row>
    <row r="1086" spans="1:1" x14ac:dyDescent="0.25">
      <c r="A1086" s="54"/>
    </row>
    <row r="1091" spans="1:1" x14ac:dyDescent="0.25">
      <c r="A1091" s="54"/>
    </row>
    <row r="1092" spans="1:1" x14ac:dyDescent="0.25">
      <c r="A1092" s="54"/>
    </row>
    <row r="1095" spans="1:1" x14ac:dyDescent="0.25">
      <c r="A1095" s="54"/>
    </row>
    <row r="1097" spans="1:1" x14ac:dyDescent="0.25">
      <c r="A1097" s="54"/>
    </row>
    <row r="1099" spans="1:1" x14ac:dyDescent="0.25">
      <c r="A1099" s="54"/>
    </row>
    <row r="1101" spans="1:1" x14ac:dyDescent="0.25">
      <c r="A1101" s="54"/>
    </row>
    <row r="1104" spans="1:1" x14ac:dyDescent="0.25">
      <c r="A1104" s="54"/>
    </row>
    <row r="1105" spans="1:1" x14ac:dyDescent="0.25">
      <c r="A1105" s="54"/>
    </row>
    <row r="1106" spans="1:1" x14ac:dyDescent="0.25">
      <c r="A1106" s="54"/>
    </row>
    <row r="1107" spans="1:1" x14ac:dyDescent="0.25">
      <c r="A1107" s="54"/>
    </row>
    <row r="1108" spans="1:1" x14ac:dyDescent="0.25">
      <c r="A1108" s="54"/>
    </row>
    <row r="1109" spans="1:1" x14ac:dyDescent="0.25">
      <c r="A1109" s="54"/>
    </row>
    <row r="1110" spans="1:1" x14ac:dyDescent="0.25">
      <c r="A1110" s="54"/>
    </row>
    <row r="1111" spans="1:1" x14ac:dyDescent="0.25">
      <c r="A1111" s="54"/>
    </row>
  </sheetData>
  <pageMargins left="0.75" right="0.75" top="1" bottom="1" header="0.5" footer="0.5"/>
  <pageSetup scale="43" orientation="landscape" r:id="rId1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2" transitionEvaluation="1" transitionEntry="1" codeName="Sheet72"/>
  <dimension ref="A1:BW1117"/>
  <sheetViews>
    <sheetView tabSelected="1" view="pageBreakPreview" topLeftCell="A22" zoomScale="60" zoomScaleNormal="75" workbookViewId="0">
      <selection sqref="A1:J1"/>
    </sheetView>
  </sheetViews>
  <sheetFormatPr defaultColWidth="9.77734375" defaultRowHeight="15.75" x14ac:dyDescent="0.25"/>
  <cols>
    <col min="1" max="1" width="4" style="380" customWidth="1"/>
    <col min="2" max="2" width="0.6640625" style="380" customWidth="1"/>
    <col min="3" max="3" width="8.5546875" style="380" customWidth="1"/>
    <col min="4" max="4" width="39.21875" style="380" customWidth="1"/>
    <col min="5" max="5" width="0.4414062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4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2.77734375" style="380" customWidth="1"/>
    <col min="15" max="15" width="0.5546875" style="380" customWidth="1"/>
    <col min="16" max="16" width="14.77734375" style="380" customWidth="1"/>
    <col min="17" max="17" width="0.5546875" style="380" customWidth="1"/>
    <col min="18" max="18" width="18.44140625" style="380" customWidth="1"/>
    <col min="19" max="19" width="8.77734375" style="380" customWidth="1"/>
    <col min="20" max="20" width="5.44140625" style="380" customWidth="1"/>
    <col min="21" max="21" width="0.5546875" style="380" customWidth="1"/>
    <col min="22" max="22" width="8" style="380" customWidth="1"/>
    <col min="23" max="23" width="38.109375" style="380" customWidth="1"/>
    <col min="24" max="24" width="0.44140625" style="380" customWidth="1"/>
    <col min="25" max="25" width="11.77734375" style="380" customWidth="1"/>
    <col min="26" max="26" width="0.6640625" style="380" customWidth="1"/>
    <col min="27" max="27" width="13.33203125" style="380" customWidth="1"/>
    <col min="28" max="28" width="0.6640625" style="380" customWidth="1"/>
    <col min="29" max="29" width="12.88671875" style="380" customWidth="1"/>
    <col min="30" max="30" width="0.5546875" style="380" customWidth="1"/>
    <col min="31" max="31" width="12.88671875" style="380" customWidth="1"/>
    <col min="32" max="32" width="0.77734375" style="380" customWidth="1"/>
    <col min="33" max="33" width="13.6640625" style="153" customWidth="1"/>
    <col min="34" max="34" width="0.6640625" style="380" customWidth="1"/>
    <col min="35" max="35" width="14.33203125" style="380" customWidth="1"/>
    <col min="36" max="36" width="0.88671875" style="380" customWidth="1"/>
    <col min="37" max="37" width="14.5546875" style="153" customWidth="1"/>
    <col min="38" max="38" width="0.6640625" style="380" customWidth="1"/>
    <col min="39" max="39" width="12.109375" style="380" customWidth="1"/>
    <col min="40" max="40" width="0.5546875" style="380" customWidth="1"/>
    <col min="41" max="41" width="13.21875" style="380" customWidth="1"/>
    <col min="42" max="42" width="0.6640625" style="380" customWidth="1"/>
    <col min="43" max="43" width="11.21875" style="153" customWidth="1"/>
    <col min="44" max="44" width="14.77734375" style="380" customWidth="1"/>
    <col min="45" max="45" width="4.77734375" style="380" customWidth="1"/>
    <col min="46" max="46" width="5.77734375" style="380" customWidth="1"/>
    <col min="47" max="47" width="10.77734375" style="380" customWidth="1"/>
    <col min="48" max="48" width="11.77734375" style="380" customWidth="1"/>
    <col min="49" max="49" width="12.77734375" style="380" customWidth="1"/>
    <col min="50" max="52" width="15.77734375" style="380" customWidth="1"/>
    <col min="53" max="53" width="12.77734375" style="380" customWidth="1"/>
    <col min="54" max="56" width="15.77734375" style="380" customWidth="1"/>
    <col min="57" max="57" width="12.77734375" style="380" customWidth="1"/>
    <col min="58" max="59" width="9.77734375" style="380"/>
    <col min="60" max="62" width="12.77734375" style="380" customWidth="1"/>
    <col min="63" max="63" width="14.77734375" style="380" customWidth="1"/>
    <col min="64" max="65" width="9.77734375" style="380"/>
    <col min="66" max="68" width="12.77734375" style="380" customWidth="1"/>
    <col min="69" max="69" width="14.77734375" style="380" customWidth="1"/>
    <col min="70" max="76" width="9.77734375" style="380"/>
    <col min="77" max="77" width="1.77734375" style="380" customWidth="1"/>
    <col min="78" max="79" width="9.77734375" style="380"/>
    <col min="80" max="80" width="10.77734375" style="380" customWidth="1"/>
    <col min="81" max="82" width="9.77734375" style="380"/>
    <col min="83" max="83" width="7.77734375" style="380" customWidth="1"/>
    <col min="84" max="16384" width="9.77734375" style="380"/>
  </cols>
  <sheetData>
    <row r="1" spans="1:40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4"/>
      <c r="K1" s="44"/>
      <c r="L1" s="43"/>
      <c r="M1" s="43"/>
      <c r="N1" s="43"/>
      <c r="O1" s="43"/>
      <c r="P1" s="43"/>
      <c r="Q1" s="43"/>
      <c r="R1" s="43"/>
      <c r="Z1" s="53"/>
    </row>
    <row r="2" spans="1:40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4"/>
      <c r="K2" s="44"/>
      <c r="L2" s="43"/>
      <c r="M2" s="43"/>
      <c r="N2" s="43"/>
      <c r="O2" s="43"/>
      <c r="P2" s="43"/>
      <c r="Q2" s="43"/>
      <c r="R2" s="43"/>
      <c r="Z2" s="53"/>
    </row>
    <row r="3" spans="1:40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Y3" s="54"/>
    </row>
    <row r="4" spans="1:4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4"/>
      <c r="K4" s="44"/>
      <c r="L4" s="43"/>
      <c r="M4" s="43"/>
      <c r="N4" s="43"/>
      <c r="O4" s="43"/>
      <c r="P4" s="43"/>
      <c r="Q4" s="43"/>
      <c r="R4" s="43"/>
      <c r="Z4" s="53"/>
    </row>
    <row r="5" spans="1:4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4"/>
      <c r="M5" s="44"/>
      <c r="N5" s="43"/>
      <c r="O5" s="43"/>
      <c r="P5" s="43"/>
      <c r="Q5" s="43"/>
      <c r="R5" s="43"/>
      <c r="AA5" s="54"/>
      <c r="AB5" s="54"/>
    </row>
    <row r="6" spans="1:40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K6" s="161"/>
      <c r="AL6" s="54"/>
    </row>
    <row r="7" spans="1:40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11 OF "&amp;TEXT(Page_Num_2.3,"00")</f>
        <v>PAGE 11 OF 23</v>
      </c>
      <c r="AK7" s="161"/>
      <c r="AL7" s="54"/>
    </row>
    <row r="8" spans="1:40" x14ac:dyDescent="0.25">
      <c r="A8" s="46" t="s">
        <v>177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K8" s="161"/>
      <c r="AL8" s="54"/>
    </row>
    <row r="9" spans="1:40" x14ac:dyDescent="0.25">
      <c r="A9" s="222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45" t="str">
        <f>WIT</f>
        <v>J. L. Kern</v>
      </c>
      <c r="AK9" s="161"/>
      <c r="AL9" s="54"/>
    </row>
    <row r="10" spans="1:40" x14ac:dyDescent="0.25">
      <c r="A10" s="222" t="str">
        <f>INPUT!B5</f>
        <v>6 Months Actual Ending May 31, 2019</v>
      </c>
      <c r="B10" s="378"/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78"/>
      <c r="P10" s="378"/>
      <c r="Q10" s="378"/>
      <c r="R10" s="45"/>
      <c r="AK10" s="161"/>
      <c r="AL10" s="54"/>
    </row>
    <row r="11" spans="1:40" x14ac:dyDescent="0.25">
      <c r="A11" s="44" t="s">
        <v>136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AA11" s="54"/>
      <c r="AB11" s="54"/>
      <c r="AK11" s="156"/>
      <c r="AL11" s="53"/>
    </row>
    <row r="12" spans="1:40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154"/>
      <c r="AH12" s="55"/>
      <c r="AI12" s="55"/>
      <c r="AJ12" s="55"/>
      <c r="AK12" s="154"/>
      <c r="AL12" s="55"/>
      <c r="AM12" s="55"/>
      <c r="AN12" s="55"/>
    </row>
    <row r="13" spans="1:40" ht="18" customHeight="1" x14ac:dyDescent="0.25">
      <c r="A13" s="378"/>
      <c r="B13" s="378"/>
      <c r="C13" s="378"/>
      <c r="D13" s="378"/>
      <c r="E13" s="378"/>
      <c r="F13" s="378"/>
      <c r="G13" s="378"/>
      <c r="H13" s="378"/>
      <c r="I13" s="378"/>
      <c r="J13" s="378"/>
      <c r="K13" s="378"/>
      <c r="L13" s="426" t="s">
        <v>6</v>
      </c>
      <c r="M13" s="426"/>
      <c r="N13" s="426" t="s">
        <v>7</v>
      </c>
      <c r="O13" s="426"/>
      <c r="P13" s="378"/>
      <c r="Q13" s="378"/>
      <c r="R13" s="426" t="s">
        <v>6</v>
      </c>
      <c r="AA13" s="56"/>
      <c r="AB13" s="56"/>
      <c r="AC13" s="56"/>
      <c r="AD13" s="56"/>
      <c r="AE13" s="56"/>
      <c r="AF13" s="56"/>
      <c r="AG13" s="155"/>
      <c r="AH13" s="56"/>
      <c r="AK13" s="155"/>
      <c r="AL13" s="56"/>
      <c r="AM13" s="56"/>
      <c r="AN13" s="56"/>
    </row>
    <row r="14" spans="1:40" x14ac:dyDescent="0.25">
      <c r="A14" s="378"/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426" t="s">
        <v>12</v>
      </c>
      <c r="M14" s="426"/>
      <c r="N14" s="426" t="s">
        <v>13</v>
      </c>
      <c r="O14" s="426"/>
      <c r="P14" s="378"/>
      <c r="Q14" s="378"/>
      <c r="R14" s="426" t="s">
        <v>11</v>
      </c>
      <c r="Z14" s="56"/>
      <c r="AA14" s="56"/>
      <c r="AB14" s="56"/>
      <c r="AC14" s="56"/>
      <c r="AD14" s="56"/>
      <c r="AE14" s="56"/>
      <c r="AF14" s="56"/>
      <c r="AG14" s="155"/>
      <c r="AH14" s="56"/>
      <c r="AK14" s="155"/>
      <c r="AL14" s="56"/>
      <c r="AM14" s="56"/>
      <c r="AN14" s="56"/>
    </row>
    <row r="15" spans="1:40" x14ac:dyDescent="0.25">
      <c r="A15" s="426" t="s">
        <v>17</v>
      </c>
      <c r="B15" s="378"/>
      <c r="C15" s="426" t="s">
        <v>18</v>
      </c>
      <c r="D15" s="426" t="s">
        <v>19</v>
      </c>
      <c r="E15" s="426"/>
      <c r="F15" s="426" t="s">
        <v>20</v>
      </c>
      <c r="G15" s="378"/>
      <c r="H15" s="378"/>
      <c r="I15" s="378"/>
      <c r="J15" s="426" t="s">
        <v>6</v>
      </c>
      <c r="K15" s="426"/>
      <c r="L15" s="426" t="s">
        <v>21</v>
      </c>
      <c r="M15" s="426"/>
      <c r="N15" s="426" t="s">
        <v>21</v>
      </c>
      <c r="O15" s="426"/>
      <c r="P15" s="426" t="s">
        <v>21</v>
      </c>
      <c r="Q15" s="426"/>
      <c r="R15" s="426" t="s">
        <v>9</v>
      </c>
      <c r="T15" s="56"/>
      <c r="U15" s="56"/>
      <c r="V15" s="56"/>
      <c r="Z15" s="56"/>
      <c r="AA15" s="56"/>
      <c r="AB15" s="56"/>
      <c r="AC15" s="56"/>
      <c r="AD15" s="56"/>
      <c r="AE15" s="56"/>
      <c r="AF15" s="56"/>
      <c r="AG15" s="155"/>
      <c r="AH15" s="56"/>
      <c r="AI15" s="56"/>
      <c r="AJ15" s="56"/>
      <c r="AK15" s="155"/>
      <c r="AL15" s="56"/>
      <c r="AM15" s="56"/>
      <c r="AN15" s="56"/>
    </row>
    <row r="16" spans="1:40" x14ac:dyDescent="0.25">
      <c r="A16" s="426" t="s">
        <v>24</v>
      </c>
      <c r="B16" s="378"/>
      <c r="C16" s="426" t="s">
        <v>25</v>
      </c>
      <c r="D16" s="426" t="s">
        <v>26</v>
      </c>
      <c r="E16" s="426"/>
      <c r="F16" s="426" t="s">
        <v>27</v>
      </c>
      <c r="G16" s="378"/>
      <c r="H16" s="426" t="s">
        <v>28</v>
      </c>
      <c r="I16" s="426"/>
      <c r="J16" s="426" t="s">
        <v>29</v>
      </c>
      <c r="K16" s="426"/>
      <c r="L16" s="426" t="s">
        <v>9</v>
      </c>
      <c r="M16" s="426"/>
      <c r="N16" s="426" t="s">
        <v>9</v>
      </c>
      <c r="O16" s="426"/>
      <c r="P16" s="426" t="s">
        <v>9</v>
      </c>
      <c r="Q16" s="426"/>
      <c r="R16" s="265" t="s">
        <v>30</v>
      </c>
      <c r="T16" s="56"/>
      <c r="U16" s="56"/>
      <c r="V16" s="56"/>
      <c r="Y16" s="56"/>
      <c r="Z16" s="56"/>
      <c r="AA16" s="56"/>
      <c r="AB16" s="56"/>
      <c r="AC16" s="56"/>
      <c r="AD16" s="56"/>
      <c r="AE16" s="56"/>
      <c r="AF16" s="56"/>
      <c r="AG16" s="155"/>
      <c r="AH16" s="56"/>
      <c r="AI16" s="56"/>
      <c r="AJ16" s="56"/>
      <c r="AK16" s="155"/>
      <c r="AL16" s="56"/>
      <c r="AM16" s="56"/>
      <c r="AN16" s="56"/>
    </row>
    <row r="17" spans="1:40" x14ac:dyDescent="0.25">
      <c r="A17" s="378"/>
      <c r="B17" s="378"/>
      <c r="C17" s="265" t="s">
        <v>35</v>
      </c>
      <c r="D17" s="265" t="s">
        <v>36</v>
      </c>
      <c r="E17" s="265"/>
      <c r="F17" s="265" t="s">
        <v>37</v>
      </c>
      <c r="G17" s="218"/>
      <c r="H17" s="265" t="s">
        <v>38</v>
      </c>
      <c r="I17" s="265"/>
      <c r="J17" s="265" t="s">
        <v>39</v>
      </c>
      <c r="K17" s="265"/>
      <c r="L17" s="265" t="s">
        <v>40</v>
      </c>
      <c r="M17" s="265"/>
      <c r="N17" s="265" t="s">
        <v>41</v>
      </c>
      <c r="O17" s="265"/>
      <c r="P17" s="265" t="s">
        <v>42</v>
      </c>
      <c r="Q17" s="265"/>
      <c r="R17" s="265" t="s">
        <v>43</v>
      </c>
      <c r="T17" s="56"/>
      <c r="U17" s="56"/>
      <c r="V17" s="56"/>
      <c r="Y17" s="56"/>
      <c r="Z17" s="56"/>
      <c r="AA17" s="56"/>
      <c r="AB17" s="56"/>
      <c r="AC17" s="56"/>
      <c r="AD17" s="56"/>
      <c r="AE17" s="56"/>
      <c r="AF17" s="56"/>
      <c r="AG17" s="155"/>
      <c r="AH17" s="56"/>
      <c r="AI17" s="56"/>
      <c r="AJ17" s="56"/>
      <c r="AK17" s="155"/>
      <c r="AL17" s="56"/>
      <c r="AM17" s="56"/>
      <c r="AN17" s="56"/>
    </row>
    <row r="18" spans="1:40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154"/>
      <c r="AH18" s="55"/>
      <c r="AI18" s="55"/>
      <c r="AJ18" s="55"/>
      <c r="AK18" s="154"/>
      <c r="AL18" s="55"/>
      <c r="AM18" s="55"/>
      <c r="AN18" s="55"/>
    </row>
    <row r="19" spans="1:40" ht="17.100000000000001" customHeight="1" x14ac:dyDescent="0.25">
      <c r="A19" s="378"/>
      <c r="B19" s="378"/>
      <c r="C19" s="378"/>
      <c r="D19" s="378"/>
      <c r="E19" s="378"/>
      <c r="F19" s="378"/>
      <c r="G19" s="378"/>
      <c r="H19" s="442" t="s">
        <v>51</v>
      </c>
      <c r="I19" s="441"/>
      <c r="J19" s="442" t="s">
        <v>368</v>
      </c>
      <c r="K19" s="441"/>
      <c r="L19" s="441" t="s">
        <v>52</v>
      </c>
      <c r="M19" s="441"/>
      <c r="N19" s="441" t="s">
        <v>53</v>
      </c>
      <c r="O19" s="441"/>
      <c r="P19" s="441" t="s">
        <v>52</v>
      </c>
      <c r="Q19" s="441"/>
      <c r="R19" s="441" t="s">
        <v>52</v>
      </c>
      <c r="Y19" s="56"/>
      <c r="Z19" s="56"/>
      <c r="AA19" s="56"/>
      <c r="AB19" s="56"/>
      <c r="AC19" s="56"/>
      <c r="AD19" s="56"/>
      <c r="AE19" s="56"/>
      <c r="AF19" s="56"/>
      <c r="AG19" s="155"/>
      <c r="AH19" s="56"/>
      <c r="AI19" s="56"/>
      <c r="AJ19" s="56"/>
      <c r="AK19" s="155"/>
      <c r="AL19" s="56"/>
      <c r="AM19" s="56"/>
      <c r="AN19" s="56"/>
    </row>
    <row r="20" spans="1:40" x14ac:dyDescent="0.25">
      <c r="A20" s="45">
        <v>1</v>
      </c>
      <c r="B20" s="378"/>
      <c r="C20" s="222" t="s">
        <v>363</v>
      </c>
      <c r="D20" s="222" t="s">
        <v>138</v>
      </c>
      <c r="E20" s="4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T20" s="54"/>
      <c r="U20" s="54"/>
    </row>
    <row r="21" spans="1:40" x14ac:dyDescent="0.25">
      <c r="A21" s="45">
        <v>2</v>
      </c>
      <c r="B21" s="378"/>
      <c r="C21" s="218"/>
      <c r="D21" s="222" t="s">
        <v>139</v>
      </c>
      <c r="E21" s="4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T21" s="54"/>
    </row>
    <row r="22" spans="1:40" ht="21" customHeight="1" x14ac:dyDescent="0.25">
      <c r="A22" s="378"/>
      <c r="B22" s="378"/>
      <c r="C22" s="378"/>
      <c r="D22" s="378"/>
      <c r="E22" s="37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40" x14ac:dyDescent="0.25">
      <c r="A23" s="45">
        <v>3</v>
      </c>
      <c r="B23" s="378"/>
      <c r="C23" s="222" t="s">
        <v>140</v>
      </c>
      <c r="D23" s="378"/>
      <c r="E23" s="37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379"/>
      <c r="T23" s="54"/>
      <c r="V23" s="379"/>
      <c r="Y23" s="379"/>
      <c r="Z23" s="461"/>
      <c r="AA23" s="379"/>
      <c r="AB23" s="379"/>
      <c r="AC23" s="50"/>
      <c r="AD23" s="50"/>
      <c r="AE23" s="379"/>
      <c r="AF23" s="379"/>
      <c r="AG23" s="156"/>
      <c r="AH23" s="50"/>
      <c r="AI23" s="379"/>
      <c r="AJ23" s="379"/>
      <c r="AK23" s="156"/>
      <c r="AL23" s="379"/>
      <c r="AM23" s="50"/>
      <c r="AN23" s="50"/>
    </row>
    <row r="24" spans="1:40" x14ac:dyDescent="0.25">
      <c r="A24" s="45">
        <v>4</v>
      </c>
      <c r="B24" s="378"/>
      <c r="C24" s="46" t="s">
        <v>367</v>
      </c>
      <c r="D24" s="378"/>
      <c r="E24" s="378"/>
      <c r="F24" s="449">
        <v>36</v>
      </c>
      <c r="G24" s="2"/>
      <c r="H24" s="86"/>
      <c r="I24" s="86"/>
      <c r="J24" s="450">
        <f>INPUT!D153</f>
        <v>183</v>
      </c>
      <c r="K24" s="96"/>
      <c r="L24" s="5">
        <f>ROUND(F24*J24,0)</f>
        <v>6588</v>
      </c>
      <c r="M24" s="5"/>
      <c r="N24" s="6">
        <f>ROUND((L24/L$39)*100,1)</f>
        <v>11.6</v>
      </c>
      <c r="O24" s="6"/>
      <c r="P24" s="5"/>
      <c r="Q24" s="1"/>
      <c r="R24" s="5">
        <f>L24+P24</f>
        <v>6588</v>
      </c>
      <c r="S24" s="379"/>
      <c r="V24" s="379"/>
      <c r="Y24" s="379"/>
      <c r="Z24" s="449"/>
      <c r="AA24" s="379"/>
      <c r="AB24" s="379"/>
      <c r="AC24" s="50"/>
      <c r="AD24" s="50"/>
      <c r="AE24" s="379"/>
      <c r="AF24" s="379"/>
      <c r="AI24" s="379"/>
      <c r="AJ24" s="379"/>
      <c r="AK24" s="156"/>
      <c r="AL24" s="379"/>
    </row>
    <row r="25" spans="1:40" ht="20.100000000000001" customHeight="1" x14ac:dyDescent="0.25">
      <c r="A25" s="45">
        <v>5</v>
      </c>
      <c r="B25" s="378"/>
      <c r="C25" s="222" t="s">
        <v>143</v>
      </c>
      <c r="D25" s="378"/>
      <c r="E25" s="378"/>
      <c r="F25" s="83"/>
      <c r="G25" s="2"/>
      <c r="H25" s="5"/>
      <c r="I25" s="5"/>
      <c r="J25" s="502"/>
      <c r="K25" s="446"/>
      <c r="L25" s="90">
        <f>SUM(L24:L24)</f>
        <v>6588</v>
      </c>
      <c r="M25" s="5"/>
      <c r="N25" s="93">
        <f>ROUND((L25/L$39)*100,1)</f>
        <v>11.6</v>
      </c>
      <c r="O25" s="6"/>
      <c r="P25" s="90"/>
      <c r="Q25" s="5"/>
      <c r="R25" s="90">
        <f>SUM(R24:R24)</f>
        <v>6588</v>
      </c>
      <c r="S25" s="379"/>
      <c r="T25" s="54"/>
      <c r="V25" s="379"/>
      <c r="Y25" s="379"/>
      <c r="Z25" s="463"/>
      <c r="AA25" s="379"/>
      <c r="AB25" s="379"/>
      <c r="AC25" s="50"/>
      <c r="AD25" s="50"/>
      <c r="AE25" s="379"/>
      <c r="AF25" s="379"/>
      <c r="AG25" s="156"/>
      <c r="AH25" s="50"/>
      <c r="AI25" s="379"/>
      <c r="AJ25" s="379"/>
      <c r="AK25" s="156"/>
      <c r="AL25" s="379"/>
      <c r="AM25" s="50"/>
      <c r="AN25" s="50"/>
    </row>
    <row r="26" spans="1:40" ht="24" customHeight="1" x14ac:dyDescent="0.25">
      <c r="A26" s="45"/>
      <c r="B26" s="378"/>
      <c r="C26" s="46"/>
      <c r="D26" s="378"/>
      <c r="E26" s="378"/>
      <c r="F26" s="5"/>
      <c r="G26" s="2"/>
      <c r="H26" s="83"/>
      <c r="I26" s="5"/>
      <c r="J26" s="502"/>
      <c r="K26" s="446"/>
      <c r="L26" s="83"/>
      <c r="M26" s="5"/>
      <c r="N26" s="91"/>
      <c r="O26" s="6"/>
      <c r="P26" s="83"/>
      <c r="Q26" s="5"/>
      <c r="R26" s="83"/>
      <c r="S26" s="379"/>
      <c r="V26" s="381"/>
      <c r="Y26" s="449"/>
      <c r="Z26" s="464"/>
      <c r="AA26" s="379"/>
      <c r="AB26" s="379"/>
      <c r="AC26" s="50"/>
      <c r="AD26" s="50"/>
      <c r="AE26" s="379"/>
      <c r="AF26" s="379"/>
      <c r="AG26" s="156"/>
      <c r="AH26" s="50"/>
      <c r="AI26" s="379"/>
      <c r="AJ26" s="379"/>
      <c r="AK26" s="156"/>
      <c r="AL26" s="379"/>
      <c r="AM26" s="50"/>
      <c r="AN26" s="50"/>
    </row>
    <row r="27" spans="1:40" x14ac:dyDescent="0.25">
      <c r="A27" s="45">
        <v>6</v>
      </c>
      <c r="B27" s="378"/>
      <c r="C27" s="222" t="s">
        <v>69</v>
      </c>
      <c r="D27" s="378"/>
      <c r="E27" s="378"/>
      <c r="F27" s="5"/>
      <c r="G27" s="2"/>
      <c r="H27" s="5"/>
      <c r="I27" s="5"/>
      <c r="J27" s="51"/>
      <c r="K27" s="9"/>
      <c r="L27" s="5"/>
      <c r="M27" s="5"/>
      <c r="N27" s="6"/>
      <c r="O27" s="6"/>
      <c r="P27" s="5"/>
      <c r="Q27" s="5"/>
      <c r="R27" s="5"/>
      <c r="S27" s="379"/>
      <c r="T27" s="54"/>
      <c r="V27" s="449"/>
      <c r="Y27" s="379"/>
      <c r="Z27" s="463"/>
      <c r="AA27" s="379"/>
      <c r="AB27" s="379"/>
      <c r="AC27" s="50"/>
      <c r="AD27" s="50"/>
      <c r="AE27" s="379"/>
      <c r="AF27" s="379"/>
      <c r="AG27" s="156"/>
      <c r="AH27" s="50"/>
      <c r="AI27" s="379"/>
      <c r="AJ27" s="379"/>
      <c r="AK27" s="156"/>
      <c r="AL27" s="379"/>
      <c r="AM27" s="50"/>
      <c r="AN27" s="50"/>
    </row>
    <row r="28" spans="1:40" x14ac:dyDescent="0.25">
      <c r="A28" s="45">
        <v>7</v>
      </c>
      <c r="B28" s="378"/>
      <c r="C28" s="46" t="s">
        <v>443</v>
      </c>
      <c r="D28" s="378"/>
      <c r="E28" s="378"/>
      <c r="F28" s="86"/>
      <c r="G28" s="2"/>
      <c r="H28" s="392">
        <v>801933</v>
      </c>
      <c r="I28" s="86"/>
      <c r="J28" s="457">
        <f>INPUT!D155</f>
        <v>1.8391000000000001E-2</v>
      </c>
      <c r="K28" s="454"/>
      <c r="L28" s="5">
        <f>ROUND((H28*J28),0)</f>
        <v>14748</v>
      </c>
      <c r="M28" s="5"/>
      <c r="N28" s="6">
        <f>ROUND((L28/L$39)*100,1)</f>
        <v>26.1</v>
      </c>
      <c r="O28" s="6"/>
      <c r="P28" s="86"/>
      <c r="Q28" s="86"/>
      <c r="R28" s="5">
        <f>L28+P28</f>
        <v>14748</v>
      </c>
      <c r="S28" s="379"/>
      <c r="T28" s="54"/>
      <c r="V28" s="449"/>
      <c r="Y28" s="379"/>
      <c r="Z28" s="463"/>
      <c r="AA28" s="379"/>
      <c r="AB28" s="379"/>
      <c r="AC28" s="50"/>
      <c r="AD28" s="50"/>
      <c r="AE28" s="379"/>
      <c r="AF28" s="379"/>
      <c r="AG28" s="156"/>
      <c r="AH28" s="50"/>
      <c r="AI28" s="379"/>
      <c r="AJ28" s="379"/>
      <c r="AK28" s="156"/>
      <c r="AL28" s="379"/>
      <c r="AM28" s="50"/>
      <c r="AN28" s="50"/>
    </row>
    <row r="29" spans="1:40" x14ac:dyDescent="0.25">
      <c r="A29" s="45">
        <v>8</v>
      </c>
      <c r="B29" s="378"/>
      <c r="C29" s="46" t="s">
        <v>431</v>
      </c>
      <c r="D29" s="378"/>
      <c r="E29" s="378"/>
      <c r="F29" s="86"/>
      <c r="G29" s="2"/>
      <c r="H29" s="86">
        <f>H28</f>
        <v>801933</v>
      </c>
      <c r="I29" s="86"/>
      <c r="J29" s="457">
        <f>INPUT!D159</f>
        <v>3.7492999999999999E-2</v>
      </c>
      <c r="K29" s="454"/>
      <c r="L29" s="5">
        <f>ROUND((H29*J29),0)</f>
        <v>30067</v>
      </c>
      <c r="M29" s="5"/>
      <c r="N29" s="6">
        <f>ROUND((L29/L$39)*100,1)</f>
        <v>53.2</v>
      </c>
      <c r="O29" s="6"/>
      <c r="P29" s="379">
        <v>0</v>
      </c>
      <c r="Q29" s="86"/>
      <c r="R29" s="5">
        <f>L29+P29</f>
        <v>30067</v>
      </c>
      <c r="S29" s="379"/>
      <c r="V29" s="381"/>
      <c r="Y29" s="381"/>
      <c r="Z29" s="464"/>
      <c r="AA29" s="381"/>
      <c r="AB29" s="381"/>
      <c r="AC29" s="381"/>
      <c r="AD29" s="381"/>
      <c r="AE29" s="381"/>
      <c r="AF29" s="381"/>
      <c r="AI29" s="381"/>
      <c r="AJ29" s="381"/>
      <c r="AK29" s="162"/>
      <c r="AL29" s="381"/>
      <c r="AM29" s="50"/>
      <c r="AN29" s="50"/>
    </row>
    <row r="30" spans="1:40" ht="20.100000000000001" customHeight="1" x14ac:dyDescent="0.25">
      <c r="A30" s="45">
        <v>9</v>
      </c>
      <c r="B30" s="378"/>
      <c r="C30" s="222" t="s">
        <v>149</v>
      </c>
      <c r="D30" s="378"/>
      <c r="E30" s="378"/>
      <c r="F30" s="81"/>
      <c r="G30" s="2"/>
      <c r="H30" s="90">
        <f>H28</f>
        <v>801933</v>
      </c>
      <c r="I30" s="5"/>
      <c r="J30" s="267"/>
      <c r="K30" s="9"/>
      <c r="L30" s="90">
        <f>SUM(L28:L29)</f>
        <v>44815</v>
      </c>
      <c r="M30" s="5"/>
      <c r="N30" s="93">
        <f>ROUND((L30/L$39)*100,1)</f>
        <v>79.2</v>
      </c>
      <c r="O30" s="6"/>
      <c r="P30" s="89">
        <f>P29</f>
        <v>0</v>
      </c>
      <c r="Q30" s="5"/>
      <c r="R30" s="90">
        <f>SUM(R28:R29)</f>
        <v>44815</v>
      </c>
      <c r="S30" s="379"/>
      <c r="V30" s="381"/>
      <c r="Y30" s="381"/>
      <c r="Z30" s="464"/>
      <c r="AA30" s="381"/>
      <c r="AB30" s="381"/>
      <c r="AC30" s="381"/>
      <c r="AD30" s="381"/>
      <c r="AE30" s="381"/>
      <c r="AF30" s="381"/>
      <c r="AI30" s="381"/>
      <c r="AJ30" s="381"/>
      <c r="AK30" s="162"/>
      <c r="AL30" s="381"/>
    </row>
    <row r="31" spans="1:40" ht="20.100000000000001" customHeight="1" x14ac:dyDescent="0.25">
      <c r="A31" s="45">
        <v>10</v>
      </c>
      <c r="B31" s="378"/>
      <c r="C31" s="444" t="s">
        <v>535</v>
      </c>
      <c r="D31" s="378"/>
      <c r="E31" s="378"/>
      <c r="F31" s="90">
        <f>F24</f>
        <v>36</v>
      </c>
      <c r="G31" s="2"/>
      <c r="H31" s="90">
        <f>H30</f>
        <v>801933</v>
      </c>
      <c r="I31" s="5"/>
      <c r="J31" s="267"/>
      <c r="K31" s="9"/>
      <c r="L31" s="90">
        <f>L30+L25</f>
        <v>51403</v>
      </c>
      <c r="M31" s="5"/>
      <c r="N31" s="93">
        <f>ROUND((L31/L$39)*100,1)</f>
        <v>90.9</v>
      </c>
      <c r="O31" s="6"/>
      <c r="P31" s="89">
        <f>P30+P25</f>
        <v>0</v>
      </c>
      <c r="Q31" s="5"/>
      <c r="R31" s="90">
        <f>R30+R25</f>
        <v>51403</v>
      </c>
      <c r="S31" s="379"/>
      <c r="V31" s="381"/>
      <c r="Y31" s="381"/>
      <c r="Z31" s="464"/>
      <c r="AA31" s="381"/>
      <c r="AB31" s="381"/>
      <c r="AC31" s="381"/>
      <c r="AD31" s="381"/>
      <c r="AE31" s="381"/>
      <c r="AF31" s="381"/>
      <c r="AI31" s="381"/>
      <c r="AJ31" s="381"/>
      <c r="AK31" s="162"/>
      <c r="AL31" s="381"/>
    </row>
    <row r="32" spans="1:40" ht="15.75" customHeight="1" x14ac:dyDescent="0.25">
      <c r="A32" s="45"/>
      <c r="B32" s="378"/>
      <c r="C32" s="46"/>
      <c r="D32" s="378"/>
      <c r="E32" s="378"/>
      <c r="F32" s="83"/>
      <c r="G32" s="2"/>
      <c r="H32" s="83"/>
      <c r="I32" s="5"/>
      <c r="J32" s="267"/>
      <c r="K32" s="9"/>
      <c r="L32" s="83"/>
      <c r="M32" s="5"/>
      <c r="N32" s="91"/>
      <c r="O32" s="6"/>
      <c r="P32" s="94"/>
      <c r="Q32" s="5"/>
      <c r="R32" s="83"/>
      <c r="S32" s="379"/>
      <c r="V32" s="381"/>
      <c r="Y32" s="381"/>
      <c r="Z32" s="464"/>
      <c r="AA32" s="381"/>
      <c r="AB32" s="381"/>
      <c r="AC32" s="381"/>
      <c r="AD32" s="381"/>
      <c r="AE32" s="381"/>
      <c r="AF32" s="381"/>
      <c r="AI32" s="381"/>
      <c r="AJ32" s="381"/>
      <c r="AK32" s="162"/>
      <c r="AL32" s="381"/>
    </row>
    <row r="33" spans="1:43" ht="15.75" customHeight="1" x14ac:dyDescent="0.25">
      <c r="A33" s="45">
        <v>11</v>
      </c>
      <c r="B33" s="378"/>
      <c r="C33" s="222" t="s">
        <v>504</v>
      </c>
      <c r="D33" s="378"/>
      <c r="E33" s="378"/>
      <c r="F33" s="83"/>
      <c r="G33" s="2"/>
      <c r="H33" s="83"/>
      <c r="I33" s="5"/>
      <c r="J33" s="267"/>
      <c r="K33" s="9"/>
      <c r="L33" s="83"/>
      <c r="M33" s="5"/>
      <c r="N33" s="91"/>
      <c r="O33" s="6"/>
      <c r="P33" s="94"/>
      <c r="Q33" s="5"/>
      <c r="R33" s="83"/>
      <c r="S33" s="379"/>
      <c r="V33" s="381"/>
      <c r="Y33" s="381"/>
      <c r="Z33" s="464"/>
      <c r="AA33" s="381"/>
      <c r="AB33" s="381"/>
      <c r="AC33" s="381"/>
      <c r="AD33" s="381"/>
      <c r="AE33" s="381"/>
      <c r="AF33" s="381"/>
      <c r="AI33" s="381"/>
      <c r="AJ33" s="381"/>
      <c r="AK33" s="162"/>
      <c r="AL33" s="381"/>
    </row>
    <row r="34" spans="1:43" ht="15.75" customHeight="1" x14ac:dyDescent="0.25">
      <c r="A34" s="45">
        <v>12</v>
      </c>
      <c r="B34" s="378"/>
      <c r="C34" s="216" t="str">
        <f>DSMR_Name</f>
        <v>DEMAND SIDE MANAGEMENT RIDER (DSMR)</v>
      </c>
      <c r="D34" s="378"/>
      <c r="E34" s="378"/>
      <c r="F34" s="83"/>
      <c r="G34" s="2"/>
      <c r="H34" s="83"/>
      <c r="I34" s="5"/>
      <c r="J34" s="457">
        <f>PRO_DSM_DIST</f>
        <v>5.091E-3</v>
      </c>
      <c r="K34" s="9"/>
      <c r="L34" s="83">
        <f>ROUND($H$31*J34,0)</f>
        <v>4083</v>
      </c>
      <c r="M34" s="5"/>
      <c r="N34" s="149">
        <f>ROUND((L34/L$39)*100,1)</f>
        <v>7.2</v>
      </c>
      <c r="O34" s="6"/>
      <c r="P34" s="94"/>
      <c r="Q34" s="5"/>
      <c r="R34" s="5">
        <f t="shared" ref="R34:R36" si="0">L34+P34</f>
        <v>4083</v>
      </c>
      <c r="S34" s="379"/>
      <c r="V34" s="381"/>
      <c r="Y34" s="381"/>
      <c r="Z34" s="464"/>
      <c r="AA34" s="381"/>
      <c r="AB34" s="381"/>
      <c r="AC34" s="381"/>
      <c r="AD34" s="381"/>
      <c r="AE34" s="381"/>
      <c r="AF34" s="381"/>
      <c r="AI34" s="381"/>
      <c r="AJ34" s="381"/>
      <c r="AK34" s="162"/>
      <c r="AL34" s="381"/>
    </row>
    <row r="35" spans="1:43" ht="15.75" customHeight="1" x14ac:dyDescent="0.25">
      <c r="A35" s="45">
        <v>13</v>
      </c>
      <c r="B35" s="378"/>
      <c r="C35" s="216" t="str">
        <f>ESM_Name</f>
        <v>ENVIRONMENTAL SURCHARGE MECHANISM RIDER (ESM)</v>
      </c>
      <c r="D35" s="378"/>
      <c r="E35" s="378"/>
      <c r="F35" s="83"/>
      <c r="G35" s="2"/>
      <c r="H35" s="83"/>
      <c r="I35" s="5"/>
      <c r="J35" s="457"/>
      <c r="K35" s="9"/>
      <c r="L35" s="83">
        <f>AE79</f>
        <v>1196</v>
      </c>
      <c r="M35" s="5"/>
      <c r="N35" s="149">
        <f>ROUND((L35/L$39)*100,1)</f>
        <v>2.1</v>
      </c>
      <c r="O35" s="6"/>
      <c r="P35" s="94"/>
      <c r="Q35" s="5"/>
      <c r="R35" s="5">
        <f t="shared" ref="R35" si="1">L35+P35</f>
        <v>1196</v>
      </c>
      <c r="S35" s="379"/>
      <c r="V35" s="381"/>
      <c r="Y35" s="381"/>
      <c r="Z35" s="464"/>
      <c r="AA35" s="381"/>
      <c r="AB35" s="381"/>
      <c r="AC35" s="381"/>
      <c r="AD35" s="381"/>
      <c r="AE35" s="381"/>
      <c r="AF35" s="381"/>
      <c r="AI35" s="381"/>
      <c r="AJ35" s="381"/>
      <c r="AK35" s="162"/>
      <c r="AL35" s="381"/>
    </row>
    <row r="36" spans="1:43" ht="15.75" customHeight="1" x14ac:dyDescent="0.25">
      <c r="A36" s="45">
        <v>14</v>
      </c>
      <c r="B36" s="378"/>
      <c r="C36" s="216" t="str">
        <f>PSM_Name</f>
        <v>PROFIT SHARING MECHANISM (PSM)</v>
      </c>
      <c r="D36" s="378"/>
      <c r="E36" s="378"/>
      <c r="F36" s="83"/>
      <c r="G36" s="2"/>
      <c r="H36" s="83"/>
      <c r="I36" s="5"/>
      <c r="J36" s="457">
        <f>PRO_PSM</f>
        <v>-1.63E-4</v>
      </c>
      <c r="K36" s="9"/>
      <c r="L36" s="83">
        <f>ROUND(H31*PRO_PSM,0)</f>
        <v>-131</v>
      </c>
      <c r="M36" s="5"/>
      <c r="N36" s="148">
        <f>ROUND((L36/L$39)*100,1)</f>
        <v>-0.2</v>
      </c>
      <c r="O36" s="6"/>
      <c r="P36" s="94"/>
      <c r="Q36" s="5"/>
      <c r="R36" s="81">
        <f t="shared" si="0"/>
        <v>-131</v>
      </c>
      <c r="S36" s="379"/>
      <c r="V36" s="381"/>
      <c r="Y36" s="381"/>
      <c r="Z36" s="464"/>
      <c r="AA36" s="381"/>
      <c r="AB36" s="381"/>
      <c r="AC36" s="381"/>
      <c r="AD36" s="381"/>
      <c r="AE36" s="381"/>
      <c r="AF36" s="381"/>
      <c r="AI36" s="381"/>
      <c r="AJ36" s="381"/>
      <c r="AK36" s="162"/>
      <c r="AL36" s="381"/>
    </row>
    <row r="37" spans="1:43" ht="20.100000000000001" customHeight="1" x14ac:dyDescent="0.25">
      <c r="A37" s="45">
        <v>15</v>
      </c>
      <c r="B37" s="378"/>
      <c r="C37" s="222" t="s">
        <v>510</v>
      </c>
      <c r="D37" s="378"/>
      <c r="E37" s="378"/>
      <c r="F37" s="81"/>
      <c r="G37" s="2"/>
      <c r="H37" s="81"/>
      <c r="I37" s="5"/>
      <c r="J37" s="9"/>
      <c r="K37" s="9"/>
      <c r="L37" s="90">
        <f>SUM(L34:L36)</f>
        <v>5148</v>
      </c>
      <c r="M37" s="5"/>
      <c r="N37" s="150">
        <f>ROUND((L37/L$39)*100,1)</f>
        <v>9.1</v>
      </c>
      <c r="O37" s="6"/>
      <c r="P37" s="90">
        <f>SUM(P34:P36)</f>
        <v>0</v>
      </c>
      <c r="Q37" s="5"/>
      <c r="R37" s="90">
        <f>SUM(R34:R36)</f>
        <v>5148</v>
      </c>
      <c r="S37" s="379"/>
      <c r="V37" s="381"/>
      <c r="Y37" s="381"/>
      <c r="Z37" s="464"/>
      <c r="AA37" s="381"/>
      <c r="AB37" s="381"/>
      <c r="AC37" s="381"/>
      <c r="AD37" s="381"/>
      <c r="AE37" s="381"/>
      <c r="AF37" s="381"/>
      <c r="AI37" s="381"/>
      <c r="AJ37" s="381"/>
      <c r="AK37" s="162"/>
      <c r="AL37" s="381"/>
    </row>
    <row r="38" spans="1:43" ht="15.75" customHeight="1" x14ac:dyDescent="0.25">
      <c r="A38" s="45"/>
      <c r="B38" s="378"/>
      <c r="C38" s="222"/>
      <c r="D38" s="378"/>
      <c r="E38" s="378"/>
      <c r="F38" s="83"/>
      <c r="G38" s="2"/>
      <c r="H38" s="83"/>
      <c r="I38" s="5"/>
      <c r="J38" s="9"/>
      <c r="K38" s="9"/>
      <c r="L38" s="83"/>
      <c r="M38" s="5"/>
      <c r="N38" s="91"/>
      <c r="O38" s="6"/>
      <c r="P38" s="94"/>
      <c r="Q38" s="5"/>
      <c r="R38" s="83"/>
      <c r="S38" s="379"/>
      <c r="V38" s="381"/>
      <c r="Y38" s="381"/>
      <c r="Z38" s="464"/>
      <c r="AA38" s="381"/>
      <c r="AB38" s="381"/>
      <c r="AC38" s="381"/>
      <c r="AD38" s="381"/>
      <c r="AE38" s="381"/>
      <c r="AF38" s="381"/>
      <c r="AI38" s="381"/>
      <c r="AJ38" s="381"/>
      <c r="AK38" s="162"/>
      <c r="AL38" s="381"/>
    </row>
    <row r="39" spans="1:43" ht="20.100000000000001" customHeight="1" thickBot="1" x14ac:dyDescent="0.3">
      <c r="A39" s="45">
        <v>16</v>
      </c>
      <c r="B39" s="378"/>
      <c r="C39" s="444" t="s">
        <v>534</v>
      </c>
      <c r="D39" s="378"/>
      <c r="E39" s="378"/>
      <c r="F39" s="82">
        <f>F31</f>
        <v>36</v>
      </c>
      <c r="G39" s="2"/>
      <c r="H39" s="82">
        <f>H31</f>
        <v>801933</v>
      </c>
      <c r="I39" s="5"/>
      <c r="J39" s="9"/>
      <c r="K39" s="9"/>
      <c r="L39" s="82">
        <f>L37+L31</f>
        <v>56551</v>
      </c>
      <c r="M39" s="5"/>
      <c r="N39" s="92">
        <v>100</v>
      </c>
      <c r="O39" s="6"/>
      <c r="P39" s="82">
        <f>P37+P31</f>
        <v>0</v>
      </c>
      <c r="Q39" s="5"/>
      <c r="R39" s="82">
        <f>R37+R31</f>
        <v>56551</v>
      </c>
      <c r="S39" s="379"/>
      <c r="AA39" s="379"/>
      <c r="AB39" s="379"/>
      <c r="AC39" s="379"/>
      <c r="AD39" s="379"/>
      <c r="AI39" s="379"/>
      <c r="AJ39" s="379"/>
      <c r="AK39" s="156"/>
      <c r="AL39" s="379"/>
    </row>
    <row r="40" spans="1:43" ht="18.75" customHeight="1" thickTop="1" x14ac:dyDescent="0.25">
      <c r="A40" s="378"/>
      <c r="B40" s="378"/>
      <c r="C40" s="378"/>
      <c r="D40" s="378"/>
      <c r="E40" s="378"/>
      <c r="F40" s="5"/>
      <c r="G40" s="2"/>
      <c r="H40" s="5"/>
      <c r="I40" s="5"/>
      <c r="J40" s="9"/>
      <c r="K40" s="9"/>
      <c r="L40" s="5"/>
      <c r="M40" s="5"/>
      <c r="N40" s="5"/>
      <c r="O40" s="5"/>
      <c r="P40" s="5"/>
      <c r="Q40" s="5"/>
      <c r="R40" s="5"/>
      <c r="Z40" s="53"/>
    </row>
    <row r="41" spans="1:43" x14ac:dyDescent="0.25">
      <c r="A41" s="378"/>
      <c r="B41" s="378"/>
      <c r="C41" s="243" t="s">
        <v>61</v>
      </c>
      <c r="D41" s="378"/>
      <c r="E41" s="378"/>
      <c r="F41" s="48"/>
      <c r="G41" s="378"/>
      <c r="H41" s="48"/>
      <c r="I41" s="48"/>
      <c r="J41" s="51"/>
      <c r="K41" s="51"/>
      <c r="L41" s="48"/>
      <c r="M41" s="48"/>
      <c r="N41" s="48"/>
      <c r="O41" s="48"/>
      <c r="P41" s="48"/>
      <c r="Q41" s="48"/>
      <c r="R41" s="48"/>
      <c r="Y41" s="54"/>
    </row>
    <row r="42" spans="1:43" x14ac:dyDescent="0.25">
      <c r="A42" s="46"/>
      <c r="B42" s="378"/>
      <c r="C42" s="46"/>
      <c r="D42" s="378"/>
      <c r="E42" s="378"/>
      <c r="F42" s="48"/>
      <c r="G42" s="378"/>
      <c r="H42" s="48"/>
      <c r="I42" s="48"/>
      <c r="J42" s="51"/>
      <c r="K42" s="51"/>
      <c r="L42" s="48"/>
      <c r="M42" s="48"/>
      <c r="N42" s="48"/>
      <c r="O42" s="48"/>
      <c r="P42" s="48"/>
      <c r="Q42" s="48"/>
      <c r="R42" s="48"/>
      <c r="Z42" s="53"/>
    </row>
    <row r="43" spans="1:43" x14ac:dyDescent="0.25">
      <c r="H43" s="382"/>
      <c r="L43" s="54"/>
      <c r="M43" s="54"/>
      <c r="AA43" s="54"/>
      <c r="AB43" s="54"/>
    </row>
    <row r="44" spans="1:43" x14ac:dyDescent="0.25">
      <c r="A44" s="53"/>
      <c r="R44" s="54"/>
      <c r="AK44" s="161"/>
      <c r="AL44" s="54"/>
    </row>
    <row r="45" spans="1:43" x14ac:dyDescent="0.25">
      <c r="A45" s="53"/>
      <c r="R45" s="54"/>
      <c r="T45" s="43" t="str">
        <f>NAME</f>
        <v>DUKE ENERGY KENTUCKY, INC.</v>
      </c>
      <c r="U45" s="43"/>
      <c r="V45" s="43"/>
      <c r="W45" s="43"/>
      <c r="X45" s="43"/>
      <c r="Y45" s="43"/>
      <c r="Z45" s="43"/>
      <c r="AA45" s="43"/>
      <c r="AB45" s="43"/>
      <c r="AC45" s="44"/>
      <c r="AD45" s="44"/>
      <c r="AE45" s="43"/>
      <c r="AF45" s="57"/>
      <c r="AG45" s="144"/>
      <c r="AH45" s="57"/>
      <c r="AI45" s="43"/>
      <c r="AJ45" s="43"/>
      <c r="AK45" s="144"/>
      <c r="AL45" s="43"/>
      <c r="AM45" s="43"/>
      <c r="AN45" s="57"/>
      <c r="AO45" s="43"/>
      <c r="AP45" s="43"/>
      <c r="AQ45" s="144"/>
    </row>
    <row r="46" spans="1:43" x14ac:dyDescent="0.25">
      <c r="A46" s="53"/>
      <c r="R46" s="54"/>
      <c r="T46" s="43" t="str">
        <f>CASE_NO</f>
        <v>CASE NO.   2019-000271</v>
      </c>
      <c r="U46" s="43"/>
      <c r="V46" s="43"/>
      <c r="W46" s="43"/>
      <c r="X46" s="43"/>
      <c r="Y46" s="43"/>
      <c r="Z46" s="43"/>
      <c r="AA46" s="43"/>
      <c r="AB46" s="43"/>
      <c r="AC46" s="44"/>
      <c r="AD46" s="44"/>
      <c r="AE46" s="43"/>
      <c r="AF46" s="57"/>
      <c r="AG46" s="144"/>
      <c r="AH46" s="57"/>
      <c r="AI46" s="43"/>
      <c r="AJ46" s="43"/>
      <c r="AK46" s="144"/>
      <c r="AL46" s="43"/>
      <c r="AM46" s="43"/>
      <c r="AN46" s="57"/>
      <c r="AO46" s="43"/>
      <c r="AP46" s="43"/>
      <c r="AQ46" s="144"/>
    </row>
    <row r="47" spans="1:43" x14ac:dyDescent="0.25">
      <c r="A47" s="54"/>
      <c r="R47" s="54"/>
      <c r="T47" s="44" t="str">
        <f>TITLE</f>
        <v>ANNUALIZED BASE YEAR REVENUES AT PROPOSED VS. MOST CURRENT RATES</v>
      </c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57"/>
      <c r="AG47" s="144"/>
      <c r="AH47" s="57"/>
      <c r="AI47" s="43"/>
      <c r="AJ47" s="43"/>
      <c r="AK47" s="144"/>
      <c r="AL47" s="43"/>
      <c r="AM47" s="43"/>
      <c r="AN47" s="57"/>
      <c r="AO47" s="43"/>
      <c r="AP47" s="43"/>
      <c r="AQ47" s="144"/>
    </row>
    <row r="48" spans="1:43" x14ac:dyDescent="0.25">
      <c r="L48" s="54"/>
      <c r="M48" s="54"/>
      <c r="R48" s="53"/>
      <c r="T48" s="43" t="str">
        <f>DATE</f>
        <v>FOR THE TWELVE MONTHS ENDED November 30, 2019</v>
      </c>
      <c r="U48" s="43"/>
      <c r="V48" s="43"/>
      <c r="W48" s="43"/>
      <c r="X48" s="43"/>
      <c r="Y48" s="43"/>
      <c r="Z48" s="43"/>
      <c r="AA48" s="43"/>
      <c r="AB48" s="43"/>
      <c r="AC48" s="44"/>
      <c r="AD48" s="44"/>
      <c r="AE48" s="43"/>
      <c r="AF48" s="57"/>
      <c r="AG48" s="144"/>
      <c r="AH48" s="57"/>
      <c r="AI48" s="43"/>
      <c r="AJ48" s="43"/>
      <c r="AK48" s="144"/>
      <c r="AL48" s="43"/>
      <c r="AM48" s="43"/>
      <c r="AN48" s="57"/>
      <c r="AO48" s="43"/>
      <c r="AP48" s="43"/>
      <c r="AQ48" s="144"/>
    </row>
    <row r="49" spans="1:43" x14ac:dyDescent="0.25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T49" s="43" t="str">
        <f>SERVICE</f>
        <v>(ELECTRIC SERVICE)</v>
      </c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4"/>
      <c r="AF49" s="58"/>
      <c r="AG49" s="144"/>
      <c r="AH49" s="57"/>
      <c r="AI49" s="43"/>
      <c r="AJ49" s="43"/>
      <c r="AK49" s="144"/>
      <c r="AL49" s="43"/>
      <c r="AM49" s="43"/>
      <c r="AN49" s="57"/>
      <c r="AO49" s="43"/>
      <c r="AP49" s="43"/>
      <c r="AQ49" s="144"/>
    </row>
    <row r="50" spans="1:43" x14ac:dyDescent="0.25">
      <c r="L50" s="56"/>
      <c r="M50" s="56"/>
      <c r="N50" s="56"/>
      <c r="O50" s="56"/>
      <c r="R50" s="56"/>
      <c r="T50" s="45" t="str">
        <f>DATA_PERIOD</f>
        <v>DATA: __X__ BASE PERIOD   ____FORECASTED PERIOD</v>
      </c>
      <c r="U50" s="378"/>
      <c r="V50" s="378"/>
      <c r="W50" s="378"/>
      <c r="X50" s="378"/>
      <c r="Y50" s="378"/>
      <c r="Z50" s="378"/>
      <c r="AA50" s="378"/>
      <c r="AB50" s="378"/>
      <c r="AC50" s="378"/>
      <c r="AD50" s="378"/>
      <c r="AE50" s="378"/>
      <c r="AG50" s="143"/>
      <c r="AI50" s="378"/>
      <c r="AJ50" s="378"/>
      <c r="AK50" s="143"/>
      <c r="AL50" s="378"/>
      <c r="AM50" s="378"/>
      <c r="AO50" s="46" t="s">
        <v>164</v>
      </c>
      <c r="AP50" s="46"/>
      <c r="AQ50" s="143"/>
    </row>
    <row r="51" spans="1:43" x14ac:dyDescent="0.25">
      <c r="L51" s="56"/>
      <c r="M51" s="56"/>
      <c r="N51" s="56"/>
      <c r="O51" s="56"/>
      <c r="R51" s="56"/>
      <c r="T51" s="45" t="str">
        <f>TYPE</f>
        <v>TYPE OF FILING: _X_ ORIGINAL   ___UPDATED  ___ REVISED</v>
      </c>
      <c r="U51" s="378"/>
      <c r="V51" s="378"/>
      <c r="W51" s="378"/>
      <c r="X51" s="378"/>
      <c r="Y51" s="378"/>
      <c r="Z51" s="378"/>
      <c r="AA51" s="378"/>
      <c r="AB51" s="378"/>
      <c r="AC51" s="378"/>
      <c r="AD51" s="378"/>
      <c r="AE51" s="378"/>
      <c r="AG51" s="143"/>
      <c r="AI51" s="378"/>
      <c r="AJ51" s="378"/>
      <c r="AK51" s="143"/>
      <c r="AL51" s="378"/>
      <c r="AM51" s="378"/>
      <c r="AO51" s="52" t="str">
        <f>"PAGE 11 OF "&amp;TEXT(Page_Num_2.2,"00")</f>
        <v>PAGE 11 OF 22</v>
      </c>
      <c r="AP51" s="46"/>
      <c r="AQ51" s="143"/>
    </row>
    <row r="52" spans="1:43" x14ac:dyDescent="0.25">
      <c r="A52" s="56"/>
      <c r="C52" s="56"/>
      <c r="D52" s="56"/>
      <c r="E52" s="56"/>
      <c r="F52" s="56"/>
      <c r="J52" s="56"/>
      <c r="K52" s="56"/>
      <c r="L52" s="56"/>
      <c r="M52" s="56"/>
      <c r="N52" s="56"/>
      <c r="O52" s="56"/>
      <c r="P52" s="56"/>
      <c r="Q52" s="56"/>
      <c r="R52" s="56"/>
      <c r="T52" s="46" t="s">
        <v>177</v>
      </c>
      <c r="U52" s="378"/>
      <c r="V52" s="378"/>
      <c r="W52" s="378"/>
      <c r="X52" s="378"/>
      <c r="Y52" s="378"/>
      <c r="Z52" s="378"/>
      <c r="AA52" s="378"/>
      <c r="AB52" s="378"/>
      <c r="AC52" s="378"/>
      <c r="AD52" s="378"/>
      <c r="AE52" s="378"/>
      <c r="AG52" s="143"/>
      <c r="AI52" s="378"/>
      <c r="AJ52" s="378"/>
      <c r="AK52" s="143"/>
      <c r="AL52" s="378"/>
      <c r="AM52" s="378"/>
      <c r="AO52" s="46" t="s">
        <v>3</v>
      </c>
      <c r="AP52" s="46"/>
      <c r="AQ52" s="143"/>
    </row>
    <row r="53" spans="1:43" x14ac:dyDescent="0.25">
      <c r="A53" s="56"/>
      <c r="C53" s="56"/>
      <c r="D53" s="56"/>
      <c r="E53" s="56"/>
      <c r="F53" s="56"/>
      <c r="J53" s="56"/>
      <c r="K53" s="56"/>
      <c r="L53" s="56"/>
      <c r="M53" s="56"/>
      <c r="N53" s="56"/>
      <c r="O53" s="56"/>
      <c r="P53" s="56"/>
      <c r="Q53" s="56"/>
      <c r="R53" s="56"/>
      <c r="T53" s="222" t="str">
        <f>TIME</f>
        <v>6 Months Actual and 6 Months Projected with Riders</v>
      </c>
      <c r="U53" s="378"/>
      <c r="V53" s="378"/>
      <c r="W53" s="378"/>
      <c r="X53" s="378"/>
      <c r="Y53" s="378"/>
      <c r="Z53" s="378"/>
      <c r="AA53" s="378"/>
      <c r="AB53" s="378"/>
      <c r="AC53" s="378"/>
      <c r="AD53" s="378"/>
      <c r="AE53" s="378"/>
      <c r="AG53" s="143"/>
      <c r="AI53" s="378"/>
      <c r="AJ53" s="378"/>
      <c r="AK53" s="143"/>
      <c r="AL53" s="378"/>
      <c r="AM53" s="378"/>
      <c r="AO53" s="45" t="str">
        <f>WIT</f>
        <v>J. L. Kern</v>
      </c>
      <c r="AP53" s="45"/>
      <c r="AQ53" s="143"/>
    </row>
    <row r="54" spans="1:43" x14ac:dyDescent="0.25">
      <c r="A54" s="56"/>
      <c r="C54" s="56"/>
      <c r="D54" s="56"/>
      <c r="E54" s="56"/>
      <c r="F54" s="56"/>
      <c r="J54" s="56"/>
      <c r="K54" s="56"/>
      <c r="L54" s="56"/>
      <c r="M54" s="56"/>
      <c r="N54" s="56"/>
      <c r="O54" s="56"/>
      <c r="P54" s="56"/>
      <c r="Q54" s="56"/>
      <c r="R54" s="56"/>
      <c r="T54" s="222" t="str">
        <f>INPUT!B5</f>
        <v>6 Months Actual Ending May 31, 2019</v>
      </c>
      <c r="U54" s="378"/>
      <c r="V54" s="378"/>
      <c r="W54" s="378"/>
      <c r="X54" s="378"/>
      <c r="Y54" s="378"/>
      <c r="Z54" s="378"/>
      <c r="AA54" s="378"/>
      <c r="AB54" s="378"/>
      <c r="AC54" s="378"/>
      <c r="AD54" s="378"/>
      <c r="AE54" s="378"/>
      <c r="AG54" s="143"/>
      <c r="AI54" s="378"/>
      <c r="AJ54" s="378"/>
      <c r="AK54" s="143"/>
      <c r="AL54" s="378"/>
      <c r="AM54" s="378"/>
      <c r="AO54" s="45"/>
      <c r="AP54" s="45"/>
      <c r="AQ54" s="143"/>
    </row>
    <row r="55" spans="1:43" x14ac:dyDescent="0.25">
      <c r="A55" s="56"/>
      <c r="C55" s="56"/>
      <c r="D55" s="56"/>
      <c r="E55" s="56"/>
      <c r="F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T55" s="44" t="s">
        <v>137</v>
      </c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57"/>
      <c r="AG55" s="144"/>
      <c r="AH55" s="57"/>
      <c r="AI55" s="43"/>
      <c r="AJ55" s="43"/>
      <c r="AK55" s="144"/>
      <c r="AL55" s="43"/>
      <c r="AM55" s="43"/>
      <c r="AN55" s="57"/>
      <c r="AO55" s="43"/>
      <c r="AP55" s="43"/>
      <c r="AQ55" s="144"/>
    </row>
    <row r="56" spans="1:43" x14ac:dyDescent="0.25">
      <c r="C56" s="56"/>
      <c r="D56" s="56"/>
      <c r="E56" s="56"/>
      <c r="F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145"/>
      <c r="AH56" s="47"/>
      <c r="AI56" s="47"/>
      <c r="AJ56" s="47"/>
      <c r="AK56" s="145"/>
      <c r="AL56" s="47"/>
      <c r="AM56" s="47"/>
      <c r="AN56" s="47"/>
      <c r="AO56" s="47"/>
      <c r="AP56" s="47"/>
      <c r="AQ56" s="145"/>
    </row>
    <row r="57" spans="1:43" ht="18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T57" s="378"/>
      <c r="U57" s="378"/>
      <c r="V57" s="378"/>
      <c r="W57" s="378"/>
      <c r="X57" s="378"/>
      <c r="Y57" s="378"/>
      <c r="Z57" s="378"/>
      <c r="AA57" s="378"/>
      <c r="AB57" s="378"/>
      <c r="AC57" s="378"/>
      <c r="AD57" s="378"/>
      <c r="AE57" s="426" t="s">
        <v>8</v>
      </c>
      <c r="AF57" s="56"/>
      <c r="AG57" s="146" t="s">
        <v>7</v>
      </c>
      <c r="AH57" s="56"/>
      <c r="AI57" s="426" t="s">
        <v>9</v>
      </c>
      <c r="AJ57" s="426"/>
      <c r="AK57" s="146" t="s">
        <v>10</v>
      </c>
      <c r="AL57" s="426"/>
      <c r="AM57" s="378"/>
      <c r="AO57" s="426" t="s">
        <v>8</v>
      </c>
      <c r="AP57" s="426"/>
      <c r="AQ57" s="146" t="s">
        <v>11</v>
      </c>
    </row>
    <row r="58" spans="1:43" x14ac:dyDescent="0.25"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T58" s="378"/>
      <c r="U58" s="378"/>
      <c r="V58" s="378"/>
      <c r="W58" s="378"/>
      <c r="X58" s="378"/>
      <c r="Y58" s="378"/>
      <c r="Z58" s="378"/>
      <c r="AA58" s="378"/>
      <c r="AB58" s="378"/>
      <c r="AC58" s="426" t="s">
        <v>14</v>
      </c>
      <c r="AD58" s="426"/>
      <c r="AE58" s="426" t="s">
        <v>12</v>
      </c>
      <c r="AF58" s="56"/>
      <c r="AG58" s="146" t="s">
        <v>13</v>
      </c>
      <c r="AH58" s="56"/>
      <c r="AI58" s="426" t="s">
        <v>15</v>
      </c>
      <c r="AJ58" s="426"/>
      <c r="AK58" s="146" t="s">
        <v>16</v>
      </c>
      <c r="AL58" s="426"/>
      <c r="AM58" s="378"/>
      <c r="AO58" s="426" t="s">
        <v>11</v>
      </c>
      <c r="AP58" s="426"/>
      <c r="AQ58" s="146" t="s">
        <v>9</v>
      </c>
    </row>
    <row r="59" spans="1:43" x14ac:dyDescent="0.25">
      <c r="A59" s="53"/>
      <c r="C59" s="54"/>
      <c r="D59" s="54"/>
      <c r="E59" s="54"/>
      <c r="T59" s="426" t="s">
        <v>17</v>
      </c>
      <c r="U59" s="378"/>
      <c r="V59" s="426" t="s">
        <v>18</v>
      </c>
      <c r="W59" s="426" t="s">
        <v>19</v>
      </c>
      <c r="X59" s="426"/>
      <c r="Y59" s="426" t="s">
        <v>20</v>
      </c>
      <c r="Z59" s="378"/>
      <c r="AA59" s="378"/>
      <c r="AB59" s="378"/>
      <c r="AC59" s="426" t="s">
        <v>8</v>
      </c>
      <c r="AD59" s="426"/>
      <c r="AE59" s="426" t="s">
        <v>21</v>
      </c>
      <c r="AF59" s="56"/>
      <c r="AG59" s="146" t="s">
        <v>21</v>
      </c>
      <c r="AH59" s="56"/>
      <c r="AI59" s="426" t="s">
        <v>22</v>
      </c>
      <c r="AJ59" s="426"/>
      <c r="AK59" s="146" t="s">
        <v>22</v>
      </c>
      <c r="AL59" s="426"/>
      <c r="AM59" s="426" t="s">
        <v>21</v>
      </c>
      <c r="AN59" s="56"/>
      <c r="AO59" s="426" t="s">
        <v>9</v>
      </c>
      <c r="AP59" s="426"/>
      <c r="AQ59" s="146" t="s">
        <v>23</v>
      </c>
    </row>
    <row r="60" spans="1:43" x14ac:dyDescent="0.25">
      <c r="A60" s="53"/>
      <c r="D60" s="54"/>
      <c r="E60" s="54"/>
      <c r="T60" s="426" t="s">
        <v>24</v>
      </c>
      <c r="U60" s="378"/>
      <c r="V60" s="426" t="s">
        <v>25</v>
      </c>
      <c r="W60" s="426" t="s">
        <v>26</v>
      </c>
      <c r="X60" s="426"/>
      <c r="Y60" s="426" t="s">
        <v>27</v>
      </c>
      <c r="Z60" s="378"/>
      <c r="AA60" s="426" t="s">
        <v>28</v>
      </c>
      <c r="AB60" s="426"/>
      <c r="AC60" s="426" t="s">
        <v>29</v>
      </c>
      <c r="AD60" s="426"/>
      <c r="AE60" s="426" t="s">
        <v>9</v>
      </c>
      <c r="AF60" s="56"/>
      <c r="AG60" s="146" t="s">
        <v>9</v>
      </c>
      <c r="AH60" s="56"/>
      <c r="AI60" s="265" t="s">
        <v>31</v>
      </c>
      <c r="AJ60" s="265"/>
      <c r="AK60" s="440" t="s">
        <v>32</v>
      </c>
      <c r="AL60" s="426"/>
      <c r="AM60" s="426" t="s">
        <v>426</v>
      </c>
      <c r="AN60" s="56"/>
      <c r="AO60" s="265" t="s">
        <v>33</v>
      </c>
      <c r="AP60" s="426"/>
      <c r="AQ60" s="440" t="s">
        <v>34</v>
      </c>
    </row>
    <row r="61" spans="1:43" x14ac:dyDescent="0.25">
      <c r="T61" s="378"/>
      <c r="U61" s="378"/>
      <c r="V61" s="265" t="s">
        <v>35</v>
      </c>
      <c r="W61" s="265" t="s">
        <v>36</v>
      </c>
      <c r="X61" s="265"/>
      <c r="Y61" s="265" t="s">
        <v>37</v>
      </c>
      <c r="Z61" s="218"/>
      <c r="AA61" s="265" t="s">
        <v>38</v>
      </c>
      <c r="AB61" s="265"/>
      <c r="AC61" s="265" t="s">
        <v>44</v>
      </c>
      <c r="AD61" s="265"/>
      <c r="AE61" s="265" t="s">
        <v>45</v>
      </c>
      <c r="AF61" s="466"/>
      <c r="AG61" s="440" t="s">
        <v>46</v>
      </c>
      <c r="AH61" s="466"/>
      <c r="AI61" s="265" t="s">
        <v>47</v>
      </c>
      <c r="AJ61" s="265"/>
      <c r="AK61" s="440" t="s">
        <v>48</v>
      </c>
      <c r="AL61" s="265"/>
      <c r="AM61" s="265" t="s">
        <v>42</v>
      </c>
      <c r="AN61" s="56"/>
      <c r="AO61" s="265" t="s">
        <v>49</v>
      </c>
      <c r="AP61" s="426"/>
      <c r="AQ61" s="440" t="s">
        <v>50</v>
      </c>
    </row>
    <row r="62" spans="1:43" x14ac:dyDescent="0.25">
      <c r="A62" s="53"/>
      <c r="C62" s="54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145"/>
      <c r="AH62" s="47"/>
      <c r="AI62" s="47"/>
      <c r="AJ62" s="47"/>
      <c r="AK62" s="145"/>
      <c r="AL62" s="47"/>
      <c r="AM62" s="47"/>
      <c r="AN62" s="47"/>
      <c r="AO62" s="47"/>
      <c r="AP62" s="47"/>
      <c r="AQ62" s="145"/>
    </row>
    <row r="63" spans="1:43" ht="17.100000000000001" customHeight="1" x14ac:dyDescent="0.25">
      <c r="A63" s="53"/>
      <c r="C63" s="54"/>
      <c r="F63" s="449"/>
      <c r="H63" s="449"/>
      <c r="I63" s="449"/>
      <c r="J63" s="461"/>
      <c r="K63" s="461"/>
      <c r="L63" s="379"/>
      <c r="M63" s="379"/>
      <c r="N63" s="50"/>
      <c r="O63" s="50"/>
      <c r="P63" s="53"/>
      <c r="Q63" s="53"/>
      <c r="R63" s="379"/>
      <c r="T63" s="378"/>
      <c r="U63" s="378"/>
      <c r="V63" s="378"/>
      <c r="W63" s="378"/>
      <c r="X63" s="378"/>
      <c r="Y63" s="378"/>
      <c r="Z63" s="378"/>
      <c r="AA63" s="442" t="s">
        <v>51</v>
      </c>
      <c r="AB63" s="441"/>
      <c r="AC63" s="442" t="s">
        <v>368</v>
      </c>
      <c r="AD63" s="441"/>
      <c r="AE63" s="441" t="s">
        <v>52</v>
      </c>
      <c r="AF63" s="467"/>
      <c r="AG63" s="443" t="s">
        <v>53</v>
      </c>
      <c r="AH63" s="467"/>
      <c r="AI63" s="441" t="s">
        <v>52</v>
      </c>
      <c r="AJ63" s="441"/>
      <c r="AK63" s="443" t="s">
        <v>53</v>
      </c>
      <c r="AL63" s="441"/>
      <c r="AM63" s="441" t="s">
        <v>52</v>
      </c>
      <c r="AN63" s="467"/>
      <c r="AO63" s="441" t="s">
        <v>52</v>
      </c>
      <c r="AP63" s="441"/>
      <c r="AQ63" s="443" t="s">
        <v>53</v>
      </c>
    </row>
    <row r="64" spans="1:43" x14ac:dyDescent="0.25">
      <c r="A64" s="53"/>
      <c r="C64" s="54"/>
      <c r="F64" s="449"/>
      <c r="H64" s="449"/>
      <c r="I64" s="449"/>
      <c r="J64" s="461"/>
      <c r="K64" s="461"/>
      <c r="L64" s="379"/>
      <c r="M64" s="379"/>
      <c r="N64" s="50"/>
      <c r="O64" s="50"/>
      <c r="P64" s="53"/>
      <c r="Q64" s="53"/>
      <c r="R64" s="379"/>
      <c r="T64" s="45">
        <f t="shared" ref="T64:T75" si="2">A20</f>
        <v>1</v>
      </c>
      <c r="U64" s="378"/>
      <c r="V64" s="222" t="s">
        <v>364</v>
      </c>
      <c r="W64" s="222" t="s">
        <v>138</v>
      </c>
      <c r="X64" s="46"/>
      <c r="Y64" s="2"/>
      <c r="Z64" s="2"/>
      <c r="AA64" s="2"/>
      <c r="AB64" s="2"/>
      <c r="AC64" s="2"/>
      <c r="AD64" s="2"/>
      <c r="AE64" s="2"/>
      <c r="AF64" s="84"/>
      <c r="AG64" s="147"/>
      <c r="AH64" s="84"/>
      <c r="AI64" s="2"/>
      <c r="AJ64" s="2"/>
      <c r="AK64" s="147"/>
      <c r="AL64" s="2"/>
      <c r="AM64" s="2"/>
      <c r="AN64" s="84"/>
      <c r="AO64" s="2"/>
      <c r="AP64" s="2"/>
      <c r="AQ64" s="147"/>
    </row>
    <row r="65" spans="1:43" x14ac:dyDescent="0.25">
      <c r="F65" s="381"/>
      <c r="H65" s="379"/>
      <c r="I65" s="379"/>
      <c r="J65" s="464"/>
      <c r="K65" s="464"/>
      <c r="L65" s="381"/>
      <c r="M65" s="381"/>
      <c r="N65" s="381"/>
      <c r="O65" s="381"/>
      <c r="P65" s="381"/>
      <c r="Q65" s="381"/>
      <c r="R65" s="381"/>
      <c r="T65" s="45">
        <f t="shared" si="2"/>
        <v>2</v>
      </c>
      <c r="U65" s="378"/>
      <c r="V65" s="218"/>
      <c r="W65" s="222" t="s">
        <v>139</v>
      </c>
      <c r="X65" s="46"/>
      <c r="Y65" s="2"/>
      <c r="Z65" s="2"/>
      <c r="AA65" s="2"/>
      <c r="AB65" s="2"/>
      <c r="AC65" s="2"/>
      <c r="AD65" s="2"/>
      <c r="AE65" s="2"/>
      <c r="AF65" s="84"/>
      <c r="AG65" s="147"/>
      <c r="AH65" s="84"/>
      <c r="AI65" s="2"/>
      <c r="AJ65" s="2"/>
      <c r="AK65" s="147"/>
      <c r="AL65" s="2"/>
      <c r="AM65" s="2"/>
      <c r="AN65" s="84"/>
      <c r="AO65" s="2"/>
      <c r="AP65" s="2"/>
      <c r="AQ65" s="147"/>
    </row>
    <row r="66" spans="1:43" ht="24.75" customHeight="1" x14ac:dyDescent="0.25">
      <c r="A66" s="53"/>
      <c r="C66" s="54"/>
      <c r="F66" s="379"/>
      <c r="H66" s="379"/>
      <c r="I66" s="379"/>
      <c r="J66" s="464"/>
      <c r="K66" s="464"/>
      <c r="L66" s="379"/>
      <c r="M66" s="379"/>
      <c r="N66" s="50"/>
      <c r="O66" s="50"/>
      <c r="P66" s="379"/>
      <c r="Q66" s="379"/>
      <c r="R66" s="379"/>
      <c r="T66" s="45"/>
      <c r="U66" s="378"/>
      <c r="V66" s="378"/>
      <c r="W66" s="378"/>
      <c r="X66" s="378"/>
      <c r="Y66" s="2"/>
      <c r="Z66" s="2"/>
      <c r="AA66" s="2"/>
      <c r="AB66" s="2"/>
      <c r="AC66" s="2"/>
      <c r="AD66" s="2"/>
      <c r="AE66" s="2"/>
      <c r="AF66" s="84"/>
      <c r="AG66" s="147"/>
      <c r="AH66" s="84"/>
      <c r="AI66" s="2"/>
      <c r="AJ66" s="2"/>
      <c r="AK66" s="147"/>
      <c r="AL66" s="2"/>
      <c r="AM66" s="2"/>
      <c r="AN66" s="84"/>
      <c r="AO66" s="2"/>
      <c r="AP66" s="2"/>
      <c r="AQ66" s="147"/>
    </row>
    <row r="67" spans="1:43" x14ac:dyDescent="0.25">
      <c r="F67" s="381"/>
      <c r="H67" s="379"/>
      <c r="I67" s="379"/>
      <c r="J67" s="464"/>
      <c r="K67" s="464"/>
      <c r="L67" s="381"/>
      <c r="M67" s="381"/>
      <c r="N67" s="381"/>
      <c r="O67" s="381"/>
      <c r="P67" s="381"/>
      <c r="Q67" s="381"/>
      <c r="R67" s="381"/>
      <c r="T67" s="45">
        <f t="shared" si="2"/>
        <v>3</v>
      </c>
      <c r="U67" s="378"/>
      <c r="V67" s="222" t="s">
        <v>140</v>
      </c>
      <c r="W67" s="378"/>
      <c r="X67" s="378"/>
      <c r="Y67" s="2"/>
      <c r="Z67" s="2"/>
      <c r="AA67" s="2"/>
      <c r="AB67" s="2"/>
      <c r="AC67" s="2"/>
      <c r="AD67" s="2"/>
      <c r="AE67" s="2"/>
      <c r="AF67" s="84"/>
      <c r="AG67" s="147"/>
      <c r="AH67" s="84"/>
      <c r="AI67" s="2"/>
      <c r="AJ67" s="2"/>
      <c r="AK67" s="147"/>
      <c r="AL67" s="2"/>
      <c r="AM67" s="2"/>
      <c r="AN67" s="84"/>
      <c r="AO67" s="2"/>
      <c r="AP67" s="2"/>
      <c r="AQ67" s="147"/>
    </row>
    <row r="68" spans="1:43" x14ac:dyDescent="0.25">
      <c r="A68" s="53"/>
      <c r="C68" s="54"/>
      <c r="F68" s="379"/>
      <c r="H68" s="379"/>
      <c r="I68" s="379"/>
      <c r="J68" s="464"/>
      <c r="K68" s="464"/>
      <c r="L68" s="379"/>
      <c r="M68" s="379"/>
      <c r="N68" s="50"/>
      <c r="O68" s="50"/>
      <c r="P68" s="379"/>
      <c r="Q68" s="379"/>
      <c r="R68" s="379"/>
      <c r="T68" s="45">
        <f t="shared" si="2"/>
        <v>4</v>
      </c>
      <c r="U68" s="378"/>
      <c r="V68" s="46" t="s">
        <v>367</v>
      </c>
      <c r="W68" s="378"/>
      <c r="X68" s="378"/>
      <c r="Y68" s="83">
        <f>F24</f>
        <v>36</v>
      </c>
      <c r="Z68" s="2"/>
      <c r="AA68" s="86"/>
      <c r="AB68" s="86"/>
      <c r="AC68" s="450">
        <f>INPUT!C153</f>
        <v>183</v>
      </c>
      <c r="AD68" s="96"/>
      <c r="AE68" s="5">
        <f>ROUND(Y68*AC68,0)</f>
        <v>6588</v>
      </c>
      <c r="AF68" s="83"/>
      <c r="AG68" s="149">
        <f>ROUND((AE68/AE$83)*100,1)</f>
        <v>13.4</v>
      </c>
      <c r="AH68" s="91"/>
      <c r="AI68" s="5">
        <f>L24-AE68</f>
        <v>0</v>
      </c>
      <c r="AJ68" s="5"/>
      <c r="AK68" s="148">
        <f>ROUND((AI68/AE68)*100,1)</f>
        <v>0</v>
      </c>
      <c r="AL68" s="8"/>
      <c r="AM68" s="5"/>
      <c r="AN68" s="97"/>
      <c r="AO68" s="5">
        <f>AE68+AM68</f>
        <v>6588</v>
      </c>
      <c r="AP68" s="5"/>
      <c r="AQ68" s="164">
        <f>IF(AO68=0,"0.0 ",ROUND((AI68/AO68)*100,1))</f>
        <v>0</v>
      </c>
    </row>
    <row r="69" spans="1:43" ht="20.100000000000001" customHeight="1" x14ac:dyDescent="0.25">
      <c r="A69" s="53"/>
      <c r="C69" s="54"/>
      <c r="F69" s="449"/>
      <c r="H69" s="449"/>
      <c r="I69" s="449"/>
      <c r="J69" s="461"/>
      <c r="K69" s="461"/>
      <c r="L69" s="379"/>
      <c r="M69" s="379"/>
      <c r="N69" s="50"/>
      <c r="O69" s="50"/>
      <c r="P69" s="379"/>
      <c r="Q69" s="379"/>
      <c r="R69" s="379"/>
      <c r="T69" s="45">
        <f t="shared" si="2"/>
        <v>5</v>
      </c>
      <c r="U69" s="378"/>
      <c r="V69" s="222" t="s">
        <v>143</v>
      </c>
      <c r="W69" s="378"/>
      <c r="X69" s="378"/>
      <c r="Y69" s="83"/>
      <c r="Z69" s="2"/>
      <c r="AA69" s="5"/>
      <c r="AB69" s="5"/>
      <c r="AC69" s="9"/>
      <c r="AD69" s="9"/>
      <c r="AE69" s="90">
        <f>SUM(AE68:AE68)</f>
        <v>6588</v>
      </c>
      <c r="AF69" s="83"/>
      <c r="AG69" s="150">
        <f>ROUND((AE69/AE$83)*100,1)</f>
        <v>13.4</v>
      </c>
      <c r="AH69" s="91"/>
      <c r="AI69" s="90">
        <f>SUM(AI68:AI68)</f>
        <v>0</v>
      </c>
      <c r="AJ69" s="83"/>
      <c r="AK69" s="150">
        <f>ROUND((AI69/AE69)*100,1)</f>
        <v>0</v>
      </c>
      <c r="AL69" s="8"/>
      <c r="AM69" s="90"/>
      <c r="AN69" s="83"/>
      <c r="AO69" s="90">
        <f>SUM(AO68:AO68)</f>
        <v>6588</v>
      </c>
      <c r="AP69" s="83"/>
      <c r="AQ69" s="164">
        <f>IF(AO69=0,"0.0 ",ROUND((AI69/AO69)*100,1))</f>
        <v>0</v>
      </c>
    </row>
    <row r="70" spans="1:43" ht="24.75" customHeight="1" x14ac:dyDescent="0.25">
      <c r="A70" s="53"/>
      <c r="C70" s="54"/>
      <c r="F70" s="449"/>
      <c r="H70" s="449"/>
      <c r="I70" s="449"/>
      <c r="J70" s="472"/>
      <c r="K70" s="472"/>
      <c r="L70" s="379"/>
      <c r="M70" s="379"/>
      <c r="N70" s="50"/>
      <c r="O70" s="50"/>
      <c r="P70" s="449"/>
      <c r="Q70" s="449"/>
      <c r="R70" s="379"/>
      <c r="T70" s="45"/>
      <c r="U70" s="378"/>
      <c r="V70" s="46"/>
      <c r="W70" s="378"/>
      <c r="X70" s="378"/>
      <c r="Y70" s="5"/>
      <c r="Z70" s="2"/>
      <c r="AA70" s="83"/>
      <c r="AB70" s="83"/>
      <c r="AC70" s="446"/>
      <c r="AD70" s="446"/>
      <c r="AE70" s="83"/>
      <c r="AF70" s="83"/>
      <c r="AG70" s="383"/>
      <c r="AH70" s="91"/>
      <c r="AI70" s="83"/>
      <c r="AJ70" s="83"/>
      <c r="AK70" s="149"/>
      <c r="AL70" s="8"/>
      <c r="AM70" s="83"/>
      <c r="AN70" s="83"/>
      <c r="AO70" s="83"/>
      <c r="AP70" s="83"/>
      <c r="AQ70" s="149"/>
    </row>
    <row r="71" spans="1:43" x14ac:dyDescent="0.25">
      <c r="A71" s="53"/>
      <c r="C71" s="54"/>
      <c r="H71" s="449"/>
      <c r="I71" s="449"/>
      <c r="J71" s="472"/>
      <c r="K71" s="472"/>
      <c r="L71" s="379"/>
      <c r="M71" s="379"/>
      <c r="N71" s="50"/>
      <c r="O71" s="50"/>
      <c r="P71" s="449"/>
      <c r="Q71" s="449"/>
      <c r="R71" s="379"/>
      <c r="T71" s="45">
        <f t="shared" si="2"/>
        <v>6</v>
      </c>
      <c r="U71" s="378"/>
      <c r="V71" s="222" t="s">
        <v>69</v>
      </c>
      <c r="W71" s="378"/>
      <c r="X71" s="378"/>
      <c r="Y71" s="5"/>
      <c r="Z71" s="2"/>
      <c r="AA71" s="5"/>
      <c r="AB71" s="5"/>
      <c r="AC71" s="9"/>
      <c r="AD71" s="9"/>
      <c r="AE71" s="5"/>
      <c r="AF71" s="83"/>
      <c r="AG71" s="149"/>
      <c r="AH71" s="91"/>
      <c r="AI71" s="5"/>
      <c r="AJ71" s="5"/>
      <c r="AK71" s="149"/>
      <c r="AL71" s="8"/>
      <c r="AM71" s="5"/>
      <c r="AN71" s="83"/>
      <c r="AO71" s="5"/>
      <c r="AP71" s="5"/>
      <c r="AQ71" s="149"/>
    </row>
    <row r="72" spans="1:43" x14ac:dyDescent="0.25">
      <c r="F72" s="381"/>
      <c r="H72" s="381"/>
      <c r="I72" s="381"/>
      <c r="J72" s="464"/>
      <c r="K72" s="464"/>
      <c r="L72" s="381"/>
      <c r="M72" s="381"/>
      <c r="N72" s="381"/>
      <c r="O72" s="381"/>
      <c r="P72" s="381"/>
      <c r="Q72" s="381"/>
      <c r="R72" s="381"/>
      <c r="T72" s="45">
        <f t="shared" si="2"/>
        <v>7</v>
      </c>
      <c r="U72" s="378"/>
      <c r="V72" s="46" t="s">
        <v>443</v>
      </c>
      <c r="W72" s="378"/>
      <c r="X72" s="378"/>
      <c r="Y72" s="86"/>
      <c r="Z72" s="2"/>
      <c r="AA72" s="5">
        <f>H28</f>
        <v>801933</v>
      </c>
      <c r="AB72" s="5"/>
      <c r="AC72" s="457">
        <f>INPUT!C155</f>
        <v>9.1039999999999992E-3</v>
      </c>
      <c r="AD72" s="456"/>
      <c r="AE72" s="5">
        <f>ROUND((AA72*AC72),0)</f>
        <v>7301</v>
      </c>
      <c r="AF72" s="83"/>
      <c r="AG72" s="149">
        <f>ROUND((AE72/AE$83)*100,1)</f>
        <v>14.9</v>
      </c>
      <c r="AH72" s="91"/>
      <c r="AI72" s="5">
        <f>L28-AE72</f>
        <v>7447</v>
      </c>
      <c r="AJ72" s="5"/>
      <c r="AK72" s="149">
        <f>ROUND((AI72/AE72)*100,1)</f>
        <v>102</v>
      </c>
      <c r="AL72" s="8"/>
      <c r="AM72" s="86"/>
      <c r="AN72" s="94"/>
      <c r="AO72" s="5">
        <f>AE72+AM72</f>
        <v>7301</v>
      </c>
      <c r="AP72" s="5"/>
      <c r="AQ72" s="164">
        <f>IF(AO72=0,"0.0 ",ROUND((AI72/AO72)*100,1))</f>
        <v>102</v>
      </c>
    </row>
    <row r="73" spans="1:43" x14ac:dyDescent="0.25">
      <c r="A73" s="53"/>
      <c r="C73" s="54"/>
      <c r="F73" s="379"/>
      <c r="H73" s="379"/>
      <c r="I73" s="379"/>
      <c r="J73" s="59"/>
      <c r="K73" s="59"/>
      <c r="L73" s="379"/>
      <c r="M73" s="379"/>
      <c r="N73" s="50"/>
      <c r="O73" s="50"/>
      <c r="P73" s="379"/>
      <c r="Q73" s="379"/>
      <c r="R73" s="379"/>
      <c r="T73" s="45">
        <f t="shared" si="2"/>
        <v>8</v>
      </c>
      <c r="U73" s="378"/>
      <c r="V73" s="46" t="s">
        <v>431</v>
      </c>
      <c r="W73" s="378"/>
      <c r="X73" s="378"/>
      <c r="Y73" s="86"/>
      <c r="Z73" s="2"/>
      <c r="AA73" s="5">
        <f>H29</f>
        <v>801933</v>
      </c>
      <c r="AB73" s="5"/>
      <c r="AC73" s="505">
        <f>INPUT!C159</f>
        <v>3.7492999999999999E-2</v>
      </c>
      <c r="AD73" s="456"/>
      <c r="AE73" s="5">
        <f>ROUND((AA73*AC73),0)</f>
        <v>30067</v>
      </c>
      <c r="AF73" s="83"/>
      <c r="AG73" s="149">
        <f>ROUND((AE73/AE$83)*100,1)</f>
        <v>61.2</v>
      </c>
      <c r="AH73" s="91"/>
      <c r="AI73" s="5">
        <f>L29-AE73</f>
        <v>0</v>
      </c>
      <c r="AJ73" s="5"/>
      <c r="AK73" s="149">
        <f>IF(AE73=0,0,ROUND((AI73/AE73)*100,1))</f>
        <v>0</v>
      </c>
      <c r="AL73" s="8"/>
      <c r="AM73" s="379">
        <v>0</v>
      </c>
      <c r="AN73" s="94"/>
      <c r="AO73" s="5">
        <f>AE73+AM73</f>
        <v>30067</v>
      </c>
      <c r="AP73" s="5"/>
      <c r="AQ73" s="164">
        <f>IF(AO73=0,"0.0 ",ROUND((AI73/AO73)*100,1))</f>
        <v>0</v>
      </c>
    </row>
    <row r="74" spans="1:43" ht="20.100000000000001" customHeight="1" x14ac:dyDescent="0.25">
      <c r="F74" s="379"/>
      <c r="H74" s="379"/>
      <c r="I74" s="379"/>
      <c r="J74" s="59"/>
      <c r="K74" s="59"/>
      <c r="L74" s="379"/>
      <c r="M74" s="379"/>
      <c r="N74" s="379"/>
      <c r="O74" s="379"/>
      <c r="P74" s="379"/>
      <c r="Q74" s="379"/>
      <c r="R74" s="379"/>
      <c r="T74" s="45">
        <f t="shared" si="2"/>
        <v>9</v>
      </c>
      <c r="U74" s="378"/>
      <c r="V74" s="222" t="s">
        <v>149</v>
      </c>
      <c r="W74" s="378"/>
      <c r="X74" s="378"/>
      <c r="Y74" s="81"/>
      <c r="Z74" s="2"/>
      <c r="AA74" s="90">
        <f>H30</f>
        <v>801933</v>
      </c>
      <c r="AB74" s="83"/>
      <c r="AC74" s="267"/>
      <c r="AD74" s="9"/>
      <c r="AE74" s="90">
        <f>SUM(AE72:AE73)</f>
        <v>37368</v>
      </c>
      <c r="AF74" s="83"/>
      <c r="AG74" s="150">
        <f>ROUND((AE74/AE$83)*100,1)</f>
        <v>76.099999999999994</v>
      </c>
      <c r="AH74" s="91"/>
      <c r="AI74" s="90">
        <f>SUM(AI72:AI73)</f>
        <v>7447</v>
      </c>
      <c r="AJ74" s="83"/>
      <c r="AK74" s="150">
        <f>ROUND((AI74/AE74)*100,1)</f>
        <v>19.899999999999999</v>
      </c>
      <c r="AL74" s="8"/>
      <c r="AM74" s="90">
        <f>AM73</f>
        <v>0</v>
      </c>
      <c r="AN74" s="83"/>
      <c r="AO74" s="90">
        <f>SUM(AO72:AO73)</f>
        <v>37368</v>
      </c>
      <c r="AP74" s="83"/>
      <c r="AQ74" s="164">
        <f>IF(AO74=0,"0.0 ",ROUND((AI74/AO74)*100,1))</f>
        <v>19.899999999999999</v>
      </c>
    </row>
    <row r="75" spans="1:43" ht="20.100000000000001" customHeight="1" x14ac:dyDescent="0.25">
      <c r="F75" s="379"/>
      <c r="H75" s="379"/>
      <c r="I75" s="379"/>
      <c r="J75" s="59"/>
      <c r="K75" s="59"/>
      <c r="L75" s="379"/>
      <c r="M75" s="379"/>
      <c r="N75" s="379"/>
      <c r="O75" s="379"/>
      <c r="P75" s="379"/>
      <c r="Q75" s="379"/>
      <c r="R75" s="379"/>
      <c r="T75" s="45">
        <f t="shared" si="2"/>
        <v>10</v>
      </c>
      <c r="U75" s="378"/>
      <c r="V75" s="444" t="s">
        <v>535</v>
      </c>
      <c r="W75" s="378"/>
      <c r="X75" s="378"/>
      <c r="Y75" s="90">
        <f>Y68</f>
        <v>36</v>
      </c>
      <c r="Z75" s="2"/>
      <c r="AA75" s="90">
        <f>AA74</f>
        <v>801933</v>
      </c>
      <c r="AB75" s="83"/>
      <c r="AC75" s="267"/>
      <c r="AD75" s="9"/>
      <c r="AE75" s="90">
        <f>AE74+AE69</f>
        <v>43956</v>
      </c>
      <c r="AF75" s="83"/>
      <c r="AG75" s="150">
        <f>ROUND((AE75/AE$83)*100,1)</f>
        <v>89.5</v>
      </c>
      <c r="AH75" s="91"/>
      <c r="AI75" s="90">
        <f>AI74+AI69</f>
        <v>7447</v>
      </c>
      <c r="AJ75" s="83"/>
      <c r="AK75" s="150">
        <f>ROUND((AI75/AE75)*100,1)</f>
        <v>16.899999999999999</v>
      </c>
      <c r="AL75" s="8"/>
      <c r="AM75" s="90">
        <f>AM74+AM69</f>
        <v>0</v>
      </c>
      <c r="AN75" s="83"/>
      <c r="AO75" s="90">
        <f>AO74+AO69</f>
        <v>43956</v>
      </c>
      <c r="AP75" s="83"/>
      <c r="AQ75" s="164">
        <f>IF(AO75=0,"0.0 ",ROUND((AI75/AO75)*100,1))</f>
        <v>16.899999999999999</v>
      </c>
    </row>
    <row r="76" spans="1:43" ht="15.75" customHeight="1" x14ac:dyDescent="0.25">
      <c r="F76" s="379"/>
      <c r="H76" s="379"/>
      <c r="I76" s="379"/>
      <c r="J76" s="59"/>
      <c r="K76" s="59"/>
      <c r="L76" s="379"/>
      <c r="M76" s="379"/>
      <c r="N76" s="379"/>
      <c r="O76" s="379"/>
      <c r="P76" s="379"/>
      <c r="Q76" s="379"/>
      <c r="R76" s="379"/>
      <c r="T76" s="45"/>
      <c r="U76" s="378"/>
      <c r="V76" s="46"/>
      <c r="W76" s="378"/>
      <c r="X76" s="378"/>
      <c r="Y76" s="83"/>
      <c r="Z76" s="2"/>
      <c r="AA76" s="83"/>
      <c r="AB76" s="83"/>
      <c r="AC76" s="267"/>
      <c r="AD76" s="9"/>
      <c r="AE76" s="83"/>
      <c r="AF76" s="83"/>
      <c r="AG76" s="383"/>
      <c r="AH76" s="91"/>
      <c r="AI76" s="83"/>
      <c r="AJ76" s="83"/>
      <c r="AK76" s="383"/>
      <c r="AL76" s="8"/>
      <c r="AM76" s="83"/>
      <c r="AN76" s="83"/>
      <c r="AO76" s="83"/>
      <c r="AP76" s="83"/>
      <c r="AQ76" s="164"/>
    </row>
    <row r="77" spans="1:43" ht="15.75" customHeight="1" x14ac:dyDescent="0.25">
      <c r="F77" s="379"/>
      <c r="H77" s="379"/>
      <c r="I77" s="379"/>
      <c r="J77" s="59"/>
      <c r="K77" s="59"/>
      <c r="L77" s="379"/>
      <c r="M77" s="379"/>
      <c r="N77" s="379"/>
      <c r="O77" s="379"/>
      <c r="P77" s="379"/>
      <c r="Q77" s="379"/>
      <c r="R77" s="379"/>
      <c r="T77" s="45">
        <f>A33</f>
        <v>11</v>
      </c>
      <c r="U77" s="378"/>
      <c r="V77" s="222" t="s">
        <v>504</v>
      </c>
      <c r="W77" s="378"/>
      <c r="X77" s="378"/>
      <c r="Y77" s="83"/>
      <c r="Z77" s="2"/>
      <c r="AA77" s="83"/>
      <c r="AB77" s="83"/>
      <c r="AC77" s="267"/>
      <c r="AD77" s="9"/>
      <c r="AE77" s="83"/>
      <c r="AF77" s="83"/>
      <c r="AG77" s="383"/>
      <c r="AH77" s="91"/>
      <c r="AI77" s="83"/>
      <c r="AJ77" s="83"/>
      <c r="AK77" s="383"/>
      <c r="AL77" s="8"/>
      <c r="AM77" s="83"/>
      <c r="AN77" s="83"/>
      <c r="AO77" s="83"/>
      <c r="AP77" s="83"/>
      <c r="AQ77" s="164"/>
    </row>
    <row r="78" spans="1:43" ht="15.75" customHeight="1" x14ac:dyDescent="0.25">
      <c r="F78" s="379"/>
      <c r="H78" s="379"/>
      <c r="I78" s="379"/>
      <c r="J78" s="59"/>
      <c r="K78" s="59"/>
      <c r="L78" s="379"/>
      <c r="M78" s="379"/>
      <c r="N78" s="379"/>
      <c r="O78" s="379"/>
      <c r="P78" s="379"/>
      <c r="Q78" s="379"/>
      <c r="R78" s="379"/>
      <c r="T78" s="45">
        <f>A34</f>
        <v>12</v>
      </c>
      <c r="U78" s="378"/>
      <c r="V78" s="216" t="str">
        <f>C34</f>
        <v>DEMAND SIDE MANAGEMENT RIDER (DSMR)</v>
      </c>
      <c r="W78" s="378"/>
      <c r="X78" s="378"/>
      <c r="Y78" s="83"/>
      <c r="Z78" s="2"/>
      <c r="AA78" s="83"/>
      <c r="AB78" s="83"/>
      <c r="AC78" s="465">
        <f>DSM_DIST</f>
        <v>5.091E-3</v>
      </c>
      <c r="AD78" s="446"/>
      <c r="AE78" s="83">
        <f>ROUND($AA$75*AC78,0)</f>
        <v>4083</v>
      </c>
      <c r="AF78" s="83"/>
      <c r="AG78" s="149">
        <f>ROUND((AE78/AE$83)*100,1)</f>
        <v>8.3000000000000007</v>
      </c>
      <c r="AH78" s="91"/>
      <c r="AI78" s="5">
        <f>L34-AE78</f>
        <v>0</v>
      </c>
      <c r="AJ78" s="83"/>
      <c r="AK78" s="149">
        <f>IF(AE78=0,0,ROUND((AI78/AE78)*100,1))</f>
        <v>0</v>
      </c>
      <c r="AL78" s="8"/>
      <c r="AM78" s="83"/>
      <c r="AN78" s="83"/>
      <c r="AO78" s="5">
        <f t="shared" ref="AO78:AO80" si="3">AE78+AM78</f>
        <v>4083</v>
      </c>
      <c r="AP78" s="83"/>
      <c r="AQ78" s="164">
        <f t="shared" ref="AQ78:AQ81" si="4">IF(AO78=0,"0.0 ",ROUND((AI78/AO78)*100,1))</f>
        <v>0</v>
      </c>
    </row>
    <row r="79" spans="1:43" ht="15.75" customHeight="1" x14ac:dyDescent="0.25">
      <c r="F79" s="379"/>
      <c r="H79" s="379"/>
      <c r="I79" s="379"/>
      <c r="J79" s="59"/>
      <c r="K79" s="59"/>
      <c r="L79" s="379"/>
      <c r="M79" s="379"/>
      <c r="N79" s="379"/>
      <c r="O79" s="379"/>
      <c r="P79" s="379"/>
      <c r="Q79" s="379"/>
      <c r="R79" s="379"/>
      <c r="T79" s="45">
        <f>A35</f>
        <v>13</v>
      </c>
      <c r="U79" s="378"/>
      <c r="V79" s="216" t="str">
        <f>C35</f>
        <v>ENVIRONMENTAL SURCHARGE MECHANISM RIDER (ESM)</v>
      </c>
      <c r="W79" s="378"/>
      <c r="X79" s="378"/>
      <c r="Y79" s="83"/>
      <c r="Z79" s="2"/>
      <c r="AA79" s="83"/>
      <c r="AB79" s="83"/>
      <c r="AC79" s="473">
        <f>CUR_ESM_NONRES</f>
        <v>0.18160000000000001</v>
      </c>
      <c r="AD79" s="446"/>
      <c r="AE79" s="83">
        <f>ROUND(AO69*AC79,0)</f>
        <v>1196</v>
      </c>
      <c r="AF79" s="83"/>
      <c r="AG79" s="149">
        <f>ROUND((AE79/AE$83)*100,1)</f>
        <v>2.4</v>
      </c>
      <c r="AH79" s="91"/>
      <c r="AI79" s="5">
        <f>L35-AE79</f>
        <v>0</v>
      </c>
      <c r="AJ79" s="83"/>
      <c r="AK79" s="149">
        <f t="shared" ref="AK79:AK80" si="5">IF(AE79=0,0,ROUND((AI79/AE79)*100,1))</f>
        <v>0</v>
      </c>
      <c r="AL79" s="8"/>
      <c r="AM79" s="83"/>
      <c r="AN79" s="83"/>
      <c r="AO79" s="5">
        <f t="shared" ref="AO79" si="6">AE79+AM79</f>
        <v>1196</v>
      </c>
      <c r="AP79" s="83"/>
      <c r="AQ79" s="164">
        <f t="shared" si="4"/>
        <v>0</v>
      </c>
    </row>
    <row r="80" spans="1:43" ht="15.75" customHeight="1" x14ac:dyDescent="0.25">
      <c r="F80" s="379"/>
      <c r="H80" s="379"/>
      <c r="I80" s="379"/>
      <c r="J80" s="59"/>
      <c r="K80" s="59"/>
      <c r="L80" s="379"/>
      <c r="M80" s="379"/>
      <c r="N80" s="379"/>
      <c r="O80" s="379"/>
      <c r="P80" s="379"/>
      <c r="Q80" s="379"/>
      <c r="R80" s="379"/>
      <c r="T80" s="45">
        <f>A36</f>
        <v>14</v>
      </c>
      <c r="U80" s="378"/>
      <c r="V80" s="216" t="str">
        <f>C36</f>
        <v>PROFIT SHARING MECHANISM (PSM)</v>
      </c>
      <c r="W80" s="378"/>
      <c r="X80" s="378"/>
      <c r="Y80" s="83"/>
      <c r="Z80" s="2"/>
      <c r="AA80" s="83"/>
      <c r="AB80" s="83"/>
      <c r="AC80" s="465">
        <f>RS_PSM</f>
        <v>-1.63E-4</v>
      </c>
      <c r="AD80" s="446"/>
      <c r="AE80" s="81">
        <f>ROUND(AA75*RS_PSM,0)</f>
        <v>-131</v>
      </c>
      <c r="AF80" s="83"/>
      <c r="AG80" s="148">
        <f>ROUND((AE80/AE$83)*100,1)</f>
        <v>-0.3</v>
      </c>
      <c r="AH80" s="91"/>
      <c r="AI80" s="5">
        <f>L36-AE80</f>
        <v>0</v>
      </c>
      <c r="AJ80" s="83"/>
      <c r="AK80" s="148">
        <f t="shared" si="5"/>
        <v>0</v>
      </c>
      <c r="AL80" s="8"/>
      <c r="AM80" s="83"/>
      <c r="AN80" s="83"/>
      <c r="AO80" s="81">
        <f t="shared" si="3"/>
        <v>-131</v>
      </c>
      <c r="AP80" s="83"/>
      <c r="AQ80" s="164">
        <f t="shared" si="4"/>
        <v>0</v>
      </c>
    </row>
    <row r="81" spans="1:43" ht="20.100000000000001" customHeight="1" x14ac:dyDescent="0.25">
      <c r="F81" s="379"/>
      <c r="H81" s="379"/>
      <c r="I81" s="379"/>
      <c r="J81" s="59"/>
      <c r="K81" s="59"/>
      <c r="L81" s="379"/>
      <c r="M81" s="379"/>
      <c r="N81" s="379"/>
      <c r="O81" s="379"/>
      <c r="P81" s="379"/>
      <c r="Q81" s="379"/>
      <c r="R81" s="379"/>
      <c r="T81" s="45">
        <f>A37</f>
        <v>15</v>
      </c>
      <c r="U81" s="378"/>
      <c r="V81" s="222" t="s">
        <v>510</v>
      </c>
      <c r="W81" s="378"/>
      <c r="X81" s="378"/>
      <c r="Y81" s="81"/>
      <c r="Z81" s="2"/>
      <c r="AA81" s="81"/>
      <c r="AB81" s="83"/>
      <c r="AC81" s="9"/>
      <c r="AD81" s="9"/>
      <c r="AE81" s="90">
        <f>SUM(AE78:AE80)</f>
        <v>5148</v>
      </c>
      <c r="AF81" s="83"/>
      <c r="AG81" s="150">
        <f>ROUND((AE81/AE$83)*100,1)</f>
        <v>10.5</v>
      </c>
      <c r="AH81" s="91"/>
      <c r="AI81" s="90">
        <f>SUM(AI78:AI80)</f>
        <v>0</v>
      </c>
      <c r="AJ81" s="83"/>
      <c r="AK81" s="150">
        <f t="shared" ref="AK81" si="7">ROUND((AI81/AE81)*100,1)</f>
        <v>0</v>
      </c>
      <c r="AL81" s="8"/>
      <c r="AM81" s="90">
        <f>SUM(AM78:AM80)</f>
        <v>0</v>
      </c>
      <c r="AN81" s="83"/>
      <c r="AO81" s="90">
        <f>SUM(AO78:AO80)</f>
        <v>5148</v>
      </c>
      <c r="AP81" s="83"/>
      <c r="AQ81" s="164">
        <f t="shared" si="4"/>
        <v>0</v>
      </c>
    </row>
    <row r="82" spans="1:43" ht="15.75" customHeight="1" x14ac:dyDescent="0.25">
      <c r="F82" s="379"/>
      <c r="H82" s="379"/>
      <c r="I82" s="379"/>
      <c r="J82" s="59"/>
      <c r="K82" s="59"/>
      <c r="L82" s="379"/>
      <c r="M82" s="379"/>
      <c r="N82" s="379"/>
      <c r="O82" s="379"/>
      <c r="P82" s="379"/>
      <c r="Q82" s="379"/>
      <c r="R82" s="379"/>
      <c r="T82" s="45"/>
      <c r="U82" s="378"/>
      <c r="V82" s="222"/>
      <c r="W82" s="378"/>
      <c r="X82" s="378"/>
      <c r="Y82" s="83"/>
      <c r="Z82" s="2"/>
      <c r="AA82" s="83"/>
      <c r="AB82" s="83"/>
      <c r="AC82" s="9"/>
      <c r="AD82" s="9"/>
      <c r="AE82" s="83"/>
      <c r="AF82" s="83"/>
      <c r="AG82" s="383"/>
      <c r="AH82" s="91"/>
      <c r="AI82" s="83"/>
      <c r="AJ82" s="83"/>
      <c r="AK82" s="383"/>
      <c r="AL82" s="8"/>
      <c r="AM82" s="83"/>
      <c r="AN82" s="83"/>
      <c r="AO82" s="83"/>
      <c r="AP82" s="83"/>
      <c r="AQ82" s="164"/>
    </row>
    <row r="83" spans="1:43" ht="20.100000000000001" customHeight="1" thickBot="1" x14ac:dyDescent="0.3">
      <c r="T83" s="45">
        <f>A39</f>
        <v>16</v>
      </c>
      <c r="U83" s="378"/>
      <c r="V83" s="444" t="s">
        <v>534</v>
      </c>
      <c r="W83" s="378"/>
      <c r="X83" s="378"/>
      <c r="Y83" s="82">
        <f>Y75</f>
        <v>36</v>
      </c>
      <c r="Z83" s="2"/>
      <c r="AA83" s="82">
        <f>AA75</f>
        <v>801933</v>
      </c>
      <c r="AB83" s="83"/>
      <c r="AC83" s="9"/>
      <c r="AD83" s="9"/>
      <c r="AE83" s="82">
        <f>AE81+AE75</f>
        <v>49104</v>
      </c>
      <c r="AF83" s="83"/>
      <c r="AG83" s="151">
        <v>100</v>
      </c>
      <c r="AH83" s="91"/>
      <c r="AI83" s="82">
        <f>AI81+AI75</f>
        <v>7447</v>
      </c>
      <c r="AJ83" s="83"/>
      <c r="AK83" s="151">
        <f>ROUND((AI83/AE83)*100,1)</f>
        <v>15.2</v>
      </c>
      <c r="AL83" s="8"/>
      <c r="AM83" s="82">
        <f>AM81+AM75</f>
        <v>0</v>
      </c>
      <c r="AN83" s="83"/>
      <c r="AO83" s="82">
        <f>AO81+AO75</f>
        <v>49104</v>
      </c>
      <c r="AP83" s="5"/>
      <c r="AQ83" s="164">
        <f>IF(AO83=0,"0.0 ",ROUND((AI83/AO83)*100,1))</f>
        <v>15.2</v>
      </c>
    </row>
    <row r="84" spans="1:43" ht="16.5" thickTop="1" x14ac:dyDescent="0.25">
      <c r="T84" s="378"/>
      <c r="U84" s="378"/>
      <c r="V84" s="378"/>
      <c r="W84" s="378"/>
      <c r="X84" s="378"/>
      <c r="Y84" s="5"/>
      <c r="Z84" s="2"/>
      <c r="AA84" s="5"/>
      <c r="AB84" s="5"/>
      <c r="AC84" s="9"/>
      <c r="AD84" s="9"/>
      <c r="AE84" s="5"/>
      <c r="AF84" s="83"/>
      <c r="AG84" s="149"/>
      <c r="AH84" s="83"/>
      <c r="AI84" s="2"/>
      <c r="AJ84" s="2"/>
      <c r="AK84" s="147"/>
      <c r="AL84" s="2"/>
      <c r="AM84" s="2"/>
      <c r="AN84" s="84"/>
      <c r="AO84" s="2"/>
      <c r="AP84" s="2"/>
      <c r="AQ84" s="147"/>
    </row>
    <row r="85" spans="1:43" x14ac:dyDescent="0.25">
      <c r="L85" s="379"/>
      <c r="M85" s="379"/>
      <c r="N85" s="379"/>
      <c r="O85" s="379"/>
      <c r="P85" s="379"/>
      <c r="Q85" s="379"/>
      <c r="R85" s="379"/>
      <c r="T85" s="378"/>
      <c r="U85" s="378"/>
      <c r="V85" s="243" t="s">
        <v>61</v>
      </c>
      <c r="W85" s="378"/>
      <c r="X85" s="378"/>
      <c r="Y85" s="48"/>
      <c r="Z85" s="378"/>
      <c r="AA85" s="48"/>
      <c r="AB85" s="48"/>
      <c r="AC85" s="51"/>
      <c r="AD85" s="51"/>
      <c r="AE85" s="48"/>
      <c r="AF85" s="379"/>
      <c r="AG85" s="152"/>
      <c r="AH85" s="379"/>
      <c r="AI85" s="378"/>
      <c r="AJ85" s="378"/>
      <c r="AK85" s="143"/>
      <c r="AL85" s="378"/>
      <c r="AM85" s="378"/>
      <c r="AO85" s="378"/>
      <c r="AP85" s="378"/>
      <c r="AQ85" s="143"/>
    </row>
    <row r="86" spans="1:43" x14ac:dyDescent="0.25">
      <c r="T86" s="46"/>
      <c r="U86" s="378"/>
      <c r="V86" s="46"/>
      <c r="W86" s="378"/>
      <c r="X86" s="378"/>
      <c r="Y86" s="48"/>
      <c r="Z86" s="378"/>
      <c r="AA86" s="48"/>
      <c r="AB86" s="48"/>
      <c r="AC86" s="51"/>
      <c r="AD86" s="51"/>
      <c r="AE86" s="48"/>
      <c r="AF86" s="379"/>
      <c r="AG86" s="152"/>
      <c r="AH86" s="379"/>
      <c r="AI86" s="378"/>
      <c r="AJ86" s="378"/>
      <c r="AK86" s="143"/>
      <c r="AL86" s="378"/>
      <c r="AM86" s="378"/>
      <c r="AO86" s="378"/>
      <c r="AP86" s="378"/>
      <c r="AQ86" s="143"/>
    </row>
    <row r="87" spans="1:43" x14ac:dyDescent="0.25">
      <c r="J87" s="53"/>
      <c r="K87" s="53"/>
      <c r="Z87" s="53"/>
    </row>
    <row r="88" spans="1:43" x14ac:dyDescent="0.25">
      <c r="H88" s="54"/>
      <c r="I88" s="54"/>
      <c r="Y88" s="54"/>
    </row>
    <row r="89" spans="1:43" x14ac:dyDescent="0.25">
      <c r="J89" s="53"/>
      <c r="K89" s="53"/>
      <c r="Z89" s="53"/>
    </row>
    <row r="90" spans="1:43" x14ac:dyDescent="0.25">
      <c r="L90" s="54"/>
      <c r="M90" s="54"/>
      <c r="AA90" s="54"/>
      <c r="AB90" s="54"/>
    </row>
    <row r="91" spans="1:43" x14ac:dyDescent="0.25">
      <c r="A91" s="53"/>
      <c r="R91" s="54"/>
      <c r="AK91" s="161"/>
      <c r="AL91" s="54"/>
    </row>
    <row r="92" spans="1:43" x14ac:dyDescent="0.25">
      <c r="A92" s="53"/>
      <c r="R92" s="54"/>
      <c r="AK92" s="161"/>
      <c r="AL92" s="54"/>
    </row>
    <row r="93" spans="1:43" x14ac:dyDescent="0.25">
      <c r="A93" s="54"/>
      <c r="R93" s="54"/>
      <c r="AK93" s="161"/>
      <c r="AL93" s="54"/>
    </row>
    <row r="94" spans="1:43" x14ac:dyDescent="0.25">
      <c r="L94" s="54"/>
      <c r="M94" s="54"/>
      <c r="R94" s="53"/>
      <c r="AA94" s="54"/>
      <c r="AB94" s="54"/>
      <c r="AK94" s="156"/>
      <c r="AL94" s="53"/>
    </row>
    <row r="95" spans="1:43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154"/>
      <c r="AH95" s="55"/>
      <c r="AI95" s="55"/>
      <c r="AJ95" s="55"/>
      <c r="AK95" s="154"/>
      <c r="AL95" s="55"/>
      <c r="AM95" s="55"/>
      <c r="AN95" s="55"/>
    </row>
    <row r="96" spans="1:43" x14ac:dyDescent="0.25">
      <c r="L96" s="56"/>
      <c r="M96" s="56"/>
      <c r="N96" s="56"/>
      <c r="O96" s="56"/>
      <c r="R96" s="56"/>
      <c r="AA96" s="56"/>
      <c r="AB96" s="56"/>
      <c r="AC96" s="56"/>
      <c r="AD96" s="56"/>
      <c r="AE96" s="56"/>
      <c r="AF96" s="56"/>
      <c r="AG96" s="155"/>
      <c r="AH96" s="56"/>
      <c r="AK96" s="155"/>
      <c r="AL96" s="56"/>
      <c r="AM96" s="56"/>
      <c r="AN96" s="56"/>
    </row>
    <row r="97" spans="1:40" x14ac:dyDescent="0.25">
      <c r="L97" s="56"/>
      <c r="M97" s="56"/>
      <c r="N97" s="56"/>
      <c r="O97" s="56"/>
      <c r="R97" s="56"/>
      <c r="Z97" s="56"/>
      <c r="AA97" s="56"/>
      <c r="AB97" s="56"/>
      <c r="AC97" s="56"/>
      <c r="AD97" s="56"/>
      <c r="AE97" s="56"/>
      <c r="AF97" s="56"/>
      <c r="AG97" s="155"/>
      <c r="AH97" s="56"/>
      <c r="AK97" s="155"/>
      <c r="AL97" s="56"/>
      <c r="AM97" s="56"/>
      <c r="AN97" s="56"/>
    </row>
    <row r="98" spans="1:40" x14ac:dyDescent="0.25">
      <c r="A98" s="56"/>
      <c r="C98" s="56"/>
      <c r="D98" s="56"/>
      <c r="E98" s="56"/>
      <c r="F98" s="56"/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Z98" s="56"/>
      <c r="AA98" s="56"/>
      <c r="AB98" s="56"/>
      <c r="AC98" s="56"/>
      <c r="AD98" s="56"/>
      <c r="AE98" s="56"/>
      <c r="AF98" s="56"/>
      <c r="AG98" s="155"/>
      <c r="AH98" s="56"/>
      <c r="AI98" s="56"/>
      <c r="AJ98" s="56"/>
      <c r="AK98" s="155"/>
      <c r="AL98" s="56"/>
      <c r="AM98" s="56"/>
      <c r="AN98" s="56"/>
    </row>
    <row r="99" spans="1:40" x14ac:dyDescent="0.25">
      <c r="A99" s="56"/>
      <c r="C99" s="56"/>
      <c r="D99" s="56"/>
      <c r="E99" s="56"/>
      <c r="F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Y99" s="56"/>
      <c r="Z99" s="56"/>
      <c r="AA99" s="56"/>
      <c r="AB99" s="56"/>
      <c r="AC99" s="56"/>
      <c r="AD99" s="56"/>
      <c r="AE99" s="56"/>
      <c r="AF99" s="56"/>
      <c r="AG99" s="155"/>
      <c r="AH99" s="56"/>
      <c r="AI99" s="56"/>
      <c r="AJ99" s="56"/>
      <c r="AK99" s="155"/>
      <c r="AL99" s="56"/>
      <c r="AM99" s="56"/>
      <c r="AN99" s="56"/>
    </row>
    <row r="100" spans="1:40" x14ac:dyDescent="0.25">
      <c r="C100" s="56"/>
      <c r="D100" s="56"/>
      <c r="E100" s="56"/>
      <c r="F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Y100" s="56"/>
      <c r="Z100" s="56"/>
      <c r="AA100" s="56"/>
      <c r="AB100" s="56"/>
      <c r="AC100" s="56"/>
      <c r="AD100" s="56"/>
      <c r="AE100" s="56"/>
      <c r="AF100" s="56"/>
      <c r="AG100" s="155"/>
      <c r="AH100" s="56"/>
      <c r="AI100" s="56"/>
      <c r="AJ100" s="56"/>
      <c r="AK100" s="155"/>
      <c r="AL100" s="56"/>
      <c r="AM100" s="56"/>
      <c r="AN100" s="56"/>
    </row>
    <row r="101" spans="1:40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154"/>
      <c r="AH101" s="55"/>
      <c r="AI101" s="55"/>
      <c r="AJ101" s="55"/>
      <c r="AK101" s="154"/>
      <c r="AL101" s="55"/>
      <c r="AM101" s="55"/>
      <c r="AN101" s="55"/>
    </row>
    <row r="102" spans="1:40" x14ac:dyDescent="0.25"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Y102" s="56"/>
      <c r="Z102" s="56"/>
      <c r="AA102" s="56"/>
      <c r="AB102" s="56"/>
      <c r="AC102" s="56"/>
      <c r="AD102" s="56"/>
      <c r="AE102" s="56"/>
      <c r="AF102" s="56"/>
      <c r="AG102" s="155"/>
      <c r="AH102" s="56"/>
      <c r="AI102" s="56"/>
      <c r="AJ102" s="56"/>
      <c r="AK102" s="155"/>
      <c r="AL102" s="56"/>
      <c r="AM102" s="56"/>
      <c r="AN102" s="56"/>
    </row>
    <row r="103" spans="1:40" x14ac:dyDescent="0.25">
      <c r="A103" s="53"/>
      <c r="C103" s="54"/>
      <c r="D103" s="54"/>
      <c r="E103" s="54"/>
      <c r="T103" s="54"/>
      <c r="U103" s="54"/>
    </row>
    <row r="104" spans="1:40" x14ac:dyDescent="0.25">
      <c r="A104" s="53"/>
      <c r="C104" s="54"/>
      <c r="T104" s="54"/>
    </row>
    <row r="106" spans="1:40" x14ac:dyDescent="0.25">
      <c r="A106" s="53"/>
      <c r="C106" s="54"/>
      <c r="T106" s="54"/>
    </row>
    <row r="107" spans="1:40" x14ac:dyDescent="0.25">
      <c r="A107" s="53"/>
      <c r="C107" s="54"/>
      <c r="F107" s="449"/>
      <c r="H107" s="449"/>
      <c r="I107" s="449"/>
      <c r="J107" s="461"/>
      <c r="K107" s="461"/>
      <c r="L107" s="379"/>
      <c r="M107" s="379"/>
      <c r="N107" s="50"/>
      <c r="O107" s="50"/>
      <c r="P107" s="53"/>
      <c r="Q107" s="53"/>
      <c r="R107" s="379"/>
      <c r="T107" s="54"/>
      <c r="V107" s="379"/>
      <c r="Y107" s="449"/>
      <c r="Z107" s="461"/>
      <c r="AA107" s="379"/>
      <c r="AB107" s="379"/>
      <c r="AC107" s="50"/>
      <c r="AD107" s="50"/>
      <c r="AE107" s="379"/>
      <c r="AF107" s="379"/>
      <c r="AG107" s="474"/>
      <c r="AH107" s="475"/>
      <c r="AI107" s="53"/>
      <c r="AJ107" s="53"/>
      <c r="AK107" s="156"/>
      <c r="AL107" s="379"/>
      <c r="AM107" s="476"/>
      <c r="AN107" s="476"/>
    </row>
    <row r="108" spans="1:40" x14ac:dyDescent="0.25">
      <c r="A108" s="53"/>
      <c r="C108" s="54"/>
      <c r="F108" s="449"/>
      <c r="H108" s="449"/>
      <c r="I108" s="449"/>
      <c r="J108" s="461"/>
      <c r="K108" s="461"/>
      <c r="L108" s="379"/>
      <c r="M108" s="379"/>
      <c r="N108" s="50"/>
      <c r="O108" s="50"/>
      <c r="P108" s="53"/>
      <c r="Q108" s="53"/>
      <c r="R108" s="379"/>
      <c r="T108" s="54"/>
      <c r="V108" s="379"/>
      <c r="Y108" s="449"/>
      <c r="Z108" s="461"/>
      <c r="AA108" s="379"/>
      <c r="AB108" s="379"/>
      <c r="AC108" s="50"/>
      <c r="AD108" s="50"/>
      <c r="AE108" s="379"/>
      <c r="AF108" s="379"/>
      <c r="AG108" s="156"/>
      <c r="AH108" s="60"/>
      <c r="AI108" s="53"/>
      <c r="AJ108" s="53"/>
      <c r="AK108" s="156"/>
      <c r="AL108" s="379"/>
      <c r="AM108" s="50"/>
      <c r="AN108" s="50"/>
    </row>
    <row r="109" spans="1:40" x14ac:dyDescent="0.25">
      <c r="A109" s="53"/>
      <c r="C109" s="54"/>
      <c r="F109" s="449"/>
      <c r="H109" s="449"/>
      <c r="I109" s="449"/>
      <c r="J109" s="461"/>
      <c r="K109" s="461"/>
      <c r="L109" s="379"/>
      <c r="M109" s="379"/>
      <c r="N109" s="50"/>
      <c r="O109" s="50"/>
      <c r="P109" s="53"/>
      <c r="Q109" s="53"/>
      <c r="R109" s="379"/>
      <c r="T109" s="54"/>
      <c r="V109" s="379"/>
      <c r="Y109" s="449"/>
      <c r="Z109" s="461"/>
      <c r="AA109" s="379"/>
      <c r="AB109" s="379"/>
      <c r="AC109" s="50"/>
      <c r="AD109" s="50"/>
      <c r="AE109" s="379"/>
      <c r="AF109" s="379"/>
      <c r="AG109" s="156"/>
      <c r="AH109" s="60"/>
      <c r="AI109" s="53"/>
      <c r="AJ109" s="53"/>
      <c r="AK109" s="156"/>
      <c r="AL109" s="379"/>
      <c r="AM109" s="50"/>
      <c r="AN109" s="50"/>
    </row>
    <row r="110" spans="1:40" x14ac:dyDescent="0.25">
      <c r="F110" s="381"/>
      <c r="H110" s="379"/>
      <c r="I110" s="379"/>
      <c r="J110" s="464"/>
      <c r="K110" s="464"/>
      <c r="L110" s="381"/>
      <c r="M110" s="381"/>
      <c r="N110" s="381"/>
      <c r="O110" s="381"/>
      <c r="P110" s="381"/>
      <c r="Q110" s="381"/>
      <c r="R110" s="381"/>
      <c r="V110" s="381"/>
      <c r="Y110" s="379"/>
      <c r="Z110" s="464"/>
      <c r="AA110" s="381"/>
      <c r="AB110" s="381"/>
      <c r="AC110" s="381"/>
      <c r="AD110" s="381"/>
      <c r="AE110" s="381"/>
      <c r="AF110" s="381"/>
      <c r="AI110" s="381"/>
      <c r="AJ110" s="381"/>
      <c r="AK110" s="162"/>
      <c r="AL110" s="381"/>
      <c r="AM110" s="50"/>
      <c r="AN110" s="50"/>
    </row>
    <row r="111" spans="1:40" x14ac:dyDescent="0.25">
      <c r="A111" s="53"/>
      <c r="C111" s="54"/>
      <c r="F111" s="379"/>
      <c r="H111" s="379"/>
      <c r="I111" s="379"/>
      <c r="J111" s="464"/>
      <c r="K111" s="464"/>
      <c r="L111" s="379"/>
      <c r="M111" s="379"/>
      <c r="N111" s="50"/>
      <c r="O111" s="50"/>
      <c r="P111" s="379"/>
      <c r="Q111" s="379"/>
      <c r="R111" s="379"/>
      <c r="T111" s="54"/>
      <c r="V111" s="379"/>
      <c r="Y111" s="379"/>
      <c r="Z111" s="59"/>
      <c r="AA111" s="379"/>
      <c r="AB111" s="379"/>
      <c r="AC111" s="50"/>
      <c r="AD111" s="50"/>
      <c r="AE111" s="379"/>
      <c r="AF111" s="379"/>
      <c r="AG111" s="156"/>
      <c r="AH111" s="60"/>
      <c r="AI111" s="379"/>
      <c r="AJ111" s="379"/>
      <c r="AK111" s="156"/>
      <c r="AL111" s="379"/>
      <c r="AM111" s="50"/>
      <c r="AN111" s="50"/>
    </row>
    <row r="112" spans="1:40" x14ac:dyDescent="0.25">
      <c r="F112" s="381"/>
      <c r="H112" s="379"/>
      <c r="I112" s="379"/>
      <c r="J112" s="464"/>
      <c r="K112" s="464"/>
      <c r="L112" s="381"/>
      <c r="M112" s="381"/>
      <c r="N112" s="381"/>
      <c r="O112" s="381"/>
      <c r="P112" s="381"/>
      <c r="Q112" s="381"/>
      <c r="R112" s="381"/>
      <c r="V112" s="381"/>
      <c r="Y112" s="379"/>
      <c r="Z112" s="464"/>
      <c r="AA112" s="381"/>
      <c r="AB112" s="381"/>
      <c r="AC112" s="381"/>
      <c r="AD112" s="381"/>
      <c r="AE112" s="381"/>
      <c r="AF112" s="381"/>
      <c r="AI112" s="381"/>
      <c r="AJ112" s="381"/>
      <c r="AK112" s="162"/>
      <c r="AL112" s="381"/>
      <c r="AM112" s="50"/>
      <c r="AN112" s="50"/>
    </row>
    <row r="113" spans="1:40" x14ac:dyDescent="0.25">
      <c r="A113" s="53"/>
      <c r="C113" s="54"/>
      <c r="F113" s="449"/>
      <c r="H113" s="449"/>
      <c r="I113" s="449"/>
      <c r="J113" s="477"/>
      <c r="K113" s="477"/>
      <c r="L113" s="379"/>
      <c r="M113" s="379"/>
      <c r="N113" s="50"/>
      <c r="O113" s="50"/>
      <c r="P113" s="379"/>
      <c r="Q113" s="379"/>
      <c r="R113" s="379"/>
      <c r="S113" s="379"/>
      <c r="T113" s="54"/>
      <c r="V113" s="449"/>
      <c r="Y113" s="449"/>
      <c r="Z113" s="477"/>
      <c r="AA113" s="379"/>
      <c r="AB113" s="379"/>
      <c r="AC113" s="50"/>
      <c r="AD113" s="50"/>
      <c r="AE113" s="379"/>
      <c r="AF113" s="379"/>
      <c r="AG113" s="156"/>
      <c r="AH113" s="50"/>
      <c r="AI113" s="379"/>
      <c r="AJ113" s="379"/>
      <c r="AK113" s="156"/>
      <c r="AL113" s="379"/>
      <c r="AM113" s="50"/>
      <c r="AN113" s="50"/>
    </row>
    <row r="114" spans="1:40" x14ac:dyDescent="0.25">
      <c r="A114" s="53"/>
      <c r="C114" s="54"/>
      <c r="F114" s="449"/>
      <c r="H114" s="449"/>
      <c r="I114" s="449"/>
      <c r="J114" s="461"/>
      <c r="K114" s="461"/>
      <c r="L114" s="379"/>
      <c r="M114" s="379"/>
      <c r="N114" s="50"/>
      <c r="O114" s="50"/>
      <c r="P114" s="379"/>
      <c r="Q114" s="379"/>
      <c r="R114" s="379"/>
      <c r="T114" s="54"/>
      <c r="V114" s="449"/>
      <c r="Y114" s="379"/>
      <c r="Z114" s="461"/>
      <c r="AA114" s="379"/>
      <c r="AB114" s="379"/>
      <c r="AC114" s="50"/>
      <c r="AD114" s="50"/>
      <c r="AE114" s="379"/>
      <c r="AF114" s="379"/>
      <c r="AG114" s="156"/>
      <c r="AH114" s="60"/>
      <c r="AI114" s="379"/>
      <c r="AJ114" s="379"/>
      <c r="AK114" s="156"/>
      <c r="AL114" s="379"/>
      <c r="AM114" s="50"/>
      <c r="AN114" s="50"/>
    </row>
    <row r="115" spans="1:40" x14ac:dyDescent="0.25">
      <c r="A115" s="53"/>
      <c r="C115" s="54"/>
      <c r="F115" s="449"/>
      <c r="H115" s="449"/>
      <c r="I115" s="449"/>
      <c r="J115" s="461"/>
      <c r="K115" s="461"/>
      <c r="L115" s="379"/>
      <c r="M115" s="379"/>
      <c r="N115" s="50"/>
      <c r="O115" s="50"/>
      <c r="P115" s="379"/>
      <c r="Q115" s="379"/>
      <c r="R115" s="379"/>
      <c r="T115" s="54"/>
      <c r="V115" s="449"/>
      <c r="Y115" s="379"/>
      <c r="Z115" s="461"/>
      <c r="AA115" s="379"/>
      <c r="AB115" s="379"/>
      <c r="AC115" s="50"/>
      <c r="AD115" s="50"/>
      <c r="AE115" s="379"/>
      <c r="AF115" s="379"/>
      <c r="AG115" s="156"/>
      <c r="AH115" s="60"/>
      <c r="AI115" s="379"/>
      <c r="AJ115" s="379"/>
      <c r="AK115" s="156"/>
      <c r="AL115" s="379"/>
      <c r="AM115" s="50"/>
      <c r="AN115" s="50"/>
    </row>
    <row r="116" spans="1:40" x14ac:dyDescent="0.25">
      <c r="F116" s="379"/>
      <c r="H116" s="381"/>
      <c r="I116" s="381"/>
      <c r="J116" s="464"/>
      <c r="K116" s="464"/>
      <c r="L116" s="381"/>
      <c r="M116" s="381"/>
      <c r="N116" s="381"/>
      <c r="O116" s="381"/>
      <c r="P116" s="381"/>
      <c r="Q116" s="381"/>
      <c r="R116" s="381"/>
      <c r="V116" s="379"/>
      <c r="Y116" s="381"/>
      <c r="Z116" s="464"/>
      <c r="AA116" s="381"/>
      <c r="AB116" s="381"/>
      <c r="AC116" s="381"/>
      <c r="AD116" s="381"/>
      <c r="AE116" s="381"/>
      <c r="AF116" s="381"/>
      <c r="AI116" s="381"/>
      <c r="AJ116" s="381"/>
      <c r="AK116" s="162"/>
      <c r="AL116" s="381"/>
      <c r="AM116" s="50"/>
      <c r="AN116" s="50"/>
    </row>
    <row r="117" spans="1:40" x14ac:dyDescent="0.25">
      <c r="A117" s="53"/>
      <c r="C117" s="54"/>
      <c r="F117" s="379"/>
      <c r="H117" s="379"/>
      <c r="I117" s="379"/>
      <c r="J117" s="464"/>
      <c r="K117" s="464"/>
      <c r="L117" s="379"/>
      <c r="M117" s="379"/>
      <c r="N117" s="50"/>
      <c r="O117" s="50"/>
      <c r="P117" s="379"/>
      <c r="Q117" s="379"/>
      <c r="R117" s="379"/>
      <c r="T117" s="54"/>
      <c r="V117" s="379"/>
      <c r="Y117" s="379"/>
      <c r="Z117" s="464"/>
      <c r="AA117" s="379"/>
      <c r="AB117" s="379"/>
      <c r="AC117" s="50"/>
      <c r="AD117" s="50"/>
      <c r="AE117" s="379"/>
      <c r="AF117" s="379"/>
      <c r="AG117" s="156"/>
      <c r="AH117" s="60"/>
      <c r="AI117" s="379"/>
      <c r="AJ117" s="379"/>
      <c r="AK117" s="156"/>
      <c r="AL117" s="379"/>
      <c r="AM117" s="50"/>
      <c r="AN117" s="50"/>
    </row>
    <row r="118" spans="1:40" x14ac:dyDescent="0.25">
      <c r="F118" s="379"/>
      <c r="H118" s="381"/>
      <c r="I118" s="381"/>
      <c r="J118" s="464"/>
      <c r="K118" s="464"/>
      <c r="L118" s="381"/>
      <c r="M118" s="381"/>
      <c r="N118" s="381"/>
      <c r="O118" s="381"/>
      <c r="P118" s="381"/>
      <c r="Q118" s="381"/>
      <c r="R118" s="381"/>
      <c r="V118" s="379"/>
      <c r="Y118" s="381"/>
      <c r="Z118" s="464"/>
      <c r="AA118" s="381"/>
      <c r="AB118" s="381"/>
      <c r="AC118" s="381"/>
      <c r="AD118" s="381"/>
      <c r="AE118" s="381"/>
      <c r="AF118" s="381"/>
      <c r="AI118" s="381"/>
      <c r="AJ118" s="381"/>
      <c r="AK118" s="162"/>
      <c r="AL118" s="381"/>
      <c r="AM118" s="50"/>
      <c r="AN118" s="50"/>
    </row>
    <row r="119" spans="1:40" x14ac:dyDescent="0.25">
      <c r="A119" s="53"/>
      <c r="C119" s="54"/>
      <c r="F119" s="379"/>
      <c r="H119" s="379"/>
      <c r="I119" s="379"/>
      <c r="J119" s="464"/>
      <c r="K119" s="464"/>
      <c r="L119" s="379"/>
      <c r="M119" s="379"/>
      <c r="N119" s="379"/>
      <c r="O119" s="379"/>
      <c r="P119" s="379"/>
      <c r="Q119" s="379"/>
      <c r="R119" s="379"/>
      <c r="T119" s="54"/>
      <c r="V119" s="379"/>
      <c r="Y119" s="379"/>
      <c r="Z119" s="464"/>
      <c r="AA119" s="379"/>
      <c r="AB119" s="379"/>
      <c r="AC119" s="379"/>
      <c r="AD119" s="379"/>
      <c r="AE119" s="379"/>
      <c r="AF119" s="379"/>
      <c r="AG119" s="156"/>
      <c r="AH119" s="60"/>
      <c r="AI119" s="379"/>
      <c r="AJ119" s="379"/>
      <c r="AK119" s="156"/>
      <c r="AL119" s="379"/>
      <c r="AM119" s="50"/>
      <c r="AN119" s="50"/>
    </row>
    <row r="120" spans="1:40" x14ac:dyDescent="0.25">
      <c r="A120" s="53"/>
      <c r="C120" s="54"/>
      <c r="F120" s="379"/>
      <c r="H120" s="449"/>
      <c r="I120" s="449"/>
      <c r="J120" s="221"/>
      <c r="K120" s="221"/>
      <c r="L120" s="379"/>
      <c r="M120" s="379"/>
      <c r="N120" s="50"/>
      <c r="O120" s="50"/>
      <c r="P120" s="379"/>
      <c r="Q120" s="379"/>
      <c r="R120" s="379"/>
      <c r="T120" s="54"/>
      <c r="V120" s="379"/>
      <c r="Y120" s="379"/>
      <c r="Z120" s="221"/>
      <c r="AA120" s="379"/>
      <c r="AB120" s="379"/>
      <c r="AC120" s="50"/>
      <c r="AD120" s="50"/>
      <c r="AE120" s="379"/>
      <c r="AF120" s="379"/>
      <c r="AG120" s="156"/>
      <c r="AH120" s="60"/>
      <c r="AI120" s="379"/>
      <c r="AJ120" s="379"/>
      <c r="AK120" s="156"/>
      <c r="AL120" s="379"/>
      <c r="AM120" s="50"/>
      <c r="AN120" s="50"/>
    </row>
    <row r="121" spans="1:40" x14ac:dyDescent="0.25">
      <c r="A121" s="53"/>
      <c r="C121" s="54"/>
      <c r="H121" s="449"/>
      <c r="I121" s="449"/>
      <c r="J121" s="221"/>
      <c r="K121" s="221"/>
      <c r="L121" s="379"/>
      <c r="M121" s="379"/>
      <c r="N121" s="50"/>
      <c r="O121" s="50"/>
      <c r="P121" s="379"/>
      <c r="Q121" s="379"/>
      <c r="R121" s="379"/>
      <c r="T121" s="54"/>
      <c r="Y121" s="379"/>
      <c r="Z121" s="221"/>
      <c r="AA121" s="379"/>
      <c r="AB121" s="379"/>
      <c r="AC121" s="50"/>
      <c r="AD121" s="50"/>
      <c r="AE121" s="379"/>
      <c r="AF121" s="379"/>
      <c r="AG121" s="156"/>
      <c r="AH121" s="60"/>
      <c r="AI121" s="379"/>
      <c r="AJ121" s="379"/>
      <c r="AK121" s="156"/>
      <c r="AL121" s="379"/>
      <c r="AM121" s="50"/>
      <c r="AN121" s="50"/>
    </row>
    <row r="122" spans="1:40" x14ac:dyDescent="0.25">
      <c r="F122" s="379"/>
      <c r="H122" s="379"/>
      <c r="I122" s="379"/>
      <c r="J122" s="464"/>
      <c r="K122" s="464"/>
      <c r="L122" s="381"/>
      <c r="M122" s="381"/>
      <c r="N122" s="381"/>
      <c r="O122" s="381"/>
      <c r="P122" s="381"/>
      <c r="Q122" s="381"/>
      <c r="R122" s="381"/>
      <c r="V122" s="379"/>
      <c r="Y122" s="379"/>
      <c r="Z122" s="464"/>
      <c r="AA122" s="381"/>
      <c r="AB122" s="381"/>
      <c r="AC122" s="381"/>
      <c r="AD122" s="381"/>
      <c r="AE122" s="381"/>
      <c r="AF122" s="381"/>
      <c r="AI122" s="381"/>
      <c r="AJ122" s="381"/>
      <c r="AK122" s="162"/>
      <c r="AL122" s="381"/>
      <c r="AM122" s="50"/>
      <c r="AN122" s="50"/>
    </row>
    <row r="123" spans="1:40" x14ac:dyDescent="0.25">
      <c r="A123" s="53"/>
      <c r="C123" s="54"/>
      <c r="F123" s="379"/>
      <c r="H123" s="379"/>
      <c r="I123" s="379"/>
      <c r="J123" s="59"/>
      <c r="K123" s="59"/>
      <c r="L123" s="379"/>
      <c r="M123" s="379"/>
      <c r="N123" s="50"/>
      <c r="O123" s="50"/>
      <c r="P123" s="379"/>
      <c r="Q123" s="379"/>
      <c r="R123" s="379"/>
      <c r="T123" s="54"/>
      <c r="V123" s="379"/>
      <c r="Y123" s="379"/>
      <c r="Z123" s="59"/>
      <c r="AA123" s="379"/>
      <c r="AB123" s="379"/>
      <c r="AC123" s="50"/>
      <c r="AD123" s="50"/>
      <c r="AE123" s="379"/>
      <c r="AF123" s="379"/>
      <c r="AG123" s="156"/>
      <c r="AH123" s="60"/>
      <c r="AI123" s="379"/>
      <c r="AJ123" s="379"/>
      <c r="AK123" s="156"/>
      <c r="AL123" s="379"/>
      <c r="AM123" s="50"/>
      <c r="AN123" s="50"/>
    </row>
    <row r="124" spans="1:40" x14ac:dyDescent="0.25">
      <c r="F124" s="379"/>
      <c r="H124" s="379"/>
      <c r="I124" s="379"/>
      <c r="J124" s="464"/>
      <c r="K124" s="464"/>
      <c r="L124" s="381"/>
      <c r="M124" s="381"/>
      <c r="N124" s="381"/>
      <c r="O124" s="381"/>
      <c r="P124" s="381"/>
      <c r="Q124" s="381"/>
      <c r="R124" s="381"/>
      <c r="V124" s="379"/>
      <c r="Y124" s="379"/>
      <c r="Z124" s="464"/>
      <c r="AA124" s="381"/>
      <c r="AB124" s="381"/>
      <c r="AC124" s="381"/>
      <c r="AD124" s="381"/>
      <c r="AE124" s="381"/>
      <c r="AF124" s="381"/>
      <c r="AI124" s="381"/>
      <c r="AJ124" s="381"/>
      <c r="AK124" s="162"/>
      <c r="AL124" s="381"/>
      <c r="AM124" s="50"/>
      <c r="AN124" s="50"/>
    </row>
    <row r="125" spans="1:40" x14ac:dyDescent="0.25">
      <c r="A125" s="53"/>
      <c r="C125" s="54"/>
      <c r="F125" s="379"/>
      <c r="H125" s="379"/>
      <c r="I125" s="379"/>
      <c r="J125" s="59"/>
      <c r="K125" s="59"/>
      <c r="L125" s="379"/>
      <c r="M125" s="379"/>
      <c r="N125" s="50"/>
      <c r="O125" s="50"/>
      <c r="P125" s="379"/>
      <c r="Q125" s="379"/>
      <c r="R125" s="379"/>
      <c r="T125" s="54"/>
      <c r="V125" s="379"/>
      <c r="Y125" s="379"/>
      <c r="Z125" s="59"/>
      <c r="AA125" s="379"/>
      <c r="AB125" s="379"/>
      <c r="AC125" s="50"/>
      <c r="AD125" s="50"/>
      <c r="AE125" s="379"/>
      <c r="AF125" s="379"/>
      <c r="AG125" s="156"/>
      <c r="AH125" s="60"/>
      <c r="AI125" s="379"/>
      <c r="AJ125" s="379"/>
      <c r="AK125" s="156"/>
      <c r="AL125" s="379"/>
      <c r="AM125" s="50"/>
      <c r="AN125" s="50"/>
    </row>
    <row r="126" spans="1:40" x14ac:dyDescent="0.25">
      <c r="A126" s="53"/>
      <c r="C126" s="54"/>
      <c r="F126" s="379"/>
      <c r="H126" s="449"/>
      <c r="I126" s="449"/>
      <c r="J126" s="472"/>
      <c r="K126" s="472"/>
      <c r="L126" s="379"/>
      <c r="M126" s="379"/>
      <c r="N126" s="50"/>
      <c r="O126" s="50"/>
      <c r="P126" s="379"/>
      <c r="Q126" s="379"/>
      <c r="R126" s="379"/>
      <c r="T126" s="54"/>
      <c r="V126" s="449"/>
      <c r="Y126" s="379"/>
      <c r="Z126" s="472"/>
      <c r="AA126" s="379"/>
      <c r="AB126" s="379"/>
      <c r="AC126" s="50"/>
      <c r="AD126" s="50"/>
      <c r="AE126" s="379"/>
      <c r="AF126" s="379"/>
      <c r="AG126" s="156"/>
      <c r="AH126" s="60"/>
      <c r="AI126" s="379"/>
      <c r="AJ126" s="379"/>
      <c r="AK126" s="156"/>
      <c r="AL126" s="379"/>
      <c r="AM126" s="50"/>
      <c r="AN126" s="50"/>
    </row>
    <row r="127" spans="1:40" x14ac:dyDescent="0.25">
      <c r="F127" s="381"/>
      <c r="H127" s="381"/>
      <c r="I127" s="381"/>
      <c r="J127" s="464"/>
      <c r="K127" s="464"/>
      <c r="L127" s="381"/>
      <c r="M127" s="381"/>
      <c r="N127" s="381"/>
      <c r="O127" s="381"/>
      <c r="P127" s="381"/>
      <c r="Q127" s="381"/>
      <c r="R127" s="381"/>
      <c r="V127" s="381"/>
      <c r="Y127" s="381"/>
      <c r="Z127" s="464"/>
      <c r="AA127" s="381"/>
      <c r="AB127" s="381"/>
      <c r="AC127" s="381"/>
      <c r="AD127" s="381"/>
      <c r="AE127" s="381"/>
      <c r="AF127" s="381"/>
      <c r="AI127" s="381"/>
      <c r="AJ127" s="381"/>
      <c r="AK127" s="162"/>
      <c r="AL127" s="381"/>
      <c r="AM127" s="50"/>
      <c r="AN127" s="50"/>
    </row>
    <row r="128" spans="1:40" x14ac:dyDescent="0.25">
      <c r="A128" s="53"/>
      <c r="C128" s="54"/>
      <c r="F128" s="379"/>
      <c r="H128" s="379"/>
      <c r="I128" s="379"/>
      <c r="J128" s="464"/>
      <c r="K128" s="464"/>
      <c r="L128" s="379"/>
      <c r="M128" s="379"/>
      <c r="N128" s="50"/>
      <c r="O128" s="50"/>
      <c r="P128" s="379"/>
      <c r="Q128" s="379"/>
      <c r="R128" s="379"/>
      <c r="S128" s="379"/>
      <c r="T128" s="54"/>
      <c r="V128" s="379"/>
      <c r="Y128" s="379"/>
      <c r="Z128" s="464"/>
      <c r="AA128" s="379"/>
      <c r="AB128" s="379"/>
      <c r="AC128" s="50"/>
      <c r="AD128" s="50"/>
      <c r="AE128" s="379"/>
      <c r="AF128" s="379"/>
      <c r="AG128" s="156"/>
      <c r="AH128" s="50"/>
      <c r="AI128" s="379"/>
      <c r="AJ128" s="379"/>
      <c r="AK128" s="156"/>
      <c r="AL128" s="379"/>
      <c r="AM128" s="50"/>
      <c r="AN128" s="50"/>
    </row>
    <row r="129" spans="1:40" x14ac:dyDescent="0.25">
      <c r="F129" s="381"/>
      <c r="H129" s="381"/>
      <c r="I129" s="381"/>
      <c r="J129" s="464"/>
      <c r="K129" s="464"/>
      <c r="L129" s="381"/>
      <c r="M129" s="381"/>
      <c r="N129" s="381"/>
      <c r="O129" s="381"/>
      <c r="P129" s="381"/>
      <c r="Q129" s="381"/>
      <c r="R129" s="381"/>
      <c r="S129" s="379"/>
      <c r="V129" s="381"/>
      <c r="Y129" s="381"/>
      <c r="Z129" s="464"/>
      <c r="AA129" s="381"/>
      <c r="AB129" s="381"/>
      <c r="AC129" s="381"/>
      <c r="AD129" s="381"/>
      <c r="AE129" s="381"/>
      <c r="AF129" s="381"/>
      <c r="AI129" s="381"/>
      <c r="AJ129" s="381"/>
      <c r="AK129" s="162"/>
      <c r="AL129" s="381"/>
      <c r="AM129" s="50"/>
      <c r="AN129" s="50"/>
    </row>
    <row r="130" spans="1:40" x14ac:dyDescent="0.25">
      <c r="A130" s="53"/>
      <c r="C130" s="54"/>
      <c r="F130" s="449"/>
      <c r="H130" s="478"/>
      <c r="I130" s="478"/>
      <c r="J130" s="464"/>
      <c r="K130" s="464"/>
      <c r="L130" s="379"/>
      <c r="M130" s="379"/>
      <c r="N130" s="50"/>
      <c r="O130" s="50"/>
      <c r="P130" s="379"/>
      <c r="Q130" s="379"/>
      <c r="R130" s="379"/>
      <c r="S130" s="379"/>
      <c r="T130" s="54"/>
      <c r="V130" s="449"/>
      <c r="Y130" s="449"/>
      <c r="Z130" s="464"/>
      <c r="AA130" s="379"/>
      <c r="AB130" s="379"/>
      <c r="AC130" s="50"/>
      <c r="AD130" s="50"/>
      <c r="AE130" s="379"/>
      <c r="AF130" s="379"/>
      <c r="AI130" s="379"/>
      <c r="AJ130" s="379"/>
      <c r="AK130" s="156"/>
      <c r="AL130" s="379"/>
      <c r="AM130" s="50"/>
      <c r="AN130" s="50"/>
    </row>
    <row r="132" spans="1:40" x14ac:dyDescent="0.25">
      <c r="A132" s="53"/>
      <c r="C132" s="54"/>
      <c r="T132" s="54"/>
    </row>
    <row r="133" spans="1:40" x14ac:dyDescent="0.25">
      <c r="A133" s="53"/>
      <c r="C133" s="54"/>
      <c r="F133" s="449"/>
      <c r="H133" s="449"/>
      <c r="I133" s="449"/>
      <c r="J133" s="461"/>
      <c r="K133" s="461"/>
      <c r="L133" s="379"/>
      <c r="M133" s="379"/>
      <c r="N133" s="50"/>
      <c r="O133" s="50"/>
      <c r="P133" s="53"/>
      <c r="Q133" s="53"/>
      <c r="R133" s="379"/>
      <c r="T133" s="54"/>
      <c r="V133" s="379"/>
      <c r="Y133" s="449"/>
      <c r="Z133" s="461"/>
      <c r="AA133" s="379"/>
      <c r="AB133" s="379"/>
      <c r="AC133" s="50"/>
      <c r="AD133" s="50"/>
      <c r="AE133" s="379"/>
      <c r="AF133" s="379"/>
      <c r="AG133" s="474"/>
      <c r="AH133" s="475"/>
      <c r="AI133" s="53"/>
      <c r="AJ133" s="53"/>
      <c r="AK133" s="156"/>
      <c r="AL133" s="379"/>
      <c r="AM133" s="476"/>
      <c r="AN133" s="476"/>
    </row>
    <row r="134" spans="1:40" x14ac:dyDescent="0.25">
      <c r="A134" s="53"/>
      <c r="C134" s="54"/>
      <c r="F134" s="449"/>
      <c r="H134" s="449"/>
      <c r="I134" s="449"/>
      <c r="J134" s="461"/>
      <c r="K134" s="461"/>
      <c r="L134" s="379"/>
      <c r="M134" s="379"/>
      <c r="N134" s="50"/>
      <c r="O134" s="50"/>
      <c r="P134" s="53"/>
      <c r="Q134" s="53"/>
      <c r="R134" s="379"/>
      <c r="T134" s="54"/>
      <c r="V134" s="379"/>
      <c r="Y134" s="449"/>
      <c r="Z134" s="461"/>
      <c r="AA134" s="379"/>
      <c r="AB134" s="379"/>
      <c r="AC134" s="50"/>
      <c r="AD134" s="50"/>
      <c r="AE134" s="379"/>
      <c r="AF134" s="379"/>
      <c r="AG134" s="156"/>
      <c r="AH134" s="60"/>
      <c r="AI134" s="53"/>
      <c r="AJ134" s="53"/>
      <c r="AK134" s="156"/>
      <c r="AL134" s="379"/>
      <c r="AM134" s="50"/>
      <c r="AN134" s="50"/>
    </row>
    <row r="135" spans="1:40" x14ac:dyDescent="0.25">
      <c r="A135" s="53"/>
      <c r="C135" s="54"/>
      <c r="F135" s="449"/>
      <c r="H135" s="449"/>
      <c r="I135" s="449"/>
      <c r="J135" s="461"/>
      <c r="K135" s="461"/>
      <c r="L135" s="379"/>
      <c r="M135" s="379"/>
      <c r="N135" s="50"/>
      <c r="O135" s="50"/>
      <c r="P135" s="53"/>
      <c r="Q135" s="53"/>
      <c r="R135" s="379"/>
      <c r="T135" s="54"/>
      <c r="V135" s="379"/>
      <c r="Y135" s="449"/>
      <c r="Z135" s="461"/>
      <c r="AA135" s="379"/>
      <c r="AB135" s="379"/>
      <c r="AC135" s="50"/>
      <c r="AD135" s="50"/>
      <c r="AE135" s="379"/>
      <c r="AF135" s="379"/>
      <c r="AG135" s="156"/>
      <c r="AH135" s="60"/>
      <c r="AI135" s="53"/>
      <c r="AJ135" s="53"/>
      <c r="AK135" s="156"/>
      <c r="AL135" s="379"/>
      <c r="AM135" s="50"/>
      <c r="AN135" s="50"/>
    </row>
    <row r="136" spans="1:40" x14ac:dyDescent="0.25">
      <c r="F136" s="381"/>
      <c r="H136" s="379"/>
      <c r="I136" s="379"/>
      <c r="J136" s="464"/>
      <c r="K136" s="464"/>
      <c r="L136" s="381"/>
      <c r="M136" s="381"/>
      <c r="N136" s="381"/>
      <c r="O136" s="381"/>
      <c r="P136" s="381"/>
      <c r="Q136" s="381"/>
      <c r="R136" s="381"/>
      <c r="V136" s="381"/>
      <c r="Y136" s="379"/>
      <c r="Z136" s="464"/>
      <c r="AA136" s="381"/>
      <c r="AB136" s="381"/>
      <c r="AC136" s="381"/>
      <c r="AD136" s="381"/>
      <c r="AE136" s="381"/>
      <c r="AF136" s="381"/>
      <c r="AI136" s="381"/>
      <c r="AJ136" s="381"/>
      <c r="AK136" s="162"/>
      <c r="AL136" s="381"/>
      <c r="AM136" s="50"/>
      <c r="AN136" s="50"/>
    </row>
    <row r="137" spans="1:40" x14ac:dyDescent="0.25">
      <c r="A137" s="53"/>
      <c r="C137" s="54"/>
      <c r="F137" s="379"/>
      <c r="H137" s="379"/>
      <c r="I137" s="379"/>
      <c r="J137" s="464"/>
      <c r="K137" s="464"/>
      <c r="L137" s="379"/>
      <c r="M137" s="379"/>
      <c r="N137" s="50"/>
      <c r="O137" s="50"/>
      <c r="P137" s="379"/>
      <c r="Q137" s="379"/>
      <c r="R137" s="379"/>
      <c r="T137" s="54"/>
      <c r="V137" s="379"/>
      <c r="Y137" s="379"/>
      <c r="Z137" s="464"/>
      <c r="AA137" s="379"/>
      <c r="AB137" s="379"/>
      <c r="AC137" s="50"/>
      <c r="AD137" s="50"/>
      <c r="AE137" s="379"/>
      <c r="AF137" s="379"/>
      <c r="AG137" s="156"/>
      <c r="AH137" s="60"/>
      <c r="AI137" s="379"/>
      <c r="AJ137" s="379"/>
      <c r="AK137" s="156"/>
      <c r="AL137" s="379"/>
      <c r="AM137" s="50"/>
      <c r="AN137" s="50"/>
    </row>
    <row r="138" spans="1:40" x14ac:dyDescent="0.25">
      <c r="F138" s="381"/>
      <c r="H138" s="379"/>
      <c r="I138" s="379"/>
      <c r="J138" s="464"/>
      <c r="K138" s="464"/>
      <c r="L138" s="381"/>
      <c r="M138" s="381"/>
      <c r="N138" s="381"/>
      <c r="O138" s="381"/>
      <c r="P138" s="381"/>
      <c r="Q138" s="381"/>
      <c r="R138" s="381"/>
      <c r="V138" s="381"/>
      <c r="Y138" s="379"/>
      <c r="Z138" s="464"/>
      <c r="AA138" s="381"/>
      <c r="AB138" s="381"/>
      <c r="AC138" s="381"/>
      <c r="AD138" s="381"/>
      <c r="AE138" s="381"/>
      <c r="AF138" s="381"/>
      <c r="AI138" s="381"/>
      <c r="AJ138" s="381"/>
      <c r="AK138" s="162"/>
      <c r="AL138" s="381"/>
      <c r="AM138" s="50"/>
      <c r="AN138" s="50"/>
    </row>
    <row r="139" spans="1:40" x14ac:dyDescent="0.25">
      <c r="A139" s="53"/>
      <c r="C139" s="54"/>
      <c r="F139" s="449"/>
      <c r="H139" s="449"/>
      <c r="I139" s="449"/>
      <c r="J139" s="477"/>
      <c r="K139" s="477"/>
      <c r="L139" s="379"/>
      <c r="M139" s="379"/>
      <c r="N139" s="50"/>
      <c r="O139" s="50"/>
      <c r="P139" s="379"/>
      <c r="Q139" s="379"/>
      <c r="R139" s="379"/>
      <c r="S139" s="379"/>
      <c r="T139" s="54"/>
      <c r="V139" s="449"/>
      <c r="Y139" s="449"/>
      <c r="Z139" s="477"/>
      <c r="AA139" s="379"/>
      <c r="AB139" s="379"/>
      <c r="AC139" s="50"/>
      <c r="AD139" s="50"/>
      <c r="AE139" s="379"/>
      <c r="AF139" s="379"/>
      <c r="AG139" s="156"/>
      <c r="AH139" s="50"/>
      <c r="AI139" s="379"/>
      <c r="AJ139" s="379"/>
      <c r="AK139" s="156"/>
      <c r="AL139" s="379"/>
      <c r="AM139" s="50"/>
      <c r="AN139" s="50"/>
    </row>
    <row r="140" spans="1:40" x14ac:dyDescent="0.25">
      <c r="A140" s="53"/>
      <c r="C140" s="54"/>
      <c r="F140" s="449"/>
      <c r="H140" s="449"/>
      <c r="I140" s="449"/>
      <c r="J140" s="461"/>
      <c r="K140" s="461"/>
      <c r="L140" s="379"/>
      <c r="M140" s="379"/>
      <c r="N140" s="50"/>
      <c r="O140" s="50"/>
      <c r="P140" s="379"/>
      <c r="Q140" s="379"/>
      <c r="R140" s="379"/>
      <c r="T140" s="54"/>
      <c r="V140" s="449"/>
      <c r="Y140" s="379"/>
      <c r="Z140" s="461"/>
      <c r="AA140" s="379"/>
      <c r="AB140" s="379"/>
      <c r="AC140" s="50"/>
      <c r="AD140" s="50"/>
      <c r="AE140" s="379"/>
      <c r="AF140" s="379"/>
      <c r="AG140" s="156"/>
      <c r="AH140" s="60"/>
      <c r="AI140" s="379"/>
      <c r="AJ140" s="379"/>
      <c r="AK140" s="156"/>
      <c r="AL140" s="379"/>
      <c r="AM140" s="50"/>
      <c r="AN140" s="50"/>
    </row>
    <row r="141" spans="1:40" x14ac:dyDescent="0.25">
      <c r="A141" s="53"/>
      <c r="C141" s="54"/>
      <c r="F141" s="449"/>
      <c r="H141" s="449"/>
      <c r="I141" s="449"/>
      <c r="J141" s="461"/>
      <c r="K141" s="461"/>
      <c r="L141" s="379"/>
      <c r="M141" s="379"/>
      <c r="N141" s="50"/>
      <c r="O141" s="50"/>
      <c r="P141" s="379"/>
      <c r="Q141" s="379"/>
      <c r="R141" s="379"/>
      <c r="T141" s="54"/>
      <c r="V141" s="449"/>
      <c r="Y141" s="379"/>
      <c r="Z141" s="461"/>
      <c r="AA141" s="379"/>
      <c r="AB141" s="379"/>
      <c r="AC141" s="50"/>
      <c r="AD141" s="50"/>
      <c r="AE141" s="379"/>
      <c r="AF141" s="379"/>
      <c r="AG141" s="156"/>
      <c r="AH141" s="60"/>
      <c r="AI141" s="379"/>
      <c r="AJ141" s="379"/>
      <c r="AK141" s="156"/>
      <c r="AL141" s="379"/>
      <c r="AM141" s="50"/>
      <c r="AN141" s="50"/>
    </row>
    <row r="142" spans="1:40" x14ac:dyDescent="0.25">
      <c r="F142" s="379"/>
      <c r="H142" s="381"/>
      <c r="I142" s="381"/>
      <c r="J142" s="464"/>
      <c r="K142" s="464"/>
      <c r="L142" s="381"/>
      <c r="M142" s="381"/>
      <c r="N142" s="381"/>
      <c r="O142" s="381"/>
      <c r="P142" s="381"/>
      <c r="Q142" s="381"/>
      <c r="R142" s="381"/>
      <c r="V142" s="379"/>
      <c r="Y142" s="381"/>
      <c r="Z142" s="464"/>
      <c r="AA142" s="381"/>
      <c r="AB142" s="381"/>
      <c r="AC142" s="381"/>
      <c r="AD142" s="381"/>
      <c r="AE142" s="381"/>
      <c r="AF142" s="381"/>
      <c r="AI142" s="381"/>
      <c r="AJ142" s="381"/>
      <c r="AK142" s="162"/>
      <c r="AL142" s="381"/>
      <c r="AM142" s="50"/>
      <c r="AN142" s="50"/>
    </row>
    <row r="143" spans="1:40" x14ac:dyDescent="0.25">
      <c r="A143" s="53"/>
      <c r="C143" s="54"/>
      <c r="F143" s="379"/>
      <c r="H143" s="379"/>
      <c r="I143" s="379"/>
      <c r="J143" s="464"/>
      <c r="K143" s="464"/>
      <c r="L143" s="379"/>
      <c r="M143" s="379"/>
      <c r="N143" s="50"/>
      <c r="O143" s="50"/>
      <c r="P143" s="379"/>
      <c r="Q143" s="379"/>
      <c r="R143" s="379"/>
      <c r="T143" s="54"/>
      <c r="V143" s="379"/>
      <c r="Y143" s="379"/>
      <c r="Z143" s="464"/>
      <c r="AA143" s="379"/>
      <c r="AB143" s="379"/>
      <c r="AC143" s="50"/>
      <c r="AD143" s="50"/>
      <c r="AE143" s="379"/>
      <c r="AF143" s="379"/>
      <c r="AG143" s="156"/>
      <c r="AH143" s="60"/>
      <c r="AI143" s="379"/>
      <c r="AJ143" s="379"/>
      <c r="AK143" s="156"/>
      <c r="AL143" s="379"/>
      <c r="AM143" s="50"/>
      <c r="AN143" s="50"/>
    </row>
    <row r="144" spans="1:40" x14ac:dyDescent="0.25">
      <c r="F144" s="379"/>
      <c r="H144" s="381"/>
      <c r="I144" s="381"/>
      <c r="J144" s="464"/>
      <c r="K144" s="464"/>
      <c r="L144" s="381"/>
      <c r="M144" s="381"/>
      <c r="N144" s="381"/>
      <c r="O144" s="381"/>
      <c r="P144" s="381"/>
      <c r="Q144" s="381"/>
      <c r="R144" s="381"/>
      <c r="V144" s="379"/>
      <c r="Y144" s="381"/>
      <c r="Z144" s="464"/>
      <c r="AA144" s="381"/>
      <c r="AB144" s="381"/>
      <c r="AC144" s="381"/>
      <c r="AD144" s="381"/>
      <c r="AE144" s="381"/>
      <c r="AF144" s="381"/>
      <c r="AI144" s="381"/>
      <c r="AJ144" s="381"/>
      <c r="AK144" s="162"/>
      <c r="AL144" s="381"/>
      <c r="AM144" s="50"/>
      <c r="AN144" s="50"/>
    </row>
    <row r="145" spans="1:40" x14ac:dyDescent="0.25">
      <c r="A145" s="53"/>
      <c r="C145" s="54"/>
      <c r="F145" s="379"/>
      <c r="H145" s="379"/>
      <c r="I145" s="379"/>
      <c r="J145" s="464"/>
      <c r="K145" s="464"/>
      <c r="L145" s="379"/>
      <c r="M145" s="379"/>
      <c r="N145" s="379"/>
      <c r="O145" s="379"/>
      <c r="P145" s="379"/>
      <c r="Q145" s="379"/>
      <c r="R145" s="379"/>
      <c r="T145" s="54"/>
      <c r="V145" s="379"/>
      <c r="Y145" s="379"/>
      <c r="Z145" s="464"/>
      <c r="AA145" s="379"/>
      <c r="AB145" s="379"/>
      <c r="AC145" s="379"/>
      <c r="AD145" s="379"/>
      <c r="AE145" s="379"/>
      <c r="AF145" s="379"/>
      <c r="AG145" s="156"/>
      <c r="AH145" s="60"/>
      <c r="AI145" s="379"/>
      <c r="AJ145" s="379"/>
      <c r="AK145" s="156"/>
      <c r="AL145" s="379"/>
      <c r="AM145" s="50"/>
      <c r="AN145" s="50"/>
    </row>
    <row r="146" spans="1:40" x14ac:dyDescent="0.25">
      <c r="A146" s="53"/>
      <c r="C146" s="54"/>
      <c r="F146" s="379"/>
      <c r="H146" s="449"/>
      <c r="I146" s="449"/>
      <c r="J146" s="221"/>
      <c r="K146" s="221"/>
      <c r="L146" s="379"/>
      <c r="M146" s="379"/>
      <c r="N146" s="50"/>
      <c r="O146" s="50"/>
      <c r="P146" s="379"/>
      <c r="Q146" s="379"/>
      <c r="R146" s="379"/>
      <c r="T146" s="54"/>
      <c r="V146" s="379"/>
      <c r="Y146" s="379"/>
      <c r="Z146" s="221"/>
      <c r="AA146" s="379"/>
      <c r="AB146" s="379"/>
      <c r="AC146" s="50"/>
      <c r="AD146" s="50"/>
      <c r="AE146" s="379"/>
      <c r="AF146" s="379"/>
      <c r="AG146" s="156"/>
      <c r="AH146" s="60"/>
      <c r="AI146" s="379"/>
      <c r="AJ146" s="379"/>
      <c r="AK146" s="156"/>
      <c r="AL146" s="379"/>
      <c r="AM146" s="50"/>
      <c r="AN146" s="50"/>
    </row>
    <row r="147" spans="1:40" x14ac:dyDescent="0.25">
      <c r="A147" s="53"/>
      <c r="C147" s="54"/>
      <c r="H147" s="449"/>
      <c r="I147" s="449"/>
      <c r="J147" s="221"/>
      <c r="K147" s="221"/>
      <c r="L147" s="379"/>
      <c r="M147" s="379"/>
      <c r="N147" s="50"/>
      <c r="O147" s="50"/>
      <c r="P147" s="379"/>
      <c r="Q147" s="379"/>
      <c r="R147" s="379"/>
      <c r="T147" s="54"/>
      <c r="Y147" s="379"/>
      <c r="Z147" s="221"/>
      <c r="AA147" s="379"/>
      <c r="AB147" s="379"/>
      <c r="AC147" s="50"/>
      <c r="AD147" s="50"/>
      <c r="AE147" s="379"/>
      <c r="AF147" s="379"/>
      <c r="AG147" s="156"/>
      <c r="AH147" s="60"/>
      <c r="AI147" s="379"/>
      <c r="AJ147" s="379"/>
      <c r="AK147" s="156"/>
      <c r="AL147" s="379"/>
      <c r="AM147" s="50"/>
      <c r="AN147" s="50"/>
    </row>
    <row r="148" spans="1:40" x14ac:dyDescent="0.25">
      <c r="F148" s="379"/>
      <c r="H148" s="379"/>
      <c r="I148" s="379"/>
      <c r="J148" s="464"/>
      <c r="K148" s="464"/>
      <c r="L148" s="381"/>
      <c r="M148" s="381"/>
      <c r="N148" s="381"/>
      <c r="O148" s="381"/>
      <c r="P148" s="381"/>
      <c r="Q148" s="381"/>
      <c r="R148" s="381"/>
      <c r="V148" s="379"/>
      <c r="Y148" s="379"/>
      <c r="Z148" s="464"/>
      <c r="AA148" s="381"/>
      <c r="AB148" s="381"/>
      <c r="AC148" s="381"/>
      <c r="AD148" s="381"/>
      <c r="AE148" s="381"/>
      <c r="AF148" s="381"/>
      <c r="AI148" s="381"/>
      <c r="AJ148" s="381"/>
      <c r="AK148" s="162"/>
      <c r="AL148" s="381"/>
      <c r="AM148" s="50"/>
      <c r="AN148" s="50"/>
    </row>
    <row r="149" spans="1:40" x14ac:dyDescent="0.25">
      <c r="A149" s="53"/>
      <c r="C149" s="54"/>
      <c r="F149" s="379"/>
      <c r="H149" s="379"/>
      <c r="I149" s="379"/>
      <c r="J149" s="59"/>
      <c r="K149" s="59"/>
      <c r="L149" s="379"/>
      <c r="M149" s="379"/>
      <c r="N149" s="50"/>
      <c r="O149" s="50"/>
      <c r="P149" s="379"/>
      <c r="Q149" s="379"/>
      <c r="R149" s="379"/>
      <c r="T149" s="54"/>
      <c r="V149" s="379"/>
      <c r="Y149" s="379"/>
      <c r="Z149" s="59"/>
      <c r="AA149" s="379"/>
      <c r="AB149" s="379"/>
      <c r="AC149" s="50"/>
      <c r="AD149" s="50"/>
      <c r="AE149" s="379"/>
      <c r="AF149" s="379"/>
      <c r="AG149" s="156"/>
      <c r="AH149" s="60"/>
      <c r="AI149" s="379"/>
      <c r="AJ149" s="379"/>
      <c r="AK149" s="156"/>
      <c r="AL149" s="379"/>
      <c r="AM149" s="50"/>
      <c r="AN149" s="50"/>
    </row>
    <row r="150" spans="1:40" x14ac:dyDescent="0.25">
      <c r="F150" s="379"/>
      <c r="H150" s="379"/>
      <c r="I150" s="379"/>
      <c r="J150" s="464"/>
      <c r="K150" s="464"/>
      <c r="L150" s="381"/>
      <c r="M150" s="381"/>
      <c r="N150" s="381"/>
      <c r="O150" s="381"/>
      <c r="P150" s="381"/>
      <c r="Q150" s="381"/>
      <c r="R150" s="381"/>
      <c r="V150" s="379"/>
      <c r="Y150" s="379"/>
      <c r="Z150" s="464"/>
      <c r="AA150" s="381"/>
      <c r="AB150" s="381"/>
      <c r="AC150" s="381"/>
      <c r="AD150" s="381"/>
      <c r="AE150" s="381"/>
      <c r="AF150" s="381"/>
      <c r="AI150" s="381"/>
      <c r="AJ150" s="381"/>
      <c r="AK150" s="162"/>
      <c r="AL150" s="381"/>
      <c r="AM150" s="50"/>
      <c r="AN150" s="50"/>
    </row>
    <row r="151" spans="1:40" x14ac:dyDescent="0.25">
      <c r="A151" s="53"/>
      <c r="C151" s="54"/>
      <c r="F151" s="379"/>
      <c r="H151" s="379"/>
      <c r="I151" s="379"/>
      <c r="J151" s="59"/>
      <c r="K151" s="59"/>
      <c r="L151" s="379"/>
      <c r="M151" s="379"/>
      <c r="N151" s="50"/>
      <c r="O151" s="50"/>
      <c r="P151" s="379"/>
      <c r="Q151" s="379"/>
      <c r="R151" s="379"/>
      <c r="T151" s="54"/>
      <c r="V151" s="379"/>
      <c r="Y151" s="379"/>
      <c r="Z151" s="59"/>
      <c r="AA151" s="379"/>
      <c r="AB151" s="379"/>
      <c r="AC151" s="50"/>
      <c r="AD151" s="50"/>
      <c r="AE151" s="379"/>
      <c r="AF151" s="379"/>
      <c r="AG151" s="156"/>
      <c r="AH151" s="60"/>
      <c r="AI151" s="379"/>
      <c r="AJ151" s="379"/>
      <c r="AK151" s="156"/>
      <c r="AL151" s="379"/>
      <c r="AM151" s="50"/>
      <c r="AN151" s="50"/>
    </row>
    <row r="152" spans="1:40" x14ac:dyDescent="0.25">
      <c r="A152" s="53"/>
      <c r="C152" s="54"/>
      <c r="F152" s="449"/>
      <c r="H152" s="449"/>
      <c r="I152" s="449"/>
      <c r="J152" s="472"/>
      <c r="K152" s="472"/>
      <c r="L152" s="379"/>
      <c r="M152" s="379"/>
      <c r="N152" s="50"/>
      <c r="O152" s="50"/>
      <c r="P152" s="379"/>
      <c r="Q152" s="379"/>
      <c r="R152" s="379"/>
      <c r="T152" s="54"/>
      <c r="V152" s="449"/>
      <c r="Y152" s="379"/>
      <c r="Z152" s="472"/>
      <c r="AA152" s="379"/>
      <c r="AB152" s="379"/>
      <c r="AC152" s="50"/>
      <c r="AD152" s="50"/>
      <c r="AE152" s="379"/>
      <c r="AF152" s="379"/>
      <c r="AG152" s="156"/>
      <c r="AH152" s="60"/>
      <c r="AI152" s="379"/>
      <c r="AJ152" s="379"/>
      <c r="AK152" s="156"/>
      <c r="AL152" s="379"/>
      <c r="AM152" s="50"/>
      <c r="AN152" s="50"/>
    </row>
    <row r="153" spans="1:40" x14ac:dyDescent="0.25">
      <c r="F153" s="381"/>
      <c r="H153" s="381"/>
      <c r="I153" s="381"/>
      <c r="J153" s="464"/>
      <c r="K153" s="464"/>
      <c r="L153" s="381"/>
      <c r="M153" s="381"/>
      <c r="N153" s="381"/>
      <c r="O153" s="381"/>
      <c r="P153" s="381"/>
      <c r="Q153" s="381"/>
      <c r="R153" s="381"/>
      <c r="V153" s="381"/>
      <c r="Y153" s="381"/>
      <c r="Z153" s="464"/>
      <c r="AA153" s="381"/>
      <c r="AB153" s="381"/>
      <c r="AC153" s="381"/>
      <c r="AD153" s="381"/>
      <c r="AE153" s="381"/>
      <c r="AF153" s="381"/>
      <c r="AI153" s="381"/>
      <c r="AJ153" s="381"/>
      <c r="AK153" s="162"/>
      <c r="AL153" s="381"/>
      <c r="AM153" s="50"/>
      <c r="AN153" s="50"/>
    </row>
    <row r="154" spans="1:40" x14ac:dyDescent="0.25">
      <c r="A154" s="53"/>
      <c r="C154" s="54"/>
      <c r="F154" s="379"/>
      <c r="H154" s="379"/>
      <c r="I154" s="379"/>
      <c r="J154" s="464"/>
      <c r="K154" s="464"/>
      <c r="L154" s="379"/>
      <c r="M154" s="379"/>
      <c r="N154" s="50"/>
      <c r="O154" s="50"/>
      <c r="P154" s="379"/>
      <c r="Q154" s="379"/>
      <c r="R154" s="379"/>
      <c r="S154" s="379"/>
      <c r="T154" s="54"/>
      <c r="V154" s="379"/>
      <c r="Y154" s="379"/>
      <c r="Z154" s="464"/>
      <c r="AA154" s="379"/>
      <c r="AB154" s="379"/>
      <c r="AC154" s="50"/>
      <c r="AD154" s="50"/>
      <c r="AE154" s="379"/>
      <c r="AF154" s="379"/>
      <c r="AG154" s="156"/>
      <c r="AH154" s="50"/>
      <c r="AI154" s="379"/>
      <c r="AJ154" s="379"/>
      <c r="AK154" s="156"/>
      <c r="AL154" s="379"/>
      <c r="AM154" s="50"/>
      <c r="AN154" s="50"/>
    </row>
    <row r="155" spans="1:40" x14ac:dyDescent="0.25">
      <c r="F155" s="381"/>
      <c r="H155" s="381"/>
      <c r="I155" s="381"/>
      <c r="J155" s="464"/>
      <c r="K155" s="464"/>
      <c r="L155" s="381"/>
      <c r="M155" s="381"/>
      <c r="N155" s="381"/>
      <c r="O155" s="381"/>
      <c r="P155" s="381"/>
      <c r="Q155" s="381"/>
      <c r="R155" s="381"/>
      <c r="S155" s="379"/>
      <c r="V155" s="381"/>
      <c r="Y155" s="381"/>
      <c r="Z155" s="464"/>
      <c r="AA155" s="381"/>
      <c r="AB155" s="381"/>
      <c r="AC155" s="381"/>
      <c r="AD155" s="381"/>
      <c r="AE155" s="381"/>
      <c r="AF155" s="381"/>
      <c r="AI155" s="381"/>
      <c r="AJ155" s="381"/>
      <c r="AK155" s="162"/>
      <c r="AL155" s="381"/>
      <c r="AM155" s="50"/>
      <c r="AN155" s="50"/>
    </row>
    <row r="156" spans="1:40" x14ac:dyDescent="0.25">
      <c r="A156" s="53"/>
      <c r="C156" s="54"/>
      <c r="T156" s="54"/>
    </row>
    <row r="157" spans="1:40" x14ac:dyDescent="0.25">
      <c r="A157" s="53"/>
      <c r="C157" s="54"/>
      <c r="F157" s="379"/>
      <c r="H157" s="379"/>
      <c r="I157" s="379"/>
      <c r="L157" s="379"/>
      <c r="M157" s="379"/>
      <c r="N157" s="50"/>
      <c r="O157" s="50"/>
      <c r="P157" s="449"/>
      <c r="Q157" s="449"/>
      <c r="R157" s="379"/>
      <c r="T157" s="54"/>
      <c r="V157" s="379"/>
      <c r="Y157" s="379"/>
      <c r="AA157" s="379"/>
      <c r="AB157" s="379"/>
      <c r="AC157" s="50"/>
      <c r="AD157" s="50"/>
      <c r="AE157" s="379"/>
      <c r="AF157" s="379"/>
      <c r="AG157" s="156"/>
      <c r="AH157" s="50"/>
      <c r="AI157" s="449"/>
      <c r="AJ157" s="449"/>
      <c r="AK157" s="156"/>
      <c r="AL157" s="379"/>
      <c r="AM157" s="50"/>
      <c r="AN157" s="50"/>
    </row>
    <row r="158" spans="1:40" x14ac:dyDescent="0.25">
      <c r="F158" s="381"/>
      <c r="H158" s="381"/>
      <c r="I158" s="381"/>
      <c r="J158" s="464"/>
      <c r="K158" s="464"/>
      <c r="L158" s="381"/>
      <c r="M158" s="381"/>
      <c r="N158" s="381"/>
      <c r="O158" s="381"/>
      <c r="P158" s="381"/>
      <c r="Q158" s="381"/>
      <c r="R158" s="381"/>
      <c r="V158" s="381"/>
      <c r="Y158" s="381"/>
      <c r="Z158" s="464"/>
      <c r="AA158" s="381"/>
      <c r="AB158" s="381"/>
      <c r="AC158" s="381"/>
      <c r="AD158" s="381"/>
      <c r="AE158" s="381"/>
      <c r="AF158" s="381"/>
      <c r="AI158" s="381"/>
      <c r="AJ158" s="381"/>
      <c r="AK158" s="162"/>
      <c r="AL158" s="381"/>
    </row>
    <row r="160" spans="1:40" x14ac:dyDescent="0.25">
      <c r="C160" s="54"/>
      <c r="L160" s="379"/>
      <c r="M160" s="379"/>
      <c r="N160" s="379"/>
      <c r="O160" s="379"/>
      <c r="P160" s="379"/>
      <c r="Q160" s="379"/>
      <c r="R160" s="379"/>
      <c r="S160" s="379"/>
      <c r="T160" s="54"/>
      <c r="AA160" s="379"/>
      <c r="AB160" s="379"/>
      <c r="AC160" s="379"/>
      <c r="AD160" s="379"/>
      <c r="AI160" s="379"/>
      <c r="AJ160" s="379"/>
      <c r="AK160" s="156"/>
      <c r="AL160" s="379"/>
    </row>
    <row r="161" spans="1:40" x14ac:dyDescent="0.25">
      <c r="A161" s="54"/>
    </row>
    <row r="162" spans="1:40" x14ac:dyDescent="0.25">
      <c r="J162" s="53"/>
      <c r="K162" s="53"/>
      <c r="Z162" s="53"/>
    </row>
    <row r="163" spans="1:40" x14ac:dyDescent="0.25">
      <c r="H163" s="54"/>
      <c r="I163" s="54"/>
      <c r="Y163" s="54"/>
    </row>
    <row r="164" spans="1:40" x14ac:dyDescent="0.25">
      <c r="J164" s="53"/>
      <c r="K164" s="53"/>
      <c r="Z164" s="53"/>
    </row>
    <row r="165" spans="1:40" x14ac:dyDescent="0.25">
      <c r="L165" s="54"/>
      <c r="M165" s="54"/>
      <c r="AA165" s="54"/>
      <c r="AB165" s="54"/>
    </row>
    <row r="166" spans="1:40" x14ac:dyDescent="0.25">
      <c r="A166" s="53"/>
      <c r="R166" s="54"/>
      <c r="AK166" s="161"/>
      <c r="AL166" s="54"/>
    </row>
    <row r="167" spans="1:40" x14ac:dyDescent="0.25">
      <c r="A167" s="53"/>
      <c r="R167" s="54"/>
      <c r="AK167" s="161"/>
      <c r="AL167" s="54"/>
    </row>
    <row r="168" spans="1:40" x14ac:dyDescent="0.25">
      <c r="A168" s="54"/>
      <c r="R168" s="54"/>
      <c r="AK168" s="161"/>
      <c r="AL168" s="54"/>
    </row>
    <row r="169" spans="1:40" x14ac:dyDescent="0.25">
      <c r="L169" s="54"/>
      <c r="M169" s="54"/>
      <c r="R169" s="53"/>
      <c r="AA169" s="54"/>
      <c r="AB169" s="54"/>
      <c r="AK169" s="156"/>
      <c r="AL169" s="53"/>
    </row>
    <row r="170" spans="1:40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154"/>
      <c r="AH170" s="55"/>
      <c r="AI170" s="55"/>
      <c r="AJ170" s="55"/>
      <c r="AK170" s="154"/>
      <c r="AL170" s="55"/>
      <c r="AM170" s="55"/>
      <c r="AN170" s="55"/>
    </row>
    <row r="171" spans="1:40" x14ac:dyDescent="0.25">
      <c r="L171" s="56"/>
      <c r="M171" s="56"/>
      <c r="N171" s="56"/>
      <c r="O171" s="56"/>
      <c r="R171" s="56"/>
      <c r="AA171" s="56"/>
      <c r="AB171" s="56"/>
      <c r="AC171" s="56"/>
      <c r="AD171" s="56"/>
      <c r="AE171" s="56"/>
      <c r="AF171" s="56"/>
      <c r="AG171" s="155"/>
      <c r="AH171" s="56"/>
      <c r="AK171" s="155"/>
      <c r="AL171" s="56"/>
      <c r="AM171" s="56"/>
      <c r="AN171" s="56"/>
    </row>
    <row r="172" spans="1:40" x14ac:dyDescent="0.25">
      <c r="L172" s="56"/>
      <c r="M172" s="56"/>
      <c r="N172" s="56"/>
      <c r="O172" s="56"/>
      <c r="R172" s="56"/>
      <c r="Z172" s="56"/>
      <c r="AA172" s="56"/>
      <c r="AB172" s="56"/>
      <c r="AC172" s="56"/>
      <c r="AD172" s="56"/>
      <c r="AE172" s="56"/>
      <c r="AF172" s="56"/>
      <c r="AG172" s="155"/>
      <c r="AH172" s="56"/>
      <c r="AK172" s="155"/>
      <c r="AL172" s="56"/>
      <c r="AM172" s="56"/>
      <c r="AN172" s="56"/>
    </row>
    <row r="173" spans="1:40" x14ac:dyDescent="0.25">
      <c r="A173" s="56"/>
      <c r="C173" s="56"/>
      <c r="D173" s="56"/>
      <c r="E173" s="56"/>
      <c r="F173" s="56"/>
      <c r="J173" s="56"/>
      <c r="K173" s="56"/>
      <c r="L173" s="56"/>
      <c r="M173" s="56"/>
      <c r="N173" s="56"/>
      <c r="O173" s="56"/>
      <c r="P173" s="56"/>
      <c r="Q173" s="56"/>
      <c r="R173" s="56"/>
      <c r="T173" s="56"/>
      <c r="U173" s="56"/>
      <c r="V173" s="56"/>
      <c r="Z173" s="56"/>
      <c r="AA173" s="56"/>
      <c r="AB173" s="56"/>
      <c r="AC173" s="56"/>
      <c r="AD173" s="56"/>
      <c r="AE173" s="56"/>
      <c r="AF173" s="56"/>
      <c r="AG173" s="155"/>
      <c r="AH173" s="56"/>
      <c r="AI173" s="56"/>
      <c r="AJ173" s="56"/>
      <c r="AK173" s="155"/>
      <c r="AL173" s="56"/>
      <c r="AM173" s="56"/>
      <c r="AN173" s="56"/>
    </row>
    <row r="174" spans="1:40" x14ac:dyDescent="0.25">
      <c r="A174" s="56"/>
      <c r="C174" s="56"/>
      <c r="D174" s="56"/>
      <c r="E174" s="56"/>
      <c r="F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T174" s="56"/>
      <c r="U174" s="56"/>
      <c r="V174" s="56"/>
      <c r="Y174" s="56"/>
      <c r="Z174" s="56"/>
      <c r="AA174" s="56"/>
      <c r="AB174" s="56"/>
      <c r="AC174" s="56"/>
      <c r="AD174" s="56"/>
      <c r="AE174" s="56"/>
      <c r="AF174" s="56"/>
      <c r="AG174" s="155"/>
      <c r="AH174" s="56"/>
      <c r="AI174" s="56"/>
      <c r="AJ174" s="56"/>
      <c r="AK174" s="155"/>
      <c r="AL174" s="56"/>
      <c r="AM174" s="56"/>
      <c r="AN174" s="56"/>
    </row>
    <row r="175" spans="1:40" x14ac:dyDescent="0.25">
      <c r="C175" s="56"/>
      <c r="D175" s="56"/>
      <c r="E175" s="56"/>
      <c r="F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T175" s="56"/>
      <c r="U175" s="56"/>
      <c r="V175" s="56"/>
      <c r="Y175" s="56"/>
      <c r="Z175" s="56"/>
      <c r="AA175" s="56"/>
      <c r="AB175" s="56"/>
      <c r="AC175" s="56"/>
      <c r="AD175" s="56"/>
      <c r="AE175" s="56"/>
      <c r="AF175" s="56"/>
      <c r="AG175" s="155"/>
      <c r="AH175" s="56"/>
      <c r="AI175" s="56"/>
      <c r="AJ175" s="56"/>
      <c r="AK175" s="155"/>
      <c r="AL175" s="56"/>
      <c r="AM175" s="56"/>
      <c r="AN175" s="56"/>
    </row>
    <row r="176" spans="1:40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154"/>
      <c r="AH176" s="55"/>
      <c r="AI176" s="55"/>
      <c r="AJ176" s="55"/>
      <c r="AK176" s="154"/>
      <c r="AL176" s="55"/>
      <c r="AM176" s="55"/>
      <c r="AN176" s="55"/>
    </row>
    <row r="177" spans="1:40" x14ac:dyDescent="0.25"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Y177" s="56"/>
      <c r="Z177" s="56"/>
      <c r="AA177" s="56"/>
      <c r="AB177" s="56"/>
      <c r="AC177" s="56"/>
      <c r="AD177" s="56"/>
      <c r="AE177" s="56"/>
      <c r="AF177" s="56"/>
      <c r="AG177" s="155"/>
      <c r="AH177" s="56"/>
      <c r="AI177" s="56"/>
      <c r="AJ177" s="56"/>
      <c r="AK177" s="155"/>
      <c r="AL177" s="56"/>
      <c r="AM177" s="56"/>
      <c r="AN177" s="56"/>
    </row>
    <row r="178" spans="1:40" x14ac:dyDescent="0.25">
      <c r="A178" s="53"/>
      <c r="C178" s="54"/>
      <c r="D178" s="54"/>
      <c r="E178" s="54"/>
      <c r="T178" s="54"/>
      <c r="U178" s="54"/>
    </row>
    <row r="179" spans="1:40" x14ac:dyDescent="0.25">
      <c r="A179" s="53"/>
      <c r="D179" s="54"/>
      <c r="E179" s="54"/>
      <c r="U179" s="54"/>
    </row>
    <row r="181" spans="1:40" x14ac:dyDescent="0.25">
      <c r="A181" s="53"/>
      <c r="C181" s="54"/>
      <c r="F181" s="449"/>
      <c r="H181" s="449"/>
      <c r="I181" s="449"/>
      <c r="J181" s="461"/>
      <c r="K181" s="461"/>
      <c r="L181" s="379"/>
      <c r="M181" s="379"/>
      <c r="N181" s="50"/>
      <c r="O181" s="50"/>
      <c r="R181" s="379"/>
      <c r="T181" s="54"/>
      <c r="V181" s="379"/>
      <c r="Y181" s="449"/>
      <c r="Z181" s="461"/>
      <c r="AA181" s="379"/>
      <c r="AB181" s="379"/>
      <c r="AC181" s="50"/>
      <c r="AD181" s="50"/>
      <c r="AE181" s="379"/>
      <c r="AF181" s="379"/>
      <c r="AG181" s="474"/>
      <c r="AH181" s="475"/>
      <c r="AK181" s="156"/>
      <c r="AL181" s="379"/>
      <c r="AM181" s="476"/>
      <c r="AN181" s="476"/>
    </row>
    <row r="182" spans="1:40" x14ac:dyDescent="0.25">
      <c r="A182" s="53"/>
      <c r="C182" s="54"/>
      <c r="F182" s="449"/>
      <c r="H182" s="449"/>
      <c r="I182" s="449"/>
      <c r="J182" s="461"/>
      <c r="K182" s="461"/>
      <c r="L182" s="379"/>
      <c r="M182" s="379"/>
      <c r="N182" s="50"/>
      <c r="O182" s="50"/>
      <c r="P182" s="53"/>
      <c r="Q182" s="53"/>
      <c r="R182" s="379"/>
      <c r="T182" s="54"/>
      <c r="V182" s="379"/>
      <c r="Y182" s="449"/>
      <c r="Z182" s="461"/>
      <c r="AA182" s="379"/>
      <c r="AB182" s="379"/>
      <c r="AC182" s="50"/>
      <c r="AD182" s="50"/>
      <c r="AE182" s="379"/>
      <c r="AF182" s="379"/>
      <c r="AG182" s="156"/>
      <c r="AH182" s="60"/>
      <c r="AI182" s="53"/>
      <c r="AJ182" s="53"/>
      <c r="AK182" s="156"/>
      <c r="AL182" s="379"/>
      <c r="AM182" s="50"/>
      <c r="AN182" s="50"/>
    </row>
    <row r="183" spans="1:40" x14ac:dyDescent="0.25">
      <c r="F183" s="381"/>
      <c r="H183" s="379"/>
      <c r="I183" s="379"/>
      <c r="J183" s="464"/>
      <c r="K183" s="464"/>
      <c r="L183" s="381"/>
      <c r="M183" s="381"/>
      <c r="N183" s="381"/>
      <c r="O183" s="381"/>
      <c r="P183" s="381"/>
      <c r="Q183" s="381"/>
      <c r="R183" s="381"/>
      <c r="V183" s="381"/>
      <c r="Y183" s="379"/>
      <c r="Z183" s="464"/>
      <c r="AA183" s="381"/>
      <c r="AB183" s="381"/>
      <c r="AC183" s="381"/>
      <c r="AD183" s="381"/>
      <c r="AE183" s="381"/>
      <c r="AF183" s="381"/>
      <c r="AI183" s="381"/>
      <c r="AJ183" s="381"/>
      <c r="AK183" s="162"/>
      <c r="AL183" s="381"/>
      <c r="AM183" s="50"/>
      <c r="AN183" s="50"/>
    </row>
    <row r="184" spans="1:40" x14ac:dyDescent="0.25">
      <c r="A184" s="53"/>
      <c r="C184" s="54"/>
      <c r="F184" s="379"/>
      <c r="H184" s="379"/>
      <c r="I184" s="379"/>
      <c r="J184" s="464"/>
      <c r="K184" s="464"/>
      <c r="L184" s="379"/>
      <c r="M184" s="379"/>
      <c r="N184" s="50"/>
      <c r="O184" s="50"/>
      <c r="P184" s="379"/>
      <c r="Q184" s="379"/>
      <c r="R184" s="379"/>
      <c r="T184" s="54"/>
      <c r="V184" s="379"/>
      <c r="Y184" s="379"/>
      <c r="Z184" s="59"/>
      <c r="AA184" s="379"/>
      <c r="AB184" s="379"/>
      <c r="AC184" s="50"/>
      <c r="AD184" s="50"/>
      <c r="AE184" s="379"/>
      <c r="AF184" s="379"/>
      <c r="AG184" s="156"/>
      <c r="AH184" s="60"/>
      <c r="AI184" s="379"/>
      <c r="AJ184" s="379"/>
      <c r="AK184" s="156"/>
      <c r="AL184" s="379"/>
      <c r="AM184" s="50"/>
      <c r="AN184" s="50"/>
    </row>
    <row r="185" spans="1:40" x14ac:dyDescent="0.25">
      <c r="F185" s="381"/>
      <c r="H185" s="379"/>
      <c r="I185" s="379"/>
      <c r="J185" s="464"/>
      <c r="K185" s="464"/>
      <c r="L185" s="381"/>
      <c r="M185" s="381"/>
      <c r="N185" s="381"/>
      <c r="O185" s="381"/>
      <c r="P185" s="381"/>
      <c r="Q185" s="381"/>
      <c r="R185" s="381"/>
      <c r="V185" s="381"/>
      <c r="Y185" s="379"/>
      <c r="Z185" s="464"/>
      <c r="AA185" s="381"/>
      <c r="AB185" s="381"/>
      <c r="AC185" s="381"/>
      <c r="AD185" s="381"/>
      <c r="AE185" s="381"/>
      <c r="AF185" s="381"/>
      <c r="AI185" s="381"/>
      <c r="AJ185" s="381"/>
      <c r="AK185" s="162"/>
      <c r="AL185" s="381"/>
      <c r="AM185" s="50"/>
      <c r="AN185" s="50"/>
    </row>
    <row r="186" spans="1:40" x14ac:dyDescent="0.25">
      <c r="F186" s="379"/>
      <c r="H186" s="379"/>
      <c r="I186" s="379"/>
      <c r="J186" s="464"/>
      <c r="K186" s="464"/>
      <c r="L186" s="379"/>
      <c r="M186" s="379"/>
      <c r="N186" s="50"/>
      <c r="O186" s="50"/>
      <c r="P186" s="379"/>
      <c r="Q186" s="379"/>
      <c r="R186" s="379"/>
      <c r="V186" s="379"/>
      <c r="Y186" s="379"/>
      <c r="Z186" s="59"/>
      <c r="AA186" s="379"/>
      <c r="AB186" s="379"/>
      <c r="AC186" s="50"/>
      <c r="AD186" s="50"/>
      <c r="AE186" s="379"/>
      <c r="AF186" s="379"/>
      <c r="AG186" s="156"/>
      <c r="AH186" s="60"/>
      <c r="AI186" s="379"/>
      <c r="AJ186" s="379"/>
      <c r="AK186" s="156"/>
      <c r="AL186" s="379"/>
      <c r="AM186" s="50"/>
      <c r="AN186" s="50"/>
    </row>
    <row r="187" spans="1:40" x14ac:dyDescent="0.25">
      <c r="A187" s="53"/>
      <c r="C187" s="54"/>
      <c r="F187" s="449"/>
      <c r="H187" s="449"/>
      <c r="I187" s="449"/>
      <c r="J187" s="461"/>
      <c r="K187" s="461"/>
      <c r="L187" s="379"/>
      <c r="M187" s="379"/>
      <c r="N187" s="50"/>
      <c r="O187" s="50"/>
      <c r="P187" s="379"/>
      <c r="Q187" s="379"/>
      <c r="R187" s="379"/>
      <c r="T187" s="54"/>
      <c r="V187" s="449"/>
      <c r="Y187" s="379"/>
      <c r="Z187" s="461"/>
      <c r="AA187" s="379"/>
      <c r="AB187" s="379"/>
      <c r="AC187" s="50"/>
      <c r="AD187" s="50"/>
      <c r="AE187" s="379"/>
      <c r="AF187" s="379"/>
      <c r="AG187" s="474"/>
      <c r="AH187" s="475"/>
      <c r="AI187" s="379"/>
      <c r="AJ187" s="379"/>
      <c r="AK187" s="156"/>
      <c r="AL187" s="379"/>
      <c r="AM187" s="476"/>
      <c r="AN187" s="476"/>
    </row>
    <row r="188" spans="1:40" x14ac:dyDescent="0.25">
      <c r="A188" s="53"/>
      <c r="C188" s="54"/>
      <c r="F188" s="449"/>
      <c r="H188" s="449"/>
      <c r="I188" s="449"/>
      <c r="J188" s="461"/>
      <c r="K188" s="461"/>
      <c r="L188" s="379"/>
      <c r="M188" s="379"/>
      <c r="N188" s="50"/>
      <c r="O188" s="50"/>
      <c r="P188" s="379"/>
      <c r="Q188" s="379"/>
      <c r="R188" s="379"/>
      <c r="T188" s="54"/>
      <c r="V188" s="449"/>
      <c r="Y188" s="379"/>
      <c r="Z188" s="461"/>
      <c r="AA188" s="379"/>
      <c r="AB188" s="379"/>
      <c r="AC188" s="50"/>
      <c r="AD188" s="50"/>
      <c r="AE188" s="379"/>
      <c r="AF188" s="379"/>
      <c r="AG188" s="156"/>
      <c r="AH188" s="60"/>
      <c r="AI188" s="379"/>
      <c r="AJ188" s="379"/>
      <c r="AK188" s="156"/>
      <c r="AL188" s="379"/>
      <c r="AM188" s="50"/>
      <c r="AN188" s="50"/>
    </row>
    <row r="189" spans="1:40" x14ac:dyDescent="0.25">
      <c r="F189" s="379"/>
      <c r="H189" s="381"/>
      <c r="I189" s="381"/>
      <c r="J189" s="464"/>
      <c r="K189" s="464"/>
      <c r="L189" s="381"/>
      <c r="M189" s="381"/>
      <c r="N189" s="381"/>
      <c r="O189" s="381"/>
      <c r="P189" s="381"/>
      <c r="Q189" s="381"/>
      <c r="R189" s="381"/>
      <c r="V189" s="379"/>
      <c r="Y189" s="381"/>
      <c r="Z189" s="464"/>
      <c r="AA189" s="381"/>
      <c r="AB189" s="381"/>
      <c r="AC189" s="381"/>
      <c r="AD189" s="381"/>
      <c r="AE189" s="381"/>
      <c r="AF189" s="381"/>
      <c r="AI189" s="381"/>
      <c r="AJ189" s="381"/>
      <c r="AK189" s="162"/>
      <c r="AL189" s="381"/>
      <c r="AM189" s="50"/>
      <c r="AN189" s="50"/>
    </row>
    <row r="190" spans="1:40" x14ac:dyDescent="0.25">
      <c r="A190" s="53"/>
      <c r="C190" s="54"/>
      <c r="F190" s="379"/>
      <c r="H190" s="379"/>
      <c r="I190" s="379"/>
      <c r="J190" s="464"/>
      <c r="K190" s="464"/>
      <c r="L190" s="379"/>
      <c r="M190" s="379"/>
      <c r="N190" s="50"/>
      <c r="O190" s="50"/>
      <c r="P190" s="379"/>
      <c r="Q190" s="379"/>
      <c r="R190" s="379"/>
      <c r="T190" s="54"/>
      <c r="V190" s="379"/>
      <c r="Y190" s="379"/>
      <c r="Z190" s="464"/>
      <c r="AA190" s="379"/>
      <c r="AB190" s="379"/>
      <c r="AC190" s="50"/>
      <c r="AD190" s="50"/>
      <c r="AE190" s="379"/>
      <c r="AF190" s="379"/>
      <c r="AG190" s="156"/>
      <c r="AH190" s="60"/>
      <c r="AI190" s="379"/>
      <c r="AJ190" s="379"/>
      <c r="AK190" s="156"/>
      <c r="AL190" s="379"/>
      <c r="AM190" s="50"/>
      <c r="AN190" s="50"/>
    </row>
    <row r="191" spans="1:40" x14ac:dyDescent="0.25">
      <c r="F191" s="379"/>
      <c r="H191" s="381"/>
      <c r="I191" s="381"/>
      <c r="J191" s="464"/>
      <c r="K191" s="464"/>
      <c r="L191" s="381"/>
      <c r="M191" s="381"/>
      <c r="N191" s="381"/>
      <c r="O191" s="381"/>
      <c r="P191" s="381"/>
      <c r="Q191" s="381"/>
      <c r="R191" s="381"/>
      <c r="V191" s="379"/>
      <c r="Y191" s="381"/>
      <c r="Z191" s="464"/>
      <c r="AA191" s="381"/>
      <c r="AB191" s="381"/>
      <c r="AC191" s="381"/>
      <c r="AD191" s="381"/>
      <c r="AE191" s="381"/>
      <c r="AF191" s="381"/>
      <c r="AI191" s="381"/>
      <c r="AJ191" s="381"/>
      <c r="AK191" s="162"/>
      <c r="AL191" s="381"/>
      <c r="AM191" s="50"/>
      <c r="AN191" s="50"/>
    </row>
    <row r="192" spans="1:40" x14ac:dyDescent="0.25">
      <c r="F192" s="379"/>
      <c r="H192" s="379"/>
      <c r="I192" s="379"/>
      <c r="J192" s="464"/>
      <c r="K192" s="464"/>
      <c r="L192" s="379"/>
      <c r="M192" s="379"/>
      <c r="N192" s="379"/>
      <c r="O192" s="379"/>
      <c r="P192" s="379"/>
      <c r="Q192" s="379"/>
      <c r="R192" s="379"/>
      <c r="V192" s="379"/>
      <c r="Y192" s="379"/>
      <c r="Z192" s="464"/>
      <c r="AA192" s="379"/>
      <c r="AB192" s="379"/>
      <c r="AC192" s="379"/>
      <c r="AD192" s="379"/>
      <c r="AE192" s="379"/>
      <c r="AF192" s="379"/>
      <c r="AG192" s="156"/>
      <c r="AH192" s="60"/>
      <c r="AI192" s="379"/>
      <c r="AJ192" s="379"/>
      <c r="AK192" s="156"/>
      <c r="AL192" s="379"/>
      <c r="AM192" s="50"/>
      <c r="AN192" s="50"/>
    </row>
    <row r="193" spans="1:40" x14ac:dyDescent="0.25">
      <c r="A193" s="53"/>
      <c r="C193" s="54"/>
      <c r="F193" s="449"/>
      <c r="H193" s="449"/>
      <c r="I193" s="449"/>
      <c r="J193" s="472"/>
      <c r="K193" s="472"/>
      <c r="L193" s="379"/>
      <c r="M193" s="379"/>
      <c r="N193" s="50"/>
      <c r="O193" s="50"/>
      <c r="P193" s="449"/>
      <c r="Q193" s="449"/>
      <c r="R193" s="379"/>
      <c r="T193" s="54"/>
      <c r="V193" s="449"/>
      <c r="Y193" s="449"/>
      <c r="Z193" s="477"/>
      <c r="AA193" s="379"/>
      <c r="AB193" s="379"/>
      <c r="AC193" s="50"/>
      <c r="AD193" s="50"/>
      <c r="AE193" s="379"/>
      <c r="AF193" s="379"/>
      <c r="AG193" s="156"/>
      <c r="AH193" s="60"/>
      <c r="AI193" s="449"/>
      <c r="AJ193" s="449"/>
      <c r="AK193" s="156"/>
      <c r="AL193" s="379"/>
      <c r="AM193" s="50"/>
      <c r="AN193" s="50"/>
    </row>
    <row r="194" spans="1:40" x14ac:dyDescent="0.25">
      <c r="A194" s="53"/>
      <c r="C194" s="54"/>
      <c r="F194" s="449"/>
      <c r="H194" s="449"/>
      <c r="I194" s="449"/>
      <c r="J194" s="472"/>
      <c r="K194" s="472"/>
      <c r="L194" s="379"/>
      <c r="M194" s="379"/>
      <c r="N194" s="50"/>
      <c r="O194" s="50"/>
      <c r="P194" s="449"/>
      <c r="Q194" s="449"/>
      <c r="R194" s="379"/>
      <c r="T194" s="54"/>
      <c r="V194" s="449"/>
      <c r="Y194" s="379"/>
      <c r="Z194" s="463"/>
      <c r="AA194" s="379"/>
      <c r="AB194" s="379"/>
      <c r="AC194" s="50"/>
      <c r="AD194" s="50"/>
      <c r="AE194" s="379"/>
      <c r="AF194" s="379"/>
      <c r="AG194" s="156"/>
      <c r="AH194" s="60"/>
      <c r="AI194" s="449"/>
      <c r="AJ194" s="449"/>
      <c r="AK194" s="156"/>
      <c r="AL194" s="379"/>
      <c r="AM194" s="50"/>
      <c r="AN194" s="50"/>
    </row>
    <row r="195" spans="1:40" x14ac:dyDescent="0.25">
      <c r="A195" s="53"/>
      <c r="C195" s="54"/>
      <c r="F195" s="449"/>
      <c r="H195" s="449"/>
      <c r="I195" s="449"/>
      <c r="J195" s="472"/>
      <c r="K195" s="472"/>
      <c r="L195" s="379"/>
      <c r="M195" s="379"/>
      <c r="N195" s="50"/>
      <c r="O195" s="50"/>
      <c r="P195" s="449"/>
      <c r="Q195" s="449"/>
      <c r="R195" s="379"/>
      <c r="T195" s="54"/>
      <c r="V195" s="449"/>
      <c r="Y195" s="379"/>
      <c r="Z195" s="463"/>
      <c r="AA195" s="379"/>
      <c r="AB195" s="379"/>
      <c r="AC195" s="50"/>
      <c r="AD195" s="50"/>
      <c r="AE195" s="379"/>
      <c r="AF195" s="379"/>
      <c r="AG195" s="156"/>
      <c r="AH195" s="60"/>
      <c r="AI195" s="449"/>
      <c r="AJ195" s="449"/>
      <c r="AK195" s="156"/>
      <c r="AL195" s="379"/>
      <c r="AM195" s="50"/>
      <c r="AN195" s="50"/>
    </row>
    <row r="196" spans="1:40" x14ac:dyDescent="0.25">
      <c r="F196" s="381"/>
      <c r="H196" s="381"/>
      <c r="I196" s="381"/>
      <c r="J196" s="464"/>
      <c r="K196" s="464"/>
      <c r="L196" s="381"/>
      <c r="M196" s="381"/>
      <c r="N196" s="381"/>
      <c r="O196" s="381"/>
      <c r="P196" s="381"/>
      <c r="Q196" s="381"/>
      <c r="R196" s="381"/>
      <c r="V196" s="381"/>
      <c r="Y196" s="381"/>
      <c r="Z196" s="464"/>
      <c r="AA196" s="381"/>
      <c r="AB196" s="381"/>
      <c r="AC196" s="381"/>
      <c r="AD196" s="381"/>
      <c r="AE196" s="381"/>
      <c r="AF196" s="381"/>
      <c r="AI196" s="381"/>
      <c r="AJ196" s="381"/>
      <c r="AK196" s="162"/>
      <c r="AL196" s="381"/>
      <c r="AM196" s="50"/>
      <c r="AN196" s="50"/>
    </row>
    <row r="197" spans="1:40" x14ac:dyDescent="0.25">
      <c r="A197" s="53"/>
      <c r="C197" s="54"/>
      <c r="F197" s="379"/>
      <c r="H197" s="379"/>
      <c r="I197" s="379"/>
      <c r="J197" s="59"/>
      <c r="K197" s="59"/>
      <c r="L197" s="379"/>
      <c r="M197" s="379"/>
      <c r="N197" s="50"/>
      <c r="O197" s="50"/>
      <c r="P197" s="379"/>
      <c r="Q197" s="379"/>
      <c r="R197" s="379"/>
      <c r="T197" s="54"/>
      <c r="V197" s="379"/>
      <c r="Y197" s="379"/>
      <c r="Z197" s="59"/>
      <c r="AA197" s="379"/>
      <c r="AB197" s="379"/>
      <c r="AC197" s="50"/>
      <c r="AD197" s="50"/>
      <c r="AE197" s="379"/>
      <c r="AF197" s="379"/>
      <c r="AG197" s="156"/>
      <c r="AH197" s="60"/>
      <c r="AI197" s="379"/>
      <c r="AJ197" s="379"/>
      <c r="AK197" s="156"/>
      <c r="AL197" s="379"/>
      <c r="AM197" s="50"/>
      <c r="AN197" s="50"/>
    </row>
    <row r="198" spans="1:40" x14ac:dyDescent="0.25">
      <c r="F198" s="381"/>
      <c r="H198" s="381"/>
      <c r="I198" s="381"/>
      <c r="J198" s="464"/>
      <c r="K198" s="464"/>
      <c r="L198" s="381"/>
      <c r="M198" s="381"/>
      <c r="N198" s="381"/>
      <c r="O198" s="381"/>
      <c r="P198" s="381"/>
      <c r="Q198" s="381"/>
      <c r="R198" s="381"/>
      <c r="V198" s="381"/>
      <c r="Y198" s="381"/>
      <c r="Z198" s="464"/>
      <c r="AA198" s="381"/>
      <c r="AB198" s="381"/>
      <c r="AC198" s="381"/>
      <c r="AD198" s="381"/>
      <c r="AE198" s="381"/>
      <c r="AF198" s="381"/>
      <c r="AI198" s="381"/>
      <c r="AJ198" s="381"/>
      <c r="AK198" s="162"/>
      <c r="AL198" s="381"/>
      <c r="AM198" s="50"/>
      <c r="AN198" s="50"/>
    </row>
    <row r="199" spans="1:40" x14ac:dyDescent="0.25">
      <c r="A199" s="53"/>
      <c r="C199" s="54"/>
      <c r="F199" s="379"/>
      <c r="H199" s="379"/>
      <c r="I199" s="379"/>
      <c r="J199" s="59"/>
      <c r="K199" s="59"/>
      <c r="L199" s="379"/>
      <c r="M199" s="379"/>
      <c r="N199" s="50"/>
      <c r="O199" s="50"/>
      <c r="P199" s="379"/>
      <c r="Q199" s="379"/>
      <c r="R199" s="379"/>
      <c r="T199" s="54"/>
      <c r="V199" s="379"/>
      <c r="Y199" s="379"/>
      <c r="Z199" s="59"/>
      <c r="AA199" s="379"/>
      <c r="AB199" s="379"/>
      <c r="AC199" s="50"/>
      <c r="AD199" s="50"/>
      <c r="AE199" s="379"/>
      <c r="AF199" s="379"/>
      <c r="AG199" s="156"/>
      <c r="AH199" s="60"/>
      <c r="AI199" s="379"/>
      <c r="AJ199" s="379"/>
      <c r="AK199" s="156"/>
      <c r="AL199" s="379"/>
      <c r="AM199" s="50"/>
      <c r="AN199" s="50"/>
    </row>
    <row r="200" spans="1:40" x14ac:dyDescent="0.25">
      <c r="A200" s="53"/>
      <c r="C200" s="54"/>
      <c r="F200" s="379"/>
      <c r="H200" s="379"/>
      <c r="I200" s="379"/>
      <c r="J200" s="59"/>
      <c r="K200" s="59"/>
      <c r="L200" s="379"/>
      <c r="M200" s="379"/>
      <c r="N200" s="50"/>
      <c r="O200" s="50"/>
      <c r="P200" s="379"/>
      <c r="Q200" s="379"/>
      <c r="R200" s="379"/>
      <c r="T200" s="54"/>
      <c r="V200" s="379"/>
      <c r="Y200" s="379"/>
      <c r="Z200" s="59"/>
      <c r="AA200" s="379"/>
      <c r="AB200" s="379"/>
      <c r="AC200" s="50"/>
      <c r="AD200" s="50"/>
      <c r="AE200" s="379"/>
      <c r="AF200" s="379"/>
      <c r="AG200" s="156"/>
      <c r="AH200" s="60"/>
      <c r="AI200" s="379"/>
      <c r="AJ200" s="379"/>
      <c r="AK200" s="156"/>
      <c r="AL200" s="379"/>
      <c r="AM200" s="50"/>
      <c r="AN200" s="50"/>
    </row>
    <row r="201" spans="1:40" x14ac:dyDescent="0.25">
      <c r="F201" s="381"/>
      <c r="H201" s="381"/>
      <c r="I201" s="381"/>
      <c r="J201" s="464"/>
      <c r="K201" s="464"/>
      <c r="L201" s="381"/>
      <c r="M201" s="381"/>
      <c r="N201" s="381"/>
      <c r="O201" s="381"/>
      <c r="P201" s="381"/>
      <c r="Q201" s="381"/>
      <c r="R201" s="381"/>
      <c r="V201" s="381"/>
      <c r="Y201" s="381"/>
      <c r="Z201" s="464"/>
      <c r="AA201" s="381"/>
      <c r="AB201" s="381"/>
      <c r="AC201" s="381"/>
      <c r="AD201" s="381"/>
      <c r="AE201" s="381"/>
      <c r="AF201" s="381"/>
      <c r="AI201" s="381"/>
      <c r="AJ201" s="381"/>
      <c r="AK201" s="162"/>
      <c r="AL201" s="381"/>
      <c r="AM201" s="379"/>
      <c r="AN201" s="379"/>
    </row>
    <row r="202" spans="1:40" x14ac:dyDescent="0.25">
      <c r="F202" s="379"/>
      <c r="H202" s="379"/>
      <c r="I202" s="379"/>
      <c r="J202" s="59"/>
      <c r="K202" s="59"/>
      <c r="L202" s="379"/>
      <c r="M202" s="379"/>
      <c r="N202" s="379"/>
      <c r="O202" s="379"/>
      <c r="P202" s="379"/>
      <c r="Q202" s="379"/>
      <c r="R202" s="379"/>
      <c r="V202" s="379"/>
      <c r="Y202" s="379"/>
      <c r="Z202" s="59"/>
      <c r="AA202" s="379"/>
      <c r="AB202" s="379"/>
      <c r="AC202" s="379"/>
      <c r="AD202" s="379"/>
    </row>
    <row r="203" spans="1:40" x14ac:dyDescent="0.25">
      <c r="C203" s="54"/>
      <c r="F203" s="379"/>
      <c r="H203" s="379"/>
      <c r="I203" s="379"/>
      <c r="J203" s="59"/>
      <c r="K203" s="59"/>
      <c r="L203" s="379"/>
      <c r="M203" s="379"/>
      <c r="N203" s="379"/>
      <c r="O203" s="379"/>
      <c r="P203" s="379"/>
      <c r="Q203" s="379"/>
      <c r="R203" s="379"/>
      <c r="T203" s="54"/>
      <c r="V203" s="379"/>
      <c r="Y203" s="379"/>
      <c r="Z203" s="59"/>
      <c r="AA203" s="379"/>
      <c r="AB203" s="379"/>
      <c r="AC203" s="379"/>
      <c r="AD203" s="379"/>
    </row>
    <row r="204" spans="1:40" x14ac:dyDescent="0.25">
      <c r="A204" s="54"/>
    </row>
    <row r="205" spans="1:40" x14ac:dyDescent="0.25">
      <c r="J205" s="53"/>
      <c r="K205" s="53"/>
      <c r="Z205" s="53"/>
    </row>
    <row r="206" spans="1:40" x14ac:dyDescent="0.25">
      <c r="H206" s="54"/>
      <c r="I206" s="54"/>
      <c r="Y206" s="54"/>
    </row>
    <row r="207" spans="1:40" x14ac:dyDescent="0.25">
      <c r="J207" s="53"/>
      <c r="K207" s="53"/>
      <c r="Z207" s="53"/>
    </row>
    <row r="208" spans="1:40" x14ac:dyDescent="0.25">
      <c r="L208" s="54"/>
      <c r="M208" s="54"/>
      <c r="AA208" s="54"/>
      <c r="AB208" s="54"/>
    </row>
    <row r="209" spans="1:40" x14ac:dyDescent="0.25">
      <c r="A209" s="53"/>
      <c r="R209" s="54"/>
      <c r="AK209" s="161"/>
      <c r="AL209" s="54"/>
    </row>
    <row r="210" spans="1:40" x14ac:dyDescent="0.25">
      <c r="A210" s="53"/>
      <c r="R210" s="54"/>
      <c r="AK210" s="161"/>
      <c r="AL210" s="54"/>
    </row>
    <row r="211" spans="1:40" x14ac:dyDescent="0.25">
      <c r="A211" s="54"/>
      <c r="R211" s="54"/>
      <c r="AK211" s="161"/>
      <c r="AL211" s="54"/>
    </row>
    <row r="212" spans="1:40" x14ac:dyDescent="0.25">
      <c r="L212" s="54"/>
      <c r="M212" s="54"/>
      <c r="R212" s="53"/>
      <c r="AA212" s="54"/>
      <c r="AB212" s="54"/>
      <c r="AK212" s="156"/>
      <c r="AL212" s="53"/>
    </row>
    <row r="213" spans="1:40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154"/>
      <c r="AH213" s="55"/>
      <c r="AI213" s="55"/>
      <c r="AJ213" s="55"/>
      <c r="AK213" s="154"/>
      <c r="AL213" s="55"/>
      <c r="AM213" s="55"/>
      <c r="AN213" s="55"/>
    </row>
    <row r="214" spans="1:40" x14ac:dyDescent="0.25">
      <c r="L214" s="56"/>
      <c r="M214" s="56"/>
      <c r="N214" s="56"/>
      <c r="O214" s="56"/>
      <c r="R214" s="56"/>
      <c r="AA214" s="56"/>
      <c r="AB214" s="56"/>
      <c r="AC214" s="56"/>
      <c r="AD214" s="56"/>
      <c r="AE214" s="56"/>
      <c r="AF214" s="56"/>
      <c r="AG214" s="155"/>
      <c r="AH214" s="56"/>
      <c r="AK214" s="155"/>
      <c r="AL214" s="56"/>
      <c r="AM214" s="56"/>
      <c r="AN214" s="56"/>
    </row>
    <row r="215" spans="1:40" x14ac:dyDescent="0.25">
      <c r="L215" s="56"/>
      <c r="M215" s="56"/>
      <c r="N215" s="56"/>
      <c r="O215" s="56"/>
      <c r="R215" s="56"/>
      <c r="Z215" s="56"/>
      <c r="AA215" s="56"/>
      <c r="AB215" s="56"/>
      <c r="AC215" s="56"/>
      <c r="AD215" s="56"/>
      <c r="AE215" s="56"/>
      <c r="AF215" s="56"/>
      <c r="AG215" s="155"/>
      <c r="AH215" s="56"/>
      <c r="AK215" s="155"/>
      <c r="AL215" s="56"/>
      <c r="AM215" s="56"/>
      <c r="AN215" s="56"/>
    </row>
    <row r="216" spans="1:40" x14ac:dyDescent="0.25">
      <c r="A216" s="56"/>
      <c r="C216" s="56"/>
      <c r="D216" s="56"/>
      <c r="E216" s="56"/>
      <c r="F216" s="56"/>
      <c r="J216" s="56"/>
      <c r="K216" s="56"/>
      <c r="L216" s="56"/>
      <c r="M216" s="56"/>
      <c r="N216" s="56"/>
      <c r="O216" s="56"/>
      <c r="P216" s="56"/>
      <c r="Q216" s="56"/>
      <c r="R216" s="56"/>
      <c r="T216" s="56"/>
      <c r="U216" s="56"/>
      <c r="V216" s="56"/>
      <c r="Z216" s="56"/>
      <c r="AA216" s="56"/>
      <c r="AB216" s="56"/>
      <c r="AC216" s="56"/>
      <c r="AD216" s="56"/>
      <c r="AE216" s="56"/>
      <c r="AF216" s="56"/>
      <c r="AG216" s="155"/>
      <c r="AH216" s="56"/>
      <c r="AI216" s="56"/>
      <c r="AJ216" s="56"/>
      <c r="AK216" s="155"/>
      <c r="AL216" s="56"/>
      <c r="AM216" s="56"/>
      <c r="AN216" s="56"/>
    </row>
    <row r="217" spans="1:40" x14ac:dyDescent="0.25">
      <c r="A217" s="56"/>
      <c r="C217" s="56"/>
      <c r="D217" s="56"/>
      <c r="E217" s="56"/>
      <c r="F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T217" s="56"/>
      <c r="U217" s="56"/>
      <c r="V217" s="56"/>
      <c r="Y217" s="56"/>
      <c r="Z217" s="56"/>
      <c r="AA217" s="56"/>
      <c r="AB217" s="56"/>
      <c r="AC217" s="56"/>
      <c r="AD217" s="56"/>
      <c r="AE217" s="56"/>
      <c r="AF217" s="56"/>
      <c r="AG217" s="155"/>
      <c r="AH217" s="56"/>
      <c r="AI217" s="56"/>
      <c r="AJ217" s="56"/>
      <c r="AK217" s="155"/>
      <c r="AL217" s="56"/>
      <c r="AM217" s="56"/>
      <c r="AN217" s="56"/>
    </row>
    <row r="218" spans="1:40" x14ac:dyDescent="0.25">
      <c r="C218" s="56"/>
      <c r="D218" s="56"/>
      <c r="E218" s="56"/>
      <c r="F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T218" s="56"/>
      <c r="U218" s="56"/>
      <c r="V218" s="56"/>
      <c r="Y218" s="56"/>
      <c r="Z218" s="56"/>
      <c r="AA218" s="56"/>
      <c r="AB218" s="56"/>
      <c r="AC218" s="56"/>
      <c r="AD218" s="56"/>
      <c r="AE218" s="56"/>
      <c r="AF218" s="56"/>
      <c r="AG218" s="155"/>
      <c r="AH218" s="56"/>
      <c r="AI218" s="56"/>
      <c r="AJ218" s="56"/>
      <c r="AK218" s="155"/>
      <c r="AL218" s="56"/>
      <c r="AM218" s="56"/>
      <c r="AN218" s="56"/>
    </row>
    <row r="219" spans="1:40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154"/>
      <c r="AH219" s="55"/>
      <c r="AI219" s="55"/>
      <c r="AJ219" s="55"/>
      <c r="AK219" s="154"/>
      <c r="AL219" s="55"/>
      <c r="AM219" s="55"/>
      <c r="AN219" s="55"/>
    </row>
    <row r="220" spans="1:40" x14ac:dyDescent="0.25"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Y220" s="56"/>
      <c r="Z220" s="56"/>
      <c r="AA220" s="56"/>
      <c r="AB220" s="56"/>
      <c r="AC220" s="56"/>
      <c r="AD220" s="56"/>
      <c r="AE220" s="56"/>
      <c r="AF220" s="56"/>
      <c r="AG220" s="155"/>
      <c r="AH220" s="56"/>
      <c r="AI220" s="56"/>
      <c r="AJ220" s="56"/>
      <c r="AK220" s="155"/>
      <c r="AL220" s="56"/>
      <c r="AM220" s="56"/>
      <c r="AN220" s="56"/>
    </row>
    <row r="221" spans="1:40" x14ac:dyDescent="0.25">
      <c r="A221" s="53"/>
      <c r="C221" s="54"/>
      <c r="D221" s="54"/>
      <c r="E221" s="54"/>
      <c r="T221" s="54"/>
      <c r="U221" s="54"/>
    </row>
    <row r="223" spans="1:40" x14ac:dyDescent="0.25">
      <c r="A223" s="53"/>
      <c r="C223" s="54"/>
      <c r="F223" s="449"/>
      <c r="H223" s="470"/>
      <c r="I223" s="470"/>
      <c r="J223" s="461"/>
      <c r="K223" s="461"/>
      <c r="L223" s="379"/>
      <c r="M223" s="379"/>
      <c r="N223" s="53"/>
      <c r="O223" s="53"/>
      <c r="P223" s="53"/>
      <c r="Q223" s="53"/>
      <c r="R223" s="379"/>
      <c r="T223" s="54"/>
      <c r="V223" s="379"/>
      <c r="Y223" s="53"/>
      <c r="Z223" s="461"/>
      <c r="AA223" s="379"/>
      <c r="AB223" s="379"/>
      <c r="AC223" s="53"/>
      <c r="AD223" s="53"/>
      <c r="AE223" s="379"/>
      <c r="AF223" s="379"/>
      <c r="AG223" s="474"/>
      <c r="AH223" s="475"/>
      <c r="AI223" s="379"/>
      <c r="AJ223" s="379"/>
      <c r="AK223" s="156"/>
      <c r="AL223" s="379"/>
      <c r="AM223" s="476"/>
      <c r="AN223" s="476"/>
    </row>
    <row r="224" spans="1:40" x14ac:dyDescent="0.25">
      <c r="F224" s="449"/>
      <c r="H224" s="470"/>
      <c r="I224" s="470"/>
      <c r="J224" s="470"/>
      <c r="K224" s="470"/>
      <c r="R224" s="379"/>
      <c r="V224" s="379"/>
      <c r="Z224" s="470"/>
    </row>
    <row r="225" spans="1:40" x14ac:dyDescent="0.25">
      <c r="A225" s="53"/>
      <c r="C225" s="54"/>
      <c r="F225" s="449"/>
      <c r="H225" s="449"/>
      <c r="I225" s="449"/>
      <c r="J225" s="472"/>
      <c r="K225" s="472"/>
      <c r="L225" s="379"/>
      <c r="M225" s="379"/>
      <c r="N225" s="50"/>
      <c r="O225" s="50"/>
      <c r="P225" s="449"/>
      <c r="Q225" s="449"/>
      <c r="R225" s="379"/>
      <c r="T225" s="54"/>
      <c r="V225" s="379"/>
      <c r="Y225" s="379"/>
      <c r="Z225" s="463"/>
      <c r="AA225" s="379"/>
      <c r="AB225" s="379"/>
      <c r="AC225" s="50"/>
      <c r="AD225" s="50"/>
      <c r="AE225" s="379"/>
      <c r="AF225" s="379"/>
      <c r="AG225" s="156"/>
      <c r="AH225" s="60"/>
      <c r="AI225" s="449"/>
      <c r="AJ225" s="449"/>
      <c r="AK225" s="156"/>
      <c r="AL225" s="379"/>
      <c r="AM225" s="50"/>
      <c r="AN225" s="50"/>
    </row>
    <row r="226" spans="1:40" x14ac:dyDescent="0.25">
      <c r="F226" s="381"/>
      <c r="H226" s="381"/>
      <c r="I226" s="381"/>
      <c r="J226" s="464"/>
      <c r="K226" s="464"/>
      <c r="L226" s="381"/>
      <c r="M226" s="381"/>
      <c r="N226" s="381"/>
      <c r="O226" s="381"/>
      <c r="P226" s="381"/>
      <c r="Q226" s="381"/>
      <c r="R226" s="381"/>
      <c r="V226" s="381"/>
      <c r="Y226" s="381"/>
      <c r="Z226" s="464"/>
      <c r="AA226" s="381"/>
      <c r="AB226" s="381"/>
      <c r="AC226" s="381"/>
      <c r="AD226" s="381"/>
      <c r="AE226" s="381"/>
      <c r="AF226" s="381"/>
      <c r="AI226" s="381"/>
      <c r="AJ226" s="381"/>
      <c r="AK226" s="162"/>
      <c r="AL226" s="381"/>
    </row>
    <row r="227" spans="1:40" x14ac:dyDescent="0.25">
      <c r="A227" s="53"/>
      <c r="D227" s="54"/>
      <c r="E227" s="54"/>
      <c r="F227" s="379"/>
      <c r="H227" s="379"/>
      <c r="I227" s="379"/>
      <c r="J227" s="59"/>
      <c r="K227" s="59"/>
      <c r="L227" s="379"/>
      <c r="M227" s="379"/>
      <c r="N227" s="50"/>
      <c r="O227" s="50"/>
      <c r="P227" s="379"/>
      <c r="Q227" s="379"/>
      <c r="R227" s="379"/>
      <c r="U227" s="54"/>
      <c r="V227" s="379"/>
      <c r="Y227" s="379"/>
      <c r="Z227" s="59"/>
      <c r="AA227" s="379"/>
      <c r="AB227" s="379"/>
      <c r="AC227" s="50"/>
      <c r="AD227" s="50"/>
      <c r="AE227" s="379"/>
      <c r="AF227" s="379"/>
      <c r="AG227" s="156"/>
      <c r="AH227" s="60"/>
      <c r="AI227" s="379"/>
      <c r="AJ227" s="379"/>
      <c r="AK227" s="156"/>
      <c r="AL227" s="379"/>
      <c r="AM227" s="50"/>
      <c r="AN227" s="50"/>
    </row>
    <row r="228" spans="1:40" x14ac:dyDescent="0.25">
      <c r="F228" s="381"/>
      <c r="H228" s="381"/>
      <c r="I228" s="381"/>
      <c r="J228" s="464"/>
      <c r="K228" s="464"/>
      <c r="L228" s="381"/>
      <c r="M228" s="381"/>
      <c r="N228" s="381"/>
      <c r="O228" s="381"/>
      <c r="P228" s="381"/>
      <c r="Q228" s="381"/>
      <c r="R228" s="381"/>
      <c r="V228" s="381"/>
      <c r="Y228" s="381"/>
      <c r="Z228" s="464"/>
      <c r="AA228" s="381"/>
      <c r="AB228" s="381"/>
      <c r="AC228" s="381"/>
      <c r="AD228" s="381"/>
      <c r="AE228" s="381"/>
      <c r="AF228" s="381"/>
      <c r="AI228" s="381"/>
      <c r="AJ228" s="381"/>
      <c r="AK228" s="162"/>
      <c r="AL228" s="381"/>
    </row>
    <row r="229" spans="1:40" x14ac:dyDescent="0.25">
      <c r="R229" s="379"/>
    </row>
    <row r="230" spans="1:40" x14ac:dyDescent="0.25">
      <c r="R230" s="379"/>
    </row>
    <row r="231" spans="1:40" x14ac:dyDescent="0.25">
      <c r="R231" s="379"/>
    </row>
    <row r="232" spans="1:40" x14ac:dyDescent="0.25">
      <c r="A232" s="53"/>
      <c r="C232" s="54"/>
      <c r="D232" s="54"/>
      <c r="E232" s="54"/>
      <c r="H232" s="379"/>
      <c r="I232" s="379"/>
      <c r="J232" s="59"/>
      <c r="K232" s="59"/>
      <c r="L232" s="379"/>
      <c r="M232" s="379"/>
      <c r="N232" s="50"/>
      <c r="O232" s="50"/>
      <c r="P232" s="379"/>
      <c r="Q232" s="379"/>
      <c r="R232" s="379"/>
      <c r="T232" s="54"/>
      <c r="U232" s="54"/>
      <c r="Y232" s="379"/>
      <c r="Z232" s="59"/>
      <c r="AA232" s="379"/>
      <c r="AB232" s="379"/>
      <c r="AC232" s="50"/>
      <c r="AD232" s="50"/>
    </row>
    <row r="233" spans="1:40" x14ac:dyDescent="0.25">
      <c r="H233" s="379"/>
      <c r="I233" s="379"/>
      <c r="J233" s="59"/>
      <c r="K233" s="59"/>
      <c r="L233" s="379"/>
      <c r="M233" s="379"/>
      <c r="N233" s="50"/>
      <c r="O233" s="50"/>
      <c r="P233" s="379"/>
      <c r="Q233" s="379"/>
      <c r="R233" s="379"/>
      <c r="Y233" s="379"/>
      <c r="Z233" s="59"/>
      <c r="AA233" s="379"/>
      <c r="AB233" s="379"/>
      <c r="AC233" s="50"/>
      <c r="AD233" s="50"/>
    </row>
    <row r="234" spans="1:40" x14ac:dyDescent="0.25">
      <c r="A234" s="53"/>
      <c r="C234" s="54"/>
      <c r="F234" s="449"/>
      <c r="H234" s="449"/>
      <c r="I234" s="449"/>
      <c r="J234" s="61"/>
      <c r="K234" s="61"/>
      <c r="L234" s="449"/>
      <c r="M234" s="449"/>
      <c r="N234" s="50"/>
      <c r="O234" s="50"/>
      <c r="P234" s="379"/>
      <c r="Q234" s="379"/>
      <c r="R234" s="379"/>
      <c r="T234" s="54"/>
      <c r="V234" s="379"/>
      <c r="Y234" s="379"/>
      <c r="Z234" s="61"/>
      <c r="AA234" s="379"/>
      <c r="AB234" s="379"/>
      <c r="AC234" s="50"/>
      <c r="AD234" s="50"/>
      <c r="AE234" s="379"/>
      <c r="AF234" s="379"/>
      <c r="AG234" s="156"/>
      <c r="AH234" s="60"/>
      <c r="AI234" s="379"/>
      <c r="AJ234" s="379"/>
      <c r="AK234" s="156"/>
      <c r="AL234" s="379"/>
      <c r="AM234" s="50"/>
      <c r="AN234" s="50"/>
    </row>
    <row r="235" spans="1:40" x14ac:dyDescent="0.25">
      <c r="F235" s="449"/>
      <c r="H235" s="470"/>
      <c r="I235" s="470"/>
      <c r="J235" s="470"/>
      <c r="K235" s="470"/>
      <c r="R235" s="379"/>
      <c r="V235" s="379"/>
      <c r="Z235" s="470"/>
    </row>
    <row r="236" spans="1:40" x14ac:dyDescent="0.25">
      <c r="A236" s="53"/>
      <c r="C236" s="54"/>
      <c r="F236" s="449"/>
      <c r="H236" s="449"/>
      <c r="I236" s="449"/>
      <c r="J236" s="461"/>
      <c r="K236" s="461"/>
      <c r="L236" s="379"/>
      <c r="M236" s="379"/>
      <c r="N236" s="50"/>
      <c r="O236" s="50"/>
      <c r="P236" s="379"/>
      <c r="Q236" s="379"/>
      <c r="R236" s="379"/>
      <c r="T236" s="54"/>
      <c r="V236" s="379"/>
      <c r="Y236" s="379"/>
      <c r="Z236" s="461"/>
      <c r="AA236" s="379"/>
      <c r="AB236" s="379"/>
      <c r="AC236" s="50"/>
      <c r="AD236" s="50"/>
      <c r="AE236" s="379"/>
      <c r="AF236" s="379"/>
      <c r="AG236" s="156"/>
      <c r="AH236" s="60"/>
      <c r="AI236" s="379"/>
      <c r="AJ236" s="379"/>
      <c r="AK236" s="156"/>
      <c r="AL236" s="379"/>
      <c r="AM236" s="50"/>
      <c r="AN236" s="50"/>
    </row>
    <row r="237" spans="1:40" x14ac:dyDescent="0.25">
      <c r="F237" s="449"/>
      <c r="H237" s="470"/>
      <c r="I237" s="470"/>
      <c r="J237" s="470"/>
      <c r="K237" s="470"/>
      <c r="R237" s="379"/>
      <c r="V237" s="379"/>
      <c r="Z237" s="470"/>
    </row>
    <row r="238" spans="1:40" x14ac:dyDescent="0.25">
      <c r="A238" s="53"/>
      <c r="C238" s="54"/>
      <c r="F238" s="449"/>
      <c r="H238" s="449"/>
      <c r="I238" s="449"/>
      <c r="J238" s="472"/>
      <c r="K238" s="472"/>
      <c r="L238" s="379"/>
      <c r="M238" s="379"/>
      <c r="N238" s="50"/>
      <c r="O238" s="50"/>
      <c r="P238" s="379"/>
      <c r="Q238" s="379"/>
      <c r="R238" s="379"/>
      <c r="T238" s="54"/>
      <c r="V238" s="379"/>
      <c r="Y238" s="379"/>
      <c r="Z238" s="463"/>
      <c r="AA238" s="379"/>
      <c r="AB238" s="379"/>
      <c r="AC238" s="50"/>
      <c r="AD238" s="50"/>
      <c r="AE238" s="379"/>
      <c r="AF238" s="379"/>
      <c r="AG238" s="156"/>
      <c r="AH238" s="60"/>
      <c r="AI238" s="379"/>
      <c r="AJ238" s="379"/>
      <c r="AK238" s="156"/>
      <c r="AL238" s="379"/>
      <c r="AM238" s="50"/>
      <c r="AN238" s="50"/>
    </row>
    <row r="239" spans="1:40" x14ac:dyDescent="0.25">
      <c r="F239" s="381"/>
      <c r="H239" s="381"/>
      <c r="I239" s="381"/>
      <c r="J239" s="464"/>
      <c r="K239" s="464"/>
      <c r="L239" s="381"/>
      <c r="M239" s="381"/>
      <c r="N239" s="381"/>
      <c r="O239" s="381"/>
      <c r="P239" s="381"/>
      <c r="Q239" s="381"/>
      <c r="R239" s="381"/>
      <c r="S239" s="379"/>
      <c r="V239" s="381"/>
      <c r="Y239" s="381"/>
      <c r="Z239" s="464"/>
      <c r="AA239" s="381"/>
      <c r="AB239" s="381"/>
      <c r="AC239" s="381"/>
      <c r="AD239" s="381"/>
      <c r="AE239" s="381"/>
      <c r="AF239" s="381"/>
      <c r="AI239" s="381"/>
      <c r="AJ239" s="381"/>
      <c r="AK239" s="162"/>
      <c r="AL239" s="381"/>
    </row>
    <row r="240" spans="1:40" x14ac:dyDescent="0.25">
      <c r="A240" s="53"/>
      <c r="D240" s="54"/>
      <c r="E240" s="54"/>
      <c r="F240" s="379"/>
      <c r="H240" s="379"/>
      <c r="I240" s="379"/>
      <c r="J240" s="59"/>
      <c r="K240" s="59"/>
      <c r="L240" s="379"/>
      <c r="M240" s="379"/>
      <c r="N240" s="50"/>
      <c r="O240" s="50"/>
      <c r="P240" s="449"/>
      <c r="Q240" s="449"/>
      <c r="R240" s="379"/>
      <c r="S240" s="379"/>
      <c r="U240" s="54"/>
      <c r="V240" s="379"/>
      <c r="Y240" s="379"/>
      <c r="Z240" s="59"/>
      <c r="AA240" s="379"/>
      <c r="AB240" s="379"/>
      <c r="AC240" s="50"/>
      <c r="AD240" s="50"/>
      <c r="AE240" s="379"/>
      <c r="AF240" s="379"/>
      <c r="AG240" s="156"/>
      <c r="AH240" s="60"/>
      <c r="AI240" s="449"/>
      <c r="AJ240" s="449"/>
      <c r="AK240" s="156"/>
      <c r="AL240" s="379"/>
      <c r="AM240" s="50"/>
      <c r="AN240" s="50"/>
    </row>
    <row r="241" spans="1:40" x14ac:dyDescent="0.25">
      <c r="F241" s="381"/>
      <c r="H241" s="381"/>
      <c r="I241" s="381"/>
      <c r="J241" s="464"/>
      <c r="K241" s="464"/>
      <c r="L241" s="381"/>
      <c r="M241" s="381"/>
      <c r="N241" s="381"/>
      <c r="O241" s="381"/>
      <c r="P241" s="381"/>
      <c r="Q241" s="381"/>
      <c r="R241" s="381"/>
      <c r="S241" s="379"/>
      <c r="V241" s="381"/>
      <c r="Y241" s="381"/>
      <c r="Z241" s="464"/>
      <c r="AA241" s="381"/>
      <c r="AB241" s="381"/>
      <c r="AC241" s="381"/>
      <c r="AD241" s="381"/>
      <c r="AE241" s="381"/>
      <c r="AF241" s="381"/>
      <c r="AI241" s="381"/>
      <c r="AJ241" s="381"/>
      <c r="AK241" s="162"/>
      <c r="AL241" s="381"/>
    </row>
    <row r="242" spans="1:40" x14ac:dyDescent="0.25">
      <c r="R242" s="379"/>
    </row>
    <row r="243" spans="1:40" x14ac:dyDescent="0.25">
      <c r="F243" s="379"/>
      <c r="H243" s="379"/>
      <c r="I243" s="379"/>
      <c r="J243" s="59"/>
      <c r="K243" s="59"/>
      <c r="L243" s="379"/>
      <c r="M243" s="379"/>
      <c r="N243" s="379"/>
      <c r="O243" s="379"/>
      <c r="P243" s="379"/>
      <c r="Q243" s="379"/>
      <c r="R243" s="379"/>
      <c r="V243" s="379"/>
      <c r="Y243" s="379"/>
      <c r="Z243" s="59"/>
      <c r="AA243" s="379"/>
      <c r="AB243" s="379"/>
      <c r="AC243" s="379"/>
      <c r="AD243" s="379"/>
    </row>
    <row r="244" spans="1:40" x14ac:dyDescent="0.25">
      <c r="C244" s="54"/>
      <c r="F244" s="379"/>
      <c r="H244" s="379"/>
      <c r="I244" s="379"/>
      <c r="J244" s="59"/>
      <c r="K244" s="59"/>
      <c r="L244" s="379"/>
      <c r="M244" s="379"/>
      <c r="N244" s="379"/>
      <c r="O244" s="379"/>
      <c r="P244" s="379"/>
      <c r="Q244" s="379"/>
      <c r="R244" s="379"/>
      <c r="T244" s="54"/>
      <c r="V244" s="379"/>
      <c r="Y244" s="379"/>
      <c r="Z244" s="59"/>
      <c r="AA244" s="379"/>
      <c r="AB244" s="379"/>
      <c r="AC244" s="379"/>
      <c r="AD244" s="379"/>
    </row>
    <row r="245" spans="1:40" x14ac:dyDescent="0.25">
      <c r="C245" s="54"/>
      <c r="T245" s="54"/>
    </row>
    <row r="246" spans="1:40" x14ac:dyDescent="0.25">
      <c r="A246" s="54"/>
    </row>
    <row r="248" spans="1:40" x14ac:dyDescent="0.25">
      <c r="J248" s="53"/>
      <c r="K248" s="53"/>
      <c r="Z248" s="53"/>
    </row>
    <row r="249" spans="1:40" x14ac:dyDescent="0.25">
      <c r="H249" s="54"/>
      <c r="I249" s="54"/>
      <c r="Y249" s="54"/>
    </row>
    <row r="250" spans="1:40" x14ac:dyDescent="0.25">
      <c r="J250" s="53"/>
      <c r="K250" s="53"/>
      <c r="Z250" s="53"/>
    </row>
    <row r="251" spans="1:40" x14ac:dyDescent="0.25">
      <c r="L251" s="54"/>
      <c r="M251" s="54"/>
      <c r="AA251" s="54"/>
      <c r="AB251" s="54"/>
    </row>
    <row r="252" spans="1:40" x14ac:dyDescent="0.25">
      <c r="A252" s="53"/>
      <c r="R252" s="54"/>
      <c r="AK252" s="161"/>
      <c r="AL252" s="54"/>
    </row>
    <row r="253" spans="1:40" x14ac:dyDescent="0.25">
      <c r="A253" s="53"/>
      <c r="R253" s="54"/>
      <c r="AK253" s="161"/>
      <c r="AL253" s="54"/>
    </row>
    <row r="254" spans="1:40" x14ac:dyDescent="0.25">
      <c r="A254" s="54"/>
      <c r="R254" s="54"/>
      <c r="AK254" s="161"/>
      <c r="AL254" s="54"/>
    </row>
    <row r="255" spans="1:40" x14ac:dyDescent="0.25">
      <c r="L255" s="54"/>
      <c r="M255" s="54"/>
      <c r="R255" s="53"/>
      <c r="AA255" s="54"/>
      <c r="AB255" s="54"/>
      <c r="AK255" s="156"/>
      <c r="AL255" s="53"/>
    </row>
    <row r="256" spans="1:40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154"/>
      <c r="AH256" s="55"/>
      <c r="AI256" s="55"/>
      <c r="AJ256" s="55"/>
      <c r="AK256" s="154"/>
      <c r="AL256" s="55"/>
      <c r="AM256" s="55"/>
      <c r="AN256" s="55"/>
    </row>
    <row r="257" spans="1:40" x14ac:dyDescent="0.25">
      <c r="L257" s="56"/>
      <c r="M257" s="56"/>
      <c r="N257" s="56"/>
      <c r="O257" s="56"/>
      <c r="R257" s="56"/>
      <c r="AA257" s="56"/>
      <c r="AB257" s="56"/>
      <c r="AC257" s="56"/>
      <c r="AD257" s="56"/>
      <c r="AE257" s="56"/>
      <c r="AF257" s="56"/>
      <c r="AG257" s="155"/>
      <c r="AH257" s="56"/>
      <c r="AK257" s="155"/>
      <c r="AL257" s="56"/>
      <c r="AM257" s="56"/>
      <c r="AN257" s="56"/>
    </row>
    <row r="258" spans="1:40" x14ac:dyDescent="0.25">
      <c r="L258" s="56"/>
      <c r="M258" s="56"/>
      <c r="N258" s="56"/>
      <c r="O258" s="56"/>
      <c r="R258" s="56"/>
      <c r="Z258" s="56"/>
      <c r="AA258" s="56"/>
      <c r="AB258" s="56"/>
      <c r="AC258" s="56"/>
      <c r="AD258" s="56"/>
      <c r="AE258" s="56"/>
      <c r="AF258" s="56"/>
      <c r="AG258" s="155"/>
      <c r="AH258" s="56"/>
      <c r="AK258" s="155"/>
      <c r="AL258" s="56"/>
      <c r="AM258" s="56"/>
      <c r="AN258" s="56"/>
    </row>
    <row r="259" spans="1:40" x14ac:dyDescent="0.25">
      <c r="A259" s="56"/>
      <c r="C259" s="56"/>
      <c r="D259" s="56"/>
      <c r="E259" s="56"/>
      <c r="F259" s="56"/>
      <c r="J259" s="56"/>
      <c r="K259" s="56"/>
      <c r="L259" s="56"/>
      <c r="M259" s="56"/>
      <c r="N259" s="56"/>
      <c r="O259" s="56"/>
      <c r="P259" s="56"/>
      <c r="Q259" s="56"/>
      <c r="R259" s="56"/>
      <c r="T259" s="56"/>
      <c r="U259" s="56"/>
      <c r="V259" s="56"/>
      <c r="Z259" s="56"/>
      <c r="AA259" s="56"/>
      <c r="AB259" s="56"/>
      <c r="AC259" s="56"/>
      <c r="AD259" s="56"/>
      <c r="AE259" s="56"/>
      <c r="AF259" s="56"/>
      <c r="AG259" s="155"/>
      <c r="AH259" s="56"/>
      <c r="AI259" s="56"/>
      <c r="AJ259" s="56"/>
      <c r="AK259" s="155"/>
      <c r="AL259" s="56"/>
      <c r="AM259" s="56"/>
      <c r="AN259" s="56"/>
    </row>
    <row r="260" spans="1:40" x14ac:dyDescent="0.25">
      <c r="A260" s="56"/>
      <c r="C260" s="56"/>
      <c r="D260" s="56"/>
      <c r="E260" s="56"/>
      <c r="F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T260" s="56"/>
      <c r="U260" s="56"/>
      <c r="V260" s="56"/>
      <c r="Y260" s="56"/>
      <c r="Z260" s="56"/>
      <c r="AA260" s="56"/>
      <c r="AB260" s="56"/>
      <c r="AC260" s="56"/>
      <c r="AD260" s="56"/>
      <c r="AE260" s="56"/>
      <c r="AF260" s="56"/>
      <c r="AG260" s="155"/>
      <c r="AH260" s="56"/>
      <c r="AI260" s="56"/>
      <c r="AJ260" s="56"/>
      <c r="AK260" s="155"/>
      <c r="AL260" s="56"/>
      <c r="AM260" s="56"/>
      <c r="AN260" s="56"/>
    </row>
    <row r="261" spans="1:40" x14ac:dyDescent="0.25">
      <c r="C261" s="56"/>
      <c r="D261" s="56"/>
      <c r="E261" s="56"/>
      <c r="F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T261" s="56"/>
      <c r="U261" s="56"/>
      <c r="V261" s="56"/>
      <c r="Y261" s="56"/>
      <c r="Z261" s="56"/>
      <c r="AA261" s="56"/>
      <c r="AB261" s="56"/>
      <c r="AC261" s="56"/>
      <c r="AD261" s="56"/>
      <c r="AE261" s="56"/>
      <c r="AF261" s="56"/>
      <c r="AG261" s="155"/>
      <c r="AH261" s="56"/>
      <c r="AI261" s="56"/>
      <c r="AJ261" s="56"/>
      <c r="AK261" s="155"/>
      <c r="AL261" s="56"/>
      <c r="AM261" s="56"/>
      <c r="AN261" s="56"/>
    </row>
    <row r="262" spans="1:40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154"/>
      <c r="AH262" s="55"/>
      <c r="AI262" s="55"/>
      <c r="AJ262" s="55"/>
      <c r="AK262" s="154"/>
      <c r="AL262" s="55"/>
      <c r="AM262" s="55"/>
      <c r="AN262" s="55"/>
    </row>
    <row r="263" spans="1:40" x14ac:dyDescent="0.25"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Y263" s="56"/>
      <c r="Z263" s="56"/>
      <c r="AA263" s="56"/>
      <c r="AB263" s="56"/>
      <c r="AC263" s="56"/>
      <c r="AD263" s="56"/>
      <c r="AE263" s="56"/>
      <c r="AF263" s="56"/>
      <c r="AG263" s="155"/>
      <c r="AH263" s="56"/>
      <c r="AI263" s="56"/>
      <c r="AJ263" s="56"/>
      <c r="AK263" s="155"/>
      <c r="AL263" s="56"/>
      <c r="AM263" s="56"/>
      <c r="AN263" s="56"/>
    </row>
    <row r="264" spans="1:40" x14ac:dyDescent="0.25">
      <c r="A264" s="53"/>
      <c r="C264" s="54"/>
      <c r="D264" s="54"/>
      <c r="E264" s="54"/>
      <c r="T264" s="54"/>
      <c r="U264" s="54"/>
    </row>
    <row r="265" spans="1:40" x14ac:dyDescent="0.25">
      <c r="A265" s="53"/>
      <c r="D265" s="54"/>
      <c r="E265" s="54"/>
      <c r="U265" s="54"/>
    </row>
    <row r="267" spans="1:40" x14ac:dyDescent="0.25">
      <c r="A267" s="53"/>
      <c r="C267" s="54"/>
      <c r="F267" s="379"/>
      <c r="J267" s="62"/>
      <c r="K267" s="62"/>
      <c r="L267" s="379"/>
      <c r="M267" s="379"/>
      <c r="R267" s="379"/>
      <c r="T267" s="54"/>
      <c r="V267" s="379"/>
      <c r="Z267" s="62"/>
      <c r="AA267" s="379"/>
      <c r="AB267" s="379"/>
      <c r="AK267" s="156"/>
      <c r="AL267" s="379"/>
    </row>
    <row r="268" spans="1:40" x14ac:dyDescent="0.25">
      <c r="F268" s="379"/>
      <c r="R268" s="379"/>
      <c r="V268" s="379"/>
      <c r="AK268" s="156"/>
      <c r="AL268" s="379"/>
    </row>
    <row r="269" spans="1:40" x14ac:dyDescent="0.25">
      <c r="A269" s="53"/>
      <c r="C269" s="54"/>
      <c r="F269" s="449"/>
      <c r="H269" s="449"/>
      <c r="I269" s="449"/>
      <c r="J269" s="461"/>
      <c r="K269" s="461"/>
      <c r="L269" s="379"/>
      <c r="M269" s="379"/>
      <c r="N269" s="50"/>
      <c r="O269" s="50"/>
      <c r="P269" s="379"/>
      <c r="Q269" s="379"/>
      <c r="R269" s="379"/>
      <c r="T269" s="54"/>
      <c r="V269" s="379"/>
      <c r="Y269" s="379"/>
      <c r="Z269" s="461"/>
      <c r="AA269" s="379"/>
      <c r="AB269" s="379"/>
      <c r="AC269" s="50"/>
      <c r="AD269" s="50"/>
      <c r="AE269" s="379"/>
      <c r="AF269" s="379"/>
      <c r="AG269" s="156"/>
      <c r="AH269" s="60"/>
      <c r="AI269" s="379"/>
      <c r="AJ269" s="379"/>
      <c r="AK269" s="156"/>
      <c r="AL269" s="379"/>
      <c r="AM269" s="50"/>
      <c r="AN269" s="50"/>
    </row>
    <row r="270" spans="1:40" x14ac:dyDescent="0.25">
      <c r="A270" s="53"/>
      <c r="C270" s="54"/>
      <c r="F270" s="449"/>
      <c r="H270" s="470"/>
      <c r="I270" s="470"/>
      <c r="J270" s="461"/>
      <c r="K270" s="461"/>
      <c r="L270" s="379"/>
      <c r="M270" s="379"/>
      <c r="N270" s="50"/>
      <c r="O270" s="50"/>
      <c r="P270" s="379"/>
      <c r="Q270" s="379"/>
      <c r="R270" s="379"/>
      <c r="T270" s="54"/>
      <c r="V270" s="379"/>
      <c r="Y270" s="379"/>
      <c r="Z270" s="461"/>
      <c r="AA270" s="379"/>
      <c r="AB270" s="379"/>
      <c r="AC270" s="50"/>
      <c r="AD270" s="50"/>
      <c r="AE270" s="379"/>
      <c r="AF270" s="379"/>
      <c r="AG270" s="156"/>
      <c r="AH270" s="60"/>
      <c r="AI270" s="379"/>
      <c r="AJ270" s="379"/>
      <c r="AK270" s="156"/>
      <c r="AL270" s="379"/>
      <c r="AM270" s="50"/>
      <c r="AN270" s="50"/>
    </row>
    <row r="271" spans="1:40" x14ac:dyDescent="0.25">
      <c r="F271" s="381"/>
      <c r="H271" s="379"/>
      <c r="I271" s="379"/>
      <c r="J271" s="464"/>
      <c r="K271" s="464"/>
      <c r="L271" s="381"/>
      <c r="M271" s="381"/>
      <c r="N271" s="381"/>
      <c r="O271" s="381"/>
      <c r="P271" s="381"/>
      <c r="Q271" s="381"/>
      <c r="R271" s="381"/>
      <c r="V271" s="381"/>
      <c r="Y271" s="379"/>
      <c r="Z271" s="464"/>
      <c r="AA271" s="381"/>
      <c r="AB271" s="381"/>
      <c r="AC271" s="381"/>
      <c r="AD271" s="381"/>
      <c r="AE271" s="381"/>
      <c r="AF271" s="381"/>
      <c r="AI271" s="381"/>
      <c r="AJ271" s="381"/>
      <c r="AK271" s="162"/>
      <c r="AL271" s="381"/>
    </row>
    <row r="272" spans="1:40" x14ac:dyDescent="0.25">
      <c r="A272" s="53"/>
      <c r="C272" s="54"/>
      <c r="F272" s="379"/>
      <c r="H272" s="379"/>
      <c r="I272" s="379"/>
      <c r="J272" s="59"/>
      <c r="K272" s="59"/>
      <c r="L272" s="379"/>
      <c r="M272" s="379"/>
      <c r="N272" s="50"/>
      <c r="O272" s="50"/>
      <c r="P272" s="379"/>
      <c r="Q272" s="379"/>
      <c r="R272" s="379"/>
      <c r="T272" s="54"/>
      <c r="V272" s="379"/>
      <c r="Y272" s="379"/>
      <c r="Z272" s="59"/>
      <c r="AA272" s="379"/>
      <c r="AB272" s="379"/>
      <c r="AC272" s="50"/>
      <c r="AD272" s="50"/>
      <c r="AE272" s="379"/>
      <c r="AF272" s="379"/>
      <c r="AG272" s="156"/>
      <c r="AH272" s="60"/>
      <c r="AI272" s="379"/>
      <c r="AJ272" s="379"/>
      <c r="AK272" s="156"/>
      <c r="AL272" s="379"/>
      <c r="AM272" s="50"/>
      <c r="AN272" s="50"/>
    </row>
    <row r="273" spans="1:40" x14ac:dyDescent="0.25">
      <c r="F273" s="381"/>
      <c r="H273" s="379"/>
      <c r="I273" s="379"/>
      <c r="J273" s="464"/>
      <c r="K273" s="464"/>
      <c r="L273" s="381"/>
      <c r="M273" s="381"/>
      <c r="N273" s="381"/>
      <c r="O273" s="381"/>
      <c r="P273" s="381"/>
      <c r="Q273" s="381"/>
      <c r="R273" s="381"/>
      <c r="V273" s="381"/>
      <c r="Y273" s="379"/>
      <c r="Z273" s="464"/>
      <c r="AA273" s="381"/>
      <c r="AB273" s="381"/>
      <c r="AC273" s="381"/>
      <c r="AD273" s="381"/>
      <c r="AE273" s="381"/>
      <c r="AF273" s="381"/>
      <c r="AI273" s="381"/>
      <c r="AJ273" s="381"/>
      <c r="AK273" s="162"/>
      <c r="AL273" s="381"/>
    </row>
    <row r="274" spans="1:40" x14ac:dyDescent="0.25">
      <c r="F274" s="379"/>
      <c r="R274" s="379"/>
      <c r="V274" s="379"/>
      <c r="AK274" s="156"/>
      <c r="AL274" s="379"/>
    </row>
    <row r="275" spans="1:40" x14ac:dyDescent="0.25">
      <c r="A275" s="53"/>
      <c r="C275" s="54"/>
      <c r="F275" s="379"/>
      <c r="R275" s="379"/>
      <c r="T275" s="54"/>
      <c r="V275" s="379"/>
      <c r="AK275" s="156"/>
      <c r="AL275" s="379"/>
    </row>
    <row r="276" spans="1:40" x14ac:dyDescent="0.25">
      <c r="F276" s="379"/>
      <c r="R276" s="379"/>
      <c r="V276" s="379"/>
      <c r="AK276" s="156"/>
      <c r="AL276" s="379"/>
    </row>
    <row r="277" spans="1:40" x14ac:dyDescent="0.25">
      <c r="A277" s="53"/>
      <c r="C277" s="54"/>
      <c r="F277" s="379"/>
      <c r="H277" s="449"/>
      <c r="I277" s="449"/>
      <c r="J277" s="472"/>
      <c r="K277" s="472"/>
      <c r="L277" s="379"/>
      <c r="M277" s="379"/>
      <c r="N277" s="50"/>
      <c r="O277" s="50"/>
      <c r="P277" s="449"/>
      <c r="Q277" s="449"/>
      <c r="R277" s="379"/>
      <c r="T277" s="54"/>
      <c r="V277" s="379"/>
      <c r="Y277" s="379"/>
      <c r="Z277" s="463"/>
      <c r="AA277" s="379"/>
      <c r="AB277" s="379"/>
      <c r="AC277" s="50"/>
      <c r="AD277" s="50"/>
      <c r="AE277" s="379"/>
      <c r="AF277" s="379"/>
      <c r="AG277" s="156"/>
      <c r="AH277" s="60"/>
      <c r="AI277" s="449"/>
      <c r="AJ277" s="449"/>
      <c r="AK277" s="156"/>
      <c r="AL277" s="379"/>
      <c r="AM277" s="50"/>
      <c r="AN277" s="50"/>
    </row>
    <row r="278" spans="1:40" x14ac:dyDescent="0.25">
      <c r="F278" s="381"/>
      <c r="H278" s="381"/>
      <c r="I278" s="381"/>
      <c r="J278" s="464"/>
      <c r="K278" s="464"/>
      <c r="L278" s="381"/>
      <c r="M278" s="381"/>
      <c r="N278" s="381"/>
      <c r="O278" s="381"/>
      <c r="P278" s="381"/>
      <c r="Q278" s="381"/>
      <c r="R278" s="381"/>
      <c r="V278" s="381"/>
      <c r="Y278" s="381"/>
      <c r="Z278" s="464"/>
      <c r="AA278" s="381"/>
      <c r="AB278" s="381"/>
      <c r="AC278" s="381"/>
      <c r="AD278" s="381"/>
      <c r="AE278" s="381"/>
      <c r="AF278" s="381"/>
      <c r="AI278" s="381"/>
      <c r="AJ278" s="381"/>
      <c r="AK278" s="162"/>
      <c r="AL278" s="381"/>
    </row>
    <row r="280" spans="1:40" x14ac:dyDescent="0.25">
      <c r="A280" s="53"/>
      <c r="C280" s="54"/>
      <c r="F280" s="379"/>
      <c r="H280" s="379"/>
      <c r="I280" s="379"/>
      <c r="J280" s="62"/>
      <c r="K280" s="62"/>
      <c r="L280" s="379"/>
      <c r="M280" s="379"/>
      <c r="N280" s="50"/>
      <c r="O280" s="50"/>
      <c r="P280" s="379"/>
      <c r="Q280" s="379"/>
      <c r="R280" s="379"/>
      <c r="T280" s="54"/>
      <c r="V280" s="379"/>
      <c r="Y280" s="379"/>
      <c r="Z280" s="62"/>
      <c r="AA280" s="379"/>
      <c r="AB280" s="379"/>
      <c r="AC280" s="50"/>
      <c r="AD280" s="50"/>
      <c r="AE280" s="379"/>
      <c r="AF280" s="379"/>
      <c r="AG280" s="156"/>
      <c r="AH280" s="60"/>
      <c r="AI280" s="379"/>
      <c r="AJ280" s="379"/>
      <c r="AK280" s="156"/>
      <c r="AL280" s="379"/>
      <c r="AM280" s="50"/>
      <c r="AN280" s="50"/>
    </row>
    <row r="281" spans="1:40" x14ac:dyDescent="0.25">
      <c r="F281" s="381"/>
      <c r="H281" s="381"/>
      <c r="I281" s="381"/>
      <c r="J281" s="464"/>
      <c r="K281" s="464"/>
      <c r="L281" s="381"/>
      <c r="M281" s="381"/>
      <c r="N281" s="381"/>
      <c r="O281" s="381"/>
      <c r="P281" s="381"/>
      <c r="Q281" s="381"/>
      <c r="R281" s="381"/>
      <c r="V281" s="381"/>
      <c r="Y281" s="381"/>
      <c r="Z281" s="464"/>
      <c r="AA281" s="381"/>
      <c r="AB281" s="381"/>
      <c r="AC281" s="381"/>
      <c r="AD281" s="381"/>
      <c r="AE281" s="381"/>
      <c r="AF281" s="381"/>
      <c r="AI281" s="381"/>
      <c r="AJ281" s="381"/>
      <c r="AK281" s="162"/>
      <c r="AL281" s="381"/>
    </row>
    <row r="282" spans="1:40" x14ac:dyDescent="0.25">
      <c r="R282" s="379"/>
      <c r="AG282" s="156"/>
      <c r="AH282" s="379"/>
    </row>
    <row r="283" spans="1:40" x14ac:dyDescent="0.25">
      <c r="F283" s="379"/>
      <c r="H283" s="379"/>
      <c r="I283" s="379"/>
      <c r="J283" s="59"/>
      <c r="K283" s="59"/>
      <c r="L283" s="379"/>
      <c r="M283" s="379"/>
      <c r="N283" s="379"/>
      <c r="O283" s="379"/>
      <c r="P283" s="379"/>
      <c r="Q283" s="379"/>
      <c r="R283" s="379"/>
      <c r="V283" s="379"/>
      <c r="Y283" s="379"/>
      <c r="Z283" s="59"/>
      <c r="AA283" s="379"/>
      <c r="AB283" s="379"/>
      <c r="AC283" s="379"/>
      <c r="AD283" s="379"/>
      <c r="AE283" s="379"/>
      <c r="AF283" s="379"/>
      <c r="AG283" s="156"/>
      <c r="AH283" s="379"/>
    </row>
    <row r="284" spans="1:40" x14ac:dyDescent="0.25">
      <c r="C284" s="54"/>
      <c r="F284" s="379"/>
      <c r="H284" s="379"/>
      <c r="I284" s="379"/>
      <c r="J284" s="59"/>
      <c r="K284" s="59"/>
      <c r="L284" s="379"/>
      <c r="M284" s="379"/>
      <c r="N284" s="379"/>
      <c r="O284" s="379"/>
      <c r="P284" s="379"/>
      <c r="Q284" s="379"/>
      <c r="R284" s="379"/>
      <c r="T284" s="54"/>
      <c r="V284" s="379"/>
      <c r="Y284" s="379"/>
      <c r="Z284" s="59"/>
      <c r="AA284" s="379"/>
      <c r="AB284" s="379"/>
      <c r="AC284" s="379"/>
      <c r="AD284" s="379"/>
      <c r="AE284" s="379"/>
      <c r="AF284" s="379"/>
      <c r="AG284" s="156"/>
      <c r="AH284" s="379"/>
    </row>
    <row r="285" spans="1:40" x14ac:dyDescent="0.25">
      <c r="A285" s="54"/>
    </row>
    <row r="287" spans="1:40" x14ac:dyDescent="0.25">
      <c r="J287" s="53"/>
      <c r="K287" s="53"/>
      <c r="Z287" s="53"/>
    </row>
    <row r="288" spans="1:40" x14ac:dyDescent="0.25">
      <c r="H288" s="54"/>
      <c r="I288" s="54"/>
      <c r="Y288" s="54"/>
    </row>
    <row r="289" spans="1:40" x14ac:dyDescent="0.25">
      <c r="J289" s="53"/>
      <c r="K289" s="53"/>
      <c r="Z289" s="53"/>
    </row>
    <row r="290" spans="1:40" x14ac:dyDescent="0.25">
      <c r="L290" s="54"/>
      <c r="M290" s="54"/>
      <c r="AA290" s="54"/>
      <c r="AB290" s="54"/>
    </row>
    <row r="291" spans="1:40" x14ac:dyDescent="0.25">
      <c r="A291" s="53"/>
      <c r="R291" s="54"/>
      <c r="AK291" s="161"/>
      <c r="AL291" s="54"/>
    </row>
    <row r="292" spans="1:40" x14ac:dyDescent="0.25">
      <c r="A292" s="53"/>
      <c r="R292" s="54"/>
      <c r="AK292" s="161"/>
      <c r="AL292" s="54"/>
    </row>
    <row r="293" spans="1:40" x14ac:dyDescent="0.25">
      <c r="A293" s="54"/>
      <c r="R293" s="54"/>
      <c r="AK293" s="161"/>
      <c r="AL293" s="54"/>
    </row>
    <row r="294" spans="1:40" x14ac:dyDescent="0.25">
      <c r="L294" s="54"/>
      <c r="M294" s="54"/>
      <c r="R294" s="53"/>
      <c r="AA294" s="54"/>
      <c r="AB294" s="54"/>
      <c r="AK294" s="156"/>
      <c r="AL294" s="53"/>
    </row>
    <row r="295" spans="1:40" x14ac:dyDescent="0.25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154"/>
      <c r="AH295" s="55"/>
      <c r="AI295" s="55"/>
      <c r="AJ295" s="55"/>
      <c r="AK295" s="154"/>
      <c r="AL295" s="55"/>
      <c r="AM295" s="55"/>
      <c r="AN295" s="55"/>
    </row>
    <row r="296" spans="1:40" x14ac:dyDescent="0.25">
      <c r="L296" s="56"/>
      <c r="M296" s="56"/>
      <c r="N296" s="56"/>
      <c r="O296" s="56"/>
      <c r="R296" s="56"/>
      <c r="AA296" s="56"/>
      <c r="AB296" s="56"/>
      <c r="AC296" s="56"/>
      <c r="AD296" s="56"/>
      <c r="AE296" s="56"/>
      <c r="AF296" s="56"/>
      <c r="AG296" s="155"/>
      <c r="AH296" s="56"/>
      <c r="AK296" s="155"/>
      <c r="AL296" s="56"/>
      <c r="AM296" s="56"/>
      <c r="AN296" s="56"/>
    </row>
    <row r="297" spans="1:40" x14ac:dyDescent="0.25">
      <c r="L297" s="56"/>
      <c r="M297" s="56"/>
      <c r="N297" s="56"/>
      <c r="O297" s="56"/>
      <c r="R297" s="56"/>
      <c r="Z297" s="56"/>
      <c r="AA297" s="56"/>
      <c r="AB297" s="56"/>
      <c r="AC297" s="56"/>
      <c r="AD297" s="56"/>
      <c r="AE297" s="56"/>
      <c r="AF297" s="56"/>
      <c r="AG297" s="155"/>
      <c r="AH297" s="56"/>
      <c r="AK297" s="155"/>
      <c r="AL297" s="56"/>
      <c r="AM297" s="56"/>
      <c r="AN297" s="56"/>
    </row>
    <row r="298" spans="1:40" x14ac:dyDescent="0.25">
      <c r="A298" s="56"/>
      <c r="C298" s="56"/>
      <c r="D298" s="56"/>
      <c r="E298" s="56"/>
      <c r="F298" s="56"/>
      <c r="J298" s="56"/>
      <c r="K298" s="56"/>
      <c r="L298" s="56"/>
      <c r="M298" s="56"/>
      <c r="N298" s="56"/>
      <c r="O298" s="56"/>
      <c r="P298" s="56"/>
      <c r="Q298" s="56"/>
      <c r="R298" s="56"/>
      <c r="T298" s="56"/>
      <c r="U298" s="56"/>
      <c r="V298" s="56"/>
      <c r="Z298" s="56"/>
      <c r="AA298" s="56"/>
      <c r="AB298" s="56"/>
      <c r="AC298" s="56"/>
      <c r="AD298" s="56"/>
      <c r="AE298" s="56"/>
      <c r="AF298" s="56"/>
      <c r="AG298" s="155"/>
      <c r="AH298" s="56"/>
      <c r="AI298" s="56"/>
      <c r="AJ298" s="56"/>
      <c r="AK298" s="155"/>
      <c r="AL298" s="56"/>
      <c r="AM298" s="56"/>
      <c r="AN298" s="56"/>
    </row>
    <row r="299" spans="1:40" x14ac:dyDescent="0.25">
      <c r="A299" s="56"/>
      <c r="C299" s="56"/>
      <c r="D299" s="56"/>
      <c r="E299" s="56"/>
      <c r="F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T299" s="56"/>
      <c r="U299" s="56"/>
      <c r="V299" s="56"/>
      <c r="Y299" s="56"/>
      <c r="Z299" s="56"/>
      <c r="AA299" s="56"/>
      <c r="AB299" s="56"/>
      <c r="AC299" s="56"/>
      <c r="AD299" s="56"/>
      <c r="AE299" s="56"/>
      <c r="AF299" s="56"/>
      <c r="AG299" s="155"/>
      <c r="AH299" s="56"/>
      <c r="AI299" s="56"/>
      <c r="AJ299" s="56"/>
      <c r="AK299" s="155"/>
      <c r="AL299" s="56"/>
      <c r="AM299" s="56"/>
      <c r="AN299" s="56"/>
    </row>
    <row r="300" spans="1:40" x14ac:dyDescent="0.25">
      <c r="C300" s="56"/>
      <c r="D300" s="56"/>
      <c r="E300" s="56"/>
      <c r="F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T300" s="56"/>
      <c r="U300" s="56"/>
      <c r="V300" s="56"/>
      <c r="Y300" s="56"/>
      <c r="Z300" s="56"/>
      <c r="AA300" s="56"/>
      <c r="AB300" s="56"/>
      <c r="AC300" s="56"/>
      <c r="AD300" s="56"/>
      <c r="AE300" s="56"/>
      <c r="AF300" s="56"/>
      <c r="AG300" s="155"/>
      <c r="AH300" s="56"/>
      <c r="AI300" s="56"/>
      <c r="AJ300" s="56"/>
      <c r="AK300" s="155"/>
      <c r="AL300" s="56"/>
      <c r="AM300" s="56"/>
      <c r="AN300" s="56"/>
    </row>
    <row r="301" spans="1:40" x14ac:dyDescent="0.25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154"/>
      <c r="AH301" s="55"/>
      <c r="AI301" s="55"/>
      <c r="AJ301" s="55"/>
      <c r="AK301" s="154"/>
      <c r="AL301" s="55"/>
      <c r="AM301" s="55"/>
      <c r="AN301" s="55"/>
    </row>
    <row r="302" spans="1:40" x14ac:dyDescent="0.25"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Y302" s="56"/>
      <c r="Z302" s="56"/>
      <c r="AA302" s="56"/>
      <c r="AB302" s="56"/>
      <c r="AC302" s="56"/>
      <c r="AD302" s="56"/>
      <c r="AE302" s="56"/>
      <c r="AF302" s="56"/>
      <c r="AG302" s="155"/>
      <c r="AH302" s="56"/>
      <c r="AI302" s="56"/>
      <c r="AJ302" s="56"/>
      <c r="AK302" s="155"/>
      <c r="AL302" s="56"/>
      <c r="AM302" s="56"/>
      <c r="AN302" s="56"/>
    </row>
    <row r="303" spans="1:40" x14ac:dyDescent="0.25">
      <c r="A303" s="53"/>
      <c r="C303" s="54"/>
      <c r="D303" s="54"/>
      <c r="E303" s="54"/>
      <c r="T303" s="54"/>
      <c r="U303" s="54"/>
    </row>
    <row r="304" spans="1:40" x14ac:dyDescent="0.25">
      <c r="A304" s="53"/>
      <c r="C304" s="54"/>
      <c r="T304" s="54"/>
    </row>
    <row r="306" spans="1:40" x14ac:dyDescent="0.25">
      <c r="A306" s="53"/>
      <c r="C306" s="54"/>
      <c r="F306" s="449"/>
      <c r="H306" s="449"/>
      <c r="I306" s="449"/>
      <c r="J306" s="461"/>
      <c r="K306" s="461"/>
      <c r="L306" s="379"/>
      <c r="M306" s="379"/>
      <c r="N306" s="50"/>
      <c r="O306" s="50"/>
      <c r="P306" s="53"/>
      <c r="Q306" s="53"/>
      <c r="R306" s="379"/>
      <c r="T306" s="54"/>
      <c r="V306" s="379"/>
      <c r="Y306" s="449"/>
      <c r="Z306" s="461"/>
      <c r="AA306" s="379"/>
      <c r="AB306" s="379"/>
      <c r="AC306" s="50"/>
      <c r="AD306" s="50"/>
      <c r="AE306" s="379"/>
      <c r="AF306" s="379"/>
      <c r="AG306" s="156"/>
      <c r="AH306" s="60"/>
      <c r="AI306" s="53"/>
      <c r="AJ306" s="53"/>
      <c r="AK306" s="156"/>
      <c r="AL306" s="379"/>
      <c r="AM306" s="50"/>
      <c r="AN306" s="50"/>
    </row>
    <row r="307" spans="1:40" x14ac:dyDescent="0.25">
      <c r="F307" s="381"/>
      <c r="H307" s="379"/>
      <c r="I307" s="379"/>
      <c r="J307" s="464"/>
      <c r="K307" s="464"/>
      <c r="L307" s="381"/>
      <c r="M307" s="381"/>
      <c r="N307" s="381"/>
      <c r="O307" s="381"/>
      <c r="P307" s="381"/>
      <c r="Q307" s="381"/>
      <c r="R307" s="381"/>
      <c r="V307" s="381"/>
      <c r="Y307" s="379"/>
      <c r="Z307" s="464"/>
      <c r="AA307" s="381"/>
      <c r="AB307" s="381"/>
      <c r="AC307" s="381"/>
      <c r="AD307" s="381"/>
      <c r="AE307" s="381"/>
      <c r="AF307" s="381"/>
      <c r="AI307" s="381"/>
      <c r="AJ307" s="381"/>
      <c r="AK307" s="162"/>
      <c r="AL307" s="381"/>
      <c r="AM307" s="50"/>
      <c r="AN307" s="50"/>
    </row>
    <row r="308" spans="1:40" x14ac:dyDescent="0.25">
      <c r="A308" s="53"/>
      <c r="C308" s="54"/>
      <c r="F308" s="449"/>
      <c r="H308" s="449"/>
      <c r="I308" s="449"/>
      <c r="J308" s="477"/>
      <c r="K308" s="477"/>
      <c r="L308" s="379"/>
      <c r="M308" s="379"/>
      <c r="N308" s="50"/>
      <c r="O308" s="50"/>
      <c r="P308" s="379"/>
      <c r="Q308" s="379"/>
      <c r="R308" s="379"/>
      <c r="S308" s="379"/>
      <c r="T308" s="54"/>
      <c r="V308" s="449"/>
      <c r="Y308" s="449"/>
      <c r="Z308" s="477"/>
      <c r="AA308" s="379"/>
      <c r="AB308" s="379"/>
      <c r="AC308" s="50"/>
      <c r="AD308" s="50"/>
      <c r="AE308" s="379"/>
      <c r="AF308" s="379"/>
      <c r="AG308" s="156"/>
      <c r="AH308" s="50"/>
      <c r="AI308" s="379"/>
      <c r="AJ308" s="379"/>
      <c r="AK308" s="156"/>
      <c r="AL308" s="379"/>
      <c r="AM308" s="50"/>
      <c r="AN308" s="50"/>
    </row>
    <row r="309" spans="1:40" x14ac:dyDescent="0.25">
      <c r="A309" s="53"/>
      <c r="C309" s="54"/>
      <c r="F309" s="449"/>
      <c r="H309" s="449"/>
      <c r="I309" s="449"/>
      <c r="J309" s="461"/>
      <c r="K309" s="461"/>
      <c r="L309" s="379"/>
      <c r="M309" s="379"/>
      <c r="N309" s="50"/>
      <c r="O309" s="50"/>
      <c r="P309" s="379"/>
      <c r="Q309" s="379"/>
      <c r="R309" s="379"/>
      <c r="T309" s="54"/>
      <c r="V309" s="449"/>
      <c r="Y309" s="379"/>
      <c r="Z309" s="461"/>
      <c r="AA309" s="379"/>
      <c r="AB309" s="379"/>
      <c r="AC309" s="50"/>
      <c r="AD309" s="50"/>
      <c r="AE309" s="379"/>
      <c r="AF309" s="379"/>
      <c r="AG309" s="156"/>
      <c r="AH309" s="60"/>
      <c r="AI309" s="379"/>
      <c r="AJ309" s="379"/>
      <c r="AK309" s="156"/>
      <c r="AL309" s="379"/>
      <c r="AM309" s="50"/>
      <c r="AN309" s="50"/>
    </row>
    <row r="310" spans="1:40" x14ac:dyDescent="0.25">
      <c r="A310" s="53"/>
      <c r="C310" s="54"/>
      <c r="F310" s="449"/>
      <c r="H310" s="449"/>
      <c r="I310" s="449"/>
      <c r="J310" s="461"/>
      <c r="K310" s="461"/>
      <c r="L310" s="379"/>
      <c r="M310" s="379"/>
      <c r="N310" s="50"/>
      <c r="O310" s="50"/>
      <c r="P310" s="379"/>
      <c r="Q310" s="379"/>
      <c r="R310" s="379"/>
      <c r="T310" s="54"/>
      <c r="V310" s="449"/>
      <c r="Y310" s="379"/>
      <c r="Z310" s="461"/>
      <c r="AA310" s="379"/>
      <c r="AB310" s="379"/>
      <c r="AC310" s="50"/>
      <c r="AD310" s="50"/>
      <c r="AE310" s="379"/>
      <c r="AF310" s="379"/>
      <c r="AG310" s="156"/>
      <c r="AH310" s="60"/>
      <c r="AI310" s="379"/>
      <c r="AJ310" s="379"/>
      <c r="AK310" s="156"/>
      <c r="AL310" s="379"/>
      <c r="AM310" s="50"/>
      <c r="AN310" s="50"/>
    </row>
    <row r="311" spans="1:40" x14ac:dyDescent="0.25">
      <c r="F311" s="381"/>
      <c r="H311" s="381"/>
      <c r="I311" s="381"/>
      <c r="J311" s="464"/>
      <c r="K311" s="464"/>
      <c r="L311" s="381"/>
      <c r="M311" s="381"/>
      <c r="N311" s="381"/>
      <c r="O311" s="381"/>
      <c r="P311" s="381"/>
      <c r="Q311" s="381"/>
      <c r="R311" s="381"/>
      <c r="V311" s="381"/>
      <c r="Y311" s="381"/>
      <c r="Z311" s="464"/>
      <c r="AA311" s="381"/>
      <c r="AB311" s="381"/>
      <c r="AC311" s="381"/>
      <c r="AD311" s="381"/>
      <c r="AE311" s="381"/>
      <c r="AF311" s="381"/>
      <c r="AI311" s="381"/>
      <c r="AJ311" s="381"/>
      <c r="AK311" s="162"/>
      <c r="AL311" s="381"/>
      <c r="AM311" s="50"/>
      <c r="AN311" s="50"/>
    </row>
    <row r="312" spans="1:40" x14ac:dyDescent="0.25">
      <c r="A312" s="53"/>
      <c r="C312" s="54"/>
      <c r="F312" s="379"/>
      <c r="H312" s="379"/>
      <c r="I312" s="379"/>
      <c r="J312" s="59"/>
      <c r="K312" s="59"/>
      <c r="L312" s="379"/>
      <c r="M312" s="379"/>
      <c r="N312" s="50"/>
      <c r="O312" s="50"/>
      <c r="P312" s="379"/>
      <c r="Q312" s="379"/>
      <c r="R312" s="379"/>
      <c r="T312" s="54"/>
      <c r="V312" s="379"/>
      <c r="Y312" s="379"/>
      <c r="Z312" s="59"/>
      <c r="AA312" s="379"/>
      <c r="AB312" s="379"/>
      <c r="AC312" s="50"/>
      <c r="AD312" s="50"/>
      <c r="AE312" s="379"/>
      <c r="AF312" s="379"/>
      <c r="AG312" s="156"/>
      <c r="AH312" s="60"/>
      <c r="AI312" s="379"/>
      <c r="AJ312" s="379"/>
      <c r="AK312" s="156"/>
      <c r="AL312" s="379"/>
      <c r="AM312" s="50"/>
      <c r="AN312" s="50"/>
    </row>
    <row r="313" spans="1:40" x14ac:dyDescent="0.25">
      <c r="F313" s="381"/>
      <c r="H313" s="381"/>
      <c r="I313" s="381"/>
      <c r="J313" s="464"/>
      <c r="K313" s="464"/>
      <c r="L313" s="381"/>
      <c r="M313" s="381"/>
      <c r="N313" s="381"/>
      <c r="O313" s="381"/>
      <c r="P313" s="381"/>
      <c r="Q313" s="381"/>
      <c r="R313" s="381"/>
      <c r="V313" s="381"/>
      <c r="Y313" s="381"/>
      <c r="Z313" s="464"/>
      <c r="AA313" s="381"/>
      <c r="AB313" s="381"/>
      <c r="AC313" s="381"/>
      <c r="AD313" s="381"/>
      <c r="AE313" s="381"/>
      <c r="AF313" s="381"/>
      <c r="AI313" s="381"/>
      <c r="AJ313" s="381"/>
      <c r="AK313" s="162"/>
      <c r="AL313" s="381"/>
      <c r="AM313" s="50"/>
      <c r="AN313" s="50"/>
    </row>
    <row r="314" spans="1:40" x14ac:dyDescent="0.25">
      <c r="A314" s="53"/>
      <c r="C314" s="54"/>
      <c r="F314" s="379"/>
      <c r="H314" s="379"/>
      <c r="I314" s="379"/>
      <c r="J314" s="59"/>
      <c r="K314" s="59"/>
      <c r="L314" s="379"/>
      <c r="M314" s="379"/>
      <c r="N314" s="50"/>
      <c r="O314" s="50"/>
      <c r="P314" s="379"/>
      <c r="Q314" s="379"/>
      <c r="R314" s="379"/>
      <c r="T314" s="54"/>
      <c r="V314" s="379"/>
      <c r="Y314" s="379"/>
      <c r="Z314" s="59"/>
      <c r="AA314" s="379"/>
      <c r="AB314" s="379"/>
      <c r="AC314" s="50"/>
      <c r="AD314" s="50"/>
      <c r="AE314" s="379"/>
      <c r="AF314" s="379"/>
      <c r="AG314" s="156"/>
      <c r="AH314" s="60"/>
      <c r="AI314" s="379"/>
      <c r="AJ314" s="379"/>
      <c r="AK314" s="156"/>
      <c r="AL314" s="379"/>
      <c r="AM314" s="50"/>
      <c r="AN314" s="50"/>
    </row>
    <row r="315" spans="1:40" x14ac:dyDescent="0.25">
      <c r="A315" s="53"/>
      <c r="C315" s="54"/>
      <c r="F315" s="379"/>
      <c r="H315" s="449"/>
      <c r="I315" s="449"/>
      <c r="J315" s="472"/>
      <c r="K315" s="472"/>
      <c r="L315" s="379"/>
      <c r="M315" s="379"/>
      <c r="N315" s="50"/>
      <c r="O315" s="50"/>
      <c r="P315" s="379"/>
      <c r="Q315" s="379"/>
      <c r="R315" s="379"/>
      <c r="T315" s="54"/>
      <c r="V315" s="379"/>
      <c r="Y315" s="379"/>
      <c r="Z315" s="463"/>
      <c r="AA315" s="379"/>
      <c r="AB315" s="379"/>
      <c r="AC315" s="50"/>
      <c r="AD315" s="50"/>
      <c r="AE315" s="379"/>
      <c r="AF315" s="379"/>
      <c r="AG315" s="156"/>
      <c r="AH315" s="60"/>
      <c r="AI315" s="379"/>
      <c r="AJ315" s="379"/>
      <c r="AK315" s="156"/>
      <c r="AL315" s="379"/>
      <c r="AM315" s="50"/>
      <c r="AN315" s="50"/>
    </row>
    <row r="316" spans="1:40" x14ac:dyDescent="0.25">
      <c r="F316" s="381"/>
      <c r="H316" s="381"/>
      <c r="I316" s="381"/>
      <c r="J316" s="464"/>
      <c r="K316" s="464"/>
      <c r="L316" s="381"/>
      <c r="M316" s="381"/>
      <c r="N316" s="381"/>
      <c r="O316" s="381"/>
      <c r="P316" s="381"/>
      <c r="Q316" s="381"/>
      <c r="R316" s="381"/>
      <c r="V316" s="381"/>
      <c r="Y316" s="381"/>
      <c r="Z316" s="464"/>
      <c r="AA316" s="381"/>
      <c r="AB316" s="381"/>
      <c r="AC316" s="381"/>
      <c r="AD316" s="381"/>
      <c r="AE316" s="381"/>
      <c r="AF316" s="381"/>
      <c r="AI316" s="381"/>
      <c r="AJ316" s="381"/>
      <c r="AK316" s="162"/>
      <c r="AL316" s="381"/>
      <c r="AM316" s="50"/>
      <c r="AN316" s="50"/>
    </row>
    <row r="318" spans="1:40" x14ac:dyDescent="0.25">
      <c r="A318" s="53"/>
      <c r="C318" s="54"/>
      <c r="F318" s="379"/>
      <c r="H318" s="379"/>
      <c r="I318" s="379"/>
      <c r="J318" s="464"/>
      <c r="K318" s="464"/>
      <c r="L318" s="379"/>
      <c r="M318" s="379"/>
      <c r="N318" s="50"/>
      <c r="O318" s="50"/>
      <c r="P318" s="379"/>
      <c r="Q318" s="379"/>
      <c r="R318" s="379"/>
      <c r="S318" s="379"/>
      <c r="T318" s="54"/>
      <c r="V318" s="379"/>
      <c r="Y318" s="379"/>
      <c r="Z318" s="464"/>
      <c r="AA318" s="379"/>
      <c r="AB318" s="379"/>
      <c r="AC318" s="50"/>
      <c r="AD318" s="50"/>
      <c r="AE318" s="379"/>
      <c r="AF318" s="379"/>
      <c r="AG318" s="156"/>
      <c r="AH318" s="50"/>
      <c r="AI318" s="379"/>
      <c r="AJ318" s="379"/>
      <c r="AK318" s="156"/>
      <c r="AL318" s="379"/>
      <c r="AM318" s="50"/>
      <c r="AN318" s="50"/>
    </row>
    <row r="319" spans="1:40" x14ac:dyDescent="0.25">
      <c r="F319" s="381"/>
      <c r="H319" s="381"/>
      <c r="I319" s="381"/>
      <c r="J319" s="464"/>
      <c r="K319" s="464"/>
      <c r="L319" s="381"/>
      <c r="M319" s="381"/>
      <c r="N319" s="381"/>
      <c r="O319" s="381"/>
      <c r="P319" s="381"/>
      <c r="Q319" s="381"/>
      <c r="R319" s="381"/>
      <c r="S319" s="379"/>
      <c r="V319" s="381"/>
      <c r="Y319" s="381"/>
      <c r="Z319" s="464"/>
      <c r="AA319" s="381"/>
      <c r="AB319" s="381"/>
      <c r="AC319" s="381"/>
      <c r="AD319" s="381"/>
      <c r="AE319" s="381"/>
      <c r="AF319" s="381"/>
      <c r="AI319" s="381"/>
      <c r="AJ319" s="381"/>
      <c r="AK319" s="162"/>
      <c r="AL319" s="381"/>
      <c r="AM319" s="50"/>
      <c r="AN319" s="50"/>
    </row>
    <row r="320" spans="1:40" x14ac:dyDescent="0.25">
      <c r="A320" s="53"/>
      <c r="C320" s="54"/>
      <c r="F320" s="449"/>
      <c r="H320" s="449"/>
      <c r="I320" s="449"/>
      <c r="J320" s="464"/>
      <c r="K320" s="464"/>
      <c r="L320" s="379"/>
      <c r="M320" s="379"/>
      <c r="N320" s="50"/>
      <c r="O320" s="50"/>
      <c r="P320" s="379"/>
      <c r="Q320" s="379"/>
      <c r="R320" s="379"/>
      <c r="S320" s="379"/>
      <c r="T320" s="54"/>
      <c r="V320" s="449"/>
      <c r="Y320" s="449"/>
      <c r="Z320" s="464"/>
      <c r="AA320" s="379"/>
      <c r="AB320" s="379"/>
      <c r="AC320" s="50"/>
      <c r="AD320" s="50"/>
      <c r="AE320" s="379"/>
      <c r="AF320" s="379"/>
      <c r="AI320" s="379"/>
      <c r="AJ320" s="379"/>
      <c r="AK320" s="156"/>
      <c r="AL320" s="379"/>
      <c r="AM320" s="50"/>
      <c r="AN320" s="50"/>
    </row>
    <row r="322" spans="1:40" x14ac:dyDescent="0.25">
      <c r="A322" s="53"/>
      <c r="C322" s="54"/>
      <c r="F322" s="449"/>
      <c r="H322" s="449"/>
      <c r="I322" s="449"/>
      <c r="J322" s="461"/>
      <c r="K322" s="461"/>
      <c r="L322" s="379"/>
      <c r="M322" s="379"/>
      <c r="N322" s="50"/>
      <c r="O322" s="50"/>
      <c r="P322" s="53"/>
      <c r="Q322" s="53"/>
      <c r="R322" s="379"/>
      <c r="T322" s="54"/>
      <c r="V322" s="379"/>
      <c r="Y322" s="449"/>
      <c r="Z322" s="461"/>
      <c r="AA322" s="379"/>
      <c r="AB322" s="379"/>
      <c r="AC322" s="50"/>
      <c r="AD322" s="50"/>
      <c r="AE322" s="379"/>
      <c r="AF322" s="379"/>
      <c r="AG322" s="156"/>
      <c r="AH322" s="60"/>
      <c r="AI322" s="53"/>
      <c r="AJ322" s="53"/>
      <c r="AK322" s="156"/>
      <c r="AL322" s="379"/>
      <c r="AM322" s="50"/>
      <c r="AN322" s="50"/>
    </row>
    <row r="323" spans="1:40" x14ac:dyDescent="0.25">
      <c r="F323" s="381"/>
      <c r="H323" s="379"/>
      <c r="I323" s="379"/>
      <c r="J323" s="464"/>
      <c r="K323" s="464"/>
      <c r="L323" s="381"/>
      <c r="M323" s="381"/>
      <c r="N323" s="381"/>
      <c r="O323" s="381"/>
      <c r="P323" s="381"/>
      <c r="Q323" s="381"/>
      <c r="R323" s="381"/>
      <c r="V323" s="381"/>
      <c r="Y323" s="379"/>
      <c r="Z323" s="464"/>
      <c r="AA323" s="381"/>
      <c r="AB323" s="381"/>
      <c r="AC323" s="381"/>
      <c r="AD323" s="381"/>
      <c r="AE323" s="381"/>
      <c r="AF323" s="381"/>
      <c r="AI323" s="381"/>
      <c r="AJ323" s="381"/>
      <c r="AK323" s="162"/>
      <c r="AL323" s="381"/>
      <c r="AM323" s="50"/>
      <c r="AN323" s="50"/>
    </row>
    <row r="324" spans="1:40" x14ac:dyDescent="0.25">
      <c r="A324" s="53"/>
      <c r="C324" s="54"/>
      <c r="F324" s="449"/>
      <c r="H324" s="449"/>
      <c r="I324" s="449"/>
      <c r="J324" s="477"/>
      <c r="K324" s="477"/>
      <c r="L324" s="379"/>
      <c r="M324" s="379"/>
      <c r="N324" s="50"/>
      <c r="O324" s="50"/>
      <c r="P324" s="379"/>
      <c r="Q324" s="379"/>
      <c r="R324" s="379"/>
      <c r="S324" s="379"/>
      <c r="T324" s="54"/>
      <c r="V324" s="449"/>
      <c r="Y324" s="449"/>
      <c r="Z324" s="477"/>
      <c r="AA324" s="379"/>
      <c r="AB324" s="379"/>
      <c r="AC324" s="50"/>
      <c r="AD324" s="50"/>
      <c r="AE324" s="379"/>
      <c r="AF324" s="379"/>
      <c r="AG324" s="156"/>
      <c r="AH324" s="50"/>
      <c r="AI324" s="379"/>
      <c r="AJ324" s="379"/>
      <c r="AK324" s="156"/>
      <c r="AL324" s="379"/>
      <c r="AM324" s="50"/>
      <c r="AN324" s="50"/>
    </row>
    <row r="325" spans="1:40" x14ac:dyDescent="0.25">
      <c r="A325" s="53"/>
      <c r="C325" s="54"/>
      <c r="F325" s="449"/>
      <c r="H325" s="449"/>
      <c r="I325" s="449"/>
      <c r="J325" s="461"/>
      <c r="K325" s="461"/>
      <c r="L325" s="379"/>
      <c r="M325" s="379"/>
      <c r="N325" s="50"/>
      <c r="O325" s="50"/>
      <c r="P325" s="379"/>
      <c r="Q325" s="379"/>
      <c r="R325" s="379"/>
      <c r="T325" s="54"/>
      <c r="V325" s="449"/>
      <c r="Y325" s="379"/>
      <c r="Z325" s="461"/>
      <c r="AA325" s="379"/>
      <c r="AB325" s="379"/>
      <c r="AC325" s="50"/>
      <c r="AD325" s="50"/>
      <c r="AE325" s="379"/>
      <c r="AF325" s="379"/>
      <c r="AG325" s="156"/>
      <c r="AH325" s="60"/>
      <c r="AI325" s="379"/>
      <c r="AJ325" s="379"/>
      <c r="AK325" s="156"/>
      <c r="AL325" s="379"/>
      <c r="AM325" s="50"/>
      <c r="AN325" s="50"/>
    </row>
    <row r="326" spans="1:40" x14ac:dyDescent="0.25">
      <c r="A326" s="53"/>
      <c r="C326" s="54"/>
      <c r="F326" s="449"/>
      <c r="H326" s="449"/>
      <c r="I326" s="449"/>
      <c r="J326" s="461"/>
      <c r="K326" s="461"/>
      <c r="L326" s="379"/>
      <c r="M326" s="379"/>
      <c r="N326" s="50"/>
      <c r="O326" s="50"/>
      <c r="P326" s="379"/>
      <c r="Q326" s="379"/>
      <c r="R326" s="379"/>
      <c r="T326" s="54"/>
      <c r="V326" s="449"/>
      <c r="Y326" s="379"/>
      <c r="Z326" s="461"/>
      <c r="AA326" s="379"/>
      <c r="AB326" s="379"/>
      <c r="AC326" s="50"/>
      <c r="AD326" s="50"/>
      <c r="AE326" s="379"/>
      <c r="AF326" s="379"/>
      <c r="AG326" s="156"/>
      <c r="AH326" s="60"/>
      <c r="AI326" s="379"/>
      <c r="AJ326" s="379"/>
      <c r="AK326" s="156"/>
      <c r="AL326" s="379"/>
      <c r="AM326" s="50"/>
      <c r="AN326" s="50"/>
    </row>
    <row r="327" spans="1:40" x14ac:dyDescent="0.25">
      <c r="F327" s="381"/>
      <c r="H327" s="381"/>
      <c r="I327" s="381"/>
      <c r="J327" s="464"/>
      <c r="K327" s="464"/>
      <c r="L327" s="381"/>
      <c r="M327" s="381"/>
      <c r="N327" s="381"/>
      <c r="O327" s="381"/>
      <c r="P327" s="381"/>
      <c r="Q327" s="381"/>
      <c r="R327" s="381"/>
      <c r="V327" s="381"/>
      <c r="Y327" s="381"/>
      <c r="Z327" s="464"/>
      <c r="AA327" s="381"/>
      <c r="AB327" s="381"/>
      <c r="AC327" s="381"/>
      <c r="AD327" s="381"/>
      <c r="AE327" s="381"/>
      <c r="AF327" s="381"/>
      <c r="AI327" s="381"/>
      <c r="AJ327" s="381"/>
      <c r="AK327" s="162"/>
      <c r="AL327" s="381"/>
      <c r="AM327" s="50"/>
      <c r="AN327" s="50"/>
    </row>
    <row r="328" spans="1:40" x14ac:dyDescent="0.25">
      <c r="A328" s="53"/>
      <c r="C328" s="54"/>
      <c r="F328" s="379"/>
      <c r="H328" s="379"/>
      <c r="I328" s="379"/>
      <c r="J328" s="59"/>
      <c r="K328" s="59"/>
      <c r="L328" s="379"/>
      <c r="M328" s="379"/>
      <c r="N328" s="50"/>
      <c r="O328" s="50"/>
      <c r="P328" s="379"/>
      <c r="Q328" s="379"/>
      <c r="R328" s="379"/>
      <c r="T328" s="54"/>
      <c r="V328" s="379"/>
      <c r="Y328" s="379"/>
      <c r="Z328" s="59"/>
      <c r="AA328" s="379"/>
      <c r="AB328" s="379"/>
      <c r="AC328" s="50"/>
      <c r="AD328" s="50"/>
      <c r="AE328" s="379"/>
      <c r="AF328" s="379"/>
      <c r="AG328" s="156"/>
      <c r="AH328" s="60"/>
      <c r="AI328" s="379"/>
      <c r="AJ328" s="379"/>
      <c r="AK328" s="156"/>
      <c r="AL328" s="379"/>
      <c r="AM328" s="50"/>
      <c r="AN328" s="50"/>
    </row>
    <row r="329" spans="1:40" x14ac:dyDescent="0.25">
      <c r="F329" s="381"/>
      <c r="H329" s="381"/>
      <c r="I329" s="381"/>
      <c r="J329" s="464"/>
      <c r="K329" s="464"/>
      <c r="L329" s="381"/>
      <c r="M329" s="381"/>
      <c r="N329" s="381"/>
      <c r="O329" s="381"/>
      <c r="P329" s="381"/>
      <c r="Q329" s="381"/>
      <c r="R329" s="381"/>
      <c r="V329" s="381"/>
      <c r="Y329" s="381"/>
      <c r="Z329" s="464"/>
      <c r="AA329" s="381"/>
      <c r="AB329" s="381"/>
      <c r="AC329" s="381"/>
      <c r="AD329" s="381"/>
      <c r="AE329" s="381"/>
      <c r="AF329" s="381"/>
      <c r="AI329" s="381"/>
      <c r="AJ329" s="381"/>
      <c r="AK329" s="162"/>
      <c r="AL329" s="381"/>
      <c r="AM329" s="50"/>
      <c r="AN329" s="50"/>
    </row>
    <row r="330" spans="1:40" x14ac:dyDescent="0.25">
      <c r="A330" s="53"/>
      <c r="C330" s="54"/>
      <c r="F330" s="379"/>
      <c r="H330" s="379"/>
      <c r="I330" s="379"/>
      <c r="J330" s="59"/>
      <c r="K330" s="59"/>
      <c r="L330" s="379"/>
      <c r="M330" s="379"/>
      <c r="N330" s="50"/>
      <c r="O330" s="50"/>
      <c r="P330" s="379"/>
      <c r="Q330" s="379"/>
      <c r="R330" s="379"/>
      <c r="T330" s="54"/>
      <c r="V330" s="379"/>
      <c r="Y330" s="379"/>
      <c r="Z330" s="59"/>
      <c r="AA330" s="379"/>
      <c r="AB330" s="379"/>
      <c r="AC330" s="50"/>
      <c r="AD330" s="50"/>
      <c r="AE330" s="379"/>
      <c r="AF330" s="379"/>
      <c r="AG330" s="156"/>
      <c r="AH330" s="60"/>
      <c r="AI330" s="379"/>
      <c r="AJ330" s="379"/>
      <c r="AK330" s="156"/>
      <c r="AL330" s="379"/>
      <c r="AM330" s="50"/>
      <c r="AN330" s="50"/>
    </row>
    <row r="331" spans="1:40" x14ac:dyDescent="0.25">
      <c r="A331" s="53"/>
      <c r="C331" s="54"/>
      <c r="F331" s="379"/>
      <c r="H331" s="449"/>
      <c r="I331" s="449"/>
      <c r="J331" s="472"/>
      <c r="K331" s="472"/>
      <c r="L331" s="379"/>
      <c r="M331" s="379"/>
      <c r="N331" s="50"/>
      <c r="O331" s="50"/>
      <c r="P331" s="379"/>
      <c r="Q331" s="379"/>
      <c r="R331" s="379"/>
      <c r="T331" s="54"/>
      <c r="V331" s="379"/>
      <c r="Y331" s="379"/>
      <c r="Z331" s="463"/>
      <c r="AA331" s="379"/>
      <c r="AB331" s="379"/>
      <c r="AC331" s="50"/>
      <c r="AD331" s="50"/>
      <c r="AE331" s="379"/>
      <c r="AF331" s="379"/>
      <c r="AG331" s="156"/>
      <c r="AH331" s="60"/>
      <c r="AI331" s="379"/>
      <c r="AJ331" s="379"/>
      <c r="AK331" s="156"/>
      <c r="AL331" s="379"/>
      <c r="AM331" s="50"/>
      <c r="AN331" s="50"/>
    </row>
    <row r="332" spans="1:40" x14ac:dyDescent="0.25">
      <c r="F332" s="381"/>
      <c r="H332" s="381"/>
      <c r="I332" s="381"/>
      <c r="J332" s="464"/>
      <c r="K332" s="464"/>
      <c r="L332" s="381"/>
      <c r="M332" s="381"/>
      <c r="N332" s="381"/>
      <c r="O332" s="381"/>
      <c r="P332" s="381"/>
      <c r="Q332" s="381"/>
      <c r="R332" s="381"/>
      <c r="V332" s="381"/>
      <c r="Y332" s="381"/>
      <c r="Z332" s="464"/>
      <c r="AA332" s="381"/>
      <c r="AB332" s="381"/>
      <c r="AC332" s="381"/>
      <c r="AD332" s="381"/>
      <c r="AE332" s="381"/>
      <c r="AF332" s="381"/>
      <c r="AI332" s="381"/>
      <c r="AJ332" s="381"/>
      <c r="AK332" s="162"/>
      <c r="AL332" s="381"/>
      <c r="AM332" s="50"/>
      <c r="AN332" s="50"/>
    </row>
    <row r="334" spans="1:40" x14ac:dyDescent="0.25">
      <c r="A334" s="53"/>
      <c r="C334" s="54"/>
      <c r="F334" s="379"/>
      <c r="H334" s="379"/>
      <c r="I334" s="379"/>
      <c r="J334" s="464"/>
      <c r="K334" s="464"/>
      <c r="L334" s="379"/>
      <c r="M334" s="379"/>
      <c r="N334" s="50"/>
      <c r="O334" s="50"/>
      <c r="P334" s="379"/>
      <c r="Q334" s="379"/>
      <c r="R334" s="379"/>
      <c r="S334" s="379"/>
      <c r="T334" s="54"/>
      <c r="V334" s="379"/>
      <c r="Y334" s="379"/>
      <c r="Z334" s="464"/>
      <c r="AA334" s="379"/>
      <c r="AB334" s="379"/>
      <c r="AC334" s="50"/>
      <c r="AD334" s="50"/>
      <c r="AE334" s="379"/>
      <c r="AF334" s="379"/>
      <c r="AG334" s="156"/>
      <c r="AH334" s="50"/>
      <c r="AI334" s="379"/>
      <c r="AJ334" s="379"/>
      <c r="AK334" s="156"/>
      <c r="AL334" s="379"/>
      <c r="AM334" s="50"/>
      <c r="AN334" s="50"/>
    </row>
    <row r="335" spans="1:40" x14ac:dyDescent="0.25">
      <c r="F335" s="381"/>
      <c r="H335" s="381"/>
      <c r="I335" s="381"/>
      <c r="J335" s="464"/>
      <c r="K335" s="464"/>
      <c r="L335" s="381"/>
      <c r="M335" s="381"/>
      <c r="N335" s="381"/>
      <c r="O335" s="381"/>
      <c r="P335" s="381"/>
      <c r="Q335" s="381"/>
      <c r="R335" s="381"/>
      <c r="S335" s="379"/>
      <c r="V335" s="381"/>
      <c r="Y335" s="381"/>
      <c r="Z335" s="464"/>
      <c r="AA335" s="381"/>
      <c r="AB335" s="381"/>
      <c r="AC335" s="381"/>
      <c r="AD335" s="381"/>
      <c r="AE335" s="381"/>
      <c r="AF335" s="381"/>
      <c r="AI335" s="381"/>
      <c r="AJ335" s="381"/>
      <c r="AK335" s="162"/>
      <c r="AL335" s="381"/>
      <c r="AM335" s="50"/>
      <c r="AN335" s="50"/>
    </row>
    <row r="336" spans="1:40" x14ac:dyDescent="0.25">
      <c r="A336" s="53"/>
      <c r="C336" s="54"/>
      <c r="T336" s="54"/>
    </row>
    <row r="337" spans="1:40" x14ac:dyDescent="0.25">
      <c r="A337" s="53"/>
      <c r="C337" s="54"/>
      <c r="F337" s="379"/>
      <c r="H337" s="379"/>
      <c r="I337" s="379"/>
      <c r="L337" s="379"/>
      <c r="M337" s="379"/>
      <c r="N337" s="50"/>
      <c r="O337" s="50"/>
      <c r="P337" s="449"/>
      <c r="Q337" s="449"/>
      <c r="R337" s="379"/>
      <c r="T337" s="54"/>
      <c r="V337" s="379"/>
      <c r="Y337" s="379"/>
      <c r="AA337" s="379"/>
      <c r="AB337" s="379"/>
      <c r="AC337" s="50"/>
      <c r="AD337" s="50"/>
      <c r="AE337" s="379"/>
      <c r="AF337" s="379"/>
      <c r="AG337" s="156"/>
      <c r="AH337" s="50"/>
      <c r="AI337" s="449"/>
      <c r="AJ337" s="449"/>
      <c r="AK337" s="156"/>
      <c r="AL337" s="379"/>
      <c r="AM337" s="50"/>
      <c r="AN337" s="50"/>
    </row>
    <row r="338" spans="1:40" x14ac:dyDescent="0.25">
      <c r="F338" s="381"/>
      <c r="H338" s="381"/>
      <c r="I338" s="381"/>
      <c r="J338" s="464"/>
      <c r="K338" s="464"/>
      <c r="L338" s="381"/>
      <c r="M338" s="381"/>
      <c r="N338" s="381"/>
      <c r="O338" s="381"/>
      <c r="P338" s="381"/>
      <c r="Q338" s="381"/>
      <c r="R338" s="381"/>
      <c r="V338" s="381"/>
      <c r="Y338" s="381"/>
      <c r="Z338" s="464"/>
      <c r="AA338" s="381"/>
      <c r="AB338" s="381"/>
      <c r="AC338" s="381"/>
      <c r="AD338" s="381"/>
      <c r="AE338" s="381"/>
      <c r="AF338" s="381"/>
      <c r="AI338" s="381"/>
      <c r="AJ338" s="381"/>
      <c r="AK338" s="162"/>
      <c r="AL338" s="381"/>
    </row>
    <row r="340" spans="1:40" x14ac:dyDescent="0.25">
      <c r="C340" s="54"/>
      <c r="L340" s="379"/>
      <c r="M340" s="379"/>
      <c r="N340" s="379"/>
      <c r="O340" s="379"/>
      <c r="P340" s="379"/>
      <c r="Q340" s="379"/>
      <c r="R340" s="379"/>
      <c r="S340" s="379"/>
      <c r="T340" s="54"/>
      <c r="AA340" s="379"/>
      <c r="AB340" s="379"/>
      <c r="AC340" s="379"/>
      <c r="AD340" s="379"/>
      <c r="AI340" s="379"/>
      <c r="AJ340" s="379"/>
      <c r="AK340" s="156"/>
      <c r="AL340" s="379"/>
    </row>
    <row r="341" spans="1:40" x14ac:dyDescent="0.25">
      <c r="A341" s="54"/>
    </row>
    <row r="342" spans="1:40" x14ac:dyDescent="0.25">
      <c r="J342" s="53"/>
      <c r="K342" s="53"/>
      <c r="Z342" s="53"/>
    </row>
    <row r="343" spans="1:40" x14ac:dyDescent="0.25">
      <c r="H343" s="54"/>
      <c r="I343" s="54"/>
      <c r="Y343" s="54"/>
    </row>
    <row r="344" spans="1:40" x14ac:dyDescent="0.25">
      <c r="J344" s="53"/>
      <c r="K344" s="53"/>
      <c r="Z344" s="53"/>
    </row>
    <row r="345" spans="1:40" x14ac:dyDescent="0.25">
      <c r="L345" s="54"/>
      <c r="M345" s="54"/>
      <c r="AA345" s="54"/>
      <c r="AB345" s="54"/>
    </row>
    <row r="346" spans="1:40" x14ac:dyDescent="0.25">
      <c r="A346" s="53"/>
      <c r="R346" s="54"/>
      <c r="AK346" s="161"/>
      <c r="AL346" s="54"/>
    </row>
    <row r="347" spans="1:40" x14ac:dyDescent="0.25">
      <c r="A347" s="53"/>
      <c r="R347" s="54"/>
      <c r="AK347" s="161"/>
      <c r="AL347" s="54"/>
    </row>
    <row r="348" spans="1:40" x14ac:dyDescent="0.25">
      <c r="A348" s="54"/>
      <c r="R348" s="54"/>
      <c r="AK348" s="161"/>
      <c r="AL348" s="54"/>
    </row>
    <row r="349" spans="1:40" x14ac:dyDescent="0.25">
      <c r="L349" s="54"/>
      <c r="M349" s="54"/>
      <c r="R349" s="53"/>
      <c r="AA349" s="54"/>
      <c r="AB349" s="54"/>
      <c r="AK349" s="156"/>
      <c r="AL349" s="53"/>
    </row>
    <row r="350" spans="1:40" x14ac:dyDescent="0.25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154"/>
      <c r="AH350" s="55"/>
      <c r="AI350" s="55"/>
      <c r="AJ350" s="55"/>
      <c r="AK350" s="154"/>
      <c r="AL350" s="55"/>
      <c r="AM350" s="55"/>
      <c r="AN350" s="55"/>
    </row>
    <row r="351" spans="1:40" x14ac:dyDescent="0.25">
      <c r="L351" s="56"/>
      <c r="M351" s="56"/>
      <c r="N351" s="56"/>
      <c r="O351" s="56"/>
      <c r="R351" s="56"/>
      <c r="AA351" s="56"/>
      <c r="AB351" s="56"/>
      <c r="AC351" s="56"/>
      <c r="AD351" s="56"/>
      <c r="AE351" s="56"/>
      <c r="AF351" s="56"/>
      <c r="AG351" s="155"/>
      <c r="AH351" s="56"/>
      <c r="AK351" s="155"/>
      <c r="AL351" s="56"/>
      <c r="AM351" s="56"/>
      <c r="AN351" s="56"/>
    </row>
    <row r="352" spans="1:40" x14ac:dyDescent="0.25">
      <c r="L352" s="56"/>
      <c r="M352" s="56"/>
      <c r="N352" s="56"/>
      <c r="O352" s="56"/>
      <c r="R352" s="56"/>
      <c r="Z352" s="56"/>
      <c r="AA352" s="56"/>
      <c r="AB352" s="56"/>
      <c r="AC352" s="56"/>
      <c r="AD352" s="56"/>
      <c r="AE352" s="56"/>
      <c r="AF352" s="56"/>
      <c r="AG352" s="155"/>
      <c r="AH352" s="56"/>
      <c r="AK352" s="155"/>
      <c r="AL352" s="56"/>
      <c r="AM352" s="56"/>
      <c r="AN352" s="56"/>
    </row>
    <row r="353" spans="1:40" x14ac:dyDescent="0.25">
      <c r="A353" s="56"/>
      <c r="C353" s="56"/>
      <c r="D353" s="56"/>
      <c r="E353" s="56"/>
      <c r="F353" s="56"/>
      <c r="J353" s="56"/>
      <c r="K353" s="56"/>
      <c r="L353" s="56"/>
      <c r="M353" s="56"/>
      <c r="N353" s="56"/>
      <c r="O353" s="56"/>
      <c r="P353" s="56"/>
      <c r="Q353" s="56"/>
      <c r="R353" s="56"/>
      <c r="T353" s="56"/>
      <c r="U353" s="56"/>
      <c r="V353" s="56"/>
      <c r="Z353" s="56"/>
      <c r="AA353" s="56"/>
      <c r="AB353" s="56"/>
      <c r="AC353" s="56"/>
      <c r="AD353" s="56"/>
      <c r="AE353" s="56"/>
      <c r="AF353" s="56"/>
      <c r="AG353" s="155"/>
      <c r="AH353" s="56"/>
      <c r="AI353" s="56"/>
      <c r="AJ353" s="56"/>
      <c r="AK353" s="155"/>
      <c r="AL353" s="56"/>
      <c r="AM353" s="56"/>
      <c r="AN353" s="56"/>
    </row>
    <row r="354" spans="1:40" x14ac:dyDescent="0.25">
      <c r="A354" s="56"/>
      <c r="C354" s="56"/>
      <c r="D354" s="56"/>
      <c r="E354" s="56"/>
      <c r="F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T354" s="56"/>
      <c r="U354" s="56"/>
      <c r="V354" s="56"/>
      <c r="Y354" s="56"/>
      <c r="Z354" s="56"/>
      <c r="AA354" s="56"/>
      <c r="AB354" s="56"/>
      <c r="AC354" s="56"/>
      <c r="AD354" s="56"/>
      <c r="AE354" s="56"/>
      <c r="AF354" s="56"/>
      <c r="AG354" s="155"/>
      <c r="AH354" s="56"/>
      <c r="AI354" s="56"/>
      <c r="AJ354" s="56"/>
      <c r="AK354" s="155"/>
      <c r="AL354" s="56"/>
      <c r="AM354" s="56"/>
      <c r="AN354" s="56"/>
    </row>
    <row r="355" spans="1:40" x14ac:dyDescent="0.25">
      <c r="C355" s="56"/>
      <c r="D355" s="56"/>
      <c r="E355" s="56"/>
      <c r="F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T355" s="56"/>
      <c r="U355" s="56"/>
      <c r="V355" s="56"/>
      <c r="Y355" s="56"/>
      <c r="Z355" s="56"/>
      <c r="AA355" s="56"/>
      <c r="AB355" s="56"/>
      <c r="AC355" s="56"/>
      <c r="AD355" s="56"/>
      <c r="AE355" s="56"/>
      <c r="AF355" s="56"/>
      <c r="AG355" s="155"/>
      <c r="AH355" s="56"/>
      <c r="AI355" s="56"/>
      <c r="AJ355" s="56"/>
      <c r="AK355" s="155"/>
      <c r="AL355" s="56"/>
      <c r="AM355" s="56"/>
      <c r="AN355" s="56"/>
    </row>
    <row r="356" spans="1:40" x14ac:dyDescent="0.25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154"/>
      <c r="AH356" s="55"/>
      <c r="AI356" s="55"/>
      <c r="AJ356" s="55"/>
      <c r="AK356" s="154"/>
      <c r="AL356" s="55"/>
      <c r="AM356" s="55"/>
      <c r="AN356" s="55"/>
    </row>
    <row r="357" spans="1:40" x14ac:dyDescent="0.25"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Y357" s="56"/>
      <c r="Z357" s="56"/>
      <c r="AA357" s="56"/>
      <c r="AB357" s="56"/>
      <c r="AC357" s="56"/>
      <c r="AD357" s="56"/>
      <c r="AE357" s="56"/>
      <c r="AF357" s="56"/>
      <c r="AG357" s="155"/>
      <c r="AH357" s="56"/>
      <c r="AI357" s="56"/>
      <c r="AJ357" s="56"/>
      <c r="AK357" s="155"/>
      <c r="AL357" s="56"/>
      <c r="AM357" s="56"/>
      <c r="AN357" s="56"/>
    </row>
    <row r="358" spans="1:40" x14ac:dyDescent="0.25">
      <c r="A358" s="53"/>
      <c r="C358" s="54"/>
      <c r="D358" s="54"/>
      <c r="E358" s="54"/>
      <c r="T358" s="54"/>
      <c r="U358" s="54"/>
    </row>
    <row r="359" spans="1:40" x14ac:dyDescent="0.25">
      <c r="D359" s="54"/>
      <c r="E359" s="54"/>
      <c r="U359" s="54"/>
    </row>
    <row r="361" spans="1:40" x14ac:dyDescent="0.25">
      <c r="A361" s="53"/>
      <c r="C361" s="54"/>
      <c r="T361" s="54"/>
    </row>
    <row r="362" spans="1:40" x14ac:dyDescent="0.25">
      <c r="A362" s="53"/>
      <c r="C362" s="54"/>
      <c r="F362" s="449"/>
      <c r="H362" s="449"/>
      <c r="I362" s="449"/>
      <c r="J362" s="221"/>
      <c r="K362" s="221"/>
      <c r="L362" s="379"/>
      <c r="M362" s="379"/>
      <c r="N362" s="50"/>
      <c r="O362" s="50"/>
      <c r="P362" s="379"/>
      <c r="Q362" s="379"/>
      <c r="R362" s="379"/>
      <c r="T362" s="54"/>
      <c r="V362" s="449"/>
      <c r="W362" s="379"/>
      <c r="X362" s="379"/>
      <c r="Y362" s="449"/>
      <c r="Z362" s="221"/>
      <c r="AA362" s="379"/>
      <c r="AB362" s="379"/>
      <c r="AC362" s="50"/>
      <c r="AD362" s="50"/>
      <c r="AE362" s="379"/>
      <c r="AF362" s="379"/>
      <c r="AG362" s="156"/>
      <c r="AH362" s="60"/>
      <c r="AI362" s="379"/>
      <c r="AJ362" s="379"/>
      <c r="AK362" s="156"/>
      <c r="AL362" s="379"/>
      <c r="AM362" s="50"/>
      <c r="AN362" s="50"/>
    </row>
    <row r="363" spans="1:40" x14ac:dyDescent="0.25">
      <c r="A363" s="53"/>
      <c r="C363" s="54"/>
      <c r="F363" s="379"/>
      <c r="H363" s="379"/>
      <c r="I363" s="379"/>
      <c r="J363" s="464"/>
      <c r="K363" s="464"/>
      <c r="L363" s="379"/>
      <c r="M363" s="379"/>
      <c r="N363" s="50"/>
      <c r="O363" s="50"/>
      <c r="P363" s="379"/>
      <c r="Q363" s="379"/>
      <c r="R363" s="379"/>
      <c r="T363" s="54"/>
      <c r="V363" s="449"/>
      <c r="W363" s="379"/>
      <c r="X363" s="379"/>
      <c r="Y363" s="449"/>
      <c r="Z363" s="464"/>
      <c r="AA363" s="379"/>
      <c r="AB363" s="379"/>
      <c r="AC363" s="50"/>
      <c r="AD363" s="50"/>
      <c r="AE363" s="379"/>
      <c r="AF363" s="379"/>
      <c r="AG363" s="156"/>
      <c r="AH363" s="60"/>
      <c r="AI363" s="379"/>
      <c r="AJ363" s="379"/>
      <c r="AK363" s="156"/>
      <c r="AL363" s="379"/>
      <c r="AM363" s="50"/>
      <c r="AN363" s="50"/>
    </row>
    <row r="364" spans="1:40" x14ac:dyDescent="0.25">
      <c r="A364" s="53"/>
      <c r="C364" s="54"/>
      <c r="F364" s="449"/>
      <c r="H364" s="449"/>
      <c r="I364" s="449"/>
      <c r="J364" s="221"/>
      <c r="K364" s="221"/>
      <c r="L364" s="379"/>
      <c r="M364" s="379"/>
      <c r="N364" s="50"/>
      <c r="O364" s="50"/>
      <c r="P364" s="379"/>
      <c r="Q364" s="379"/>
      <c r="R364" s="379"/>
      <c r="T364" s="54"/>
      <c r="V364" s="449"/>
      <c r="W364" s="379"/>
      <c r="X364" s="379"/>
      <c r="Y364" s="449"/>
      <c r="Z364" s="221"/>
      <c r="AA364" s="379"/>
      <c r="AB364" s="379"/>
      <c r="AC364" s="50"/>
      <c r="AD364" s="50"/>
      <c r="AE364" s="379"/>
      <c r="AF364" s="379"/>
      <c r="AG364" s="156"/>
      <c r="AH364" s="60"/>
      <c r="AI364" s="379"/>
      <c r="AJ364" s="379"/>
      <c r="AK364" s="156"/>
      <c r="AL364" s="379"/>
      <c r="AM364" s="50"/>
      <c r="AN364" s="50"/>
    </row>
    <row r="365" spans="1:40" x14ac:dyDescent="0.25">
      <c r="A365" s="53"/>
      <c r="C365" s="54"/>
      <c r="F365" s="449"/>
      <c r="H365" s="449"/>
      <c r="I365" s="449"/>
      <c r="J365" s="221"/>
      <c r="K365" s="221"/>
      <c r="L365" s="379"/>
      <c r="M365" s="379"/>
      <c r="N365" s="50"/>
      <c r="O365" s="50"/>
      <c r="P365" s="379"/>
      <c r="Q365" s="379"/>
      <c r="R365" s="379"/>
      <c r="T365" s="54"/>
      <c r="V365" s="449"/>
      <c r="W365" s="379"/>
      <c r="X365" s="379"/>
      <c r="Y365" s="449"/>
      <c r="Z365" s="221"/>
      <c r="AA365" s="379"/>
      <c r="AB365" s="379"/>
      <c r="AC365" s="50"/>
      <c r="AD365" s="50"/>
      <c r="AE365" s="379"/>
      <c r="AF365" s="379"/>
      <c r="AG365" s="156"/>
      <c r="AH365" s="60"/>
      <c r="AI365" s="379"/>
      <c r="AJ365" s="379"/>
      <c r="AK365" s="156"/>
      <c r="AL365" s="379"/>
      <c r="AM365" s="50"/>
      <c r="AN365" s="50"/>
    </row>
    <row r="366" spans="1:40" x14ac:dyDescent="0.25">
      <c r="A366" s="53"/>
      <c r="C366" s="54"/>
      <c r="F366" s="449"/>
      <c r="H366" s="449"/>
      <c r="I366" s="449"/>
      <c r="J366" s="221"/>
      <c r="K366" s="221"/>
      <c r="L366" s="379"/>
      <c r="M366" s="379"/>
      <c r="N366" s="50"/>
      <c r="O366" s="50"/>
      <c r="P366" s="379"/>
      <c r="Q366" s="379"/>
      <c r="R366" s="379"/>
      <c r="T366" s="54"/>
      <c r="V366" s="449"/>
      <c r="W366" s="379"/>
      <c r="X366" s="379"/>
      <c r="Y366" s="449"/>
      <c r="Z366" s="221"/>
      <c r="AA366" s="379"/>
      <c r="AB366" s="379"/>
      <c r="AC366" s="50"/>
      <c r="AD366" s="50"/>
      <c r="AE366" s="379"/>
      <c r="AF366" s="379"/>
      <c r="AG366" s="156"/>
      <c r="AH366" s="60"/>
      <c r="AI366" s="379"/>
      <c r="AJ366" s="379"/>
      <c r="AK366" s="156"/>
      <c r="AL366" s="379"/>
      <c r="AM366" s="50"/>
      <c r="AN366" s="50"/>
    </row>
    <row r="367" spans="1:40" x14ac:dyDescent="0.25">
      <c r="A367" s="53"/>
      <c r="C367" s="54"/>
      <c r="F367" s="379"/>
      <c r="H367" s="379"/>
      <c r="I367" s="379"/>
      <c r="J367" s="221"/>
      <c r="K367" s="221"/>
      <c r="L367" s="379"/>
      <c r="M367" s="379"/>
      <c r="N367" s="50"/>
      <c r="O367" s="50"/>
      <c r="P367" s="379"/>
      <c r="Q367" s="379"/>
      <c r="R367" s="379"/>
      <c r="T367" s="54"/>
      <c r="V367" s="449"/>
      <c r="W367" s="379"/>
      <c r="X367" s="379"/>
      <c r="Y367" s="449"/>
      <c r="Z367" s="221"/>
      <c r="AA367" s="379"/>
      <c r="AB367" s="379"/>
      <c r="AC367" s="50"/>
      <c r="AD367" s="50"/>
      <c r="AE367" s="379"/>
      <c r="AF367" s="379"/>
      <c r="AG367" s="156"/>
      <c r="AH367" s="60"/>
      <c r="AI367" s="379"/>
      <c r="AJ367" s="379"/>
      <c r="AK367" s="156"/>
      <c r="AL367" s="379"/>
      <c r="AM367" s="50"/>
      <c r="AN367" s="50"/>
    </row>
    <row r="368" spans="1:40" x14ac:dyDescent="0.25">
      <c r="A368" s="53"/>
      <c r="C368" s="54"/>
      <c r="F368" s="379"/>
      <c r="H368" s="379"/>
      <c r="I368" s="379"/>
      <c r="J368" s="221"/>
      <c r="K368" s="221"/>
      <c r="L368" s="379"/>
      <c r="M368" s="379"/>
      <c r="N368" s="50"/>
      <c r="O368" s="50"/>
      <c r="P368" s="379"/>
      <c r="Q368" s="379"/>
      <c r="R368" s="379"/>
      <c r="T368" s="54"/>
      <c r="V368" s="449"/>
      <c r="W368" s="379"/>
      <c r="X368" s="379"/>
      <c r="Y368" s="449"/>
      <c r="Z368" s="221"/>
      <c r="AA368" s="379"/>
      <c r="AB368" s="379"/>
      <c r="AC368" s="50"/>
      <c r="AD368" s="50"/>
      <c r="AE368" s="379"/>
      <c r="AF368" s="379"/>
      <c r="AG368" s="156"/>
      <c r="AH368" s="60"/>
      <c r="AI368" s="379"/>
      <c r="AJ368" s="379"/>
      <c r="AK368" s="156"/>
      <c r="AL368" s="379"/>
      <c r="AM368" s="50"/>
      <c r="AN368" s="50"/>
    </row>
    <row r="369" spans="1:40" x14ac:dyDescent="0.25">
      <c r="F369" s="63"/>
      <c r="H369" s="479"/>
      <c r="I369" s="479"/>
      <c r="J369" s="221"/>
      <c r="K369" s="221"/>
      <c r="L369" s="63"/>
      <c r="M369" s="63"/>
      <c r="N369" s="381"/>
      <c r="O369" s="381"/>
      <c r="P369" s="63"/>
      <c r="Q369" s="63"/>
      <c r="R369" s="63"/>
      <c r="V369" s="63"/>
      <c r="W369" s="379"/>
      <c r="X369" s="379"/>
      <c r="Y369" s="63"/>
      <c r="Z369" s="221"/>
      <c r="AA369" s="63"/>
      <c r="AB369" s="63"/>
      <c r="AC369" s="64"/>
      <c r="AD369" s="64"/>
      <c r="AE369" s="63"/>
      <c r="AF369" s="63"/>
      <c r="AG369" s="156"/>
      <c r="AH369" s="60"/>
      <c r="AI369" s="63"/>
      <c r="AJ369" s="63"/>
      <c r="AK369" s="154"/>
      <c r="AL369" s="63"/>
      <c r="AM369" s="50"/>
      <c r="AN369" s="50"/>
    </row>
    <row r="370" spans="1:40" x14ac:dyDescent="0.25">
      <c r="A370" s="53"/>
      <c r="C370" s="54"/>
      <c r="F370" s="379"/>
      <c r="H370" s="379"/>
      <c r="I370" s="379"/>
      <c r="J370" s="221"/>
      <c r="K370" s="221"/>
      <c r="L370" s="379"/>
      <c r="M370" s="379"/>
      <c r="N370" s="60"/>
      <c r="O370" s="60"/>
      <c r="P370" s="379"/>
      <c r="Q370" s="379"/>
      <c r="R370" s="379"/>
      <c r="T370" s="56"/>
      <c r="V370" s="379"/>
      <c r="W370" s="379"/>
      <c r="X370" s="379"/>
      <c r="Y370" s="379"/>
      <c r="Z370" s="221"/>
      <c r="AA370" s="379"/>
      <c r="AB370" s="379"/>
      <c r="AC370" s="60"/>
      <c r="AD370" s="60"/>
      <c r="AE370" s="379"/>
      <c r="AF370" s="379"/>
      <c r="AG370" s="156"/>
      <c r="AH370" s="60"/>
      <c r="AI370" s="379"/>
      <c r="AJ370" s="379"/>
      <c r="AK370" s="156"/>
      <c r="AL370" s="379"/>
      <c r="AM370" s="50"/>
      <c r="AN370" s="50"/>
    </row>
    <row r="371" spans="1:40" x14ac:dyDescent="0.25">
      <c r="F371" s="55"/>
      <c r="H371" s="55"/>
      <c r="I371" s="55"/>
      <c r="L371" s="55"/>
      <c r="M371" s="55"/>
      <c r="N371" s="64"/>
      <c r="O371" s="64"/>
      <c r="P371" s="63"/>
      <c r="Q371" s="63"/>
      <c r="R371" s="63"/>
      <c r="V371" s="63"/>
      <c r="Y371" s="63"/>
      <c r="Z371" s="464"/>
      <c r="AA371" s="63"/>
      <c r="AB371" s="63"/>
      <c r="AC371" s="63"/>
      <c r="AD371" s="63"/>
      <c r="AE371" s="63"/>
      <c r="AF371" s="63"/>
      <c r="AI371" s="63"/>
      <c r="AJ371" s="63"/>
      <c r="AK371" s="154"/>
      <c r="AL371" s="63"/>
      <c r="AM371" s="64"/>
      <c r="AN371" s="64"/>
    </row>
    <row r="372" spans="1:40" x14ac:dyDescent="0.25">
      <c r="AI372" s="53"/>
      <c r="AJ372" s="53"/>
    </row>
    <row r="376" spans="1:40" x14ac:dyDescent="0.25">
      <c r="N376" s="379"/>
      <c r="O376" s="379"/>
      <c r="P376" s="379"/>
      <c r="Q376" s="379"/>
      <c r="R376" s="379"/>
      <c r="V376" s="379"/>
      <c r="Y376" s="379"/>
      <c r="Z376" s="59"/>
      <c r="AA376" s="379"/>
      <c r="AB376" s="379"/>
      <c r="AC376" s="50"/>
      <c r="AD376" s="50"/>
      <c r="AE376" s="379"/>
      <c r="AF376" s="379"/>
      <c r="AG376" s="156"/>
      <c r="AH376" s="60"/>
      <c r="AI376" s="379"/>
      <c r="AJ376" s="379"/>
      <c r="AK376" s="156"/>
      <c r="AL376" s="379"/>
      <c r="AM376" s="50"/>
      <c r="AN376" s="50"/>
    </row>
    <row r="377" spans="1:40" x14ac:dyDescent="0.25">
      <c r="A377" s="53"/>
      <c r="C377" s="54"/>
      <c r="D377" s="54"/>
      <c r="E377" s="54"/>
      <c r="J377" s="65"/>
      <c r="K377" s="65"/>
      <c r="T377" s="54"/>
      <c r="U377" s="54"/>
      <c r="Z377" s="65"/>
      <c r="AE377" s="379"/>
      <c r="AF377" s="379"/>
      <c r="AI377" s="379"/>
      <c r="AJ377" s="379"/>
      <c r="AK377" s="156"/>
      <c r="AL377" s="379"/>
      <c r="AM377" s="50"/>
      <c r="AN377" s="50"/>
    </row>
    <row r="378" spans="1:40" x14ac:dyDescent="0.25">
      <c r="D378" s="54"/>
      <c r="E378" s="54"/>
      <c r="F378" s="379"/>
      <c r="H378" s="379"/>
      <c r="I378" s="379"/>
      <c r="J378" s="221"/>
      <c r="K378" s="221"/>
      <c r="L378" s="379"/>
      <c r="M378" s="379"/>
      <c r="N378" s="50"/>
      <c r="O378" s="50"/>
      <c r="P378" s="379"/>
      <c r="Q378" s="379"/>
      <c r="R378" s="379"/>
      <c r="U378" s="54"/>
      <c r="V378" s="379"/>
      <c r="Y378" s="379"/>
      <c r="Z378" s="221"/>
      <c r="AA378" s="379"/>
      <c r="AB378" s="379"/>
      <c r="AC378" s="50"/>
      <c r="AD378" s="50"/>
      <c r="AE378" s="379"/>
      <c r="AF378" s="379"/>
      <c r="AG378" s="156"/>
      <c r="AH378" s="60"/>
      <c r="AI378" s="379"/>
      <c r="AJ378" s="379"/>
      <c r="AK378" s="156"/>
      <c r="AL378" s="379"/>
      <c r="AM378" s="50"/>
      <c r="AN378" s="50"/>
    </row>
    <row r="379" spans="1:40" x14ac:dyDescent="0.25">
      <c r="F379" s="379"/>
      <c r="H379" s="379"/>
      <c r="I379" s="379"/>
      <c r="J379" s="464"/>
      <c r="K379" s="464"/>
      <c r="L379" s="379"/>
      <c r="M379" s="379"/>
      <c r="N379" s="379"/>
      <c r="O379" s="379"/>
      <c r="P379" s="379"/>
      <c r="Q379" s="379"/>
      <c r="R379" s="379"/>
      <c r="V379" s="379"/>
      <c r="Y379" s="379"/>
      <c r="Z379" s="464"/>
      <c r="AA379" s="379"/>
      <c r="AB379" s="379"/>
      <c r="AC379" s="379"/>
      <c r="AD379" s="379"/>
      <c r="AE379" s="379"/>
      <c r="AF379" s="379"/>
      <c r="AG379" s="156"/>
      <c r="AH379" s="60"/>
      <c r="AI379" s="449"/>
      <c r="AJ379" s="449"/>
      <c r="AK379" s="156"/>
      <c r="AL379" s="379"/>
      <c r="AM379" s="50"/>
      <c r="AN379" s="50"/>
    </row>
    <row r="380" spans="1:40" x14ac:dyDescent="0.25">
      <c r="A380" s="53"/>
      <c r="C380" s="54"/>
      <c r="F380" s="449"/>
      <c r="H380" s="449"/>
      <c r="I380" s="449"/>
      <c r="J380" s="463"/>
      <c r="K380" s="463"/>
      <c r="L380" s="379"/>
      <c r="M380" s="379"/>
      <c r="N380" s="50"/>
      <c r="O380" s="50"/>
      <c r="P380" s="379"/>
      <c r="Q380" s="379"/>
      <c r="R380" s="379"/>
      <c r="T380" s="54"/>
      <c r="V380" s="449"/>
      <c r="Y380" s="449"/>
      <c r="Z380" s="463"/>
      <c r="AA380" s="379"/>
      <c r="AB380" s="379"/>
      <c r="AC380" s="50"/>
      <c r="AD380" s="50"/>
      <c r="AE380" s="379"/>
      <c r="AF380" s="379"/>
      <c r="AG380" s="156"/>
      <c r="AH380" s="60"/>
      <c r="AI380" s="379"/>
      <c r="AJ380" s="379"/>
      <c r="AK380" s="156"/>
      <c r="AL380" s="379"/>
      <c r="AM380" s="50"/>
      <c r="AN380" s="50"/>
    </row>
    <row r="381" spans="1:40" x14ac:dyDescent="0.25">
      <c r="F381" s="55"/>
      <c r="H381" s="55"/>
      <c r="I381" s="55"/>
      <c r="L381" s="55"/>
      <c r="M381" s="55"/>
      <c r="N381" s="55"/>
      <c r="O381" s="55"/>
      <c r="P381" s="55"/>
      <c r="Q381" s="55"/>
      <c r="R381" s="55"/>
      <c r="V381" s="55"/>
      <c r="Y381" s="55"/>
      <c r="AA381" s="55"/>
      <c r="AB381" s="55"/>
      <c r="AC381" s="55"/>
      <c r="AD381" s="55"/>
      <c r="AE381" s="55"/>
      <c r="AF381" s="55"/>
      <c r="AG381" s="154"/>
      <c r="AH381" s="55"/>
      <c r="AI381" s="55"/>
      <c r="AJ381" s="55"/>
      <c r="AK381" s="154"/>
      <c r="AL381" s="55"/>
      <c r="AM381" s="55"/>
      <c r="AN381" s="55"/>
    </row>
    <row r="382" spans="1:40" x14ac:dyDescent="0.25">
      <c r="A382" s="53"/>
      <c r="C382" s="56"/>
      <c r="F382" s="449"/>
      <c r="H382" s="449"/>
      <c r="I382" s="449"/>
      <c r="J382" s="461"/>
      <c r="K382" s="461"/>
      <c r="L382" s="449"/>
      <c r="M382" s="449"/>
      <c r="N382" s="50"/>
      <c r="O382" s="50"/>
      <c r="P382" s="449"/>
      <c r="Q382" s="449"/>
      <c r="R382" s="449"/>
      <c r="T382" s="56"/>
      <c r="V382" s="379"/>
      <c r="Y382" s="379"/>
      <c r="Z382" s="59"/>
      <c r="AA382" s="379"/>
      <c r="AB382" s="379"/>
      <c r="AC382" s="50"/>
      <c r="AD382" s="50"/>
      <c r="AE382" s="53"/>
      <c r="AF382" s="53"/>
      <c r="AG382" s="156"/>
      <c r="AH382" s="60"/>
      <c r="AI382" s="379"/>
      <c r="AJ382" s="379"/>
      <c r="AK382" s="156"/>
      <c r="AL382" s="379"/>
      <c r="AM382" s="50"/>
      <c r="AN382" s="50"/>
    </row>
    <row r="383" spans="1:40" x14ac:dyDescent="0.25">
      <c r="F383" s="63"/>
      <c r="H383" s="63"/>
      <c r="I383" s="63"/>
      <c r="J383" s="464"/>
      <c r="K383" s="464"/>
      <c r="L383" s="63"/>
      <c r="M383" s="63"/>
      <c r="N383" s="63"/>
      <c r="O383" s="63"/>
      <c r="P383" s="63"/>
      <c r="Q383" s="63"/>
      <c r="R383" s="63"/>
      <c r="V383" s="55"/>
      <c r="Y383" s="55"/>
      <c r="AA383" s="55"/>
      <c r="AB383" s="55"/>
      <c r="AC383" s="55"/>
      <c r="AD383" s="55"/>
      <c r="AE383" s="55"/>
      <c r="AF383" s="55"/>
      <c r="AG383" s="154"/>
      <c r="AH383" s="55"/>
      <c r="AI383" s="55"/>
      <c r="AJ383" s="55"/>
      <c r="AK383" s="154"/>
      <c r="AL383" s="55"/>
      <c r="AM383" s="55"/>
      <c r="AN383" s="55"/>
    </row>
    <row r="384" spans="1:40" x14ac:dyDescent="0.25">
      <c r="F384" s="449"/>
      <c r="H384" s="449"/>
      <c r="I384" s="449"/>
      <c r="J384" s="477"/>
      <c r="K384" s="477"/>
      <c r="L384" s="379"/>
      <c r="M384" s="379"/>
      <c r="N384" s="50"/>
      <c r="O384" s="50"/>
      <c r="P384" s="379"/>
      <c r="Q384" s="379"/>
      <c r="R384" s="379"/>
    </row>
    <row r="385" spans="1:40" x14ac:dyDescent="0.25">
      <c r="A385" s="54"/>
      <c r="F385" s="449"/>
      <c r="H385" s="449"/>
      <c r="I385" s="449"/>
      <c r="J385" s="461"/>
      <c r="K385" s="461"/>
      <c r="L385" s="379"/>
      <c r="M385" s="379"/>
      <c r="N385" s="50"/>
      <c r="O385" s="50"/>
      <c r="P385" s="379"/>
      <c r="Q385" s="379"/>
      <c r="R385" s="379"/>
    </row>
    <row r="386" spans="1:40" x14ac:dyDescent="0.25">
      <c r="F386" s="449"/>
      <c r="H386" s="449"/>
      <c r="I386" s="449"/>
      <c r="J386" s="461"/>
      <c r="K386" s="461"/>
      <c r="L386" s="379"/>
      <c r="M386" s="379"/>
      <c r="N386" s="50"/>
      <c r="O386" s="50"/>
      <c r="P386" s="379"/>
      <c r="Q386" s="379"/>
      <c r="R386" s="379"/>
    </row>
    <row r="387" spans="1:40" x14ac:dyDescent="0.25">
      <c r="A387" s="54"/>
    </row>
    <row r="389" spans="1:40" x14ac:dyDescent="0.25">
      <c r="J389" s="53"/>
      <c r="K389" s="53"/>
      <c r="Z389" s="53"/>
    </row>
    <row r="390" spans="1:40" x14ac:dyDescent="0.25">
      <c r="H390" s="54"/>
      <c r="I390" s="54"/>
      <c r="Y390" s="54"/>
    </row>
    <row r="391" spans="1:40" x14ac:dyDescent="0.25">
      <c r="J391" s="53"/>
      <c r="K391" s="53"/>
      <c r="Z391" s="53"/>
    </row>
    <row r="392" spans="1:40" x14ac:dyDescent="0.25">
      <c r="L392" s="54"/>
      <c r="M392" s="54"/>
      <c r="AA392" s="54"/>
      <c r="AB392" s="54"/>
    </row>
    <row r="393" spans="1:40" x14ac:dyDescent="0.25">
      <c r="A393" s="53"/>
      <c r="R393" s="54"/>
      <c r="AK393" s="161"/>
      <c r="AL393" s="54"/>
    </row>
    <row r="394" spans="1:40" x14ac:dyDescent="0.25">
      <c r="A394" s="53"/>
      <c r="R394" s="54"/>
      <c r="AK394" s="161"/>
      <c r="AL394" s="54"/>
    </row>
    <row r="395" spans="1:40" x14ac:dyDescent="0.25">
      <c r="A395" s="54"/>
      <c r="R395" s="54"/>
      <c r="AK395" s="161"/>
      <c r="AL395" s="54"/>
    </row>
    <row r="396" spans="1:40" x14ac:dyDescent="0.25">
      <c r="L396" s="54"/>
      <c r="M396" s="54"/>
      <c r="R396" s="53"/>
      <c r="AA396" s="54"/>
      <c r="AB396" s="54"/>
      <c r="AK396" s="156"/>
      <c r="AL396" s="53"/>
    </row>
    <row r="397" spans="1:40" x14ac:dyDescent="0.25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154"/>
      <c r="AH397" s="55"/>
      <c r="AI397" s="55"/>
      <c r="AJ397" s="55"/>
      <c r="AK397" s="154"/>
      <c r="AL397" s="55"/>
      <c r="AM397" s="55"/>
      <c r="AN397" s="55"/>
    </row>
    <row r="398" spans="1:40" x14ac:dyDescent="0.25">
      <c r="L398" s="56"/>
      <c r="M398" s="56"/>
      <c r="N398" s="56"/>
      <c r="O398" s="56"/>
      <c r="R398" s="56"/>
      <c r="AA398" s="56"/>
      <c r="AB398" s="56"/>
      <c r="AC398" s="56"/>
      <c r="AD398" s="56"/>
      <c r="AE398" s="56"/>
      <c r="AF398" s="56"/>
      <c r="AG398" s="155"/>
      <c r="AH398" s="56"/>
      <c r="AK398" s="155"/>
      <c r="AL398" s="56"/>
      <c r="AM398" s="56"/>
      <c r="AN398" s="56"/>
    </row>
    <row r="399" spans="1:40" x14ac:dyDescent="0.25">
      <c r="L399" s="56"/>
      <c r="M399" s="56"/>
      <c r="N399" s="56"/>
      <c r="O399" s="56"/>
      <c r="R399" s="56"/>
      <c r="Z399" s="56"/>
      <c r="AA399" s="56"/>
      <c r="AB399" s="56"/>
      <c r="AC399" s="56"/>
      <c r="AD399" s="56"/>
      <c r="AE399" s="56"/>
      <c r="AF399" s="56"/>
      <c r="AG399" s="155"/>
      <c r="AH399" s="56"/>
      <c r="AK399" s="155"/>
      <c r="AL399" s="56"/>
      <c r="AM399" s="56"/>
      <c r="AN399" s="56"/>
    </row>
    <row r="400" spans="1:40" x14ac:dyDescent="0.25">
      <c r="A400" s="56"/>
      <c r="C400" s="56"/>
      <c r="D400" s="56"/>
      <c r="E400" s="56"/>
      <c r="F400" s="56"/>
      <c r="J400" s="56"/>
      <c r="K400" s="56"/>
      <c r="L400" s="56"/>
      <c r="M400" s="56"/>
      <c r="N400" s="56"/>
      <c r="O400" s="56"/>
      <c r="P400" s="56"/>
      <c r="Q400" s="56"/>
      <c r="R400" s="56"/>
      <c r="T400" s="56"/>
      <c r="U400" s="56"/>
      <c r="V400" s="56"/>
      <c r="Z400" s="56"/>
      <c r="AA400" s="56"/>
      <c r="AB400" s="56"/>
      <c r="AC400" s="56"/>
      <c r="AD400" s="56"/>
      <c r="AE400" s="56"/>
      <c r="AF400" s="56"/>
      <c r="AG400" s="155"/>
      <c r="AH400" s="56"/>
      <c r="AI400" s="56"/>
      <c r="AJ400" s="56"/>
      <c r="AK400" s="155"/>
      <c r="AL400" s="56"/>
      <c r="AM400" s="56"/>
      <c r="AN400" s="56"/>
    </row>
    <row r="401" spans="1:40" x14ac:dyDescent="0.25">
      <c r="A401" s="56"/>
      <c r="C401" s="56"/>
      <c r="D401" s="56"/>
      <c r="E401" s="56"/>
      <c r="F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T401" s="56"/>
      <c r="U401" s="56"/>
      <c r="V401" s="56"/>
      <c r="Y401" s="56"/>
      <c r="Z401" s="56"/>
      <c r="AA401" s="56"/>
      <c r="AB401" s="56"/>
      <c r="AC401" s="56"/>
      <c r="AD401" s="56"/>
      <c r="AE401" s="56"/>
      <c r="AF401" s="56"/>
      <c r="AG401" s="155"/>
      <c r="AH401" s="56"/>
      <c r="AI401" s="56"/>
      <c r="AJ401" s="56"/>
      <c r="AK401" s="155"/>
      <c r="AL401" s="56"/>
      <c r="AM401" s="56"/>
      <c r="AN401" s="56"/>
    </row>
    <row r="402" spans="1:40" x14ac:dyDescent="0.25">
      <c r="C402" s="56"/>
      <c r="D402" s="56"/>
      <c r="E402" s="56"/>
      <c r="F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T402" s="56"/>
      <c r="U402" s="56"/>
      <c r="V402" s="56"/>
      <c r="Y402" s="56"/>
      <c r="Z402" s="56"/>
      <c r="AA402" s="56"/>
      <c r="AB402" s="56"/>
      <c r="AC402" s="56"/>
      <c r="AD402" s="56"/>
      <c r="AE402" s="56"/>
      <c r="AF402" s="56"/>
      <c r="AG402" s="155"/>
      <c r="AH402" s="56"/>
      <c r="AI402" s="56"/>
      <c r="AJ402" s="56"/>
      <c r="AK402" s="155"/>
      <c r="AL402" s="56"/>
      <c r="AM402" s="56"/>
      <c r="AN402" s="56"/>
    </row>
    <row r="403" spans="1:40" x14ac:dyDescent="0.25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154"/>
      <c r="AH403" s="55"/>
      <c r="AI403" s="55"/>
      <c r="AJ403" s="55"/>
      <c r="AK403" s="154"/>
      <c r="AL403" s="55"/>
      <c r="AM403" s="55"/>
      <c r="AN403" s="55"/>
    </row>
    <row r="404" spans="1:40" x14ac:dyDescent="0.25"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Y404" s="56"/>
      <c r="Z404" s="56"/>
      <c r="AA404" s="56"/>
      <c r="AB404" s="56"/>
      <c r="AC404" s="56"/>
      <c r="AD404" s="56"/>
      <c r="AE404" s="56"/>
      <c r="AF404" s="56"/>
      <c r="AG404" s="155"/>
      <c r="AH404" s="56"/>
      <c r="AI404" s="56"/>
      <c r="AJ404" s="56"/>
      <c r="AK404" s="155"/>
      <c r="AL404" s="56"/>
      <c r="AM404" s="56"/>
      <c r="AN404" s="56"/>
    </row>
    <row r="405" spans="1:40" x14ac:dyDescent="0.25">
      <c r="A405" s="53"/>
      <c r="C405" s="54"/>
      <c r="D405" s="54"/>
      <c r="E405" s="54"/>
      <c r="T405" s="54"/>
      <c r="U405" s="54"/>
    </row>
    <row r="407" spans="1:40" x14ac:dyDescent="0.25">
      <c r="A407" s="53"/>
      <c r="C407" s="54"/>
      <c r="T407" s="54"/>
    </row>
    <row r="408" spans="1:40" x14ac:dyDescent="0.25">
      <c r="A408" s="53"/>
      <c r="C408" s="54"/>
      <c r="F408" s="449"/>
      <c r="H408" s="449"/>
      <c r="I408" s="449"/>
      <c r="J408" s="464"/>
      <c r="K408" s="464"/>
      <c r="L408" s="379"/>
      <c r="M408" s="379"/>
      <c r="N408" s="50"/>
      <c r="O408" s="50"/>
      <c r="P408" s="379"/>
      <c r="Q408" s="379"/>
      <c r="R408" s="379"/>
      <c r="T408" s="54"/>
      <c r="V408" s="449"/>
      <c r="Y408" s="449"/>
      <c r="Z408" s="464"/>
      <c r="AA408" s="379"/>
      <c r="AB408" s="379"/>
      <c r="AC408" s="50"/>
      <c r="AD408" s="50"/>
      <c r="AE408" s="379"/>
      <c r="AF408" s="379"/>
      <c r="AG408" s="156"/>
      <c r="AH408" s="60"/>
      <c r="AI408" s="379"/>
      <c r="AJ408" s="379"/>
      <c r="AK408" s="156"/>
      <c r="AL408" s="379"/>
      <c r="AM408" s="50"/>
      <c r="AN408" s="50"/>
    </row>
    <row r="409" spans="1:40" x14ac:dyDescent="0.25">
      <c r="A409" s="53"/>
      <c r="C409" s="54"/>
      <c r="T409" s="54"/>
    </row>
    <row r="410" spans="1:40" x14ac:dyDescent="0.25">
      <c r="A410" s="53"/>
      <c r="C410" s="54"/>
      <c r="F410" s="449"/>
      <c r="H410" s="449"/>
      <c r="I410" s="449"/>
      <c r="J410" s="221"/>
      <c r="K410" s="221"/>
      <c r="L410" s="379"/>
      <c r="M410" s="379"/>
      <c r="N410" s="50"/>
      <c r="O410" s="50"/>
      <c r="P410" s="379"/>
      <c r="Q410" s="379"/>
      <c r="R410" s="379"/>
      <c r="T410" s="54"/>
      <c r="V410" s="379"/>
      <c r="Y410" s="379"/>
      <c r="Z410" s="221"/>
      <c r="AA410" s="379"/>
      <c r="AB410" s="379"/>
      <c r="AC410" s="50"/>
      <c r="AD410" s="50"/>
      <c r="AE410" s="379"/>
      <c r="AF410" s="379"/>
      <c r="AG410" s="156"/>
      <c r="AH410" s="60"/>
      <c r="AI410" s="379"/>
      <c r="AJ410" s="379"/>
      <c r="AK410" s="156"/>
      <c r="AL410" s="379"/>
      <c r="AM410" s="50"/>
      <c r="AN410" s="50"/>
    </row>
    <row r="411" spans="1:40" x14ac:dyDescent="0.25">
      <c r="A411" s="53"/>
      <c r="C411" s="54"/>
      <c r="F411" s="449"/>
      <c r="H411" s="449"/>
      <c r="I411" s="449"/>
      <c r="J411" s="221"/>
      <c r="K411" s="221"/>
      <c r="L411" s="379"/>
      <c r="M411" s="379"/>
      <c r="N411" s="50"/>
      <c r="O411" s="50"/>
      <c r="P411" s="379"/>
      <c r="Q411" s="379"/>
      <c r="R411" s="379"/>
      <c r="T411" s="54"/>
      <c r="V411" s="379"/>
      <c r="Y411" s="379"/>
      <c r="Z411" s="221"/>
      <c r="AA411" s="379"/>
      <c r="AB411" s="379"/>
      <c r="AC411" s="50"/>
      <c r="AD411" s="50"/>
      <c r="AE411" s="379"/>
      <c r="AF411" s="379"/>
      <c r="AG411" s="156"/>
      <c r="AH411" s="60"/>
      <c r="AI411" s="379"/>
      <c r="AJ411" s="379"/>
      <c r="AK411" s="156"/>
      <c r="AL411" s="379"/>
      <c r="AM411" s="50"/>
      <c r="AN411" s="50"/>
    </row>
    <row r="412" spans="1:40" x14ac:dyDescent="0.25">
      <c r="A412" s="53"/>
      <c r="C412" s="54"/>
      <c r="F412" s="449"/>
      <c r="H412" s="449"/>
      <c r="I412" s="449"/>
      <c r="J412" s="221"/>
      <c r="K412" s="221"/>
      <c r="L412" s="379"/>
      <c r="M412" s="379"/>
      <c r="N412" s="50"/>
      <c r="O412" s="50"/>
      <c r="P412" s="379"/>
      <c r="Q412" s="379"/>
      <c r="R412" s="379"/>
      <c r="T412" s="54"/>
      <c r="V412" s="379"/>
      <c r="Y412" s="379"/>
      <c r="Z412" s="221"/>
      <c r="AA412" s="379"/>
      <c r="AB412" s="379"/>
      <c r="AC412" s="50"/>
      <c r="AD412" s="50"/>
      <c r="AE412" s="379"/>
      <c r="AF412" s="379"/>
      <c r="AG412" s="156"/>
      <c r="AH412" s="60"/>
      <c r="AI412" s="379"/>
      <c r="AJ412" s="379"/>
      <c r="AK412" s="156"/>
      <c r="AL412" s="379"/>
      <c r="AM412" s="50"/>
      <c r="AN412" s="50"/>
    </row>
    <row r="413" spans="1:40" x14ac:dyDescent="0.25">
      <c r="A413" s="53"/>
      <c r="C413" s="54"/>
      <c r="F413" s="449"/>
      <c r="H413" s="449"/>
      <c r="I413" s="449"/>
      <c r="J413" s="221"/>
      <c r="K413" s="221"/>
      <c r="L413" s="379"/>
      <c r="M413" s="379"/>
      <c r="N413" s="50"/>
      <c r="O413" s="50"/>
      <c r="P413" s="379"/>
      <c r="Q413" s="379"/>
      <c r="R413" s="379"/>
      <c r="T413" s="54"/>
      <c r="V413" s="379"/>
      <c r="Y413" s="379"/>
      <c r="Z413" s="221"/>
      <c r="AA413" s="379"/>
      <c r="AB413" s="379"/>
      <c r="AC413" s="50"/>
      <c r="AD413" s="50"/>
      <c r="AE413" s="379"/>
      <c r="AF413" s="379"/>
      <c r="AG413" s="156"/>
      <c r="AH413" s="60"/>
      <c r="AI413" s="379"/>
      <c r="AJ413" s="379"/>
      <c r="AK413" s="156"/>
      <c r="AL413" s="379"/>
      <c r="AM413" s="50"/>
      <c r="AN413" s="50"/>
    </row>
    <row r="414" spans="1:40" x14ac:dyDescent="0.25">
      <c r="A414" s="53"/>
      <c r="C414" s="54"/>
      <c r="J414" s="65"/>
      <c r="K414" s="65"/>
      <c r="T414" s="54"/>
      <c r="Z414" s="65"/>
    </row>
    <row r="415" spans="1:40" x14ac:dyDescent="0.25">
      <c r="A415" s="53"/>
      <c r="C415" s="54"/>
      <c r="F415" s="449"/>
      <c r="H415" s="449"/>
      <c r="I415" s="449"/>
      <c r="J415" s="221"/>
      <c r="K415" s="221"/>
      <c r="L415" s="379"/>
      <c r="M415" s="379"/>
      <c r="N415" s="50"/>
      <c r="O415" s="50"/>
      <c r="P415" s="379"/>
      <c r="Q415" s="379"/>
      <c r="R415" s="379"/>
      <c r="T415" s="54"/>
      <c r="V415" s="379"/>
      <c r="Y415" s="379"/>
      <c r="Z415" s="221"/>
      <c r="AA415" s="379"/>
      <c r="AB415" s="379"/>
      <c r="AC415" s="50"/>
      <c r="AD415" s="50"/>
      <c r="AE415" s="379"/>
      <c r="AF415" s="379"/>
      <c r="AG415" s="156"/>
      <c r="AH415" s="60"/>
      <c r="AI415" s="379"/>
      <c r="AJ415" s="379"/>
      <c r="AK415" s="156"/>
      <c r="AL415" s="379"/>
      <c r="AM415" s="50"/>
      <c r="AN415" s="50"/>
    </row>
    <row r="416" spans="1:40" x14ac:dyDescent="0.25">
      <c r="A416" s="53"/>
      <c r="C416" s="54"/>
      <c r="F416" s="449"/>
      <c r="H416" s="449"/>
      <c r="I416" s="449"/>
      <c r="J416" s="221"/>
      <c r="K416" s="221"/>
      <c r="L416" s="379"/>
      <c r="M416" s="379"/>
      <c r="N416" s="50"/>
      <c r="O416" s="50"/>
      <c r="P416" s="379"/>
      <c r="Q416" s="379"/>
      <c r="R416" s="379"/>
      <c r="T416" s="54"/>
      <c r="V416" s="379"/>
      <c r="Y416" s="379"/>
      <c r="Z416" s="221"/>
      <c r="AA416" s="379"/>
      <c r="AB416" s="379"/>
      <c r="AC416" s="50"/>
      <c r="AD416" s="50"/>
      <c r="AE416" s="379"/>
      <c r="AF416" s="379"/>
      <c r="AG416" s="156"/>
      <c r="AH416" s="60"/>
      <c r="AI416" s="379"/>
      <c r="AJ416" s="379"/>
      <c r="AK416" s="156"/>
      <c r="AL416" s="379"/>
      <c r="AM416" s="50"/>
      <c r="AN416" s="50"/>
    </row>
    <row r="417" spans="1:40" x14ac:dyDescent="0.25">
      <c r="A417" s="53"/>
      <c r="C417" s="54"/>
      <c r="F417" s="449"/>
      <c r="H417" s="449"/>
      <c r="I417" s="449"/>
      <c r="J417" s="221"/>
      <c r="K417" s="221"/>
      <c r="L417" s="379"/>
      <c r="M417" s="379"/>
      <c r="N417" s="50"/>
      <c r="O417" s="50"/>
      <c r="P417" s="379"/>
      <c r="Q417" s="379"/>
      <c r="R417" s="379"/>
      <c r="T417" s="54"/>
      <c r="V417" s="379"/>
      <c r="Y417" s="379"/>
      <c r="Z417" s="221"/>
      <c r="AA417" s="379"/>
      <c r="AB417" s="379"/>
      <c r="AC417" s="50"/>
      <c r="AD417" s="50"/>
      <c r="AE417" s="379"/>
      <c r="AF417" s="379"/>
      <c r="AG417" s="156"/>
      <c r="AH417" s="60"/>
      <c r="AI417" s="379"/>
      <c r="AJ417" s="379"/>
      <c r="AK417" s="156"/>
      <c r="AL417" s="379"/>
      <c r="AM417" s="50"/>
      <c r="AN417" s="50"/>
    </row>
    <row r="418" spans="1:40" x14ac:dyDescent="0.25">
      <c r="A418" s="53"/>
      <c r="C418" s="54"/>
      <c r="J418" s="65"/>
      <c r="K418" s="65"/>
      <c r="T418" s="54"/>
      <c r="Z418" s="65"/>
    </row>
    <row r="419" spans="1:40" x14ac:dyDescent="0.25">
      <c r="A419" s="53"/>
      <c r="C419" s="54"/>
      <c r="F419" s="449"/>
      <c r="H419" s="449"/>
      <c r="I419" s="449"/>
      <c r="J419" s="221"/>
      <c r="K419" s="221"/>
      <c r="L419" s="379"/>
      <c r="M419" s="379"/>
      <c r="N419" s="50"/>
      <c r="O419" s="50"/>
      <c r="P419" s="379"/>
      <c r="Q419" s="379"/>
      <c r="R419" s="379"/>
      <c r="T419" s="54"/>
      <c r="V419" s="379"/>
      <c r="Y419" s="379"/>
      <c r="Z419" s="221"/>
      <c r="AA419" s="379"/>
      <c r="AB419" s="379"/>
      <c r="AC419" s="50"/>
      <c r="AD419" s="50"/>
      <c r="AE419" s="379"/>
      <c r="AF419" s="379"/>
      <c r="AG419" s="156"/>
      <c r="AH419" s="60"/>
      <c r="AI419" s="379"/>
      <c r="AJ419" s="379"/>
      <c r="AK419" s="156"/>
      <c r="AL419" s="379"/>
      <c r="AM419" s="50"/>
      <c r="AN419" s="50"/>
    </row>
    <row r="420" spans="1:40" x14ac:dyDescent="0.25">
      <c r="A420" s="53"/>
      <c r="C420" s="54"/>
      <c r="F420" s="449"/>
      <c r="H420" s="449"/>
      <c r="I420" s="449"/>
      <c r="J420" s="221"/>
      <c r="K420" s="221"/>
      <c r="L420" s="379"/>
      <c r="M420" s="379"/>
      <c r="N420" s="50"/>
      <c r="O420" s="50"/>
      <c r="P420" s="379"/>
      <c r="Q420" s="379"/>
      <c r="R420" s="379"/>
      <c r="T420" s="54"/>
      <c r="V420" s="379"/>
      <c r="Y420" s="379"/>
      <c r="Z420" s="221"/>
      <c r="AA420" s="379"/>
      <c r="AB420" s="379"/>
      <c r="AC420" s="50"/>
      <c r="AD420" s="50"/>
      <c r="AE420" s="379"/>
      <c r="AF420" s="379"/>
      <c r="AG420" s="156"/>
      <c r="AH420" s="60"/>
      <c r="AI420" s="379"/>
      <c r="AJ420" s="379"/>
      <c r="AK420" s="156"/>
      <c r="AL420" s="379"/>
      <c r="AM420" s="50"/>
      <c r="AN420" s="50"/>
    </row>
    <row r="421" spans="1:40" x14ac:dyDescent="0.25">
      <c r="A421" s="53"/>
      <c r="C421" s="54"/>
      <c r="J421" s="65"/>
      <c r="K421" s="65"/>
      <c r="T421" s="54"/>
      <c r="Z421" s="65"/>
    </row>
    <row r="422" spans="1:40" x14ac:dyDescent="0.25">
      <c r="A422" s="53"/>
      <c r="C422" s="54"/>
      <c r="F422" s="449"/>
      <c r="H422" s="449"/>
      <c r="I422" s="449"/>
      <c r="J422" s="221"/>
      <c r="K422" s="221"/>
      <c r="L422" s="379"/>
      <c r="M422" s="379"/>
      <c r="N422" s="50"/>
      <c r="O422" s="50"/>
      <c r="P422" s="379"/>
      <c r="Q422" s="379"/>
      <c r="R422" s="379"/>
      <c r="T422" s="54"/>
      <c r="V422" s="379"/>
      <c r="Y422" s="379"/>
      <c r="Z422" s="221"/>
      <c r="AA422" s="379"/>
      <c r="AB422" s="379"/>
      <c r="AC422" s="50"/>
      <c r="AD422" s="50"/>
      <c r="AE422" s="379"/>
      <c r="AF422" s="379"/>
      <c r="AG422" s="156"/>
      <c r="AH422" s="60"/>
      <c r="AI422" s="379"/>
      <c r="AJ422" s="379"/>
      <c r="AK422" s="156"/>
      <c r="AL422" s="379"/>
      <c r="AM422" s="50"/>
      <c r="AN422" s="50"/>
    </row>
    <row r="423" spans="1:40" x14ac:dyDescent="0.25">
      <c r="A423" s="53"/>
      <c r="C423" s="54"/>
      <c r="F423" s="449"/>
      <c r="H423" s="449"/>
      <c r="I423" s="449"/>
      <c r="J423" s="221"/>
      <c r="K423" s="221"/>
      <c r="L423" s="379"/>
      <c r="M423" s="379"/>
      <c r="N423" s="50"/>
      <c r="O423" s="50"/>
      <c r="P423" s="379"/>
      <c r="Q423" s="379"/>
      <c r="R423" s="379"/>
      <c r="T423" s="54"/>
      <c r="V423" s="379"/>
      <c r="Y423" s="379"/>
      <c r="Z423" s="221"/>
      <c r="AA423" s="379"/>
      <c r="AB423" s="379"/>
      <c r="AC423" s="50"/>
      <c r="AD423" s="50"/>
      <c r="AE423" s="379"/>
      <c r="AF423" s="379"/>
      <c r="AG423" s="156"/>
      <c r="AH423" s="60"/>
      <c r="AI423" s="379"/>
      <c r="AJ423" s="379"/>
      <c r="AK423" s="156"/>
      <c r="AL423" s="379"/>
      <c r="AM423" s="50"/>
      <c r="AN423" s="50"/>
    </row>
    <row r="424" spans="1:40" x14ac:dyDescent="0.25">
      <c r="A424" s="53"/>
      <c r="C424" s="54"/>
      <c r="F424" s="449"/>
      <c r="H424" s="449"/>
      <c r="I424" s="449"/>
      <c r="J424" s="221"/>
      <c r="K424" s="221"/>
      <c r="L424" s="379"/>
      <c r="M424" s="379"/>
      <c r="N424" s="50"/>
      <c r="O424" s="50"/>
      <c r="P424" s="379"/>
      <c r="Q424" s="379"/>
      <c r="R424" s="379"/>
      <c r="T424" s="54"/>
      <c r="V424" s="379"/>
      <c r="Y424" s="379"/>
      <c r="Z424" s="221"/>
      <c r="AA424" s="379"/>
      <c r="AB424" s="379"/>
      <c r="AC424" s="50"/>
      <c r="AD424" s="50"/>
      <c r="AE424" s="379"/>
      <c r="AF424" s="379"/>
      <c r="AG424" s="156"/>
      <c r="AH424" s="60"/>
      <c r="AI424" s="379"/>
      <c r="AJ424" s="379"/>
      <c r="AK424" s="156"/>
      <c r="AL424" s="379"/>
      <c r="AM424" s="50"/>
      <c r="AN424" s="50"/>
    </row>
    <row r="425" spans="1:40" x14ac:dyDescent="0.25">
      <c r="F425" s="381"/>
      <c r="H425" s="381"/>
      <c r="I425" s="381"/>
      <c r="J425" s="221"/>
      <c r="K425" s="221"/>
      <c r="L425" s="381"/>
      <c r="M425" s="381"/>
      <c r="N425" s="381"/>
      <c r="O425" s="381"/>
      <c r="P425" s="381"/>
      <c r="Q425" s="381"/>
      <c r="R425" s="381"/>
      <c r="V425" s="381"/>
      <c r="Y425" s="381"/>
      <c r="Z425" s="221"/>
      <c r="AA425" s="381"/>
      <c r="AB425" s="381"/>
      <c r="AC425" s="381"/>
      <c r="AD425" s="381"/>
      <c r="AE425" s="381"/>
      <c r="AF425" s="381"/>
      <c r="AI425" s="381"/>
      <c r="AJ425" s="381"/>
      <c r="AK425" s="162"/>
      <c r="AL425" s="381"/>
    </row>
    <row r="426" spans="1:40" x14ac:dyDescent="0.25">
      <c r="A426" s="53"/>
      <c r="C426" s="56"/>
      <c r="F426" s="379"/>
      <c r="H426" s="379"/>
      <c r="I426" s="379"/>
      <c r="J426" s="65"/>
      <c r="K426" s="65"/>
      <c r="L426" s="379"/>
      <c r="M426" s="379"/>
      <c r="N426" s="60"/>
      <c r="O426" s="60"/>
      <c r="P426" s="379"/>
      <c r="Q426" s="379"/>
      <c r="R426" s="379"/>
      <c r="T426" s="56"/>
      <c r="V426" s="379"/>
      <c r="Y426" s="379"/>
      <c r="Z426" s="65"/>
      <c r="AA426" s="379"/>
      <c r="AB426" s="379"/>
      <c r="AC426" s="379"/>
      <c r="AD426" s="379"/>
      <c r="AE426" s="379"/>
      <c r="AF426" s="379"/>
      <c r="AG426" s="156"/>
      <c r="AH426" s="60"/>
      <c r="AI426" s="379"/>
      <c r="AJ426" s="379"/>
      <c r="AK426" s="156"/>
      <c r="AL426" s="379"/>
      <c r="AM426" s="50"/>
      <c r="AN426" s="50"/>
    </row>
    <row r="427" spans="1:40" x14ac:dyDescent="0.25">
      <c r="F427" s="381"/>
      <c r="H427" s="381"/>
      <c r="I427" s="381"/>
      <c r="J427" s="221"/>
      <c r="K427" s="221"/>
      <c r="L427" s="381"/>
      <c r="M427" s="381"/>
      <c r="N427" s="381"/>
      <c r="O427" s="381"/>
      <c r="P427" s="381"/>
      <c r="Q427" s="381"/>
      <c r="R427" s="381"/>
      <c r="V427" s="381"/>
      <c r="Y427" s="381"/>
      <c r="Z427" s="221"/>
      <c r="AA427" s="381"/>
      <c r="AB427" s="381"/>
      <c r="AC427" s="381"/>
      <c r="AD427" s="381"/>
      <c r="AE427" s="381"/>
      <c r="AF427" s="381"/>
      <c r="AI427" s="381"/>
      <c r="AJ427" s="381"/>
      <c r="AK427" s="162"/>
      <c r="AL427" s="381"/>
    </row>
    <row r="428" spans="1:40" x14ac:dyDescent="0.25">
      <c r="A428" s="53"/>
      <c r="C428" s="54"/>
      <c r="J428" s="65"/>
      <c r="K428" s="65"/>
      <c r="T428" s="54"/>
      <c r="Z428" s="65"/>
    </row>
    <row r="429" spans="1:40" x14ac:dyDescent="0.25">
      <c r="A429" s="53"/>
      <c r="C429" s="54"/>
      <c r="J429" s="65"/>
      <c r="K429" s="65"/>
      <c r="T429" s="54"/>
      <c r="Z429" s="65"/>
    </row>
    <row r="430" spans="1:40" x14ac:dyDescent="0.25">
      <c r="A430" s="53"/>
      <c r="C430" s="54"/>
      <c r="F430" s="449"/>
      <c r="H430" s="449"/>
      <c r="I430" s="449"/>
      <c r="J430" s="221"/>
      <c r="K430" s="221"/>
      <c r="L430" s="379"/>
      <c r="M430" s="379"/>
      <c r="N430" s="50"/>
      <c r="O430" s="50"/>
      <c r="P430" s="379"/>
      <c r="Q430" s="379"/>
      <c r="R430" s="379"/>
      <c r="T430" s="54"/>
      <c r="V430" s="379"/>
      <c r="Y430" s="379"/>
      <c r="Z430" s="221"/>
      <c r="AA430" s="379"/>
      <c r="AB430" s="379"/>
      <c r="AC430" s="50"/>
      <c r="AD430" s="50"/>
      <c r="AE430" s="379"/>
      <c r="AF430" s="379"/>
      <c r="AG430" s="156"/>
      <c r="AH430" s="60"/>
      <c r="AI430" s="379"/>
      <c r="AJ430" s="379"/>
      <c r="AK430" s="156"/>
      <c r="AL430" s="379"/>
      <c r="AM430" s="50"/>
      <c r="AN430" s="50"/>
    </row>
    <row r="431" spans="1:40" x14ac:dyDescent="0.25">
      <c r="A431" s="53"/>
      <c r="C431" s="54"/>
      <c r="F431" s="449"/>
      <c r="H431" s="449"/>
      <c r="I431" s="449"/>
      <c r="J431" s="221"/>
      <c r="K431" s="221"/>
      <c r="L431" s="379"/>
      <c r="M431" s="379"/>
      <c r="N431" s="50"/>
      <c r="O431" s="50"/>
      <c r="P431" s="379"/>
      <c r="Q431" s="379"/>
      <c r="R431" s="379"/>
      <c r="T431" s="54"/>
      <c r="V431" s="379"/>
      <c r="Y431" s="379"/>
      <c r="Z431" s="221"/>
      <c r="AA431" s="379"/>
      <c r="AB431" s="379"/>
      <c r="AC431" s="50"/>
      <c r="AD431" s="50"/>
      <c r="AE431" s="379"/>
      <c r="AF431" s="379"/>
      <c r="AG431" s="156"/>
      <c r="AH431" s="60"/>
      <c r="AI431" s="379"/>
      <c r="AJ431" s="379"/>
      <c r="AK431" s="156"/>
      <c r="AL431" s="379"/>
      <c r="AM431" s="50"/>
      <c r="AN431" s="50"/>
    </row>
    <row r="432" spans="1:40" x14ac:dyDescent="0.25">
      <c r="A432" s="53"/>
      <c r="C432" s="54"/>
      <c r="F432" s="449"/>
      <c r="H432" s="449"/>
      <c r="I432" s="449"/>
      <c r="J432" s="221"/>
      <c r="K432" s="221"/>
      <c r="L432" s="379"/>
      <c r="M432" s="379"/>
      <c r="N432" s="50"/>
      <c r="O432" s="50"/>
      <c r="P432" s="379"/>
      <c r="Q432" s="379"/>
      <c r="R432" s="379"/>
      <c r="T432" s="54"/>
      <c r="V432" s="379"/>
      <c r="Y432" s="379"/>
      <c r="Z432" s="221"/>
      <c r="AA432" s="379"/>
      <c r="AB432" s="379"/>
      <c r="AC432" s="50"/>
      <c r="AD432" s="50"/>
      <c r="AE432" s="379"/>
      <c r="AF432" s="379"/>
      <c r="AG432" s="156"/>
      <c r="AH432" s="60"/>
      <c r="AI432" s="379"/>
      <c r="AJ432" s="379"/>
      <c r="AK432" s="156"/>
      <c r="AL432" s="379"/>
      <c r="AM432" s="50"/>
      <c r="AN432" s="50"/>
    </row>
    <row r="433" spans="1:40" x14ac:dyDescent="0.25">
      <c r="A433" s="53"/>
      <c r="C433" s="54"/>
      <c r="F433" s="449"/>
      <c r="H433" s="449"/>
      <c r="I433" s="449"/>
      <c r="J433" s="221"/>
      <c r="K433" s="221"/>
      <c r="L433" s="379"/>
      <c r="M433" s="379"/>
      <c r="N433" s="50"/>
      <c r="O433" s="50"/>
      <c r="P433" s="379"/>
      <c r="Q433" s="379"/>
      <c r="R433" s="379"/>
      <c r="T433" s="54"/>
      <c r="V433" s="379"/>
      <c r="Y433" s="379"/>
      <c r="Z433" s="221"/>
      <c r="AA433" s="379"/>
      <c r="AB433" s="379"/>
      <c r="AC433" s="50"/>
      <c r="AD433" s="50"/>
      <c r="AE433" s="379"/>
      <c r="AF433" s="379"/>
      <c r="AG433" s="156"/>
      <c r="AH433" s="60"/>
      <c r="AI433" s="379"/>
      <c r="AJ433" s="379"/>
      <c r="AK433" s="156"/>
      <c r="AL433" s="379"/>
      <c r="AM433" s="50"/>
      <c r="AN433" s="50"/>
    </row>
    <row r="434" spans="1:40" x14ac:dyDescent="0.25">
      <c r="A434" s="53"/>
      <c r="C434" s="54"/>
      <c r="F434" s="449"/>
      <c r="H434" s="449"/>
      <c r="I434" s="449"/>
      <c r="J434" s="221"/>
      <c r="K434" s="221"/>
      <c r="L434" s="379"/>
      <c r="M434" s="379"/>
      <c r="N434" s="50"/>
      <c r="O434" s="50"/>
      <c r="P434" s="379"/>
      <c r="Q434" s="379"/>
      <c r="R434" s="379"/>
      <c r="T434" s="54"/>
      <c r="V434" s="379"/>
      <c r="Y434" s="379"/>
      <c r="Z434" s="221"/>
      <c r="AA434" s="379"/>
      <c r="AB434" s="379"/>
      <c r="AC434" s="50"/>
      <c r="AD434" s="50"/>
      <c r="AE434" s="379"/>
      <c r="AF434" s="379"/>
      <c r="AG434" s="156"/>
      <c r="AH434" s="60"/>
      <c r="AI434" s="379"/>
      <c r="AJ434" s="379"/>
      <c r="AK434" s="156"/>
      <c r="AL434" s="379"/>
      <c r="AM434" s="50"/>
      <c r="AN434" s="50"/>
    </row>
    <row r="435" spans="1:40" x14ac:dyDescent="0.25">
      <c r="A435" s="53"/>
      <c r="C435" s="54"/>
      <c r="F435" s="449"/>
      <c r="H435" s="449"/>
      <c r="I435" s="449"/>
      <c r="J435" s="221"/>
      <c r="K435" s="221"/>
      <c r="L435" s="379"/>
      <c r="M435" s="379"/>
      <c r="N435" s="50"/>
      <c r="O435" s="50"/>
      <c r="P435" s="379"/>
      <c r="Q435" s="379"/>
      <c r="R435" s="379"/>
      <c r="T435" s="54"/>
      <c r="V435" s="379"/>
      <c r="Y435" s="379"/>
      <c r="Z435" s="221"/>
      <c r="AA435" s="379"/>
      <c r="AB435" s="379"/>
      <c r="AC435" s="50"/>
      <c r="AD435" s="50"/>
      <c r="AE435" s="379"/>
      <c r="AF435" s="379"/>
      <c r="AG435" s="156"/>
      <c r="AH435" s="60"/>
      <c r="AI435" s="379"/>
      <c r="AJ435" s="379"/>
      <c r="AK435" s="156"/>
      <c r="AL435" s="379"/>
      <c r="AM435" s="50"/>
      <c r="AN435" s="50"/>
    </row>
    <row r="436" spans="1:40" x14ac:dyDescent="0.25">
      <c r="A436" s="53"/>
      <c r="C436" s="54"/>
      <c r="F436" s="449"/>
      <c r="H436" s="449"/>
      <c r="I436" s="449"/>
      <c r="J436" s="221"/>
      <c r="K436" s="221"/>
      <c r="L436" s="379"/>
      <c r="M436" s="379"/>
      <c r="N436" s="50"/>
      <c r="O436" s="50"/>
      <c r="P436" s="379"/>
      <c r="Q436" s="379"/>
      <c r="R436" s="379"/>
      <c r="T436" s="54"/>
      <c r="V436" s="379"/>
      <c r="Y436" s="379"/>
      <c r="Z436" s="221"/>
      <c r="AA436" s="379"/>
      <c r="AB436" s="379"/>
      <c r="AC436" s="50"/>
      <c r="AD436" s="50"/>
      <c r="AE436" s="379"/>
      <c r="AF436" s="379"/>
      <c r="AG436" s="156"/>
      <c r="AH436" s="60"/>
      <c r="AI436" s="379"/>
      <c r="AJ436" s="379"/>
      <c r="AK436" s="156"/>
      <c r="AL436" s="379"/>
      <c r="AM436" s="50"/>
      <c r="AN436" s="50"/>
    </row>
    <row r="437" spans="1:40" x14ac:dyDescent="0.25">
      <c r="A437" s="53"/>
      <c r="C437" s="54"/>
      <c r="J437" s="65"/>
      <c r="K437" s="65"/>
      <c r="T437" s="54"/>
      <c r="Z437" s="65"/>
    </row>
    <row r="438" spans="1:40" x14ac:dyDescent="0.25">
      <c r="A438" s="53"/>
      <c r="C438" s="54"/>
      <c r="F438" s="449"/>
      <c r="H438" s="449"/>
      <c r="I438" s="449"/>
      <c r="J438" s="221"/>
      <c r="K438" s="221"/>
      <c r="L438" s="379"/>
      <c r="M438" s="379"/>
      <c r="N438" s="50"/>
      <c r="O438" s="50"/>
      <c r="P438" s="379"/>
      <c r="Q438" s="379"/>
      <c r="R438" s="379"/>
      <c r="T438" s="54"/>
      <c r="V438" s="379"/>
      <c r="Y438" s="379"/>
      <c r="Z438" s="221"/>
      <c r="AA438" s="379"/>
      <c r="AB438" s="379"/>
      <c r="AC438" s="50"/>
      <c r="AD438" s="50"/>
      <c r="AE438" s="379"/>
      <c r="AF438" s="379"/>
      <c r="AG438" s="156"/>
      <c r="AH438" s="60"/>
      <c r="AI438" s="379"/>
      <c r="AJ438" s="379"/>
      <c r="AK438" s="156"/>
      <c r="AL438" s="379"/>
      <c r="AM438" s="50"/>
      <c r="AN438" s="50"/>
    </row>
    <row r="439" spans="1:40" x14ac:dyDescent="0.25">
      <c r="A439" s="53"/>
      <c r="C439" s="54"/>
      <c r="F439" s="449"/>
      <c r="H439" s="449"/>
      <c r="I439" s="449"/>
      <c r="J439" s="221"/>
      <c r="K439" s="221"/>
      <c r="L439" s="379"/>
      <c r="M439" s="379"/>
      <c r="N439" s="50"/>
      <c r="O439" s="50"/>
      <c r="P439" s="379"/>
      <c r="Q439" s="379"/>
      <c r="R439" s="379"/>
      <c r="T439" s="54"/>
      <c r="V439" s="379"/>
      <c r="Y439" s="379"/>
      <c r="Z439" s="221"/>
      <c r="AA439" s="379"/>
      <c r="AB439" s="379"/>
      <c r="AC439" s="50"/>
      <c r="AD439" s="50"/>
      <c r="AE439" s="379"/>
      <c r="AF439" s="379"/>
      <c r="AG439" s="156"/>
      <c r="AH439" s="60"/>
      <c r="AI439" s="379"/>
      <c r="AJ439" s="379"/>
      <c r="AK439" s="156"/>
      <c r="AL439" s="379"/>
      <c r="AM439" s="50"/>
      <c r="AN439" s="50"/>
    </row>
    <row r="440" spans="1:40" x14ac:dyDescent="0.25">
      <c r="A440" s="53"/>
      <c r="C440" s="54"/>
      <c r="F440" s="449"/>
      <c r="H440" s="449"/>
      <c r="I440" s="449"/>
      <c r="J440" s="221"/>
      <c r="K440" s="221"/>
      <c r="L440" s="379"/>
      <c r="M440" s="379"/>
      <c r="N440" s="50"/>
      <c r="O440" s="50"/>
      <c r="P440" s="379"/>
      <c r="Q440" s="379"/>
      <c r="R440" s="379"/>
      <c r="T440" s="54"/>
      <c r="V440" s="379"/>
      <c r="Y440" s="379"/>
      <c r="Z440" s="221"/>
      <c r="AA440" s="379"/>
      <c r="AB440" s="379"/>
      <c r="AC440" s="50"/>
      <c r="AD440" s="50"/>
      <c r="AE440" s="379"/>
      <c r="AF440" s="379"/>
      <c r="AG440" s="156"/>
      <c r="AH440" s="60"/>
      <c r="AI440" s="379"/>
      <c r="AJ440" s="379"/>
      <c r="AK440" s="156"/>
      <c r="AL440" s="379"/>
      <c r="AM440" s="50"/>
      <c r="AN440" s="50"/>
    </row>
    <row r="441" spans="1:40" x14ac:dyDescent="0.25">
      <c r="A441" s="53"/>
      <c r="C441" s="54"/>
      <c r="F441" s="449"/>
      <c r="H441" s="449"/>
      <c r="I441" s="449"/>
      <c r="J441" s="221"/>
      <c r="K441" s="221"/>
      <c r="L441" s="379"/>
      <c r="M441" s="379"/>
      <c r="N441" s="50"/>
      <c r="O441" s="50"/>
      <c r="P441" s="379"/>
      <c r="Q441" s="379"/>
      <c r="R441" s="379"/>
      <c r="T441" s="54"/>
      <c r="V441" s="379"/>
      <c r="Y441" s="379"/>
      <c r="Z441" s="221"/>
      <c r="AA441" s="379"/>
      <c r="AB441" s="379"/>
      <c r="AC441" s="50"/>
      <c r="AD441" s="50"/>
      <c r="AE441" s="379"/>
      <c r="AF441" s="379"/>
      <c r="AG441" s="156"/>
      <c r="AH441" s="60"/>
      <c r="AI441" s="379"/>
      <c r="AJ441" s="379"/>
      <c r="AK441" s="156"/>
      <c r="AL441" s="379"/>
      <c r="AM441" s="50"/>
      <c r="AN441" s="50"/>
    </row>
    <row r="442" spans="1:40" x14ac:dyDescent="0.25">
      <c r="A442" s="53"/>
      <c r="C442" s="54"/>
      <c r="J442" s="65"/>
      <c r="K442" s="65"/>
      <c r="T442" s="54"/>
      <c r="Z442" s="65"/>
    </row>
    <row r="443" spans="1:40" x14ac:dyDescent="0.25">
      <c r="A443" s="53"/>
      <c r="C443" s="54"/>
      <c r="F443" s="449"/>
      <c r="H443" s="449"/>
      <c r="I443" s="449"/>
      <c r="J443" s="221"/>
      <c r="K443" s="221"/>
      <c r="L443" s="379"/>
      <c r="M443" s="379"/>
      <c r="N443" s="50"/>
      <c r="O443" s="50"/>
      <c r="P443" s="379"/>
      <c r="Q443" s="379"/>
      <c r="R443" s="379"/>
      <c r="T443" s="54"/>
      <c r="V443" s="379"/>
      <c r="Y443" s="379"/>
      <c r="Z443" s="221"/>
      <c r="AA443" s="379"/>
      <c r="AB443" s="379"/>
      <c r="AC443" s="50"/>
      <c r="AD443" s="50"/>
      <c r="AE443" s="379"/>
      <c r="AF443" s="379"/>
      <c r="AG443" s="156"/>
      <c r="AH443" s="60"/>
      <c r="AI443" s="379"/>
      <c r="AJ443" s="379"/>
      <c r="AK443" s="156"/>
      <c r="AL443" s="379"/>
      <c r="AM443" s="50"/>
      <c r="AN443" s="50"/>
    </row>
    <row r="444" spans="1:40" x14ac:dyDescent="0.25">
      <c r="A444" s="53"/>
      <c r="C444" s="54"/>
      <c r="F444" s="449"/>
      <c r="H444" s="449"/>
      <c r="I444" s="449"/>
      <c r="J444" s="221"/>
      <c r="K444" s="221"/>
      <c r="L444" s="379"/>
      <c r="M444" s="379"/>
      <c r="N444" s="50"/>
      <c r="O444" s="50"/>
      <c r="P444" s="379"/>
      <c r="Q444" s="379"/>
      <c r="R444" s="379"/>
      <c r="T444" s="54"/>
      <c r="V444" s="379"/>
      <c r="Y444" s="379"/>
      <c r="Z444" s="221"/>
      <c r="AA444" s="379"/>
      <c r="AB444" s="379"/>
      <c r="AC444" s="50"/>
      <c r="AD444" s="50"/>
      <c r="AE444" s="379"/>
      <c r="AF444" s="379"/>
      <c r="AG444" s="156"/>
      <c r="AH444" s="60"/>
      <c r="AI444" s="379"/>
      <c r="AJ444" s="379"/>
      <c r="AK444" s="156"/>
      <c r="AL444" s="379"/>
      <c r="AM444" s="50"/>
      <c r="AN444" s="50"/>
    </row>
    <row r="445" spans="1:40" x14ac:dyDescent="0.25">
      <c r="A445" s="53"/>
      <c r="C445" s="54"/>
      <c r="F445" s="449"/>
      <c r="H445" s="449"/>
      <c r="I445" s="449"/>
      <c r="J445" s="221"/>
      <c r="K445" s="221"/>
      <c r="L445" s="379"/>
      <c r="M445" s="379"/>
      <c r="N445" s="50"/>
      <c r="O445" s="50"/>
      <c r="P445" s="379"/>
      <c r="Q445" s="379"/>
      <c r="R445" s="379"/>
      <c r="T445" s="54"/>
      <c r="V445" s="379"/>
      <c r="Y445" s="379"/>
      <c r="Z445" s="221"/>
      <c r="AA445" s="379"/>
      <c r="AB445" s="379"/>
      <c r="AC445" s="50"/>
      <c r="AD445" s="50"/>
      <c r="AE445" s="379"/>
      <c r="AF445" s="379"/>
      <c r="AG445" s="156"/>
      <c r="AH445" s="60"/>
      <c r="AI445" s="379"/>
      <c r="AJ445" s="379"/>
      <c r="AK445" s="156"/>
      <c r="AL445" s="379"/>
      <c r="AM445" s="50"/>
      <c r="AN445" s="50"/>
    </row>
    <row r="446" spans="1:40" x14ac:dyDescent="0.25">
      <c r="A446" s="53"/>
      <c r="C446" s="54"/>
      <c r="F446" s="449"/>
      <c r="H446" s="449"/>
      <c r="I446" s="449"/>
      <c r="J446" s="221"/>
      <c r="K446" s="221"/>
      <c r="L446" s="379"/>
      <c r="M446" s="379"/>
      <c r="N446" s="50"/>
      <c r="O446" s="50"/>
      <c r="P446" s="379"/>
      <c r="Q446" s="379"/>
      <c r="R446" s="379"/>
      <c r="T446" s="54"/>
      <c r="V446" s="379"/>
      <c r="Y446" s="379"/>
      <c r="Z446" s="221"/>
      <c r="AA446" s="379"/>
      <c r="AB446" s="379"/>
      <c r="AC446" s="50"/>
      <c r="AD446" s="50"/>
      <c r="AE446" s="379"/>
      <c r="AF446" s="379"/>
      <c r="AG446" s="156"/>
      <c r="AH446" s="60"/>
      <c r="AI446" s="379"/>
      <c r="AJ446" s="379"/>
      <c r="AK446" s="156"/>
      <c r="AL446" s="379"/>
      <c r="AM446" s="50"/>
      <c r="AN446" s="50"/>
    </row>
    <row r="447" spans="1:40" x14ac:dyDescent="0.25">
      <c r="A447" s="53"/>
      <c r="C447" s="54"/>
      <c r="F447" s="449"/>
      <c r="H447" s="449"/>
      <c r="I447" s="449"/>
      <c r="J447" s="221"/>
      <c r="K447" s="221"/>
      <c r="L447" s="379"/>
      <c r="M447" s="379"/>
      <c r="N447" s="50"/>
      <c r="O447" s="50"/>
      <c r="P447" s="379"/>
      <c r="Q447" s="379"/>
      <c r="R447" s="379"/>
      <c r="T447" s="54"/>
      <c r="V447" s="379"/>
      <c r="Y447" s="379"/>
      <c r="Z447" s="221"/>
      <c r="AA447" s="379"/>
      <c r="AB447" s="379"/>
      <c r="AC447" s="50"/>
      <c r="AD447" s="50"/>
      <c r="AE447" s="379"/>
      <c r="AF447" s="379"/>
      <c r="AG447" s="156"/>
      <c r="AH447" s="60"/>
      <c r="AI447" s="379"/>
      <c r="AJ447" s="379"/>
      <c r="AK447" s="156"/>
      <c r="AL447" s="379"/>
      <c r="AM447" s="50"/>
      <c r="AN447" s="50"/>
    </row>
    <row r="448" spans="1:40" x14ac:dyDescent="0.25">
      <c r="F448" s="381"/>
      <c r="H448" s="381"/>
      <c r="I448" s="381"/>
      <c r="J448" s="464"/>
      <c r="K448" s="464"/>
      <c r="L448" s="381"/>
      <c r="M448" s="381"/>
      <c r="N448" s="381"/>
      <c r="O448" s="381"/>
      <c r="P448" s="381"/>
      <c r="Q448" s="381"/>
      <c r="R448" s="381"/>
      <c r="V448" s="381"/>
      <c r="Y448" s="381"/>
      <c r="Z448" s="221"/>
      <c r="AA448" s="381"/>
      <c r="AB448" s="381"/>
      <c r="AC448" s="381"/>
      <c r="AD448" s="381"/>
      <c r="AE448" s="381"/>
      <c r="AF448" s="381"/>
      <c r="AI448" s="381"/>
      <c r="AJ448" s="381"/>
      <c r="AK448" s="162"/>
      <c r="AL448" s="381"/>
    </row>
    <row r="449" spans="1:40" x14ac:dyDescent="0.25">
      <c r="A449" s="53"/>
      <c r="C449" s="54"/>
      <c r="F449" s="379"/>
      <c r="H449" s="379"/>
      <c r="I449" s="379"/>
      <c r="L449" s="379"/>
      <c r="M449" s="379"/>
      <c r="N449" s="60"/>
      <c r="O449" s="60"/>
      <c r="P449" s="379"/>
      <c r="Q449" s="379"/>
      <c r="R449" s="379"/>
      <c r="T449" s="54"/>
      <c r="V449" s="379"/>
      <c r="Y449" s="379"/>
      <c r="AA449" s="379"/>
      <c r="AB449" s="379"/>
      <c r="AC449" s="50"/>
      <c r="AD449" s="50"/>
      <c r="AE449" s="379"/>
      <c r="AF449" s="379"/>
      <c r="AG449" s="156"/>
      <c r="AH449" s="60"/>
      <c r="AI449" s="379"/>
      <c r="AJ449" s="379"/>
      <c r="AK449" s="156"/>
      <c r="AL449" s="379"/>
      <c r="AM449" s="50"/>
      <c r="AN449" s="50"/>
    </row>
    <row r="450" spans="1:40" x14ac:dyDescent="0.25">
      <c r="F450" s="381"/>
      <c r="H450" s="381"/>
      <c r="I450" s="381"/>
      <c r="J450" s="464"/>
      <c r="K450" s="464"/>
      <c r="L450" s="381"/>
      <c r="M450" s="381"/>
      <c r="N450" s="381"/>
      <c r="O450" s="381"/>
      <c r="P450" s="381"/>
      <c r="Q450" s="381"/>
      <c r="R450" s="381"/>
      <c r="V450" s="381"/>
      <c r="Y450" s="381"/>
      <c r="Z450" s="464"/>
      <c r="AA450" s="381"/>
      <c r="AB450" s="381"/>
      <c r="AC450" s="381"/>
      <c r="AD450" s="381"/>
      <c r="AE450" s="381"/>
      <c r="AF450" s="381"/>
      <c r="AI450" s="381"/>
      <c r="AJ450" s="381"/>
      <c r="AK450" s="162"/>
      <c r="AL450" s="381"/>
    </row>
    <row r="451" spans="1:40" x14ac:dyDescent="0.25">
      <c r="A451" s="53"/>
      <c r="C451" s="54"/>
      <c r="T451" s="54"/>
    </row>
    <row r="452" spans="1:40" x14ac:dyDescent="0.25">
      <c r="A452" s="53"/>
      <c r="C452" s="54"/>
      <c r="F452" s="449"/>
      <c r="H452" s="449"/>
      <c r="I452" s="449"/>
      <c r="J452" s="461"/>
      <c r="K452" s="461"/>
      <c r="L452" s="379"/>
      <c r="M452" s="379"/>
      <c r="N452" s="50"/>
      <c r="O452" s="50"/>
      <c r="P452" s="379"/>
      <c r="Q452" s="379"/>
      <c r="R452" s="379"/>
      <c r="T452" s="54"/>
      <c r="V452" s="379"/>
      <c r="Y452" s="379"/>
      <c r="Z452" s="461"/>
      <c r="AA452" s="379"/>
      <c r="AB452" s="379"/>
      <c r="AC452" s="50"/>
      <c r="AD452" s="50"/>
      <c r="AE452" s="379"/>
      <c r="AF452" s="379"/>
      <c r="AG452" s="156"/>
      <c r="AH452" s="60"/>
      <c r="AI452" s="379"/>
      <c r="AJ452" s="379"/>
      <c r="AK452" s="156"/>
      <c r="AL452" s="379"/>
      <c r="AM452" s="50"/>
      <c r="AN452" s="50"/>
    </row>
    <row r="453" spans="1:40" x14ac:dyDescent="0.25">
      <c r="A453" s="53"/>
      <c r="C453" s="54"/>
      <c r="F453" s="449"/>
      <c r="H453" s="449"/>
      <c r="I453" s="449"/>
      <c r="J453" s="461"/>
      <c r="K453" s="461"/>
      <c r="L453" s="379"/>
      <c r="M453" s="379"/>
      <c r="N453" s="50"/>
      <c r="O453" s="50"/>
      <c r="P453" s="379"/>
      <c r="Q453" s="379"/>
      <c r="R453" s="379"/>
      <c r="T453" s="54"/>
      <c r="V453" s="379"/>
      <c r="Y453" s="379"/>
      <c r="Z453" s="461"/>
      <c r="AA453" s="379"/>
      <c r="AB453" s="379"/>
      <c r="AC453" s="50"/>
      <c r="AD453" s="50"/>
      <c r="AE453" s="379"/>
      <c r="AF453" s="379"/>
      <c r="AG453" s="156"/>
      <c r="AH453" s="60"/>
      <c r="AI453" s="379"/>
      <c r="AJ453" s="379"/>
      <c r="AK453" s="156"/>
      <c r="AL453" s="379"/>
      <c r="AM453" s="50"/>
      <c r="AN453" s="50"/>
    </row>
    <row r="454" spans="1:40" x14ac:dyDescent="0.25">
      <c r="F454" s="381"/>
      <c r="H454" s="379"/>
      <c r="I454" s="379"/>
      <c r="J454" s="464"/>
      <c r="K454" s="464"/>
      <c r="L454" s="381"/>
      <c r="M454" s="381"/>
      <c r="N454" s="381"/>
      <c r="O454" s="381"/>
      <c r="P454" s="381"/>
      <c r="Q454" s="381"/>
      <c r="R454" s="381"/>
      <c r="V454" s="381"/>
      <c r="Y454" s="379"/>
      <c r="Z454" s="464"/>
      <c r="AA454" s="381"/>
      <c r="AB454" s="381"/>
      <c r="AC454" s="381"/>
      <c r="AD454" s="381"/>
      <c r="AE454" s="381"/>
      <c r="AF454" s="381"/>
      <c r="AI454" s="381"/>
      <c r="AJ454" s="381"/>
      <c r="AK454" s="162"/>
      <c r="AL454" s="381"/>
    </row>
    <row r="455" spans="1:40" x14ac:dyDescent="0.25">
      <c r="F455" s="379"/>
      <c r="H455" s="379"/>
      <c r="I455" s="379"/>
      <c r="J455" s="464"/>
      <c r="K455" s="464"/>
      <c r="L455" s="379"/>
      <c r="M455" s="379"/>
      <c r="N455" s="379"/>
      <c r="O455" s="379"/>
      <c r="P455" s="379"/>
      <c r="Q455" s="379"/>
      <c r="R455" s="379"/>
      <c r="V455" s="379"/>
      <c r="Y455" s="379"/>
      <c r="Z455" s="464"/>
      <c r="AA455" s="379"/>
      <c r="AB455" s="379"/>
      <c r="AC455" s="379"/>
      <c r="AD455" s="379"/>
      <c r="AE455" s="379"/>
      <c r="AF455" s="379"/>
      <c r="AI455" s="379"/>
      <c r="AJ455" s="379"/>
      <c r="AK455" s="156"/>
      <c r="AL455" s="379"/>
    </row>
    <row r="456" spans="1:40" x14ac:dyDescent="0.25">
      <c r="A456" s="53"/>
      <c r="C456" s="54"/>
      <c r="F456" s="379"/>
      <c r="H456" s="379"/>
      <c r="I456" s="379"/>
      <c r="L456" s="379"/>
      <c r="M456" s="379"/>
      <c r="N456" s="50"/>
      <c r="O456" s="50"/>
      <c r="P456" s="379"/>
      <c r="Q456" s="379"/>
      <c r="R456" s="379"/>
      <c r="T456" s="54"/>
      <c r="V456" s="379"/>
      <c r="Y456" s="379"/>
      <c r="AA456" s="379"/>
      <c r="AB456" s="379"/>
      <c r="AC456" s="50"/>
      <c r="AD456" s="50"/>
      <c r="AE456" s="379"/>
      <c r="AF456" s="379"/>
      <c r="AG456" s="156"/>
      <c r="AH456" s="60"/>
      <c r="AI456" s="449"/>
      <c r="AJ456" s="449"/>
      <c r="AK456" s="156"/>
      <c r="AL456" s="379"/>
      <c r="AM456" s="50"/>
      <c r="AN456" s="50"/>
    </row>
    <row r="457" spans="1:40" x14ac:dyDescent="0.25">
      <c r="F457" s="381"/>
      <c r="H457" s="381"/>
      <c r="I457" s="381"/>
      <c r="J457" s="464"/>
      <c r="K457" s="464"/>
      <c r="L457" s="381"/>
      <c r="M457" s="381"/>
      <c r="N457" s="381"/>
      <c r="O457" s="381"/>
      <c r="P457" s="381"/>
      <c r="Q457" s="381"/>
      <c r="R457" s="381"/>
      <c r="V457" s="381"/>
      <c r="Y457" s="381"/>
      <c r="Z457" s="464"/>
      <c r="AA457" s="381"/>
      <c r="AB457" s="381"/>
      <c r="AC457" s="381"/>
      <c r="AD457" s="381"/>
      <c r="AE457" s="381"/>
      <c r="AF457" s="381"/>
      <c r="AI457" s="381"/>
      <c r="AJ457" s="381"/>
      <c r="AK457" s="162"/>
      <c r="AL457" s="381"/>
    </row>
    <row r="459" spans="1:40" x14ac:dyDescent="0.25">
      <c r="A459" s="54"/>
      <c r="T459" s="54"/>
    </row>
    <row r="460" spans="1:40" x14ac:dyDescent="0.25">
      <c r="A460" s="54"/>
      <c r="T460" s="54"/>
    </row>
    <row r="461" spans="1:40" x14ac:dyDescent="0.25">
      <c r="A461" s="54"/>
      <c r="T461" s="54"/>
    </row>
    <row r="462" spans="1:40" x14ac:dyDescent="0.25">
      <c r="A462" s="54"/>
      <c r="T462" s="54"/>
    </row>
    <row r="463" spans="1:40" x14ac:dyDescent="0.25">
      <c r="A463" s="54"/>
      <c r="T463" s="54"/>
    </row>
    <row r="464" spans="1:40" x14ac:dyDescent="0.25">
      <c r="A464" s="54"/>
      <c r="T464" s="54"/>
    </row>
    <row r="465" spans="1:40" x14ac:dyDescent="0.25">
      <c r="A465" s="54"/>
      <c r="T465" s="54"/>
    </row>
    <row r="466" spans="1:40" x14ac:dyDescent="0.25">
      <c r="A466" s="54"/>
      <c r="T466" s="54"/>
    </row>
    <row r="467" spans="1:40" x14ac:dyDescent="0.25">
      <c r="A467" s="54"/>
      <c r="T467" s="54"/>
    </row>
    <row r="469" spans="1:40" x14ac:dyDescent="0.25">
      <c r="A469" s="54"/>
    </row>
    <row r="470" spans="1:40" x14ac:dyDescent="0.25">
      <c r="J470" s="53"/>
      <c r="K470" s="53"/>
      <c r="Z470" s="53"/>
    </row>
    <row r="471" spans="1:40" x14ac:dyDescent="0.25">
      <c r="H471" s="54"/>
      <c r="I471" s="54"/>
      <c r="Y471" s="54"/>
    </row>
    <row r="472" spans="1:40" x14ac:dyDescent="0.25">
      <c r="J472" s="53"/>
      <c r="K472" s="53"/>
      <c r="Z472" s="53"/>
    </row>
    <row r="473" spans="1:40" x14ac:dyDescent="0.25">
      <c r="L473" s="54"/>
      <c r="M473" s="54"/>
      <c r="AA473" s="54"/>
      <c r="AB473" s="54"/>
    </row>
    <row r="474" spans="1:40" x14ac:dyDescent="0.25">
      <c r="A474" s="53"/>
      <c r="R474" s="54"/>
      <c r="AK474" s="161"/>
      <c r="AL474" s="54"/>
    </row>
    <row r="475" spans="1:40" x14ac:dyDescent="0.25">
      <c r="A475" s="53"/>
      <c r="R475" s="54"/>
      <c r="AK475" s="161"/>
      <c r="AL475" s="54"/>
    </row>
    <row r="476" spans="1:40" x14ac:dyDescent="0.25">
      <c r="A476" s="54"/>
      <c r="R476" s="54"/>
      <c r="AK476" s="161"/>
      <c r="AL476" s="54"/>
    </row>
    <row r="477" spans="1:40" x14ac:dyDescent="0.25">
      <c r="L477" s="54"/>
      <c r="M477" s="54"/>
      <c r="R477" s="53"/>
      <c r="AA477" s="54"/>
      <c r="AB477" s="54"/>
      <c r="AK477" s="156"/>
      <c r="AL477" s="53"/>
    </row>
    <row r="478" spans="1:40" x14ac:dyDescent="0.25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154"/>
      <c r="AH478" s="55"/>
      <c r="AI478" s="55"/>
      <c r="AJ478" s="55"/>
      <c r="AK478" s="154"/>
      <c r="AL478" s="55"/>
      <c r="AM478" s="55"/>
      <c r="AN478" s="55"/>
    </row>
    <row r="479" spans="1:40" x14ac:dyDescent="0.25">
      <c r="L479" s="56"/>
      <c r="M479" s="56"/>
      <c r="N479" s="56"/>
      <c r="O479" s="56"/>
      <c r="R479" s="56"/>
      <c r="AA479" s="56"/>
      <c r="AB479" s="56"/>
      <c r="AC479" s="56"/>
      <c r="AD479" s="56"/>
      <c r="AE479" s="56"/>
      <c r="AF479" s="56"/>
      <c r="AG479" s="155"/>
      <c r="AH479" s="56"/>
      <c r="AK479" s="155"/>
      <c r="AL479" s="56"/>
      <c r="AM479" s="56"/>
      <c r="AN479" s="56"/>
    </row>
    <row r="480" spans="1:40" x14ac:dyDescent="0.25">
      <c r="L480" s="56"/>
      <c r="M480" s="56"/>
      <c r="N480" s="56"/>
      <c r="O480" s="56"/>
      <c r="R480" s="56"/>
      <c r="Z480" s="56"/>
      <c r="AA480" s="56"/>
      <c r="AB480" s="56"/>
      <c r="AC480" s="56"/>
      <c r="AD480" s="56"/>
      <c r="AE480" s="56"/>
      <c r="AF480" s="56"/>
      <c r="AG480" s="155"/>
      <c r="AH480" s="56"/>
      <c r="AK480" s="155"/>
      <c r="AL480" s="56"/>
      <c r="AM480" s="56"/>
      <c r="AN480" s="56"/>
    </row>
    <row r="481" spans="1:40" x14ac:dyDescent="0.25">
      <c r="A481" s="56"/>
      <c r="C481" s="56"/>
      <c r="D481" s="56"/>
      <c r="E481" s="56"/>
      <c r="F481" s="56"/>
      <c r="J481" s="56"/>
      <c r="K481" s="56"/>
      <c r="L481" s="56"/>
      <c r="M481" s="56"/>
      <c r="N481" s="56"/>
      <c r="O481" s="56"/>
      <c r="P481" s="56"/>
      <c r="Q481" s="56"/>
      <c r="R481" s="56"/>
      <c r="T481" s="56"/>
      <c r="U481" s="56"/>
      <c r="V481" s="56"/>
      <c r="Z481" s="56"/>
      <c r="AA481" s="56"/>
      <c r="AB481" s="56"/>
      <c r="AC481" s="56"/>
      <c r="AD481" s="56"/>
      <c r="AE481" s="56"/>
      <c r="AF481" s="56"/>
      <c r="AG481" s="155"/>
      <c r="AH481" s="56"/>
      <c r="AI481" s="56"/>
      <c r="AJ481" s="56"/>
      <c r="AK481" s="155"/>
      <c r="AL481" s="56"/>
      <c r="AM481" s="56"/>
      <c r="AN481" s="56"/>
    </row>
    <row r="482" spans="1:40" x14ac:dyDescent="0.25">
      <c r="A482" s="56"/>
      <c r="C482" s="56"/>
      <c r="D482" s="56"/>
      <c r="E482" s="56"/>
      <c r="F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T482" s="56"/>
      <c r="U482" s="56"/>
      <c r="V482" s="56"/>
      <c r="Y482" s="56"/>
      <c r="Z482" s="56"/>
      <c r="AA482" s="56"/>
      <c r="AB482" s="56"/>
      <c r="AC482" s="56"/>
      <c r="AD482" s="56"/>
      <c r="AE482" s="56"/>
      <c r="AF482" s="56"/>
      <c r="AG482" s="155"/>
      <c r="AH482" s="56"/>
      <c r="AI482" s="56"/>
      <c r="AJ482" s="56"/>
      <c r="AK482" s="155"/>
      <c r="AL482" s="56"/>
      <c r="AM482" s="56"/>
      <c r="AN482" s="56"/>
    </row>
    <row r="483" spans="1:40" x14ac:dyDescent="0.25">
      <c r="C483" s="56"/>
      <c r="D483" s="56"/>
      <c r="E483" s="56"/>
      <c r="F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T483" s="56"/>
      <c r="U483" s="56"/>
      <c r="V483" s="56"/>
      <c r="Y483" s="56"/>
      <c r="Z483" s="56"/>
      <c r="AA483" s="56"/>
      <c r="AB483" s="56"/>
      <c r="AC483" s="56"/>
      <c r="AD483" s="56"/>
      <c r="AE483" s="56"/>
      <c r="AF483" s="56"/>
      <c r="AG483" s="155"/>
      <c r="AH483" s="56"/>
      <c r="AI483" s="56"/>
      <c r="AJ483" s="56"/>
      <c r="AK483" s="155"/>
      <c r="AL483" s="56"/>
      <c r="AM483" s="56"/>
      <c r="AN483" s="56"/>
    </row>
    <row r="484" spans="1:40" x14ac:dyDescent="0.25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154"/>
      <c r="AH484" s="55"/>
      <c r="AI484" s="55"/>
      <c r="AJ484" s="55"/>
      <c r="AK484" s="154"/>
      <c r="AL484" s="55"/>
      <c r="AM484" s="55"/>
      <c r="AN484" s="55"/>
    </row>
    <row r="485" spans="1:40" x14ac:dyDescent="0.25"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Y485" s="56"/>
      <c r="Z485" s="56"/>
      <c r="AA485" s="56"/>
      <c r="AB485" s="56"/>
      <c r="AC485" s="56"/>
      <c r="AD485" s="56"/>
      <c r="AE485" s="56"/>
      <c r="AF485" s="56"/>
      <c r="AG485" s="155"/>
      <c r="AH485" s="56"/>
      <c r="AI485" s="56"/>
      <c r="AJ485" s="56"/>
      <c r="AK485" s="155"/>
      <c r="AL485" s="56"/>
      <c r="AM485" s="56"/>
      <c r="AN485" s="56"/>
    </row>
    <row r="486" spans="1:40" x14ac:dyDescent="0.25">
      <c r="A486" s="53"/>
      <c r="C486" s="54"/>
      <c r="D486" s="54"/>
      <c r="E486" s="54"/>
      <c r="T486" s="54"/>
      <c r="U486" s="54"/>
    </row>
    <row r="487" spans="1:40" x14ac:dyDescent="0.25">
      <c r="A487" s="53"/>
      <c r="D487" s="54"/>
      <c r="E487" s="54"/>
      <c r="U487" s="54"/>
    </row>
    <row r="489" spans="1:40" x14ac:dyDescent="0.25">
      <c r="A489" s="53"/>
      <c r="C489" s="54"/>
      <c r="F489" s="379"/>
      <c r="J489" s="62"/>
      <c r="K489" s="62"/>
      <c r="L489" s="379"/>
      <c r="M489" s="379"/>
      <c r="R489" s="379"/>
      <c r="T489" s="54"/>
      <c r="V489" s="379"/>
      <c r="Z489" s="62"/>
      <c r="AA489" s="379"/>
      <c r="AB489" s="379"/>
      <c r="AG489" s="156"/>
      <c r="AH489" s="379"/>
      <c r="AK489" s="156"/>
      <c r="AL489" s="379"/>
    </row>
    <row r="490" spans="1:40" x14ac:dyDescent="0.25">
      <c r="A490" s="53"/>
      <c r="C490" s="54"/>
      <c r="F490" s="379"/>
      <c r="R490" s="379"/>
      <c r="T490" s="54"/>
      <c r="V490" s="379"/>
      <c r="AG490" s="156"/>
      <c r="AH490" s="379"/>
      <c r="AK490" s="156"/>
      <c r="AL490" s="379"/>
    </row>
    <row r="491" spans="1:40" x14ac:dyDescent="0.25">
      <c r="AI491" s="379"/>
      <c r="AJ491" s="379"/>
      <c r="AK491" s="156"/>
      <c r="AL491" s="379"/>
      <c r="AM491" s="50"/>
      <c r="AN491" s="50"/>
    </row>
    <row r="492" spans="1:40" x14ac:dyDescent="0.25">
      <c r="A492" s="53"/>
      <c r="C492" s="54"/>
      <c r="F492" s="449"/>
      <c r="H492" s="449"/>
      <c r="I492" s="449"/>
      <c r="J492" s="477"/>
      <c r="K492" s="477"/>
      <c r="L492" s="379"/>
      <c r="M492" s="379"/>
      <c r="N492" s="50"/>
      <c r="O492" s="50"/>
      <c r="P492" s="379"/>
      <c r="Q492" s="379"/>
      <c r="R492" s="379"/>
      <c r="T492" s="54"/>
      <c r="V492" s="379"/>
      <c r="Y492" s="379"/>
      <c r="Z492" s="477"/>
      <c r="AA492" s="379"/>
      <c r="AB492" s="379"/>
      <c r="AC492" s="50"/>
      <c r="AD492" s="50"/>
      <c r="AE492" s="379"/>
      <c r="AF492" s="379"/>
      <c r="AG492" s="156"/>
      <c r="AH492" s="60"/>
      <c r="AI492" s="379"/>
      <c r="AJ492" s="379"/>
      <c r="AK492" s="156"/>
      <c r="AL492" s="379"/>
      <c r="AM492" s="50"/>
      <c r="AN492" s="50"/>
    </row>
    <row r="493" spans="1:40" x14ac:dyDescent="0.25">
      <c r="F493" s="379"/>
      <c r="H493" s="379"/>
      <c r="I493" s="379"/>
      <c r="J493" s="59"/>
      <c r="K493" s="59"/>
      <c r="L493" s="379"/>
      <c r="M493" s="379"/>
      <c r="P493" s="379"/>
      <c r="Q493" s="379"/>
      <c r="R493" s="379"/>
      <c r="V493" s="379"/>
      <c r="Y493" s="379"/>
      <c r="Z493" s="59"/>
      <c r="AA493" s="379"/>
      <c r="AB493" s="379"/>
      <c r="AI493" s="379"/>
      <c r="AJ493" s="379"/>
      <c r="AK493" s="156"/>
      <c r="AL493" s="379"/>
      <c r="AM493" s="50"/>
      <c r="AN493" s="50"/>
    </row>
    <row r="494" spans="1:40" x14ac:dyDescent="0.25">
      <c r="F494" s="379"/>
      <c r="R494" s="379"/>
      <c r="V494" s="379"/>
      <c r="AK494" s="156"/>
      <c r="AL494" s="379"/>
      <c r="AM494" s="50"/>
      <c r="AN494" s="50"/>
    </row>
    <row r="495" spans="1:40" x14ac:dyDescent="0.25">
      <c r="A495" s="53"/>
      <c r="C495" s="54"/>
      <c r="F495" s="379"/>
      <c r="J495" s="62"/>
      <c r="K495" s="62"/>
      <c r="L495" s="379"/>
      <c r="M495" s="379"/>
      <c r="N495" s="50"/>
      <c r="O495" s="50"/>
      <c r="R495" s="379"/>
      <c r="T495" s="54"/>
      <c r="V495" s="379"/>
      <c r="Z495" s="62"/>
      <c r="AA495" s="379"/>
      <c r="AB495" s="379"/>
      <c r="AC495" s="50"/>
      <c r="AD495" s="50"/>
      <c r="AK495" s="156"/>
      <c r="AL495" s="379"/>
      <c r="AM495" s="50"/>
      <c r="AN495" s="50"/>
    </row>
    <row r="496" spans="1:40" x14ac:dyDescent="0.25">
      <c r="A496" s="53"/>
      <c r="C496" s="54"/>
      <c r="F496" s="379"/>
      <c r="H496" s="379"/>
      <c r="I496" s="379"/>
      <c r="J496" s="62"/>
      <c r="K496" s="62"/>
      <c r="L496" s="379"/>
      <c r="M496" s="379"/>
      <c r="N496" s="50"/>
      <c r="O496" s="50"/>
      <c r="P496" s="379"/>
      <c r="Q496" s="379"/>
      <c r="R496" s="379"/>
      <c r="T496" s="54"/>
      <c r="V496" s="379"/>
      <c r="Y496" s="379"/>
      <c r="Z496" s="62"/>
      <c r="AA496" s="379"/>
      <c r="AB496" s="379"/>
      <c r="AC496" s="50"/>
      <c r="AD496" s="50"/>
      <c r="AI496" s="379"/>
      <c r="AJ496" s="379"/>
      <c r="AK496" s="156"/>
      <c r="AL496" s="379"/>
      <c r="AM496" s="50"/>
      <c r="AN496" s="50"/>
    </row>
    <row r="497" spans="1:40" x14ac:dyDescent="0.25">
      <c r="A497" s="53"/>
      <c r="C497" s="54"/>
      <c r="T497" s="54"/>
      <c r="AM497" s="50"/>
      <c r="AN497" s="50"/>
    </row>
    <row r="498" spans="1:40" x14ac:dyDescent="0.25">
      <c r="A498" s="53"/>
      <c r="C498" s="54"/>
      <c r="T498" s="54"/>
      <c r="AM498" s="50"/>
      <c r="AN498" s="50"/>
    </row>
    <row r="499" spans="1:40" x14ac:dyDescent="0.25">
      <c r="AM499" s="50"/>
      <c r="AN499" s="50"/>
    </row>
    <row r="500" spans="1:40" x14ac:dyDescent="0.25">
      <c r="A500" s="53"/>
      <c r="C500" s="54"/>
      <c r="F500" s="449"/>
      <c r="H500" s="449"/>
      <c r="I500" s="449"/>
      <c r="J500" s="477"/>
      <c r="K500" s="477"/>
      <c r="L500" s="379"/>
      <c r="M500" s="379"/>
      <c r="N500" s="50"/>
      <c r="O500" s="50"/>
      <c r="P500" s="379"/>
      <c r="Q500" s="379"/>
      <c r="R500" s="379"/>
      <c r="T500" s="54"/>
      <c r="V500" s="379"/>
      <c r="Y500" s="379"/>
      <c r="Z500" s="477"/>
      <c r="AA500" s="379"/>
      <c r="AB500" s="379"/>
      <c r="AC500" s="50"/>
      <c r="AD500" s="50"/>
      <c r="AE500" s="379"/>
      <c r="AF500" s="379"/>
      <c r="AG500" s="156"/>
      <c r="AH500" s="60"/>
      <c r="AI500" s="379"/>
      <c r="AJ500" s="379"/>
      <c r="AK500" s="156"/>
      <c r="AL500" s="379"/>
      <c r="AM500" s="50"/>
      <c r="AN500" s="50"/>
    </row>
    <row r="501" spans="1:40" x14ac:dyDescent="0.25">
      <c r="F501" s="381"/>
      <c r="H501" s="381"/>
      <c r="I501" s="381"/>
      <c r="J501" s="464"/>
      <c r="K501" s="464"/>
      <c r="L501" s="381"/>
      <c r="M501" s="381"/>
      <c r="N501" s="381"/>
      <c r="O501" s="381"/>
      <c r="P501" s="381"/>
      <c r="Q501" s="381"/>
      <c r="R501" s="381"/>
      <c r="V501" s="381"/>
      <c r="Y501" s="381"/>
      <c r="Z501" s="464"/>
      <c r="AA501" s="381"/>
      <c r="AB501" s="381"/>
      <c r="AC501" s="381"/>
      <c r="AD501" s="381"/>
      <c r="AE501" s="381"/>
      <c r="AF501" s="381"/>
      <c r="AI501" s="381"/>
      <c r="AJ501" s="381"/>
      <c r="AK501" s="162"/>
      <c r="AL501" s="381"/>
      <c r="AM501" s="50"/>
      <c r="AN501" s="50"/>
    </row>
    <row r="502" spans="1:40" x14ac:dyDescent="0.25">
      <c r="H502" s="379"/>
      <c r="I502" s="379"/>
      <c r="Y502" s="379"/>
      <c r="AM502" s="50"/>
      <c r="AN502" s="50"/>
    </row>
    <row r="503" spans="1:40" x14ac:dyDescent="0.25">
      <c r="A503" s="53"/>
      <c r="C503" s="54"/>
      <c r="F503" s="379"/>
      <c r="H503" s="379"/>
      <c r="I503" s="379"/>
      <c r="L503" s="379"/>
      <c r="M503" s="379"/>
      <c r="N503" s="50"/>
      <c r="O503" s="50"/>
      <c r="P503" s="449"/>
      <c r="Q503" s="449"/>
      <c r="R503" s="379"/>
      <c r="T503" s="54"/>
      <c r="V503" s="379"/>
      <c r="Y503" s="379"/>
      <c r="AA503" s="379"/>
      <c r="AB503" s="379"/>
      <c r="AC503" s="50"/>
      <c r="AD503" s="50"/>
      <c r="AE503" s="379"/>
      <c r="AF503" s="379"/>
      <c r="AG503" s="156"/>
      <c r="AH503" s="60"/>
      <c r="AI503" s="449"/>
      <c r="AJ503" s="449"/>
      <c r="AK503" s="156"/>
      <c r="AL503" s="379"/>
      <c r="AM503" s="50"/>
      <c r="AN503" s="50"/>
    </row>
    <row r="504" spans="1:40" x14ac:dyDescent="0.25">
      <c r="F504" s="381"/>
      <c r="H504" s="381"/>
      <c r="I504" s="381"/>
      <c r="J504" s="464"/>
      <c r="K504" s="464"/>
      <c r="L504" s="381"/>
      <c r="M504" s="381"/>
      <c r="N504" s="381"/>
      <c r="O504" s="381"/>
      <c r="P504" s="381"/>
      <c r="Q504" s="381"/>
      <c r="R504" s="381"/>
      <c r="V504" s="381"/>
      <c r="Y504" s="381"/>
      <c r="Z504" s="464"/>
      <c r="AA504" s="381"/>
      <c r="AB504" s="381"/>
      <c r="AC504" s="381"/>
      <c r="AD504" s="381"/>
      <c r="AE504" s="381"/>
      <c r="AF504" s="381"/>
      <c r="AI504" s="381"/>
      <c r="AJ504" s="381"/>
      <c r="AK504" s="162"/>
      <c r="AL504" s="381"/>
      <c r="AM504" s="50"/>
      <c r="AN504" s="50"/>
    </row>
    <row r="506" spans="1:40" x14ac:dyDescent="0.25">
      <c r="F506" s="379"/>
      <c r="H506" s="379"/>
      <c r="I506" s="379"/>
      <c r="J506" s="59"/>
      <c r="K506" s="59"/>
      <c r="L506" s="379"/>
      <c r="M506" s="379"/>
      <c r="N506" s="379"/>
      <c r="O506" s="379"/>
      <c r="P506" s="379"/>
      <c r="Q506" s="379"/>
      <c r="R506" s="379"/>
      <c r="V506" s="379"/>
      <c r="Y506" s="379"/>
      <c r="Z506" s="59"/>
      <c r="AA506" s="379"/>
      <c r="AB506" s="379"/>
      <c r="AC506" s="379"/>
      <c r="AD506" s="379"/>
      <c r="AE506" s="379"/>
      <c r="AF506" s="379"/>
      <c r="AG506" s="156"/>
      <c r="AH506" s="379"/>
      <c r="AI506" s="379"/>
      <c r="AJ506" s="379"/>
      <c r="AK506" s="156"/>
      <c r="AL506" s="379"/>
    </row>
    <row r="507" spans="1:40" x14ac:dyDescent="0.25">
      <c r="A507" s="54"/>
    </row>
    <row r="508" spans="1:40" x14ac:dyDescent="0.25">
      <c r="J508" s="53"/>
      <c r="K508" s="53"/>
      <c r="Z508" s="53"/>
    </row>
    <row r="509" spans="1:40" x14ac:dyDescent="0.25">
      <c r="H509" s="54"/>
      <c r="I509" s="54"/>
      <c r="Y509" s="54"/>
    </row>
    <row r="510" spans="1:40" x14ac:dyDescent="0.25">
      <c r="J510" s="53"/>
      <c r="K510" s="53"/>
      <c r="Z510" s="53"/>
    </row>
    <row r="511" spans="1:40" x14ac:dyDescent="0.25">
      <c r="L511" s="54"/>
      <c r="M511" s="54"/>
      <c r="AA511" s="54"/>
      <c r="AB511" s="54"/>
    </row>
    <row r="512" spans="1:40" x14ac:dyDescent="0.25">
      <c r="A512" s="53"/>
      <c r="R512" s="54"/>
      <c r="AK512" s="161"/>
      <c r="AL512" s="54"/>
    </row>
    <row r="513" spans="1:40" x14ac:dyDescent="0.25">
      <c r="A513" s="53"/>
      <c r="R513" s="54"/>
      <c r="AK513" s="161"/>
      <c r="AL513" s="54"/>
    </row>
    <row r="514" spans="1:40" x14ac:dyDescent="0.25">
      <c r="A514" s="54"/>
      <c r="R514" s="54"/>
      <c r="AK514" s="161"/>
      <c r="AL514" s="54"/>
    </row>
    <row r="515" spans="1:40" x14ac:dyDescent="0.25">
      <c r="L515" s="54"/>
      <c r="M515" s="54"/>
      <c r="R515" s="53"/>
      <c r="AA515" s="54"/>
      <c r="AB515" s="54"/>
      <c r="AK515" s="156"/>
      <c r="AL515" s="53"/>
    </row>
    <row r="516" spans="1:40" x14ac:dyDescent="0.25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154"/>
      <c r="AH516" s="55"/>
      <c r="AI516" s="55"/>
      <c r="AJ516" s="55"/>
      <c r="AK516" s="154"/>
      <c r="AL516" s="55"/>
      <c r="AM516" s="55"/>
      <c r="AN516" s="55"/>
    </row>
    <row r="517" spans="1:40" x14ac:dyDescent="0.25">
      <c r="L517" s="56"/>
      <c r="M517" s="56"/>
      <c r="N517" s="56"/>
      <c r="O517" s="56"/>
      <c r="R517" s="56"/>
      <c r="AA517" s="56"/>
      <c r="AB517" s="56"/>
      <c r="AC517" s="56"/>
      <c r="AD517" s="56"/>
      <c r="AE517" s="56"/>
      <c r="AF517" s="56"/>
      <c r="AG517" s="155"/>
      <c r="AH517" s="56"/>
      <c r="AK517" s="155"/>
      <c r="AL517" s="56"/>
      <c r="AM517" s="56"/>
      <c r="AN517" s="56"/>
    </row>
    <row r="518" spans="1:40" x14ac:dyDescent="0.25">
      <c r="L518" s="56"/>
      <c r="M518" s="56"/>
      <c r="N518" s="56"/>
      <c r="O518" s="56"/>
      <c r="R518" s="56"/>
      <c r="Z518" s="56"/>
      <c r="AA518" s="56"/>
      <c r="AB518" s="56"/>
      <c r="AC518" s="56"/>
      <c r="AD518" s="56"/>
      <c r="AE518" s="56"/>
      <c r="AF518" s="56"/>
      <c r="AG518" s="155"/>
      <c r="AH518" s="56"/>
      <c r="AK518" s="155"/>
      <c r="AL518" s="56"/>
      <c r="AM518" s="56"/>
      <c r="AN518" s="56"/>
    </row>
    <row r="519" spans="1:40" x14ac:dyDescent="0.25">
      <c r="A519" s="56"/>
      <c r="C519" s="56"/>
      <c r="D519" s="56"/>
      <c r="E519" s="56"/>
      <c r="F519" s="56"/>
      <c r="J519" s="56"/>
      <c r="K519" s="56"/>
      <c r="L519" s="56"/>
      <c r="M519" s="56"/>
      <c r="N519" s="56"/>
      <c r="O519" s="56"/>
      <c r="P519" s="56"/>
      <c r="Q519" s="56"/>
      <c r="R519" s="56"/>
      <c r="T519" s="56"/>
      <c r="U519" s="56"/>
      <c r="V519" s="56"/>
      <c r="Z519" s="56"/>
      <c r="AA519" s="56"/>
      <c r="AB519" s="56"/>
      <c r="AC519" s="56"/>
      <c r="AD519" s="56"/>
      <c r="AE519" s="56"/>
      <c r="AF519" s="56"/>
      <c r="AG519" s="155"/>
      <c r="AH519" s="56"/>
      <c r="AI519" s="56"/>
      <c r="AJ519" s="56"/>
      <c r="AK519" s="155"/>
      <c r="AL519" s="56"/>
      <c r="AM519" s="56"/>
      <c r="AN519" s="56"/>
    </row>
    <row r="520" spans="1:40" x14ac:dyDescent="0.25">
      <c r="A520" s="56"/>
      <c r="C520" s="56"/>
      <c r="D520" s="56"/>
      <c r="E520" s="56"/>
      <c r="F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T520" s="56"/>
      <c r="U520" s="56"/>
      <c r="V520" s="56"/>
      <c r="Y520" s="56"/>
      <c r="Z520" s="56"/>
      <c r="AA520" s="56"/>
      <c r="AB520" s="56"/>
      <c r="AC520" s="56"/>
      <c r="AD520" s="56"/>
      <c r="AE520" s="56"/>
      <c r="AF520" s="56"/>
      <c r="AG520" s="155"/>
      <c r="AH520" s="56"/>
      <c r="AI520" s="56"/>
      <c r="AJ520" s="56"/>
      <c r="AK520" s="155"/>
      <c r="AL520" s="56"/>
      <c r="AM520" s="56"/>
      <c r="AN520" s="56"/>
    </row>
    <row r="521" spans="1:40" x14ac:dyDescent="0.25">
      <c r="C521" s="56"/>
      <c r="D521" s="56"/>
      <c r="E521" s="56"/>
      <c r="F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T521" s="56"/>
      <c r="U521" s="56"/>
      <c r="V521" s="56"/>
      <c r="Y521" s="56"/>
      <c r="Z521" s="56"/>
      <c r="AA521" s="56"/>
      <c r="AB521" s="56"/>
      <c r="AC521" s="56"/>
      <c r="AD521" s="56"/>
      <c r="AE521" s="56"/>
      <c r="AF521" s="56"/>
      <c r="AG521" s="155"/>
      <c r="AH521" s="56"/>
      <c r="AI521" s="56"/>
      <c r="AJ521" s="56"/>
      <c r="AK521" s="155"/>
      <c r="AL521" s="56"/>
      <c r="AM521" s="56"/>
      <c r="AN521" s="56"/>
    </row>
    <row r="522" spans="1:40" x14ac:dyDescent="0.25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154"/>
      <c r="AH522" s="55"/>
      <c r="AI522" s="55"/>
      <c r="AJ522" s="55"/>
      <c r="AK522" s="154"/>
      <c r="AL522" s="55"/>
      <c r="AM522" s="55"/>
      <c r="AN522" s="55"/>
    </row>
    <row r="523" spans="1:40" x14ac:dyDescent="0.25"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Y523" s="56"/>
      <c r="Z523" s="56"/>
      <c r="AA523" s="56"/>
      <c r="AB523" s="56"/>
      <c r="AC523" s="56"/>
      <c r="AD523" s="56"/>
      <c r="AE523" s="56"/>
      <c r="AF523" s="56"/>
      <c r="AG523" s="155"/>
      <c r="AH523" s="56"/>
      <c r="AI523" s="56"/>
      <c r="AJ523" s="56"/>
      <c r="AK523" s="155"/>
      <c r="AL523" s="56"/>
      <c r="AM523" s="56"/>
      <c r="AN523" s="56"/>
    </row>
    <row r="524" spans="1:40" x14ac:dyDescent="0.25">
      <c r="A524" s="53"/>
      <c r="C524" s="54"/>
      <c r="D524" s="54"/>
      <c r="E524" s="54"/>
      <c r="T524" s="54"/>
      <c r="U524" s="54"/>
      <c r="V524" s="379"/>
      <c r="W524" s="379"/>
      <c r="X524" s="379"/>
      <c r="Y524" s="379"/>
      <c r="Z524" s="477"/>
    </row>
    <row r="526" spans="1:40" x14ac:dyDescent="0.25">
      <c r="A526" s="53"/>
      <c r="C526" s="54"/>
      <c r="T526" s="54"/>
      <c r="V526" s="379"/>
      <c r="W526" s="379"/>
      <c r="X526" s="379"/>
      <c r="Y526" s="379"/>
      <c r="Z526" s="477"/>
    </row>
    <row r="527" spans="1:40" x14ac:dyDescent="0.25">
      <c r="A527" s="53"/>
      <c r="C527" s="54"/>
      <c r="F527" s="449"/>
      <c r="H527" s="449"/>
      <c r="I527" s="449"/>
      <c r="J527" s="221"/>
      <c r="K527" s="221"/>
      <c r="L527" s="379"/>
      <c r="M527" s="379"/>
      <c r="N527" s="50"/>
      <c r="O527" s="50"/>
      <c r="P527" s="379"/>
      <c r="Q527" s="379"/>
      <c r="R527" s="379"/>
      <c r="T527" s="54"/>
      <c r="V527" s="379"/>
      <c r="W527" s="379"/>
      <c r="X527" s="379"/>
      <c r="Y527" s="379"/>
      <c r="Z527" s="221"/>
      <c r="AA527" s="379"/>
      <c r="AB527" s="379"/>
      <c r="AC527" s="50"/>
      <c r="AD527" s="50"/>
      <c r="AE527" s="379"/>
      <c r="AF527" s="379"/>
      <c r="AG527" s="156"/>
      <c r="AH527" s="60"/>
      <c r="AI527" s="379"/>
      <c r="AJ527" s="379"/>
      <c r="AK527" s="156"/>
      <c r="AL527" s="379"/>
      <c r="AM527" s="50"/>
      <c r="AN527" s="50"/>
    </row>
    <row r="528" spans="1:40" x14ac:dyDescent="0.25">
      <c r="A528" s="53"/>
      <c r="C528" s="54"/>
      <c r="F528" s="449"/>
      <c r="H528" s="449"/>
      <c r="I528" s="449"/>
      <c r="J528" s="221"/>
      <c r="K528" s="221"/>
      <c r="L528" s="379"/>
      <c r="M528" s="379"/>
      <c r="N528" s="50"/>
      <c r="O528" s="50"/>
      <c r="P528" s="379"/>
      <c r="Q528" s="379"/>
      <c r="R528" s="379"/>
      <c r="T528" s="54"/>
      <c r="V528" s="379"/>
      <c r="W528" s="379"/>
      <c r="X528" s="379"/>
      <c r="Y528" s="379"/>
      <c r="Z528" s="221"/>
      <c r="AA528" s="379"/>
      <c r="AB528" s="379"/>
      <c r="AC528" s="50"/>
      <c r="AD528" s="50"/>
      <c r="AE528" s="379"/>
      <c r="AF528" s="379"/>
      <c r="AG528" s="156"/>
      <c r="AH528" s="60"/>
      <c r="AI528" s="379"/>
      <c r="AJ528" s="379"/>
      <c r="AK528" s="156"/>
      <c r="AL528" s="379"/>
      <c r="AM528" s="50"/>
      <c r="AN528" s="50"/>
    </row>
    <row r="529" spans="1:40" x14ac:dyDescent="0.25">
      <c r="A529" s="53"/>
      <c r="C529" s="54"/>
      <c r="F529" s="449"/>
      <c r="H529" s="449"/>
      <c r="I529" s="449"/>
      <c r="J529" s="221"/>
      <c r="K529" s="221"/>
      <c r="L529" s="379"/>
      <c r="M529" s="379"/>
      <c r="N529" s="50"/>
      <c r="O529" s="50"/>
      <c r="P529" s="379"/>
      <c r="Q529" s="379"/>
      <c r="R529" s="379"/>
      <c r="T529" s="54"/>
      <c r="V529" s="379"/>
      <c r="W529" s="379"/>
      <c r="X529" s="379"/>
      <c r="Y529" s="379"/>
      <c r="Z529" s="221"/>
      <c r="AA529" s="379"/>
      <c r="AB529" s="379"/>
      <c r="AC529" s="50"/>
      <c r="AD529" s="50"/>
      <c r="AE529" s="379"/>
      <c r="AF529" s="379"/>
      <c r="AG529" s="156"/>
      <c r="AH529" s="60"/>
      <c r="AI529" s="379"/>
      <c r="AJ529" s="379"/>
      <c r="AK529" s="156"/>
      <c r="AL529" s="379"/>
      <c r="AM529" s="50"/>
      <c r="AN529" s="50"/>
    </row>
    <row r="530" spans="1:40" x14ac:dyDescent="0.25">
      <c r="A530" s="53"/>
      <c r="C530" s="54"/>
      <c r="F530" s="449"/>
      <c r="H530" s="449"/>
      <c r="I530" s="449"/>
      <c r="J530" s="221"/>
      <c r="K530" s="221"/>
      <c r="L530" s="379"/>
      <c r="M530" s="379"/>
      <c r="N530" s="50"/>
      <c r="O530" s="50"/>
      <c r="P530" s="379"/>
      <c r="Q530" s="379"/>
      <c r="R530" s="379"/>
      <c r="T530" s="54"/>
      <c r="V530" s="379"/>
      <c r="W530" s="379"/>
      <c r="X530" s="379"/>
      <c r="Y530" s="379"/>
      <c r="Z530" s="221"/>
      <c r="AA530" s="379"/>
      <c r="AB530" s="379"/>
      <c r="AC530" s="50"/>
      <c r="AD530" s="50"/>
      <c r="AE530" s="379"/>
      <c r="AF530" s="379"/>
      <c r="AG530" s="156"/>
      <c r="AH530" s="60"/>
      <c r="AI530" s="379"/>
      <c r="AJ530" s="379"/>
      <c r="AK530" s="156"/>
      <c r="AL530" s="379"/>
      <c r="AM530" s="50"/>
      <c r="AN530" s="50"/>
    </row>
    <row r="531" spans="1:40" x14ac:dyDescent="0.25">
      <c r="J531" s="65"/>
      <c r="K531" s="65"/>
      <c r="V531" s="379"/>
      <c r="W531" s="379"/>
      <c r="X531" s="379"/>
      <c r="Y531" s="379"/>
      <c r="Z531" s="221"/>
    </row>
    <row r="532" spans="1:40" x14ac:dyDescent="0.25">
      <c r="A532" s="53"/>
      <c r="C532" s="54"/>
      <c r="F532" s="449"/>
      <c r="H532" s="449"/>
      <c r="I532" s="449"/>
      <c r="J532" s="221"/>
      <c r="K532" s="221"/>
      <c r="L532" s="379"/>
      <c r="M532" s="379"/>
      <c r="N532" s="50"/>
      <c r="O532" s="50"/>
      <c r="P532" s="379"/>
      <c r="Q532" s="379"/>
      <c r="R532" s="379"/>
      <c r="T532" s="54"/>
      <c r="V532" s="379"/>
      <c r="W532" s="379"/>
      <c r="X532" s="379"/>
      <c r="Y532" s="379"/>
      <c r="Z532" s="221"/>
      <c r="AA532" s="379"/>
      <c r="AB532" s="379"/>
      <c r="AC532" s="50"/>
      <c r="AD532" s="50"/>
      <c r="AE532" s="379"/>
      <c r="AF532" s="379"/>
      <c r="AG532" s="156"/>
      <c r="AH532" s="60"/>
      <c r="AI532" s="379"/>
      <c r="AJ532" s="379"/>
      <c r="AK532" s="156"/>
      <c r="AL532" s="379"/>
      <c r="AM532" s="60"/>
      <c r="AN532" s="60"/>
    </row>
    <row r="533" spans="1:40" x14ac:dyDescent="0.25">
      <c r="A533" s="53"/>
      <c r="C533" s="54"/>
      <c r="J533" s="65"/>
      <c r="K533" s="65"/>
      <c r="T533" s="54"/>
      <c r="V533" s="379"/>
      <c r="W533" s="379"/>
      <c r="X533" s="379"/>
      <c r="Y533" s="379"/>
      <c r="Z533" s="221"/>
    </row>
    <row r="534" spans="1:40" x14ac:dyDescent="0.25">
      <c r="A534" s="53"/>
      <c r="C534" s="54"/>
      <c r="F534" s="449"/>
      <c r="H534" s="449"/>
      <c r="I534" s="449"/>
      <c r="J534" s="221"/>
      <c r="K534" s="221"/>
      <c r="L534" s="379"/>
      <c r="M534" s="379"/>
      <c r="N534" s="50"/>
      <c r="O534" s="50"/>
      <c r="P534" s="379"/>
      <c r="Q534" s="379"/>
      <c r="R534" s="379"/>
      <c r="T534" s="54"/>
      <c r="V534" s="379"/>
      <c r="W534" s="379"/>
      <c r="X534" s="379"/>
      <c r="Y534" s="379"/>
      <c r="Z534" s="221"/>
      <c r="AA534" s="379"/>
      <c r="AB534" s="379"/>
      <c r="AC534" s="50"/>
      <c r="AD534" s="50"/>
      <c r="AE534" s="379"/>
      <c r="AF534" s="379"/>
      <c r="AG534" s="156"/>
      <c r="AH534" s="60"/>
      <c r="AI534" s="379"/>
      <c r="AJ534" s="379"/>
      <c r="AK534" s="156"/>
      <c r="AL534" s="379"/>
      <c r="AM534" s="60"/>
      <c r="AN534" s="60"/>
    </row>
    <row r="535" spans="1:40" x14ac:dyDescent="0.25">
      <c r="J535" s="65"/>
      <c r="K535" s="65"/>
      <c r="Z535" s="65"/>
    </row>
    <row r="536" spans="1:40" x14ac:dyDescent="0.25">
      <c r="A536" s="53"/>
      <c r="C536" s="54"/>
      <c r="J536" s="65"/>
      <c r="K536" s="65"/>
      <c r="T536" s="54"/>
      <c r="V536" s="379"/>
      <c r="W536" s="379"/>
      <c r="X536" s="379"/>
      <c r="Y536" s="379"/>
      <c r="Z536" s="221"/>
    </row>
    <row r="537" spans="1:40" x14ac:dyDescent="0.25">
      <c r="A537" s="53"/>
      <c r="C537" s="54"/>
      <c r="F537" s="449"/>
      <c r="H537" s="449"/>
      <c r="I537" s="449"/>
      <c r="J537" s="221"/>
      <c r="K537" s="221"/>
      <c r="L537" s="379"/>
      <c r="M537" s="379"/>
      <c r="N537" s="50"/>
      <c r="O537" s="50"/>
      <c r="P537" s="379"/>
      <c r="Q537" s="379"/>
      <c r="R537" s="379"/>
      <c r="T537" s="54"/>
      <c r="V537" s="379"/>
      <c r="W537" s="379"/>
      <c r="X537" s="379"/>
      <c r="Y537" s="379"/>
      <c r="Z537" s="221"/>
      <c r="AA537" s="379"/>
      <c r="AB537" s="379"/>
      <c r="AC537" s="50"/>
      <c r="AD537" s="50"/>
      <c r="AE537" s="379"/>
      <c r="AF537" s="379"/>
      <c r="AG537" s="156"/>
      <c r="AH537" s="60"/>
      <c r="AI537" s="379"/>
      <c r="AJ537" s="379"/>
      <c r="AK537" s="156"/>
      <c r="AL537" s="379"/>
      <c r="AM537" s="60"/>
      <c r="AN537" s="60"/>
    </row>
    <row r="538" spans="1:40" x14ac:dyDescent="0.25">
      <c r="A538" s="53"/>
      <c r="C538" s="54"/>
      <c r="F538" s="449"/>
      <c r="H538" s="449"/>
      <c r="I538" s="449"/>
      <c r="J538" s="221"/>
      <c r="K538" s="221"/>
      <c r="L538" s="379"/>
      <c r="M538" s="379"/>
      <c r="N538" s="50"/>
      <c r="O538" s="50"/>
      <c r="P538" s="379"/>
      <c r="Q538" s="379"/>
      <c r="R538" s="379"/>
      <c r="T538" s="54"/>
      <c r="V538" s="379"/>
      <c r="W538" s="379"/>
      <c r="X538" s="379"/>
      <c r="Y538" s="379"/>
      <c r="Z538" s="221"/>
      <c r="AA538" s="379"/>
      <c r="AB538" s="379"/>
      <c r="AC538" s="50"/>
      <c r="AD538" s="50"/>
      <c r="AE538" s="379"/>
      <c r="AF538" s="379"/>
      <c r="AG538" s="156"/>
      <c r="AH538" s="60"/>
      <c r="AI538" s="379"/>
      <c r="AJ538" s="379"/>
      <c r="AK538" s="156"/>
      <c r="AL538" s="379"/>
      <c r="AM538" s="60"/>
      <c r="AN538" s="60"/>
    </row>
    <row r="539" spans="1:40" x14ac:dyDescent="0.25">
      <c r="F539" s="381"/>
      <c r="H539" s="381"/>
      <c r="I539" s="381"/>
      <c r="J539" s="221"/>
      <c r="K539" s="221"/>
      <c r="L539" s="381"/>
      <c r="M539" s="381"/>
      <c r="N539" s="381"/>
      <c r="O539" s="381"/>
      <c r="P539" s="381"/>
      <c r="Q539" s="381"/>
      <c r="R539" s="381"/>
      <c r="V539" s="381"/>
      <c r="Y539" s="381"/>
      <c r="Z539" s="464"/>
      <c r="AA539" s="381"/>
      <c r="AB539" s="381"/>
      <c r="AC539" s="381"/>
      <c r="AD539" s="381"/>
      <c r="AE539" s="381"/>
      <c r="AF539" s="381"/>
      <c r="AI539" s="381"/>
      <c r="AJ539" s="381"/>
      <c r="AK539" s="162"/>
      <c r="AL539" s="381"/>
    </row>
    <row r="540" spans="1:40" x14ac:dyDescent="0.25">
      <c r="A540" s="53"/>
      <c r="C540" s="54"/>
      <c r="F540" s="379"/>
      <c r="H540" s="379"/>
      <c r="I540" s="379"/>
      <c r="L540" s="379"/>
      <c r="M540" s="379"/>
      <c r="N540" s="50"/>
      <c r="O540" s="50"/>
      <c r="P540" s="449"/>
      <c r="Q540" s="449"/>
      <c r="R540" s="379"/>
      <c r="T540" s="54"/>
      <c r="V540" s="379"/>
      <c r="W540" s="379"/>
      <c r="X540" s="379"/>
      <c r="Y540" s="379"/>
      <c r="Z540" s="477"/>
      <c r="AA540" s="379"/>
      <c r="AB540" s="379"/>
      <c r="AC540" s="50"/>
      <c r="AD540" s="50"/>
      <c r="AE540" s="379"/>
      <c r="AF540" s="379"/>
      <c r="AG540" s="156"/>
      <c r="AH540" s="60"/>
      <c r="AI540" s="449"/>
      <c r="AJ540" s="449"/>
      <c r="AK540" s="156"/>
      <c r="AL540" s="379"/>
      <c r="AM540" s="60"/>
      <c r="AN540" s="60"/>
    </row>
    <row r="541" spans="1:40" x14ac:dyDescent="0.25">
      <c r="F541" s="381"/>
      <c r="H541" s="381"/>
      <c r="I541" s="381"/>
      <c r="J541" s="464"/>
      <c r="K541" s="464"/>
      <c r="L541" s="381"/>
      <c r="M541" s="381"/>
      <c r="N541" s="381"/>
      <c r="O541" s="381"/>
      <c r="P541" s="381"/>
      <c r="Q541" s="381"/>
      <c r="R541" s="381"/>
      <c r="V541" s="381"/>
      <c r="Y541" s="381"/>
      <c r="Z541" s="464"/>
      <c r="AA541" s="381"/>
      <c r="AB541" s="381"/>
      <c r="AC541" s="381"/>
      <c r="AD541" s="381"/>
      <c r="AE541" s="381"/>
      <c r="AF541" s="381"/>
      <c r="AI541" s="381"/>
      <c r="AJ541" s="381"/>
      <c r="AK541" s="162"/>
      <c r="AL541" s="381"/>
    </row>
    <row r="543" spans="1:40" x14ac:dyDescent="0.25">
      <c r="C543" s="53"/>
      <c r="T543" s="53"/>
    </row>
    <row r="544" spans="1:40" x14ac:dyDescent="0.25">
      <c r="A544" s="54"/>
    </row>
    <row r="545" spans="1:40" x14ac:dyDescent="0.25">
      <c r="J545" s="53"/>
      <c r="K545" s="53"/>
      <c r="Z545" s="53"/>
    </row>
    <row r="546" spans="1:40" x14ac:dyDescent="0.25">
      <c r="H546" s="54"/>
      <c r="I546" s="54"/>
      <c r="Y546" s="54"/>
    </row>
    <row r="547" spans="1:40" x14ac:dyDescent="0.25">
      <c r="J547" s="53"/>
      <c r="K547" s="53"/>
      <c r="Z547" s="53"/>
    </row>
    <row r="548" spans="1:40" x14ac:dyDescent="0.25">
      <c r="L548" s="54"/>
      <c r="M548" s="54"/>
      <c r="AA548" s="54"/>
      <c r="AB548" s="54"/>
    </row>
    <row r="549" spans="1:40" x14ac:dyDescent="0.25">
      <c r="A549" s="53"/>
      <c r="R549" s="54"/>
      <c r="AK549" s="161"/>
      <c r="AL549" s="54"/>
    </row>
    <row r="550" spans="1:40" x14ac:dyDescent="0.25">
      <c r="A550" s="53"/>
      <c r="R550" s="54"/>
      <c r="AK550" s="161"/>
      <c r="AL550" s="54"/>
    </row>
    <row r="551" spans="1:40" x14ac:dyDescent="0.25">
      <c r="A551" s="54"/>
      <c r="R551" s="54"/>
      <c r="AK551" s="161"/>
      <c r="AL551" s="54"/>
    </row>
    <row r="552" spans="1:40" x14ac:dyDescent="0.25">
      <c r="L552" s="54"/>
      <c r="M552" s="54"/>
      <c r="R552" s="53"/>
      <c r="AA552" s="54"/>
      <c r="AB552" s="54"/>
      <c r="AK552" s="156"/>
      <c r="AL552" s="53"/>
    </row>
    <row r="553" spans="1:40" x14ac:dyDescent="0.25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154"/>
      <c r="AH553" s="55"/>
      <c r="AI553" s="55"/>
      <c r="AJ553" s="55"/>
      <c r="AK553" s="154"/>
      <c r="AL553" s="55"/>
      <c r="AM553" s="55"/>
      <c r="AN553" s="55"/>
    </row>
    <row r="554" spans="1:40" x14ac:dyDescent="0.25">
      <c r="L554" s="56"/>
      <c r="M554" s="56"/>
      <c r="N554" s="56"/>
      <c r="O554" s="56"/>
      <c r="R554" s="56"/>
      <c r="AA554" s="56"/>
      <c r="AB554" s="56"/>
      <c r="AC554" s="56"/>
      <c r="AD554" s="56"/>
      <c r="AE554" s="56"/>
      <c r="AF554" s="56"/>
      <c r="AG554" s="155"/>
      <c r="AH554" s="56"/>
      <c r="AK554" s="155"/>
      <c r="AL554" s="56"/>
      <c r="AM554" s="56"/>
      <c r="AN554" s="56"/>
    </row>
    <row r="555" spans="1:40" x14ac:dyDescent="0.25">
      <c r="L555" s="56"/>
      <c r="M555" s="56"/>
      <c r="N555" s="56"/>
      <c r="O555" s="56"/>
      <c r="R555" s="56"/>
      <c r="Z555" s="56"/>
      <c r="AA555" s="56"/>
      <c r="AB555" s="56"/>
      <c r="AC555" s="56"/>
      <c r="AD555" s="56"/>
      <c r="AE555" s="56"/>
      <c r="AF555" s="56"/>
      <c r="AG555" s="155"/>
      <c r="AH555" s="56"/>
      <c r="AK555" s="155"/>
      <c r="AL555" s="56"/>
      <c r="AM555" s="56"/>
      <c r="AN555" s="56"/>
    </row>
    <row r="556" spans="1:40" x14ac:dyDescent="0.25">
      <c r="A556" s="56"/>
      <c r="C556" s="56"/>
      <c r="D556" s="56"/>
      <c r="E556" s="56"/>
      <c r="F556" s="56"/>
      <c r="J556" s="56"/>
      <c r="K556" s="56"/>
      <c r="L556" s="56"/>
      <c r="M556" s="56"/>
      <c r="N556" s="56"/>
      <c r="O556" s="56"/>
      <c r="P556" s="56"/>
      <c r="Q556" s="56"/>
      <c r="R556" s="56"/>
      <c r="T556" s="56"/>
      <c r="U556" s="56"/>
      <c r="V556" s="56"/>
      <c r="Z556" s="56"/>
      <c r="AA556" s="56"/>
      <c r="AB556" s="56"/>
      <c r="AC556" s="56"/>
      <c r="AD556" s="56"/>
      <c r="AE556" s="56"/>
      <c r="AF556" s="56"/>
      <c r="AG556" s="155"/>
      <c r="AH556" s="56"/>
      <c r="AI556" s="56"/>
      <c r="AJ556" s="56"/>
      <c r="AK556" s="155"/>
      <c r="AL556" s="56"/>
      <c r="AM556" s="56"/>
      <c r="AN556" s="56"/>
    </row>
    <row r="557" spans="1:40" x14ac:dyDescent="0.25">
      <c r="A557" s="56"/>
      <c r="C557" s="56"/>
      <c r="D557" s="56"/>
      <c r="E557" s="56"/>
      <c r="F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T557" s="56"/>
      <c r="U557" s="56"/>
      <c r="V557" s="56"/>
      <c r="Y557" s="56"/>
      <c r="Z557" s="56"/>
      <c r="AA557" s="56"/>
      <c r="AB557" s="56"/>
      <c r="AC557" s="56"/>
      <c r="AD557" s="56"/>
      <c r="AE557" s="56"/>
      <c r="AF557" s="56"/>
      <c r="AG557" s="155"/>
      <c r="AH557" s="56"/>
      <c r="AI557" s="56"/>
      <c r="AJ557" s="56"/>
      <c r="AK557" s="155"/>
      <c r="AL557" s="56"/>
      <c r="AM557" s="56"/>
      <c r="AN557" s="56"/>
    </row>
    <row r="558" spans="1:40" x14ac:dyDescent="0.25">
      <c r="C558" s="56"/>
      <c r="D558" s="56"/>
      <c r="E558" s="56"/>
      <c r="F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T558" s="56"/>
      <c r="U558" s="56"/>
      <c r="V558" s="56"/>
      <c r="Y558" s="56"/>
      <c r="Z558" s="56"/>
      <c r="AA558" s="56"/>
      <c r="AB558" s="56"/>
      <c r="AC558" s="56"/>
      <c r="AD558" s="56"/>
      <c r="AE558" s="56"/>
      <c r="AF558" s="56"/>
      <c r="AG558" s="155"/>
      <c r="AH558" s="56"/>
      <c r="AI558" s="56"/>
      <c r="AJ558" s="56"/>
      <c r="AK558" s="155"/>
      <c r="AL558" s="56"/>
      <c r="AM558" s="56"/>
      <c r="AN558" s="56"/>
    </row>
    <row r="559" spans="1:40" x14ac:dyDescent="0.25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154"/>
      <c r="AH559" s="55"/>
      <c r="AI559" s="55"/>
      <c r="AJ559" s="55"/>
      <c r="AK559" s="154"/>
      <c r="AL559" s="55"/>
      <c r="AM559" s="55"/>
      <c r="AN559" s="55"/>
    </row>
    <row r="560" spans="1:40" x14ac:dyDescent="0.25"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Y560" s="56"/>
      <c r="Z560" s="56"/>
      <c r="AA560" s="56"/>
      <c r="AB560" s="56"/>
      <c r="AC560" s="56"/>
      <c r="AD560" s="56"/>
      <c r="AE560" s="56"/>
      <c r="AF560" s="56"/>
      <c r="AG560" s="155"/>
      <c r="AH560" s="56"/>
      <c r="AI560" s="56"/>
      <c r="AJ560" s="56"/>
      <c r="AK560" s="155"/>
      <c r="AL560" s="56"/>
      <c r="AM560" s="56"/>
      <c r="AN560" s="56"/>
    </row>
    <row r="561" spans="1:40" x14ac:dyDescent="0.25">
      <c r="A561" s="53"/>
      <c r="C561" s="54"/>
      <c r="D561" s="54"/>
      <c r="E561" s="54"/>
      <c r="T561" s="54"/>
      <c r="U561" s="54"/>
    </row>
    <row r="563" spans="1:40" x14ac:dyDescent="0.25">
      <c r="A563" s="53"/>
      <c r="C563" s="54"/>
      <c r="T563" s="54"/>
    </row>
    <row r="564" spans="1:40" x14ac:dyDescent="0.25">
      <c r="A564" s="53"/>
      <c r="C564" s="54"/>
      <c r="T564" s="54"/>
    </row>
    <row r="565" spans="1:40" x14ac:dyDescent="0.25">
      <c r="A565" s="53"/>
      <c r="C565" s="54"/>
      <c r="F565" s="449"/>
      <c r="H565" s="449"/>
      <c r="I565" s="449"/>
      <c r="J565" s="221"/>
      <c r="K565" s="221"/>
      <c r="L565" s="379"/>
      <c r="M565" s="379"/>
      <c r="N565" s="50"/>
      <c r="O565" s="50"/>
      <c r="P565" s="379"/>
      <c r="Q565" s="379"/>
      <c r="R565" s="379"/>
      <c r="T565" s="54"/>
      <c r="V565" s="379"/>
      <c r="W565" s="379"/>
      <c r="X565" s="379"/>
      <c r="Y565" s="379"/>
      <c r="Z565" s="221"/>
      <c r="AA565" s="379"/>
      <c r="AB565" s="379"/>
      <c r="AC565" s="50"/>
      <c r="AD565" s="50"/>
      <c r="AE565" s="379"/>
      <c r="AF565" s="379"/>
      <c r="AG565" s="156"/>
      <c r="AH565" s="60"/>
      <c r="AI565" s="379"/>
      <c r="AJ565" s="379"/>
      <c r="AK565" s="156"/>
      <c r="AL565" s="379"/>
      <c r="AM565" s="60"/>
      <c r="AN565" s="60"/>
    </row>
    <row r="566" spans="1:40" x14ac:dyDescent="0.25">
      <c r="A566" s="53"/>
      <c r="C566" s="54"/>
      <c r="F566" s="379"/>
      <c r="H566" s="379"/>
      <c r="I566" s="379"/>
      <c r="J566" s="65"/>
      <c r="K566" s="65"/>
      <c r="L566" s="379"/>
      <c r="M566" s="379"/>
      <c r="N566" s="50"/>
      <c r="O566" s="50"/>
      <c r="P566" s="379"/>
      <c r="Q566" s="379"/>
      <c r="R566" s="379"/>
      <c r="T566" s="54"/>
      <c r="V566" s="379"/>
      <c r="W566" s="379"/>
      <c r="X566" s="379"/>
      <c r="Y566" s="379"/>
      <c r="Z566" s="65"/>
      <c r="AA566" s="379"/>
      <c r="AB566" s="379"/>
      <c r="AC566" s="50"/>
      <c r="AD566" s="50"/>
      <c r="AE566" s="379"/>
      <c r="AF566" s="379"/>
      <c r="AG566" s="156"/>
      <c r="AH566" s="60"/>
      <c r="AI566" s="379"/>
      <c r="AJ566" s="379"/>
      <c r="AK566" s="156"/>
      <c r="AL566" s="379"/>
      <c r="AM566" s="60"/>
      <c r="AN566" s="60"/>
    </row>
    <row r="567" spans="1:40" x14ac:dyDescent="0.25">
      <c r="A567" s="53"/>
      <c r="C567" s="54"/>
      <c r="F567" s="379"/>
      <c r="H567" s="379"/>
      <c r="I567" s="379"/>
      <c r="J567" s="65"/>
      <c r="K567" s="65"/>
      <c r="L567" s="379"/>
      <c r="M567" s="379"/>
      <c r="N567" s="50"/>
      <c r="O567" s="50"/>
      <c r="P567" s="379"/>
      <c r="Q567" s="379"/>
      <c r="R567" s="379"/>
      <c r="T567" s="54"/>
      <c r="V567" s="379"/>
      <c r="W567" s="379"/>
      <c r="X567" s="379"/>
      <c r="Y567" s="379"/>
      <c r="Z567" s="65"/>
      <c r="AA567" s="379"/>
      <c r="AB567" s="379"/>
      <c r="AC567" s="50"/>
      <c r="AD567" s="50"/>
      <c r="AE567" s="379"/>
      <c r="AF567" s="379"/>
      <c r="AG567" s="156"/>
      <c r="AH567" s="60"/>
      <c r="AI567" s="379"/>
      <c r="AJ567" s="379"/>
      <c r="AK567" s="156"/>
      <c r="AL567" s="379"/>
      <c r="AM567" s="60"/>
      <c r="AN567" s="60"/>
    </row>
    <row r="568" spans="1:40" x14ac:dyDescent="0.25">
      <c r="A568" s="53"/>
      <c r="C568" s="54"/>
      <c r="F568" s="379"/>
      <c r="H568" s="379"/>
      <c r="I568" s="379"/>
      <c r="J568" s="65"/>
      <c r="K568" s="65"/>
      <c r="T568" s="54"/>
      <c r="V568" s="379"/>
      <c r="Z568" s="65"/>
    </row>
    <row r="569" spans="1:40" x14ac:dyDescent="0.25">
      <c r="A569" s="53"/>
      <c r="C569" s="54"/>
      <c r="F569" s="449"/>
      <c r="H569" s="449"/>
      <c r="I569" s="449"/>
      <c r="J569" s="221"/>
      <c r="K569" s="221"/>
      <c r="L569" s="379"/>
      <c r="M569" s="379"/>
      <c r="N569" s="50"/>
      <c r="O569" s="50"/>
      <c r="P569" s="379"/>
      <c r="Q569" s="379"/>
      <c r="R569" s="379"/>
      <c r="T569" s="54"/>
      <c r="V569" s="379"/>
      <c r="W569" s="379"/>
      <c r="X569" s="379"/>
      <c r="Y569" s="379"/>
      <c r="Z569" s="221"/>
      <c r="AA569" s="379"/>
      <c r="AB569" s="379"/>
      <c r="AC569" s="50"/>
      <c r="AD569" s="50"/>
      <c r="AE569" s="379"/>
      <c r="AF569" s="379"/>
      <c r="AG569" s="156"/>
      <c r="AH569" s="60"/>
      <c r="AI569" s="379"/>
      <c r="AJ569" s="379"/>
      <c r="AK569" s="156"/>
      <c r="AL569" s="379"/>
      <c r="AM569" s="60"/>
      <c r="AN569" s="60"/>
    </row>
    <row r="570" spans="1:40" x14ac:dyDescent="0.25">
      <c r="A570" s="53"/>
      <c r="C570" s="54"/>
      <c r="F570" s="379"/>
      <c r="H570" s="379"/>
      <c r="I570" s="379"/>
      <c r="J570" s="65"/>
      <c r="K570" s="65"/>
      <c r="T570" s="54"/>
      <c r="V570" s="379"/>
      <c r="W570" s="379"/>
      <c r="X570" s="379"/>
      <c r="Y570" s="379"/>
      <c r="Z570" s="65"/>
      <c r="AC570" s="50"/>
      <c r="AD570" s="50"/>
      <c r="AE570" s="379"/>
      <c r="AF570" s="379"/>
      <c r="AG570" s="156"/>
      <c r="AH570" s="60"/>
      <c r="AI570" s="379"/>
      <c r="AJ570" s="379"/>
      <c r="AK570" s="156"/>
      <c r="AL570" s="379"/>
      <c r="AM570" s="60"/>
      <c r="AN570" s="60"/>
    </row>
    <row r="571" spans="1:40" x14ac:dyDescent="0.25">
      <c r="A571" s="53"/>
      <c r="C571" s="54"/>
      <c r="F571" s="449"/>
      <c r="H571" s="449"/>
      <c r="I571" s="449"/>
      <c r="J571" s="221"/>
      <c r="K571" s="221"/>
      <c r="L571" s="379"/>
      <c r="M571" s="379"/>
      <c r="N571" s="50"/>
      <c r="O571" s="50"/>
      <c r="P571" s="379"/>
      <c r="Q571" s="379"/>
      <c r="R571" s="379"/>
      <c r="T571" s="54"/>
      <c r="V571" s="379"/>
      <c r="W571" s="379"/>
      <c r="X571" s="379"/>
      <c r="Y571" s="379"/>
      <c r="Z571" s="221"/>
      <c r="AA571" s="379"/>
      <c r="AB571" s="379"/>
      <c r="AC571" s="50"/>
      <c r="AD571" s="50"/>
      <c r="AE571" s="379"/>
      <c r="AF571" s="379"/>
      <c r="AG571" s="156"/>
      <c r="AH571" s="60"/>
      <c r="AI571" s="379"/>
      <c r="AJ571" s="379"/>
      <c r="AK571" s="156"/>
      <c r="AL571" s="379"/>
      <c r="AM571" s="60"/>
      <c r="AN571" s="60"/>
    </row>
    <row r="572" spans="1:40" x14ac:dyDescent="0.25">
      <c r="A572" s="53"/>
      <c r="C572" s="54"/>
      <c r="F572" s="379"/>
      <c r="H572" s="379"/>
      <c r="I572" s="379"/>
      <c r="J572" s="65"/>
      <c r="K572" s="65"/>
      <c r="L572" s="379"/>
      <c r="M572" s="379"/>
      <c r="N572" s="50"/>
      <c r="O572" s="50"/>
      <c r="P572" s="379"/>
      <c r="Q572" s="379"/>
      <c r="R572" s="379"/>
      <c r="T572" s="54"/>
      <c r="V572" s="379"/>
      <c r="W572" s="379"/>
      <c r="X572" s="379"/>
      <c r="Y572" s="379"/>
      <c r="Z572" s="65"/>
      <c r="AA572" s="379"/>
      <c r="AB572" s="379"/>
      <c r="AC572" s="50"/>
      <c r="AD572" s="50"/>
      <c r="AE572" s="379"/>
      <c r="AF572" s="379"/>
      <c r="AG572" s="156"/>
      <c r="AH572" s="60"/>
      <c r="AI572" s="379"/>
      <c r="AJ572" s="379"/>
      <c r="AK572" s="156"/>
      <c r="AL572" s="379"/>
      <c r="AM572" s="60"/>
      <c r="AN572" s="60"/>
    </row>
    <row r="573" spans="1:40" x14ac:dyDescent="0.25">
      <c r="F573" s="379"/>
      <c r="H573" s="379"/>
      <c r="I573" s="379"/>
      <c r="J573" s="65"/>
      <c r="K573" s="65"/>
      <c r="Z573" s="65"/>
    </row>
    <row r="574" spans="1:40" x14ac:dyDescent="0.25">
      <c r="A574" s="53"/>
      <c r="C574" s="54"/>
      <c r="F574" s="379"/>
      <c r="H574" s="449"/>
      <c r="I574" s="449"/>
      <c r="J574" s="221"/>
      <c r="K574" s="221"/>
      <c r="L574" s="379"/>
      <c r="M574" s="379"/>
      <c r="N574" s="50"/>
      <c r="O574" s="50"/>
      <c r="P574" s="379"/>
      <c r="Q574" s="379"/>
      <c r="R574" s="379"/>
      <c r="T574" s="54"/>
      <c r="V574" s="379"/>
      <c r="W574" s="379"/>
      <c r="X574" s="379"/>
      <c r="Y574" s="379"/>
      <c r="Z574" s="221"/>
      <c r="AA574" s="379"/>
      <c r="AB574" s="379"/>
      <c r="AC574" s="50"/>
      <c r="AD574" s="50"/>
      <c r="AE574" s="379"/>
      <c r="AF574" s="379"/>
      <c r="AG574" s="156"/>
      <c r="AH574" s="60"/>
      <c r="AI574" s="379"/>
      <c r="AJ574" s="379"/>
      <c r="AK574" s="156"/>
      <c r="AL574" s="379"/>
      <c r="AM574" s="60"/>
      <c r="AN574" s="60"/>
    </row>
    <row r="575" spans="1:40" x14ac:dyDescent="0.25">
      <c r="F575" s="381"/>
      <c r="H575" s="381"/>
      <c r="I575" s="381"/>
      <c r="J575" s="221"/>
      <c r="K575" s="221"/>
      <c r="L575" s="381"/>
      <c r="M575" s="381"/>
      <c r="N575" s="381"/>
      <c r="O575" s="381"/>
      <c r="P575" s="381"/>
      <c r="Q575" s="381"/>
      <c r="R575" s="381"/>
      <c r="V575" s="381"/>
      <c r="Y575" s="381"/>
      <c r="Z575" s="221"/>
      <c r="AA575" s="381"/>
      <c r="AB575" s="381"/>
      <c r="AC575" s="381"/>
      <c r="AD575" s="381"/>
      <c r="AE575" s="381"/>
      <c r="AF575" s="381"/>
      <c r="AI575" s="381"/>
      <c r="AJ575" s="381"/>
      <c r="AK575" s="162"/>
      <c r="AL575" s="381"/>
    </row>
    <row r="576" spans="1:40" x14ac:dyDescent="0.25">
      <c r="A576" s="53"/>
      <c r="C576" s="54"/>
      <c r="F576" s="379"/>
      <c r="H576" s="379"/>
      <c r="I576" s="379"/>
      <c r="J576" s="65"/>
      <c r="K576" s="65"/>
      <c r="L576" s="379"/>
      <c r="M576" s="379"/>
      <c r="N576" s="53"/>
      <c r="O576" s="53"/>
      <c r="P576" s="379"/>
      <c r="Q576" s="379"/>
      <c r="R576" s="379"/>
      <c r="T576" s="54"/>
      <c r="V576" s="379"/>
      <c r="Y576" s="379"/>
      <c r="Z576" s="65"/>
      <c r="AA576" s="379"/>
      <c r="AB576" s="379"/>
      <c r="AC576" s="60"/>
      <c r="AD576" s="60"/>
      <c r="AE576" s="379"/>
      <c r="AF576" s="379"/>
      <c r="AG576" s="156"/>
      <c r="AH576" s="60"/>
      <c r="AI576" s="379"/>
      <c r="AJ576" s="379"/>
      <c r="AK576" s="156"/>
      <c r="AL576" s="379"/>
      <c r="AM576" s="60"/>
      <c r="AN576" s="60"/>
    </row>
    <row r="577" spans="1:40" x14ac:dyDescent="0.25">
      <c r="F577" s="381"/>
      <c r="H577" s="381"/>
      <c r="I577" s="381"/>
      <c r="J577" s="221"/>
      <c r="K577" s="221"/>
      <c r="L577" s="381"/>
      <c r="M577" s="381"/>
      <c r="N577" s="381"/>
      <c r="O577" s="381"/>
      <c r="P577" s="381"/>
      <c r="Q577" s="381"/>
      <c r="R577" s="381"/>
      <c r="V577" s="381"/>
      <c r="Y577" s="381"/>
      <c r="Z577" s="221"/>
      <c r="AA577" s="381"/>
      <c r="AB577" s="381"/>
      <c r="AC577" s="381"/>
      <c r="AD577" s="381"/>
      <c r="AE577" s="381"/>
      <c r="AF577" s="381"/>
      <c r="AI577" s="381"/>
      <c r="AJ577" s="381"/>
      <c r="AK577" s="162"/>
      <c r="AL577" s="381"/>
    </row>
    <row r="578" spans="1:40" x14ac:dyDescent="0.25">
      <c r="J578" s="65"/>
      <c r="K578" s="65"/>
      <c r="Z578" s="65"/>
    </row>
    <row r="579" spans="1:40" x14ac:dyDescent="0.25">
      <c r="A579" s="53"/>
      <c r="C579" s="54"/>
      <c r="J579" s="65"/>
      <c r="K579" s="65"/>
      <c r="T579" s="54"/>
      <c r="Z579" s="65"/>
    </row>
    <row r="580" spans="1:40" x14ac:dyDescent="0.25">
      <c r="A580" s="53"/>
      <c r="C580" s="54"/>
      <c r="J580" s="65"/>
      <c r="K580" s="65"/>
      <c r="T580" s="54"/>
      <c r="Z580" s="65"/>
    </row>
    <row r="581" spans="1:40" x14ac:dyDescent="0.25">
      <c r="A581" s="53"/>
      <c r="C581" s="54"/>
      <c r="F581" s="449"/>
      <c r="H581" s="449"/>
      <c r="I581" s="449"/>
      <c r="J581" s="221"/>
      <c r="K581" s="221"/>
      <c r="L581" s="379"/>
      <c r="M581" s="379"/>
      <c r="N581" s="50"/>
      <c r="O581" s="50"/>
      <c r="P581" s="379"/>
      <c r="Q581" s="379"/>
      <c r="R581" s="379"/>
      <c r="T581" s="54"/>
      <c r="V581" s="379"/>
      <c r="W581" s="379"/>
      <c r="X581" s="379"/>
      <c r="Y581" s="379"/>
      <c r="Z581" s="221"/>
      <c r="AA581" s="379"/>
      <c r="AB581" s="379"/>
      <c r="AC581" s="50"/>
      <c r="AD581" s="50"/>
      <c r="AE581" s="379"/>
      <c r="AF581" s="379"/>
      <c r="AG581" s="156"/>
      <c r="AH581" s="60"/>
      <c r="AI581" s="379"/>
      <c r="AJ581" s="379"/>
      <c r="AK581" s="156"/>
      <c r="AL581" s="379"/>
      <c r="AM581" s="60"/>
      <c r="AN581" s="60"/>
    </row>
    <row r="582" spans="1:40" x14ac:dyDescent="0.25">
      <c r="A582" s="53"/>
      <c r="C582" s="54"/>
      <c r="J582" s="65"/>
      <c r="K582" s="65"/>
      <c r="T582" s="54"/>
      <c r="Z582" s="65"/>
    </row>
    <row r="583" spans="1:40" x14ac:dyDescent="0.25">
      <c r="A583" s="53"/>
      <c r="C583" s="54"/>
      <c r="F583" s="449"/>
      <c r="H583" s="449"/>
      <c r="I583" s="449"/>
      <c r="J583" s="221"/>
      <c r="K583" s="221"/>
      <c r="L583" s="379"/>
      <c r="M583" s="379"/>
      <c r="N583" s="50"/>
      <c r="O583" s="50"/>
      <c r="P583" s="379"/>
      <c r="Q583" s="379"/>
      <c r="R583" s="379"/>
      <c r="T583" s="54"/>
      <c r="V583" s="379"/>
      <c r="W583" s="379"/>
      <c r="X583" s="379"/>
      <c r="Y583" s="379"/>
      <c r="Z583" s="221"/>
      <c r="AA583" s="379"/>
      <c r="AB583" s="379"/>
      <c r="AC583" s="50"/>
      <c r="AD583" s="50"/>
      <c r="AE583" s="379"/>
      <c r="AF583" s="379"/>
      <c r="AG583" s="156"/>
      <c r="AH583" s="60"/>
      <c r="AI583" s="379"/>
      <c r="AJ583" s="379"/>
      <c r="AK583" s="156"/>
      <c r="AL583" s="379"/>
      <c r="AM583" s="60"/>
      <c r="AN583" s="60"/>
    </row>
    <row r="584" spans="1:40" x14ac:dyDescent="0.25">
      <c r="F584" s="381"/>
      <c r="H584" s="381"/>
      <c r="I584" s="381"/>
      <c r="J584" s="221"/>
      <c r="K584" s="221"/>
      <c r="L584" s="381"/>
      <c r="M584" s="381"/>
      <c r="N584" s="381"/>
      <c r="O584" s="381"/>
      <c r="P584" s="381"/>
      <c r="Q584" s="381"/>
      <c r="R584" s="381"/>
      <c r="V584" s="381"/>
      <c r="Y584" s="381"/>
      <c r="Z584" s="221"/>
      <c r="AA584" s="381"/>
      <c r="AB584" s="381"/>
      <c r="AC584" s="381"/>
      <c r="AD584" s="381"/>
      <c r="AE584" s="381"/>
      <c r="AF584" s="381"/>
      <c r="AI584" s="381"/>
      <c r="AJ584" s="381"/>
      <c r="AK584" s="162"/>
      <c r="AL584" s="381"/>
    </row>
    <row r="585" spans="1:40" x14ac:dyDescent="0.25">
      <c r="A585" s="53"/>
      <c r="C585" s="54"/>
      <c r="F585" s="379"/>
      <c r="H585" s="379"/>
      <c r="I585" s="379"/>
      <c r="J585" s="65"/>
      <c r="K585" s="65"/>
      <c r="L585" s="379"/>
      <c r="M585" s="379"/>
      <c r="N585" s="60"/>
      <c r="O585" s="60"/>
      <c r="P585" s="379"/>
      <c r="Q585" s="379"/>
      <c r="R585" s="379"/>
      <c r="T585" s="54"/>
      <c r="V585" s="379"/>
      <c r="Y585" s="379"/>
      <c r="Z585" s="65"/>
      <c r="AA585" s="379"/>
      <c r="AB585" s="379"/>
      <c r="AC585" s="60"/>
      <c r="AD585" s="60"/>
      <c r="AE585" s="379"/>
      <c r="AF585" s="379"/>
      <c r="AG585" s="156"/>
      <c r="AH585" s="60"/>
      <c r="AI585" s="379"/>
      <c r="AJ585" s="379"/>
      <c r="AK585" s="156"/>
      <c r="AL585" s="379"/>
      <c r="AM585" s="60"/>
      <c r="AN585" s="60"/>
    </row>
    <row r="586" spans="1:40" x14ac:dyDescent="0.25">
      <c r="F586" s="381"/>
      <c r="H586" s="381"/>
      <c r="I586" s="381"/>
      <c r="J586" s="221"/>
      <c r="K586" s="221"/>
      <c r="L586" s="381"/>
      <c r="M586" s="381"/>
      <c r="N586" s="381"/>
      <c r="O586" s="381"/>
      <c r="P586" s="381"/>
      <c r="Q586" s="381"/>
      <c r="R586" s="381"/>
      <c r="V586" s="381"/>
      <c r="Y586" s="381"/>
      <c r="Z586" s="464"/>
      <c r="AA586" s="381"/>
      <c r="AB586" s="381"/>
      <c r="AC586" s="381"/>
      <c r="AD586" s="381"/>
      <c r="AE586" s="381"/>
      <c r="AF586" s="381"/>
      <c r="AI586" s="381"/>
      <c r="AJ586" s="381"/>
      <c r="AK586" s="162"/>
      <c r="AL586" s="381"/>
    </row>
    <row r="587" spans="1:40" x14ac:dyDescent="0.25">
      <c r="J587" s="65"/>
      <c r="K587" s="65"/>
    </row>
    <row r="588" spans="1:40" x14ac:dyDescent="0.25">
      <c r="A588" s="53"/>
      <c r="C588" s="54"/>
      <c r="F588" s="379"/>
      <c r="H588" s="379"/>
      <c r="I588" s="379"/>
      <c r="J588" s="65"/>
      <c r="K588" s="65"/>
      <c r="L588" s="379"/>
      <c r="M588" s="379"/>
      <c r="N588" s="50"/>
      <c r="O588" s="50"/>
      <c r="P588" s="449"/>
      <c r="Q588" s="449"/>
      <c r="R588" s="379"/>
      <c r="T588" s="54"/>
      <c r="V588" s="379"/>
      <c r="Y588" s="379"/>
      <c r="AA588" s="379"/>
      <c r="AB588" s="379"/>
      <c r="AC588" s="60"/>
      <c r="AD588" s="60"/>
      <c r="AE588" s="379"/>
      <c r="AF588" s="379"/>
      <c r="AG588" s="156"/>
      <c r="AH588" s="60"/>
      <c r="AI588" s="449"/>
      <c r="AJ588" s="449"/>
      <c r="AK588" s="156"/>
      <c r="AL588" s="379"/>
      <c r="AM588" s="60"/>
      <c r="AN588" s="60"/>
    </row>
    <row r="589" spans="1:40" x14ac:dyDescent="0.25">
      <c r="F589" s="381"/>
      <c r="H589" s="381"/>
      <c r="I589" s="381"/>
      <c r="J589" s="221"/>
      <c r="K589" s="221"/>
      <c r="L589" s="381"/>
      <c r="M589" s="381"/>
      <c r="N589" s="381"/>
      <c r="O589" s="381"/>
      <c r="P589" s="381"/>
      <c r="Q589" s="381"/>
      <c r="R589" s="381"/>
      <c r="V589" s="381"/>
      <c r="Y589" s="381"/>
      <c r="Z589" s="464"/>
      <c r="AA589" s="381"/>
      <c r="AB589" s="381"/>
      <c r="AC589" s="381"/>
      <c r="AD589" s="381"/>
      <c r="AE589" s="381"/>
      <c r="AF589" s="381"/>
      <c r="AI589" s="381"/>
      <c r="AJ589" s="381"/>
      <c r="AK589" s="162"/>
      <c r="AL589" s="381"/>
    </row>
    <row r="591" spans="1:40" x14ac:dyDescent="0.25">
      <c r="C591" s="53"/>
      <c r="T591" s="53"/>
    </row>
    <row r="592" spans="1:40" x14ac:dyDescent="0.25">
      <c r="A592" s="54"/>
    </row>
    <row r="593" spans="1:40" x14ac:dyDescent="0.25">
      <c r="J593" s="53"/>
      <c r="K593" s="53"/>
      <c r="Z593" s="53"/>
    </row>
    <row r="594" spans="1:40" x14ac:dyDescent="0.25">
      <c r="H594" s="54"/>
      <c r="I594" s="54"/>
      <c r="Y594" s="54"/>
    </row>
    <row r="595" spans="1:40" x14ac:dyDescent="0.25">
      <c r="J595" s="53"/>
      <c r="K595" s="53"/>
      <c r="Z595" s="53"/>
    </row>
    <row r="596" spans="1:40" x14ac:dyDescent="0.25">
      <c r="L596" s="54"/>
      <c r="M596" s="54"/>
      <c r="AA596" s="54"/>
      <c r="AB596" s="54"/>
    </row>
    <row r="597" spans="1:40" x14ac:dyDescent="0.25">
      <c r="A597" s="53"/>
      <c r="R597" s="54"/>
      <c r="AK597" s="161"/>
      <c r="AL597" s="54"/>
    </row>
    <row r="598" spans="1:40" x14ac:dyDescent="0.25">
      <c r="A598" s="53"/>
      <c r="R598" s="54"/>
      <c r="AK598" s="161"/>
      <c r="AL598" s="54"/>
    </row>
    <row r="599" spans="1:40" x14ac:dyDescent="0.25">
      <c r="A599" s="54"/>
      <c r="R599" s="54"/>
      <c r="AK599" s="161"/>
      <c r="AL599" s="54"/>
    </row>
    <row r="600" spans="1:40" x14ac:dyDescent="0.25">
      <c r="L600" s="54"/>
      <c r="M600" s="54"/>
      <c r="R600" s="53"/>
      <c r="AA600" s="54"/>
      <c r="AB600" s="54"/>
      <c r="AK600" s="156"/>
      <c r="AL600" s="53"/>
    </row>
    <row r="601" spans="1:40" x14ac:dyDescent="0.25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154"/>
      <c r="AH601" s="55"/>
      <c r="AI601" s="55"/>
      <c r="AJ601" s="55"/>
      <c r="AK601" s="154"/>
      <c r="AL601" s="55"/>
      <c r="AM601" s="55"/>
      <c r="AN601" s="55"/>
    </row>
    <row r="602" spans="1:40" x14ac:dyDescent="0.25">
      <c r="L602" s="56"/>
      <c r="M602" s="56"/>
      <c r="N602" s="56"/>
      <c r="O602" s="56"/>
      <c r="R602" s="56"/>
      <c r="AA602" s="56"/>
      <c r="AB602" s="56"/>
      <c r="AC602" s="56"/>
      <c r="AD602" s="56"/>
      <c r="AE602" s="56"/>
      <c r="AF602" s="56"/>
      <c r="AG602" s="155"/>
      <c r="AH602" s="56"/>
      <c r="AK602" s="155"/>
      <c r="AL602" s="56"/>
      <c r="AM602" s="56"/>
      <c r="AN602" s="56"/>
    </row>
    <row r="603" spans="1:40" x14ac:dyDescent="0.25">
      <c r="L603" s="56"/>
      <c r="M603" s="56"/>
      <c r="N603" s="56"/>
      <c r="O603" s="56"/>
      <c r="R603" s="56"/>
      <c r="Z603" s="56"/>
      <c r="AA603" s="56"/>
      <c r="AB603" s="56"/>
      <c r="AC603" s="56"/>
      <c r="AD603" s="56"/>
      <c r="AE603" s="56"/>
      <c r="AF603" s="56"/>
      <c r="AG603" s="155"/>
      <c r="AH603" s="56"/>
      <c r="AK603" s="155"/>
      <c r="AL603" s="56"/>
      <c r="AM603" s="56"/>
      <c r="AN603" s="56"/>
    </row>
    <row r="604" spans="1:40" x14ac:dyDescent="0.25">
      <c r="A604" s="56"/>
      <c r="C604" s="56"/>
      <c r="D604" s="56"/>
      <c r="E604" s="56"/>
      <c r="F604" s="56"/>
      <c r="J604" s="56"/>
      <c r="K604" s="56"/>
      <c r="L604" s="56"/>
      <c r="M604" s="56"/>
      <c r="N604" s="56"/>
      <c r="O604" s="56"/>
      <c r="P604" s="56"/>
      <c r="Q604" s="56"/>
      <c r="R604" s="56"/>
      <c r="T604" s="56"/>
      <c r="U604" s="56"/>
      <c r="V604" s="56"/>
      <c r="Z604" s="56"/>
      <c r="AA604" s="56"/>
      <c r="AB604" s="56"/>
      <c r="AC604" s="56"/>
      <c r="AD604" s="56"/>
      <c r="AE604" s="56"/>
      <c r="AF604" s="56"/>
      <c r="AG604" s="155"/>
      <c r="AH604" s="56"/>
      <c r="AI604" s="56"/>
      <c r="AJ604" s="56"/>
      <c r="AK604" s="155"/>
      <c r="AL604" s="56"/>
      <c r="AM604" s="56"/>
      <c r="AN604" s="56"/>
    </row>
    <row r="605" spans="1:40" x14ac:dyDescent="0.25">
      <c r="A605" s="56"/>
      <c r="C605" s="56"/>
      <c r="D605" s="56"/>
      <c r="E605" s="56"/>
      <c r="F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T605" s="56"/>
      <c r="U605" s="56"/>
      <c r="V605" s="56"/>
      <c r="Y605" s="56"/>
      <c r="Z605" s="56"/>
      <c r="AA605" s="56"/>
      <c r="AB605" s="56"/>
      <c r="AC605" s="56"/>
      <c r="AD605" s="56"/>
      <c r="AE605" s="56"/>
      <c r="AF605" s="56"/>
      <c r="AG605" s="155"/>
      <c r="AH605" s="56"/>
      <c r="AI605" s="56"/>
      <c r="AJ605" s="56"/>
      <c r="AK605" s="155"/>
      <c r="AL605" s="56"/>
      <c r="AM605" s="56"/>
      <c r="AN605" s="56"/>
    </row>
    <row r="606" spans="1:40" x14ac:dyDescent="0.25">
      <c r="C606" s="56"/>
      <c r="D606" s="56"/>
      <c r="E606" s="56"/>
      <c r="F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T606" s="56"/>
      <c r="U606" s="56"/>
      <c r="V606" s="56"/>
      <c r="Y606" s="56"/>
      <c r="Z606" s="56"/>
      <c r="AA606" s="56"/>
      <c r="AB606" s="56"/>
      <c r="AC606" s="56"/>
      <c r="AD606" s="56"/>
      <c r="AE606" s="56"/>
      <c r="AF606" s="56"/>
      <c r="AG606" s="155"/>
      <c r="AH606" s="56"/>
      <c r="AI606" s="56"/>
      <c r="AJ606" s="56"/>
      <c r="AK606" s="155"/>
      <c r="AL606" s="56"/>
      <c r="AM606" s="56"/>
      <c r="AN606" s="56"/>
    </row>
    <row r="607" spans="1:40" x14ac:dyDescent="0.25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154"/>
      <c r="AH607" s="55"/>
      <c r="AI607" s="55"/>
      <c r="AJ607" s="55"/>
      <c r="AK607" s="154"/>
      <c r="AL607" s="55"/>
      <c r="AM607" s="55"/>
      <c r="AN607" s="55"/>
    </row>
    <row r="608" spans="1:40" x14ac:dyDescent="0.25"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Y608" s="56"/>
      <c r="Z608" s="56"/>
      <c r="AA608" s="56"/>
      <c r="AB608" s="56"/>
      <c r="AC608" s="56"/>
      <c r="AD608" s="56"/>
      <c r="AE608" s="56"/>
      <c r="AF608" s="56"/>
      <c r="AG608" s="155"/>
      <c r="AH608" s="56"/>
      <c r="AI608" s="56"/>
      <c r="AJ608" s="56"/>
      <c r="AK608" s="155"/>
      <c r="AL608" s="56"/>
      <c r="AM608" s="56"/>
      <c r="AN608" s="56"/>
    </row>
    <row r="609" spans="1:40" x14ac:dyDescent="0.25">
      <c r="A609" s="53"/>
      <c r="C609" s="54"/>
      <c r="D609" s="54"/>
      <c r="E609" s="54"/>
      <c r="T609" s="54"/>
      <c r="U609" s="54"/>
    </row>
    <row r="611" spans="1:40" x14ac:dyDescent="0.25">
      <c r="A611" s="53"/>
      <c r="C611" s="54"/>
      <c r="D611" s="54"/>
      <c r="E611" s="54"/>
      <c r="T611" s="54"/>
      <c r="U611" s="54"/>
    </row>
    <row r="612" spans="1:40" x14ac:dyDescent="0.25">
      <c r="A612" s="53"/>
      <c r="C612" s="54"/>
      <c r="T612" s="54"/>
    </row>
    <row r="613" spans="1:40" x14ac:dyDescent="0.25">
      <c r="A613" s="53"/>
      <c r="C613" s="54"/>
      <c r="T613" s="54"/>
    </row>
    <row r="614" spans="1:40" x14ac:dyDescent="0.25">
      <c r="A614" s="53"/>
      <c r="C614" s="54"/>
      <c r="F614" s="449"/>
      <c r="H614" s="449"/>
      <c r="I614" s="449"/>
      <c r="J614" s="221"/>
      <c r="K614" s="221"/>
      <c r="L614" s="379"/>
      <c r="M614" s="379"/>
      <c r="N614" s="50"/>
      <c r="O614" s="50"/>
      <c r="P614" s="379"/>
      <c r="Q614" s="379"/>
      <c r="R614" s="379"/>
      <c r="T614" s="54"/>
      <c r="V614" s="379"/>
      <c r="W614" s="379"/>
      <c r="X614" s="379"/>
      <c r="Y614" s="379"/>
      <c r="Z614" s="221"/>
      <c r="AA614" s="379"/>
      <c r="AB614" s="379"/>
      <c r="AC614" s="50"/>
      <c r="AD614" s="50"/>
      <c r="AE614" s="379"/>
      <c r="AF614" s="379"/>
      <c r="AG614" s="156"/>
      <c r="AH614" s="60"/>
      <c r="AI614" s="379"/>
      <c r="AJ614" s="379"/>
      <c r="AK614" s="156"/>
      <c r="AL614" s="379"/>
      <c r="AM614" s="50"/>
      <c r="AN614" s="50"/>
    </row>
    <row r="615" spans="1:40" x14ac:dyDescent="0.25">
      <c r="A615" s="53"/>
      <c r="C615" s="54"/>
      <c r="J615" s="65"/>
      <c r="K615" s="65"/>
      <c r="T615" s="54"/>
      <c r="V615" s="379"/>
      <c r="W615" s="379"/>
      <c r="X615" s="379"/>
      <c r="Y615" s="379"/>
      <c r="Z615" s="221"/>
    </row>
    <row r="616" spans="1:40" x14ac:dyDescent="0.25">
      <c r="A616" s="53"/>
      <c r="C616" s="54"/>
      <c r="F616" s="449"/>
      <c r="H616" s="449"/>
      <c r="I616" s="449"/>
      <c r="J616" s="221"/>
      <c r="K616" s="221"/>
      <c r="L616" s="379"/>
      <c r="M616" s="379"/>
      <c r="N616" s="50"/>
      <c r="O616" s="50"/>
      <c r="P616" s="379"/>
      <c r="Q616" s="379"/>
      <c r="R616" s="379"/>
      <c r="T616" s="54"/>
      <c r="V616" s="379"/>
      <c r="W616" s="379"/>
      <c r="X616" s="379"/>
      <c r="Y616" s="379"/>
      <c r="Z616" s="221"/>
      <c r="AA616" s="379"/>
      <c r="AB616" s="379"/>
      <c r="AC616" s="50"/>
      <c r="AD616" s="50"/>
      <c r="AE616" s="379"/>
      <c r="AF616" s="379"/>
      <c r="AG616" s="156"/>
      <c r="AH616" s="60"/>
      <c r="AI616" s="379"/>
      <c r="AJ616" s="379"/>
      <c r="AK616" s="156"/>
      <c r="AL616" s="379"/>
      <c r="AM616" s="50"/>
      <c r="AN616" s="50"/>
    </row>
    <row r="617" spans="1:40" x14ac:dyDescent="0.25">
      <c r="A617" s="53"/>
      <c r="C617" s="54"/>
      <c r="J617" s="65"/>
      <c r="K617" s="65"/>
      <c r="T617" s="54"/>
      <c r="V617" s="379"/>
      <c r="W617" s="379"/>
      <c r="X617" s="379"/>
      <c r="Y617" s="379"/>
      <c r="Z617" s="221"/>
    </row>
    <row r="618" spans="1:40" x14ac:dyDescent="0.25">
      <c r="A618" s="53"/>
      <c r="C618" s="54"/>
      <c r="F618" s="449"/>
      <c r="H618" s="449"/>
      <c r="I618" s="449"/>
      <c r="J618" s="221"/>
      <c r="K618" s="221"/>
      <c r="L618" s="379"/>
      <c r="M618" s="379"/>
      <c r="N618" s="50"/>
      <c r="O618" s="50"/>
      <c r="P618" s="379"/>
      <c r="Q618" s="379"/>
      <c r="R618" s="379"/>
      <c r="T618" s="54"/>
      <c r="V618" s="379"/>
      <c r="W618" s="379"/>
      <c r="X618" s="379"/>
      <c r="Y618" s="379"/>
      <c r="Z618" s="221"/>
      <c r="AA618" s="379"/>
      <c r="AB618" s="379"/>
      <c r="AC618" s="50"/>
      <c r="AD618" s="50"/>
      <c r="AE618" s="379"/>
      <c r="AF618" s="379"/>
      <c r="AG618" s="156"/>
      <c r="AH618" s="60"/>
      <c r="AI618" s="379"/>
      <c r="AJ618" s="379"/>
      <c r="AK618" s="156"/>
      <c r="AL618" s="379"/>
      <c r="AM618" s="50"/>
      <c r="AN618" s="50"/>
    </row>
    <row r="619" spans="1:40" x14ac:dyDescent="0.25">
      <c r="A619" s="53"/>
      <c r="C619" s="54"/>
      <c r="J619" s="65"/>
      <c r="K619" s="65"/>
      <c r="T619" s="54"/>
      <c r="V619" s="379"/>
      <c r="W619" s="379"/>
      <c r="X619" s="379"/>
      <c r="Y619" s="379"/>
      <c r="Z619" s="221"/>
    </row>
    <row r="620" spans="1:40" x14ac:dyDescent="0.25">
      <c r="A620" s="53"/>
      <c r="C620" s="54"/>
      <c r="F620" s="449"/>
      <c r="H620" s="449"/>
      <c r="I620" s="449"/>
      <c r="J620" s="221"/>
      <c r="K620" s="221"/>
      <c r="L620" s="379"/>
      <c r="M620" s="379"/>
      <c r="N620" s="50"/>
      <c r="O620" s="50"/>
      <c r="P620" s="379"/>
      <c r="Q620" s="379"/>
      <c r="R620" s="379"/>
      <c r="T620" s="54"/>
      <c r="V620" s="379"/>
      <c r="W620" s="379"/>
      <c r="X620" s="379"/>
      <c r="Y620" s="379"/>
      <c r="Z620" s="221"/>
      <c r="AA620" s="379"/>
      <c r="AB620" s="379"/>
      <c r="AC620" s="50"/>
      <c r="AD620" s="50"/>
      <c r="AE620" s="379"/>
      <c r="AF620" s="379"/>
      <c r="AG620" s="156"/>
      <c r="AH620" s="60"/>
      <c r="AI620" s="379"/>
      <c r="AJ620" s="379"/>
      <c r="AK620" s="156"/>
      <c r="AL620" s="379"/>
      <c r="AM620" s="50"/>
      <c r="AN620" s="50"/>
    </row>
    <row r="621" spans="1:40" x14ac:dyDescent="0.25">
      <c r="A621" s="53"/>
      <c r="C621" s="54"/>
      <c r="J621" s="65"/>
      <c r="K621" s="65"/>
      <c r="T621" s="54"/>
      <c r="V621" s="379"/>
      <c r="W621" s="379"/>
      <c r="X621" s="379"/>
      <c r="Y621" s="379"/>
      <c r="Z621" s="221"/>
    </row>
    <row r="622" spans="1:40" x14ac:dyDescent="0.25">
      <c r="A622" s="53"/>
      <c r="C622" s="54"/>
      <c r="F622" s="449"/>
      <c r="H622" s="449"/>
      <c r="I622" s="449"/>
      <c r="J622" s="221"/>
      <c r="K622" s="221"/>
      <c r="L622" s="379"/>
      <c r="M622" s="379"/>
      <c r="N622" s="50"/>
      <c r="O622" s="50"/>
      <c r="P622" s="379"/>
      <c r="Q622" s="379"/>
      <c r="R622" s="379"/>
      <c r="T622" s="54"/>
      <c r="V622" s="379"/>
      <c r="W622" s="379"/>
      <c r="X622" s="379"/>
      <c r="Y622" s="379"/>
      <c r="Z622" s="221"/>
      <c r="AA622" s="379"/>
      <c r="AB622" s="379"/>
      <c r="AC622" s="50"/>
      <c r="AD622" s="50"/>
      <c r="AE622" s="379"/>
      <c r="AF622" s="379"/>
      <c r="AG622" s="156"/>
      <c r="AH622" s="60"/>
      <c r="AI622" s="379"/>
      <c r="AJ622" s="379"/>
      <c r="AK622" s="156"/>
      <c r="AL622" s="379"/>
      <c r="AM622" s="50"/>
      <c r="AN622" s="50"/>
    </row>
    <row r="623" spans="1:40" x14ac:dyDescent="0.25">
      <c r="A623" s="53"/>
      <c r="C623" s="54"/>
      <c r="J623" s="65"/>
      <c r="K623" s="65"/>
      <c r="T623" s="54"/>
      <c r="V623" s="379"/>
      <c r="W623" s="379"/>
      <c r="X623" s="379"/>
      <c r="Y623" s="379"/>
      <c r="Z623" s="221"/>
    </row>
    <row r="624" spans="1:40" x14ac:dyDescent="0.25">
      <c r="A624" s="53"/>
      <c r="C624" s="54"/>
      <c r="F624" s="449"/>
      <c r="H624" s="449"/>
      <c r="I624" s="449"/>
      <c r="J624" s="221"/>
      <c r="K624" s="221"/>
      <c r="L624" s="379"/>
      <c r="M624" s="379"/>
      <c r="N624" s="50"/>
      <c r="O624" s="50"/>
      <c r="P624" s="379"/>
      <c r="Q624" s="379"/>
      <c r="R624" s="379"/>
      <c r="T624" s="54"/>
      <c r="V624" s="379"/>
      <c r="W624" s="379"/>
      <c r="X624" s="379"/>
      <c r="Y624" s="379"/>
      <c r="Z624" s="221"/>
      <c r="AA624" s="379"/>
      <c r="AB624" s="379"/>
      <c r="AC624" s="50"/>
      <c r="AD624" s="50"/>
      <c r="AE624" s="379"/>
      <c r="AF624" s="379"/>
      <c r="AG624" s="156"/>
      <c r="AH624" s="60"/>
      <c r="AI624" s="379"/>
      <c r="AJ624" s="379"/>
      <c r="AK624" s="156"/>
      <c r="AL624" s="379"/>
      <c r="AM624" s="50"/>
      <c r="AN624" s="50"/>
    </row>
    <row r="625" spans="1:40" x14ac:dyDescent="0.25">
      <c r="F625" s="381"/>
      <c r="H625" s="381"/>
      <c r="I625" s="381"/>
      <c r="J625" s="221"/>
      <c r="K625" s="221"/>
      <c r="L625" s="381"/>
      <c r="M625" s="381"/>
      <c r="N625" s="381"/>
      <c r="O625" s="381"/>
      <c r="P625" s="381"/>
      <c r="Q625" s="381"/>
      <c r="R625" s="381"/>
      <c r="V625" s="381"/>
      <c r="Y625" s="381"/>
      <c r="Z625" s="221"/>
      <c r="AA625" s="381"/>
      <c r="AB625" s="381"/>
      <c r="AC625" s="381"/>
      <c r="AD625" s="381"/>
      <c r="AE625" s="381"/>
      <c r="AF625" s="381"/>
      <c r="AI625" s="381"/>
      <c r="AJ625" s="381"/>
      <c r="AK625" s="162"/>
      <c r="AL625" s="381"/>
      <c r="AM625" s="50"/>
      <c r="AN625" s="50"/>
    </row>
    <row r="626" spans="1:40" x14ac:dyDescent="0.25">
      <c r="A626" s="53"/>
      <c r="C626" s="54"/>
      <c r="F626" s="379"/>
      <c r="H626" s="379"/>
      <c r="I626" s="379"/>
      <c r="J626" s="65"/>
      <c r="K626" s="65"/>
      <c r="L626" s="379"/>
      <c r="M626" s="379"/>
      <c r="N626" s="50"/>
      <c r="O626" s="50"/>
      <c r="P626" s="449"/>
      <c r="Q626" s="449"/>
      <c r="R626" s="379"/>
      <c r="T626" s="54"/>
      <c r="V626" s="379"/>
      <c r="W626" s="379"/>
      <c r="X626" s="379"/>
      <c r="Y626" s="379"/>
      <c r="Z626" s="221"/>
      <c r="AA626" s="379"/>
      <c r="AB626" s="379"/>
      <c r="AC626" s="50"/>
      <c r="AD626" s="50"/>
      <c r="AE626" s="379"/>
      <c r="AF626" s="379"/>
      <c r="AG626" s="156"/>
      <c r="AH626" s="60"/>
      <c r="AI626" s="449"/>
      <c r="AJ626" s="449"/>
      <c r="AK626" s="156"/>
      <c r="AL626" s="379"/>
      <c r="AM626" s="50"/>
      <c r="AN626" s="50"/>
    </row>
    <row r="627" spans="1:40" x14ac:dyDescent="0.25">
      <c r="F627" s="381"/>
      <c r="H627" s="381"/>
      <c r="I627" s="381"/>
      <c r="J627" s="221"/>
      <c r="K627" s="221"/>
      <c r="L627" s="381"/>
      <c r="M627" s="381"/>
      <c r="N627" s="381"/>
      <c r="O627" s="381"/>
      <c r="P627" s="381"/>
      <c r="Q627" s="381"/>
      <c r="R627" s="381"/>
      <c r="V627" s="381"/>
      <c r="Y627" s="381"/>
      <c r="Z627" s="221"/>
      <c r="AA627" s="381"/>
      <c r="AB627" s="381"/>
      <c r="AC627" s="381"/>
      <c r="AD627" s="381"/>
      <c r="AE627" s="381"/>
      <c r="AF627" s="381"/>
      <c r="AI627" s="381"/>
      <c r="AJ627" s="381"/>
      <c r="AK627" s="162"/>
      <c r="AL627" s="381"/>
    </row>
    <row r="628" spans="1:40" x14ac:dyDescent="0.25">
      <c r="A628" s="53"/>
      <c r="C628" s="54"/>
      <c r="D628" s="54"/>
      <c r="E628" s="54"/>
      <c r="J628" s="65"/>
      <c r="K628" s="65"/>
      <c r="T628" s="54"/>
      <c r="U628" s="54"/>
      <c r="V628" s="379"/>
      <c r="W628" s="379"/>
      <c r="X628" s="379"/>
      <c r="Y628" s="379"/>
      <c r="Z628" s="221"/>
    </row>
    <row r="629" spans="1:40" x14ac:dyDescent="0.25">
      <c r="A629" s="53"/>
      <c r="C629" s="54"/>
      <c r="J629" s="65"/>
      <c r="K629" s="65"/>
      <c r="T629" s="54"/>
      <c r="V629" s="379"/>
      <c r="W629" s="379"/>
      <c r="X629" s="379"/>
      <c r="Y629" s="379"/>
      <c r="Z629" s="221"/>
    </row>
    <row r="630" spans="1:40" x14ac:dyDescent="0.25">
      <c r="A630" s="53"/>
      <c r="C630" s="54"/>
      <c r="J630" s="65"/>
      <c r="K630" s="65"/>
      <c r="T630" s="54"/>
      <c r="V630" s="379"/>
      <c r="W630" s="379"/>
      <c r="X630" s="379"/>
      <c r="Y630" s="379"/>
      <c r="Z630" s="221"/>
    </row>
    <row r="631" spans="1:40" x14ac:dyDescent="0.25">
      <c r="A631" s="53"/>
      <c r="C631" s="54"/>
      <c r="F631" s="449"/>
      <c r="H631" s="449"/>
      <c r="I631" s="449"/>
      <c r="J631" s="221"/>
      <c r="K631" s="221"/>
      <c r="L631" s="379"/>
      <c r="M631" s="379"/>
      <c r="N631" s="50"/>
      <c r="O631" s="50"/>
      <c r="P631" s="379"/>
      <c r="Q631" s="379"/>
      <c r="R631" s="379"/>
      <c r="T631" s="54"/>
      <c r="V631" s="379"/>
      <c r="W631" s="379"/>
      <c r="X631" s="379"/>
      <c r="Y631" s="379"/>
      <c r="Z631" s="221"/>
      <c r="AA631" s="379"/>
      <c r="AB631" s="379"/>
      <c r="AC631" s="50"/>
      <c r="AD631" s="50"/>
      <c r="AE631" s="379"/>
      <c r="AF631" s="379"/>
      <c r="AG631" s="156"/>
      <c r="AH631" s="60"/>
      <c r="AI631" s="379"/>
      <c r="AJ631" s="379"/>
      <c r="AK631" s="156"/>
      <c r="AL631" s="379"/>
      <c r="AM631" s="50"/>
      <c r="AN631" s="50"/>
    </row>
    <row r="632" spans="1:40" x14ac:dyDescent="0.25">
      <c r="A632" s="53"/>
      <c r="C632" s="54"/>
      <c r="J632" s="65"/>
      <c r="K632" s="65"/>
      <c r="T632" s="54"/>
      <c r="V632" s="379"/>
      <c r="W632" s="379"/>
      <c r="X632" s="379"/>
      <c r="Y632" s="379"/>
      <c r="Z632" s="221"/>
    </row>
    <row r="633" spans="1:40" x14ac:dyDescent="0.25">
      <c r="A633" s="53"/>
      <c r="C633" s="54"/>
      <c r="F633" s="449"/>
      <c r="H633" s="449"/>
      <c r="I633" s="449"/>
      <c r="J633" s="221"/>
      <c r="K633" s="221"/>
      <c r="L633" s="379"/>
      <c r="M633" s="379"/>
      <c r="N633" s="50"/>
      <c r="O633" s="50"/>
      <c r="P633" s="379"/>
      <c r="Q633" s="379"/>
      <c r="R633" s="379"/>
      <c r="T633" s="54"/>
      <c r="V633" s="379"/>
      <c r="W633" s="379"/>
      <c r="X633" s="379"/>
      <c r="Y633" s="379"/>
      <c r="Z633" s="221"/>
      <c r="AA633" s="379"/>
      <c r="AB633" s="379"/>
      <c r="AC633" s="50"/>
      <c r="AD633" s="50"/>
      <c r="AE633" s="379"/>
      <c r="AF633" s="379"/>
      <c r="AG633" s="156"/>
      <c r="AH633" s="60"/>
      <c r="AI633" s="379"/>
      <c r="AJ633" s="379"/>
      <c r="AK633" s="156"/>
      <c r="AL633" s="379"/>
      <c r="AM633" s="50"/>
      <c r="AN633" s="50"/>
    </row>
    <row r="634" spans="1:40" x14ac:dyDescent="0.25">
      <c r="F634" s="381"/>
      <c r="H634" s="381"/>
      <c r="I634" s="381"/>
      <c r="J634" s="221"/>
      <c r="K634" s="221"/>
      <c r="L634" s="381"/>
      <c r="M634" s="381"/>
      <c r="N634" s="381"/>
      <c r="O634" s="381"/>
      <c r="P634" s="381"/>
      <c r="Q634" s="381"/>
      <c r="R634" s="381"/>
      <c r="V634" s="381"/>
      <c r="Y634" s="381"/>
      <c r="Z634" s="464"/>
      <c r="AA634" s="381"/>
      <c r="AB634" s="381"/>
      <c r="AC634" s="381"/>
      <c r="AD634" s="381"/>
      <c r="AE634" s="381"/>
      <c r="AF634" s="381"/>
      <c r="AI634" s="381"/>
      <c r="AJ634" s="381"/>
      <c r="AK634" s="162"/>
      <c r="AL634" s="381"/>
    </row>
    <row r="635" spans="1:40" x14ac:dyDescent="0.25">
      <c r="A635" s="53"/>
      <c r="C635" s="54"/>
      <c r="F635" s="379"/>
      <c r="H635" s="379"/>
      <c r="I635" s="379"/>
      <c r="L635" s="379"/>
      <c r="M635" s="379"/>
      <c r="N635" s="50"/>
      <c r="O635" s="50"/>
      <c r="P635" s="449"/>
      <c r="Q635" s="449"/>
      <c r="R635" s="379"/>
      <c r="T635" s="54"/>
      <c r="V635" s="379"/>
      <c r="W635" s="379"/>
      <c r="X635" s="379"/>
      <c r="Y635" s="379"/>
      <c r="Z635" s="477"/>
      <c r="AA635" s="379"/>
      <c r="AB635" s="379"/>
      <c r="AC635" s="50"/>
      <c r="AD635" s="50"/>
      <c r="AE635" s="379"/>
      <c r="AF635" s="379"/>
      <c r="AG635" s="156"/>
      <c r="AH635" s="60"/>
      <c r="AI635" s="449"/>
      <c r="AJ635" s="449"/>
      <c r="AK635" s="156"/>
      <c r="AL635" s="379"/>
      <c r="AM635" s="50"/>
      <c r="AN635" s="50"/>
    </row>
    <row r="636" spans="1:40" x14ac:dyDescent="0.25">
      <c r="F636" s="381"/>
      <c r="H636" s="381"/>
      <c r="I636" s="381"/>
      <c r="J636" s="464"/>
      <c r="K636" s="464"/>
      <c r="L636" s="381"/>
      <c r="M636" s="381"/>
      <c r="N636" s="381"/>
      <c r="O636" s="381"/>
      <c r="P636" s="381"/>
      <c r="Q636" s="381"/>
      <c r="R636" s="381"/>
      <c r="V636" s="381"/>
      <c r="Y636" s="381"/>
      <c r="Z636" s="464"/>
      <c r="AA636" s="381"/>
      <c r="AB636" s="381"/>
      <c r="AC636" s="381"/>
      <c r="AD636" s="381"/>
      <c r="AE636" s="381"/>
      <c r="AF636" s="381"/>
      <c r="AI636" s="381"/>
      <c r="AJ636" s="381"/>
      <c r="AK636" s="162"/>
      <c r="AL636" s="381"/>
    </row>
    <row r="637" spans="1:40" x14ac:dyDescent="0.25">
      <c r="A637" s="53"/>
      <c r="C637" s="54"/>
      <c r="D637" s="54"/>
      <c r="E637" s="54"/>
      <c r="T637" s="54"/>
      <c r="U637" s="54"/>
      <c r="V637" s="379"/>
      <c r="W637" s="379"/>
      <c r="X637" s="379"/>
      <c r="Y637" s="379"/>
      <c r="Z637" s="477"/>
    </row>
    <row r="638" spans="1:40" x14ac:dyDescent="0.25">
      <c r="A638" s="53"/>
      <c r="C638" s="54"/>
      <c r="T638" s="54"/>
      <c r="V638" s="379"/>
      <c r="W638" s="379"/>
      <c r="X638" s="379"/>
      <c r="Y638" s="379"/>
      <c r="Z638" s="477"/>
    </row>
    <row r="639" spans="1:40" x14ac:dyDescent="0.25">
      <c r="A639" s="53"/>
      <c r="C639" s="54"/>
      <c r="F639" s="449"/>
      <c r="H639" s="449"/>
      <c r="I639" s="449"/>
      <c r="J639" s="477"/>
      <c r="K639" s="477"/>
      <c r="L639" s="379"/>
      <c r="M639" s="379"/>
      <c r="N639" s="50"/>
      <c r="O639" s="50"/>
      <c r="P639" s="379"/>
      <c r="Q639" s="379"/>
      <c r="R639" s="379"/>
      <c r="T639" s="54"/>
      <c r="V639" s="379"/>
      <c r="W639" s="379"/>
      <c r="X639" s="379"/>
      <c r="Y639" s="379"/>
      <c r="Z639" s="477"/>
      <c r="AA639" s="379"/>
      <c r="AB639" s="379"/>
      <c r="AC639" s="50"/>
      <c r="AD639" s="50"/>
      <c r="AE639" s="379"/>
      <c r="AF639" s="379"/>
      <c r="AG639" s="156"/>
      <c r="AH639" s="60"/>
      <c r="AI639" s="379"/>
      <c r="AJ639" s="379"/>
      <c r="AK639" s="156"/>
      <c r="AL639" s="379"/>
      <c r="AM639" s="50"/>
      <c r="AN639" s="50"/>
    </row>
    <row r="640" spans="1:40" x14ac:dyDescent="0.25">
      <c r="A640" s="53"/>
      <c r="C640" s="54"/>
      <c r="T640" s="54"/>
      <c r="V640" s="379"/>
      <c r="W640" s="379"/>
      <c r="X640" s="379"/>
      <c r="Y640" s="379"/>
      <c r="Z640" s="477"/>
    </row>
    <row r="641" spans="1:40" x14ac:dyDescent="0.25">
      <c r="A641" s="53"/>
      <c r="C641" s="54"/>
      <c r="F641" s="449"/>
      <c r="H641" s="449"/>
      <c r="I641" s="449"/>
      <c r="J641" s="477"/>
      <c r="K641" s="477"/>
      <c r="L641" s="379"/>
      <c r="M641" s="379"/>
      <c r="N641" s="50"/>
      <c r="O641" s="50"/>
      <c r="P641" s="379"/>
      <c r="Q641" s="379"/>
      <c r="R641" s="379"/>
      <c r="T641" s="54"/>
      <c r="V641" s="379"/>
      <c r="W641" s="379"/>
      <c r="X641" s="379"/>
      <c r="Y641" s="379"/>
      <c r="Z641" s="477"/>
      <c r="AA641" s="379"/>
      <c r="AB641" s="379"/>
      <c r="AC641" s="50"/>
      <c r="AD641" s="50"/>
      <c r="AE641" s="379"/>
      <c r="AF641" s="379"/>
      <c r="AG641" s="156"/>
      <c r="AH641" s="60"/>
      <c r="AI641" s="379"/>
      <c r="AJ641" s="379"/>
      <c r="AK641" s="156"/>
      <c r="AL641" s="379"/>
      <c r="AM641" s="50"/>
      <c r="AN641" s="50"/>
    </row>
    <row r="642" spans="1:40" x14ac:dyDescent="0.25">
      <c r="A642" s="53"/>
      <c r="C642" s="54"/>
      <c r="T642" s="54"/>
      <c r="V642" s="379"/>
      <c r="W642" s="379"/>
      <c r="X642" s="379"/>
      <c r="Y642" s="379"/>
      <c r="Z642" s="477"/>
    </row>
    <row r="643" spans="1:40" x14ac:dyDescent="0.25">
      <c r="A643" s="53"/>
      <c r="C643" s="54"/>
      <c r="F643" s="449"/>
      <c r="H643" s="449"/>
      <c r="I643" s="449"/>
      <c r="J643" s="477"/>
      <c r="K643" s="477"/>
      <c r="L643" s="379"/>
      <c r="M643" s="379"/>
      <c r="N643" s="50"/>
      <c r="O643" s="50"/>
      <c r="P643" s="379"/>
      <c r="Q643" s="379"/>
      <c r="R643" s="379"/>
      <c r="T643" s="54"/>
      <c r="V643" s="379"/>
      <c r="W643" s="379"/>
      <c r="X643" s="379"/>
      <c r="Y643" s="379"/>
      <c r="Z643" s="477"/>
      <c r="AA643" s="379"/>
      <c r="AB643" s="379"/>
      <c r="AC643" s="50"/>
      <c r="AD643" s="50"/>
      <c r="AE643" s="379"/>
      <c r="AF643" s="379"/>
      <c r="AG643" s="156"/>
      <c r="AH643" s="60"/>
      <c r="AI643" s="379"/>
      <c r="AJ643" s="379"/>
      <c r="AK643" s="156"/>
      <c r="AL643" s="379"/>
      <c r="AM643" s="50"/>
      <c r="AN643" s="50"/>
    </row>
    <row r="644" spans="1:40" x14ac:dyDescent="0.25">
      <c r="A644" s="53"/>
      <c r="C644" s="54"/>
      <c r="T644" s="54"/>
      <c r="V644" s="379"/>
      <c r="W644" s="379"/>
      <c r="X644" s="379"/>
      <c r="Y644" s="379"/>
      <c r="Z644" s="477"/>
    </row>
    <row r="645" spans="1:40" x14ac:dyDescent="0.25">
      <c r="A645" s="53"/>
      <c r="C645" s="54"/>
      <c r="F645" s="449"/>
      <c r="H645" s="449"/>
      <c r="I645" s="449"/>
      <c r="J645" s="477"/>
      <c r="K645" s="477"/>
      <c r="L645" s="379"/>
      <c r="M645" s="379"/>
      <c r="N645" s="50"/>
      <c r="O645" s="50"/>
      <c r="P645" s="379"/>
      <c r="Q645" s="379"/>
      <c r="R645" s="379"/>
      <c r="T645" s="54"/>
      <c r="V645" s="379"/>
      <c r="W645" s="379"/>
      <c r="X645" s="379"/>
      <c r="Y645" s="379"/>
      <c r="Z645" s="477"/>
      <c r="AA645" s="379"/>
      <c r="AB645" s="379"/>
      <c r="AC645" s="50"/>
      <c r="AD645" s="50"/>
      <c r="AE645" s="379"/>
      <c r="AF645" s="379"/>
      <c r="AG645" s="156"/>
      <c r="AH645" s="60"/>
      <c r="AI645" s="379"/>
      <c r="AJ645" s="379"/>
      <c r="AK645" s="156"/>
      <c r="AL645" s="379"/>
      <c r="AM645" s="50"/>
      <c r="AN645" s="50"/>
    </row>
    <row r="646" spans="1:40" x14ac:dyDescent="0.25">
      <c r="F646" s="381"/>
      <c r="H646" s="381"/>
      <c r="I646" s="381"/>
      <c r="J646" s="464"/>
      <c r="K646" s="464"/>
      <c r="L646" s="381"/>
      <c r="M646" s="381"/>
      <c r="N646" s="381"/>
      <c r="O646" s="381"/>
      <c r="P646" s="381"/>
      <c r="Q646" s="381"/>
      <c r="R646" s="381"/>
      <c r="V646" s="381"/>
      <c r="Y646" s="381"/>
      <c r="Z646" s="464"/>
      <c r="AA646" s="381"/>
      <c r="AB646" s="381"/>
      <c r="AC646" s="381"/>
      <c r="AD646" s="381"/>
      <c r="AE646" s="381"/>
      <c r="AF646" s="381"/>
      <c r="AI646" s="381"/>
      <c r="AJ646" s="381"/>
      <c r="AK646" s="162"/>
      <c r="AL646" s="381"/>
    </row>
    <row r="647" spans="1:40" x14ac:dyDescent="0.25">
      <c r="A647" s="53"/>
      <c r="C647" s="54"/>
      <c r="F647" s="379"/>
      <c r="H647" s="379"/>
      <c r="I647" s="379"/>
      <c r="L647" s="379"/>
      <c r="M647" s="379"/>
      <c r="N647" s="50"/>
      <c r="O647" s="50"/>
      <c r="P647" s="449"/>
      <c r="Q647" s="449"/>
      <c r="R647" s="379"/>
      <c r="T647" s="54"/>
      <c r="V647" s="379"/>
      <c r="W647" s="379"/>
      <c r="X647" s="379"/>
      <c r="Y647" s="379"/>
      <c r="Z647" s="477"/>
      <c r="AA647" s="379"/>
      <c r="AB647" s="379"/>
      <c r="AC647" s="50"/>
      <c r="AD647" s="50"/>
      <c r="AE647" s="379"/>
      <c r="AF647" s="379"/>
      <c r="AG647" s="156"/>
      <c r="AH647" s="60"/>
      <c r="AI647" s="449"/>
      <c r="AJ647" s="449"/>
      <c r="AK647" s="156"/>
      <c r="AL647" s="379"/>
      <c r="AM647" s="50"/>
      <c r="AN647" s="50"/>
    </row>
    <row r="648" spans="1:40" x14ac:dyDescent="0.25">
      <c r="F648" s="381"/>
      <c r="H648" s="381"/>
      <c r="I648" s="381"/>
      <c r="J648" s="464"/>
      <c r="K648" s="464"/>
      <c r="L648" s="381"/>
      <c r="M648" s="381"/>
      <c r="N648" s="381"/>
      <c r="O648" s="381"/>
      <c r="P648" s="381"/>
      <c r="Q648" s="381"/>
      <c r="R648" s="381"/>
      <c r="V648" s="381"/>
      <c r="Y648" s="381"/>
      <c r="Z648" s="464"/>
      <c r="AA648" s="381"/>
      <c r="AB648" s="381"/>
      <c r="AC648" s="381"/>
      <c r="AD648" s="381"/>
      <c r="AE648" s="381"/>
      <c r="AF648" s="381"/>
      <c r="AI648" s="381"/>
      <c r="AJ648" s="381"/>
      <c r="AK648" s="162"/>
      <c r="AL648" s="381"/>
    </row>
    <row r="649" spans="1:40" x14ac:dyDescent="0.25">
      <c r="A649" s="53"/>
      <c r="C649" s="54"/>
      <c r="F649" s="379"/>
      <c r="H649" s="379"/>
      <c r="I649" s="379"/>
      <c r="L649" s="379"/>
      <c r="M649" s="379"/>
      <c r="N649" s="50"/>
      <c r="O649" s="50"/>
      <c r="P649" s="379"/>
      <c r="Q649" s="379"/>
      <c r="R649" s="379"/>
      <c r="T649" s="54"/>
      <c r="V649" s="379"/>
      <c r="W649" s="379"/>
      <c r="X649" s="379"/>
      <c r="Y649" s="379"/>
      <c r="AA649" s="379"/>
      <c r="AB649" s="379"/>
      <c r="AC649" s="50"/>
      <c r="AD649" s="50"/>
      <c r="AE649" s="379"/>
      <c r="AF649" s="379"/>
      <c r="AG649" s="156"/>
      <c r="AH649" s="60"/>
      <c r="AI649" s="379"/>
      <c r="AJ649" s="379"/>
      <c r="AK649" s="156"/>
      <c r="AL649" s="379"/>
      <c r="AM649" s="60"/>
      <c r="AN649" s="60"/>
    </row>
    <row r="650" spans="1:40" x14ac:dyDescent="0.25">
      <c r="F650" s="381"/>
      <c r="H650" s="381"/>
      <c r="I650" s="381"/>
      <c r="J650" s="464"/>
      <c r="K650" s="464"/>
      <c r="L650" s="381"/>
      <c r="M650" s="381"/>
      <c r="N650" s="381"/>
      <c r="O650" s="381"/>
      <c r="P650" s="381"/>
      <c r="Q650" s="381"/>
      <c r="R650" s="381"/>
      <c r="V650" s="381"/>
      <c r="Y650" s="381"/>
      <c r="Z650" s="464"/>
      <c r="AA650" s="381"/>
      <c r="AB650" s="381"/>
      <c r="AC650" s="381"/>
      <c r="AD650" s="381"/>
      <c r="AE650" s="381"/>
      <c r="AF650" s="381"/>
      <c r="AI650" s="381"/>
      <c r="AJ650" s="381"/>
      <c r="AK650" s="162"/>
      <c r="AL650" s="381"/>
    </row>
    <row r="652" spans="1:40" x14ac:dyDescent="0.25">
      <c r="C652" s="53"/>
      <c r="T652" s="53"/>
    </row>
    <row r="653" spans="1:40" x14ac:dyDescent="0.25">
      <c r="A653" s="54"/>
    </row>
    <row r="654" spans="1:40" x14ac:dyDescent="0.25">
      <c r="J654" s="53"/>
      <c r="K654" s="53"/>
      <c r="Z654" s="53"/>
    </row>
    <row r="655" spans="1:40" x14ac:dyDescent="0.25">
      <c r="H655" s="54"/>
      <c r="I655" s="54"/>
      <c r="Y655" s="54"/>
    </row>
    <row r="656" spans="1:40" x14ac:dyDescent="0.25">
      <c r="J656" s="53"/>
      <c r="K656" s="53"/>
      <c r="Z656" s="53"/>
    </row>
    <row r="657" spans="1:40" x14ac:dyDescent="0.25">
      <c r="L657" s="54"/>
      <c r="M657" s="54"/>
      <c r="AA657" s="54"/>
      <c r="AB657" s="54"/>
    </row>
    <row r="658" spans="1:40" x14ac:dyDescent="0.25">
      <c r="A658" s="53"/>
      <c r="R658" s="54"/>
      <c r="AK658" s="161"/>
      <c r="AL658" s="54"/>
    </row>
    <row r="659" spans="1:40" x14ac:dyDescent="0.25">
      <c r="A659" s="53"/>
      <c r="R659" s="54"/>
      <c r="AK659" s="161"/>
      <c r="AL659" s="54"/>
    </row>
    <row r="660" spans="1:40" x14ac:dyDescent="0.25">
      <c r="A660" s="54"/>
      <c r="R660" s="54"/>
      <c r="AK660" s="161"/>
      <c r="AL660" s="54"/>
    </row>
    <row r="661" spans="1:40" x14ac:dyDescent="0.25">
      <c r="L661" s="54"/>
      <c r="M661" s="54"/>
      <c r="R661" s="53"/>
      <c r="AA661" s="54"/>
      <c r="AB661" s="54"/>
      <c r="AK661" s="156"/>
      <c r="AL661" s="53"/>
    </row>
    <row r="662" spans="1:40" x14ac:dyDescent="0.25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154"/>
      <c r="AH662" s="55"/>
      <c r="AI662" s="55"/>
      <c r="AJ662" s="55"/>
      <c r="AK662" s="154"/>
      <c r="AL662" s="55"/>
      <c r="AM662" s="55"/>
      <c r="AN662" s="55"/>
    </row>
    <row r="663" spans="1:40" x14ac:dyDescent="0.25">
      <c r="L663" s="56"/>
      <c r="M663" s="56"/>
      <c r="N663" s="56"/>
      <c r="O663" s="56"/>
      <c r="R663" s="56"/>
      <c r="AA663" s="56"/>
      <c r="AB663" s="56"/>
      <c r="AC663" s="56"/>
      <c r="AD663" s="56"/>
      <c r="AE663" s="56"/>
      <c r="AF663" s="56"/>
      <c r="AG663" s="155"/>
      <c r="AH663" s="56"/>
      <c r="AK663" s="155"/>
      <c r="AL663" s="56"/>
      <c r="AM663" s="56"/>
      <c r="AN663" s="56"/>
    </row>
    <row r="664" spans="1:40" x14ac:dyDescent="0.25">
      <c r="L664" s="56"/>
      <c r="M664" s="56"/>
      <c r="N664" s="56"/>
      <c r="O664" s="56"/>
      <c r="R664" s="56"/>
      <c r="Z664" s="56"/>
      <c r="AA664" s="56"/>
      <c r="AB664" s="56"/>
      <c r="AC664" s="56"/>
      <c r="AD664" s="56"/>
      <c r="AE664" s="56"/>
      <c r="AF664" s="56"/>
      <c r="AG664" s="155"/>
      <c r="AH664" s="56"/>
      <c r="AK664" s="155"/>
      <c r="AL664" s="56"/>
      <c r="AM664" s="56"/>
      <c r="AN664" s="56"/>
    </row>
    <row r="665" spans="1:40" x14ac:dyDescent="0.25">
      <c r="A665" s="56"/>
      <c r="C665" s="56"/>
      <c r="D665" s="56"/>
      <c r="E665" s="56"/>
      <c r="F665" s="56"/>
      <c r="J665" s="56"/>
      <c r="K665" s="56"/>
      <c r="L665" s="56"/>
      <c r="M665" s="56"/>
      <c r="N665" s="56"/>
      <c r="O665" s="56"/>
      <c r="P665" s="56"/>
      <c r="Q665" s="56"/>
      <c r="R665" s="56"/>
      <c r="T665" s="56"/>
      <c r="U665" s="56"/>
      <c r="V665" s="56"/>
      <c r="Z665" s="56"/>
      <c r="AA665" s="56"/>
      <c r="AB665" s="56"/>
      <c r="AC665" s="56"/>
      <c r="AD665" s="56"/>
      <c r="AE665" s="56"/>
      <c r="AF665" s="56"/>
      <c r="AG665" s="155"/>
      <c r="AH665" s="56"/>
      <c r="AI665" s="56"/>
      <c r="AJ665" s="56"/>
      <c r="AK665" s="155"/>
      <c r="AL665" s="56"/>
      <c r="AM665" s="56"/>
      <c r="AN665" s="56"/>
    </row>
    <row r="666" spans="1:40" x14ac:dyDescent="0.25">
      <c r="A666" s="56"/>
      <c r="C666" s="56"/>
      <c r="D666" s="56"/>
      <c r="E666" s="56"/>
      <c r="F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T666" s="56"/>
      <c r="U666" s="56"/>
      <c r="V666" s="56"/>
      <c r="Y666" s="56"/>
      <c r="Z666" s="56"/>
      <c r="AA666" s="56"/>
      <c r="AB666" s="56"/>
      <c r="AC666" s="56"/>
      <c r="AD666" s="56"/>
      <c r="AE666" s="56"/>
      <c r="AF666" s="56"/>
      <c r="AG666" s="155"/>
      <c r="AH666" s="56"/>
      <c r="AI666" s="56"/>
      <c r="AJ666" s="56"/>
      <c r="AK666" s="155"/>
      <c r="AL666" s="56"/>
      <c r="AM666" s="56"/>
      <c r="AN666" s="56"/>
    </row>
    <row r="667" spans="1:40" x14ac:dyDescent="0.25">
      <c r="C667" s="56"/>
      <c r="D667" s="56"/>
      <c r="E667" s="56"/>
      <c r="F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T667" s="56"/>
      <c r="U667" s="56"/>
      <c r="V667" s="56"/>
      <c r="Y667" s="56"/>
      <c r="Z667" s="56"/>
      <c r="AA667" s="56"/>
      <c r="AB667" s="56"/>
      <c r="AC667" s="56"/>
      <c r="AD667" s="56"/>
      <c r="AE667" s="56"/>
      <c r="AF667" s="56"/>
      <c r="AG667" s="155"/>
      <c r="AH667" s="56"/>
      <c r="AI667" s="56"/>
      <c r="AJ667" s="56"/>
      <c r="AK667" s="155"/>
      <c r="AL667" s="56"/>
      <c r="AM667" s="56"/>
      <c r="AN667" s="56"/>
    </row>
    <row r="668" spans="1:40" x14ac:dyDescent="0.25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154"/>
      <c r="AH668" s="55"/>
      <c r="AI668" s="55"/>
      <c r="AJ668" s="55"/>
      <c r="AK668" s="154"/>
      <c r="AL668" s="55"/>
      <c r="AM668" s="55"/>
      <c r="AN668" s="55"/>
    </row>
    <row r="669" spans="1:40" x14ac:dyDescent="0.25"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Y669" s="56"/>
      <c r="Z669" s="56"/>
      <c r="AA669" s="56"/>
      <c r="AB669" s="56"/>
      <c r="AC669" s="56"/>
      <c r="AD669" s="56"/>
      <c r="AE669" s="56"/>
      <c r="AF669" s="56"/>
      <c r="AG669" s="155"/>
      <c r="AH669" s="56"/>
      <c r="AI669" s="56"/>
      <c r="AJ669" s="56"/>
      <c r="AK669" s="155"/>
      <c r="AL669" s="56"/>
      <c r="AM669" s="56"/>
      <c r="AN669" s="56"/>
    </row>
    <row r="670" spans="1:40" x14ac:dyDescent="0.25">
      <c r="A670" s="53"/>
      <c r="C670" s="54"/>
      <c r="D670" s="54"/>
      <c r="E670" s="54"/>
      <c r="F670" s="379"/>
      <c r="H670" s="379"/>
      <c r="I670" s="379"/>
      <c r="J670" s="59"/>
      <c r="K670" s="59"/>
      <c r="L670" s="379"/>
      <c r="M670" s="379"/>
      <c r="N670" s="59"/>
      <c r="O670" s="59"/>
      <c r="P670" s="379"/>
      <c r="Q670" s="379"/>
      <c r="R670" s="379"/>
      <c r="T670" s="54"/>
      <c r="U670" s="54"/>
      <c r="V670" s="379"/>
      <c r="Y670" s="379"/>
      <c r="Z670" s="59"/>
      <c r="AA670" s="379"/>
      <c r="AB670" s="379"/>
      <c r="AC670" s="59"/>
      <c r="AD670" s="59"/>
      <c r="AE670" s="379"/>
      <c r="AF670" s="379"/>
      <c r="AG670" s="156"/>
      <c r="AH670" s="60"/>
      <c r="AI670" s="379"/>
      <c r="AJ670" s="379"/>
      <c r="AK670" s="156"/>
      <c r="AL670" s="379"/>
      <c r="AM670" s="50"/>
      <c r="AN670" s="50"/>
    </row>
    <row r="671" spans="1:40" x14ac:dyDescent="0.25">
      <c r="F671" s="381"/>
      <c r="H671" s="381"/>
      <c r="I671" s="381"/>
      <c r="J671" s="464"/>
      <c r="K671" s="464"/>
      <c r="L671" s="381"/>
      <c r="M671" s="381"/>
      <c r="N671" s="381"/>
      <c r="O671" s="381"/>
      <c r="P671" s="381"/>
      <c r="Q671" s="381"/>
      <c r="R671" s="381"/>
      <c r="V671" s="381"/>
      <c r="Y671" s="381"/>
      <c r="Z671" s="464"/>
      <c r="AA671" s="381"/>
      <c r="AB671" s="381"/>
      <c r="AC671" s="381"/>
      <c r="AD671" s="381"/>
      <c r="AE671" s="381"/>
      <c r="AF671" s="381"/>
      <c r="AI671" s="381"/>
      <c r="AJ671" s="381"/>
      <c r="AK671" s="162"/>
      <c r="AL671" s="381"/>
      <c r="AM671" s="50"/>
      <c r="AN671" s="50"/>
    </row>
    <row r="672" spans="1:40" x14ac:dyDescent="0.25">
      <c r="A672" s="53"/>
      <c r="C672" s="54"/>
      <c r="F672" s="379"/>
      <c r="H672" s="379"/>
      <c r="I672" s="379"/>
      <c r="J672" s="59"/>
      <c r="K672" s="59"/>
      <c r="L672" s="379"/>
      <c r="M672" s="379"/>
      <c r="N672" s="59"/>
      <c r="O672" s="59"/>
      <c r="P672" s="379"/>
      <c r="Q672" s="379"/>
      <c r="R672" s="379"/>
      <c r="T672" s="54"/>
      <c r="V672" s="379"/>
      <c r="Y672" s="379"/>
      <c r="Z672" s="59"/>
      <c r="AA672" s="379"/>
      <c r="AB672" s="379"/>
      <c r="AC672" s="59"/>
      <c r="AD672" s="59"/>
      <c r="AE672" s="379"/>
      <c r="AF672" s="379"/>
      <c r="AG672" s="156"/>
      <c r="AH672" s="60"/>
      <c r="AI672" s="379"/>
      <c r="AJ672" s="379"/>
      <c r="AK672" s="156"/>
      <c r="AL672" s="379"/>
      <c r="AM672" s="50"/>
      <c r="AN672" s="50"/>
    </row>
    <row r="673" spans="1:40" x14ac:dyDescent="0.25">
      <c r="F673" s="379"/>
      <c r="H673" s="379"/>
      <c r="I673" s="379"/>
      <c r="J673" s="59"/>
      <c r="K673" s="59"/>
      <c r="L673" s="379"/>
      <c r="M673" s="379"/>
      <c r="N673" s="59"/>
      <c r="O673" s="59"/>
      <c r="P673" s="379"/>
      <c r="Q673" s="379"/>
      <c r="R673" s="379"/>
      <c r="V673" s="379"/>
      <c r="Y673" s="379"/>
      <c r="Z673" s="59"/>
      <c r="AA673" s="379"/>
      <c r="AB673" s="379"/>
      <c r="AC673" s="59"/>
      <c r="AD673" s="59"/>
      <c r="AG673" s="156"/>
      <c r="AH673" s="60"/>
      <c r="AI673" s="379"/>
      <c r="AJ673" s="379"/>
      <c r="AK673" s="156"/>
      <c r="AL673" s="379"/>
      <c r="AM673" s="50"/>
      <c r="AN673" s="50"/>
    </row>
    <row r="674" spans="1:40" x14ac:dyDescent="0.25">
      <c r="A674" s="53"/>
      <c r="C674" s="54"/>
      <c r="D674" s="54"/>
      <c r="E674" s="54"/>
      <c r="F674" s="379"/>
      <c r="H674" s="379"/>
      <c r="I674" s="379"/>
      <c r="J674" s="59"/>
      <c r="K674" s="59"/>
      <c r="L674" s="379"/>
      <c r="M674" s="379"/>
      <c r="N674" s="59"/>
      <c r="O674" s="59"/>
      <c r="P674" s="379"/>
      <c r="Q674" s="379"/>
      <c r="R674" s="379"/>
      <c r="T674" s="54"/>
      <c r="U674" s="54"/>
      <c r="V674" s="379"/>
      <c r="Y674" s="379"/>
      <c r="Z674" s="59"/>
      <c r="AA674" s="379"/>
      <c r="AB674" s="379"/>
      <c r="AC674" s="59"/>
      <c r="AD674" s="59"/>
      <c r="AE674" s="379"/>
      <c r="AF674" s="379"/>
      <c r="AG674" s="156"/>
      <c r="AH674" s="60"/>
      <c r="AI674" s="379"/>
      <c r="AJ674" s="379"/>
      <c r="AK674" s="156"/>
      <c r="AL674" s="379"/>
      <c r="AM674" s="50"/>
      <c r="AN674" s="50"/>
    </row>
    <row r="675" spans="1:40" x14ac:dyDescent="0.25">
      <c r="A675" s="53"/>
      <c r="C675" s="54"/>
      <c r="D675" s="54"/>
      <c r="E675" s="54"/>
      <c r="F675" s="379"/>
      <c r="H675" s="379"/>
      <c r="I675" s="379"/>
      <c r="J675" s="59"/>
      <c r="K675" s="59"/>
      <c r="L675" s="379"/>
      <c r="M675" s="379"/>
      <c r="N675" s="59"/>
      <c r="O675" s="59"/>
      <c r="P675" s="379"/>
      <c r="Q675" s="379"/>
      <c r="R675" s="379"/>
      <c r="T675" s="54"/>
      <c r="U675" s="54"/>
      <c r="V675" s="379"/>
      <c r="Y675" s="379"/>
      <c r="Z675" s="59"/>
      <c r="AA675" s="379"/>
      <c r="AB675" s="379"/>
      <c r="AC675" s="59"/>
      <c r="AD675" s="59"/>
      <c r="AE675" s="379"/>
      <c r="AF675" s="379"/>
      <c r="AG675" s="156"/>
      <c r="AH675" s="60"/>
      <c r="AI675" s="379"/>
      <c r="AJ675" s="379"/>
      <c r="AK675" s="156"/>
      <c r="AL675" s="379"/>
      <c r="AM675" s="50"/>
      <c r="AN675" s="50"/>
    </row>
    <row r="676" spans="1:40" x14ac:dyDescent="0.25">
      <c r="A676" s="53"/>
      <c r="C676" s="54"/>
      <c r="D676" s="54"/>
      <c r="E676" s="54"/>
      <c r="F676" s="379"/>
      <c r="H676" s="379"/>
      <c r="I676" s="379"/>
      <c r="J676" s="59"/>
      <c r="K676" s="59"/>
      <c r="L676" s="379"/>
      <c r="M676" s="379"/>
      <c r="N676" s="59"/>
      <c r="O676" s="59"/>
      <c r="P676" s="379"/>
      <c r="Q676" s="379"/>
      <c r="R676" s="379"/>
      <c r="T676" s="54"/>
      <c r="U676" s="54"/>
      <c r="V676" s="379"/>
      <c r="Y676" s="379"/>
      <c r="Z676" s="59"/>
      <c r="AA676" s="379"/>
      <c r="AB676" s="379"/>
      <c r="AC676" s="59"/>
      <c r="AD676" s="59"/>
      <c r="AE676" s="379"/>
      <c r="AF676" s="379"/>
      <c r="AG676" s="156"/>
      <c r="AH676" s="60"/>
      <c r="AI676" s="379"/>
      <c r="AJ676" s="379"/>
      <c r="AK676" s="156"/>
      <c r="AL676" s="379"/>
      <c r="AM676" s="50"/>
      <c r="AN676" s="50"/>
    </row>
    <row r="677" spans="1:40" x14ac:dyDescent="0.25">
      <c r="A677" s="53"/>
      <c r="C677" s="54"/>
      <c r="D677" s="54"/>
      <c r="E677" s="54"/>
      <c r="F677" s="379"/>
      <c r="H677" s="379"/>
      <c r="I677" s="379"/>
      <c r="J677" s="59"/>
      <c r="K677" s="59"/>
      <c r="L677" s="379"/>
      <c r="M677" s="379"/>
      <c r="N677" s="59"/>
      <c r="O677" s="59"/>
      <c r="P677" s="379"/>
      <c r="Q677" s="379"/>
      <c r="R677" s="379"/>
      <c r="T677" s="54"/>
      <c r="U677" s="54"/>
      <c r="V677" s="379"/>
      <c r="Y677" s="379"/>
      <c r="Z677" s="59"/>
      <c r="AA677" s="379"/>
      <c r="AB677" s="379"/>
      <c r="AC677" s="59"/>
      <c r="AD677" s="59"/>
      <c r="AE677" s="379"/>
      <c r="AF677" s="379"/>
      <c r="AG677" s="156"/>
      <c r="AH677" s="60"/>
      <c r="AI677" s="379"/>
      <c r="AJ677" s="379"/>
      <c r="AK677" s="156"/>
      <c r="AL677" s="379"/>
      <c r="AM677" s="50"/>
      <c r="AN677" s="50"/>
    </row>
    <row r="678" spans="1:40" x14ac:dyDescent="0.25">
      <c r="A678" s="53"/>
      <c r="C678" s="54"/>
      <c r="D678" s="54"/>
      <c r="E678" s="54"/>
      <c r="F678" s="379"/>
      <c r="H678" s="379"/>
      <c r="I678" s="379"/>
      <c r="J678" s="59"/>
      <c r="K678" s="59"/>
      <c r="L678" s="379"/>
      <c r="M678" s="379"/>
      <c r="N678" s="59"/>
      <c r="O678" s="59"/>
      <c r="P678" s="379"/>
      <c r="Q678" s="379"/>
      <c r="R678" s="379"/>
      <c r="T678" s="54"/>
      <c r="U678" s="54"/>
      <c r="V678" s="379"/>
      <c r="Y678" s="379"/>
      <c r="Z678" s="59"/>
      <c r="AA678" s="379"/>
      <c r="AB678" s="379"/>
      <c r="AC678" s="59"/>
      <c r="AD678" s="59"/>
      <c r="AE678" s="379"/>
      <c r="AF678" s="379"/>
      <c r="AG678" s="156"/>
      <c r="AH678" s="60"/>
      <c r="AI678" s="379"/>
      <c r="AJ678" s="379"/>
      <c r="AK678" s="156"/>
      <c r="AL678" s="379"/>
      <c r="AM678" s="50"/>
      <c r="AN678" s="50"/>
    </row>
    <row r="679" spans="1:40" x14ac:dyDescent="0.25">
      <c r="A679" s="53"/>
      <c r="C679" s="54"/>
      <c r="D679" s="54"/>
      <c r="E679" s="54"/>
      <c r="F679" s="379"/>
      <c r="H679" s="379"/>
      <c r="I679" s="379"/>
      <c r="J679" s="59"/>
      <c r="K679" s="59"/>
      <c r="L679" s="379"/>
      <c r="M679" s="379"/>
      <c r="N679" s="59"/>
      <c r="O679" s="59"/>
      <c r="P679" s="379"/>
      <c r="Q679" s="379"/>
      <c r="R679" s="379"/>
      <c r="T679" s="54"/>
      <c r="U679" s="54"/>
      <c r="V679" s="379"/>
      <c r="Y679" s="379"/>
      <c r="Z679" s="59"/>
      <c r="AA679" s="379"/>
      <c r="AB679" s="379"/>
      <c r="AC679" s="59"/>
      <c r="AD679" s="59"/>
      <c r="AE679" s="379"/>
      <c r="AF679" s="379"/>
      <c r="AG679" s="156"/>
      <c r="AH679" s="60"/>
      <c r="AI679" s="379"/>
      <c r="AJ679" s="379"/>
      <c r="AK679" s="156"/>
      <c r="AL679" s="379"/>
      <c r="AM679" s="50"/>
      <c r="AN679" s="50"/>
    </row>
    <row r="680" spans="1:40" x14ac:dyDescent="0.25">
      <c r="F680" s="381"/>
      <c r="H680" s="381"/>
      <c r="I680" s="381"/>
      <c r="J680" s="464"/>
      <c r="K680" s="464"/>
      <c r="L680" s="381"/>
      <c r="M680" s="381"/>
      <c r="N680" s="381"/>
      <c r="O680" s="381"/>
      <c r="P680" s="381"/>
      <c r="Q680" s="381"/>
      <c r="R680" s="381"/>
      <c r="V680" s="381"/>
      <c r="Y680" s="381"/>
      <c r="Z680" s="464"/>
      <c r="AA680" s="381"/>
      <c r="AB680" s="381"/>
      <c r="AC680" s="381"/>
      <c r="AD680" s="381"/>
      <c r="AE680" s="381"/>
      <c r="AF680" s="381"/>
      <c r="AI680" s="381"/>
      <c r="AJ680" s="381"/>
      <c r="AK680" s="162"/>
      <c r="AL680" s="381"/>
      <c r="AM680" s="50"/>
      <c r="AN680" s="50"/>
    </row>
    <row r="681" spans="1:40" x14ac:dyDescent="0.25">
      <c r="A681" s="53"/>
      <c r="C681" s="54"/>
      <c r="F681" s="379"/>
      <c r="H681" s="379"/>
      <c r="I681" s="379"/>
      <c r="J681" s="59"/>
      <c r="K681" s="59"/>
      <c r="L681" s="379"/>
      <c r="M681" s="379"/>
      <c r="N681" s="59"/>
      <c r="O681" s="59"/>
      <c r="P681" s="379"/>
      <c r="Q681" s="379"/>
      <c r="R681" s="379"/>
      <c r="T681" s="54"/>
      <c r="V681" s="379"/>
      <c r="Y681" s="379"/>
      <c r="Z681" s="59"/>
      <c r="AA681" s="379"/>
      <c r="AB681" s="379"/>
      <c r="AC681" s="59"/>
      <c r="AD681" s="59"/>
      <c r="AE681" s="379"/>
      <c r="AF681" s="379"/>
      <c r="AG681" s="156"/>
      <c r="AH681" s="60"/>
      <c r="AI681" s="379"/>
      <c r="AJ681" s="379"/>
      <c r="AK681" s="156"/>
      <c r="AL681" s="379"/>
      <c r="AM681" s="50"/>
      <c r="AN681" s="50"/>
    </row>
    <row r="682" spans="1:40" x14ac:dyDescent="0.25">
      <c r="F682" s="379"/>
      <c r="H682" s="379"/>
      <c r="I682" s="379"/>
      <c r="J682" s="59"/>
      <c r="K682" s="59"/>
      <c r="L682" s="379"/>
      <c r="M682" s="379"/>
      <c r="N682" s="59"/>
      <c r="O682" s="59"/>
      <c r="P682" s="379"/>
      <c r="Q682" s="379"/>
      <c r="R682" s="379"/>
      <c r="V682" s="379"/>
      <c r="Y682" s="379"/>
      <c r="Z682" s="59"/>
      <c r="AA682" s="379"/>
      <c r="AB682" s="379"/>
      <c r="AC682" s="59"/>
      <c r="AD682" s="59"/>
      <c r="AG682" s="156"/>
      <c r="AH682" s="60"/>
      <c r="AI682" s="379"/>
      <c r="AJ682" s="379"/>
      <c r="AK682" s="156"/>
      <c r="AL682" s="379"/>
      <c r="AM682" s="50"/>
      <c r="AN682" s="50"/>
    </row>
    <row r="683" spans="1:40" x14ac:dyDescent="0.25">
      <c r="A683" s="53"/>
      <c r="C683" s="54"/>
      <c r="D683" s="54"/>
      <c r="E683" s="54"/>
      <c r="F683" s="379"/>
      <c r="H683" s="379"/>
      <c r="I683" s="379"/>
      <c r="J683" s="59"/>
      <c r="K683" s="59"/>
      <c r="L683" s="379"/>
      <c r="M683" s="379"/>
      <c r="N683" s="59"/>
      <c r="O683" s="59"/>
      <c r="P683" s="379"/>
      <c r="Q683" s="379"/>
      <c r="R683" s="379"/>
      <c r="T683" s="54"/>
      <c r="U683" s="54"/>
      <c r="V683" s="379"/>
      <c r="Y683" s="379"/>
      <c r="Z683" s="59"/>
      <c r="AA683" s="379"/>
      <c r="AB683" s="379"/>
      <c r="AC683" s="59"/>
      <c r="AD683" s="59"/>
      <c r="AE683" s="379"/>
      <c r="AF683" s="379"/>
      <c r="AG683" s="156"/>
      <c r="AH683" s="60"/>
      <c r="AI683" s="379"/>
      <c r="AJ683" s="379"/>
      <c r="AK683" s="156"/>
      <c r="AL683" s="379"/>
      <c r="AM683" s="50"/>
      <c r="AN683" s="50"/>
    </row>
    <row r="684" spans="1:40" x14ac:dyDescent="0.25">
      <c r="F684" s="381"/>
      <c r="H684" s="381"/>
      <c r="I684" s="381"/>
      <c r="J684" s="464"/>
      <c r="K684" s="464"/>
      <c r="L684" s="381"/>
      <c r="M684" s="381"/>
      <c r="N684" s="381"/>
      <c r="O684" s="381"/>
      <c r="P684" s="381"/>
      <c r="Q684" s="381"/>
      <c r="R684" s="381"/>
      <c r="V684" s="381"/>
      <c r="Y684" s="381"/>
      <c r="Z684" s="464"/>
      <c r="AA684" s="381"/>
      <c r="AB684" s="381"/>
      <c r="AC684" s="381"/>
      <c r="AD684" s="381"/>
      <c r="AE684" s="381"/>
      <c r="AF684" s="381"/>
      <c r="AI684" s="381"/>
      <c r="AJ684" s="381"/>
      <c r="AK684" s="162"/>
      <c r="AL684" s="381"/>
      <c r="AM684" s="50"/>
      <c r="AN684" s="50"/>
    </row>
    <row r="685" spans="1:40" x14ac:dyDescent="0.25">
      <c r="A685" s="53"/>
      <c r="C685" s="54"/>
      <c r="F685" s="379"/>
      <c r="H685" s="379"/>
      <c r="I685" s="379"/>
      <c r="J685" s="59"/>
      <c r="K685" s="59"/>
      <c r="L685" s="379"/>
      <c r="M685" s="379"/>
      <c r="N685" s="59"/>
      <c r="O685" s="59"/>
      <c r="P685" s="379"/>
      <c r="Q685" s="379"/>
      <c r="R685" s="379"/>
      <c r="T685" s="54"/>
      <c r="V685" s="379"/>
      <c r="Y685" s="379"/>
      <c r="Z685" s="59"/>
      <c r="AA685" s="379"/>
      <c r="AB685" s="379"/>
      <c r="AC685" s="59"/>
      <c r="AD685" s="59"/>
      <c r="AE685" s="379"/>
      <c r="AF685" s="379"/>
      <c r="AG685" s="156"/>
      <c r="AH685" s="60"/>
      <c r="AI685" s="379"/>
      <c r="AJ685" s="379"/>
      <c r="AK685" s="156"/>
      <c r="AL685" s="379"/>
      <c r="AM685" s="50"/>
      <c r="AN685" s="50"/>
    </row>
    <row r="686" spans="1:40" x14ac:dyDescent="0.25">
      <c r="F686" s="379"/>
      <c r="H686" s="379"/>
      <c r="I686" s="379"/>
      <c r="J686" s="59"/>
      <c r="K686" s="59"/>
      <c r="L686" s="379"/>
      <c r="M686" s="379"/>
      <c r="N686" s="59"/>
      <c r="O686" s="59"/>
      <c r="P686" s="379"/>
      <c r="Q686" s="379"/>
      <c r="R686" s="379"/>
      <c r="V686" s="379"/>
      <c r="Y686" s="379"/>
      <c r="Z686" s="59"/>
      <c r="AA686" s="379"/>
      <c r="AB686" s="379"/>
      <c r="AC686" s="59"/>
      <c r="AD686" s="59"/>
      <c r="AG686" s="156"/>
      <c r="AH686" s="60"/>
      <c r="AI686" s="379"/>
      <c r="AJ686" s="379"/>
      <c r="AK686" s="156"/>
      <c r="AL686" s="379"/>
      <c r="AM686" s="50"/>
      <c r="AN686" s="50"/>
    </row>
    <row r="687" spans="1:40" x14ac:dyDescent="0.25">
      <c r="A687" s="53"/>
      <c r="C687" s="54"/>
      <c r="D687" s="54"/>
      <c r="E687" s="54"/>
      <c r="F687" s="379"/>
      <c r="H687" s="379"/>
      <c r="I687" s="379"/>
      <c r="J687" s="59"/>
      <c r="K687" s="59"/>
      <c r="L687" s="379"/>
      <c r="M687" s="379"/>
      <c r="N687" s="59"/>
      <c r="O687" s="59"/>
      <c r="P687" s="379"/>
      <c r="Q687" s="379"/>
      <c r="R687" s="379"/>
      <c r="T687" s="54"/>
      <c r="U687" s="54"/>
      <c r="V687" s="379"/>
      <c r="Y687" s="379"/>
      <c r="Z687" s="59"/>
      <c r="AA687" s="379"/>
      <c r="AB687" s="379"/>
      <c r="AC687" s="59"/>
      <c r="AD687" s="59"/>
      <c r="AE687" s="379"/>
      <c r="AF687" s="379"/>
      <c r="AG687" s="156"/>
      <c r="AH687" s="60"/>
      <c r="AI687" s="379"/>
      <c r="AJ687" s="379"/>
      <c r="AK687" s="156"/>
      <c r="AL687" s="379"/>
      <c r="AM687" s="50"/>
      <c r="AN687" s="50"/>
    </row>
    <row r="688" spans="1:40" x14ac:dyDescent="0.25">
      <c r="A688" s="53"/>
      <c r="C688" s="54"/>
      <c r="D688" s="54"/>
      <c r="E688" s="54"/>
      <c r="F688" s="379"/>
      <c r="G688" s="379"/>
      <c r="H688" s="379"/>
      <c r="I688" s="379"/>
      <c r="J688" s="59"/>
      <c r="K688" s="59"/>
      <c r="L688" s="379"/>
      <c r="M688" s="379"/>
      <c r="N688" s="59"/>
      <c r="O688" s="59"/>
      <c r="P688" s="379"/>
      <c r="Q688" s="379"/>
      <c r="R688" s="379"/>
      <c r="T688" s="54"/>
      <c r="U688" s="54"/>
      <c r="V688" s="379"/>
      <c r="W688" s="379"/>
      <c r="X688" s="379"/>
      <c r="Y688" s="379"/>
      <c r="Z688" s="59"/>
      <c r="AA688" s="379"/>
      <c r="AB688" s="379"/>
      <c r="AC688" s="59"/>
      <c r="AD688" s="59"/>
      <c r="AE688" s="379"/>
      <c r="AF688" s="379"/>
      <c r="AG688" s="156"/>
      <c r="AH688" s="60"/>
      <c r="AI688" s="379"/>
      <c r="AJ688" s="379"/>
      <c r="AK688" s="156"/>
      <c r="AL688" s="379"/>
      <c r="AM688" s="50"/>
      <c r="AN688" s="50"/>
    </row>
    <row r="689" spans="1:40" x14ac:dyDescent="0.25">
      <c r="A689" s="53"/>
      <c r="C689" s="54"/>
      <c r="D689" s="54"/>
      <c r="E689" s="54"/>
      <c r="F689" s="379"/>
      <c r="G689" s="379"/>
      <c r="H689" s="379"/>
      <c r="I689" s="379"/>
      <c r="J689" s="59"/>
      <c r="K689" s="59"/>
      <c r="L689" s="379"/>
      <c r="M689" s="379"/>
      <c r="N689" s="59"/>
      <c r="O689" s="59"/>
      <c r="P689" s="379"/>
      <c r="Q689" s="379"/>
      <c r="R689" s="379"/>
      <c r="T689" s="54"/>
      <c r="U689" s="54"/>
      <c r="V689" s="379"/>
      <c r="W689" s="379"/>
      <c r="X689" s="379"/>
      <c r="Y689" s="379"/>
      <c r="Z689" s="59"/>
      <c r="AA689" s="379"/>
      <c r="AB689" s="379"/>
      <c r="AC689" s="59"/>
      <c r="AD689" s="59"/>
      <c r="AE689" s="379"/>
      <c r="AF689" s="379"/>
      <c r="AG689" s="156"/>
      <c r="AH689" s="60"/>
      <c r="AI689" s="379"/>
      <c r="AJ689" s="379"/>
      <c r="AK689" s="156"/>
      <c r="AL689" s="379"/>
      <c r="AM689" s="50"/>
      <c r="AN689" s="50"/>
    </row>
    <row r="690" spans="1:40" x14ac:dyDescent="0.25">
      <c r="A690" s="53"/>
      <c r="C690" s="54"/>
      <c r="D690" s="54"/>
      <c r="E690" s="54"/>
      <c r="F690" s="379"/>
      <c r="H690" s="379"/>
      <c r="I690" s="379"/>
      <c r="J690" s="59"/>
      <c r="K690" s="59"/>
      <c r="L690" s="379"/>
      <c r="M690" s="379"/>
      <c r="N690" s="59"/>
      <c r="O690" s="59"/>
      <c r="P690" s="379"/>
      <c r="Q690" s="379"/>
      <c r="R690" s="379"/>
      <c r="T690" s="54"/>
      <c r="U690" s="54"/>
      <c r="V690" s="379"/>
      <c r="Y690" s="379"/>
      <c r="Z690" s="59"/>
      <c r="AA690" s="379"/>
      <c r="AB690" s="379"/>
      <c r="AC690" s="59"/>
      <c r="AD690" s="59"/>
      <c r="AE690" s="379"/>
      <c r="AF690" s="379"/>
      <c r="AG690" s="156"/>
      <c r="AH690" s="60"/>
      <c r="AI690" s="379"/>
      <c r="AJ690" s="379"/>
      <c r="AK690" s="156"/>
      <c r="AL690" s="379"/>
      <c r="AM690" s="50"/>
      <c r="AN690" s="50"/>
    </row>
    <row r="691" spans="1:40" x14ac:dyDescent="0.25">
      <c r="A691" s="53"/>
      <c r="C691" s="54"/>
      <c r="D691" s="54"/>
      <c r="E691" s="54"/>
      <c r="F691" s="379"/>
      <c r="H691" s="379"/>
      <c r="I691" s="379"/>
      <c r="J691" s="59"/>
      <c r="K691" s="59"/>
      <c r="L691" s="379"/>
      <c r="M691" s="379"/>
      <c r="N691" s="59"/>
      <c r="O691" s="59"/>
      <c r="P691" s="379"/>
      <c r="Q691" s="379"/>
      <c r="R691" s="379"/>
      <c r="T691" s="54"/>
      <c r="U691" s="54"/>
      <c r="V691" s="379"/>
      <c r="Y691" s="379"/>
      <c r="Z691" s="59"/>
      <c r="AA691" s="379"/>
      <c r="AB691" s="379"/>
      <c r="AC691" s="59"/>
      <c r="AD691" s="59"/>
      <c r="AE691" s="379"/>
      <c r="AF691" s="379"/>
      <c r="AG691" s="156"/>
      <c r="AH691" s="60"/>
      <c r="AI691" s="379"/>
      <c r="AJ691" s="379"/>
      <c r="AK691" s="156"/>
      <c r="AL691" s="379"/>
      <c r="AM691" s="50"/>
      <c r="AN691" s="50"/>
    </row>
    <row r="692" spans="1:40" x14ac:dyDescent="0.25">
      <c r="A692" s="53"/>
      <c r="C692" s="54"/>
      <c r="D692" s="54"/>
      <c r="E692" s="54"/>
      <c r="F692" s="379"/>
      <c r="H692" s="379"/>
      <c r="I692" s="379"/>
      <c r="J692" s="59"/>
      <c r="K692" s="59"/>
      <c r="L692" s="379"/>
      <c r="M692" s="379"/>
      <c r="N692" s="59"/>
      <c r="O692" s="59"/>
      <c r="P692" s="379"/>
      <c r="Q692" s="379"/>
      <c r="R692" s="379"/>
      <c r="T692" s="54"/>
      <c r="U692" s="54"/>
      <c r="V692" s="379"/>
      <c r="Y692" s="379"/>
      <c r="Z692" s="59"/>
      <c r="AA692" s="379"/>
      <c r="AB692" s="379"/>
      <c r="AC692" s="59"/>
      <c r="AD692" s="59"/>
      <c r="AE692" s="379"/>
      <c r="AF692" s="379"/>
      <c r="AG692" s="156"/>
      <c r="AH692" s="60"/>
      <c r="AI692" s="379"/>
      <c r="AJ692" s="379"/>
      <c r="AK692" s="156"/>
      <c r="AL692" s="379"/>
      <c r="AM692" s="50"/>
      <c r="AN692" s="50"/>
    </row>
    <row r="693" spans="1:40" x14ac:dyDescent="0.25">
      <c r="A693" s="53"/>
      <c r="C693" s="54"/>
      <c r="D693" s="54"/>
      <c r="E693" s="54"/>
      <c r="F693" s="379"/>
      <c r="H693" s="379"/>
      <c r="I693" s="379"/>
      <c r="J693" s="59"/>
      <c r="K693" s="59"/>
      <c r="L693" s="379"/>
      <c r="M693" s="379"/>
      <c r="N693" s="59"/>
      <c r="O693" s="59"/>
      <c r="P693" s="379"/>
      <c r="Q693" s="379"/>
      <c r="R693" s="379"/>
      <c r="T693" s="54"/>
      <c r="U693" s="54"/>
      <c r="V693" s="379"/>
      <c r="Y693" s="379"/>
      <c r="Z693" s="59"/>
      <c r="AA693" s="379"/>
      <c r="AB693" s="379"/>
      <c r="AC693" s="59"/>
      <c r="AD693" s="59"/>
      <c r="AE693" s="379"/>
      <c r="AF693" s="379"/>
      <c r="AG693" s="156"/>
      <c r="AH693" s="60"/>
      <c r="AI693" s="379"/>
      <c r="AJ693" s="379"/>
      <c r="AK693" s="156"/>
      <c r="AL693" s="379"/>
      <c r="AM693" s="50"/>
      <c r="AN693" s="50"/>
    </row>
    <row r="694" spans="1:40" x14ac:dyDescent="0.25">
      <c r="F694" s="381"/>
      <c r="H694" s="381"/>
      <c r="I694" s="381"/>
      <c r="J694" s="464"/>
      <c r="K694" s="464"/>
      <c r="L694" s="381"/>
      <c r="M694" s="381"/>
      <c r="N694" s="381"/>
      <c r="O694" s="381"/>
      <c r="P694" s="381"/>
      <c r="Q694" s="381"/>
      <c r="R694" s="381"/>
      <c r="V694" s="381"/>
      <c r="Y694" s="381"/>
      <c r="Z694" s="464"/>
      <c r="AA694" s="381"/>
      <c r="AB694" s="381"/>
      <c r="AC694" s="381"/>
      <c r="AD694" s="381"/>
      <c r="AE694" s="381"/>
      <c r="AF694" s="381"/>
      <c r="AI694" s="381"/>
      <c r="AJ694" s="381"/>
      <c r="AK694" s="162"/>
      <c r="AL694" s="381"/>
      <c r="AM694" s="50"/>
      <c r="AN694" s="50"/>
    </row>
    <row r="695" spans="1:40" x14ac:dyDescent="0.25">
      <c r="A695" s="53"/>
      <c r="C695" s="54"/>
      <c r="F695" s="379"/>
      <c r="H695" s="379"/>
      <c r="I695" s="379"/>
      <c r="J695" s="59"/>
      <c r="K695" s="59"/>
      <c r="L695" s="379"/>
      <c r="M695" s="379"/>
      <c r="N695" s="59"/>
      <c r="O695" s="59"/>
      <c r="P695" s="379"/>
      <c r="Q695" s="379"/>
      <c r="R695" s="379"/>
      <c r="T695" s="54"/>
      <c r="V695" s="379"/>
      <c r="Y695" s="379"/>
      <c r="Z695" s="59"/>
      <c r="AA695" s="379"/>
      <c r="AB695" s="379"/>
      <c r="AC695" s="59"/>
      <c r="AD695" s="59"/>
      <c r="AE695" s="379"/>
      <c r="AF695" s="379"/>
      <c r="AG695" s="156"/>
      <c r="AH695" s="60"/>
      <c r="AI695" s="379"/>
      <c r="AJ695" s="379"/>
      <c r="AK695" s="156"/>
      <c r="AL695" s="379"/>
      <c r="AM695" s="50"/>
      <c r="AN695" s="50"/>
    </row>
    <row r="696" spans="1:40" x14ac:dyDescent="0.25">
      <c r="V696" s="379"/>
      <c r="Y696" s="379"/>
      <c r="Z696" s="464"/>
      <c r="AA696" s="379"/>
      <c r="AB696" s="379"/>
      <c r="AC696" s="379"/>
      <c r="AD696" s="379"/>
      <c r="AE696" s="379"/>
      <c r="AF696" s="379"/>
      <c r="AI696" s="379"/>
      <c r="AJ696" s="379"/>
      <c r="AK696" s="156"/>
      <c r="AL696" s="379"/>
      <c r="AM696" s="50"/>
      <c r="AN696" s="50"/>
    </row>
    <row r="697" spans="1:40" x14ac:dyDescent="0.25">
      <c r="A697" s="53"/>
      <c r="C697" s="54"/>
      <c r="D697" s="54"/>
      <c r="E697" s="54"/>
      <c r="L697" s="379"/>
      <c r="M697" s="379"/>
      <c r="N697" s="59"/>
      <c r="O697" s="59"/>
      <c r="P697" s="53"/>
      <c r="Q697" s="53"/>
      <c r="R697" s="379"/>
      <c r="T697" s="54"/>
      <c r="U697" s="54"/>
      <c r="AA697" s="379"/>
      <c r="AB697" s="379"/>
      <c r="AC697" s="59"/>
      <c r="AD697" s="59"/>
      <c r="AE697" s="379"/>
      <c r="AF697" s="379"/>
      <c r="AG697" s="156"/>
      <c r="AH697" s="60"/>
      <c r="AI697" s="53"/>
      <c r="AJ697" s="53"/>
      <c r="AK697" s="156"/>
      <c r="AL697" s="379"/>
      <c r="AM697" s="50"/>
      <c r="AN697" s="50"/>
    </row>
    <row r="698" spans="1:40" x14ac:dyDescent="0.25">
      <c r="A698" s="53"/>
      <c r="D698" s="54"/>
      <c r="E698" s="54"/>
      <c r="F698" s="449"/>
      <c r="H698" s="449"/>
      <c r="I698" s="449"/>
      <c r="J698" s="59"/>
      <c r="K698" s="59"/>
      <c r="L698" s="379"/>
      <c r="M698" s="379"/>
      <c r="N698" s="59"/>
      <c r="O698" s="59"/>
      <c r="P698" s="449"/>
      <c r="Q698" s="449"/>
      <c r="R698" s="379"/>
      <c r="U698" s="54"/>
      <c r="V698" s="379"/>
      <c r="Y698" s="379"/>
      <c r="Z698" s="59"/>
      <c r="AA698" s="379"/>
      <c r="AB698" s="379"/>
      <c r="AC698" s="59"/>
      <c r="AD698" s="59"/>
      <c r="AE698" s="379"/>
      <c r="AF698" s="379"/>
      <c r="AG698" s="156"/>
      <c r="AH698" s="60"/>
      <c r="AI698" s="379"/>
      <c r="AJ698" s="379"/>
      <c r="AK698" s="156"/>
      <c r="AL698" s="379"/>
      <c r="AM698" s="50"/>
      <c r="AN698" s="50"/>
    </row>
    <row r="699" spans="1:40" x14ac:dyDescent="0.25">
      <c r="F699" s="381"/>
      <c r="H699" s="381"/>
      <c r="I699" s="381"/>
      <c r="J699" s="464"/>
      <c r="K699" s="464"/>
      <c r="L699" s="381"/>
      <c r="M699" s="381"/>
      <c r="N699" s="381"/>
      <c r="O699" s="381"/>
      <c r="P699" s="381"/>
      <c r="Q699" s="381"/>
      <c r="R699" s="381"/>
      <c r="V699" s="381"/>
      <c r="Y699" s="381"/>
      <c r="Z699" s="464"/>
      <c r="AA699" s="381"/>
      <c r="AB699" s="381"/>
      <c r="AC699" s="381"/>
      <c r="AD699" s="381"/>
      <c r="AE699" s="381"/>
      <c r="AF699" s="381"/>
      <c r="AI699" s="381"/>
      <c r="AJ699" s="381"/>
      <c r="AK699" s="162"/>
      <c r="AL699" s="381"/>
      <c r="AM699" s="50"/>
      <c r="AN699" s="50"/>
    </row>
    <row r="700" spans="1:40" x14ac:dyDescent="0.25">
      <c r="A700" s="53"/>
      <c r="C700" s="54"/>
      <c r="F700" s="379"/>
      <c r="H700" s="379"/>
      <c r="I700" s="379"/>
      <c r="J700" s="59"/>
      <c r="K700" s="59"/>
      <c r="L700" s="379"/>
      <c r="M700" s="379"/>
      <c r="N700" s="59"/>
      <c r="O700" s="59"/>
      <c r="P700" s="379"/>
      <c r="Q700" s="379"/>
      <c r="R700" s="379"/>
      <c r="T700" s="54"/>
      <c r="V700" s="379"/>
      <c r="Y700" s="379"/>
      <c r="Z700" s="59"/>
      <c r="AA700" s="379"/>
      <c r="AB700" s="379"/>
      <c r="AC700" s="59"/>
      <c r="AD700" s="59"/>
      <c r="AE700" s="379"/>
      <c r="AF700" s="379"/>
      <c r="AG700" s="156"/>
      <c r="AH700" s="60"/>
      <c r="AI700" s="379"/>
      <c r="AJ700" s="379"/>
      <c r="AK700" s="156"/>
      <c r="AL700" s="379"/>
      <c r="AM700" s="50"/>
      <c r="AN700" s="50"/>
    </row>
    <row r="701" spans="1:40" x14ac:dyDescent="0.25">
      <c r="F701" s="379"/>
      <c r="H701" s="379"/>
      <c r="I701" s="379"/>
      <c r="J701" s="59"/>
      <c r="K701" s="59"/>
      <c r="L701" s="379"/>
      <c r="M701" s="379"/>
      <c r="N701" s="59"/>
      <c r="O701" s="59"/>
      <c r="P701" s="379"/>
      <c r="Q701" s="379"/>
      <c r="R701" s="379"/>
      <c r="V701" s="379"/>
      <c r="Y701" s="379"/>
      <c r="Z701" s="59"/>
      <c r="AA701" s="379"/>
      <c r="AB701" s="379"/>
      <c r="AC701" s="59"/>
      <c r="AD701" s="59"/>
      <c r="AG701" s="156"/>
      <c r="AH701" s="60"/>
      <c r="AI701" s="379"/>
      <c r="AJ701" s="379"/>
      <c r="AK701" s="156"/>
      <c r="AL701" s="379"/>
      <c r="AM701" s="50"/>
      <c r="AN701" s="50"/>
    </row>
    <row r="702" spans="1:40" x14ac:dyDescent="0.25">
      <c r="A702" s="53"/>
      <c r="D702" s="54"/>
      <c r="E702" s="54"/>
      <c r="F702" s="379"/>
      <c r="H702" s="379"/>
      <c r="I702" s="379"/>
      <c r="J702" s="59"/>
      <c r="K702" s="59"/>
      <c r="L702" s="449"/>
      <c r="M702" s="449"/>
      <c r="N702" s="59"/>
      <c r="O702" s="59"/>
      <c r="P702" s="379"/>
      <c r="Q702" s="379"/>
      <c r="R702" s="379"/>
      <c r="U702" s="54"/>
      <c r="V702" s="379"/>
      <c r="Y702" s="379"/>
      <c r="Z702" s="59"/>
      <c r="AA702" s="449"/>
      <c r="AB702" s="449"/>
      <c r="AC702" s="59"/>
      <c r="AD702" s="59"/>
      <c r="AE702" s="379"/>
      <c r="AF702" s="379"/>
      <c r="AG702" s="156"/>
      <c r="AH702" s="60"/>
      <c r="AI702" s="379"/>
      <c r="AJ702" s="379"/>
      <c r="AK702" s="156"/>
      <c r="AL702" s="379"/>
      <c r="AM702" s="50"/>
      <c r="AN702" s="50"/>
    </row>
    <row r="703" spans="1:40" x14ac:dyDescent="0.25">
      <c r="A703" s="53"/>
      <c r="D703" s="54"/>
      <c r="E703" s="54"/>
      <c r="F703" s="379"/>
      <c r="H703" s="379"/>
      <c r="I703" s="379"/>
      <c r="J703" s="59"/>
      <c r="K703" s="59"/>
      <c r="L703" s="449"/>
      <c r="M703" s="449"/>
      <c r="N703" s="59"/>
      <c r="O703" s="59"/>
      <c r="P703" s="379"/>
      <c r="Q703" s="379"/>
      <c r="R703" s="379"/>
      <c r="U703" s="54"/>
      <c r="V703" s="379"/>
      <c r="Y703" s="379"/>
      <c r="Z703" s="59"/>
      <c r="AA703" s="449"/>
      <c r="AB703" s="449"/>
      <c r="AC703" s="59"/>
      <c r="AD703" s="59"/>
      <c r="AE703" s="379"/>
      <c r="AF703" s="379"/>
      <c r="AG703" s="156"/>
      <c r="AH703" s="60"/>
      <c r="AI703" s="379"/>
      <c r="AJ703" s="379"/>
      <c r="AK703" s="156"/>
      <c r="AL703" s="379"/>
      <c r="AM703" s="50"/>
      <c r="AN703" s="50"/>
    </row>
    <row r="704" spans="1:40" x14ac:dyDescent="0.25">
      <c r="A704" s="53"/>
      <c r="D704" s="54"/>
      <c r="E704" s="54"/>
      <c r="F704" s="379"/>
      <c r="H704" s="379"/>
      <c r="I704" s="379"/>
      <c r="J704" s="59"/>
      <c r="K704" s="59"/>
      <c r="L704" s="449"/>
      <c r="M704" s="449"/>
      <c r="N704" s="59"/>
      <c r="O704" s="59"/>
      <c r="P704" s="379"/>
      <c r="Q704" s="379"/>
      <c r="R704" s="379"/>
      <c r="U704" s="54"/>
      <c r="V704" s="379"/>
      <c r="Y704" s="379"/>
      <c r="Z704" s="59"/>
      <c r="AA704" s="449"/>
      <c r="AB704" s="449"/>
      <c r="AC704" s="59"/>
      <c r="AD704" s="59"/>
      <c r="AE704" s="379"/>
      <c r="AF704" s="379"/>
      <c r="AG704" s="156"/>
      <c r="AH704" s="60"/>
      <c r="AI704" s="379"/>
      <c r="AJ704" s="379"/>
      <c r="AK704" s="156"/>
      <c r="AL704" s="379"/>
      <c r="AM704" s="50"/>
      <c r="AN704" s="50"/>
    </row>
    <row r="705" spans="1:40" x14ac:dyDescent="0.25">
      <c r="F705" s="381"/>
      <c r="H705" s="381"/>
      <c r="I705" s="381"/>
      <c r="J705" s="464"/>
      <c r="K705" s="464"/>
      <c r="L705" s="381"/>
      <c r="M705" s="381"/>
      <c r="N705" s="381"/>
      <c r="O705" s="381"/>
      <c r="P705" s="381"/>
      <c r="Q705" s="381"/>
      <c r="R705" s="381"/>
      <c r="V705" s="381"/>
      <c r="Y705" s="381"/>
      <c r="Z705" s="464"/>
      <c r="AA705" s="381"/>
      <c r="AB705" s="381"/>
      <c r="AC705" s="381"/>
      <c r="AD705" s="381"/>
      <c r="AE705" s="381"/>
      <c r="AF705" s="381"/>
      <c r="AI705" s="381"/>
      <c r="AJ705" s="381"/>
      <c r="AK705" s="162"/>
      <c r="AL705" s="381"/>
      <c r="AM705" s="50"/>
      <c r="AN705" s="50"/>
    </row>
    <row r="706" spans="1:40" x14ac:dyDescent="0.25">
      <c r="A706" s="53"/>
      <c r="C706" s="54"/>
      <c r="F706" s="379"/>
      <c r="H706" s="379"/>
      <c r="I706" s="379"/>
      <c r="J706" s="59"/>
      <c r="K706" s="59"/>
      <c r="L706" s="379"/>
      <c r="M706" s="379"/>
      <c r="N706" s="59"/>
      <c r="O706" s="59"/>
      <c r="P706" s="379"/>
      <c r="Q706" s="379"/>
      <c r="R706" s="379"/>
      <c r="T706" s="54"/>
      <c r="V706" s="379"/>
      <c r="Y706" s="379"/>
      <c r="Z706" s="59"/>
      <c r="AA706" s="379"/>
      <c r="AB706" s="379"/>
      <c r="AC706" s="59"/>
      <c r="AD706" s="59"/>
      <c r="AE706" s="379"/>
      <c r="AF706" s="379"/>
      <c r="AG706" s="156"/>
      <c r="AH706" s="60"/>
      <c r="AI706" s="379"/>
      <c r="AJ706" s="379"/>
      <c r="AK706" s="156"/>
      <c r="AL706" s="379"/>
      <c r="AM706" s="50"/>
      <c r="AN706" s="50"/>
    </row>
    <row r="707" spans="1:40" x14ac:dyDescent="0.25">
      <c r="F707" s="379"/>
      <c r="H707" s="379"/>
      <c r="I707" s="379"/>
      <c r="J707" s="59"/>
      <c r="K707" s="59"/>
      <c r="L707" s="379"/>
      <c r="M707" s="379"/>
      <c r="N707" s="59"/>
      <c r="O707" s="59"/>
      <c r="P707" s="379"/>
      <c r="Q707" s="379"/>
      <c r="R707" s="379"/>
      <c r="V707" s="379"/>
      <c r="Y707" s="379"/>
      <c r="Z707" s="59"/>
      <c r="AA707" s="379"/>
      <c r="AB707" s="379"/>
      <c r="AC707" s="59"/>
      <c r="AD707" s="59"/>
      <c r="AG707" s="156"/>
      <c r="AH707" s="60"/>
      <c r="AI707" s="379"/>
      <c r="AJ707" s="379"/>
      <c r="AK707" s="156"/>
      <c r="AL707" s="379"/>
      <c r="AM707" s="50"/>
      <c r="AN707" s="50"/>
    </row>
    <row r="708" spans="1:40" x14ac:dyDescent="0.25">
      <c r="A708" s="53"/>
      <c r="C708" s="54"/>
      <c r="F708" s="379"/>
      <c r="H708" s="379"/>
      <c r="I708" s="379"/>
      <c r="J708" s="59"/>
      <c r="K708" s="59"/>
      <c r="L708" s="379"/>
      <c r="M708" s="379"/>
      <c r="N708" s="59"/>
      <c r="O708" s="59"/>
      <c r="P708" s="379"/>
      <c r="Q708" s="379"/>
      <c r="R708" s="379"/>
      <c r="T708" s="54"/>
      <c r="V708" s="379"/>
      <c r="Y708" s="379"/>
      <c r="Z708" s="59"/>
      <c r="AA708" s="379"/>
      <c r="AB708" s="379"/>
      <c r="AC708" s="59"/>
      <c r="AD708" s="59"/>
      <c r="AE708" s="379"/>
      <c r="AF708" s="379"/>
      <c r="AG708" s="156"/>
      <c r="AH708" s="60"/>
      <c r="AI708" s="379"/>
      <c r="AJ708" s="379"/>
      <c r="AK708" s="156"/>
      <c r="AL708" s="379"/>
      <c r="AM708" s="50"/>
      <c r="AN708" s="50"/>
    </row>
    <row r="709" spans="1:40" x14ac:dyDescent="0.25">
      <c r="F709" s="381"/>
      <c r="H709" s="381"/>
      <c r="I709" s="381"/>
      <c r="J709" s="464"/>
      <c r="K709" s="464"/>
      <c r="L709" s="381"/>
      <c r="M709" s="381"/>
      <c r="N709" s="381"/>
      <c r="O709" s="381"/>
      <c r="P709" s="381"/>
      <c r="Q709" s="381"/>
      <c r="R709" s="381"/>
      <c r="V709" s="381"/>
      <c r="Y709" s="381"/>
      <c r="Z709" s="464"/>
      <c r="AA709" s="381"/>
      <c r="AB709" s="381"/>
      <c r="AC709" s="381"/>
      <c r="AD709" s="381"/>
      <c r="AE709" s="381"/>
      <c r="AF709" s="381"/>
      <c r="AI709" s="381"/>
      <c r="AJ709" s="381"/>
      <c r="AK709" s="162"/>
      <c r="AL709" s="381"/>
    </row>
    <row r="711" spans="1:40" x14ac:dyDescent="0.25">
      <c r="C711" s="54"/>
      <c r="L711" s="379"/>
      <c r="M711" s="379"/>
      <c r="P711" s="379"/>
      <c r="Q711" s="379"/>
      <c r="R711" s="379"/>
      <c r="T711" s="54"/>
    </row>
    <row r="712" spans="1:40" x14ac:dyDescent="0.25">
      <c r="A712" s="54"/>
      <c r="L712" s="379"/>
      <c r="M712" s="379"/>
      <c r="P712" s="379"/>
      <c r="Q712" s="379"/>
      <c r="R712" s="379"/>
    </row>
    <row r="713" spans="1:40" x14ac:dyDescent="0.25">
      <c r="L713" s="379"/>
      <c r="M713" s="379"/>
      <c r="P713" s="379"/>
      <c r="Q713" s="379"/>
      <c r="R713" s="379"/>
    </row>
    <row r="714" spans="1:40" x14ac:dyDescent="0.25">
      <c r="L714" s="379"/>
      <c r="M714" s="379"/>
      <c r="P714" s="379"/>
      <c r="Q714" s="379"/>
      <c r="R714" s="379"/>
    </row>
    <row r="715" spans="1:40" x14ac:dyDescent="0.25">
      <c r="L715" s="379"/>
      <c r="M715" s="379"/>
      <c r="P715" s="379"/>
      <c r="Q715" s="379"/>
      <c r="R715" s="379"/>
    </row>
    <row r="716" spans="1:40" x14ac:dyDescent="0.25">
      <c r="L716" s="379"/>
      <c r="M716" s="379"/>
      <c r="P716" s="379"/>
      <c r="Q716" s="379"/>
      <c r="R716" s="379"/>
    </row>
    <row r="717" spans="1:40" x14ac:dyDescent="0.25">
      <c r="L717" s="379"/>
      <c r="M717" s="379"/>
      <c r="P717" s="379"/>
      <c r="Q717" s="379"/>
      <c r="R717" s="379"/>
    </row>
    <row r="750" spans="49:49" x14ac:dyDescent="0.25">
      <c r="AW750" s="379"/>
    </row>
    <row r="751" spans="49:49" x14ac:dyDescent="0.25">
      <c r="AW751" s="379"/>
    </row>
    <row r="752" spans="49:49" x14ac:dyDescent="0.25">
      <c r="AW752" s="379"/>
    </row>
    <row r="753" spans="49:49" x14ac:dyDescent="0.25">
      <c r="AW753" s="379"/>
    </row>
    <row r="754" spans="49:49" x14ac:dyDescent="0.25">
      <c r="AW754" s="379"/>
    </row>
    <row r="755" spans="49:49" x14ac:dyDescent="0.25">
      <c r="AW755" s="379"/>
    </row>
    <row r="758" spans="49:49" x14ac:dyDescent="0.25">
      <c r="AW758" s="379"/>
    </row>
    <row r="759" spans="49:49" x14ac:dyDescent="0.25">
      <c r="AW759" s="379"/>
    </row>
    <row r="760" spans="49:49" x14ac:dyDescent="0.25">
      <c r="AW760" s="379"/>
    </row>
    <row r="761" spans="49:49" x14ac:dyDescent="0.25">
      <c r="AW761" s="379"/>
    </row>
    <row r="762" spans="49:49" x14ac:dyDescent="0.25">
      <c r="AW762" s="379"/>
    </row>
    <row r="763" spans="49:49" x14ac:dyDescent="0.25">
      <c r="AW763" s="379"/>
    </row>
    <row r="764" spans="49:49" x14ac:dyDescent="0.25">
      <c r="AW764" s="379"/>
    </row>
    <row r="765" spans="49:49" x14ac:dyDescent="0.25">
      <c r="AW765" s="379"/>
    </row>
    <row r="768" spans="49:49" x14ac:dyDescent="0.25">
      <c r="AW768" s="379"/>
    </row>
    <row r="769" spans="49:51" x14ac:dyDescent="0.25">
      <c r="AW769" s="379"/>
    </row>
    <row r="772" spans="49:51" x14ac:dyDescent="0.25">
      <c r="AW772" s="379"/>
    </row>
    <row r="773" spans="49:51" x14ac:dyDescent="0.25">
      <c r="AW773" s="379"/>
    </row>
    <row r="774" spans="49:51" x14ac:dyDescent="0.25">
      <c r="AW774" s="379"/>
    </row>
    <row r="775" spans="49:51" x14ac:dyDescent="0.25">
      <c r="AW775" s="379"/>
    </row>
    <row r="781" spans="49:51" x14ac:dyDescent="0.25">
      <c r="AY781" s="53"/>
    </row>
    <row r="782" spans="49:51" x14ac:dyDescent="0.25">
      <c r="AY782" s="53"/>
    </row>
    <row r="783" spans="49:51" x14ac:dyDescent="0.25">
      <c r="AY783" s="54"/>
    </row>
    <row r="784" spans="49:51" x14ac:dyDescent="0.25">
      <c r="AY784" s="54"/>
    </row>
    <row r="785" spans="45:69" x14ac:dyDescent="0.25">
      <c r="AS785" s="53"/>
      <c r="BD785" s="54"/>
    </row>
    <row r="786" spans="45:69" x14ac:dyDescent="0.25">
      <c r="AS786" s="53"/>
      <c r="BD786" s="54"/>
    </row>
    <row r="787" spans="45:69" x14ac:dyDescent="0.25">
      <c r="AS787" s="54"/>
      <c r="BD787" s="54"/>
    </row>
    <row r="788" spans="45:69" x14ac:dyDescent="0.25">
      <c r="BD788" s="53"/>
    </row>
    <row r="789" spans="45:69" x14ac:dyDescent="0.25"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</row>
    <row r="790" spans="45:69" x14ac:dyDescent="0.25">
      <c r="AX790" s="54"/>
    </row>
    <row r="791" spans="45:69" x14ac:dyDescent="0.25">
      <c r="AX791" s="55"/>
      <c r="AY791" s="55"/>
      <c r="AZ791" s="55"/>
      <c r="BA791" s="55"/>
      <c r="BC791" s="56"/>
      <c r="BD791" s="56"/>
    </row>
    <row r="792" spans="45:69" x14ac:dyDescent="0.25">
      <c r="AV792" s="56"/>
      <c r="AW792" s="56"/>
      <c r="AZ792" s="56"/>
      <c r="BA792" s="56"/>
      <c r="BC792" s="56"/>
      <c r="BD792" s="56"/>
      <c r="BE792" s="56"/>
      <c r="BG792" s="55"/>
      <c r="BH792" s="54"/>
      <c r="BK792" s="55"/>
      <c r="BM792" s="55"/>
      <c r="BN792" s="54"/>
      <c r="BQ792" s="55"/>
    </row>
    <row r="793" spans="45:69" x14ac:dyDescent="0.25"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H793" s="56"/>
      <c r="BI793" s="56"/>
      <c r="BJ793" s="56"/>
      <c r="BN793" s="56"/>
      <c r="BO793" s="56"/>
      <c r="BP793" s="56"/>
    </row>
    <row r="794" spans="45:69" x14ac:dyDescent="0.25">
      <c r="AS794" s="56"/>
      <c r="AU794" s="54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G794" s="56"/>
      <c r="BH794" s="56"/>
      <c r="BI794" s="56"/>
      <c r="BJ794" s="56"/>
      <c r="BK794" s="56"/>
      <c r="BM794" s="56"/>
      <c r="BN794" s="56"/>
      <c r="BO794" s="56"/>
      <c r="BP794" s="56"/>
      <c r="BQ794" s="56"/>
    </row>
    <row r="795" spans="45:69" x14ac:dyDescent="0.25">
      <c r="AS795" s="56"/>
      <c r="AU795" s="54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G795" s="56"/>
      <c r="BH795" s="56"/>
      <c r="BI795" s="56"/>
      <c r="BJ795" s="56"/>
      <c r="BK795" s="56"/>
      <c r="BM795" s="56"/>
      <c r="BN795" s="56"/>
      <c r="BO795" s="56"/>
      <c r="BP795" s="56"/>
      <c r="BQ795" s="56"/>
    </row>
    <row r="796" spans="45:69" x14ac:dyDescent="0.25"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G796" s="55"/>
      <c r="BH796" s="55"/>
      <c r="BI796" s="55"/>
      <c r="BJ796" s="55"/>
      <c r="BK796" s="55"/>
      <c r="BM796" s="55"/>
      <c r="BN796" s="55"/>
      <c r="BO796" s="55"/>
      <c r="BP796" s="55"/>
      <c r="BQ796" s="55"/>
    </row>
    <row r="797" spans="45:69" x14ac:dyDescent="0.25"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</row>
    <row r="798" spans="45:69" x14ac:dyDescent="0.25">
      <c r="AS798" s="53"/>
      <c r="AU798" s="54"/>
      <c r="AV798" s="56"/>
      <c r="AY798" s="59"/>
    </row>
    <row r="799" spans="45:69" x14ac:dyDescent="0.25">
      <c r="AS799" s="53"/>
      <c r="AV799" s="56"/>
      <c r="AW799" s="379"/>
      <c r="AX799" s="65"/>
      <c r="AY799" s="65"/>
      <c r="AZ799" s="65"/>
      <c r="BA799" s="50"/>
      <c r="BB799" s="65"/>
      <c r="BC799" s="59"/>
      <c r="BD799" s="59"/>
      <c r="BE799" s="50"/>
      <c r="BG799" s="65"/>
      <c r="BH799" s="65"/>
      <c r="BI799" s="65"/>
      <c r="BJ799" s="65"/>
      <c r="BK799" s="65"/>
      <c r="BM799" s="65"/>
      <c r="BN799" s="65"/>
      <c r="BO799" s="65"/>
      <c r="BP799" s="65"/>
      <c r="BQ799" s="65"/>
    </row>
    <row r="800" spans="45:69" x14ac:dyDescent="0.25">
      <c r="AS800" s="53"/>
      <c r="AV800" s="56"/>
      <c r="AW800" s="379"/>
      <c r="AX800" s="65"/>
      <c r="AY800" s="65"/>
      <c r="AZ800" s="65"/>
      <c r="BA800" s="50"/>
      <c r="BB800" s="65"/>
      <c r="BC800" s="59"/>
      <c r="BD800" s="59"/>
      <c r="BE800" s="50"/>
      <c r="BG800" s="65"/>
      <c r="BH800" s="65"/>
      <c r="BI800" s="65"/>
      <c r="BJ800" s="65"/>
      <c r="BK800" s="65"/>
      <c r="BM800" s="65"/>
      <c r="BN800" s="65"/>
      <c r="BO800" s="65"/>
      <c r="BP800" s="65"/>
      <c r="BQ800" s="65"/>
    </row>
    <row r="801" spans="45:69" x14ac:dyDescent="0.25">
      <c r="AS801" s="53"/>
      <c r="AV801" s="56"/>
      <c r="AW801" s="379"/>
      <c r="AX801" s="65"/>
      <c r="AY801" s="65"/>
      <c r="AZ801" s="65"/>
      <c r="BA801" s="50"/>
      <c r="BB801" s="65"/>
      <c r="BC801" s="59"/>
      <c r="BD801" s="59"/>
      <c r="BE801" s="50"/>
      <c r="BG801" s="65"/>
      <c r="BH801" s="65"/>
      <c r="BI801" s="65"/>
      <c r="BJ801" s="65"/>
      <c r="BK801" s="65"/>
      <c r="BM801" s="65"/>
      <c r="BN801" s="65"/>
      <c r="BO801" s="65"/>
      <c r="BP801" s="65"/>
      <c r="BQ801" s="65"/>
    </row>
    <row r="802" spans="45:69" x14ac:dyDescent="0.25">
      <c r="AS802" s="53"/>
      <c r="AV802" s="56"/>
      <c r="AW802" s="379"/>
      <c r="AX802" s="65"/>
      <c r="AY802" s="65"/>
      <c r="AZ802" s="65"/>
      <c r="BA802" s="50"/>
      <c r="BB802" s="65"/>
      <c r="BC802" s="59"/>
      <c r="BD802" s="59"/>
      <c r="BE802" s="50"/>
      <c r="BG802" s="65"/>
      <c r="BH802" s="65"/>
      <c r="BI802" s="65"/>
      <c r="BJ802" s="65"/>
      <c r="BK802" s="65"/>
      <c r="BM802" s="65"/>
      <c r="BN802" s="65"/>
      <c r="BO802" s="65"/>
      <c r="BP802" s="65"/>
      <c r="BQ802" s="65"/>
    </row>
    <row r="803" spans="45:69" x14ac:dyDescent="0.25">
      <c r="AS803" s="53"/>
      <c r="AV803" s="56"/>
      <c r="AW803" s="379"/>
      <c r="AX803" s="65"/>
      <c r="AY803" s="65"/>
      <c r="AZ803" s="65"/>
      <c r="BA803" s="50"/>
      <c r="BB803" s="65"/>
      <c r="BC803" s="59"/>
      <c r="BD803" s="59"/>
      <c r="BE803" s="50"/>
      <c r="BG803" s="65"/>
      <c r="BH803" s="65"/>
      <c r="BI803" s="65"/>
      <c r="BJ803" s="65"/>
      <c r="BK803" s="65"/>
      <c r="BM803" s="65"/>
      <c r="BN803" s="65"/>
      <c r="BO803" s="65"/>
      <c r="BP803" s="65"/>
      <c r="BQ803" s="65"/>
    </row>
    <row r="804" spans="45:69" x14ac:dyDescent="0.25">
      <c r="AS804" s="53"/>
      <c r="AV804" s="56"/>
      <c r="AW804" s="379"/>
      <c r="AX804" s="65"/>
      <c r="AY804" s="65"/>
      <c r="AZ804" s="65"/>
      <c r="BA804" s="50"/>
      <c r="BB804" s="65"/>
      <c r="BC804" s="59"/>
      <c r="BD804" s="59"/>
      <c r="BE804" s="50"/>
      <c r="BG804" s="65"/>
      <c r="BH804" s="65"/>
      <c r="BI804" s="65"/>
      <c r="BJ804" s="65"/>
      <c r="BK804" s="65"/>
      <c r="BM804" s="65"/>
      <c r="BN804" s="65"/>
      <c r="BO804" s="65"/>
      <c r="BP804" s="65"/>
      <c r="BQ804" s="65"/>
    </row>
    <row r="805" spans="45:69" x14ac:dyDescent="0.25">
      <c r="AS805" s="53"/>
      <c r="AV805" s="56"/>
      <c r="AW805" s="379"/>
      <c r="AX805" s="65"/>
      <c r="AY805" s="65"/>
      <c r="AZ805" s="65"/>
      <c r="BA805" s="50"/>
      <c r="BB805" s="65"/>
      <c r="BC805" s="59"/>
      <c r="BD805" s="59"/>
      <c r="BE805" s="50"/>
      <c r="BG805" s="65"/>
      <c r="BH805" s="65"/>
      <c r="BI805" s="65"/>
      <c r="BJ805" s="65"/>
      <c r="BK805" s="65"/>
      <c r="BM805" s="65"/>
      <c r="BN805" s="65"/>
      <c r="BO805" s="65"/>
      <c r="BP805" s="65"/>
      <c r="BQ805" s="65"/>
    </row>
    <row r="806" spans="45:69" x14ac:dyDescent="0.25">
      <c r="AY806" s="59"/>
      <c r="AZ806" s="65"/>
      <c r="BA806" s="50"/>
      <c r="BB806" s="65"/>
      <c r="BC806" s="59"/>
      <c r="BD806" s="59"/>
      <c r="BE806" s="50"/>
      <c r="BK806" s="65"/>
      <c r="BQ806" s="65"/>
    </row>
    <row r="807" spans="45:69" x14ac:dyDescent="0.25">
      <c r="AS807" s="53"/>
      <c r="AV807" s="56"/>
      <c r="AY807" s="59"/>
      <c r="AZ807" s="65"/>
      <c r="BA807" s="50"/>
      <c r="BB807" s="65"/>
      <c r="BC807" s="59"/>
      <c r="BD807" s="59"/>
      <c r="BE807" s="50"/>
      <c r="BK807" s="65"/>
      <c r="BQ807" s="65"/>
    </row>
    <row r="808" spans="45:69" x14ac:dyDescent="0.25">
      <c r="AS808" s="53"/>
      <c r="AV808" s="56"/>
      <c r="AW808" s="379"/>
      <c r="AX808" s="65"/>
      <c r="AY808" s="65"/>
      <c r="AZ808" s="65"/>
      <c r="BA808" s="50"/>
      <c r="BB808" s="65"/>
      <c r="BC808" s="59"/>
      <c r="BD808" s="59"/>
      <c r="BE808" s="50"/>
      <c r="BG808" s="65"/>
      <c r="BH808" s="65"/>
      <c r="BI808" s="65"/>
      <c r="BJ808" s="65"/>
      <c r="BK808" s="65"/>
      <c r="BM808" s="65"/>
      <c r="BN808" s="65"/>
      <c r="BO808" s="65"/>
      <c r="BP808" s="65"/>
      <c r="BQ808" s="65"/>
    </row>
    <row r="809" spans="45:69" x14ac:dyDescent="0.25">
      <c r="AS809" s="53"/>
      <c r="AV809" s="56"/>
      <c r="AW809" s="379"/>
      <c r="AX809" s="65"/>
      <c r="AY809" s="65"/>
      <c r="AZ809" s="65"/>
      <c r="BA809" s="50"/>
      <c r="BB809" s="65"/>
      <c r="BC809" s="59"/>
      <c r="BD809" s="59"/>
      <c r="BE809" s="50"/>
      <c r="BG809" s="65"/>
      <c r="BH809" s="65"/>
      <c r="BI809" s="65"/>
      <c r="BJ809" s="65"/>
      <c r="BK809" s="65"/>
      <c r="BM809" s="65"/>
      <c r="BN809" s="65"/>
      <c r="BO809" s="65"/>
      <c r="BP809" s="65"/>
      <c r="BQ809" s="65"/>
    </row>
    <row r="810" spans="45:69" x14ac:dyDescent="0.25">
      <c r="AS810" s="53"/>
      <c r="AV810" s="56"/>
      <c r="AW810" s="379"/>
      <c r="AX810" s="65"/>
      <c r="AY810" s="65"/>
      <c r="AZ810" s="65"/>
      <c r="BA810" s="50"/>
      <c r="BB810" s="65"/>
      <c r="BC810" s="59"/>
      <c r="BD810" s="59"/>
      <c r="BE810" s="50"/>
      <c r="BG810" s="65"/>
      <c r="BH810" s="65"/>
      <c r="BI810" s="65"/>
      <c r="BJ810" s="65"/>
      <c r="BK810" s="65"/>
      <c r="BM810" s="65"/>
      <c r="BN810" s="65"/>
      <c r="BO810" s="65"/>
      <c r="BP810" s="65"/>
      <c r="BQ810" s="65"/>
    </row>
    <row r="811" spans="45:69" x14ac:dyDescent="0.25">
      <c r="AS811" s="53"/>
      <c r="AV811" s="56"/>
      <c r="AW811" s="379"/>
      <c r="AX811" s="65"/>
      <c r="AY811" s="65"/>
      <c r="AZ811" s="65"/>
      <c r="BA811" s="50"/>
      <c r="BB811" s="65"/>
      <c r="BC811" s="59"/>
      <c r="BD811" s="59"/>
      <c r="BE811" s="50"/>
      <c r="BG811" s="65"/>
      <c r="BH811" s="65"/>
      <c r="BI811" s="65"/>
      <c r="BJ811" s="65"/>
      <c r="BK811" s="65"/>
      <c r="BM811" s="65"/>
      <c r="BN811" s="65"/>
      <c r="BO811" s="65"/>
      <c r="BP811" s="65"/>
      <c r="BQ811" s="65"/>
    </row>
    <row r="812" spans="45:69" x14ac:dyDescent="0.25">
      <c r="AS812" s="53"/>
      <c r="AV812" s="56"/>
      <c r="AW812" s="379"/>
      <c r="AX812" s="65"/>
      <c r="AY812" s="65"/>
      <c r="AZ812" s="65"/>
      <c r="BA812" s="50"/>
      <c r="BB812" s="65"/>
      <c r="BC812" s="59"/>
      <c r="BD812" s="59"/>
      <c r="BE812" s="50"/>
      <c r="BG812" s="65"/>
      <c r="BH812" s="65"/>
      <c r="BI812" s="65"/>
      <c r="BJ812" s="65"/>
      <c r="BK812" s="65"/>
      <c r="BM812" s="65"/>
      <c r="BN812" s="65"/>
      <c r="BO812" s="65"/>
      <c r="BP812" s="65"/>
      <c r="BQ812" s="65"/>
    </row>
    <row r="813" spans="45:69" x14ac:dyDescent="0.25">
      <c r="AS813" s="53"/>
      <c r="AV813" s="56"/>
      <c r="AW813" s="379"/>
      <c r="AX813" s="65"/>
      <c r="AY813" s="65"/>
      <c r="AZ813" s="65"/>
      <c r="BA813" s="50"/>
      <c r="BB813" s="65"/>
      <c r="BC813" s="59"/>
      <c r="BD813" s="59"/>
      <c r="BE813" s="50"/>
      <c r="BG813" s="65"/>
      <c r="BH813" s="65"/>
      <c r="BI813" s="65"/>
      <c r="BJ813" s="65"/>
      <c r="BK813" s="65"/>
      <c r="BM813" s="65"/>
      <c r="BN813" s="65"/>
      <c r="BO813" s="65"/>
      <c r="BP813" s="65"/>
      <c r="BQ813" s="65"/>
    </row>
    <row r="814" spans="45:69" x14ac:dyDescent="0.25">
      <c r="AS814" s="53"/>
      <c r="AV814" s="56"/>
      <c r="AW814" s="379"/>
      <c r="AX814" s="65"/>
      <c r="AY814" s="65"/>
      <c r="AZ814" s="65"/>
      <c r="BA814" s="50"/>
      <c r="BB814" s="65"/>
      <c r="BC814" s="59"/>
      <c r="BD814" s="59"/>
      <c r="BE814" s="50"/>
      <c r="BG814" s="65"/>
      <c r="BH814" s="65"/>
      <c r="BI814" s="65"/>
      <c r="BJ814" s="65"/>
      <c r="BK814" s="65"/>
      <c r="BM814" s="65"/>
      <c r="BN814" s="65"/>
      <c r="BO814" s="65"/>
      <c r="BP814" s="65"/>
      <c r="BQ814" s="65"/>
    </row>
    <row r="815" spans="45:69" x14ac:dyDescent="0.25">
      <c r="AS815" s="53"/>
      <c r="AV815" s="56"/>
      <c r="AW815" s="379"/>
      <c r="AX815" s="65"/>
      <c r="AY815" s="65"/>
      <c r="AZ815" s="65"/>
      <c r="BA815" s="50"/>
      <c r="BB815" s="65"/>
      <c r="BC815" s="59"/>
      <c r="BD815" s="59"/>
      <c r="BE815" s="50"/>
      <c r="BG815" s="65"/>
      <c r="BH815" s="65"/>
      <c r="BI815" s="65"/>
      <c r="BJ815" s="65"/>
      <c r="BK815" s="65"/>
      <c r="BM815" s="65"/>
      <c r="BN815" s="65"/>
      <c r="BO815" s="65"/>
      <c r="BP815" s="65"/>
      <c r="BQ815" s="65"/>
    </row>
    <row r="816" spans="45:69" x14ac:dyDescent="0.25">
      <c r="AY816" s="59"/>
      <c r="AZ816" s="65"/>
      <c r="BA816" s="50"/>
      <c r="BB816" s="65"/>
      <c r="BC816" s="59"/>
      <c r="BD816" s="59"/>
      <c r="BE816" s="50"/>
      <c r="BK816" s="65"/>
      <c r="BQ816" s="65"/>
    </row>
    <row r="817" spans="45:75" x14ac:dyDescent="0.25">
      <c r="AU817" s="54"/>
      <c r="AZ817" s="65"/>
      <c r="BB817" s="65"/>
      <c r="BG817" s="65"/>
      <c r="BH817" s="65"/>
      <c r="BJ817" s="65"/>
      <c r="BK817" s="65"/>
    </row>
    <row r="818" spans="45:75" x14ac:dyDescent="0.25">
      <c r="AZ818" s="65"/>
      <c r="BB818" s="65"/>
    </row>
    <row r="819" spans="45:75" x14ac:dyDescent="0.25">
      <c r="AS819" s="54"/>
      <c r="AZ819" s="65"/>
      <c r="BB819" s="65"/>
      <c r="BI819" s="65"/>
    </row>
    <row r="820" spans="45:75" x14ac:dyDescent="0.25">
      <c r="AY820" s="53"/>
      <c r="AZ820" s="65"/>
      <c r="BB820" s="65"/>
    </row>
    <row r="821" spans="45:75" x14ac:dyDescent="0.25">
      <c r="AY821" s="65"/>
      <c r="BB821" s="65"/>
    </row>
    <row r="822" spans="45:75" x14ac:dyDescent="0.25">
      <c r="AY822" s="54"/>
      <c r="AZ822" s="65"/>
      <c r="BB822" s="65"/>
    </row>
    <row r="823" spans="45:75" x14ac:dyDescent="0.25">
      <c r="AY823" s="54"/>
      <c r="AZ823" s="65"/>
      <c r="BB823" s="65"/>
    </row>
    <row r="824" spans="45:75" x14ac:dyDescent="0.25">
      <c r="AS824" s="53"/>
      <c r="AZ824" s="65"/>
      <c r="BB824" s="65"/>
      <c r="BD824" s="54"/>
    </row>
    <row r="825" spans="45:75" x14ac:dyDescent="0.25">
      <c r="AS825" s="53"/>
      <c r="AZ825" s="65"/>
      <c r="BB825" s="65"/>
      <c r="BD825" s="54"/>
    </row>
    <row r="826" spans="45:75" x14ac:dyDescent="0.25">
      <c r="AS826" s="54"/>
      <c r="AZ826" s="65"/>
      <c r="BB826" s="65"/>
      <c r="BD826" s="54"/>
    </row>
    <row r="827" spans="45:75" x14ac:dyDescent="0.25">
      <c r="AZ827" s="65"/>
      <c r="BB827" s="65"/>
      <c r="BD827" s="53"/>
    </row>
    <row r="828" spans="45:75" x14ac:dyDescent="0.25">
      <c r="AS828" s="55"/>
      <c r="AT828" s="55"/>
      <c r="AU828" s="55"/>
      <c r="AV828" s="55"/>
      <c r="AW828" s="55"/>
      <c r="AX828" s="55"/>
      <c r="AY828" s="55"/>
      <c r="AZ828" s="66"/>
      <c r="BA828" s="55"/>
      <c r="BB828" s="66"/>
      <c r="BC828" s="55"/>
      <c r="BD828" s="55"/>
      <c r="BE828" s="55"/>
    </row>
    <row r="829" spans="45:75" x14ac:dyDescent="0.25">
      <c r="AX829" s="54"/>
      <c r="AZ829" s="65"/>
      <c r="BB829" s="65"/>
    </row>
    <row r="830" spans="45:75" x14ac:dyDescent="0.25">
      <c r="AX830" s="55"/>
      <c r="AY830" s="55"/>
      <c r="AZ830" s="66"/>
      <c r="BA830" s="55"/>
      <c r="BB830" s="65"/>
      <c r="BC830" s="56"/>
      <c r="BD830" s="56"/>
    </row>
    <row r="831" spans="45:75" x14ac:dyDescent="0.25">
      <c r="AV831" s="56"/>
      <c r="AW831" s="56"/>
      <c r="AZ831" s="67"/>
      <c r="BA831" s="56"/>
      <c r="BB831" s="65"/>
      <c r="BC831" s="56"/>
      <c r="BD831" s="56"/>
      <c r="BE831" s="56"/>
      <c r="BG831" s="55"/>
      <c r="BH831" s="55"/>
      <c r="BI831" s="54"/>
      <c r="BM831" s="55"/>
      <c r="BN831" s="55"/>
      <c r="BP831" s="55"/>
      <c r="BQ831" s="55"/>
      <c r="BR831" s="54"/>
      <c r="BV831" s="55"/>
      <c r="BW831" s="55"/>
    </row>
    <row r="832" spans="45:75" x14ac:dyDescent="0.25">
      <c r="AV832" s="56"/>
      <c r="AW832" s="56"/>
      <c r="AX832" s="56"/>
      <c r="AY832" s="56"/>
      <c r="AZ832" s="67"/>
      <c r="BA832" s="56"/>
      <c r="BB832" s="67"/>
      <c r="BC832" s="56"/>
      <c r="BD832" s="56"/>
      <c r="BE832" s="56"/>
      <c r="BH832" s="56"/>
      <c r="BI832" s="56"/>
      <c r="BJ832" s="56"/>
      <c r="BK832" s="56"/>
      <c r="BL832" s="56"/>
      <c r="BM832" s="56"/>
      <c r="BQ832" s="56"/>
      <c r="BR832" s="56"/>
      <c r="BS832" s="56"/>
      <c r="BT832" s="56"/>
      <c r="BU832" s="56"/>
      <c r="BV832" s="56"/>
    </row>
    <row r="833" spans="45:75" x14ac:dyDescent="0.25">
      <c r="AS833" s="56"/>
      <c r="AU833" s="54"/>
      <c r="AV833" s="56"/>
      <c r="AW833" s="56"/>
      <c r="AX833" s="56"/>
      <c r="AY833" s="56"/>
      <c r="AZ833" s="67"/>
      <c r="BA833" s="56"/>
      <c r="BB833" s="67"/>
      <c r="BC833" s="56"/>
      <c r="BD833" s="56"/>
      <c r="BE833" s="56"/>
      <c r="BG833" s="56"/>
      <c r="BH833" s="56"/>
      <c r="BI833" s="56"/>
      <c r="BJ833" s="56"/>
      <c r="BK833" s="56"/>
      <c r="BL833" s="56"/>
      <c r="BM833" s="56"/>
      <c r="BN833" s="56"/>
      <c r="BP833" s="56"/>
      <c r="BQ833" s="56"/>
      <c r="BR833" s="56"/>
      <c r="BS833" s="56"/>
      <c r="BT833" s="56"/>
      <c r="BU833" s="56"/>
      <c r="BV833" s="56"/>
      <c r="BW833" s="56"/>
    </row>
    <row r="834" spans="45:75" x14ac:dyDescent="0.25">
      <c r="AS834" s="56"/>
      <c r="AU834" s="54"/>
      <c r="AV834" s="56"/>
      <c r="AW834" s="56"/>
      <c r="AX834" s="56"/>
      <c r="AY834" s="56"/>
      <c r="AZ834" s="67"/>
      <c r="BA834" s="56"/>
      <c r="BB834" s="67"/>
      <c r="BC834" s="56"/>
      <c r="BD834" s="56"/>
      <c r="BE834" s="56"/>
      <c r="BG834" s="56"/>
      <c r="BH834" s="56"/>
      <c r="BI834" s="56"/>
      <c r="BJ834" s="56"/>
      <c r="BK834" s="56"/>
      <c r="BL834" s="56"/>
      <c r="BM834" s="56"/>
      <c r="BN834" s="56"/>
      <c r="BP834" s="56"/>
      <c r="BQ834" s="56"/>
      <c r="BR834" s="56"/>
      <c r="BS834" s="56"/>
      <c r="BT834" s="56"/>
      <c r="BU834" s="56"/>
      <c r="BV834" s="56"/>
      <c r="BW834" s="56"/>
    </row>
    <row r="835" spans="45:75" x14ac:dyDescent="0.25">
      <c r="AS835" s="55"/>
      <c r="AT835" s="55"/>
      <c r="AU835" s="55"/>
      <c r="AV835" s="55"/>
      <c r="AW835" s="55"/>
      <c r="AX835" s="55"/>
      <c r="AY835" s="55"/>
      <c r="AZ835" s="66"/>
      <c r="BA835" s="55"/>
      <c r="BB835" s="66"/>
      <c r="BC835" s="55"/>
      <c r="BD835" s="55"/>
      <c r="BE835" s="55"/>
      <c r="BG835" s="55"/>
      <c r="BH835" s="55"/>
      <c r="BI835" s="55"/>
      <c r="BJ835" s="55"/>
      <c r="BK835" s="55"/>
      <c r="BL835" s="55"/>
      <c r="BM835" s="55"/>
      <c r="BN835" s="55"/>
      <c r="BP835" s="55"/>
      <c r="BQ835" s="55"/>
      <c r="BR835" s="55"/>
      <c r="BS835" s="55"/>
      <c r="BT835" s="55"/>
      <c r="BU835" s="55"/>
      <c r="BV835" s="55"/>
      <c r="BW835" s="55"/>
    </row>
    <row r="836" spans="45:75" x14ac:dyDescent="0.25">
      <c r="AV836" s="56"/>
      <c r="AW836" s="56"/>
      <c r="AX836" s="56"/>
      <c r="AY836" s="56"/>
      <c r="AZ836" s="67"/>
      <c r="BA836" s="56"/>
      <c r="BB836" s="67"/>
      <c r="BC836" s="56"/>
      <c r="BD836" s="56"/>
      <c r="BE836" s="56"/>
      <c r="BG836" s="65"/>
      <c r="BH836" s="65"/>
      <c r="BI836" s="65"/>
      <c r="BJ836" s="65"/>
      <c r="BK836" s="65"/>
      <c r="BL836" s="65"/>
      <c r="BM836" s="65"/>
      <c r="BN836" s="65"/>
      <c r="BO836" s="65"/>
      <c r="BP836" s="65"/>
      <c r="BQ836" s="65"/>
      <c r="BR836" s="65"/>
      <c r="BS836" s="65"/>
      <c r="BT836" s="65"/>
      <c r="BU836" s="65"/>
      <c r="BV836" s="65"/>
      <c r="BW836" s="65"/>
    </row>
    <row r="837" spans="45:75" x14ac:dyDescent="0.25">
      <c r="AS837" s="53"/>
      <c r="AU837" s="54"/>
      <c r="AV837" s="53"/>
      <c r="AW837" s="379"/>
      <c r="AX837" s="65"/>
      <c r="AY837" s="65"/>
      <c r="AZ837" s="65"/>
      <c r="BA837" s="60"/>
      <c r="BB837" s="65"/>
      <c r="BC837" s="65"/>
      <c r="BD837" s="65"/>
      <c r="BE837" s="60"/>
      <c r="BG837" s="65"/>
      <c r="BH837" s="65"/>
      <c r="BI837" s="65"/>
      <c r="BJ837" s="65"/>
      <c r="BK837" s="65"/>
      <c r="BL837" s="65"/>
      <c r="BM837" s="65"/>
      <c r="BN837" s="65"/>
      <c r="BO837" s="65"/>
      <c r="BP837" s="65"/>
      <c r="BQ837" s="65"/>
      <c r="BR837" s="65"/>
      <c r="BS837" s="65"/>
      <c r="BT837" s="65"/>
      <c r="BU837" s="65"/>
      <c r="BV837" s="65"/>
      <c r="BW837" s="65"/>
    </row>
    <row r="838" spans="45:75" x14ac:dyDescent="0.25">
      <c r="AS838" s="53"/>
      <c r="AV838" s="53"/>
      <c r="AW838" s="379"/>
      <c r="AX838" s="65"/>
      <c r="AY838" s="65"/>
      <c r="AZ838" s="65"/>
      <c r="BA838" s="60"/>
      <c r="BB838" s="65"/>
      <c r="BC838" s="65"/>
      <c r="BD838" s="65"/>
      <c r="BE838" s="60"/>
      <c r="BG838" s="65"/>
      <c r="BH838" s="65"/>
      <c r="BI838" s="65"/>
      <c r="BJ838" s="65"/>
      <c r="BK838" s="65"/>
      <c r="BL838" s="65"/>
      <c r="BM838" s="65"/>
      <c r="BN838" s="65"/>
      <c r="BO838" s="65"/>
      <c r="BP838" s="65"/>
      <c r="BQ838" s="65"/>
      <c r="BR838" s="65"/>
      <c r="BS838" s="65"/>
      <c r="BT838" s="65"/>
      <c r="BU838" s="65"/>
      <c r="BV838" s="65"/>
      <c r="BW838" s="65"/>
    </row>
    <row r="839" spans="45:75" x14ac:dyDescent="0.25">
      <c r="AS839" s="53"/>
      <c r="AV839" s="53"/>
      <c r="AW839" s="379"/>
      <c r="AX839" s="65"/>
      <c r="AY839" s="65"/>
      <c r="AZ839" s="65"/>
      <c r="BA839" s="60"/>
      <c r="BB839" s="65"/>
      <c r="BC839" s="65"/>
      <c r="BD839" s="65"/>
      <c r="BE839" s="60"/>
      <c r="BG839" s="65"/>
      <c r="BH839" s="65"/>
      <c r="BI839" s="65"/>
      <c r="BJ839" s="65"/>
      <c r="BK839" s="65"/>
      <c r="BL839" s="65"/>
      <c r="BM839" s="65"/>
      <c r="BN839" s="65"/>
      <c r="BO839" s="65"/>
      <c r="BP839" s="65"/>
      <c r="BQ839" s="65"/>
      <c r="BR839" s="65"/>
      <c r="BS839" s="65"/>
      <c r="BT839" s="65"/>
      <c r="BU839" s="65"/>
      <c r="BV839" s="65"/>
      <c r="BW839" s="65"/>
    </row>
    <row r="840" spans="45:75" x14ac:dyDescent="0.25">
      <c r="AS840" s="53"/>
      <c r="AV840" s="53"/>
      <c r="AW840" s="379"/>
      <c r="AX840" s="65"/>
      <c r="AY840" s="65"/>
      <c r="AZ840" s="65"/>
      <c r="BA840" s="60"/>
      <c r="BB840" s="65"/>
      <c r="BC840" s="65"/>
      <c r="BD840" s="65"/>
      <c r="BE840" s="60"/>
      <c r="BG840" s="65"/>
      <c r="BH840" s="65"/>
      <c r="BI840" s="65"/>
      <c r="BJ840" s="65"/>
      <c r="BK840" s="65"/>
      <c r="BL840" s="65"/>
      <c r="BM840" s="65"/>
      <c r="BN840" s="65"/>
      <c r="BO840" s="65"/>
      <c r="BP840" s="65"/>
      <c r="BQ840" s="65"/>
      <c r="BR840" s="65"/>
      <c r="BS840" s="65"/>
      <c r="BT840" s="65"/>
      <c r="BU840" s="65"/>
      <c r="BV840" s="65"/>
      <c r="BW840" s="65"/>
    </row>
    <row r="841" spans="45:75" x14ac:dyDescent="0.25">
      <c r="AS841" s="53"/>
      <c r="AV841" s="53"/>
      <c r="AW841" s="379"/>
      <c r="AX841" s="65"/>
      <c r="AY841" s="65"/>
      <c r="AZ841" s="65"/>
      <c r="BA841" s="60"/>
      <c r="BB841" s="65"/>
      <c r="BC841" s="65"/>
      <c r="BD841" s="65"/>
      <c r="BE841" s="60"/>
      <c r="BG841" s="65"/>
      <c r="BH841" s="65"/>
      <c r="BI841" s="65"/>
      <c r="BJ841" s="65"/>
      <c r="BK841" s="65"/>
      <c r="BL841" s="65"/>
      <c r="BM841" s="65"/>
      <c r="BN841" s="65"/>
      <c r="BO841" s="65"/>
      <c r="BP841" s="65"/>
      <c r="BQ841" s="65"/>
      <c r="BR841" s="65"/>
      <c r="BS841" s="65"/>
      <c r="BT841" s="65"/>
      <c r="BU841" s="65"/>
      <c r="BV841" s="65"/>
      <c r="BW841" s="65"/>
    </row>
    <row r="842" spans="45:75" x14ac:dyDescent="0.25">
      <c r="AS842" s="53"/>
      <c r="AV842" s="53"/>
      <c r="AW842" s="379"/>
      <c r="AX842" s="65"/>
      <c r="AY842" s="65"/>
      <c r="AZ842" s="65"/>
      <c r="BA842" s="60"/>
      <c r="BB842" s="65"/>
      <c r="BC842" s="65"/>
      <c r="BD842" s="65"/>
      <c r="BE842" s="60"/>
      <c r="BG842" s="65"/>
      <c r="BH842" s="65"/>
      <c r="BI842" s="65"/>
      <c r="BJ842" s="65"/>
      <c r="BK842" s="65"/>
      <c r="BL842" s="65"/>
      <c r="BM842" s="65"/>
      <c r="BN842" s="65"/>
      <c r="BO842" s="65"/>
      <c r="BP842" s="65"/>
      <c r="BQ842" s="65"/>
      <c r="BR842" s="65"/>
      <c r="BS842" s="65"/>
      <c r="BT842" s="65"/>
      <c r="BU842" s="65"/>
      <c r="BV842" s="65"/>
      <c r="BW842" s="65"/>
    </row>
    <row r="843" spans="45:75" x14ac:dyDescent="0.25">
      <c r="AS843" s="53"/>
      <c r="AV843" s="53"/>
      <c r="AW843" s="379"/>
      <c r="AX843" s="65"/>
      <c r="AY843" s="65"/>
      <c r="AZ843" s="65"/>
      <c r="BA843" s="60"/>
      <c r="BB843" s="65"/>
      <c r="BC843" s="65"/>
      <c r="BD843" s="65"/>
      <c r="BE843" s="60"/>
      <c r="BG843" s="65"/>
      <c r="BH843" s="65"/>
      <c r="BI843" s="65"/>
      <c r="BJ843" s="65"/>
      <c r="BK843" s="65"/>
      <c r="BL843" s="65"/>
      <c r="BM843" s="65"/>
      <c r="BN843" s="65"/>
      <c r="BO843" s="65"/>
      <c r="BP843" s="65"/>
      <c r="BQ843" s="65"/>
      <c r="BR843" s="65"/>
      <c r="BS843" s="65"/>
      <c r="BT843" s="65"/>
      <c r="BU843" s="65"/>
      <c r="BV843" s="65"/>
      <c r="BW843" s="65"/>
    </row>
    <row r="844" spans="45:75" x14ac:dyDescent="0.25">
      <c r="AS844" s="53"/>
      <c r="AV844" s="53"/>
      <c r="AW844" s="379"/>
      <c r="AX844" s="65"/>
      <c r="AY844" s="65"/>
      <c r="AZ844" s="65"/>
      <c r="BA844" s="60"/>
      <c r="BB844" s="65"/>
      <c r="BC844" s="65"/>
      <c r="BD844" s="65"/>
      <c r="BE844" s="60"/>
      <c r="BG844" s="65"/>
      <c r="BH844" s="65"/>
      <c r="BI844" s="65"/>
      <c r="BJ844" s="65"/>
      <c r="BK844" s="65"/>
      <c r="BL844" s="65"/>
      <c r="BM844" s="65"/>
      <c r="BN844" s="65"/>
      <c r="BO844" s="65"/>
      <c r="BP844" s="65"/>
      <c r="BQ844" s="65"/>
      <c r="BR844" s="65"/>
      <c r="BS844" s="65"/>
      <c r="BT844" s="65"/>
      <c r="BU844" s="65"/>
      <c r="BV844" s="65"/>
      <c r="BW844" s="65"/>
    </row>
    <row r="845" spans="45:75" x14ac:dyDescent="0.25">
      <c r="AS845" s="53"/>
      <c r="AV845" s="53"/>
      <c r="AW845" s="379"/>
      <c r="AX845" s="65"/>
      <c r="AY845" s="65"/>
      <c r="AZ845" s="65"/>
      <c r="BA845" s="60"/>
      <c r="BB845" s="65"/>
      <c r="BC845" s="65"/>
      <c r="BD845" s="65"/>
      <c r="BE845" s="60"/>
      <c r="BG845" s="65"/>
      <c r="BH845" s="65"/>
      <c r="BI845" s="65"/>
      <c r="BJ845" s="65"/>
      <c r="BK845" s="65"/>
      <c r="BL845" s="65"/>
      <c r="BM845" s="65"/>
      <c r="BN845" s="65"/>
      <c r="BO845" s="65"/>
      <c r="BP845" s="65"/>
      <c r="BQ845" s="65"/>
      <c r="BR845" s="65"/>
      <c r="BS845" s="65"/>
      <c r="BT845" s="65"/>
      <c r="BU845" s="65"/>
      <c r="BV845" s="65"/>
      <c r="BW845" s="65"/>
    </row>
    <row r="846" spans="45:75" x14ac:dyDescent="0.25">
      <c r="AS846" s="53"/>
      <c r="AV846" s="53"/>
      <c r="AW846" s="379"/>
      <c r="AX846" s="65"/>
      <c r="AY846" s="65"/>
      <c r="AZ846" s="65"/>
      <c r="BA846" s="60"/>
      <c r="BB846" s="65"/>
      <c r="BC846" s="65"/>
      <c r="BD846" s="65"/>
      <c r="BE846" s="60"/>
      <c r="BG846" s="65"/>
      <c r="BH846" s="65"/>
      <c r="BI846" s="65"/>
      <c r="BJ846" s="65"/>
      <c r="BK846" s="65"/>
      <c r="BL846" s="65"/>
      <c r="BM846" s="65"/>
      <c r="BN846" s="65"/>
      <c r="BO846" s="65"/>
      <c r="BP846" s="65"/>
      <c r="BQ846" s="65"/>
      <c r="BR846" s="65"/>
      <c r="BS846" s="65"/>
      <c r="BT846" s="65"/>
      <c r="BU846" s="65"/>
      <c r="BV846" s="65"/>
      <c r="BW846" s="65"/>
    </row>
    <row r="847" spans="45:75" x14ac:dyDescent="0.25">
      <c r="AS847" s="53"/>
      <c r="AV847" s="53"/>
      <c r="AW847" s="379"/>
      <c r="AX847" s="65"/>
      <c r="AY847" s="65"/>
      <c r="AZ847" s="65"/>
      <c r="BA847" s="60"/>
      <c r="BB847" s="65"/>
      <c r="BC847" s="65"/>
      <c r="BD847" s="65"/>
      <c r="BE847" s="60"/>
      <c r="BG847" s="65"/>
      <c r="BH847" s="65"/>
      <c r="BI847" s="65"/>
      <c r="BJ847" s="65"/>
      <c r="BK847" s="65"/>
      <c r="BL847" s="65"/>
      <c r="BM847" s="65"/>
      <c r="BN847" s="65"/>
      <c r="BO847" s="65"/>
      <c r="BP847" s="65"/>
      <c r="BQ847" s="65"/>
      <c r="BR847" s="65"/>
      <c r="BS847" s="65"/>
      <c r="BT847" s="65"/>
      <c r="BU847" s="65"/>
      <c r="BV847" s="65"/>
      <c r="BW847" s="65"/>
    </row>
    <row r="848" spans="45:75" x14ac:dyDescent="0.25">
      <c r="AS848" s="53"/>
      <c r="AV848" s="53"/>
      <c r="AW848" s="379"/>
      <c r="AX848" s="65"/>
      <c r="AY848" s="65"/>
      <c r="AZ848" s="65"/>
      <c r="BA848" s="60"/>
      <c r="BB848" s="65"/>
      <c r="BC848" s="65"/>
      <c r="BD848" s="65"/>
      <c r="BE848" s="60"/>
      <c r="BG848" s="65"/>
      <c r="BH848" s="65"/>
      <c r="BI848" s="65"/>
      <c r="BJ848" s="65"/>
      <c r="BK848" s="65"/>
      <c r="BL848" s="65"/>
      <c r="BM848" s="65"/>
      <c r="BN848" s="65"/>
      <c r="BO848" s="65"/>
      <c r="BP848" s="65"/>
      <c r="BQ848" s="65"/>
      <c r="BR848" s="65"/>
      <c r="BS848" s="65"/>
      <c r="BT848" s="65"/>
      <c r="BU848" s="65"/>
      <c r="BV848" s="65"/>
      <c r="BW848" s="65"/>
    </row>
    <row r="849" spans="45:75" x14ac:dyDescent="0.25">
      <c r="AS849" s="53"/>
      <c r="AV849" s="53"/>
      <c r="AW849" s="379"/>
      <c r="AX849" s="65"/>
      <c r="AY849" s="65"/>
      <c r="AZ849" s="65"/>
      <c r="BA849" s="60"/>
      <c r="BB849" s="65"/>
      <c r="BC849" s="65"/>
      <c r="BD849" s="65"/>
      <c r="BE849" s="60"/>
      <c r="BG849" s="65"/>
      <c r="BH849" s="65"/>
      <c r="BI849" s="65"/>
      <c r="BJ849" s="65"/>
      <c r="BK849" s="65"/>
      <c r="BL849" s="65"/>
      <c r="BM849" s="65"/>
      <c r="BN849" s="65"/>
      <c r="BO849" s="65"/>
      <c r="BP849" s="65"/>
      <c r="BQ849" s="65"/>
      <c r="BR849" s="65"/>
      <c r="BS849" s="65"/>
      <c r="BT849" s="65"/>
      <c r="BU849" s="65"/>
      <c r="BV849" s="65"/>
      <c r="BW849" s="65"/>
    </row>
    <row r="850" spans="45:75" x14ac:dyDescent="0.25">
      <c r="AS850" s="53"/>
      <c r="AV850" s="53"/>
      <c r="AW850" s="379"/>
      <c r="AX850" s="65"/>
      <c r="AY850" s="65"/>
      <c r="AZ850" s="65"/>
      <c r="BA850" s="60"/>
      <c r="BB850" s="65"/>
      <c r="BC850" s="65"/>
      <c r="BD850" s="65"/>
      <c r="BE850" s="60"/>
      <c r="BG850" s="65"/>
      <c r="BH850" s="65"/>
      <c r="BI850" s="65"/>
      <c r="BJ850" s="65"/>
      <c r="BK850" s="65"/>
      <c r="BL850" s="65"/>
      <c r="BM850" s="65"/>
      <c r="BN850" s="65"/>
      <c r="BO850" s="65"/>
      <c r="BP850" s="65"/>
      <c r="BQ850" s="65"/>
      <c r="BR850" s="65"/>
      <c r="BS850" s="65"/>
      <c r="BT850" s="65"/>
      <c r="BU850" s="65"/>
      <c r="BV850" s="65"/>
      <c r="BW850" s="65"/>
    </row>
    <row r="851" spans="45:75" x14ac:dyDescent="0.25">
      <c r="AS851" s="53"/>
      <c r="AV851" s="53"/>
      <c r="AW851" s="379"/>
      <c r="AX851" s="65"/>
      <c r="AY851" s="65"/>
      <c r="AZ851" s="65"/>
      <c r="BA851" s="60"/>
      <c r="BB851" s="65"/>
      <c r="BC851" s="65"/>
      <c r="BD851" s="65"/>
      <c r="BE851" s="60"/>
      <c r="BG851" s="65"/>
      <c r="BH851" s="65"/>
      <c r="BI851" s="65"/>
      <c r="BJ851" s="65"/>
      <c r="BK851" s="65"/>
      <c r="BL851" s="65"/>
      <c r="BM851" s="65"/>
      <c r="BN851" s="65"/>
      <c r="BO851" s="65"/>
      <c r="BP851" s="65"/>
      <c r="BQ851" s="65"/>
      <c r="BR851" s="65"/>
      <c r="BS851" s="65"/>
      <c r="BT851" s="65"/>
      <c r="BU851" s="65"/>
      <c r="BV851" s="65"/>
      <c r="BW851" s="65"/>
    </row>
    <row r="852" spans="45:75" x14ac:dyDescent="0.25">
      <c r="AS852" s="53"/>
      <c r="AV852" s="53"/>
      <c r="AW852" s="379"/>
      <c r="AX852" s="65"/>
      <c r="AY852" s="65"/>
      <c r="AZ852" s="65"/>
      <c r="BA852" s="60"/>
      <c r="BB852" s="65"/>
      <c r="BC852" s="65"/>
      <c r="BD852" s="65"/>
      <c r="BE852" s="60"/>
      <c r="BG852" s="65"/>
      <c r="BH852" s="65"/>
      <c r="BI852" s="65"/>
      <c r="BJ852" s="65"/>
      <c r="BK852" s="65"/>
      <c r="BL852" s="65"/>
      <c r="BM852" s="65"/>
      <c r="BN852" s="65"/>
      <c r="BO852" s="65"/>
      <c r="BP852" s="65"/>
      <c r="BQ852" s="65"/>
      <c r="BR852" s="65"/>
      <c r="BS852" s="65"/>
      <c r="BT852" s="65"/>
      <c r="BU852" s="65"/>
      <c r="BV852" s="65"/>
      <c r="BW852" s="65"/>
    </row>
    <row r="853" spans="45:75" x14ac:dyDescent="0.25">
      <c r="AS853" s="53"/>
      <c r="AV853" s="53"/>
      <c r="AW853" s="379"/>
      <c r="AX853" s="65"/>
      <c r="AY853" s="65"/>
      <c r="AZ853" s="65"/>
      <c r="BA853" s="60"/>
      <c r="BB853" s="65"/>
      <c r="BC853" s="65"/>
      <c r="BD853" s="65"/>
      <c r="BE853" s="60"/>
      <c r="BG853" s="65"/>
      <c r="BH853" s="65"/>
      <c r="BI853" s="65"/>
      <c r="BJ853" s="65"/>
      <c r="BK853" s="65"/>
      <c r="BL853" s="65"/>
      <c r="BM853" s="65"/>
      <c r="BN853" s="65"/>
      <c r="BO853" s="65"/>
      <c r="BP853" s="65"/>
      <c r="BQ853" s="65"/>
      <c r="BR853" s="65"/>
      <c r="BS853" s="65"/>
      <c r="BT853" s="65"/>
      <c r="BU853" s="65"/>
      <c r="BV853" s="65"/>
      <c r="BW853" s="65"/>
    </row>
    <row r="854" spans="45:75" x14ac:dyDescent="0.25">
      <c r="AS854" s="53"/>
      <c r="AV854" s="53"/>
      <c r="AW854" s="379"/>
      <c r="AX854" s="65"/>
      <c r="AY854" s="65"/>
      <c r="AZ854" s="65"/>
      <c r="BA854" s="60"/>
      <c r="BB854" s="65"/>
      <c r="BC854" s="65"/>
      <c r="BD854" s="65"/>
      <c r="BE854" s="60"/>
      <c r="BG854" s="65"/>
      <c r="BH854" s="65"/>
      <c r="BI854" s="65"/>
      <c r="BJ854" s="65"/>
      <c r="BK854" s="65"/>
      <c r="BL854" s="65"/>
      <c r="BM854" s="65"/>
      <c r="BN854" s="65"/>
      <c r="BO854" s="65"/>
      <c r="BP854" s="65"/>
      <c r="BQ854" s="65"/>
      <c r="BR854" s="65"/>
      <c r="BS854" s="65"/>
      <c r="BT854" s="65"/>
      <c r="BU854" s="65"/>
      <c r="BV854" s="65"/>
      <c r="BW854" s="65"/>
    </row>
    <row r="855" spans="45:75" x14ac:dyDescent="0.25">
      <c r="AS855" s="53"/>
      <c r="AV855" s="53"/>
      <c r="AW855" s="379"/>
      <c r="AX855" s="65"/>
      <c r="AY855" s="65"/>
      <c r="AZ855" s="65"/>
      <c r="BA855" s="60"/>
      <c r="BB855" s="65"/>
      <c r="BC855" s="65"/>
      <c r="BD855" s="65"/>
      <c r="BE855" s="60"/>
      <c r="BG855" s="65"/>
      <c r="BH855" s="65"/>
      <c r="BI855" s="65"/>
      <c r="BJ855" s="65"/>
      <c r="BK855" s="65"/>
      <c r="BL855" s="65"/>
      <c r="BM855" s="65"/>
      <c r="BN855" s="65"/>
      <c r="BO855" s="65"/>
      <c r="BP855" s="65"/>
      <c r="BQ855" s="65"/>
      <c r="BR855" s="65"/>
      <c r="BS855" s="65"/>
      <c r="BT855" s="65"/>
      <c r="BU855" s="65"/>
      <c r="BV855" s="65"/>
      <c r="BW855" s="65"/>
    </row>
    <row r="856" spans="45:75" x14ac:dyDescent="0.25">
      <c r="AS856" s="53"/>
      <c r="AV856" s="53"/>
      <c r="AW856" s="379"/>
      <c r="AX856" s="65"/>
      <c r="AY856" s="65"/>
      <c r="AZ856" s="65"/>
      <c r="BA856" s="60"/>
      <c r="BB856" s="65"/>
      <c r="BC856" s="65"/>
      <c r="BD856" s="65"/>
      <c r="BE856" s="60"/>
      <c r="BG856" s="65"/>
      <c r="BH856" s="65"/>
      <c r="BI856" s="65"/>
      <c r="BJ856" s="65"/>
      <c r="BK856" s="65"/>
      <c r="BL856" s="65"/>
      <c r="BM856" s="65"/>
      <c r="BN856" s="65"/>
      <c r="BO856" s="65"/>
      <c r="BP856" s="65"/>
      <c r="BQ856" s="65"/>
      <c r="BR856" s="65"/>
      <c r="BS856" s="65"/>
      <c r="BT856" s="65"/>
      <c r="BU856" s="65"/>
      <c r="BV856" s="65"/>
      <c r="BW856" s="65"/>
    </row>
    <row r="857" spans="45:75" x14ac:dyDescent="0.25">
      <c r="AS857" s="53"/>
      <c r="AV857" s="53"/>
      <c r="AW857" s="379"/>
      <c r="AX857" s="65"/>
      <c r="AY857" s="65"/>
      <c r="AZ857" s="65"/>
      <c r="BA857" s="60"/>
      <c r="BB857" s="65"/>
      <c r="BC857" s="65"/>
      <c r="BD857" s="65"/>
      <c r="BE857" s="60"/>
      <c r="BG857" s="65"/>
      <c r="BH857" s="65"/>
      <c r="BI857" s="65"/>
      <c r="BJ857" s="65"/>
      <c r="BK857" s="65"/>
      <c r="BL857" s="65"/>
      <c r="BM857" s="65"/>
      <c r="BN857" s="65"/>
      <c r="BO857" s="65"/>
      <c r="BP857" s="65"/>
      <c r="BQ857" s="65"/>
      <c r="BR857" s="65"/>
      <c r="BS857" s="65"/>
      <c r="BT857" s="65"/>
      <c r="BU857" s="65"/>
      <c r="BV857" s="65"/>
      <c r="BW857" s="65"/>
    </row>
    <row r="858" spans="45:75" x14ac:dyDescent="0.25">
      <c r="AW858" s="379"/>
      <c r="AX858" s="65"/>
      <c r="AY858" s="65"/>
      <c r="AZ858" s="65"/>
      <c r="BA858" s="60"/>
      <c r="BB858" s="65"/>
      <c r="BC858" s="65"/>
      <c r="BD858" s="65"/>
      <c r="BE858" s="60"/>
      <c r="BG858" s="55"/>
      <c r="BH858" s="55"/>
      <c r="BI858" s="54"/>
      <c r="BM858" s="55"/>
      <c r="BN858" s="55"/>
      <c r="BO858" s="65"/>
      <c r="BP858" s="55"/>
      <c r="BQ858" s="55"/>
      <c r="BR858" s="54"/>
      <c r="BV858" s="55"/>
      <c r="BW858" s="55"/>
    </row>
    <row r="859" spans="45:75" x14ac:dyDescent="0.25">
      <c r="AS859" s="53"/>
      <c r="AU859" s="54"/>
      <c r="AV859" s="56"/>
      <c r="AW859" s="379"/>
      <c r="AX859" s="65"/>
      <c r="AY859" s="65"/>
      <c r="AZ859" s="65"/>
      <c r="BA859" s="60"/>
      <c r="BB859" s="65"/>
      <c r="BC859" s="65"/>
      <c r="BD859" s="65"/>
      <c r="BE859" s="60"/>
      <c r="BG859" s="67"/>
      <c r="BH859" s="65"/>
      <c r="BI859" s="65"/>
      <c r="BJ859" s="65"/>
      <c r="BK859" s="67"/>
      <c r="BL859" s="68"/>
      <c r="BM859" s="65"/>
      <c r="BN859" s="67"/>
      <c r="BO859" s="65"/>
      <c r="BP859" s="67"/>
      <c r="BQ859" s="65"/>
      <c r="BR859" s="65"/>
      <c r="BS859" s="65"/>
      <c r="BT859" s="67"/>
      <c r="BU859" s="68"/>
      <c r="BV859" s="65"/>
      <c r="BW859" s="67"/>
    </row>
    <row r="860" spans="45:75" x14ac:dyDescent="0.25">
      <c r="AS860" s="53"/>
      <c r="AV860" s="56"/>
      <c r="AW860" s="379"/>
      <c r="AX860" s="65"/>
      <c r="AY860" s="65"/>
      <c r="AZ860" s="65"/>
      <c r="BA860" s="60"/>
      <c r="BB860" s="65"/>
      <c r="BC860" s="65"/>
      <c r="BD860" s="65"/>
      <c r="BE860" s="60"/>
      <c r="BG860" s="65"/>
      <c r="BH860" s="65"/>
      <c r="BI860" s="65"/>
      <c r="BJ860" s="65"/>
      <c r="BK860" s="65"/>
      <c r="BL860" s="68"/>
      <c r="BM860" s="65"/>
      <c r="BN860" s="65"/>
      <c r="BO860" s="65"/>
      <c r="BP860" s="65"/>
      <c r="BQ860" s="65"/>
      <c r="BR860" s="65"/>
      <c r="BS860" s="65"/>
      <c r="BT860" s="65"/>
      <c r="BU860" s="68"/>
      <c r="BV860" s="65"/>
      <c r="BW860" s="65"/>
    </row>
    <row r="861" spans="45:75" x14ac:dyDescent="0.25">
      <c r="AS861" s="53"/>
      <c r="AV861" s="56"/>
      <c r="AW861" s="379"/>
      <c r="AX861" s="65"/>
      <c r="AY861" s="65"/>
      <c r="AZ861" s="65"/>
      <c r="BA861" s="60"/>
      <c r="BB861" s="65"/>
      <c r="BC861" s="65"/>
      <c r="BD861" s="65"/>
      <c r="BE861" s="60"/>
      <c r="BG861" s="65"/>
      <c r="BH861" s="65"/>
      <c r="BI861" s="65"/>
      <c r="BJ861" s="65"/>
      <c r="BK861" s="65"/>
      <c r="BL861" s="68"/>
      <c r="BM861" s="65"/>
      <c r="BN861" s="65"/>
      <c r="BO861" s="65"/>
      <c r="BP861" s="65"/>
      <c r="BQ861" s="65"/>
      <c r="BR861" s="65"/>
      <c r="BS861" s="65"/>
      <c r="BT861" s="65"/>
      <c r="BU861" s="68"/>
      <c r="BV861" s="65"/>
      <c r="BW861" s="65"/>
    </row>
    <row r="862" spans="45:75" x14ac:dyDescent="0.25">
      <c r="AS862" s="53"/>
      <c r="AV862" s="56"/>
      <c r="AW862" s="379"/>
      <c r="AX862" s="65"/>
      <c r="AY862" s="65"/>
      <c r="AZ862" s="65"/>
      <c r="BA862" s="60"/>
      <c r="BB862" s="65"/>
      <c r="BC862" s="65"/>
      <c r="BD862" s="65"/>
      <c r="BE862" s="60"/>
      <c r="BG862" s="65"/>
      <c r="BH862" s="65"/>
      <c r="BI862" s="65"/>
      <c r="BJ862" s="65"/>
      <c r="BK862" s="65"/>
      <c r="BL862" s="68"/>
      <c r="BM862" s="65"/>
      <c r="BN862" s="65"/>
      <c r="BO862" s="65"/>
      <c r="BP862" s="65"/>
      <c r="BQ862" s="65"/>
      <c r="BR862" s="65"/>
      <c r="BS862" s="65"/>
      <c r="BT862" s="65"/>
      <c r="BU862" s="68"/>
      <c r="BV862" s="65"/>
      <c r="BW862" s="65"/>
    </row>
    <row r="863" spans="45:75" x14ac:dyDescent="0.25">
      <c r="AX863" s="65"/>
      <c r="AY863" s="65"/>
      <c r="AZ863" s="65"/>
      <c r="BA863" s="60"/>
      <c r="BB863" s="65"/>
      <c r="BC863" s="65"/>
      <c r="BD863" s="65"/>
      <c r="BE863" s="60"/>
      <c r="BG863" s="65"/>
      <c r="BH863" s="65"/>
      <c r="BI863" s="65"/>
      <c r="BJ863" s="65"/>
      <c r="BK863" s="65"/>
      <c r="BL863" s="65"/>
      <c r="BM863" s="65"/>
      <c r="BN863" s="65"/>
      <c r="BO863" s="65"/>
      <c r="BP863" s="65"/>
      <c r="BQ863" s="65"/>
      <c r="BR863" s="65"/>
      <c r="BS863" s="65"/>
      <c r="BT863" s="65"/>
      <c r="BU863" s="65"/>
      <c r="BV863" s="65"/>
    </row>
    <row r="864" spans="45:75" x14ac:dyDescent="0.25">
      <c r="AU864" s="54"/>
    </row>
    <row r="865" spans="45:74" x14ac:dyDescent="0.25">
      <c r="AU865" s="54"/>
      <c r="AZ865" s="65"/>
      <c r="BA865" s="60"/>
      <c r="BB865" s="65"/>
      <c r="BC865" s="65"/>
      <c r="BD865" s="65"/>
      <c r="BE865" s="60"/>
      <c r="BG865" s="65"/>
      <c r="BH865" s="65"/>
      <c r="BI865" s="65"/>
      <c r="BJ865" s="65"/>
      <c r="BK865" s="65"/>
      <c r="BL865" s="65"/>
      <c r="BM865" s="65"/>
      <c r="BN865" s="65"/>
      <c r="BO865" s="65"/>
      <c r="BP865" s="65"/>
      <c r="BQ865" s="65"/>
      <c r="BR865" s="65"/>
      <c r="BS865" s="65"/>
      <c r="BT865" s="65"/>
      <c r="BU865" s="65"/>
      <c r="BV865" s="65"/>
    </row>
    <row r="866" spans="45:74" x14ac:dyDescent="0.25">
      <c r="AS866" s="54"/>
      <c r="AZ866" s="65"/>
      <c r="BB866" s="65"/>
    </row>
    <row r="867" spans="45:74" x14ac:dyDescent="0.25">
      <c r="AY867" s="53"/>
      <c r="AZ867" s="65"/>
      <c r="BB867" s="65"/>
      <c r="BO867" s="65"/>
      <c r="BP867" s="65"/>
      <c r="BQ867" s="65"/>
      <c r="BR867" s="65"/>
      <c r="BS867" s="65"/>
      <c r="BT867" s="65"/>
      <c r="BU867" s="65"/>
      <c r="BV867" s="65"/>
    </row>
    <row r="868" spans="45:74" x14ac:dyDescent="0.25">
      <c r="AY868" s="65"/>
      <c r="AZ868" s="65"/>
      <c r="BB868" s="65"/>
      <c r="BO868" s="65"/>
      <c r="BP868" s="65"/>
      <c r="BQ868" s="65"/>
      <c r="BR868" s="65"/>
      <c r="BS868" s="65"/>
      <c r="BT868" s="65"/>
      <c r="BU868" s="65"/>
      <c r="BV868" s="65"/>
    </row>
    <row r="869" spans="45:74" x14ac:dyDescent="0.25">
      <c r="AY869" s="54"/>
      <c r="AZ869" s="65"/>
      <c r="BB869" s="65"/>
      <c r="BO869" s="65"/>
      <c r="BP869" s="65"/>
      <c r="BQ869" s="65"/>
      <c r="BR869" s="65"/>
      <c r="BS869" s="65"/>
      <c r="BT869" s="65"/>
      <c r="BU869" s="65"/>
      <c r="BV869" s="65"/>
    </row>
    <row r="870" spans="45:74" x14ac:dyDescent="0.25">
      <c r="AY870" s="54"/>
      <c r="AZ870" s="65"/>
      <c r="BB870" s="65"/>
      <c r="BO870" s="65"/>
      <c r="BP870" s="65"/>
      <c r="BQ870" s="65"/>
      <c r="BR870" s="65"/>
      <c r="BS870" s="65"/>
      <c r="BT870" s="65"/>
      <c r="BU870" s="65"/>
      <c r="BV870" s="65"/>
    </row>
    <row r="871" spans="45:74" x14ac:dyDescent="0.25">
      <c r="AS871" s="53"/>
      <c r="AZ871" s="65"/>
      <c r="BB871" s="65"/>
      <c r="BD871" s="54"/>
      <c r="BO871" s="65"/>
      <c r="BP871" s="65"/>
      <c r="BQ871" s="65"/>
      <c r="BR871" s="65"/>
      <c r="BS871" s="65"/>
      <c r="BT871" s="65"/>
      <c r="BU871" s="65"/>
      <c r="BV871" s="65"/>
    </row>
    <row r="872" spans="45:74" x14ac:dyDescent="0.25">
      <c r="AS872" s="53"/>
      <c r="AZ872" s="65"/>
      <c r="BB872" s="65"/>
      <c r="BD872" s="54"/>
      <c r="BO872" s="65"/>
      <c r="BP872" s="65"/>
      <c r="BQ872" s="65"/>
      <c r="BR872" s="65"/>
      <c r="BS872" s="65"/>
      <c r="BT872" s="65"/>
      <c r="BU872" s="65"/>
      <c r="BV872" s="65"/>
    </row>
    <row r="873" spans="45:74" x14ac:dyDescent="0.25">
      <c r="AS873" s="54"/>
      <c r="AZ873" s="65"/>
      <c r="BB873" s="65"/>
      <c r="BD873" s="54"/>
      <c r="BO873" s="65"/>
      <c r="BP873" s="65"/>
      <c r="BQ873" s="65"/>
      <c r="BR873" s="65"/>
      <c r="BS873" s="65"/>
      <c r="BT873" s="65"/>
      <c r="BU873" s="65"/>
      <c r="BV873" s="65"/>
    </row>
    <row r="874" spans="45:74" x14ac:dyDescent="0.25">
      <c r="AZ874" s="65"/>
      <c r="BB874" s="65"/>
      <c r="BD874" s="53"/>
      <c r="BO874" s="65"/>
      <c r="BP874" s="65"/>
      <c r="BQ874" s="65"/>
      <c r="BR874" s="65"/>
      <c r="BS874" s="65"/>
      <c r="BT874" s="65"/>
      <c r="BU874" s="65"/>
      <c r="BV874" s="65"/>
    </row>
    <row r="875" spans="45:74" x14ac:dyDescent="0.25">
      <c r="AS875" s="55"/>
      <c r="AT875" s="55"/>
      <c r="AU875" s="55"/>
      <c r="AV875" s="55"/>
      <c r="AW875" s="55"/>
      <c r="AX875" s="55"/>
      <c r="AY875" s="55"/>
      <c r="AZ875" s="66"/>
      <c r="BA875" s="55"/>
      <c r="BB875" s="66"/>
      <c r="BC875" s="55"/>
      <c r="BD875" s="55"/>
      <c r="BE875" s="55"/>
      <c r="BO875" s="65"/>
      <c r="BP875" s="65"/>
      <c r="BQ875" s="65"/>
      <c r="BR875" s="65"/>
      <c r="BS875" s="65"/>
      <c r="BT875" s="65"/>
      <c r="BU875" s="65"/>
      <c r="BV875" s="65"/>
    </row>
    <row r="876" spans="45:74" x14ac:dyDescent="0.25">
      <c r="AX876" s="54"/>
      <c r="AZ876" s="65"/>
      <c r="BB876" s="65"/>
      <c r="BO876" s="65"/>
      <c r="BP876" s="65"/>
      <c r="BQ876" s="65"/>
      <c r="BR876" s="65"/>
      <c r="BS876" s="65"/>
      <c r="BT876" s="65"/>
      <c r="BU876" s="65"/>
      <c r="BV876" s="65"/>
    </row>
    <row r="877" spans="45:74" x14ac:dyDescent="0.25">
      <c r="AX877" s="55"/>
      <c r="AY877" s="55"/>
      <c r="AZ877" s="66"/>
      <c r="BA877" s="55"/>
      <c r="BB877" s="65"/>
      <c r="BC877" s="56"/>
      <c r="BD877" s="56"/>
      <c r="BO877" s="65"/>
      <c r="BP877" s="65"/>
      <c r="BQ877" s="65"/>
      <c r="BR877" s="65"/>
      <c r="BS877" s="65"/>
      <c r="BT877" s="65"/>
      <c r="BU877" s="65"/>
      <c r="BV877" s="65"/>
    </row>
    <row r="878" spans="45:74" x14ac:dyDescent="0.25">
      <c r="AV878" s="56"/>
      <c r="AW878" s="56"/>
      <c r="AZ878" s="67"/>
      <c r="BA878" s="56"/>
      <c r="BB878" s="65"/>
      <c r="BC878" s="56"/>
      <c r="BD878" s="56"/>
      <c r="BE878" s="56"/>
      <c r="BG878" s="55"/>
      <c r="BH878" s="54"/>
      <c r="BK878" s="55"/>
      <c r="BM878" s="55"/>
      <c r="BN878" s="54"/>
      <c r="BQ878" s="55"/>
    </row>
    <row r="879" spans="45:74" x14ac:dyDescent="0.25">
      <c r="AV879" s="56"/>
      <c r="AW879" s="56"/>
      <c r="AX879" s="56"/>
      <c r="AY879" s="56"/>
      <c r="AZ879" s="67"/>
      <c r="BA879" s="56"/>
      <c r="BB879" s="67"/>
      <c r="BC879" s="56"/>
      <c r="BD879" s="56"/>
      <c r="BE879" s="56"/>
      <c r="BH879" s="56"/>
      <c r="BI879" s="56"/>
      <c r="BN879" s="56"/>
      <c r="BO879" s="56"/>
    </row>
    <row r="880" spans="45:74" x14ac:dyDescent="0.25">
      <c r="AS880" s="56"/>
      <c r="AU880" s="54"/>
      <c r="AV880" s="56"/>
      <c r="AW880" s="56"/>
      <c r="AX880" s="56"/>
      <c r="AY880" s="56"/>
      <c r="AZ880" s="67"/>
      <c r="BA880" s="56"/>
      <c r="BB880" s="67"/>
      <c r="BC880" s="56"/>
      <c r="BD880" s="56"/>
      <c r="BE880" s="56"/>
      <c r="BG880" s="56"/>
      <c r="BH880" s="56"/>
      <c r="BI880" s="56"/>
      <c r="BJ880" s="56"/>
      <c r="BK880" s="56"/>
      <c r="BM880" s="56"/>
      <c r="BN880" s="56"/>
      <c r="BO880" s="56"/>
      <c r="BP880" s="56"/>
      <c r="BQ880" s="56"/>
    </row>
    <row r="881" spans="45:71" x14ac:dyDescent="0.25">
      <c r="AS881" s="56"/>
      <c r="AU881" s="54"/>
      <c r="AV881" s="56"/>
      <c r="AW881" s="56"/>
      <c r="AX881" s="56"/>
      <c r="AY881" s="56"/>
      <c r="AZ881" s="67"/>
      <c r="BA881" s="56"/>
      <c r="BB881" s="67"/>
      <c r="BC881" s="56"/>
      <c r="BD881" s="56"/>
      <c r="BE881" s="56"/>
      <c r="BG881" s="56"/>
      <c r="BH881" s="56"/>
      <c r="BI881" s="56"/>
      <c r="BJ881" s="56"/>
      <c r="BK881" s="56"/>
      <c r="BM881" s="56"/>
      <c r="BN881" s="56"/>
      <c r="BO881" s="56"/>
      <c r="BP881" s="56"/>
      <c r="BQ881" s="56"/>
    </row>
    <row r="882" spans="45:71" x14ac:dyDescent="0.25">
      <c r="AS882" s="55"/>
      <c r="AT882" s="55"/>
      <c r="AU882" s="55"/>
      <c r="AV882" s="55"/>
      <c r="AW882" s="55"/>
      <c r="AX882" s="55"/>
      <c r="AY882" s="55"/>
      <c r="AZ882" s="66"/>
      <c r="BA882" s="55"/>
      <c r="BB882" s="66"/>
      <c r="BC882" s="55"/>
      <c r="BD882" s="55"/>
      <c r="BE882" s="55"/>
      <c r="BG882" s="55"/>
      <c r="BH882" s="55"/>
      <c r="BI882" s="55"/>
      <c r="BJ882" s="55"/>
      <c r="BK882" s="55"/>
      <c r="BM882" s="55"/>
      <c r="BN882" s="55"/>
      <c r="BO882" s="55"/>
      <c r="BP882" s="55"/>
      <c r="BQ882" s="55"/>
    </row>
    <row r="883" spans="45:71" x14ac:dyDescent="0.25">
      <c r="AV883" s="56"/>
      <c r="AW883" s="56"/>
      <c r="AX883" s="56"/>
      <c r="AY883" s="56"/>
      <c r="AZ883" s="67"/>
      <c r="BA883" s="56"/>
      <c r="BB883" s="67"/>
      <c r="BC883" s="56"/>
      <c r="BD883" s="56"/>
      <c r="BE883" s="56"/>
      <c r="BG883" s="65"/>
      <c r="BH883" s="65"/>
      <c r="BI883" s="65"/>
      <c r="BJ883" s="65"/>
      <c r="BK883" s="65"/>
      <c r="BL883" s="65"/>
      <c r="BM883" s="65"/>
      <c r="BN883" s="65"/>
      <c r="BO883" s="65"/>
      <c r="BP883" s="65"/>
      <c r="BQ883" s="65"/>
    </row>
    <row r="884" spans="45:71" x14ac:dyDescent="0.25">
      <c r="AS884" s="53"/>
      <c r="AT884" s="54"/>
      <c r="AV884" s="379"/>
      <c r="AW884" s="379"/>
      <c r="AX884" s="65"/>
      <c r="AY884" s="65"/>
      <c r="AZ884" s="65"/>
      <c r="BA884" s="60"/>
      <c r="BB884" s="65"/>
      <c r="BC884" s="65"/>
      <c r="BD884" s="65"/>
      <c r="BE884" s="60"/>
      <c r="BG884" s="65"/>
      <c r="BH884" s="65"/>
      <c r="BI884" s="65"/>
      <c r="BJ884" s="65"/>
      <c r="BK884" s="65"/>
      <c r="BL884" s="65"/>
      <c r="BM884" s="65"/>
      <c r="BN884" s="65"/>
      <c r="BO884" s="65"/>
      <c r="BP884" s="65"/>
      <c r="BQ884" s="65"/>
      <c r="BR884" s="65"/>
      <c r="BS884" s="65"/>
    </row>
    <row r="885" spans="45:71" x14ac:dyDescent="0.25">
      <c r="AS885" s="53"/>
      <c r="AV885" s="379"/>
      <c r="AW885" s="379"/>
      <c r="AX885" s="65"/>
      <c r="AY885" s="65"/>
      <c r="AZ885" s="65"/>
      <c r="BA885" s="60"/>
      <c r="BB885" s="65"/>
      <c r="BC885" s="65"/>
      <c r="BD885" s="65"/>
      <c r="BE885" s="60"/>
      <c r="BG885" s="65"/>
      <c r="BH885" s="65"/>
      <c r="BI885" s="65"/>
      <c r="BJ885" s="65"/>
      <c r="BK885" s="65"/>
      <c r="BL885" s="65"/>
      <c r="BM885" s="65"/>
      <c r="BN885" s="65"/>
      <c r="BO885" s="65"/>
      <c r="BP885" s="65"/>
      <c r="BQ885" s="65"/>
      <c r="BR885" s="65"/>
      <c r="BS885" s="65"/>
    </row>
    <row r="886" spans="45:71" x14ac:dyDescent="0.25">
      <c r="AS886" s="53"/>
      <c r="AV886" s="379"/>
      <c r="AW886" s="379"/>
      <c r="AX886" s="65"/>
      <c r="AY886" s="65"/>
      <c r="AZ886" s="65"/>
      <c r="BA886" s="60"/>
      <c r="BB886" s="65"/>
      <c r="BC886" s="65"/>
      <c r="BD886" s="65"/>
      <c r="BE886" s="60"/>
      <c r="BG886" s="65"/>
      <c r="BH886" s="65"/>
      <c r="BI886" s="65"/>
      <c r="BJ886" s="65"/>
      <c r="BK886" s="65"/>
      <c r="BL886" s="65"/>
      <c r="BM886" s="65"/>
      <c r="BN886" s="65"/>
      <c r="BO886" s="65"/>
      <c r="BP886" s="65"/>
      <c r="BQ886" s="65"/>
      <c r="BR886" s="65"/>
      <c r="BS886" s="65"/>
    </row>
    <row r="887" spans="45:71" x14ac:dyDescent="0.25">
      <c r="AS887" s="53"/>
      <c r="AV887" s="379"/>
      <c r="AW887" s="379"/>
      <c r="AX887" s="65"/>
      <c r="AY887" s="65"/>
      <c r="AZ887" s="65"/>
      <c r="BA887" s="60"/>
      <c r="BB887" s="65"/>
      <c r="BC887" s="65"/>
      <c r="BD887" s="65"/>
      <c r="BE887" s="60"/>
      <c r="BG887" s="65"/>
      <c r="BH887" s="65"/>
      <c r="BI887" s="65"/>
      <c r="BJ887" s="65"/>
      <c r="BK887" s="65"/>
      <c r="BL887" s="65"/>
      <c r="BM887" s="65"/>
      <c r="BN887" s="65"/>
      <c r="BO887" s="65"/>
      <c r="BP887" s="65"/>
      <c r="BQ887" s="65"/>
      <c r="BR887" s="65"/>
      <c r="BS887" s="65"/>
    </row>
    <row r="888" spans="45:71" x14ac:dyDescent="0.25">
      <c r="AS888" s="53"/>
      <c r="AV888" s="379"/>
      <c r="AW888" s="379"/>
      <c r="AX888" s="65"/>
      <c r="AY888" s="65"/>
      <c r="AZ888" s="65"/>
      <c r="BA888" s="60"/>
      <c r="BB888" s="65"/>
      <c r="BC888" s="65"/>
      <c r="BD888" s="65"/>
      <c r="BE888" s="60"/>
      <c r="BG888" s="65"/>
      <c r="BH888" s="65"/>
      <c r="BI888" s="65"/>
      <c r="BJ888" s="65"/>
      <c r="BK888" s="65"/>
      <c r="BL888" s="65"/>
      <c r="BM888" s="65"/>
      <c r="BN888" s="65"/>
      <c r="BO888" s="65"/>
      <c r="BP888" s="65"/>
      <c r="BQ888" s="65"/>
      <c r="BR888" s="65"/>
      <c r="BS888" s="65"/>
    </row>
    <row r="889" spans="45:71" x14ac:dyDescent="0.25">
      <c r="AS889" s="53"/>
      <c r="AV889" s="379"/>
      <c r="AW889" s="379"/>
      <c r="AX889" s="65"/>
      <c r="AY889" s="65"/>
      <c r="AZ889" s="65"/>
      <c r="BA889" s="60"/>
      <c r="BB889" s="65"/>
      <c r="BC889" s="65"/>
      <c r="BD889" s="65"/>
      <c r="BE889" s="60"/>
      <c r="BG889" s="65"/>
      <c r="BH889" s="65"/>
      <c r="BI889" s="65"/>
      <c r="BJ889" s="65"/>
      <c r="BK889" s="65"/>
      <c r="BL889" s="65"/>
      <c r="BM889" s="65"/>
      <c r="BN889" s="65"/>
      <c r="BO889" s="65"/>
      <c r="BP889" s="65"/>
      <c r="BQ889" s="65"/>
      <c r="BR889" s="65"/>
      <c r="BS889" s="65"/>
    </row>
    <row r="890" spans="45:71" x14ac:dyDescent="0.25">
      <c r="AS890" s="53"/>
      <c r="AV890" s="379"/>
      <c r="AW890" s="379"/>
      <c r="AX890" s="65"/>
      <c r="AY890" s="65"/>
      <c r="AZ890" s="65"/>
      <c r="BA890" s="60"/>
      <c r="BB890" s="65"/>
      <c r="BC890" s="65"/>
      <c r="BD890" s="65"/>
      <c r="BE890" s="60"/>
      <c r="BG890" s="65"/>
      <c r="BH890" s="65"/>
      <c r="BI890" s="65"/>
      <c r="BJ890" s="65"/>
      <c r="BK890" s="65"/>
      <c r="BL890" s="65"/>
      <c r="BM890" s="65"/>
      <c r="BN890" s="65"/>
      <c r="BO890" s="65"/>
      <c r="BP890" s="65"/>
      <c r="BQ890" s="65"/>
      <c r="BR890" s="65"/>
      <c r="BS890" s="65"/>
    </row>
    <row r="891" spans="45:71" x14ac:dyDescent="0.25">
      <c r="AS891" s="53"/>
      <c r="AV891" s="379"/>
      <c r="AW891" s="379"/>
      <c r="AX891" s="65"/>
      <c r="AY891" s="65"/>
      <c r="AZ891" s="65"/>
      <c r="BA891" s="60"/>
      <c r="BB891" s="65"/>
      <c r="BC891" s="65"/>
      <c r="BD891" s="65"/>
      <c r="BE891" s="60"/>
      <c r="BG891" s="65"/>
      <c r="BH891" s="65"/>
      <c r="BI891" s="65"/>
      <c r="BJ891" s="65"/>
      <c r="BK891" s="65"/>
      <c r="BL891" s="65"/>
      <c r="BM891" s="65"/>
      <c r="BN891" s="65"/>
      <c r="BO891" s="65"/>
      <c r="BP891" s="65"/>
      <c r="BQ891" s="65"/>
      <c r="BR891" s="65"/>
      <c r="BS891" s="65"/>
    </row>
    <row r="892" spans="45:71" x14ac:dyDescent="0.25">
      <c r="AS892" s="53"/>
      <c r="AV892" s="379"/>
      <c r="AW892" s="379"/>
      <c r="AX892" s="65"/>
      <c r="AY892" s="65"/>
      <c r="AZ892" s="65"/>
      <c r="BA892" s="60"/>
      <c r="BB892" s="65"/>
      <c r="BC892" s="65"/>
      <c r="BD892" s="65"/>
      <c r="BE892" s="60"/>
      <c r="BG892" s="65"/>
      <c r="BH892" s="65"/>
      <c r="BI892" s="65"/>
      <c r="BJ892" s="65"/>
      <c r="BK892" s="65"/>
      <c r="BL892" s="65"/>
      <c r="BM892" s="65"/>
      <c r="BN892" s="65"/>
      <c r="BO892" s="65"/>
      <c r="BP892" s="65"/>
      <c r="BQ892" s="65"/>
      <c r="BR892" s="65"/>
      <c r="BS892" s="65"/>
    </row>
    <row r="893" spans="45:71" x14ac:dyDescent="0.25">
      <c r="AS893" s="53"/>
      <c r="AV893" s="379"/>
      <c r="AW893" s="379"/>
      <c r="AX893" s="65"/>
      <c r="AY893" s="65"/>
      <c r="AZ893" s="65"/>
      <c r="BA893" s="60"/>
      <c r="BB893" s="65"/>
      <c r="BC893" s="65"/>
      <c r="BD893" s="65"/>
      <c r="BE893" s="60"/>
      <c r="BG893" s="65"/>
      <c r="BH893" s="65"/>
      <c r="BI893" s="65"/>
      <c r="BJ893" s="65"/>
      <c r="BK893" s="65"/>
      <c r="BL893" s="65"/>
      <c r="BM893" s="65"/>
      <c r="BN893" s="65"/>
      <c r="BO893" s="65"/>
      <c r="BP893" s="65"/>
      <c r="BQ893" s="65"/>
      <c r="BR893" s="65"/>
      <c r="BS893" s="65"/>
    </row>
    <row r="894" spans="45:71" x14ac:dyDescent="0.25">
      <c r="AS894" s="53"/>
      <c r="AV894" s="379"/>
      <c r="AW894" s="379"/>
      <c r="AX894" s="65"/>
      <c r="AY894" s="65"/>
      <c r="AZ894" s="65"/>
      <c r="BA894" s="60"/>
      <c r="BB894" s="65"/>
      <c r="BC894" s="65"/>
      <c r="BD894" s="65"/>
      <c r="BE894" s="60"/>
      <c r="BG894" s="65"/>
      <c r="BH894" s="65"/>
      <c r="BI894" s="65"/>
      <c r="BJ894" s="65"/>
      <c r="BK894" s="65"/>
      <c r="BL894" s="65"/>
      <c r="BM894" s="65"/>
      <c r="BN894" s="65"/>
      <c r="BO894" s="65"/>
      <c r="BP894" s="65"/>
      <c r="BQ894" s="65"/>
      <c r="BR894" s="65"/>
      <c r="BS894" s="65"/>
    </row>
    <row r="895" spans="45:71" x14ac:dyDescent="0.25">
      <c r="AS895" s="53"/>
      <c r="AV895" s="379"/>
      <c r="AW895" s="379"/>
      <c r="AX895" s="65"/>
      <c r="AY895" s="65"/>
      <c r="AZ895" s="65"/>
      <c r="BA895" s="60"/>
      <c r="BB895" s="65"/>
      <c r="BC895" s="65"/>
      <c r="BD895" s="65"/>
      <c r="BE895" s="60"/>
      <c r="BG895" s="65"/>
      <c r="BH895" s="65"/>
      <c r="BI895" s="65"/>
      <c r="BJ895" s="65"/>
      <c r="BK895" s="65"/>
      <c r="BL895" s="65"/>
      <c r="BM895" s="65"/>
      <c r="BN895" s="65"/>
      <c r="BO895" s="65"/>
      <c r="BP895" s="65"/>
      <c r="BQ895" s="65"/>
      <c r="BR895" s="65"/>
      <c r="BS895" s="65"/>
    </row>
    <row r="896" spans="45:71" x14ac:dyDescent="0.25">
      <c r="AS896" s="53"/>
      <c r="AV896" s="379"/>
      <c r="AW896" s="379"/>
      <c r="AX896" s="65"/>
      <c r="AY896" s="65"/>
      <c r="AZ896" s="65"/>
      <c r="BA896" s="60"/>
      <c r="BB896" s="65"/>
      <c r="BC896" s="65"/>
      <c r="BD896" s="65"/>
      <c r="BE896" s="60"/>
      <c r="BG896" s="65"/>
      <c r="BH896" s="65"/>
      <c r="BI896" s="65"/>
      <c r="BJ896" s="65"/>
      <c r="BK896" s="65"/>
      <c r="BL896" s="65"/>
      <c r="BM896" s="65"/>
      <c r="BN896" s="65"/>
      <c r="BO896" s="65"/>
      <c r="BP896" s="65"/>
      <c r="BQ896" s="65"/>
      <c r="BR896" s="65"/>
      <c r="BS896" s="65"/>
    </row>
    <row r="897" spans="45:71" x14ac:dyDescent="0.25">
      <c r="AS897" s="53"/>
      <c r="AV897" s="379"/>
      <c r="AW897" s="379"/>
      <c r="AX897" s="65"/>
      <c r="AY897" s="65"/>
      <c r="AZ897" s="65"/>
      <c r="BA897" s="60"/>
      <c r="BB897" s="65"/>
      <c r="BC897" s="65"/>
      <c r="BD897" s="65"/>
      <c r="BE897" s="60"/>
      <c r="BG897" s="65"/>
      <c r="BH897" s="65"/>
      <c r="BI897" s="65"/>
      <c r="BJ897" s="65"/>
      <c r="BK897" s="65"/>
      <c r="BL897" s="65"/>
      <c r="BM897" s="65"/>
      <c r="BN897" s="65"/>
      <c r="BO897" s="65"/>
      <c r="BP897" s="65"/>
      <c r="BQ897" s="65"/>
      <c r="BR897" s="65"/>
      <c r="BS897" s="65"/>
    </row>
    <row r="898" spans="45:71" x14ac:dyDescent="0.25">
      <c r="AS898" s="53"/>
      <c r="AV898" s="379"/>
      <c r="AW898" s="379"/>
      <c r="AX898" s="65"/>
      <c r="AY898" s="65"/>
      <c r="AZ898" s="65"/>
      <c r="BA898" s="60"/>
      <c r="BB898" s="65"/>
      <c r="BC898" s="65"/>
      <c r="BD898" s="65"/>
      <c r="BE898" s="60"/>
      <c r="BG898" s="65"/>
      <c r="BH898" s="65"/>
      <c r="BI898" s="65"/>
      <c r="BJ898" s="65"/>
      <c r="BK898" s="65"/>
      <c r="BL898" s="65"/>
      <c r="BM898" s="65"/>
      <c r="BN898" s="65"/>
      <c r="BO898" s="65"/>
      <c r="BP898" s="65"/>
      <c r="BQ898" s="65"/>
      <c r="BR898" s="65"/>
      <c r="BS898" s="65"/>
    </row>
    <row r="899" spans="45:71" x14ac:dyDescent="0.25">
      <c r="AS899" s="53"/>
      <c r="AV899" s="379"/>
      <c r="AW899" s="379"/>
      <c r="AX899" s="65"/>
      <c r="AY899" s="65"/>
      <c r="AZ899" s="65"/>
      <c r="BA899" s="60"/>
      <c r="BB899" s="65"/>
      <c r="BC899" s="65"/>
      <c r="BD899" s="65"/>
      <c r="BE899" s="60"/>
      <c r="BG899" s="65"/>
      <c r="BH899" s="65"/>
      <c r="BI899" s="65"/>
      <c r="BJ899" s="65"/>
      <c r="BK899" s="65"/>
      <c r="BL899" s="65"/>
      <c r="BM899" s="65"/>
      <c r="BN899" s="65"/>
      <c r="BO899" s="65"/>
      <c r="BP899" s="65"/>
      <c r="BQ899" s="65"/>
      <c r="BR899" s="65"/>
      <c r="BS899" s="65"/>
    </row>
    <row r="900" spans="45:71" x14ac:dyDescent="0.25">
      <c r="AS900" s="53"/>
      <c r="AV900" s="379"/>
      <c r="AW900" s="379"/>
      <c r="AX900" s="65"/>
      <c r="AY900" s="65"/>
      <c r="AZ900" s="65"/>
      <c r="BA900" s="60"/>
      <c r="BB900" s="65"/>
      <c r="BC900" s="65"/>
      <c r="BD900" s="65"/>
      <c r="BE900" s="60"/>
      <c r="BG900" s="65"/>
      <c r="BH900" s="65"/>
      <c r="BI900" s="65"/>
      <c r="BJ900" s="65"/>
      <c r="BK900" s="65"/>
      <c r="BL900" s="65"/>
      <c r="BM900" s="65"/>
      <c r="BN900" s="65"/>
      <c r="BO900" s="65"/>
      <c r="BP900" s="65"/>
      <c r="BQ900" s="65"/>
      <c r="BR900" s="65"/>
      <c r="BS900" s="65"/>
    </row>
    <row r="901" spans="45:71" x14ac:dyDescent="0.25">
      <c r="AS901" s="53"/>
      <c r="AV901" s="379"/>
      <c r="AW901" s="379"/>
      <c r="AX901" s="65"/>
      <c r="AY901" s="65"/>
      <c r="AZ901" s="65"/>
      <c r="BA901" s="60"/>
      <c r="BB901" s="65"/>
      <c r="BC901" s="65"/>
      <c r="BD901" s="65"/>
      <c r="BE901" s="60"/>
      <c r="BG901" s="65"/>
      <c r="BH901" s="65"/>
      <c r="BI901" s="65"/>
      <c r="BJ901" s="65"/>
      <c r="BK901" s="65"/>
      <c r="BL901" s="65"/>
      <c r="BM901" s="65"/>
      <c r="BN901" s="65"/>
      <c r="BO901" s="65"/>
      <c r="BP901" s="65"/>
      <c r="BQ901" s="65"/>
      <c r="BR901" s="65"/>
      <c r="BS901" s="65"/>
    </row>
    <row r="902" spans="45:71" x14ac:dyDescent="0.25">
      <c r="AZ902" s="65"/>
      <c r="BB902" s="65"/>
      <c r="BC902" s="65"/>
      <c r="BD902" s="65"/>
      <c r="BG902" s="65"/>
      <c r="BH902" s="65"/>
      <c r="BI902" s="65"/>
      <c r="BJ902" s="65"/>
      <c r="BK902" s="65"/>
      <c r="BL902" s="65"/>
      <c r="BM902" s="65"/>
      <c r="BN902" s="65"/>
      <c r="BO902" s="65"/>
      <c r="BP902" s="65"/>
      <c r="BQ902" s="65"/>
      <c r="BR902" s="65"/>
      <c r="BS902" s="65"/>
    </row>
    <row r="903" spans="45:71" x14ac:dyDescent="0.25">
      <c r="AS903" s="53"/>
      <c r="AT903" s="54"/>
      <c r="AV903" s="379"/>
      <c r="AW903" s="379"/>
      <c r="AX903" s="65"/>
      <c r="AY903" s="65"/>
      <c r="AZ903" s="65"/>
      <c r="BA903" s="60"/>
      <c r="BB903" s="65"/>
      <c r="BC903" s="65"/>
      <c r="BD903" s="65"/>
      <c r="BE903" s="60"/>
    </row>
    <row r="904" spans="45:71" x14ac:dyDescent="0.25">
      <c r="AS904" s="53"/>
      <c r="AV904" s="379"/>
      <c r="AW904" s="379"/>
      <c r="AX904" s="65"/>
      <c r="AY904" s="65"/>
      <c r="AZ904" s="65"/>
      <c r="BA904" s="60"/>
      <c r="BB904" s="65"/>
      <c r="BC904" s="65"/>
      <c r="BD904" s="65"/>
      <c r="BE904" s="60"/>
    </row>
    <row r="905" spans="45:71" x14ac:dyDescent="0.25">
      <c r="AS905" s="53"/>
      <c r="AV905" s="379"/>
      <c r="AW905" s="379"/>
      <c r="AX905" s="65"/>
      <c r="AY905" s="65"/>
      <c r="AZ905" s="65"/>
      <c r="BA905" s="60"/>
      <c r="BB905" s="65"/>
      <c r="BC905" s="65"/>
      <c r="BD905" s="65"/>
      <c r="BE905" s="60"/>
    </row>
    <row r="906" spans="45:71" x14ac:dyDescent="0.25">
      <c r="AS906" s="53"/>
      <c r="AV906" s="379"/>
      <c r="AW906" s="379"/>
      <c r="AX906" s="65"/>
      <c r="AY906" s="65"/>
      <c r="AZ906" s="65"/>
      <c r="BA906" s="60"/>
      <c r="BB906" s="65"/>
      <c r="BC906" s="65"/>
      <c r="BD906" s="65"/>
      <c r="BE906" s="60"/>
    </row>
    <row r="907" spans="45:71" x14ac:dyDescent="0.25">
      <c r="AS907" s="53"/>
      <c r="AV907" s="379"/>
      <c r="AW907" s="379"/>
      <c r="AX907" s="65"/>
      <c r="AY907" s="65"/>
      <c r="AZ907" s="65"/>
      <c r="BA907" s="60"/>
      <c r="BB907" s="65"/>
      <c r="BC907" s="65"/>
      <c r="BD907" s="65"/>
      <c r="BE907" s="60"/>
    </row>
    <row r="908" spans="45:71" x14ac:dyDescent="0.25">
      <c r="AS908" s="53"/>
      <c r="AV908" s="379"/>
      <c r="AW908" s="379"/>
      <c r="AX908" s="65"/>
      <c r="AY908" s="65"/>
      <c r="AZ908" s="65"/>
      <c r="BA908" s="60"/>
      <c r="BB908" s="65"/>
      <c r="BC908" s="65"/>
      <c r="BD908" s="65"/>
      <c r="BE908" s="60"/>
    </row>
    <row r="909" spans="45:71" x14ac:dyDescent="0.25">
      <c r="AS909" s="53"/>
      <c r="AV909" s="379"/>
      <c r="AW909" s="379"/>
      <c r="AX909" s="65"/>
      <c r="AY909" s="65"/>
      <c r="AZ909" s="65"/>
      <c r="BA909" s="60"/>
      <c r="BB909" s="65"/>
      <c r="BC909" s="65"/>
      <c r="BD909" s="65"/>
      <c r="BE909" s="60"/>
    </row>
    <row r="910" spans="45:71" x14ac:dyDescent="0.25">
      <c r="AS910" s="53"/>
      <c r="AV910" s="379"/>
      <c r="AW910" s="379"/>
      <c r="AX910" s="65"/>
      <c r="AY910" s="65"/>
      <c r="AZ910" s="65"/>
      <c r="BA910" s="60"/>
      <c r="BB910" s="65"/>
      <c r="BC910" s="65"/>
      <c r="BD910" s="65"/>
      <c r="BE910" s="60"/>
    </row>
    <row r="911" spans="45:71" x14ac:dyDescent="0.25">
      <c r="AS911" s="53"/>
      <c r="AV911" s="379"/>
      <c r="AW911" s="379"/>
      <c r="AX911" s="65"/>
      <c r="AY911" s="65"/>
      <c r="AZ911" s="65"/>
      <c r="BA911" s="60"/>
      <c r="BB911" s="65"/>
      <c r="BC911" s="65"/>
      <c r="BD911" s="65"/>
      <c r="BE911" s="60"/>
    </row>
    <row r="912" spans="45:71" x14ac:dyDescent="0.25">
      <c r="AS912" s="53"/>
      <c r="AV912" s="379"/>
      <c r="AW912" s="379"/>
      <c r="AX912" s="65"/>
      <c r="AY912" s="65"/>
      <c r="AZ912" s="65"/>
      <c r="BA912" s="60"/>
      <c r="BB912" s="65"/>
      <c r="BC912" s="65"/>
      <c r="BD912" s="65"/>
      <c r="BE912" s="60"/>
    </row>
    <row r="913" spans="45:57" x14ac:dyDescent="0.25">
      <c r="AS913" s="53"/>
      <c r="AV913" s="379"/>
      <c r="AW913" s="379"/>
      <c r="AX913" s="65"/>
      <c r="AY913" s="65"/>
      <c r="AZ913" s="65"/>
      <c r="BA913" s="60"/>
      <c r="BB913" s="65"/>
      <c r="BC913" s="65"/>
      <c r="BD913" s="65"/>
      <c r="BE913" s="60"/>
    </row>
    <row r="914" spans="45:57" x14ac:dyDescent="0.25">
      <c r="AS914" s="53"/>
      <c r="AV914" s="379"/>
      <c r="AW914" s="379"/>
      <c r="AX914" s="65"/>
      <c r="AY914" s="65"/>
      <c r="AZ914" s="65"/>
      <c r="BA914" s="60"/>
      <c r="BB914" s="65"/>
      <c r="BC914" s="65"/>
      <c r="BD914" s="65"/>
      <c r="BE914" s="60"/>
    </row>
    <row r="915" spans="45:57" x14ac:dyDescent="0.25">
      <c r="AS915" s="53"/>
      <c r="AV915" s="379"/>
      <c r="AW915" s="379"/>
      <c r="AX915" s="65"/>
      <c r="AY915" s="65"/>
      <c r="AZ915" s="65"/>
      <c r="BA915" s="60"/>
      <c r="BB915" s="65"/>
      <c r="BC915" s="65"/>
      <c r="BD915" s="65"/>
      <c r="BE915" s="60"/>
    </row>
    <row r="916" spans="45:57" x14ac:dyDescent="0.25">
      <c r="AS916" s="53"/>
      <c r="AV916" s="379"/>
      <c r="AW916" s="379"/>
      <c r="AX916" s="65"/>
      <c r="AY916" s="65"/>
      <c r="AZ916" s="65"/>
      <c r="BA916" s="60"/>
      <c r="BB916" s="65"/>
      <c r="BC916" s="65"/>
      <c r="BD916" s="65"/>
      <c r="BE916" s="60"/>
    </row>
    <row r="917" spans="45:57" x14ac:dyDescent="0.25">
      <c r="AS917" s="53"/>
      <c r="AV917" s="379"/>
      <c r="AW917" s="379"/>
      <c r="AX917" s="65"/>
      <c r="AY917" s="65"/>
      <c r="AZ917" s="65"/>
      <c r="BA917" s="60"/>
      <c r="BB917" s="65"/>
      <c r="BC917" s="65"/>
      <c r="BD917" s="65"/>
      <c r="BE917" s="60"/>
    </row>
    <row r="918" spans="45:57" x14ac:dyDescent="0.25">
      <c r="AS918" s="53"/>
      <c r="AV918" s="379"/>
      <c r="AW918" s="379"/>
      <c r="AX918" s="65"/>
      <c r="AY918" s="65"/>
      <c r="AZ918" s="65"/>
      <c r="BA918" s="60"/>
      <c r="BB918" s="65"/>
      <c r="BC918" s="65"/>
      <c r="BD918" s="65"/>
      <c r="BE918" s="60"/>
    </row>
    <row r="919" spans="45:57" x14ac:dyDescent="0.25">
      <c r="AS919" s="53"/>
      <c r="AV919" s="379"/>
      <c r="AW919" s="379"/>
      <c r="AX919" s="65"/>
      <c r="AY919" s="65"/>
      <c r="AZ919" s="65"/>
      <c r="BA919" s="60"/>
      <c r="BB919" s="65"/>
      <c r="BC919" s="65"/>
      <c r="BD919" s="65"/>
      <c r="BE919" s="60"/>
    </row>
    <row r="920" spans="45:57" x14ac:dyDescent="0.25">
      <c r="AS920" s="53"/>
      <c r="AV920" s="379"/>
      <c r="AW920" s="379"/>
      <c r="AX920" s="65"/>
      <c r="AY920" s="65"/>
      <c r="AZ920" s="65"/>
      <c r="BA920" s="60"/>
      <c r="BB920" s="65"/>
      <c r="BC920" s="65"/>
      <c r="BD920" s="65"/>
      <c r="BE920" s="60"/>
    </row>
    <row r="921" spans="45:57" x14ac:dyDescent="0.25">
      <c r="BB921" s="65"/>
    </row>
    <row r="922" spans="45:57" x14ac:dyDescent="0.25">
      <c r="AU922" s="54"/>
      <c r="BB922" s="65"/>
    </row>
    <row r="923" spans="45:57" x14ac:dyDescent="0.25">
      <c r="AU923" s="54"/>
    </row>
    <row r="924" spans="45:57" x14ac:dyDescent="0.25">
      <c r="AU924" s="54"/>
      <c r="BB924" s="65"/>
    </row>
    <row r="925" spans="45:57" x14ac:dyDescent="0.25">
      <c r="AS925" s="54"/>
      <c r="AZ925" s="65"/>
      <c r="BB925" s="65"/>
    </row>
    <row r="926" spans="45:57" x14ac:dyDescent="0.25">
      <c r="AY926" s="53"/>
      <c r="AZ926" s="65"/>
      <c r="BB926" s="65"/>
    </row>
    <row r="927" spans="45:57" x14ac:dyDescent="0.25">
      <c r="AY927" s="65"/>
      <c r="AZ927" s="65"/>
      <c r="BB927" s="65"/>
    </row>
    <row r="928" spans="45:57" x14ac:dyDescent="0.25">
      <c r="AY928" s="54"/>
      <c r="AZ928" s="65"/>
      <c r="BB928" s="65"/>
    </row>
    <row r="929" spans="45:57" x14ac:dyDescent="0.25">
      <c r="AY929" s="54"/>
      <c r="AZ929" s="65"/>
      <c r="BB929" s="65"/>
    </row>
    <row r="930" spans="45:57" x14ac:dyDescent="0.25">
      <c r="AS930" s="53"/>
      <c r="AZ930" s="65"/>
      <c r="BB930" s="65"/>
      <c r="BD930" s="54"/>
    </row>
    <row r="931" spans="45:57" x14ac:dyDescent="0.25">
      <c r="AS931" s="53"/>
      <c r="AZ931" s="65"/>
      <c r="BB931" s="65"/>
      <c r="BD931" s="54"/>
    </row>
    <row r="932" spans="45:57" x14ac:dyDescent="0.25">
      <c r="AS932" s="54"/>
      <c r="AZ932" s="65"/>
      <c r="BB932" s="65"/>
      <c r="BD932" s="54"/>
    </row>
    <row r="933" spans="45:57" x14ac:dyDescent="0.25">
      <c r="AZ933" s="65"/>
      <c r="BB933" s="65"/>
      <c r="BD933" s="53"/>
    </row>
    <row r="934" spans="45:57" x14ac:dyDescent="0.25">
      <c r="AS934" s="55"/>
      <c r="AT934" s="55"/>
      <c r="AU934" s="55"/>
      <c r="AV934" s="55"/>
      <c r="AW934" s="55"/>
      <c r="AX934" s="55"/>
      <c r="AY934" s="55"/>
      <c r="AZ934" s="66"/>
      <c r="BA934" s="55"/>
      <c r="BB934" s="66"/>
      <c r="BC934" s="55"/>
      <c r="BD934" s="55"/>
      <c r="BE934" s="55"/>
    </row>
    <row r="935" spans="45:57" x14ac:dyDescent="0.25">
      <c r="AX935" s="54"/>
      <c r="AZ935" s="65"/>
      <c r="BB935" s="65"/>
    </row>
    <row r="936" spans="45:57" x14ac:dyDescent="0.25">
      <c r="AX936" s="55"/>
      <c r="AY936" s="55"/>
      <c r="AZ936" s="66"/>
      <c r="BA936" s="55"/>
      <c r="BB936" s="65"/>
      <c r="BC936" s="56"/>
      <c r="BD936" s="56"/>
    </row>
    <row r="937" spans="45:57" x14ac:dyDescent="0.25">
      <c r="AV937" s="56"/>
      <c r="AW937" s="56"/>
      <c r="AZ937" s="67"/>
      <c r="BA937" s="56"/>
      <c r="BB937" s="65"/>
      <c r="BC937" s="56"/>
      <c r="BD937" s="56"/>
      <c r="BE937" s="56"/>
    </row>
    <row r="938" spans="45:57" x14ac:dyDescent="0.25">
      <c r="AV938" s="56"/>
      <c r="AW938" s="56"/>
      <c r="AX938" s="56"/>
      <c r="AY938" s="56"/>
      <c r="AZ938" s="67"/>
      <c r="BA938" s="56"/>
      <c r="BB938" s="67"/>
      <c r="BC938" s="56"/>
      <c r="BD938" s="56"/>
      <c r="BE938" s="56"/>
    </row>
    <row r="939" spans="45:57" x14ac:dyDescent="0.25">
      <c r="AS939" s="56"/>
      <c r="AU939" s="54"/>
      <c r="AV939" s="56"/>
      <c r="AW939" s="56"/>
      <c r="AX939" s="56"/>
      <c r="AY939" s="56"/>
      <c r="AZ939" s="67"/>
      <c r="BA939" s="56"/>
      <c r="BB939" s="67"/>
      <c r="BC939" s="56"/>
      <c r="BD939" s="56"/>
      <c r="BE939" s="56"/>
    </row>
    <row r="940" spans="45:57" x14ac:dyDescent="0.25">
      <c r="AS940" s="56"/>
      <c r="AU940" s="54"/>
      <c r="AV940" s="56"/>
      <c r="AW940" s="56"/>
      <c r="AX940" s="56"/>
      <c r="AY940" s="56"/>
      <c r="AZ940" s="67"/>
      <c r="BA940" s="56"/>
      <c r="BB940" s="67"/>
      <c r="BC940" s="56"/>
      <c r="BD940" s="56"/>
      <c r="BE940" s="56"/>
    </row>
    <row r="941" spans="45:57" x14ac:dyDescent="0.25">
      <c r="AS941" s="55"/>
      <c r="AT941" s="55"/>
      <c r="AU941" s="55"/>
      <c r="AV941" s="55"/>
      <c r="AW941" s="55"/>
      <c r="AX941" s="55"/>
      <c r="AY941" s="55"/>
      <c r="AZ941" s="66"/>
      <c r="BA941" s="55"/>
      <c r="BB941" s="66"/>
      <c r="BC941" s="55"/>
      <c r="BD941" s="55"/>
      <c r="BE941" s="55"/>
    </row>
    <row r="942" spans="45:57" x14ac:dyDescent="0.25">
      <c r="AV942" s="56"/>
      <c r="AW942" s="56"/>
      <c r="AX942" s="56"/>
      <c r="AY942" s="56"/>
      <c r="AZ942" s="67"/>
      <c r="BA942" s="56"/>
      <c r="BB942" s="67"/>
      <c r="BC942" s="56"/>
      <c r="BD942" s="56"/>
      <c r="BE942" s="56"/>
    </row>
    <row r="943" spans="45:57" x14ac:dyDescent="0.25">
      <c r="AS943" s="53"/>
      <c r="AT943" s="54"/>
      <c r="AV943" s="379"/>
      <c r="AW943" s="379"/>
      <c r="AX943" s="65"/>
      <c r="AY943" s="65"/>
      <c r="AZ943" s="65"/>
      <c r="BA943" s="60"/>
      <c r="BB943" s="65"/>
      <c r="BC943" s="65"/>
      <c r="BD943" s="65"/>
      <c r="BE943" s="60"/>
    </row>
    <row r="944" spans="45:57" x14ac:dyDescent="0.25">
      <c r="AS944" s="53"/>
      <c r="AV944" s="379"/>
      <c r="AW944" s="379"/>
      <c r="AX944" s="65"/>
      <c r="AY944" s="65"/>
      <c r="AZ944" s="65"/>
      <c r="BA944" s="60"/>
      <c r="BB944" s="65"/>
      <c r="BC944" s="65"/>
      <c r="BD944" s="65"/>
      <c r="BE944" s="60"/>
    </row>
    <row r="945" spans="45:57" x14ac:dyDescent="0.25">
      <c r="AS945" s="53"/>
      <c r="AV945" s="379"/>
      <c r="AW945" s="379"/>
      <c r="AX945" s="65"/>
      <c r="AY945" s="65"/>
      <c r="AZ945" s="65"/>
      <c r="BA945" s="60"/>
      <c r="BB945" s="65"/>
      <c r="BC945" s="65"/>
      <c r="BD945" s="65"/>
      <c r="BE945" s="60"/>
    </row>
    <row r="946" spans="45:57" x14ac:dyDescent="0.25">
      <c r="AS946" s="53"/>
      <c r="AV946" s="379"/>
      <c r="AW946" s="379"/>
      <c r="AX946" s="65"/>
      <c r="AY946" s="65"/>
      <c r="AZ946" s="65"/>
      <c r="BA946" s="60"/>
      <c r="BB946" s="65"/>
      <c r="BC946" s="65"/>
      <c r="BD946" s="65"/>
      <c r="BE946" s="60"/>
    </row>
    <row r="947" spans="45:57" x14ac:dyDescent="0.25">
      <c r="AS947" s="53"/>
      <c r="AV947" s="379"/>
      <c r="AW947" s="379"/>
      <c r="AX947" s="65"/>
      <c r="AY947" s="65"/>
      <c r="AZ947" s="65"/>
      <c r="BA947" s="60"/>
      <c r="BB947" s="65"/>
      <c r="BC947" s="65"/>
      <c r="BD947" s="65"/>
      <c r="BE947" s="60"/>
    </row>
    <row r="948" spans="45:57" x14ac:dyDescent="0.25">
      <c r="AS948" s="53"/>
      <c r="AV948" s="379"/>
      <c r="AW948" s="379"/>
      <c r="AX948" s="65"/>
      <c r="AY948" s="65"/>
      <c r="AZ948" s="65"/>
      <c r="BA948" s="60"/>
      <c r="BB948" s="65"/>
      <c r="BC948" s="65"/>
      <c r="BD948" s="65"/>
      <c r="BE948" s="60"/>
    </row>
    <row r="949" spans="45:57" x14ac:dyDescent="0.25">
      <c r="AS949" s="53"/>
      <c r="AV949" s="379"/>
      <c r="AW949" s="379"/>
      <c r="AX949" s="65"/>
      <c r="AY949" s="65"/>
      <c r="AZ949" s="65"/>
      <c r="BA949" s="60"/>
      <c r="BB949" s="65"/>
      <c r="BC949" s="65"/>
      <c r="BD949" s="65"/>
      <c r="BE949" s="60"/>
    </row>
    <row r="950" spans="45:57" x14ac:dyDescent="0.25">
      <c r="AS950" s="53"/>
      <c r="AV950" s="379"/>
      <c r="AW950" s="379"/>
      <c r="AX950" s="65"/>
      <c r="AY950" s="65"/>
      <c r="AZ950" s="65"/>
      <c r="BA950" s="60"/>
      <c r="BB950" s="65"/>
      <c r="BC950" s="65"/>
      <c r="BD950" s="65"/>
      <c r="BE950" s="60"/>
    </row>
    <row r="951" spans="45:57" x14ac:dyDescent="0.25">
      <c r="AS951" s="53"/>
      <c r="AV951" s="379"/>
      <c r="AW951" s="379"/>
      <c r="AX951" s="65"/>
      <c r="AY951" s="65"/>
      <c r="AZ951" s="65"/>
      <c r="BA951" s="60"/>
      <c r="BB951" s="65"/>
      <c r="BC951" s="65"/>
      <c r="BD951" s="65"/>
      <c r="BE951" s="60"/>
    </row>
    <row r="952" spans="45:57" x14ac:dyDescent="0.25">
      <c r="AS952" s="53"/>
      <c r="AV952" s="379"/>
      <c r="AW952" s="379"/>
      <c r="AX952" s="65"/>
      <c r="AY952" s="65"/>
      <c r="AZ952" s="65"/>
      <c r="BA952" s="60"/>
      <c r="BB952" s="65"/>
      <c r="BC952" s="65"/>
      <c r="BD952" s="65"/>
      <c r="BE952" s="60"/>
    </row>
    <row r="953" spans="45:57" x14ac:dyDescent="0.25">
      <c r="AV953" s="379"/>
      <c r="AW953" s="379"/>
      <c r="BB953" s="65"/>
    </row>
    <row r="954" spans="45:57" x14ac:dyDescent="0.25">
      <c r="AS954" s="53"/>
      <c r="AT954" s="54"/>
      <c r="AV954" s="379"/>
      <c r="AW954" s="379"/>
      <c r="AX954" s="65"/>
      <c r="AY954" s="65"/>
      <c r="AZ954" s="65"/>
      <c r="BA954" s="60"/>
      <c r="BB954" s="65"/>
      <c r="BC954" s="65"/>
      <c r="BD954" s="65"/>
      <c r="BE954" s="60"/>
    </row>
    <row r="955" spans="45:57" x14ac:dyDescent="0.25">
      <c r="AS955" s="53"/>
      <c r="AV955" s="379"/>
      <c r="AW955" s="379"/>
      <c r="AX955" s="65"/>
      <c r="AY955" s="65"/>
      <c r="AZ955" s="65"/>
      <c r="BA955" s="60"/>
      <c r="BB955" s="65"/>
      <c r="BC955" s="65"/>
      <c r="BD955" s="65"/>
      <c r="BE955" s="60"/>
    </row>
    <row r="956" spans="45:57" x14ac:dyDescent="0.25">
      <c r="AS956" s="53"/>
      <c r="AV956" s="379"/>
      <c r="AW956" s="379"/>
      <c r="AX956" s="65"/>
      <c r="AY956" s="65"/>
      <c r="AZ956" s="65"/>
      <c r="BA956" s="60"/>
      <c r="BB956" s="65"/>
      <c r="BC956" s="65"/>
      <c r="BD956" s="65"/>
      <c r="BE956" s="60"/>
    </row>
    <row r="957" spans="45:57" x14ac:dyDescent="0.25">
      <c r="AS957" s="53"/>
      <c r="AV957" s="379"/>
      <c r="AW957" s="379"/>
      <c r="AX957" s="65"/>
      <c r="AY957" s="65"/>
      <c r="AZ957" s="65"/>
      <c r="BA957" s="60"/>
      <c r="BB957" s="65"/>
      <c r="BC957" s="65"/>
      <c r="BD957" s="65"/>
      <c r="BE957" s="60"/>
    </row>
    <row r="958" spans="45:57" x14ac:dyDescent="0.25">
      <c r="AS958" s="53"/>
      <c r="AV958" s="379"/>
      <c r="AW958" s="379"/>
      <c r="AX958" s="65"/>
      <c r="AY958" s="65"/>
      <c r="AZ958" s="65"/>
      <c r="BA958" s="60"/>
      <c r="BB958" s="65"/>
      <c r="BC958" s="65"/>
      <c r="BD958" s="65"/>
      <c r="BE958" s="60"/>
    </row>
    <row r="959" spans="45:57" x14ac:dyDescent="0.25">
      <c r="AS959" s="53"/>
      <c r="AV959" s="379"/>
      <c r="AW959" s="379"/>
      <c r="AX959" s="65"/>
      <c r="AY959" s="65"/>
      <c r="AZ959" s="65"/>
      <c r="BA959" s="60"/>
      <c r="BB959" s="65"/>
      <c r="BC959" s="65"/>
      <c r="BD959" s="65"/>
      <c r="BE959" s="60"/>
    </row>
    <row r="960" spans="45:57" x14ac:dyDescent="0.25">
      <c r="AS960" s="53"/>
      <c r="AV960" s="379"/>
      <c r="AW960" s="379"/>
      <c r="AX960" s="65"/>
      <c r="AY960" s="65"/>
      <c r="AZ960" s="65"/>
      <c r="BA960" s="60"/>
      <c r="BB960" s="65"/>
      <c r="BC960" s="65"/>
      <c r="BD960" s="65"/>
      <c r="BE960" s="60"/>
    </row>
    <row r="961" spans="45:57" x14ac:dyDescent="0.25">
      <c r="AS961" s="53"/>
      <c r="AV961" s="379"/>
      <c r="AW961" s="379"/>
      <c r="AX961" s="65"/>
      <c r="AY961" s="65"/>
      <c r="AZ961" s="65"/>
      <c r="BA961" s="60"/>
      <c r="BB961" s="65"/>
      <c r="BC961" s="65"/>
      <c r="BD961" s="65"/>
      <c r="BE961" s="60"/>
    </row>
    <row r="962" spans="45:57" x14ac:dyDescent="0.25">
      <c r="AS962" s="53"/>
      <c r="AV962" s="379"/>
      <c r="AW962" s="379"/>
      <c r="AX962" s="65"/>
      <c r="AY962" s="65"/>
      <c r="AZ962" s="65"/>
      <c r="BA962" s="60"/>
      <c r="BB962" s="65"/>
      <c r="BC962" s="65"/>
      <c r="BD962" s="65"/>
      <c r="BE962" s="60"/>
    </row>
    <row r="963" spans="45:57" x14ac:dyDescent="0.25">
      <c r="AS963" s="53"/>
      <c r="AV963" s="379"/>
      <c r="AW963" s="379"/>
      <c r="AX963" s="65"/>
      <c r="AY963" s="65"/>
      <c r="AZ963" s="65"/>
      <c r="BA963" s="60"/>
      <c r="BB963" s="65"/>
      <c r="BC963" s="65"/>
      <c r="BD963" s="65"/>
      <c r="BE963" s="60"/>
    </row>
    <row r="965" spans="45:57" x14ac:dyDescent="0.25">
      <c r="AU965" s="54"/>
    </row>
    <row r="966" spans="45:57" x14ac:dyDescent="0.25">
      <c r="AU966" s="54"/>
    </row>
    <row r="967" spans="45:57" x14ac:dyDescent="0.25">
      <c r="AU967" s="54"/>
    </row>
    <row r="968" spans="45:57" x14ac:dyDescent="0.25">
      <c r="AS968" s="54"/>
    </row>
    <row r="989" spans="52:71" x14ac:dyDescent="0.25">
      <c r="AZ989" s="65"/>
      <c r="BB989" s="65"/>
      <c r="BC989" s="65"/>
      <c r="BD989" s="65"/>
      <c r="BG989" s="65"/>
      <c r="BH989" s="65"/>
      <c r="BI989" s="65"/>
      <c r="BJ989" s="65"/>
      <c r="BK989" s="65"/>
      <c r="BL989" s="65"/>
      <c r="BM989" s="65"/>
      <c r="BN989" s="65"/>
      <c r="BO989" s="65"/>
      <c r="BP989" s="65"/>
      <c r="BQ989" s="65"/>
      <c r="BR989" s="65"/>
      <c r="BS989" s="65"/>
    </row>
    <row r="990" spans="52:71" x14ac:dyDescent="0.25">
      <c r="AZ990" s="65"/>
      <c r="BB990" s="65"/>
      <c r="BC990" s="65"/>
      <c r="BD990" s="65"/>
      <c r="BG990" s="65"/>
      <c r="BH990" s="65"/>
      <c r="BI990" s="65"/>
      <c r="BJ990" s="65"/>
      <c r="BK990" s="65"/>
      <c r="BL990" s="65"/>
      <c r="BM990" s="65"/>
      <c r="BN990" s="65"/>
      <c r="BO990" s="65"/>
      <c r="BP990" s="65"/>
      <c r="BQ990" s="65"/>
      <c r="BR990" s="65"/>
      <c r="BS990" s="65"/>
    </row>
    <row r="991" spans="52:71" x14ac:dyDescent="0.25">
      <c r="AZ991" s="65"/>
      <c r="BB991" s="65"/>
      <c r="BC991" s="65"/>
      <c r="BD991" s="65"/>
      <c r="BG991" s="65"/>
      <c r="BH991" s="65"/>
      <c r="BI991" s="65"/>
      <c r="BJ991" s="65"/>
      <c r="BK991" s="65"/>
      <c r="BL991" s="65"/>
      <c r="BM991" s="65"/>
      <c r="BN991" s="65"/>
      <c r="BO991" s="65"/>
      <c r="BP991" s="65"/>
      <c r="BQ991" s="65"/>
      <c r="BR991" s="65"/>
      <c r="BS991" s="65"/>
    </row>
    <row r="992" spans="52:71" x14ac:dyDescent="0.25">
      <c r="AZ992" s="65"/>
      <c r="BB992" s="65"/>
      <c r="BC992" s="65"/>
      <c r="BD992" s="65"/>
      <c r="BG992" s="65"/>
      <c r="BH992" s="65"/>
      <c r="BI992" s="65"/>
      <c r="BJ992" s="65"/>
      <c r="BK992" s="65"/>
      <c r="BL992" s="65"/>
      <c r="BM992" s="65"/>
      <c r="BN992" s="65"/>
      <c r="BO992" s="65"/>
      <c r="BP992" s="65"/>
      <c r="BQ992" s="65"/>
      <c r="BR992" s="65"/>
      <c r="BS992" s="65"/>
    </row>
    <row r="993" spans="52:71" x14ac:dyDescent="0.25">
      <c r="AZ993" s="65"/>
      <c r="BB993" s="65"/>
      <c r="BC993" s="65"/>
      <c r="BD993" s="65"/>
      <c r="BG993" s="65"/>
      <c r="BH993" s="65"/>
      <c r="BI993" s="65"/>
      <c r="BJ993" s="65"/>
      <c r="BK993" s="65"/>
      <c r="BL993" s="65"/>
      <c r="BM993" s="65"/>
      <c r="BN993" s="65"/>
      <c r="BO993" s="65"/>
      <c r="BP993" s="65"/>
      <c r="BQ993" s="65"/>
      <c r="BR993" s="65"/>
      <c r="BS993" s="65"/>
    </row>
    <row r="994" spans="52:71" x14ac:dyDescent="0.25">
      <c r="AZ994" s="65"/>
      <c r="BB994" s="65"/>
      <c r="BC994" s="65"/>
      <c r="BD994" s="65"/>
      <c r="BG994" s="65"/>
      <c r="BH994" s="65"/>
      <c r="BI994" s="65"/>
      <c r="BJ994" s="65"/>
      <c r="BK994" s="65"/>
      <c r="BL994" s="65"/>
      <c r="BM994" s="65"/>
      <c r="BN994" s="65"/>
      <c r="BO994" s="65"/>
      <c r="BP994" s="65"/>
      <c r="BQ994" s="65"/>
      <c r="BR994" s="65"/>
      <c r="BS994" s="65"/>
    </row>
    <row r="995" spans="52:71" x14ac:dyDescent="0.25">
      <c r="AZ995" s="65"/>
      <c r="BB995" s="65"/>
      <c r="BC995" s="65"/>
      <c r="BD995" s="65"/>
      <c r="BG995" s="65"/>
      <c r="BH995" s="65"/>
      <c r="BI995" s="65"/>
      <c r="BJ995" s="65"/>
      <c r="BK995" s="65"/>
      <c r="BL995" s="65"/>
      <c r="BM995" s="65"/>
      <c r="BN995" s="65"/>
      <c r="BO995" s="65"/>
      <c r="BP995" s="65"/>
      <c r="BQ995" s="65"/>
      <c r="BR995" s="65"/>
      <c r="BS995" s="65"/>
    </row>
    <row r="996" spans="52:71" x14ac:dyDescent="0.25">
      <c r="AZ996" s="65"/>
      <c r="BB996" s="65"/>
      <c r="BC996" s="65"/>
      <c r="BD996" s="65"/>
      <c r="BG996" s="65"/>
      <c r="BH996" s="65"/>
      <c r="BI996" s="65"/>
      <c r="BJ996" s="65"/>
      <c r="BK996" s="65"/>
      <c r="BL996" s="65"/>
      <c r="BM996" s="65"/>
      <c r="BN996" s="65"/>
      <c r="BO996" s="65"/>
      <c r="BP996" s="65"/>
      <c r="BQ996" s="65"/>
      <c r="BR996" s="65"/>
      <c r="BS996" s="65"/>
    </row>
    <row r="997" spans="52:71" x14ac:dyDescent="0.25">
      <c r="AZ997" s="65"/>
      <c r="BB997" s="65"/>
      <c r="BC997" s="65"/>
      <c r="BD997" s="65"/>
      <c r="BG997" s="65"/>
      <c r="BH997" s="65"/>
      <c r="BI997" s="65"/>
      <c r="BJ997" s="65"/>
      <c r="BK997" s="65"/>
      <c r="BL997" s="65"/>
      <c r="BM997" s="65"/>
      <c r="BN997" s="65"/>
      <c r="BO997" s="65"/>
      <c r="BP997" s="65"/>
      <c r="BQ997" s="65"/>
      <c r="BR997" s="65"/>
      <c r="BS997" s="65"/>
    </row>
    <row r="998" spans="52:71" x14ac:dyDescent="0.25">
      <c r="AZ998" s="65"/>
      <c r="BB998" s="65"/>
      <c r="BC998" s="65"/>
      <c r="BD998" s="65"/>
      <c r="BG998" s="65"/>
      <c r="BH998" s="65"/>
      <c r="BI998" s="65"/>
      <c r="BJ998" s="65"/>
      <c r="BK998" s="65"/>
      <c r="BL998" s="65"/>
      <c r="BM998" s="65"/>
      <c r="BN998" s="65"/>
      <c r="BO998" s="65"/>
      <c r="BP998" s="65"/>
      <c r="BQ998" s="65"/>
      <c r="BR998" s="65"/>
      <c r="BS998" s="65"/>
    </row>
    <row r="999" spans="52:71" x14ac:dyDescent="0.25">
      <c r="AZ999" s="65"/>
      <c r="BB999" s="65"/>
      <c r="BC999" s="65"/>
      <c r="BD999" s="65"/>
      <c r="BG999" s="65"/>
      <c r="BH999" s="65"/>
      <c r="BI999" s="65"/>
      <c r="BJ999" s="65"/>
      <c r="BK999" s="65"/>
      <c r="BL999" s="65"/>
      <c r="BM999" s="65"/>
      <c r="BN999" s="65"/>
      <c r="BO999" s="65"/>
      <c r="BP999" s="65"/>
      <c r="BQ999" s="65"/>
      <c r="BR999" s="65"/>
      <c r="BS999" s="65"/>
    </row>
    <row r="1000" spans="52:71" x14ac:dyDescent="0.25">
      <c r="AZ1000" s="65"/>
      <c r="BB1000" s="65"/>
      <c r="BC1000" s="65"/>
      <c r="BD1000" s="65"/>
      <c r="BG1000" s="65"/>
      <c r="BH1000" s="65"/>
      <c r="BI1000" s="65"/>
      <c r="BJ1000" s="65"/>
      <c r="BK1000" s="65"/>
      <c r="BL1000" s="65"/>
      <c r="BM1000" s="65"/>
      <c r="BN1000" s="65"/>
      <c r="BO1000" s="65"/>
      <c r="BP1000" s="65"/>
      <c r="BQ1000" s="65"/>
      <c r="BR1000" s="65"/>
      <c r="BS1000" s="65"/>
    </row>
    <row r="1001" spans="52:71" x14ac:dyDescent="0.25">
      <c r="AZ1001" s="65"/>
      <c r="BG1001" s="65"/>
      <c r="BH1001" s="65"/>
      <c r="BI1001" s="65"/>
      <c r="BJ1001" s="65"/>
      <c r="BK1001" s="65"/>
      <c r="BL1001" s="65"/>
      <c r="BM1001" s="65"/>
      <c r="BN1001" s="65"/>
      <c r="BO1001" s="65"/>
      <c r="BP1001" s="65"/>
      <c r="BQ1001" s="65"/>
      <c r="BR1001" s="65"/>
      <c r="BS1001" s="65"/>
    </row>
    <row r="1002" spans="52:71" x14ac:dyDescent="0.25">
      <c r="AZ1002" s="65"/>
      <c r="BG1002" s="65"/>
      <c r="BH1002" s="65"/>
      <c r="BI1002" s="65"/>
      <c r="BJ1002" s="65"/>
      <c r="BK1002" s="65"/>
      <c r="BL1002" s="65"/>
      <c r="BM1002" s="65"/>
      <c r="BN1002" s="65"/>
      <c r="BO1002" s="65"/>
      <c r="BP1002" s="65"/>
      <c r="BQ1002" s="65"/>
      <c r="BR1002" s="65"/>
      <c r="BS1002" s="65"/>
    </row>
    <row r="1003" spans="52:71" x14ac:dyDescent="0.25">
      <c r="AZ1003" s="65"/>
      <c r="BG1003" s="65"/>
      <c r="BH1003" s="65"/>
      <c r="BI1003" s="65"/>
      <c r="BJ1003" s="65"/>
      <c r="BK1003" s="65"/>
      <c r="BL1003" s="65"/>
      <c r="BM1003" s="65"/>
      <c r="BN1003" s="65"/>
      <c r="BO1003" s="65"/>
      <c r="BP1003" s="65"/>
      <c r="BQ1003" s="65"/>
      <c r="BR1003" s="65"/>
      <c r="BS1003" s="65"/>
    </row>
    <row r="1004" spans="52:71" x14ac:dyDescent="0.25">
      <c r="AZ1004" s="65"/>
      <c r="BG1004" s="65"/>
      <c r="BH1004" s="65"/>
      <c r="BI1004" s="65"/>
      <c r="BJ1004" s="65"/>
      <c r="BK1004" s="65"/>
      <c r="BL1004" s="65"/>
      <c r="BM1004" s="65"/>
      <c r="BN1004" s="65"/>
      <c r="BO1004" s="65"/>
      <c r="BP1004" s="65"/>
      <c r="BQ1004" s="65"/>
      <c r="BR1004" s="65"/>
      <c r="BS1004" s="65"/>
    </row>
    <row r="1005" spans="52:71" x14ac:dyDescent="0.25">
      <c r="AZ1005" s="65"/>
      <c r="BG1005" s="65"/>
      <c r="BH1005" s="65"/>
      <c r="BI1005" s="65"/>
      <c r="BJ1005" s="65"/>
      <c r="BK1005" s="65"/>
      <c r="BL1005" s="65"/>
      <c r="BM1005" s="65"/>
      <c r="BN1005" s="65"/>
      <c r="BO1005" s="65"/>
      <c r="BP1005" s="65"/>
      <c r="BQ1005" s="65"/>
      <c r="BR1005" s="65"/>
      <c r="BS1005" s="65"/>
    </row>
    <row r="1006" spans="52:71" x14ac:dyDescent="0.25">
      <c r="AZ1006" s="65"/>
      <c r="BG1006" s="65"/>
      <c r="BH1006" s="65"/>
      <c r="BI1006" s="65"/>
      <c r="BJ1006" s="65"/>
      <c r="BK1006" s="65"/>
      <c r="BL1006" s="65"/>
      <c r="BM1006" s="65"/>
      <c r="BN1006" s="65"/>
      <c r="BO1006" s="65"/>
      <c r="BP1006" s="65"/>
      <c r="BQ1006" s="65"/>
      <c r="BR1006" s="65"/>
      <c r="BS1006" s="65"/>
    </row>
    <row r="1007" spans="52:71" x14ac:dyDescent="0.25">
      <c r="AZ1007" s="65"/>
      <c r="BG1007" s="65"/>
      <c r="BH1007" s="65"/>
      <c r="BI1007" s="65"/>
      <c r="BJ1007" s="65"/>
      <c r="BK1007" s="65"/>
      <c r="BL1007" s="65"/>
      <c r="BM1007" s="65"/>
      <c r="BN1007" s="65"/>
      <c r="BO1007" s="65"/>
      <c r="BP1007" s="65"/>
      <c r="BQ1007" s="65"/>
      <c r="BR1007" s="65"/>
      <c r="BS1007" s="65"/>
    </row>
    <row r="1008" spans="52:71" x14ac:dyDescent="0.25">
      <c r="AZ1008" s="65"/>
    </row>
    <row r="1009" spans="1:52" x14ac:dyDescent="0.25">
      <c r="AZ1009" s="65"/>
    </row>
    <row r="1023" spans="1:52" x14ac:dyDescent="0.25">
      <c r="A1023" s="54"/>
    </row>
    <row r="1026" spans="1:28" x14ac:dyDescent="0.25">
      <c r="Y1026" s="54"/>
    </row>
    <row r="1027" spans="1:28" x14ac:dyDescent="0.25">
      <c r="A1027" s="54"/>
      <c r="H1027" s="54"/>
      <c r="I1027" s="54"/>
    </row>
    <row r="1028" spans="1:28" x14ac:dyDescent="0.25">
      <c r="A1028" s="54"/>
      <c r="V1028" s="56"/>
      <c r="AA1028" s="56"/>
      <c r="AB1028" s="56"/>
    </row>
    <row r="1029" spans="1:28" x14ac:dyDescent="0.25">
      <c r="A1029" s="54"/>
      <c r="V1029" s="55"/>
      <c r="AA1029" s="55"/>
      <c r="AB1029" s="55"/>
    </row>
    <row r="1030" spans="1:28" x14ac:dyDescent="0.25">
      <c r="A1030" s="54"/>
      <c r="U1030" s="54"/>
      <c r="AA1030" s="56"/>
      <c r="AB1030" s="56"/>
    </row>
    <row r="1031" spans="1:28" x14ac:dyDescent="0.25">
      <c r="A1031" s="54"/>
    </row>
    <row r="1032" spans="1:28" x14ac:dyDescent="0.25">
      <c r="A1032" s="54"/>
      <c r="U1032" s="54"/>
      <c r="AA1032" s="56"/>
      <c r="AB1032" s="56"/>
    </row>
    <row r="1033" spans="1:28" x14ac:dyDescent="0.25">
      <c r="A1033" s="54"/>
    </row>
    <row r="1034" spans="1:28" x14ac:dyDescent="0.25">
      <c r="A1034" s="54"/>
      <c r="U1034" s="54"/>
      <c r="V1034" s="480"/>
      <c r="AA1034" s="56"/>
      <c r="AB1034" s="56"/>
    </row>
    <row r="1035" spans="1:28" x14ac:dyDescent="0.25">
      <c r="A1035" s="54"/>
    </row>
    <row r="1036" spans="1:28" x14ac:dyDescent="0.25">
      <c r="A1036" s="54"/>
      <c r="U1036" s="54"/>
      <c r="AA1036" s="56"/>
      <c r="AB1036" s="56"/>
    </row>
    <row r="1037" spans="1:28" x14ac:dyDescent="0.25">
      <c r="A1037" s="54"/>
    </row>
    <row r="1038" spans="1:28" x14ac:dyDescent="0.25">
      <c r="A1038" s="54"/>
      <c r="U1038" s="54"/>
      <c r="AA1038" s="56"/>
      <c r="AB1038" s="56"/>
    </row>
    <row r="1039" spans="1:28" x14ac:dyDescent="0.25">
      <c r="A1039" s="54"/>
    </row>
    <row r="1040" spans="1:28" x14ac:dyDescent="0.25">
      <c r="A1040" s="54"/>
    </row>
    <row r="1041" spans="1:9" x14ac:dyDescent="0.25">
      <c r="A1041" s="54"/>
    </row>
    <row r="1042" spans="1:9" x14ac:dyDescent="0.25">
      <c r="A1042" s="54"/>
    </row>
    <row r="1043" spans="1:9" x14ac:dyDescent="0.25">
      <c r="A1043" s="54"/>
    </row>
    <row r="1044" spans="1:9" x14ac:dyDescent="0.25">
      <c r="A1044" s="54"/>
    </row>
    <row r="1045" spans="1:9" x14ac:dyDescent="0.25">
      <c r="A1045" s="54"/>
    </row>
    <row r="1046" spans="1:9" x14ac:dyDescent="0.25">
      <c r="A1046" s="54"/>
    </row>
    <row r="1047" spans="1:9" x14ac:dyDescent="0.25">
      <c r="A1047" s="54"/>
    </row>
    <row r="1048" spans="1:9" x14ac:dyDescent="0.25">
      <c r="A1048" s="54"/>
    </row>
    <row r="1049" spans="1:9" x14ac:dyDescent="0.25">
      <c r="A1049" s="54"/>
      <c r="H1049" s="54"/>
      <c r="I1049" s="54"/>
    </row>
    <row r="1052" spans="1:9" x14ac:dyDescent="0.25">
      <c r="A1052" s="54"/>
    </row>
    <row r="1055" spans="1:9" x14ac:dyDescent="0.25">
      <c r="A1055" s="54"/>
    </row>
    <row r="1058" spans="1:1" x14ac:dyDescent="0.25">
      <c r="A1058" s="54"/>
    </row>
    <row r="1059" spans="1:1" x14ac:dyDescent="0.25">
      <c r="A1059" s="54"/>
    </row>
    <row r="1060" spans="1:1" x14ac:dyDescent="0.25">
      <c r="A1060" s="54"/>
    </row>
    <row r="1061" spans="1:1" x14ac:dyDescent="0.25">
      <c r="A1061" s="54"/>
    </row>
    <row r="1062" spans="1:1" x14ac:dyDescent="0.25">
      <c r="A1062" s="54"/>
    </row>
    <row r="1063" spans="1:1" x14ac:dyDescent="0.25">
      <c r="A1063" s="54"/>
    </row>
    <row r="1064" spans="1:1" x14ac:dyDescent="0.25">
      <c r="A1064" s="54"/>
    </row>
    <row r="1065" spans="1:1" x14ac:dyDescent="0.25">
      <c r="A1065" s="54"/>
    </row>
    <row r="1066" spans="1:1" x14ac:dyDescent="0.25">
      <c r="A1066" s="54"/>
    </row>
    <row r="1067" spans="1:1" x14ac:dyDescent="0.25">
      <c r="A1067" s="54"/>
    </row>
    <row r="1068" spans="1:1" x14ac:dyDescent="0.25">
      <c r="A1068" s="54"/>
    </row>
    <row r="1069" spans="1:1" x14ac:dyDescent="0.25">
      <c r="A1069" s="54"/>
    </row>
    <row r="1070" spans="1:1" x14ac:dyDescent="0.25">
      <c r="A1070" s="54"/>
    </row>
    <row r="1071" spans="1:1" x14ac:dyDescent="0.25">
      <c r="A1071" s="54"/>
    </row>
    <row r="1072" spans="1:1" x14ac:dyDescent="0.25">
      <c r="A1072" s="54"/>
    </row>
    <row r="1073" spans="1:1" x14ac:dyDescent="0.25">
      <c r="A1073" s="54"/>
    </row>
    <row r="1074" spans="1:1" x14ac:dyDescent="0.25">
      <c r="A1074" s="54"/>
    </row>
    <row r="1075" spans="1:1" x14ac:dyDescent="0.25">
      <c r="A1075" s="54"/>
    </row>
    <row r="1076" spans="1:1" x14ac:dyDescent="0.25">
      <c r="A1076" s="54"/>
    </row>
    <row r="1077" spans="1:1" x14ac:dyDescent="0.25">
      <c r="A1077" s="54"/>
    </row>
    <row r="1078" spans="1:1" x14ac:dyDescent="0.25">
      <c r="A1078" s="54"/>
    </row>
    <row r="1079" spans="1:1" x14ac:dyDescent="0.25">
      <c r="A1079" s="54"/>
    </row>
    <row r="1080" spans="1:1" x14ac:dyDescent="0.25">
      <c r="A1080" s="54"/>
    </row>
    <row r="1081" spans="1:1" x14ac:dyDescent="0.25">
      <c r="A1081" s="54"/>
    </row>
    <row r="1082" spans="1:1" x14ac:dyDescent="0.25">
      <c r="A1082" s="54"/>
    </row>
    <row r="1083" spans="1:1" x14ac:dyDescent="0.25">
      <c r="A1083" s="54"/>
    </row>
    <row r="1084" spans="1:1" x14ac:dyDescent="0.25">
      <c r="A1084" s="54"/>
    </row>
    <row r="1085" spans="1:1" x14ac:dyDescent="0.25">
      <c r="A1085" s="54"/>
    </row>
    <row r="1086" spans="1:1" x14ac:dyDescent="0.25">
      <c r="A1086" s="54"/>
    </row>
    <row r="1087" spans="1:1" x14ac:dyDescent="0.25">
      <c r="A1087" s="54"/>
    </row>
    <row r="1088" spans="1:1" x14ac:dyDescent="0.25">
      <c r="A1088" s="54"/>
    </row>
    <row r="1089" spans="1:1" x14ac:dyDescent="0.25">
      <c r="A1089" s="54"/>
    </row>
    <row r="1090" spans="1:1" x14ac:dyDescent="0.25">
      <c r="A1090" s="54"/>
    </row>
    <row r="1091" spans="1:1" x14ac:dyDescent="0.25">
      <c r="A1091" s="54"/>
    </row>
    <row r="1092" spans="1:1" x14ac:dyDescent="0.25">
      <c r="A1092" s="54"/>
    </row>
    <row r="1097" spans="1:1" x14ac:dyDescent="0.25">
      <c r="A1097" s="54"/>
    </row>
    <row r="1098" spans="1:1" x14ac:dyDescent="0.25">
      <c r="A1098" s="54"/>
    </row>
    <row r="1101" spans="1:1" x14ac:dyDescent="0.25">
      <c r="A1101" s="54"/>
    </row>
    <row r="1103" spans="1:1" x14ac:dyDescent="0.25">
      <c r="A1103" s="54"/>
    </row>
    <row r="1105" spans="1:1" x14ac:dyDescent="0.25">
      <c r="A1105" s="54"/>
    </row>
    <row r="1107" spans="1:1" x14ac:dyDescent="0.25">
      <c r="A1107" s="54"/>
    </row>
    <row r="1110" spans="1:1" x14ac:dyDescent="0.25">
      <c r="A1110" s="54"/>
    </row>
    <row r="1111" spans="1:1" x14ac:dyDescent="0.25">
      <c r="A1111" s="54"/>
    </row>
    <row r="1112" spans="1:1" x14ac:dyDescent="0.25">
      <c r="A1112" s="54"/>
    </row>
    <row r="1113" spans="1:1" x14ac:dyDescent="0.25">
      <c r="A1113" s="54"/>
    </row>
    <row r="1114" spans="1:1" x14ac:dyDescent="0.25">
      <c r="A1114" s="54"/>
    </row>
    <row r="1115" spans="1:1" x14ac:dyDescent="0.25">
      <c r="A1115" s="54"/>
    </row>
    <row r="1116" spans="1:1" x14ac:dyDescent="0.25">
      <c r="A1116" s="54"/>
    </row>
    <row r="1117" spans="1:1" x14ac:dyDescent="0.25">
      <c r="A1117" s="54"/>
    </row>
  </sheetData>
  <pageMargins left="0.75" right="0.75" top="1" bottom="1" header="0.5" footer="0.5"/>
  <pageSetup scale="43" orientation="landscape" r:id="rId1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2" transitionEvaluation="1" transitionEntry="1" codeName="Sheet123"/>
  <dimension ref="A1:BW1059"/>
  <sheetViews>
    <sheetView tabSelected="1" view="pageBreakPreview" topLeftCell="A22" zoomScale="60" zoomScaleNormal="75" workbookViewId="0">
      <selection sqref="A1:J1"/>
    </sheetView>
  </sheetViews>
  <sheetFormatPr defaultColWidth="9.77734375" defaultRowHeight="15.75" x14ac:dyDescent="0.25"/>
  <cols>
    <col min="1" max="1" width="5.21875" style="380" customWidth="1"/>
    <col min="2" max="2" width="0.44140625" style="380" customWidth="1"/>
    <col min="3" max="3" width="7.6640625" style="380" customWidth="1"/>
    <col min="4" max="4" width="38.109375" style="380" customWidth="1"/>
    <col min="5" max="5" width="0.664062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1.21875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2.77734375" style="380" customWidth="1"/>
    <col min="15" max="15" width="0.5546875" style="380" customWidth="1"/>
    <col min="16" max="16" width="14.77734375" style="380" customWidth="1"/>
    <col min="17" max="17" width="0.5546875" style="380" customWidth="1"/>
    <col min="18" max="18" width="19.33203125" style="380" customWidth="1"/>
    <col min="19" max="19" width="6.77734375" style="380" customWidth="1"/>
    <col min="20" max="20" width="5.44140625" style="380" customWidth="1"/>
    <col min="21" max="21" width="0.5546875" style="380" customWidth="1"/>
    <col min="22" max="22" width="8.109375" style="380" customWidth="1"/>
    <col min="23" max="23" width="38.109375" style="380" customWidth="1"/>
    <col min="24" max="24" width="0.6640625" style="380" customWidth="1"/>
    <col min="25" max="25" width="9.6640625" style="380" customWidth="1"/>
    <col min="26" max="26" width="0.6640625" style="380" customWidth="1"/>
    <col min="27" max="27" width="13.33203125" style="380" customWidth="1"/>
    <col min="28" max="28" width="0.6640625" style="380" customWidth="1"/>
    <col min="29" max="29" width="13" style="380" customWidth="1"/>
    <col min="30" max="30" width="0.88671875" style="380" customWidth="1"/>
    <col min="31" max="31" width="12.88671875" style="380" customWidth="1"/>
    <col min="32" max="32" width="0.77734375" style="380" customWidth="1"/>
    <col min="33" max="33" width="13.6640625" style="153" customWidth="1"/>
    <col min="34" max="34" width="0.6640625" style="380" customWidth="1"/>
    <col min="35" max="35" width="14.33203125" style="380" customWidth="1"/>
    <col min="36" max="36" width="0.77734375" style="380" customWidth="1"/>
    <col min="37" max="37" width="14.5546875" style="153" customWidth="1"/>
    <col min="38" max="38" width="0.5546875" style="380" customWidth="1"/>
    <col min="39" max="39" width="12.109375" style="380" customWidth="1"/>
    <col min="40" max="40" width="0.5546875" style="380" customWidth="1"/>
    <col min="41" max="41" width="13.21875" style="380" customWidth="1"/>
    <col min="42" max="42" width="0.6640625" style="380" customWidth="1"/>
    <col min="43" max="43" width="11.21875" style="153" customWidth="1"/>
    <col min="44" max="44" width="14.77734375" style="380" customWidth="1"/>
    <col min="45" max="45" width="4.77734375" style="380" customWidth="1"/>
    <col min="46" max="46" width="5.77734375" style="380" customWidth="1"/>
    <col min="47" max="47" width="10.77734375" style="380" customWidth="1"/>
    <col min="48" max="48" width="11.77734375" style="380" customWidth="1"/>
    <col min="49" max="49" width="12.77734375" style="380" customWidth="1"/>
    <col min="50" max="52" width="15.77734375" style="380" customWidth="1"/>
    <col min="53" max="53" width="12.77734375" style="380" customWidth="1"/>
    <col min="54" max="56" width="15.77734375" style="380" customWidth="1"/>
    <col min="57" max="57" width="12.77734375" style="380" customWidth="1"/>
    <col min="58" max="59" width="9.77734375" style="380"/>
    <col min="60" max="62" width="12.77734375" style="380" customWidth="1"/>
    <col min="63" max="63" width="14.77734375" style="380" customWidth="1"/>
    <col min="64" max="65" width="9.77734375" style="380"/>
    <col min="66" max="68" width="12.77734375" style="380" customWidth="1"/>
    <col min="69" max="69" width="14.77734375" style="380" customWidth="1"/>
    <col min="70" max="76" width="9.77734375" style="380"/>
    <col min="77" max="77" width="1.77734375" style="380" customWidth="1"/>
    <col min="78" max="79" width="9.77734375" style="380"/>
    <col min="80" max="80" width="10.77734375" style="380" customWidth="1"/>
    <col min="81" max="82" width="9.77734375" style="380"/>
    <col min="83" max="83" width="7.77734375" style="380" customWidth="1"/>
    <col min="84" max="16384" width="9.77734375" style="380"/>
  </cols>
  <sheetData>
    <row r="1" spans="1:40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4"/>
      <c r="K1" s="44"/>
      <c r="L1" s="43"/>
      <c r="M1" s="43"/>
      <c r="N1" s="43"/>
      <c r="O1" s="43"/>
      <c r="P1" s="43"/>
      <c r="Q1" s="43"/>
      <c r="R1" s="43"/>
      <c r="Z1" s="53"/>
    </row>
    <row r="2" spans="1:40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4"/>
      <c r="K2" s="44"/>
      <c r="L2" s="43"/>
      <c r="M2" s="43"/>
      <c r="N2" s="43"/>
      <c r="O2" s="43"/>
      <c r="P2" s="43"/>
      <c r="Q2" s="43"/>
      <c r="R2" s="43"/>
      <c r="Z2" s="53"/>
    </row>
    <row r="3" spans="1:40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Y3" s="54"/>
    </row>
    <row r="4" spans="1:4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4"/>
      <c r="K4" s="44"/>
      <c r="L4" s="43"/>
      <c r="M4" s="43"/>
      <c r="N4" s="43"/>
      <c r="O4" s="43"/>
      <c r="P4" s="43"/>
      <c r="Q4" s="43"/>
      <c r="R4" s="43"/>
      <c r="Z4" s="53"/>
    </row>
    <row r="5" spans="1:4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4"/>
      <c r="M5" s="44"/>
      <c r="N5" s="43"/>
      <c r="O5" s="43"/>
      <c r="P5" s="43"/>
      <c r="Q5" s="43"/>
      <c r="R5" s="43"/>
      <c r="AA5" s="54"/>
      <c r="AB5" s="54"/>
    </row>
    <row r="6" spans="1:40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K6" s="161"/>
      <c r="AL6" s="54"/>
    </row>
    <row r="7" spans="1:40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12 OF "&amp;TEXT(Page_Num_2.3,"00")</f>
        <v>PAGE 12 OF 23</v>
      </c>
      <c r="AK7" s="161"/>
      <c r="AL7" s="54"/>
    </row>
    <row r="8" spans="1:40" x14ac:dyDescent="0.25">
      <c r="A8" s="46" t="s">
        <v>177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K8" s="161"/>
      <c r="AL8" s="54"/>
    </row>
    <row r="9" spans="1:40" x14ac:dyDescent="0.25">
      <c r="A9" s="218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M9" s="46"/>
      <c r="N9" s="378"/>
      <c r="O9" s="378"/>
      <c r="P9" s="378"/>
      <c r="Q9" s="378"/>
      <c r="R9" s="45" t="str">
        <f>WIT</f>
        <v>J. L. Kern</v>
      </c>
      <c r="AK9" s="161"/>
      <c r="AL9" s="54"/>
    </row>
    <row r="10" spans="1:40" x14ac:dyDescent="0.25">
      <c r="A10" s="218" t="str">
        <f>INPUT!B5</f>
        <v>6 Months Actual Ending May 31, 2019</v>
      </c>
      <c r="B10" s="378"/>
      <c r="C10" s="378"/>
      <c r="D10" s="378"/>
      <c r="E10" s="378"/>
      <c r="F10" s="378"/>
      <c r="G10" s="378"/>
      <c r="H10" s="378"/>
      <c r="I10" s="378"/>
      <c r="J10" s="378"/>
      <c r="K10" s="378"/>
      <c r="M10" s="46"/>
      <c r="N10" s="378"/>
      <c r="O10" s="378"/>
      <c r="P10" s="378"/>
      <c r="Q10" s="378"/>
      <c r="R10" s="45"/>
      <c r="AK10" s="161"/>
      <c r="AL10" s="54"/>
    </row>
    <row r="11" spans="1:40" x14ac:dyDescent="0.25">
      <c r="A11" s="44" t="s">
        <v>136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4"/>
      <c r="M11" s="44"/>
      <c r="N11" s="43"/>
      <c r="O11" s="43"/>
      <c r="P11" s="43"/>
      <c r="Q11" s="43"/>
      <c r="R11" s="44"/>
      <c r="AK11" s="161"/>
      <c r="AL11" s="54"/>
    </row>
    <row r="12" spans="1:40" x14ac:dyDescent="0.25">
      <c r="A12" s="72"/>
      <c r="B12" s="72"/>
      <c r="C12" s="72"/>
      <c r="D12" s="72"/>
      <c r="E12" s="72"/>
      <c r="F12" s="378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AA12" s="54"/>
      <c r="AB12" s="54"/>
      <c r="AK12" s="156"/>
      <c r="AL12" s="53"/>
    </row>
    <row r="13" spans="1:40" ht="18" customHeight="1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4" t="s">
        <v>6</v>
      </c>
      <c r="M13" s="74"/>
      <c r="N13" s="74" t="s">
        <v>7</v>
      </c>
      <c r="O13" s="74"/>
      <c r="P13" s="73"/>
      <c r="Q13" s="73"/>
      <c r="R13" s="74" t="s">
        <v>6</v>
      </c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154"/>
      <c r="AH13" s="55"/>
      <c r="AI13" s="55"/>
      <c r="AJ13" s="55"/>
      <c r="AK13" s="154"/>
      <c r="AL13" s="55"/>
      <c r="AM13" s="55"/>
      <c r="AN13" s="55"/>
    </row>
    <row r="14" spans="1:40" x14ac:dyDescent="0.25">
      <c r="A14" s="378"/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426" t="s">
        <v>12</v>
      </c>
      <c r="M14" s="426"/>
      <c r="N14" s="426" t="s">
        <v>13</v>
      </c>
      <c r="O14" s="426"/>
      <c r="P14" s="378"/>
      <c r="Q14" s="378"/>
      <c r="R14" s="426" t="s">
        <v>11</v>
      </c>
      <c r="AA14" s="56"/>
      <c r="AB14" s="56"/>
      <c r="AC14" s="56"/>
      <c r="AD14" s="56"/>
      <c r="AE14" s="56"/>
      <c r="AF14" s="56"/>
      <c r="AG14" s="155"/>
      <c r="AH14" s="56"/>
      <c r="AK14" s="155"/>
      <c r="AL14" s="56"/>
      <c r="AM14" s="56"/>
      <c r="AN14" s="56"/>
    </row>
    <row r="15" spans="1:40" x14ac:dyDescent="0.25">
      <c r="A15" s="426" t="s">
        <v>17</v>
      </c>
      <c r="B15" s="378"/>
      <c r="C15" s="426" t="s">
        <v>18</v>
      </c>
      <c r="D15" s="426" t="s">
        <v>19</v>
      </c>
      <c r="E15" s="426"/>
      <c r="F15" s="426" t="s">
        <v>20</v>
      </c>
      <c r="G15" s="378"/>
      <c r="H15" s="378"/>
      <c r="I15" s="378"/>
      <c r="J15" s="426" t="s">
        <v>6</v>
      </c>
      <c r="K15" s="426"/>
      <c r="L15" s="426" t="s">
        <v>21</v>
      </c>
      <c r="M15" s="426"/>
      <c r="N15" s="426" t="s">
        <v>21</v>
      </c>
      <c r="O15" s="426"/>
      <c r="P15" s="426" t="s">
        <v>21</v>
      </c>
      <c r="Q15" s="426"/>
      <c r="R15" s="426" t="s">
        <v>9</v>
      </c>
      <c r="Z15" s="56"/>
      <c r="AA15" s="56"/>
      <c r="AB15" s="56"/>
      <c r="AC15" s="56"/>
      <c r="AD15" s="56"/>
      <c r="AE15" s="56"/>
      <c r="AF15" s="56"/>
      <c r="AG15" s="155"/>
      <c r="AH15" s="56"/>
      <c r="AK15" s="155"/>
      <c r="AL15" s="56"/>
      <c r="AM15" s="56"/>
      <c r="AN15" s="56"/>
    </row>
    <row r="16" spans="1:40" x14ac:dyDescent="0.25">
      <c r="A16" s="426" t="s">
        <v>24</v>
      </c>
      <c r="B16" s="378"/>
      <c r="C16" s="426" t="s">
        <v>25</v>
      </c>
      <c r="D16" s="426" t="s">
        <v>26</v>
      </c>
      <c r="E16" s="426"/>
      <c r="F16" s="426" t="s">
        <v>27</v>
      </c>
      <c r="G16" s="378"/>
      <c r="H16" s="426" t="s">
        <v>28</v>
      </c>
      <c r="I16" s="426"/>
      <c r="J16" s="426" t="s">
        <v>29</v>
      </c>
      <c r="K16" s="426"/>
      <c r="L16" s="426" t="s">
        <v>9</v>
      </c>
      <c r="M16" s="426"/>
      <c r="N16" s="426" t="s">
        <v>9</v>
      </c>
      <c r="O16" s="426"/>
      <c r="P16" s="426" t="s">
        <v>426</v>
      </c>
      <c r="Q16" s="426"/>
      <c r="R16" s="265" t="s">
        <v>30</v>
      </c>
      <c r="T16" s="56"/>
      <c r="U16" s="56"/>
      <c r="V16" s="56"/>
      <c r="Z16" s="56"/>
      <c r="AA16" s="56"/>
      <c r="AB16" s="56"/>
      <c r="AC16" s="56"/>
      <c r="AD16" s="56"/>
      <c r="AE16" s="56"/>
      <c r="AF16" s="56"/>
      <c r="AG16" s="155"/>
      <c r="AH16" s="56"/>
      <c r="AI16" s="56"/>
      <c r="AJ16" s="56"/>
      <c r="AK16" s="155"/>
      <c r="AL16" s="56"/>
      <c r="AM16" s="56"/>
      <c r="AN16" s="56"/>
    </row>
    <row r="17" spans="1:40" x14ac:dyDescent="0.25">
      <c r="A17" s="378"/>
      <c r="B17" s="378"/>
      <c r="C17" s="265" t="s">
        <v>35</v>
      </c>
      <c r="D17" s="265" t="s">
        <v>36</v>
      </c>
      <c r="E17" s="265"/>
      <c r="F17" s="265" t="s">
        <v>37</v>
      </c>
      <c r="G17" s="218"/>
      <c r="H17" s="265" t="s">
        <v>38</v>
      </c>
      <c r="I17" s="265"/>
      <c r="J17" s="265" t="s">
        <v>39</v>
      </c>
      <c r="K17" s="265"/>
      <c r="L17" s="265" t="s">
        <v>40</v>
      </c>
      <c r="M17" s="265"/>
      <c r="N17" s="265" t="s">
        <v>41</v>
      </c>
      <c r="O17" s="265"/>
      <c r="P17" s="265" t="s">
        <v>42</v>
      </c>
      <c r="Q17" s="265"/>
      <c r="R17" s="265" t="s">
        <v>43</v>
      </c>
      <c r="T17" s="56"/>
      <c r="U17" s="56"/>
      <c r="V17" s="56"/>
      <c r="Z17" s="56"/>
      <c r="AA17" s="56"/>
      <c r="AB17" s="56"/>
      <c r="AC17" s="56"/>
      <c r="AD17" s="56"/>
      <c r="AE17" s="56"/>
      <c r="AF17" s="56"/>
      <c r="AG17" s="155"/>
      <c r="AH17" s="56"/>
      <c r="AI17" s="56"/>
      <c r="AJ17" s="56"/>
      <c r="AK17" s="155"/>
      <c r="AL17" s="56"/>
      <c r="AM17" s="56"/>
      <c r="AN17" s="56"/>
    </row>
    <row r="18" spans="1:40" x14ac:dyDescent="0.25">
      <c r="H18" s="71"/>
      <c r="I18" s="71"/>
      <c r="J18" s="71"/>
      <c r="T18" s="56"/>
      <c r="U18" s="56"/>
      <c r="V18" s="56"/>
      <c r="Y18" s="56"/>
      <c r="Z18" s="56"/>
      <c r="AA18" s="56"/>
      <c r="AB18" s="56"/>
      <c r="AC18" s="56"/>
      <c r="AD18" s="56"/>
      <c r="AE18" s="56"/>
      <c r="AF18" s="56"/>
      <c r="AG18" s="155"/>
      <c r="AH18" s="56"/>
      <c r="AI18" s="56"/>
      <c r="AJ18" s="56"/>
      <c r="AK18" s="155"/>
      <c r="AL18" s="56"/>
      <c r="AM18" s="56"/>
      <c r="AN18" s="56"/>
    </row>
    <row r="19" spans="1:40" ht="17.100000000000001" customHeight="1" x14ac:dyDescent="0.25">
      <c r="A19" s="73"/>
      <c r="B19" s="73"/>
      <c r="C19" s="73"/>
      <c r="D19" s="73"/>
      <c r="E19" s="73"/>
      <c r="F19" s="73"/>
      <c r="G19" s="73"/>
      <c r="H19" s="442" t="s">
        <v>51</v>
      </c>
      <c r="I19" s="441"/>
      <c r="J19" s="442" t="s">
        <v>368</v>
      </c>
      <c r="K19" s="496"/>
      <c r="L19" s="496" t="s">
        <v>52</v>
      </c>
      <c r="M19" s="496"/>
      <c r="N19" s="496" t="s">
        <v>53</v>
      </c>
      <c r="O19" s="496"/>
      <c r="P19" s="496" t="s">
        <v>52</v>
      </c>
      <c r="Q19" s="496"/>
      <c r="R19" s="496" t="s">
        <v>52</v>
      </c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154"/>
      <c r="AH19" s="55"/>
      <c r="AI19" s="55"/>
      <c r="AJ19" s="55"/>
      <c r="AK19" s="154"/>
      <c r="AL19" s="55"/>
      <c r="AM19" s="55"/>
      <c r="AN19" s="55"/>
    </row>
    <row r="20" spans="1:40" x14ac:dyDescent="0.25">
      <c r="A20" s="45">
        <v>1</v>
      </c>
      <c r="B20" s="378"/>
      <c r="C20" s="222" t="s">
        <v>361</v>
      </c>
      <c r="D20" s="501" t="s">
        <v>365</v>
      </c>
      <c r="E20" s="4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Y20" s="56"/>
      <c r="Z20" s="56"/>
      <c r="AA20" s="56"/>
      <c r="AB20" s="56"/>
      <c r="AC20" s="56"/>
      <c r="AD20" s="56"/>
      <c r="AE20" s="56"/>
      <c r="AF20" s="56"/>
      <c r="AG20" s="155"/>
      <c r="AH20" s="56"/>
      <c r="AI20" s="56"/>
      <c r="AJ20" s="56"/>
      <c r="AK20" s="155"/>
      <c r="AL20" s="56"/>
      <c r="AM20" s="56"/>
      <c r="AN20" s="56"/>
    </row>
    <row r="21" spans="1:40" x14ac:dyDescent="0.25">
      <c r="A21" s="45">
        <v>2</v>
      </c>
      <c r="B21" s="378"/>
      <c r="C21" s="222"/>
      <c r="D21" s="218" t="s">
        <v>366</v>
      </c>
      <c r="E21" s="37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T21" s="54"/>
      <c r="U21" s="54"/>
    </row>
    <row r="22" spans="1:40" ht="22.5" customHeight="1" x14ac:dyDescent="0.25">
      <c r="A22" s="45"/>
      <c r="B22" s="378"/>
      <c r="C22" s="46"/>
      <c r="D22" s="378"/>
      <c r="E22" s="37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T22" s="54"/>
      <c r="U22" s="54"/>
    </row>
    <row r="23" spans="1:40" x14ac:dyDescent="0.25">
      <c r="A23" s="45">
        <v>3</v>
      </c>
      <c r="B23" s="378"/>
      <c r="C23" s="222" t="s">
        <v>140</v>
      </c>
      <c r="D23" s="378"/>
      <c r="E23" s="37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T23" s="54"/>
      <c r="U23" s="54"/>
    </row>
    <row r="24" spans="1:40" x14ac:dyDescent="0.25">
      <c r="A24" s="45">
        <v>4</v>
      </c>
      <c r="B24" s="378"/>
      <c r="C24" s="46" t="s">
        <v>367</v>
      </c>
      <c r="D24" s="378"/>
      <c r="E24" s="378"/>
      <c r="F24" s="449">
        <v>24</v>
      </c>
      <c r="G24" s="2"/>
      <c r="H24" s="86"/>
      <c r="I24" s="86"/>
      <c r="J24" s="450">
        <f>INPUT!D153</f>
        <v>183</v>
      </c>
      <c r="K24" s="96"/>
      <c r="L24" s="81">
        <f>ROUND(F24*J24,0)</f>
        <v>4392</v>
      </c>
      <c r="M24" s="5"/>
      <c r="N24" s="88">
        <f>ROUND((L24/$L$39)*100,1)</f>
        <v>0.8</v>
      </c>
      <c r="O24" s="6"/>
      <c r="P24" s="81"/>
      <c r="Q24" s="1"/>
      <c r="R24" s="81">
        <f>L24+P24</f>
        <v>4392</v>
      </c>
    </row>
    <row r="25" spans="1:40" ht="20.100000000000001" customHeight="1" x14ac:dyDescent="0.25">
      <c r="A25" s="45">
        <v>5</v>
      </c>
      <c r="B25" s="378"/>
      <c r="C25" s="222" t="s">
        <v>143</v>
      </c>
      <c r="D25" s="378"/>
      <c r="E25" s="378"/>
      <c r="F25" s="94"/>
      <c r="G25" s="2"/>
      <c r="H25" s="86"/>
      <c r="I25" s="86"/>
      <c r="J25" s="450"/>
      <c r="K25" s="96"/>
      <c r="L25" s="90">
        <f>SUM(L24)</f>
        <v>4392</v>
      </c>
      <c r="M25" s="5"/>
      <c r="N25" s="88">
        <f>ROUND((L25/$L$39)*100,1)</f>
        <v>0.8</v>
      </c>
      <c r="O25" s="6"/>
      <c r="P25" s="90"/>
      <c r="Q25" s="1"/>
      <c r="R25" s="90">
        <f>SUM(R24)</f>
        <v>4392</v>
      </c>
    </row>
    <row r="26" spans="1:40" ht="25.5" customHeight="1" x14ac:dyDescent="0.25">
      <c r="A26" s="45"/>
      <c r="B26" s="378"/>
      <c r="C26" s="46"/>
      <c r="D26" s="378"/>
      <c r="E26" s="378"/>
      <c r="F26" s="94"/>
      <c r="G26" s="2"/>
      <c r="H26" s="86"/>
      <c r="I26" s="86"/>
      <c r="J26" s="450"/>
      <c r="K26" s="96"/>
      <c r="L26" s="83"/>
      <c r="M26" s="5"/>
      <c r="N26" s="91"/>
      <c r="O26" s="6"/>
      <c r="P26" s="83"/>
      <c r="Q26" s="1"/>
      <c r="R26" s="83"/>
    </row>
    <row r="27" spans="1:40" x14ac:dyDescent="0.25">
      <c r="A27" s="45">
        <v>6</v>
      </c>
      <c r="B27" s="378"/>
      <c r="C27" s="222" t="s">
        <v>69</v>
      </c>
      <c r="D27" s="378"/>
      <c r="E27" s="378"/>
      <c r="F27" s="83"/>
      <c r="G27" s="2"/>
      <c r="H27" s="5"/>
      <c r="I27" s="5"/>
      <c r="J27" s="51"/>
      <c r="K27" s="9"/>
      <c r="L27" s="5"/>
      <c r="M27" s="5"/>
      <c r="N27" s="6"/>
      <c r="O27" s="6"/>
      <c r="P27" s="5"/>
      <c r="Q27" s="5"/>
      <c r="R27" s="5"/>
      <c r="S27" s="379"/>
      <c r="T27" s="54"/>
      <c r="AA27" s="379"/>
      <c r="AB27" s="379"/>
      <c r="AC27" s="379"/>
      <c r="AD27" s="379"/>
      <c r="AI27" s="379"/>
      <c r="AJ27" s="379"/>
      <c r="AK27" s="156"/>
      <c r="AL27" s="379"/>
    </row>
    <row r="28" spans="1:40" x14ac:dyDescent="0.25">
      <c r="A28" s="45">
        <v>7</v>
      </c>
      <c r="B28" s="378"/>
      <c r="C28" s="46" t="s">
        <v>443</v>
      </c>
      <c r="D28" s="378"/>
      <c r="E28" s="378"/>
      <c r="F28" s="83"/>
      <c r="G28" s="2"/>
      <c r="H28" s="392">
        <v>14214991</v>
      </c>
      <c r="I28" s="5"/>
      <c r="J28" s="465">
        <f>INPUT!D157</f>
        <v>6.6020000000000002E-3</v>
      </c>
      <c r="K28" s="9"/>
      <c r="L28" s="83">
        <f>ROUND((H28*J28),0)</f>
        <v>93847</v>
      </c>
      <c r="M28" s="83"/>
      <c r="N28" s="91">
        <f>ROUND((L28/$L$39)*100,1)</f>
        <v>16.8</v>
      </c>
      <c r="O28" s="91"/>
      <c r="P28" s="83"/>
      <c r="Q28" s="83"/>
      <c r="R28" s="83">
        <f>L28+P28</f>
        <v>93847</v>
      </c>
      <c r="S28" s="379"/>
      <c r="T28" s="54"/>
      <c r="AA28" s="379"/>
      <c r="AB28" s="379"/>
      <c r="AC28" s="379"/>
      <c r="AD28" s="379"/>
      <c r="AI28" s="379"/>
      <c r="AJ28" s="379"/>
      <c r="AK28" s="156"/>
      <c r="AL28" s="379"/>
    </row>
    <row r="29" spans="1:40" x14ac:dyDescent="0.25">
      <c r="A29" s="45">
        <v>8</v>
      </c>
      <c r="B29" s="378"/>
      <c r="C29" s="46" t="s">
        <v>431</v>
      </c>
      <c r="D29" s="378"/>
      <c r="E29" s="378"/>
      <c r="F29" s="83"/>
      <c r="G29" s="2"/>
      <c r="H29" s="94">
        <f>H28</f>
        <v>14214991</v>
      </c>
      <c r="I29" s="94"/>
      <c r="J29" s="506">
        <f>INPUT!D161</f>
        <v>3.2085999999999996E-2</v>
      </c>
      <c r="K29" s="489"/>
      <c r="L29" s="83">
        <f>ROUND((H29*J29),0)</f>
        <v>456102</v>
      </c>
      <c r="M29" s="83"/>
      <c r="N29" s="88">
        <f>ROUND((L29/$L$39)*100,1)</f>
        <v>81.5</v>
      </c>
      <c r="O29" s="91"/>
      <c r="P29" s="379">
        <v>0</v>
      </c>
      <c r="Q29" s="83"/>
      <c r="R29" s="83">
        <f>L29+P29</f>
        <v>456102</v>
      </c>
      <c r="Z29" s="53"/>
    </row>
    <row r="30" spans="1:40" ht="20.100000000000001" customHeight="1" x14ac:dyDescent="0.25">
      <c r="A30" s="45">
        <v>9</v>
      </c>
      <c r="B30" s="378"/>
      <c r="C30" s="222" t="s">
        <v>149</v>
      </c>
      <c r="D30" s="378"/>
      <c r="E30" s="378"/>
      <c r="F30" s="81"/>
      <c r="G30" s="2"/>
      <c r="H30" s="90">
        <f>H28</f>
        <v>14214991</v>
      </c>
      <c r="I30" s="5"/>
      <c r="J30" s="268"/>
      <c r="K30" s="446"/>
      <c r="L30" s="90">
        <f>SUM(L28:L29)</f>
        <v>549949</v>
      </c>
      <c r="M30" s="5"/>
      <c r="N30" s="88">
        <f>ROUND((L30/$L$39)*100,1)</f>
        <v>98.3</v>
      </c>
      <c r="O30" s="6"/>
      <c r="P30" s="90">
        <f>P29</f>
        <v>0</v>
      </c>
      <c r="Q30" s="5"/>
      <c r="R30" s="90">
        <f>SUM(R28:R29)</f>
        <v>549949</v>
      </c>
    </row>
    <row r="31" spans="1:40" ht="20.100000000000001" customHeight="1" x14ac:dyDescent="0.25">
      <c r="A31" s="45">
        <v>10</v>
      </c>
      <c r="B31" s="378"/>
      <c r="C31" s="444" t="s">
        <v>536</v>
      </c>
      <c r="D31" s="378"/>
      <c r="E31" s="378"/>
      <c r="F31" s="90">
        <f>F24</f>
        <v>24</v>
      </c>
      <c r="G31" s="2"/>
      <c r="H31" s="90">
        <f>H30</f>
        <v>14214991</v>
      </c>
      <c r="I31" s="5"/>
      <c r="J31" s="268"/>
      <c r="K31" s="446"/>
      <c r="L31" s="90">
        <f>L30+L25</f>
        <v>554341</v>
      </c>
      <c r="M31" s="5"/>
      <c r="N31" s="93">
        <f>ROUND((L31/$L$39)*100,1)</f>
        <v>99.1</v>
      </c>
      <c r="O31" s="6"/>
      <c r="P31" s="90">
        <f>SUM(P30+P25)</f>
        <v>0</v>
      </c>
      <c r="Q31" s="5"/>
      <c r="R31" s="90">
        <f>R30+R25</f>
        <v>554341</v>
      </c>
    </row>
    <row r="32" spans="1:40" ht="15.75" customHeight="1" x14ac:dyDescent="0.25">
      <c r="A32" s="45"/>
      <c r="B32" s="378"/>
      <c r="C32" s="46"/>
      <c r="D32" s="378"/>
      <c r="E32" s="378"/>
      <c r="F32" s="83"/>
      <c r="G32" s="2"/>
      <c r="H32" s="83"/>
      <c r="I32" s="5"/>
      <c r="J32" s="268"/>
      <c r="K32" s="446"/>
      <c r="L32" s="83"/>
      <c r="M32" s="5"/>
      <c r="N32" s="91"/>
      <c r="O32" s="6"/>
      <c r="P32" s="83"/>
      <c r="Q32" s="5"/>
      <c r="R32" s="83"/>
    </row>
    <row r="33" spans="1:47" ht="15.75" customHeight="1" x14ac:dyDescent="0.25">
      <c r="A33" s="45">
        <v>11</v>
      </c>
      <c r="B33" s="378"/>
      <c r="C33" s="222" t="s">
        <v>504</v>
      </c>
      <c r="D33" s="378"/>
      <c r="E33" s="378"/>
      <c r="F33" s="83"/>
      <c r="G33" s="2"/>
      <c r="H33" s="83"/>
      <c r="I33" s="5"/>
      <c r="J33" s="268"/>
      <c r="K33" s="446"/>
      <c r="L33" s="83"/>
      <c r="M33" s="5"/>
      <c r="N33" s="91"/>
      <c r="O33" s="6"/>
      <c r="P33" s="83"/>
      <c r="Q33" s="5"/>
      <c r="R33" s="83"/>
    </row>
    <row r="34" spans="1:47" ht="15.75" customHeight="1" x14ac:dyDescent="0.25">
      <c r="A34" s="45">
        <v>12</v>
      </c>
      <c r="B34" s="378"/>
      <c r="C34" s="216" t="str">
        <f>DSMR_Name</f>
        <v>DEMAND SIDE MANAGEMENT RIDER (DSMR)</v>
      </c>
      <c r="D34" s="378"/>
      <c r="E34" s="378"/>
      <c r="F34" s="83"/>
      <c r="G34" s="2"/>
      <c r="H34" s="83"/>
      <c r="I34" s="5"/>
      <c r="J34" s="457">
        <f>PRO_DSM_TRANS</f>
        <v>4.6299999999999998E-4</v>
      </c>
      <c r="K34" s="446"/>
      <c r="L34" s="83">
        <f>ROUND($H$31*J34,0)</f>
        <v>6582</v>
      </c>
      <c r="M34" s="5"/>
      <c r="N34" s="383">
        <f>ROUND((L34/$L$39)*100,1)</f>
        <v>1.2</v>
      </c>
      <c r="O34" s="6"/>
      <c r="P34" s="83"/>
      <c r="Q34" s="5"/>
      <c r="R34" s="83">
        <f t="shared" ref="R34:R36" si="0">L34+P34</f>
        <v>6582</v>
      </c>
    </row>
    <row r="35" spans="1:47" ht="15.75" customHeight="1" x14ac:dyDescent="0.25">
      <c r="A35" s="45">
        <v>13</v>
      </c>
      <c r="B35" s="378"/>
      <c r="C35" s="216" t="str">
        <f>ESM_Name</f>
        <v>ENVIRONMENTAL SURCHARGE MECHANISM RIDER (ESM)</v>
      </c>
      <c r="D35" s="378"/>
      <c r="E35" s="378"/>
      <c r="F35" s="83"/>
      <c r="G35" s="2"/>
      <c r="H35" s="83"/>
      <c r="I35" s="5"/>
      <c r="J35" s="457"/>
      <c r="K35" s="446"/>
      <c r="L35" s="83">
        <f>AE81</f>
        <v>798</v>
      </c>
      <c r="M35" s="5"/>
      <c r="N35" s="383">
        <f>ROUND((L35/$L$39)*100,1)</f>
        <v>0.1</v>
      </c>
      <c r="O35" s="6"/>
      <c r="P35" s="83"/>
      <c r="Q35" s="5"/>
      <c r="R35" s="83">
        <f t="shared" ref="R35" si="1">L35+P35</f>
        <v>798</v>
      </c>
    </row>
    <row r="36" spans="1:47" ht="15.75" customHeight="1" x14ac:dyDescent="0.25">
      <c r="A36" s="45">
        <v>14</v>
      </c>
      <c r="B36" s="378"/>
      <c r="C36" s="216" t="str">
        <f>PSM_Name</f>
        <v>PROFIT SHARING MECHANISM (PSM)</v>
      </c>
      <c r="D36" s="378"/>
      <c r="E36" s="378"/>
      <c r="F36" s="83"/>
      <c r="G36" s="2"/>
      <c r="H36" s="83"/>
      <c r="I36" s="5"/>
      <c r="J36" s="457">
        <f>PRO_PSM</f>
        <v>-1.63E-4</v>
      </c>
      <c r="K36" s="446"/>
      <c r="L36" s="81">
        <f>ROUND(H31*PRO_PSM,0)</f>
        <v>-2317</v>
      </c>
      <c r="M36" s="5"/>
      <c r="N36" s="148">
        <f>ROUND((L36/$L$39)*100,1)</f>
        <v>-0.4</v>
      </c>
      <c r="O36" s="6"/>
      <c r="P36" s="81"/>
      <c r="Q36" s="5"/>
      <c r="R36" s="81">
        <f t="shared" si="0"/>
        <v>-2317</v>
      </c>
    </row>
    <row r="37" spans="1:47" ht="20.100000000000001" customHeight="1" x14ac:dyDescent="0.25">
      <c r="A37" s="45">
        <v>15</v>
      </c>
      <c r="B37" s="378"/>
      <c r="C37" s="222" t="s">
        <v>510</v>
      </c>
      <c r="D37" s="378"/>
      <c r="E37" s="378"/>
      <c r="F37" s="81"/>
      <c r="G37" s="2"/>
      <c r="H37" s="81"/>
      <c r="I37" s="5"/>
      <c r="J37" s="455"/>
      <c r="K37" s="446"/>
      <c r="L37" s="90">
        <f>SUM(L34:L36)</f>
        <v>5063</v>
      </c>
      <c r="M37" s="5"/>
      <c r="N37" s="150">
        <f>ROUND((L37/$L$39)*100,1)</f>
        <v>0.9</v>
      </c>
      <c r="O37" s="6"/>
      <c r="P37" s="90"/>
      <c r="Q37" s="5"/>
      <c r="R37" s="90">
        <f>SUM(R34:R36)</f>
        <v>5063</v>
      </c>
    </row>
    <row r="38" spans="1:47" ht="15.75" customHeight="1" x14ac:dyDescent="0.25">
      <c r="A38" s="45"/>
      <c r="B38" s="378"/>
      <c r="C38" s="222"/>
      <c r="D38" s="378"/>
      <c r="E38" s="378"/>
      <c r="F38" s="83"/>
      <c r="G38" s="2"/>
      <c r="H38" s="83"/>
      <c r="I38" s="5"/>
      <c r="J38" s="446"/>
      <c r="K38" s="446"/>
      <c r="L38" s="83"/>
      <c r="M38" s="5"/>
      <c r="N38" s="91"/>
      <c r="O38" s="6"/>
      <c r="P38" s="83"/>
      <c r="Q38" s="5"/>
      <c r="R38" s="83"/>
    </row>
    <row r="39" spans="1:47" ht="20.100000000000001" customHeight="1" thickBot="1" x14ac:dyDescent="0.3">
      <c r="A39" s="45">
        <v>16</v>
      </c>
      <c r="B39" s="378"/>
      <c r="C39" s="444" t="s">
        <v>537</v>
      </c>
      <c r="D39" s="378"/>
      <c r="E39" s="378"/>
      <c r="F39" s="82">
        <f>F31</f>
        <v>24</v>
      </c>
      <c r="G39" s="2"/>
      <c r="H39" s="82">
        <f>H31</f>
        <v>14214991</v>
      </c>
      <c r="I39" s="5"/>
      <c r="J39" s="2"/>
      <c r="K39" s="2"/>
      <c r="L39" s="82">
        <f>L37+L31</f>
        <v>559404</v>
      </c>
      <c r="M39" s="5"/>
      <c r="N39" s="92">
        <v>100</v>
      </c>
      <c r="O39" s="6"/>
      <c r="P39" s="82">
        <f>P37+P31</f>
        <v>0</v>
      </c>
      <c r="Q39" s="86"/>
      <c r="R39" s="82">
        <f>R37+R31</f>
        <v>559404</v>
      </c>
      <c r="V39" s="56"/>
      <c r="W39" s="56"/>
      <c r="X39" s="56"/>
      <c r="Y39" s="56"/>
      <c r="AA39" s="56"/>
      <c r="AB39" s="56"/>
      <c r="AC39" s="56"/>
      <c r="AD39" s="56"/>
      <c r="AE39" s="56"/>
      <c r="AF39" s="56"/>
      <c r="AG39" s="155"/>
      <c r="AH39" s="56"/>
      <c r="AI39" s="56"/>
      <c r="AJ39" s="56"/>
      <c r="AK39" s="155"/>
      <c r="AL39" s="56"/>
      <c r="AM39" s="56"/>
      <c r="AN39" s="56"/>
      <c r="AO39" s="56"/>
      <c r="AP39" s="56"/>
      <c r="AQ39" s="155"/>
      <c r="AS39" s="379"/>
      <c r="AT39" s="379"/>
      <c r="AU39" s="50"/>
    </row>
    <row r="40" spans="1:47" ht="18.75" customHeight="1" thickTop="1" x14ac:dyDescent="0.25">
      <c r="A40" s="378"/>
      <c r="B40" s="378"/>
      <c r="C40" s="378"/>
      <c r="D40" s="378"/>
      <c r="E40" s="378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AA40" s="56"/>
      <c r="AB40" s="56"/>
      <c r="AC40" s="56"/>
      <c r="AD40" s="56"/>
      <c r="AE40" s="56"/>
      <c r="AF40" s="56"/>
      <c r="AG40" s="155"/>
      <c r="AH40" s="56"/>
      <c r="AI40" s="56"/>
      <c r="AJ40" s="56"/>
      <c r="AK40" s="155"/>
      <c r="AL40" s="56"/>
      <c r="AM40" s="56"/>
      <c r="AN40" s="56"/>
      <c r="AO40" s="56"/>
      <c r="AP40" s="56"/>
      <c r="AQ40" s="155"/>
      <c r="AS40" s="379"/>
      <c r="AT40" s="379"/>
      <c r="AU40" s="476"/>
    </row>
    <row r="41" spans="1:47" x14ac:dyDescent="0.25">
      <c r="A41" s="378"/>
      <c r="B41" s="378"/>
      <c r="C41" s="243" t="s">
        <v>61</v>
      </c>
      <c r="D41" s="378"/>
      <c r="E41" s="378"/>
      <c r="F41" s="2"/>
      <c r="G41" s="2"/>
      <c r="H41" s="2"/>
      <c r="I41" s="2"/>
      <c r="J41" s="2"/>
      <c r="K41" s="2"/>
      <c r="L41" s="5"/>
      <c r="M41" s="5"/>
      <c r="N41" s="5"/>
      <c r="O41" s="5"/>
      <c r="P41" s="5"/>
      <c r="Q41" s="5"/>
      <c r="R41" s="5"/>
      <c r="T41" s="53"/>
      <c r="V41" s="54"/>
      <c r="W41" s="54"/>
      <c r="X41" s="54"/>
      <c r="AS41" s="379"/>
      <c r="AT41" s="379"/>
      <c r="AU41" s="50"/>
    </row>
    <row r="42" spans="1:47" ht="18" customHeight="1" x14ac:dyDescent="0.25">
      <c r="A42" s="46"/>
      <c r="B42" s="378"/>
      <c r="C42" s="46"/>
      <c r="D42" s="378"/>
      <c r="E42" s="378"/>
      <c r="F42" s="378"/>
      <c r="G42" s="378"/>
      <c r="H42" s="378"/>
      <c r="I42" s="378"/>
      <c r="J42" s="378"/>
      <c r="K42" s="378"/>
      <c r="L42" s="378"/>
      <c r="M42" s="378"/>
      <c r="N42" s="378"/>
      <c r="O42" s="378"/>
      <c r="P42" s="378"/>
      <c r="Q42" s="378"/>
      <c r="R42" s="378"/>
      <c r="T42" s="53"/>
      <c r="W42" s="54"/>
      <c r="X42" s="54"/>
      <c r="AS42" s="379"/>
      <c r="AT42" s="379"/>
      <c r="AU42" s="50"/>
    </row>
    <row r="43" spans="1:47" x14ac:dyDescent="0.25">
      <c r="A43" s="53"/>
      <c r="C43" s="54"/>
      <c r="F43" s="379"/>
      <c r="H43" s="379"/>
      <c r="I43" s="379"/>
      <c r="J43" s="59"/>
      <c r="K43" s="59"/>
      <c r="L43" s="379"/>
      <c r="M43" s="379"/>
      <c r="N43" s="50"/>
      <c r="O43" s="50"/>
      <c r="P43" s="379"/>
      <c r="Q43" s="379"/>
      <c r="R43" s="379"/>
      <c r="AS43" s="379"/>
      <c r="AT43" s="379"/>
      <c r="AU43" s="50"/>
    </row>
    <row r="44" spans="1:47" x14ac:dyDescent="0.25">
      <c r="F44" s="381"/>
      <c r="H44" s="381"/>
      <c r="I44" s="381"/>
      <c r="J44" s="464"/>
      <c r="K44" s="464"/>
      <c r="L44" s="381"/>
      <c r="M44" s="381"/>
      <c r="N44" s="381"/>
      <c r="O44" s="381"/>
      <c r="P44" s="381"/>
      <c r="Q44" s="381"/>
      <c r="R44" s="381"/>
      <c r="T44" s="53"/>
      <c r="V44" s="54"/>
      <c r="Y44" s="379"/>
      <c r="AC44" s="62"/>
      <c r="AD44" s="62"/>
      <c r="AE44" s="379"/>
      <c r="AF44" s="379"/>
      <c r="AO44" s="379"/>
      <c r="AP44" s="379"/>
      <c r="AS44" s="379"/>
      <c r="AT44" s="379"/>
      <c r="AU44" s="50"/>
    </row>
    <row r="45" spans="1:47" x14ac:dyDescent="0.25">
      <c r="A45" s="53"/>
      <c r="C45" s="54"/>
      <c r="F45" s="379"/>
      <c r="H45" s="379"/>
      <c r="I45" s="379"/>
      <c r="J45" s="59"/>
      <c r="K45" s="59"/>
      <c r="L45" s="379"/>
      <c r="M45" s="379"/>
      <c r="N45" s="50"/>
      <c r="O45" s="50"/>
      <c r="P45" s="379"/>
      <c r="Q45" s="379"/>
      <c r="R45" s="379"/>
      <c r="Y45" s="379"/>
      <c r="AO45" s="379"/>
      <c r="AP45" s="379"/>
      <c r="AR45" s="53"/>
      <c r="AS45" s="379"/>
      <c r="AT45" s="379"/>
      <c r="AU45" s="50"/>
    </row>
    <row r="46" spans="1:47" x14ac:dyDescent="0.25">
      <c r="A46" s="54"/>
      <c r="F46" s="379"/>
      <c r="H46" s="379"/>
      <c r="I46" s="379"/>
      <c r="J46" s="59"/>
      <c r="K46" s="59"/>
      <c r="L46" s="379"/>
      <c r="M46" s="379"/>
      <c r="N46" s="379"/>
      <c r="O46" s="379"/>
      <c r="P46" s="379"/>
      <c r="Q46" s="379"/>
      <c r="R46" s="379"/>
      <c r="T46" s="53"/>
      <c r="V46" s="54"/>
      <c r="Y46" s="379"/>
      <c r="AA46" s="379"/>
      <c r="AB46" s="379"/>
      <c r="AC46" s="461"/>
      <c r="AD46" s="461"/>
      <c r="AE46" s="379"/>
      <c r="AF46" s="379"/>
      <c r="AG46" s="156"/>
      <c r="AH46" s="50"/>
      <c r="AI46" s="379"/>
      <c r="AJ46" s="379"/>
      <c r="AK46" s="156"/>
      <c r="AL46" s="60"/>
      <c r="AM46" s="379"/>
      <c r="AN46" s="379"/>
      <c r="AO46" s="379"/>
      <c r="AP46" s="379"/>
      <c r="AQ46" s="156"/>
      <c r="AR46" s="379"/>
      <c r="AS46" s="379"/>
      <c r="AT46" s="379"/>
      <c r="AU46" s="50"/>
    </row>
    <row r="47" spans="1:47" x14ac:dyDescent="0.25">
      <c r="L47" s="379"/>
      <c r="M47" s="379"/>
      <c r="N47" s="379"/>
      <c r="O47" s="379"/>
      <c r="P47" s="379"/>
      <c r="Q47" s="379"/>
      <c r="R47" s="379"/>
      <c r="T47" s="43" t="str">
        <f>NAME</f>
        <v>DUKE ENERGY KENTUCKY, INC.</v>
      </c>
      <c r="U47" s="43"/>
      <c r="V47" s="43"/>
      <c r="W47" s="43"/>
      <c r="X47" s="43"/>
      <c r="Y47" s="43"/>
      <c r="Z47" s="43"/>
      <c r="AA47" s="43"/>
      <c r="AB47" s="43"/>
      <c r="AC47" s="44"/>
      <c r="AD47" s="44"/>
      <c r="AE47" s="43"/>
      <c r="AF47" s="57"/>
      <c r="AG47" s="144"/>
      <c r="AH47" s="57"/>
      <c r="AI47" s="43"/>
      <c r="AJ47" s="43"/>
      <c r="AK47" s="144"/>
      <c r="AL47" s="43"/>
      <c r="AM47" s="43"/>
      <c r="AN47" s="57"/>
      <c r="AO47" s="43"/>
      <c r="AP47" s="43"/>
      <c r="AQ47" s="144"/>
      <c r="AR47" s="379"/>
      <c r="AS47" s="379"/>
      <c r="AT47" s="379"/>
      <c r="AU47" s="50"/>
    </row>
    <row r="48" spans="1:47" x14ac:dyDescent="0.25">
      <c r="L48" s="379"/>
      <c r="M48" s="379"/>
      <c r="N48" s="379"/>
      <c r="O48" s="379"/>
      <c r="P48" s="379"/>
      <c r="Q48" s="379"/>
      <c r="R48" s="379"/>
      <c r="T48" s="43" t="str">
        <f>CASE_NO</f>
        <v>CASE NO.   2019-000271</v>
      </c>
      <c r="U48" s="43"/>
      <c r="V48" s="43"/>
      <c r="W48" s="43"/>
      <c r="X48" s="43"/>
      <c r="Y48" s="43"/>
      <c r="Z48" s="43"/>
      <c r="AA48" s="43"/>
      <c r="AB48" s="43"/>
      <c r="AC48" s="44"/>
      <c r="AD48" s="44"/>
      <c r="AE48" s="43"/>
      <c r="AF48" s="57"/>
      <c r="AG48" s="144"/>
      <c r="AH48" s="57"/>
      <c r="AI48" s="43"/>
      <c r="AJ48" s="43"/>
      <c r="AK48" s="144"/>
      <c r="AL48" s="43"/>
      <c r="AM48" s="43"/>
      <c r="AN48" s="57"/>
      <c r="AO48" s="43"/>
      <c r="AP48" s="43"/>
      <c r="AQ48" s="144"/>
      <c r="AR48" s="379"/>
      <c r="AS48" s="379"/>
      <c r="AT48" s="379"/>
      <c r="AU48" s="50"/>
    </row>
    <row r="49" spans="1:44" x14ac:dyDescent="0.25">
      <c r="H49" s="54"/>
      <c r="I49" s="54"/>
      <c r="T49" s="44" t="str">
        <f>TITLE</f>
        <v>ANNUALIZED BASE YEAR REVENUES AT PROPOSED VS. MOST CURRENT RATES</v>
      </c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57"/>
      <c r="AG49" s="144"/>
      <c r="AH49" s="57"/>
      <c r="AI49" s="43"/>
      <c r="AJ49" s="43"/>
      <c r="AK49" s="144"/>
      <c r="AL49" s="43"/>
      <c r="AM49" s="43"/>
      <c r="AN49" s="57"/>
      <c r="AO49" s="43"/>
      <c r="AP49" s="43"/>
      <c r="AQ49" s="144"/>
      <c r="AR49" s="379"/>
    </row>
    <row r="50" spans="1:44" x14ac:dyDescent="0.25">
      <c r="L50" s="54"/>
      <c r="M50" s="54"/>
      <c r="T50" s="43" t="str">
        <f>DATE</f>
        <v>FOR THE TWELVE MONTHS ENDED November 30, 2019</v>
      </c>
      <c r="U50" s="43"/>
      <c r="V50" s="43"/>
      <c r="W50" s="43"/>
      <c r="X50" s="43"/>
      <c r="Y50" s="43"/>
      <c r="Z50" s="43"/>
      <c r="AA50" s="43"/>
      <c r="AB50" s="43"/>
      <c r="AC50" s="44"/>
      <c r="AD50" s="44"/>
      <c r="AE50" s="43"/>
      <c r="AF50" s="57"/>
      <c r="AG50" s="144"/>
      <c r="AH50" s="57"/>
      <c r="AI50" s="43"/>
      <c r="AJ50" s="43"/>
      <c r="AK50" s="144"/>
      <c r="AL50" s="43"/>
      <c r="AM50" s="43"/>
      <c r="AN50" s="57"/>
      <c r="AO50" s="43"/>
      <c r="AP50" s="43"/>
      <c r="AQ50" s="144"/>
      <c r="AR50" s="449"/>
    </row>
    <row r="51" spans="1:44" x14ac:dyDescent="0.25">
      <c r="A51" s="53"/>
      <c r="R51" s="54"/>
      <c r="T51" s="43" t="str">
        <f>SERVICE</f>
        <v>(ELECTRIC SERVICE)</v>
      </c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4"/>
      <c r="AF51" s="58"/>
      <c r="AG51" s="144"/>
      <c r="AH51" s="57"/>
      <c r="AI51" s="43"/>
      <c r="AJ51" s="43"/>
      <c r="AK51" s="144"/>
      <c r="AL51" s="43"/>
      <c r="AM51" s="43"/>
      <c r="AN51" s="57"/>
      <c r="AO51" s="43"/>
      <c r="AP51" s="43"/>
      <c r="AQ51" s="144"/>
      <c r="AR51" s="449"/>
    </row>
    <row r="52" spans="1:44" x14ac:dyDescent="0.25">
      <c r="A52" s="53"/>
      <c r="R52" s="54"/>
      <c r="T52" s="45" t="str">
        <f>DATA_PERIOD</f>
        <v>DATA: __X__ BASE PERIOD   ____FORECASTED PERIOD</v>
      </c>
      <c r="U52" s="378"/>
      <c r="V52" s="378"/>
      <c r="W52" s="378"/>
      <c r="X52" s="378"/>
      <c r="Y52" s="378"/>
      <c r="Z52" s="378"/>
      <c r="AA52" s="378"/>
      <c r="AB52" s="378"/>
      <c r="AC52" s="378"/>
      <c r="AD52" s="378"/>
      <c r="AE52" s="378"/>
      <c r="AG52" s="143"/>
      <c r="AI52" s="378"/>
      <c r="AJ52" s="378"/>
      <c r="AK52" s="143"/>
      <c r="AL52" s="378"/>
      <c r="AM52" s="378"/>
      <c r="AO52" s="46" t="s">
        <v>164</v>
      </c>
      <c r="AP52" s="46"/>
      <c r="AQ52" s="143"/>
      <c r="AR52" s="379"/>
    </row>
    <row r="53" spans="1:44" x14ac:dyDescent="0.25">
      <c r="A53" s="54"/>
      <c r="R53" s="54"/>
      <c r="T53" s="45" t="str">
        <f>TYPE</f>
        <v>TYPE OF FILING: _X_ ORIGINAL   ___UPDATED  ___ REVISED</v>
      </c>
      <c r="U53" s="378"/>
      <c r="V53" s="378"/>
      <c r="W53" s="378"/>
      <c r="X53" s="378"/>
      <c r="Y53" s="378"/>
      <c r="Z53" s="378"/>
      <c r="AA53" s="378"/>
      <c r="AB53" s="378"/>
      <c r="AC53" s="378"/>
      <c r="AD53" s="378"/>
      <c r="AE53" s="378"/>
      <c r="AG53" s="143"/>
      <c r="AI53" s="378"/>
      <c r="AJ53" s="378"/>
      <c r="AK53" s="143"/>
      <c r="AL53" s="378"/>
      <c r="AM53" s="378"/>
      <c r="AO53" s="52" t="str">
        <f>"PAGE 12 OF "&amp;TEXT(Page_Num_2.2,"00")</f>
        <v>PAGE 12 OF 22</v>
      </c>
      <c r="AP53" s="46"/>
      <c r="AQ53" s="143"/>
      <c r="AR53" s="379"/>
    </row>
    <row r="54" spans="1:44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T54" s="46" t="s">
        <v>177</v>
      </c>
      <c r="U54" s="378"/>
      <c r="V54" s="378"/>
      <c r="W54" s="378"/>
      <c r="X54" s="378"/>
      <c r="Y54" s="378"/>
      <c r="Z54" s="378"/>
      <c r="AA54" s="378"/>
      <c r="AB54" s="378"/>
      <c r="AC54" s="378"/>
      <c r="AD54" s="378"/>
      <c r="AE54" s="378"/>
      <c r="AF54" s="378"/>
      <c r="AG54" s="143"/>
      <c r="AH54" s="378"/>
      <c r="AI54" s="378"/>
      <c r="AJ54" s="378"/>
      <c r="AK54" s="143"/>
      <c r="AL54" s="378"/>
      <c r="AM54" s="378"/>
      <c r="AN54" s="378"/>
      <c r="AO54" s="46" t="s">
        <v>3</v>
      </c>
      <c r="AP54" s="46"/>
      <c r="AQ54" s="143"/>
    </row>
    <row r="55" spans="1:44" x14ac:dyDescent="0.25">
      <c r="L55" s="56"/>
      <c r="M55" s="56"/>
      <c r="N55" s="56"/>
      <c r="O55" s="56"/>
      <c r="R55" s="56"/>
      <c r="T55" s="218" t="str">
        <f>TIME</f>
        <v>6 Months Actual and 6 Months Projected with Riders</v>
      </c>
      <c r="U55" s="378"/>
      <c r="V55" s="378"/>
      <c r="W55" s="378"/>
      <c r="X55" s="378"/>
      <c r="Y55" s="378"/>
      <c r="Z55" s="378"/>
      <c r="AA55" s="378"/>
      <c r="AB55" s="378"/>
      <c r="AC55" s="378"/>
      <c r="AD55" s="378"/>
      <c r="AF55" s="46"/>
      <c r="AG55" s="143"/>
      <c r="AH55" s="378"/>
      <c r="AI55" s="378"/>
      <c r="AJ55" s="378"/>
      <c r="AK55" s="143"/>
      <c r="AL55" s="378"/>
      <c r="AM55" s="378"/>
      <c r="AN55" s="378"/>
      <c r="AO55" s="45" t="str">
        <f>WIT</f>
        <v>J. L. Kern</v>
      </c>
      <c r="AP55" s="45"/>
      <c r="AQ55" s="143"/>
    </row>
    <row r="56" spans="1:44" x14ac:dyDescent="0.25">
      <c r="L56" s="56"/>
      <c r="M56" s="56"/>
      <c r="N56" s="56"/>
      <c r="O56" s="56"/>
      <c r="R56" s="56"/>
      <c r="T56" s="218" t="str">
        <f>INPUT!B5</f>
        <v>6 Months Actual Ending May 31, 2019</v>
      </c>
      <c r="U56" s="378"/>
      <c r="V56" s="378"/>
      <c r="W56" s="378"/>
      <c r="X56" s="378"/>
      <c r="Y56" s="378"/>
      <c r="Z56" s="378"/>
      <c r="AA56" s="378"/>
      <c r="AB56" s="378"/>
      <c r="AC56" s="378"/>
      <c r="AD56" s="378"/>
      <c r="AF56" s="46"/>
      <c r="AG56" s="143"/>
      <c r="AH56" s="378"/>
      <c r="AI56" s="378"/>
      <c r="AJ56" s="378"/>
      <c r="AK56" s="143"/>
      <c r="AL56" s="378"/>
      <c r="AM56" s="378"/>
      <c r="AN56" s="378"/>
      <c r="AO56" s="45"/>
      <c r="AP56" s="45"/>
      <c r="AQ56" s="143"/>
    </row>
    <row r="57" spans="1:44" x14ac:dyDescent="0.25">
      <c r="L57" s="56"/>
      <c r="M57" s="56"/>
      <c r="N57" s="56"/>
      <c r="O57" s="56"/>
      <c r="R57" s="56"/>
      <c r="T57" s="44" t="s">
        <v>137</v>
      </c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4"/>
      <c r="AF57" s="44"/>
      <c r="AG57" s="144"/>
      <c r="AH57" s="43"/>
      <c r="AI57" s="43"/>
      <c r="AJ57" s="43"/>
      <c r="AK57" s="144"/>
      <c r="AL57" s="43"/>
      <c r="AM57" s="43"/>
      <c r="AN57" s="43"/>
      <c r="AO57" s="44"/>
      <c r="AP57" s="44"/>
      <c r="AQ57" s="144"/>
    </row>
    <row r="58" spans="1:44" x14ac:dyDescent="0.25">
      <c r="C58" s="56"/>
      <c r="D58" s="56"/>
      <c r="E58" s="56"/>
      <c r="F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159"/>
      <c r="AH58" s="72"/>
      <c r="AI58" s="72"/>
      <c r="AJ58" s="72"/>
      <c r="AK58" s="159"/>
      <c r="AL58" s="72"/>
      <c r="AM58" s="72"/>
      <c r="AN58" s="72"/>
      <c r="AO58" s="72"/>
      <c r="AP58" s="72"/>
      <c r="AQ58" s="159"/>
    </row>
    <row r="59" spans="1:44" ht="18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4" t="s">
        <v>8</v>
      </c>
      <c r="AF59" s="74"/>
      <c r="AG59" s="160" t="s">
        <v>7</v>
      </c>
      <c r="AH59" s="74"/>
      <c r="AI59" s="74" t="s">
        <v>9</v>
      </c>
      <c r="AJ59" s="74"/>
      <c r="AK59" s="160" t="s">
        <v>10</v>
      </c>
      <c r="AL59" s="74"/>
      <c r="AM59" s="73"/>
      <c r="AN59" s="73"/>
      <c r="AO59" s="74" t="s">
        <v>8</v>
      </c>
      <c r="AP59" s="74"/>
      <c r="AQ59" s="160" t="s">
        <v>11</v>
      </c>
    </row>
    <row r="60" spans="1:44" x14ac:dyDescent="0.25"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T60" s="378"/>
      <c r="U60" s="378"/>
      <c r="V60" s="378"/>
      <c r="W60" s="378"/>
      <c r="X60" s="378"/>
      <c r="Y60" s="378"/>
      <c r="Z60" s="378"/>
      <c r="AA60" s="378"/>
      <c r="AB60" s="378"/>
      <c r="AC60" s="426" t="s">
        <v>14</v>
      </c>
      <c r="AD60" s="426"/>
      <c r="AE60" s="426" t="s">
        <v>12</v>
      </c>
      <c r="AF60" s="426"/>
      <c r="AG60" s="146" t="s">
        <v>13</v>
      </c>
      <c r="AH60" s="426"/>
      <c r="AI60" s="426" t="s">
        <v>15</v>
      </c>
      <c r="AJ60" s="426"/>
      <c r="AK60" s="146" t="s">
        <v>16</v>
      </c>
      <c r="AL60" s="426"/>
      <c r="AM60" s="378"/>
      <c r="AN60" s="378"/>
      <c r="AO60" s="426" t="s">
        <v>11</v>
      </c>
      <c r="AP60" s="426"/>
      <c r="AQ60" s="146" t="s">
        <v>9</v>
      </c>
    </row>
    <row r="61" spans="1:44" x14ac:dyDescent="0.25">
      <c r="A61" s="53"/>
      <c r="C61" s="54"/>
      <c r="D61" s="54"/>
      <c r="E61" s="54"/>
      <c r="T61" s="426" t="s">
        <v>17</v>
      </c>
      <c r="U61" s="378"/>
      <c r="V61" s="426" t="s">
        <v>18</v>
      </c>
      <c r="W61" s="426" t="s">
        <v>19</v>
      </c>
      <c r="X61" s="426"/>
      <c r="Y61" s="426" t="s">
        <v>20</v>
      </c>
      <c r="Z61" s="378"/>
      <c r="AA61" s="378"/>
      <c r="AB61" s="378"/>
      <c r="AC61" s="426" t="s">
        <v>8</v>
      </c>
      <c r="AD61" s="426"/>
      <c r="AE61" s="426" t="s">
        <v>21</v>
      </c>
      <c r="AF61" s="426"/>
      <c r="AG61" s="146" t="s">
        <v>21</v>
      </c>
      <c r="AH61" s="426"/>
      <c r="AI61" s="426" t="s">
        <v>22</v>
      </c>
      <c r="AJ61" s="426"/>
      <c r="AK61" s="146" t="s">
        <v>22</v>
      </c>
      <c r="AL61" s="426"/>
      <c r="AM61" s="426" t="s">
        <v>21</v>
      </c>
      <c r="AN61" s="426"/>
      <c r="AO61" s="426" t="s">
        <v>9</v>
      </c>
      <c r="AP61" s="426"/>
      <c r="AQ61" s="146" t="s">
        <v>23</v>
      </c>
    </row>
    <row r="62" spans="1:44" x14ac:dyDescent="0.25">
      <c r="A62" s="53"/>
      <c r="C62" s="54"/>
      <c r="T62" s="426" t="s">
        <v>24</v>
      </c>
      <c r="U62" s="378"/>
      <c r="V62" s="426" t="s">
        <v>25</v>
      </c>
      <c r="W62" s="426" t="s">
        <v>26</v>
      </c>
      <c r="X62" s="426"/>
      <c r="Y62" s="426" t="s">
        <v>27</v>
      </c>
      <c r="Z62" s="378"/>
      <c r="AA62" s="426" t="s">
        <v>28</v>
      </c>
      <c r="AB62" s="426"/>
      <c r="AC62" s="426" t="s">
        <v>29</v>
      </c>
      <c r="AD62" s="426"/>
      <c r="AE62" s="426" t="s">
        <v>9</v>
      </c>
      <c r="AF62" s="426"/>
      <c r="AG62" s="146" t="s">
        <v>9</v>
      </c>
      <c r="AH62" s="426"/>
      <c r="AI62" s="265" t="s">
        <v>31</v>
      </c>
      <c r="AJ62" s="265"/>
      <c r="AK62" s="440" t="s">
        <v>32</v>
      </c>
      <c r="AL62" s="426"/>
      <c r="AM62" s="426" t="s">
        <v>426</v>
      </c>
      <c r="AN62" s="426"/>
      <c r="AO62" s="265" t="s">
        <v>33</v>
      </c>
      <c r="AP62" s="265"/>
      <c r="AQ62" s="440" t="s">
        <v>34</v>
      </c>
    </row>
    <row r="63" spans="1:44" x14ac:dyDescent="0.25">
      <c r="T63" s="378"/>
      <c r="U63" s="378"/>
      <c r="V63" s="265" t="s">
        <v>35</v>
      </c>
      <c r="W63" s="265" t="s">
        <v>36</v>
      </c>
      <c r="X63" s="265"/>
      <c r="Y63" s="265" t="s">
        <v>37</v>
      </c>
      <c r="Z63" s="218"/>
      <c r="AA63" s="265" t="s">
        <v>38</v>
      </c>
      <c r="AB63" s="265"/>
      <c r="AC63" s="265" t="s">
        <v>44</v>
      </c>
      <c r="AD63" s="265"/>
      <c r="AE63" s="265" t="s">
        <v>45</v>
      </c>
      <c r="AF63" s="265"/>
      <c r="AG63" s="440" t="s">
        <v>46</v>
      </c>
      <c r="AH63" s="265"/>
      <c r="AI63" s="265" t="s">
        <v>47</v>
      </c>
      <c r="AJ63" s="265"/>
      <c r="AK63" s="440" t="s">
        <v>48</v>
      </c>
      <c r="AL63" s="265"/>
      <c r="AM63" s="265" t="s">
        <v>42</v>
      </c>
      <c r="AN63" s="265"/>
      <c r="AO63" s="265" t="s">
        <v>49</v>
      </c>
      <c r="AP63" s="265"/>
      <c r="AQ63" s="440" t="s">
        <v>50</v>
      </c>
    </row>
    <row r="64" spans="1:44" x14ac:dyDescent="0.25">
      <c r="T64" s="378"/>
      <c r="U64" s="378"/>
      <c r="V64" s="426"/>
      <c r="W64" s="426"/>
      <c r="X64" s="426"/>
      <c r="Y64" s="426"/>
      <c r="Z64" s="378"/>
      <c r="AA64" s="80"/>
      <c r="AB64" s="80"/>
      <c r="AC64" s="80"/>
      <c r="AD64" s="426"/>
      <c r="AE64" s="426"/>
      <c r="AF64" s="426"/>
      <c r="AG64" s="146"/>
      <c r="AH64" s="426"/>
      <c r="AI64" s="426"/>
      <c r="AJ64" s="426"/>
      <c r="AK64" s="146"/>
      <c r="AL64" s="426"/>
      <c r="AM64" s="426"/>
      <c r="AN64" s="426"/>
      <c r="AO64" s="426"/>
      <c r="AP64" s="426"/>
      <c r="AQ64" s="146"/>
    </row>
    <row r="65" spans="1:43" ht="17.100000000000001" customHeight="1" x14ac:dyDescent="0.25">
      <c r="A65" s="53"/>
      <c r="C65" s="54"/>
      <c r="F65" s="449"/>
      <c r="H65" s="449"/>
      <c r="I65" s="449"/>
      <c r="J65" s="461"/>
      <c r="K65" s="461"/>
      <c r="L65" s="379"/>
      <c r="M65" s="379"/>
      <c r="N65" s="50"/>
      <c r="O65" s="50"/>
      <c r="P65" s="53"/>
      <c r="Q65" s="53"/>
      <c r="R65" s="379"/>
      <c r="T65" s="73"/>
      <c r="U65" s="73"/>
      <c r="V65" s="73"/>
      <c r="W65" s="73"/>
      <c r="X65" s="73"/>
      <c r="Y65" s="73"/>
      <c r="Z65" s="73"/>
      <c r="AA65" s="442" t="s">
        <v>51</v>
      </c>
      <c r="AB65" s="441"/>
      <c r="AC65" s="442" t="s">
        <v>368</v>
      </c>
      <c r="AD65" s="496"/>
      <c r="AE65" s="496" t="s">
        <v>52</v>
      </c>
      <c r="AF65" s="496"/>
      <c r="AG65" s="498" t="s">
        <v>53</v>
      </c>
      <c r="AH65" s="496"/>
      <c r="AI65" s="496" t="s">
        <v>52</v>
      </c>
      <c r="AJ65" s="496"/>
      <c r="AK65" s="498" t="s">
        <v>53</v>
      </c>
      <c r="AL65" s="496"/>
      <c r="AM65" s="496" t="s">
        <v>52</v>
      </c>
      <c r="AN65" s="496"/>
      <c r="AO65" s="496" t="s">
        <v>52</v>
      </c>
      <c r="AP65" s="496"/>
      <c r="AQ65" s="498" t="s">
        <v>53</v>
      </c>
    </row>
    <row r="66" spans="1:43" x14ac:dyDescent="0.25">
      <c r="A66" s="53"/>
      <c r="C66" s="54"/>
      <c r="F66" s="449"/>
      <c r="H66" s="449"/>
      <c r="I66" s="449"/>
      <c r="J66" s="461"/>
      <c r="K66" s="461"/>
      <c r="L66" s="379"/>
      <c r="M66" s="379"/>
      <c r="N66" s="50"/>
      <c r="O66" s="50"/>
      <c r="P66" s="53"/>
      <c r="Q66" s="53"/>
      <c r="R66" s="379"/>
      <c r="T66" s="45">
        <f t="shared" ref="T66:T77" si="2">A20</f>
        <v>1</v>
      </c>
      <c r="U66" s="378"/>
      <c r="V66" s="222" t="s">
        <v>361</v>
      </c>
      <c r="W66" s="501" t="s">
        <v>365</v>
      </c>
      <c r="X66" s="46"/>
      <c r="Y66" s="2"/>
      <c r="Z66" s="2"/>
      <c r="AA66" s="2"/>
      <c r="AB66" s="2"/>
      <c r="AC66" s="2"/>
      <c r="AD66" s="2"/>
      <c r="AE66" s="2"/>
      <c r="AF66" s="2"/>
      <c r="AG66" s="147"/>
      <c r="AH66" s="2"/>
      <c r="AI66" s="2"/>
      <c r="AJ66" s="2"/>
      <c r="AK66" s="147"/>
      <c r="AL66" s="2"/>
      <c r="AM66" s="2"/>
      <c r="AN66" s="2"/>
      <c r="AO66" s="2"/>
      <c r="AP66" s="2"/>
      <c r="AQ66" s="147"/>
    </row>
    <row r="67" spans="1:43" x14ac:dyDescent="0.25">
      <c r="A67" s="53"/>
      <c r="C67" s="54"/>
      <c r="F67" s="449"/>
      <c r="H67" s="449"/>
      <c r="I67" s="449"/>
      <c r="J67" s="461"/>
      <c r="K67" s="461"/>
      <c r="L67" s="379"/>
      <c r="M67" s="379"/>
      <c r="N67" s="50"/>
      <c r="O67" s="50"/>
      <c r="P67" s="53"/>
      <c r="Q67" s="53"/>
      <c r="R67" s="379"/>
      <c r="T67" s="45">
        <f t="shared" si="2"/>
        <v>2</v>
      </c>
      <c r="U67" s="378"/>
      <c r="V67" s="222"/>
      <c r="W67" s="218" t="s">
        <v>366</v>
      </c>
      <c r="X67" s="378"/>
      <c r="Y67" s="2"/>
      <c r="Z67" s="2"/>
      <c r="AA67" s="2"/>
      <c r="AB67" s="2"/>
      <c r="AC67" s="2"/>
      <c r="AD67" s="2"/>
      <c r="AE67" s="2"/>
      <c r="AF67" s="2"/>
      <c r="AG67" s="147"/>
      <c r="AH67" s="2"/>
      <c r="AI67" s="2"/>
      <c r="AJ67" s="2"/>
      <c r="AK67" s="147"/>
      <c r="AL67" s="2"/>
      <c r="AM67" s="2"/>
      <c r="AN67" s="2"/>
      <c r="AO67" s="2"/>
      <c r="AP67" s="2"/>
      <c r="AQ67" s="147"/>
    </row>
    <row r="68" spans="1:43" ht="19.5" customHeight="1" x14ac:dyDescent="0.25">
      <c r="A68" s="53"/>
      <c r="C68" s="54"/>
      <c r="F68" s="449"/>
      <c r="H68" s="449"/>
      <c r="I68" s="449"/>
      <c r="J68" s="461"/>
      <c r="K68" s="461"/>
      <c r="L68" s="379"/>
      <c r="M68" s="379"/>
      <c r="N68" s="50"/>
      <c r="O68" s="50"/>
      <c r="P68" s="53"/>
      <c r="Q68" s="53"/>
      <c r="R68" s="379"/>
      <c r="T68" s="45"/>
      <c r="U68" s="378"/>
      <c r="V68" s="46"/>
      <c r="W68" s="378"/>
      <c r="X68" s="378"/>
      <c r="Y68" s="2"/>
      <c r="Z68" s="2"/>
      <c r="AA68" s="2"/>
      <c r="AB68" s="2"/>
      <c r="AC68" s="2"/>
      <c r="AD68" s="2"/>
      <c r="AE68" s="2"/>
      <c r="AF68" s="2"/>
      <c r="AG68" s="147"/>
      <c r="AH68" s="2"/>
      <c r="AI68" s="2"/>
      <c r="AJ68" s="2"/>
      <c r="AK68" s="147"/>
      <c r="AL68" s="2"/>
      <c r="AM68" s="2"/>
      <c r="AN68" s="2"/>
      <c r="AO68" s="2"/>
      <c r="AP68" s="2"/>
      <c r="AQ68" s="147"/>
    </row>
    <row r="69" spans="1:43" x14ac:dyDescent="0.25">
      <c r="A69" s="53"/>
      <c r="C69" s="54"/>
      <c r="F69" s="449"/>
      <c r="H69" s="449"/>
      <c r="I69" s="449"/>
      <c r="J69" s="461"/>
      <c r="K69" s="461"/>
      <c r="L69" s="379"/>
      <c r="M69" s="379"/>
      <c r="N69" s="50"/>
      <c r="O69" s="50"/>
      <c r="P69" s="53"/>
      <c r="Q69" s="53"/>
      <c r="R69" s="379"/>
      <c r="T69" s="45">
        <f t="shared" si="2"/>
        <v>3</v>
      </c>
      <c r="U69" s="378"/>
      <c r="V69" s="222" t="s">
        <v>140</v>
      </c>
      <c r="W69" s="378"/>
      <c r="X69" s="378"/>
      <c r="Y69" s="2"/>
      <c r="Z69" s="2"/>
      <c r="AA69" s="2"/>
      <c r="AB69" s="2"/>
      <c r="AC69" s="2"/>
      <c r="AD69" s="2"/>
      <c r="AE69" s="2"/>
      <c r="AF69" s="2"/>
      <c r="AG69" s="147"/>
      <c r="AH69" s="2"/>
      <c r="AI69" s="2"/>
      <c r="AJ69" s="2"/>
      <c r="AK69" s="147"/>
      <c r="AL69" s="2"/>
      <c r="AM69" s="2"/>
      <c r="AN69" s="2"/>
      <c r="AO69" s="2"/>
      <c r="AP69" s="2"/>
      <c r="AQ69" s="147"/>
    </row>
    <row r="70" spans="1:43" x14ac:dyDescent="0.25">
      <c r="A70" s="53"/>
      <c r="C70" s="54"/>
      <c r="F70" s="449"/>
      <c r="H70" s="449"/>
      <c r="I70" s="449"/>
      <c r="J70" s="461"/>
      <c r="K70" s="461"/>
      <c r="L70" s="379"/>
      <c r="M70" s="379"/>
      <c r="N70" s="50"/>
      <c r="O70" s="50"/>
      <c r="P70" s="53"/>
      <c r="Q70" s="53"/>
      <c r="R70" s="379"/>
      <c r="T70" s="45">
        <f t="shared" si="2"/>
        <v>4</v>
      </c>
      <c r="U70" s="378"/>
      <c r="V70" s="46" t="s">
        <v>367</v>
      </c>
      <c r="W70" s="378"/>
      <c r="X70" s="378"/>
      <c r="Y70" s="116">
        <f>F24</f>
        <v>24</v>
      </c>
      <c r="Z70" s="2"/>
      <c r="AA70" s="2"/>
      <c r="AB70" s="2"/>
      <c r="AC70" s="462">
        <f>INPUT!C153</f>
        <v>183</v>
      </c>
      <c r="AD70" s="2"/>
      <c r="AE70" s="81">
        <f>ROUND(Y70*AC70,0)</f>
        <v>4392</v>
      </c>
      <c r="AF70" s="5"/>
      <c r="AG70" s="148">
        <f>ROUND((AE70/AE$85)*100,1)</f>
        <v>0.9</v>
      </c>
      <c r="AH70" s="6"/>
      <c r="AI70" s="81">
        <f>L24-AE70</f>
        <v>0</v>
      </c>
      <c r="AJ70" s="5"/>
      <c r="AK70" s="163">
        <f>IF(AE70=0,"0.0 ",ROUND((AI70/AE70)*100,1))</f>
        <v>0</v>
      </c>
      <c r="AL70" s="8"/>
      <c r="AM70" s="109"/>
      <c r="AN70" s="1"/>
      <c r="AO70" s="81">
        <f>AE70+AM70</f>
        <v>4392</v>
      </c>
      <c r="AP70" s="5"/>
      <c r="AQ70" s="164">
        <f>IF(AO70=0,"0.0 ",ROUND((AI70/AO70)*100,1))</f>
        <v>0</v>
      </c>
    </row>
    <row r="71" spans="1:43" ht="20.100000000000001" customHeight="1" x14ac:dyDescent="0.25">
      <c r="A71" s="53"/>
      <c r="C71" s="54"/>
      <c r="F71" s="379"/>
      <c r="H71" s="379"/>
      <c r="I71" s="379"/>
      <c r="J71" s="464"/>
      <c r="K71" s="464"/>
      <c r="L71" s="379"/>
      <c r="M71" s="379"/>
      <c r="N71" s="50"/>
      <c r="O71" s="50"/>
      <c r="P71" s="379"/>
      <c r="Q71" s="379"/>
      <c r="R71" s="379"/>
      <c r="T71" s="45">
        <f t="shared" si="2"/>
        <v>5</v>
      </c>
      <c r="U71" s="378"/>
      <c r="V71" s="46" t="s">
        <v>143</v>
      </c>
      <c r="W71" s="378"/>
      <c r="X71" s="378"/>
      <c r="Y71" s="83"/>
      <c r="Z71" s="2"/>
      <c r="AA71" s="86"/>
      <c r="AB71" s="86"/>
      <c r="AC71" s="450"/>
      <c r="AD71" s="96"/>
      <c r="AE71" s="115">
        <f>SUM(AE70)</f>
        <v>4392</v>
      </c>
      <c r="AG71" s="150">
        <f>ROUND((AE71/AE$85)*100,1)</f>
        <v>0.9</v>
      </c>
      <c r="AI71" s="90">
        <f>L25-AE71</f>
        <v>0</v>
      </c>
      <c r="AK71" s="165">
        <f>IF(AE71=0,"0.0 ",ROUND((AI71/AE71)*100,1))</f>
        <v>0</v>
      </c>
      <c r="AM71" s="138"/>
      <c r="AO71" s="81">
        <f>AE71+AM71</f>
        <v>4392</v>
      </c>
      <c r="AQ71" s="164">
        <f>IF(AO71=0,"0.0 ",ROUND((AI71/AO71)*100,1))</f>
        <v>0</v>
      </c>
    </row>
    <row r="72" spans="1:43" ht="24.75" customHeight="1" x14ac:dyDescent="0.25">
      <c r="A72" s="53"/>
      <c r="C72" s="54"/>
      <c r="F72" s="379"/>
      <c r="H72" s="379"/>
      <c r="I72" s="379"/>
      <c r="J72" s="464"/>
      <c r="K72" s="464"/>
      <c r="L72" s="379"/>
      <c r="M72" s="379"/>
      <c r="N72" s="50"/>
      <c r="O72" s="50"/>
      <c r="P72" s="379"/>
      <c r="Q72" s="379"/>
      <c r="R72" s="379"/>
      <c r="T72" s="45"/>
      <c r="U72" s="378"/>
      <c r="V72" s="46"/>
      <c r="W72" s="378"/>
      <c r="X72" s="378"/>
      <c r="Y72" s="83"/>
      <c r="Z72" s="2"/>
      <c r="AA72" s="86"/>
      <c r="AB72" s="86"/>
      <c r="AC72" s="450"/>
      <c r="AD72" s="96"/>
      <c r="AE72" s="83"/>
      <c r="AF72" s="5"/>
      <c r="AG72" s="383"/>
      <c r="AH72" s="6"/>
      <c r="AI72" s="83"/>
      <c r="AJ72" s="5"/>
      <c r="AK72" s="149"/>
      <c r="AL72" s="8"/>
      <c r="AM72" s="97"/>
      <c r="AN72" s="1"/>
      <c r="AO72" s="83"/>
      <c r="AP72" s="5"/>
      <c r="AQ72" s="149"/>
    </row>
    <row r="73" spans="1:43" x14ac:dyDescent="0.25">
      <c r="A73" s="53"/>
      <c r="C73" s="54"/>
      <c r="F73" s="379"/>
      <c r="H73" s="379"/>
      <c r="I73" s="379"/>
      <c r="J73" s="464"/>
      <c r="K73" s="464"/>
      <c r="L73" s="379"/>
      <c r="M73" s="379"/>
      <c r="N73" s="379"/>
      <c r="O73" s="379"/>
      <c r="P73" s="379"/>
      <c r="Q73" s="379"/>
      <c r="R73" s="379"/>
      <c r="T73" s="45">
        <f t="shared" si="2"/>
        <v>6</v>
      </c>
      <c r="U73" s="378"/>
      <c r="V73" s="222" t="s">
        <v>69</v>
      </c>
      <c r="W73" s="378"/>
      <c r="X73" s="378"/>
      <c r="Y73" s="83"/>
      <c r="Z73" s="2"/>
      <c r="AA73" s="5"/>
      <c r="AB73" s="5"/>
      <c r="AC73" s="51"/>
      <c r="AD73" s="9"/>
      <c r="AE73" s="5"/>
      <c r="AF73" s="5"/>
      <c r="AG73" s="149"/>
      <c r="AH73" s="6"/>
      <c r="AI73" s="5"/>
      <c r="AJ73" s="5"/>
      <c r="AK73" s="149"/>
      <c r="AL73" s="8"/>
      <c r="AM73" s="5"/>
      <c r="AN73" s="5"/>
      <c r="AO73" s="5"/>
      <c r="AP73" s="5"/>
      <c r="AQ73" s="149"/>
    </row>
    <row r="74" spans="1:43" x14ac:dyDescent="0.25">
      <c r="A74" s="53"/>
      <c r="C74" s="54"/>
      <c r="F74" s="379"/>
      <c r="H74" s="379"/>
      <c r="I74" s="379"/>
      <c r="J74" s="464"/>
      <c r="K74" s="464"/>
      <c r="L74" s="379"/>
      <c r="M74" s="379"/>
      <c r="N74" s="379"/>
      <c r="O74" s="379"/>
      <c r="P74" s="379"/>
      <c r="Q74" s="379"/>
      <c r="R74" s="379"/>
      <c r="T74" s="45">
        <f t="shared" si="2"/>
        <v>7</v>
      </c>
      <c r="U74" s="378"/>
      <c r="V74" s="46" t="s">
        <v>443</v>
      </c>
      <c r="W74" s="378"/>
      <c r="X74" s="378"/>
      <c r="Y74" s="83"/>
      <c r="Z74" s="2"/>
      <c r="AA74" s="5">
        <f>H28</f>
        <v>14214991</v>
      </c>
      <c r="AB74" s="5"/>
      <c r="AC74" s="465">
        <f>INPUT!C157</f>
        <v>3.5760000000000002E-3</v>
      </c>
      <c r="AD74" s="9"/>
      <c r="AE74" s="83">
        <f>ROUND((AA74*AC74),0)</f>
        <v>50833</v>
      </c>
      <c r="AF74" s="83"/>
      <c r="AG74" s="383">
        <f>ROUND((AE74/AE$85)*100,1)</f>
        <v>9.8000000000000007</v>
      </c>
      <c r="AH74" s="91"/>
      <c r="AI74" s="83">
        <f>L28-AE74</f>
        <v>43014</v>
      </c>
      <c r="AJ74" s="83"/>
      <c r="AK74" s="168">
        <f>IF(AE74=0,"0.0 ",ROUND((AI74/AE74)*100,1))</f>
        <v>84.6</v>
      </c>
      <c r="AL74" s="103"/>
      <c r="AM74" s="83"/>
      <c r="AN74" s="83"/>
      <c r="AO74" s="83">
        <f>AE74+AM74</f>
        <v>50833</v>
      </c>
      <c r="AP74" s="5"/>
      <c r="AQ74" s="164">
        <f>IF(AO74=0,"0.0 ",ROUND((AI74/AO74)*100,1))</f>
        <v>84.6</v>
      </c>
    </row>
    <row r="75" spans="1:43" x14ac:dyDescent="0.25">
      <c r="A75" s="53"/>
      <c r="C75" s="54"/>
      <c r="F75" s="379"/>
      <c r="H75" s="449"/>
      <c r="I75" s="449"/>
      <c r="J75" s="221"/>
      <c r="K75" s="221"/>
      <c r="L75" s="379"/>
      <c r="M75" s="379"/>
      <c r="N75" s="50"/>
      <c r="O75" s="50"/>
      <c r="P75" s="379"/>
      <c r="Q75" s="379"/>
      <c r="R75" s="379"/>
      <c r="T75" s="45">
        <f t="shared" si="2"/>
        <v>8</v>
      </c>
      <c r="U75" s="378"/>
      <c r="V75" s="46" t="s">
        <v>431</v>
      </c>
      <c r="W75" s="378"/>
      <c r="X75" s="378"/>
      <c r="Y75" s="83"/>
      <c r="Z75" s="2"/>
      <c r="AA75" s="83">
        <f>H29</f>
        <v>14214991</v>
      </c>
      <c r="AB75" s="83"/>
      <c r="AC75" s="507">
        <f>INPUT!C161</f>
        <v>3.2085999999999996E-2</v>
      </c>
      <c r="AD75" s="500"/>
      <c r="AE75" s="83">
        <f>ROUND((AA75*AC75),0)</f>
        <v>456102</v>
      </c>
      <c r="AF75" s="83"/>
      <c r="AG75" s="383">
        <f>ROUND((AE75/AE$85)*100,1)</f>
        <v>88.3</v>
      </c>
      <c r="AH75" s="91"/>
      <c r="AI75" s="83">
        <f>L29-AE75</f>
        <v>0</v>
      </c>
      <c r="AJ75" s="83"/>
      <c r="AK75" s="168">
        <f>IF(AE75=0,"0.0 ",ROUND((AI75/AE75)*100,1))</f>
        <v>0</v>
      </c>
      <c r="AL75" s="103"/>
      <c r="AM75" s="379">
        <v>0</v>
      </c>
      <c r="AN75" s="83"/>
      <c r="AO75" s="83">
        <f>AE75+AM75</f>
        <v>456102</v>
      </c>
      <c r="AP75" s="83"/>
      <c r="AQ75" s="168">
        <f>IF(AO75=0,"0.0 ",ROUND((AI75/AO75)*100,1))</f>
        <v>0</v>
      </c>
    </row>
    <row r="76" spans="1:43" ht="20.100000000000001" customHeight="1" x14ac:dyDescent="0.25">
      <c r="A76" s="53"/>
      <c r="C76" s="54"/>
      <c r="F76" s="379"/>
      <c r="H76" s="379"/>
      <c r="I76" s="379"/>
      <c r="J76" s="59"/>
      <c r="K76" s="59"/>
      <c r="L76" s="379"/>
      <c r="M76" s="379"/>
      <c r="N76" s="50"/>
      <c r="O76" s="50"/>
      <c r="P76" s="379"/>
      <c r="Q76" s="379"/>
      <c r="R76" s="379"/>
      <c r="T76" s="45">
        <f t="shared" si="2"/>
        <v>9</v>
      </c>
      <c r="U76" s="378"/>
      <c r="V76" s="222" t="s">
        <v>149</v>
      </c>
      <c r="W76" s="378"/>
      <c r="X76" s="378"/>
      <c r="Y76" s="81"/>
      <c r="Z76" s="2"/>
      <c r="AA76" s="90">
        <f>H30</f>
        <v>14214991</v>
      </c>
      <c r="AB76" s="5"/>
      <c r="AC76" s="268"/>
      <c r="AD76" s="446"/>
      <c r="AE76" s="90">
        <f>SUM(AE74:AE75)</f>
        <v>506935</v>
      </c>
      <c r="AF76" s="5"/>
      <c r="AG76" s="150">
        <f>ROUND((AE76/AE$85)*100,1)</f>
        <v>98.2</v>
      </c>
      <c r="AH76" s="6"/>
      <c r="AI76" s="90">
        <f>SUM(AI74:AI75)</f>
        <v>43014</v>
      </c>
      <c r="AJ76" s="5"/>
      <c r="AK76" s="165">
        <f>IF(AE76=0,"0.0 ",ROUND((AI76/AE76)*100,1))</f>
        <v>8.5</v>
      </c>
      <c r="AL76" s="6"/>
      <c r="AM76" s="90">
        <f>AM75</f>
        <v>0</v>
      </c>
      <c r="AN76" s="5"/>
      <c r="AO76" s="90">
        <f>SUM(AO74:AO75)</f>
        <v>506935</v>
      </c>
      <c r="AP76" s="5"/>
      <c r="AQ76" s="164">
        <f>IF(AO76=0,"0.0 ",ROUND((AI76/AO76)*100,1))</f>
        <v>8.5</v>
      </c>
    </row>
    <row r="77" spans="1:43" ht="20.100000000000001" customHeight="1" x14ac:dyDescent="0.25">
      <c r="A77" s="53"/>
      <c r="C77" s="54"/>
      <c r="F77" s="379"/>
      <c r="H77" s="379"/>
      <c r="I77" s="379"/>
      <c r="J77" s="59"/>
      <c r="K77" s="59"/>
      <c r="L77" s="379"/>
      <c r="M77" s="379"/>
      <c r="N77" s="50"/>
      <c r="O77" s="50"/>
      <c r="P77" s="379"/>
      <c r="Q77" s="379"/>
      <c r="R77" s="379"/>
      <c r="T77" s="45">
        <f t="shared" si="2"/>
        <v>10</v>
      </c>
      <c r="U77" s="378"/>
      <c r="V77" s="444" t="s">
        <v>536</v>
      </c>
      <c r="W77" s="378"/>
      <c r="X77" s="378"/>
      <c r="Y77" s="90">
        <f>Y70</f>
        <v>24</v>
      </c>
      <c r="Z77" s="2"/>
      <c r="AA77" s="90">
        <f>AA76</f>
        <v>14214991</v>
      </c>
      <c r="AB77" s="5"/>
      <c r="AC77" s="268"/>
      <c r="AD77" s="446"/>
      <c r="AE77" s="90">
        <f>AE76+AE71</f>
        <v>511327</v>
      </c>
      <c r="AF77" s="5"/>
      <c r="AG77" s="150">
        <f>ROUND((AE77/AE$85)*100,1)</f>
        <v>99</v>
      </c>
      <c r="AH77" s="6"/>
      <c r="AI77" s="90">
        <f>AI76+AI71</f>
        <v>43014</v>
      </c>
      <c r="AJ77" s="5"/>
      <c r="AK77" s="165">
        <f>IF(AE77=0,"0.0 ",ROUND((AI77/AE77)*100,1))</f>
        <v>8.4</v>
      </c>
      <c r="AL77" s="6"/>
      <c r="AM77" s="90">
        <f>AM76+AM71</f>
        <v>0</v>
      </c>
      <c r="AN77" s="5"/>
      <c r="AO77" s="90">
        <f>AO76+AO71</f>
        <v>511327</v>
      </c>
      <c r="AP77" s="5"/>
      <c r="AQ77" s="164">
        <f>IF(AO77=0,"0.0 ",ROUND((AI77/AO77)*100,1))</f>
        <v>8.4</v>
      </c>
    </row>
    <row r="78" spans="1:43" ht="15.75" customHeight="1" x14ac:dyDescent="0.25">
      <c r="A78" s="53"/>
      <c r="C78" s="54"/>
      <c r="F78" s="379"/>
      <c r="H78" s="379"/>
      <c r="I78" s="379"/>
      <c r="J78" s="59"/>
      <c r="K78" s="59"/>
      <c r="L78" s="379"/>
      <c r="M78" s="379"/>
      <c r="N78" s="50"/>
      <c r="O78" s="50"/>
      <c r="P78" s="379"/>
      <c r="Q78" s="379"/>
      <c r="R78" s="379"/>
      <c r="T78" s="45"/>
      <c r="U78" s="378"/>
      <c r="V78" s="46"/>
      <c r="W78" s="378"/>
      <c r="X78" s="378"/>
      <c r="Y78" s="83"/>
      <c r="Z78" s="2"/>
      <c r="AA78" s="83"/>
      <c r="AB78" s="5"/>
      <c r="AC78" s="268"/>
      <c r="AD78" s="446"/>
      <c r="AE78" s="83"/>
      <c r="AF78" s="5"/>
      <c r="AG78" s="383"/>
      <c r="AH78" s="6"/>
      <c r="AI78" s="83"/>
      <c r="AJ78" s="5"/>
      <c r="AK78" s="168"/>
      <c r="AL78" s="6"/>
      <c r="AM78" s="83"/>
      <c r="AN78" s="5"/>
      <c r="AO78" s="83"/>
      <c r="AP78" s="5"/>
      <c r="AQ78" s="164"/>
    </row>
    <row r="79" spans="1:43" ht="15.75" customHeight="1" x14ac:dyDescent="0.25">
      <c r="A79" s="53"/>
      <c r="C79" s="54"/>
      <c r="F79" s="379"/>
      <c r="H79" s="379"/>
      <c r="I79" s="379"/>
      <c r="J79" s="59"/>
      <c r="K79" s="59"/>
      <c r="L79" s="379"/>
      <c r="M79" s="379"/>
      <c r="N79" s="50"/>
      <c r="O79" s="50"/>
      <c r="P79" s="379"/>
      <c r="Q79" s="379"/>
      <c r="R79" s="379"/>
      <c r="T79" s="45">
        <f>A33</f>
        <v>11</v>
      </c>
      <c r="U79" s="378"/>
      <c r="V79" s="222" t="s">
        <v>504</v>
      </c>
      <c r="W79" s="378"/>
      <c r="X79" s="378"/>
      <c r="Y79" s="83"/>
      <c r="Z79" s="2"/>
      <c r="AA79" s="83"/>
      <c r="AB79" s="5"/>
      <c r="AC79" s="268"/>
      <c r="AD79" s="446"/>
      <c r="AE79" s="83"/>
      <c r="AF79" s="5"/>
      <c r="AG79" s="383"/>
      <c r="AH79" s="6"/>
      <c r="AI79" s="83"/>
      <c r="AJ79" s="5"/>
      <c r="AK79" s="168"/>
      <c r="AL79" s="6"/>
      <c r="AM79" s="83"/>
      <c r="AN79" s="5"/>
      <c r="AO79" s="83"/>
      <c r="AP79" s="5"/>
      <c r="AQ79" s="164"/>
    </row>
    <row r="80" spans="1:43" ht="15.75" customHeight="1" x14ac:dyDescent="0.25">
      <c r="A80" s="53"/>
      <c r="C80" s="54"/>
      <c r="F80" s="379"/>
      <c r="H80" s="379"/>
      <c r="I80" s="379"/>
      <c r="J80" s="59"/>
      <c r="K80" s="59"/>
      <c r="L80" s="379"/>
      <c r="M80" s="379"/>
      <c r="N80" s="50"/>
      <c r="O80" s="50"/>
      <c r="P80" s="379"/>
      <c r="Q80" s="379"/>
      <c r="R80" s="379"/>
      <c r="T80" s="45">
        <f>A34</f>
        <v>12</v>
      </c>
      <c r="U80" s="378"/>
      <c r="V80" s="216" t="str">
        <f>C34</f>
        <v>DEMAND SIDE MANAGEMENT RIDER (DSMR)</v>
      </c>
      <c r="W80" s="378"/>
      <c r="X80" s="378"/>
      <c r="Y80" s="83"/>
      <c r="Z80" s="2"/>
      <c r="AA80" s="83"/>
      <c r="AB80" s="5"/>
      <c r="AC80" s="457">
        <f>DSM_TRANS</f>
        <v>4.6299999999999998E-4</v>
      </c>
      <c r="AD80" s="446"/>
      <c r="AE80" s="83">
        <f>ROUND($AA$77*AC80,0)</f>
        <v>6582</v>
      </c>
      <c r="AF80" s="5"/>
      <c r="AG80" s="383">
        <f>ROUND((AE80/AE$85)*100,1)</f>
        <v>1.3</v>
      </c>
      <c r="AH80" s="6"/>
      <c r="AI80" s="83">
        <f>L34-AE80</f>
        <v>0</v>
      </c>
      <c r="AJ80" s="5"/>
      <c r="AK80" s="168">
        <f t="shared" ref="AK80:AK83" si="3">IF(AE80=0,"0.0 ",ROUND((AI80/AE80)*100,1))</f>
        <v>0</v>
      </c>
      <c r="AL80" s="6"/>
      <c r="AM80" s="83"/>
      <c r="AN80" s="5"/>
      <c r="AO80" s="83">
        <f t="shared" ref="AO80:AO82" si="4">AE80+AM80</f>
        <v>6582</v>
      </c>
      <c r="AP80" s="5"/>
      <c r="AQ80" s="164">
        <f t="shared" ref="AQ80:AQ83" si="5">IF(AO80=0,"0.0 ",ROUND((AI80/AO80)*100,1))</f>
        <v>0</v>
      </c>
    </row>
    <row r="81" spans="1:43" ht="15.75" customHeight="1" x14ac:dyDescent="0.25">
      <c r="A81" s="53"/>
      <c r="C81" s="54"/>
      <c r="F81" s="379"/>
      <c r="H81" s="379"/>
      <c r="I81" s="379"/>
      <c r="J81" s="59"/>
      <c r="K81" s="59"/>
      <c r="L81" s="379"/>
      <c r="M81" s="379"/>
      <c r="N81" s="50"/>
      <c r="O81" s="50"/>
      <c r="P81" s="379"/>
      <c r="Q81" s="379"/>
      <c r="R81" s="379"/>
      <c r="T81" s="45">
        <f>A35</f>
        <v>13</v>
      </c>
      <c r="U81" s="378"/>
      <c r="V81" s="216" t="str">
        <f>C35</f>
        <v>ENVIRONMENTAL SURCHARGE MECHANISM RIDER (ESM)</v>
      </c>
      <c r="W81" s="378"/>
      <c r="X81" s="378"/>
      <c r="Y81" s="83"/>
      <c r="Z81" s="2"/>
      <c r="AA81" s="83"/>
      <c r="AB81" s="5"/>
      <c r="AC81" s="473">
        <f>CUR_ESM_NONRES</f>
        <v>0.18160000000000001</v>
      </c>
      <c r="AD81" s="446"/>
      <c r="AE81" s="83">
        <f>ROUND(AO71*AC81,0)</f>
        <v>798</v>
      </c>
      <c r="AF81" s="5"/>
      <c r="AG81" s="383">
        <f>ROUND((AE81/AE$85)*100,1)</f>
        <v>0.2</v>
      </c>
      <c r="AH81" s="6"/>
      <c r="AI81" s="83">
        <f>L35-AE81</f>
        <v>0</v>
      </c>
      <c r="AJ81" s="5"/>
      <c r="AK81" s="168">
        <f t="shared" ref="AK81" si="6">IF(AE81=0,"0.0 ",ROUND((AI81/AE81)*100,1))</f>
        <v>0</v>
      </c>
      <c r="AL81" s="6"/>
      <c r="AM81" s="83"/>
      <c r="AN81" s="5"/>
      <c r="AO81" s="83">
        <f t="shared" ref="AO81" si="7">AE81+AM81</f>
        <v>798</v>
      </c>
      <c r="AP81" s="5"/>
      <c r="AQ81" s="164">
        <f t="shared" ref="AQ81" si="8">IF(AO81=0,"0.0 ",ROUND((AI81/AO81)*100,1))</f>
        <v>0</v>
      </c>
    </row>
    <row r="82" spans="1:43" ht="15.75" customHeight="1" x14ac:dyDescent="0.25">
      <c r="A82" s="53"/>
      <c r="C82" s="54"/>
      <c r="F82" s="379"/>
      <c r="H82" s="379"/>
      <c r="I82" s="379"/>
      <c r="J82" s="59"/>
      <c r="K82" s="59"/>
      <c r="L82" s="379"/>
      <c r="M82" s="379"/>
      <c r="N82" s="50"/>
      <c r="O82" s="50"/>
      <c r="P82" s="379"/>
      <c r="Q82" s="379"/>
      <c r="R82" s="379"/>
      <c r="T82" s="45">
        <f>A36</f>
        <v>14</v>
      </c>
      <c r="U82" s="378"/>
      <c r="V82" s="216" t="str">
        <f>C36</f>
        <v>PROFIT SHARING MECHANISM (PSM)</v>
      </c>
      <c r="W82" s="378"/>
      <c r="X82" s="378"/>
      <c r="Y82" s="83"/>
      <c r="Z82" s="2"/>
      <c r="AA82" s="83"/>
      <c r="AB82" s="5"/>
      <c r="AC82" s="457">
        <f>RS_PSM</f>
        <v>-1.63E-4</v>
      </c>
      <c r="AD82" s="446"/>
      <c r="AE82" s="81">
        <f>ROUND(AA77*RS_PSM,0)</f>
        <v>-2317</v>
      </c>
      <c r="AF82" s="5"/>
      <c r="AG82" s="148">
        <f>ROUND((AE82/AE$85)*100,1)</f>
        <v>-0.4</v>
      </c>
      <c r="AH82" s="6"/>
      <c r="AI82" s="81">
        <f>L36-AE82</f>
        <v>0</v>
      </c>
      <c r="AJ82" s="5"/>
      <c r="AK82" s="163">
        <f t="shared" si="3"/>
        <v>0</v>
      </c>
      <c r="AL82" s="6"/>
      <c r="AM82" s="83"/>
      <c r="AN82" s="5"/>
      <c r="AO82" s="83">
        <f t="shared" si="4"/>
        <v>-2317</v>
      </c>
      <c r="AP82" s="5"/>
      <c r="AQ82" s="164">
        <f t="shared" si="5"/>
        <v>0</v>
      </c>
    </row>
    <row r="83" spans="1:43" ht="20.100000000000001" customHeight="1" x14ac:dyDescent="0.25">
      <c r="A83" s="53"/>
      <c r="C83" s="54"/>
      <c r="F83" s="379"/>
      <c r="H83" s="379"/>
      <c r="I83" s="379"/>
      <c r="J83" s="59"/>
      <c r="K83" s="59"/>
      <c r="L83" s="379"/>
      <c r="M83" s="379"/>
      <c r="N83" s="50"/>
      <c r="O83" s="50"/>
      <c r="P83" s="379"/>
      <c r="Q83" s="379"/>
      <c r="R83" s="379"/>
      <c r="T83" s="45">
        <f>A37</f>
        <v>15</v>
      </c>
      <c r="U83" s="378"/>
      <c r="V83" s="222" t="s">
        <v>510</v>
      </c>
      <c r="W83" s="378"/>
      <c r="X83" s="378"/>
      <c r="Y83" s="81"/>
      <c r="Z83" s="2"/>
      <c r="AA83" s="81"/>
      <c r="AB83" s="5"/>
      <c r="AC83" s="446"/>
      <c r="AD83" s="446"/>
      <c r="AE83" s="90">
        <f>SUM(AE80:AE82)</f>
        <v>5063</v>
      </c>
      <c r="AF83" s="5"/>
      <c r="AG83" s="150">
        <f>ROUND((AE83/AE$85)*100,1)</f>
        <v>1</v>
      </c>
      <c r="AH83" s="6"/>
      <c r="AI83" s="90">
        <f>SUM(AI80:AI82)</f>
        <v>0</v>
      </c>
      <c r="AJ83" s="5"/>
      <c r="AK83" s="165">
        <f t="shared" si="3"/>
        <v>0</v>
      </c>
      <c r="AL83" s="6"/>
      <c r="AM83" s="90">
        <f>SUM(AM80:AM82)</f>
        <v>0</v>
      </c>
      <c r="AN83" s="5"/>
      <c r="AO83" s="90">
        <f>SUM(AO80:AO82)</f>
        <v>5063</v>
      </c>
      <c r="AP83" s="5"/>
      <c r="AQ83" s="164">
        <f t="shared" si="5"/>
        <v>0</v>
      </c>
    </row>
    <row r="84" spans="1:43" ht="15.75" customHeight="1" x14ac:dyDescent="0.25">
      <c r="A84" s="53"/>
      <c r="C84" s="54"/>
      <c r="F84" s="379"/>
      <c r="H84" s="379"/>
      <c r="I84" s="379"/>
      <c r="J84" s="59"/>
      <c r="K84" s="59"/>
      <c r="L84" s="379"/>
      <c r="M84" s="379"/>
      <c r="N84" s="50"/>
      <c r="O84" s="50"/>
      <c r="P84" s="379"/>
      <c r="Q84" s="379"/>
      <c r="R84" s="379"/>
      <c r="T84" s="45"/>
      <c r="U84" s="378"/>
      <c r="V84" s="222"/>
      <c r="W84" s="378"/>
      <c r="X84" s="378"/>
      <c r="Y84" s="83"/>
      <c r="Z84" s="2"/>
      <c r="AA84" s="83"/>
      <c r="AB84" s="5"/>
      <c r="AC84" s="446"/>
      <c r="AD84" s="446"/>
      <c r="AE84" s="83"/>
      <c r="AF84" s="5"/>
      <c r="AG84" s="383"/>
      <c r="AH84" s="6"/>
      <c r="AI84" s="83"/>
      <c r="AJ84" s="5"/>
      <c r="AK84" s="168"/>
      <c r="AL84" s="6"/>
      <c r="AM84" s="83"/>
      <c r="AN84" s="5"/>
      <c r="AO84" s="83"/>
      <c r="AP84" s="5"/>
      <c r="AQ84" s="164"/>
    </row>
    <row r="85" spans="1:43" ht="20.100000000000001" customHeight="1" thickBot="1" x14ac:dyDescent="0.3">
      <c r="F85" s="379"/>
      <c r="H85" s="381"/>
      <c r="I85" s="381"/>
      <c r="J85" s="464"/>
      <c r="K85" s="464"/>
      <c r="L85" s="381"/>
      <c r="M85" s="381"/>
      <c r="N85" s="381"/>
      <c r="O85" s="381"/>
      <c r="P85" s="381"/>
      <c r="Q85" s="381"/>
      <c r="R85" s="381"/>
      <c r="T85" s="45">
        <f>A39</f>
        <v>16</v>
      </c>
      <c r="U85" s="378"/>
      <c r="V85" s="444" t="s">
        <v>537</v>
      </c>
      <c r="W85" s="378"/>
      <c r="X85" s="378"/>
      <c r="Y85" s="82">
        <f>Y77</f>
        <v>24</v>
      </c>
      <c r="Z85" s="2"/>
      <c r="AA85" s="82">
        <f>AA77</f>
        <v>14214991</v>
      </c>
      <c r="AB85" s="5"/>
      <c r="AC85" s="2"/>
      <c r="AD85" s="2"/>
      <c r="AE85" s="82">
        <f>AE83+AE77</f>
        <v>516390</v>
      </c>
      <c r="AF85" s="5"/>
      <c r="AG85" s="151">
        <v>100</v>
      </c>
      <c r="AH85" s="6"/>
      <c r="AI85" s="82">
        <f>AI83+AI77</f>
        <v>43014</v>
      </c>
      <c r="AJ85" s="5"/>
      <c r="AK85" s="166">
        <f>IF(AE85=0,"0.0 ",ROUND((AI85/AE85)*100,1))</f>
        <v>8.3000000000000007</v>
      </c>
      <c r="AL85" s="6"/>
      <c r="AM85" s="82">
        <f>AM83+AM77</f>
        <v>0</v>
      </c>
      <c r="AN85" s="86"/>
      <c r="AO85" s="82">
        <f>AO83+AO77</f>
        <v>516390</v>
      </c>
      <c r="AP85" s="5"/>
      <c r="AQ85" s="164">
        <f>IF(AO85=0,"0.0 ",ROUND((AI85/AO85)*100,1))</f>
        <v>8.3000000000000007</v>
      </c>
    </row>
    <row r="86" spans="1:43" ht="16.5" thickTop="1" x14ac:dyDescent="0.25">
      <c r="F86" s="379"/>
      <c r="H86" s="381"/>
      <c r="I86" s="381"/>
      <c r="J86" s="464"/>
      <c r="K86" s="464"/>
      <c r="L86" s="381"/>
      <c r="M86" s="381"/>
      <c r="N86" s="381"/>
      <c r="O86" s="381"/>
      <c r="P86" s="381"/>
      <c r="Q86" s="381"/>
      <c r="R86" s="381"/>
      <c r="T86" s="378"/>
      <c r="U86" s="378"/>
      <c r="V86" s="378"/>
      <c r="W86" s="378"/>
      <c r="X86" s="378"/>
      <c r="Y86" s="2"/>
      <c r="Z86" s="2"/>
      <c r="AA86" s="2"/>
      <c r="AB86" s="2"/>
      <c r="AC86" s="2"/>
      <c r="AD86" s="2"/>
      <c r="AE86" s="2"/>
      <c r="AF86" s="2"/>
      <c r="AG86" s="147"/>
      <c r="AH86" s="2"/>
      <c r="AI86" s="2"/>
      <c r="AJ86" s="2"/>
      <c r="AK86" s="147"/>
      <c r="AL86" s="2"/>
      <c r="AM86" s="2"/>
      <c r="AN86" s="2"/>
      <c r="AO86" s="2"/>
      <c r="AP86" s="2"/>
      <c r="AQ86" s="147"/>
    </row>
    <row r="87" spans="1:43" x14ac:dyDescent="0.25">
      <c r="A87" s="53"/>
      <c r="C87" s="54"/>
      <c r="F87" s="379"/>
      <c r="H87" s="379"/>
      <c r="I87" s="379"/>
      <c r="J87" s="464"/>
      <c r="K87" s="464"/>
      <c r="L87" s="379"/>
      <c r="M87" s="379"/>
      <c r="N87" s="379"/>
      <c r="O87" s="379"/>
      <c r="P87" s="379"/>
      <c r="Q87" s="379"/>
      <c r="R87" s="379"/>
      <c r="T87" s="378"/>
      <c r="U87" s="378"/>
      <c r="V87" s="243" t="s">
        <v>61</v>
      </c>
      <c r="W87" s="378"/>
      <c r="X87" s="378"/>
      <c r="Y87" s="378"/>
      <c r="Z87" s="378"/>
      <c r="AA87" s="378"/>
      <c r="AB87" s="378"/>
      <c r="AC87" s="378"/>
      <c r="AD87" s="378"/>
      <c r="AE87" s="48"/>
      <c r="AF87" s="48"/>
      <c r="AG87" s="152"/>
      <c r="AH87" s="48"/>
      <c r="AI87" s="378"/>
      <c r="AJ87" s="378"/>
      <c r="AK87" s="143"/>
      <c r="AL87" s="378"/>
      <c r="AM87" s="48"/>
      <c r="AN87" s="48"/>
      <c r="AO87" s="48"/>
      <c r="AP87" s="48"/>
      <c r="AQ87" s="143"/>
    </row>
    <row r="88" spans="1:43" x14ac:dyDescent="0.25">
      <c r="A88" s="53"/>
      <c r="C88" s="54"/>
      <c r="F88" s="379"/>
      <c r="H88" s="449"/>
      <c r="I88" s="449"/>
      <c r="J88" s="221"/>
      <c r="K88" s="221"/>
      <c r="L88" s="379"/>
      <c r="M88" s="379"/>
      <c r="N88" s="50"/>
      <c r="O88" s="50"/>
      <c r="P88" s="379"/>
      <c r="Q88" s="379"/>
      <c r="R88" s="379"/>
      <c r="T88" s="46"/>
      <c r="U88" s="378"/>
      <c r="V88" s="46"/>
      <c r="W88" s="378"/>
      <c r="X88" s="378"/>
      <c r="Y88" s="378"/>
      <c r="Z88" s="378"/>
      <c r="AA88" s="378"/>
      <c r="AB88" s="378"/>
      <c r="AC88" s="378"/>
      <c r="AD88" s="378"/>
      <c r="AE88" s="378"/>
      <c r="AF88" s="378"/>
      <c r="AG88" s="143"/>
      <c r="AH88" s="378"/>
      <c r="AI88" s="378"/>
      <c r="AJ88" s="378"/>
      <c r="AK88" s="143"/>
      <c r="AL88" s="378"/>
      <c r="AM88" s="378"/>
      <c r="AN88" s="378"/>
      <c r="AO88" s="378"/>
      <c r="AP88" s="378"/>
      <c r="AQ88" s="143"/>
    </row>
    <row r="89" spans="1:43" x14ac:dyDescent="0.25">
      <c r="A89" s="53"/>
      <c r="C89" s="54"/>
      <c r="H89" s="449"/>
      <c r="I89" s="449"/>
      <c r="J89" s="221"/>
      <c r="K89" s="221"/>
      <c r="L89" s="379"/>
      <c r="M89" s="379"/>
      <c r="N89" s="50"/>
      <c r="O89" s="50"/>
      <c r="P89" s="379"/>
      <c r="Q89" s="379"/>
      <c r="R89" s="379"/>
      <c r="T89" s="54"/>
      <c r="V89" s="449"/>
      <c r="Y89" s="449"/>
      <c r="Z89" s="477"/>
      <c r="AA89" s="379"/>
      <c r="AB89" s="379"/>
      <c r="AC89" s="50"/>
      <c r="AD89" s="50"/>
      <c r="AE89" s="379"/>
      <c r="AF89" s="379"/>
      <c r="AG89" s="156"/>
      <c r="AH89" s="50"/>
      <c r="AI89" s="379"/>
      <c r="AJ89" s="379"/>
      <c r="AK89" s="156"/>
      <c r="AL89" s="379"/>
      <c r="AM89" s="50"/>
      <c r="AN89" s="50"/>
    </row>
    <row r="90" spans="1:43" x14ac:dyDescent="0.25">
      <c r="F90" s="379"/>
      <c r="H90" s="379"/>
      <c r="I90" s="379"/>
      <c r="J90" s="464"/>
      <c r="K90" s="464"/>
      <c r="L90" s="381"/>
      <c r="M90" s="381"/>
      <c r="N90" s="381"/>
      <c r="O90" s="381"/>
      <c r="P90" s="381"/>
      <c r="Q90" s="381"/>
      <c r="R90" s="381"/>
      <c r="T90" s="54"/>
      <c r="V90" s="449"/>
      <c r="Y90" s="379"/>
      <c r="Z90" s="461"/>
      <c r="AA90" s="379"/>
      <c r="AB90" s="379"/>
      <c r="AC90" s="50"/>
      <c r="AD90" s="50"/>
      <c r="AE90" s="379"/>
      <c r="AF90" s="379"/>
      <c r="AG90" s="156"/>
      <c r="AH90" s="60"/>
      <c r="AI90" s="379"/>
      <c r="AJ90" s="379"/>
      <c r="AK90" s="156"/>
      <c r="AL90" s="379"/>
      <c r="AM90" s="50"/>
      <c r="AN90" s="50"/>
    </row>
    <row r="91" spans="1:43" x14ac:dyDescent="0.25">
      <c r="A91" s="53"/>
      <c r="C91" s="54"/>
      <c r="F91" s="379"/>
      <c r="H91" s="379"/>
      <c r="I91" s="379"/>
      <c r="J91" s="59"/>
      <c r="K91" s="59"/>
      <c r="L91" s="379"/>
      <c r="M91" s="379"/>
      <c r="N91" s="50"/>
      <c r="O91" s="50"/>
      <c r="P91" s="379"/>
      <c r="Q91" s="379"/>
      <c r="R91" s="379"/>
      <c r="T91" s="54"/>
      <c r="V91" s="449"/>
      <c r="Y91" s="379"/>
      <c r="Z91" s="461"/>
      <c r="AA91" s="379"/>
      <c r="AB91" s="379"/>
      <c r="AC91" s="50"/>
      <c r="AD91" s="50"/>
      <c r="AE91" s="379"/>
      <c r="AF91" s="379"/>
      <c r="AG91" s="156"/>
      <c r="AH91" s="60"/>
      <c r="AI91" s="379"/>
      <c r="AJ91" s="379"/>
      <c r="AK91" s="156"/>
      <c r="AL91" s="379"/>
      <c r="AM91" s="50"/>
      <c r="AN91" s="50"/>
    </row>
    <row r="92" spans="1:43" x14ac:dyDescent="0.25">
      <c r="F92" s="379"/>
      <c r="H92" s="379"/>
      <c r="I92" s="379"/>
      <c r="J92" s="464"/>
      <c r="K92" s="464"/>
      <c r="L92" s="381"/>
      <c r="M92" s="381"/>
      <c r="N92" s="381"/>
      <c r="O92" s="381"/>
      <c r="P92" s="381"/>
      <c r="Q92" s="381"/>
      <c r="R92" s="381"/>
      <c r="V92" s="379"/>
      <c r="Y92" s="381"/>
      <c r="Z92" s="464"/>
      <c r="AA92" s="381"/>
      <c r="AB92" s="381"/>
      <c r="AC92" s="381"/>
      <c r="AD92" s="381"/>
      <c r="AE92" s="381"/>
      <c r="AF92" s="381"/>
      <c r="AI92" s="381"/>
      <c r="AJ92" s="381"/>
      <c r="AK92" s="162"/>
      <c r="AL92" s="381"/>
      <c r="AM92" s="50"/>
      <c r="AN92" s="50"/>
    </row>
    <row r="93" spans="1:43" x14ac:dyDescent="0.25">
      <c r="A93" s="53"/>
      <c r="C93" s="54"/>
      <c r="F93" s="379"/>
      <c r="H93" s="379"/>
      <c r="I93" s="379"/>
      <c r="J93" s="59"/>
      <c r="K93" s="59"/>
      <c r="L93" s="379"/>
      <c r="M93" s="379"/>
      <c r="N93" s="50"/>
      <c r="O93" s="50"/>
      <c r="P93" s="379"/>
      <c r="Q93" s="379"/>
      <c r="R93" s="379"/>
      <c r="T93" s="54"/>
      <c r="V93" s="379"/>
      <c r="Y93" s="379"/>
      <c r="Z93" s="464"/>
      <c r="AA93" s="379"/>
      <c r="AB93" s="379"/>
      <c r="AC93" s="50"/>
      <c r="AD93" s="50"/>
      <c r="AE93" s="379"/>
      <c r="AF93" s="379"/>
      <c r="AG93" s="156"/>
      <c r="AH93" s="60"/>
      <c r="AI93" s="379"/>
      <c r="AJ93" s="379"/>
      <c r="AK93" s="156"/>
      <c r="AL93" s="379"/>
      <c r="AM93" s="50"/>
      <c r="AN93" s="50"/>
    </row>
    <row r="94" spans="1:43" x14ac:dyDescent="0.25">
      <c r="A94" s="53"/>
      <c r="C94" s="54"/>
      <c r="F94" s="449"/>
      <c r="H94" s="449"/>
      <c r="I94" s="449"/>
      <c r="J94" s="472"/>
      <c r="K94" s="472"/>
      <c r="L94" s="379"/>
      <c r="M94" s="379"/>
      <c r="N94" s="50"/>
      <c r="O94" s="50"/>
      <c r="P94" s="379"/>
      <c r="Q94" s="379"/>
      <c r="R94" s="379"/>
      <c r="V94" s="379"/>
      <c r="Y94" s="381"/>
      <c r="Z94" s="464"/>
      <c r="AA94" s="381"/>
      <c r="AB94" s="381"/>
      <c r="AC94" s="381"/>
      <c r="AD94" s="381"/>
      <c r="AE94" s="381"/>
      <c r="AF94" s="381"/>
      <c r="AI94" s="381"/>
      <c r="AJ94" s="381"/>
      <c r="AK94" s="162"/>
      <c r="AL94" s="381"/>
      <c r="AM94" s="50"/>
      <c r="AN94" s="50"/>
    </row>
    <row r="95" spans="1:43" x14ac:dyDescent="0.25">
      <c r="F95" s="381"/>
      <c r="H95" s="381"/>
      <c r="I95" s="381"/>
      <c r="J95" s="464"/>
      <c r="K95" s="464"/>
      <c r="L95" s="381"/>
      <c r="M95" s="381"/>
      <c r="N95" s="381"/>
      <c r="O95" s="381"/>
      <c r="P95" s="381"/>
      <c r="Q95" s="381"/>
      <c r="R95" s="381"/>
      <c r="T95" s="54"/>
      <c r="V95" s="379"/>
      <c r="Y95" s="379"/>
      <c r="Z95" s="464"/>
      <c r="AA95" s="379"/>
      <c r="AB95" s="379"/>
      <c r="AC95" s="379"/>
      <c r="AD95" s="379"/>
      <c r="AE95" s="379"/>
      <c r="AF95" s="379"/>
      <c r="AG95" s="156"/>
      <c r="AH95" s="60"/>
      <c r="AI95" s="379"/>
      <c r="AJ95" s="379"/>
      <c r="AK95" s="156"/>
      <c r="AL95" s="379"/>
      <c r="AM95" s="50"/>
      <c r="AN95" s="50"/>
    </row>
    <row r="96" spans="1:43" x14ac:dyDescent="0.25">
      <c r="A96" s="53"/>
      <c r="C96" s="54"/>
      <c r="F96" s="379"/>
      <c r="H96" s="379"/>
      <c r="I96" s="379"/>
      <c r="J96" s="464"/>
      <c r="K96" s="464"/>
      <c r="L96" s="379"/>
      <c r="M96" s="379"/>
      <c r="N96" s="50"/>
      <c r="O96" s="50"/>
      <c r="P96" s="379"/>
      <c r="Q96" s="379"/>
      <c r="R96" s="379"/>
      <c r="S96" s="379"/>
      <c r="T96" s="54"/>
      <c r="V96" s="379"/>
      <c r="Y96" s="379"/>
      <c r="Z96" s="221"/>
      <c r="AA96" s="379"/>
      <c r="AB96" s="379"/>
      <c r="AC96" s="50"/>
      <c r="AD96" s="50"/>
      <c r="AE96" s="379"/>
      <c r="AF96" s="379"/>
      <c r="AG96" s="156"/>
      <c r="AH96" s="60"/>
      <c r="AI96" s="379"/>
      <c r="AJ96" s="379"/>
      <c r="AK96" s="156"/>
      <c r="AL96" s="379"/>
      <c r="AM96" s="50"/>
      <c r="AN96" s="50"/>
    </row>
    <row r="97" spans="1:40" x14ac:dyDescent="0.25">
      <c r="F97" s="381"/>
      <c r="H97" s="381"/>
      <c r="I97" s="381"/>
      <c r="J97" s="464"/>
      <c r="K97" s="464"/>
      <c r="L97" s="381"/>
      <c r="M97" s="381"/>
      <c r="N97" s="381"/>
      <c r="O97" s="381"/>
      <c r="P97" s="381"/>
      <c r="Q97" s="381"/>
      <c r="R97" s="381"/>
      <c r="S97" s="379"/>
      <c r="T97" s="54"/>
      <c r="Y97" s="379"/>
      <c r="Z97" s="221"/>
      <c r="AA97" s="379"/>
      <c r="AB97" s="379"/>
      <c r="AC97" s="50"/>
      <c r="AD97" s="50"/>
      <c r="AE97" s="379"/>
      <c r="AF97" s="379"/>
      <c r="AG97" s="156"/>
      <c r="AH97" s="60"/>
      <c r="AI97" s="379"/>
      <c r="AJ97" s="379"/>
      <c r="AK97" s="156"/>
      <c r="AL97" s="379"/>
      <c r="AM97" s="50"/>
      <c r="AN97" s="50"/>
    </row>
    <row r="98" spans="1:40" x14ac:dyDescent="0.25">
      <c r="A98" s="53"/>
      <c r="C98" s="54"/>
      <c r="V98" s="379"/>
      <c r="Y98" s="379"/>
      <c r="Z98" s="464"/>
      <c r="AA98" s="381"/>
      <c r="AB98" s="381"/>
      <c r="AC98" s="381"/>
      <c r="AD98" s="381"/>
      <c r="AE98" s="381"/>
      <c r="AF98" s="381"/>
      <c r="AI98" s="381"/>
      <c r="AJ98" s="381"/>
      <c r="AK98" s="162"/>
      <c r="AL98" s="381"/>
      <c r="AM98" s="50"/>
      <c r="AN98" s="50"/>
    </row>
    <row r="99" spans="1:40" x14ac:dyDescent="0.25">
      <c r="A99" s="53"/>
      <c r="C99" s="54"/>
      <c r="F99" s="379"/>
      <c r="H99" s="379"/>
      <c r="I99" s="379"/>
      <c r="L99" s="379"/>
      <c r="M99" s="379"/>
      <c r="N99" s="50"/>
      <c r="O99" s="50"/>
      <c r="P99" s="449"/>
      <c r="Q99" s="449"/>
      <c r="R99" s="379"/>
      <c r="T99" s="54"/>
      <c r="V99" s="379"/>
      <c r="Y99" s="379"/>
      <c r="Z99" s="59"/>
      <c r="AA99" s="379"/>
      <c r="AB99" s="379"/>
      <c r="AC99" s="50"/>
      <c r="AD99" s="50"/>
      <c r="AE99" s="379"/>
      <c r="AF99" s="379"/>
      <c r="AG99" s="156"/>
      <c r="AH99" s="60"/>
      <c r="AI99" s="379"/>
      <c r="AJ99" s="379"/>
      <c r="AK99" s="156"/>
      <c r="AL99" s="379"/>
      <c r="AM99" s="50"/>
      <c r="AN99" s="50"/>
    </row>
    <row r="100" spans="1:40" x14ac:dyDescent="0.25">
      <c r="F100" s="381"/>
      <c r="H100" s="381"/>
      <c r="I100" s="381"/>
      <c r="J100" s="464"/>
      <c r="K100" s="464"/>
      <c r="L100" s="381"/>
      <c r="M100" s="381"/>
      <c r="N100" s="381"/>
      <c r="O100" s="381"/>
      <c r="P100" s="381"/>
      <c r="Q100" s="381"/>
      <c r="R100" s="381"/>
      <c r="V100" s="379"/>
      <c r="Y100" s="379"/>
      <c r="Z100" s="464"/>
      <c r="AA100" s="381"/>
      <c r="AB100" s="381"/>
      <c r="AC100" s="381"/>
      <c r="AD100" s="381"/>
      <c r="AE100" s="381"/>
      <c r="AF100" s="381"/>
      <c r="AI100" s="381"/>
      <c r="AJ100" s="381"/>
      <c r="AK100" s="162"/>
      <c r="AL100" s="381"/>
      <c r="AM100" s="50"/>
      <c r="AN100" s="50"/>
    </row>
    <row r="101" spans="1:40" x14ac:dyDescent="0.25">
      <c r="T101" s="54"/>
      <c r="V101" s="379"/>
      <c r="Y101" s="379"/>
      <c r="Z101" s="59"/>
      <c r="AA101" s="379"/>
      <c r="AB101" s="379"/>
      <c r="AC101" s="50"/>
      <c r="AD101" s="50"/>
      <c r="AE101" s="379"/>
      <c r="AF101" s="379"/>
      <c r="AG101" s="156"/>
      <c r="AH101" s="60"/>
      <c r="AI101" s="379"/>
      <c r="AJ101" s="379"/>
      <c r="AK101" s="156"/>
      <c r="AL101" s="379"/>
      <c r="AM101" s="50"/>
      <c r="AN101" s="50"/>
    </row>
    <row r="102" spans="1:40" x14ac:dyDescent="0.25">
      <c r="C102" s="54"/>
      <c r="L102" s="379"/>
      <c r="M102" s="379"/>
      <c r="N102" s="379"/>
      <c r="O102" s="379"/>
      <c r="P102" s="379"/>
      <c r="Q102" s="379"/>
      <c r="R102" s="379"/>
      <c r="S102" s="379"/>
      <c r="T102" s="54"/>
      <c r="V102" s="449"/>
      <c r="Y102" s="379"/>
      <c r="Z102" s="472"/>
      <c r="AA102" s="379"/>
      <c r="AB102" s="379"/>
      <c r="AC102" s="50"/>
      <c r="AD102" s="50"/>
      <c r="AE102" s="379"/>
      <c r="AF102" s="379"/>
      <c r="AG102" s="156"/>
      <c r="AH102" s="60"/>
      <c r="AI102" s="379"/>
      <c r="AJ102" s="379"/>
      <c r="AK102" s="156"/>
      <c r="AL102" s="379"/>
      <c r="AM102" s="50"/>
      <c r="AN102" s="50"/>
    </row>
    <row r="103" spans="1:40" x14ac:dyDescent="0.25">
      <c r="A103" s="54"/>
      <c r="V103" s="381"/>
      <c r="Y103" s="381"/>
      <c r="Z103" s="464"/>
      <c r="AA103" s="381"/>
      <c r="AB103" s="381"/>
      <c r="AC103" s="381"/>
      <c r="AD103" s="381"/>
      <c r="AE103" s="381"/>
      <c r="AF103" s="381"/>
      <c r="AI103" s="381"/>
      <c r="AJ103" s="381"/>
      <c r="AK103" s="162"/>
      <c r="AL103" s="381"/>
      <c r="AM103" s="50"/>
      <c r="AN103" s="50"/>
    </row>
    <row r="104" spans="1:40" x14ac:dyDescent="0.25">
      <c r="J104" s="53"/>
      <c r="K104" s="53"/>
      <c r="T104" s="54"/>
      <c r="V104" s="379"/>
      <c r="Y104" s="379"/>
      <c r="Z104" s="464"/>
      <c r="AA104" s="379"/>
      <c r="AB104" s="379"/>
      <c r="AC104" s="50"/>
      <c r="AD104" s="50"/>
      <c r="AE104" s="379"/>
      <c r="AF104" s="379"/>
      <c r="AG104" s="156"/>
      <c r="AH104" s="50"/>
      <c r="AI104" s="379"/>
      <c r="AJ104" s="379"/>
      <c r="AK104" s="156"/>
      <c r="AL104" s="379"/>
      <c r="AM104" s="50"/>
      <c r="AN104" s="50"/>
    </row>
    <row r="105" spans="1:40" x14ac:dyDescent="0.25">
      <c r="H105" s="54"/>
      <c r="I105" s="54"/>
      <c r="V105" s="381"/>
      <c r="Y105" s="381"/>
      <c r="Z105" s="464"/>
      <c r="AA105" s="381"/>
      <c r="AB105" s="381"/>
      <c r="AC105" s="381"/>
      <c r="AD105" s="381"/>
      <c r="AE105" s="381"/>
      <c r="AF105" s="381"/>
      <c r="AI105" s="381"/>
      <c r="AJ105" s="381"/>
      <c r="AK105" s="162"/>
      <c r="AL105" s="381"/>
      <c r="AM105" s="50"/>
      <c r="AN105" s="50"/>
    </row>
    <row r="106" spans="1:40" x14ac:dyDescent="0.25">
      <c r="J106" s="53"/>
      <c r="K106" s="53"/>
      <c r="T106" s="54"/>
    </row>
    <row r="107" spans="1:40" x14ac:dyDescent="0.25">
      <c r="L107" s="54"/>
      <c r="M107" s="54"/>
      <c r="AA107" s="54"/>
      <c r="AB107" s="54"/>
    </row>
    <row r="108" spans="1:40" x14ac:dyDescent="0.25">
      <c r="A108" s="53"/>
      <c r="R108" s="54"/>
      <c r="AK108" s="161"/>
      <c r="AL108" s="54"/>
    </row>
    <row r="109" spans="1:40" x14ac:dyDescent="0.25">
      <c r="A109" s="53"/>
      <c r="R109" s="54"/>
      <c r="AK109" s="161"/>
      <c r="AL109" s="54"/>
    </row>
    <row r="110" spans="1:40" x14ac:dyDescent="0.25">
      <c r="A110" s="54"/>
      <c r="R110" s="54"/>
      <c r="AK110" s="161"/>
      <c r="AL110" s="54"/>
    </row>
    <row r="111" spans="1:40" x14ac:dyDescent="0.25">
      <c r="L111" s="54"/>
      <c r="M111" s="54"/>
      <c r="R111" s="53"/>
      <c r="AA111" s="54"/>
      <c r="AB111" s="54"/>
      <c r="AK111" s="156"/>
      <c r="AL111" s="53"/>
    </row>
    <row r="112" spans="1:40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154"/>
      <c r="AH112" s="55"/>
      <c r="AI112" s="55"/>
      <c r="AJ112" s="55"/>
      <c r="AK112" s="154"/>
      <c r="AL112" s="55"/>
      <c r="AM112" s="55"/>
      <c r="AN112" s="55"/>
    </row>
    <row r="113" spans="1:40" x14ac:dyDescent="0.25">
      <c r="L113" s="56"/>
      <c r="M113" s="56"/>
      <c r="N113" s="56"/>
      <c r="O113" s="56"/>
      <c r="R113" s="56"/>
      <c r="AA113" s="56"/>
      <c r="AB113" s="56"/>
      <c r="AC113" s="56"/>
      <c r="AD113" s="56"/>
      <c r="AE113" s="56"/>
      <c r="AF113" s="56"/>
      <c r="AG113" s="155"/>
      <c r="AH113" s="56"/>
      <c r="AK113" s="155"/>
      <c r="AL113" s="56"/>
      <c r="AM113" s="56"/>
      <c r="AN113" s="56"/>
    </row>
    <row r="114" spans="1:40" x14ac:dyDescent="0.25">
      <c r="L114" s="56"/>
      <c r="M114" s="56"/>
      <c r="N114" s="56"/>
      <c r="O114" s="56"/>
      <c r="R114" s="56"/>
      <c r="Z114" s="56"/>
      <c r="AA114" s="56"/>
      <c r="AB114" s="56"/>
      <c r="AC114" s="56"/>
      <c r="AD114" s="56"/>
      <c r="AE114" s="56"/>
      <c r="AF114" s="56"/>
      <c r="AG114" s="155"/>
      <c r="AH114" s="56"/>
      <c r="AK114" s="155"/>
      <c r="AL114" s="56"/>
      <c r="AM114" s="56"/>
      <c r="AN114" s="56"/>
    </row>
    <row r="115" spans="1:40" x14ac:dyDescent="0.25">
      <c r="A115" s="56"/>
      <c r="C115" s="56"/>
      <c r="D115" s="56"/>
      <c r="E115" s="56"/>
      <c r="F115" s="56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Z115" s="56"/>
      <c r="AA115" s="56"/>
      <c r="AB115" s="56"/>
      <c r="AC115" s="56"/>
      <c r="AD115" s="56"/>
      <c r="AE115" s="56"/>
      <c r="AF115" s="56"/>
      <c r="AG115" s="155"/>
      <c r="AH115" s="56"/>
      <c r="AI115" s="56"/>
      <c r="AJ115" s="56"/>
      <c r="AK115" s="155"/>
      <c r="AL115" s="56"/>
      <c r="AM115" s="56"/>
      <c r="AN115" s="56"/>
    </row>
    <row r="116" spans="1:40" x14ac:dyDescent="0.25">
      <c r="A116" s="56"/>
      <c r="C116" s="56"/>
      <c r="D116" s="56"/>
      <c r="E116" s="56"/>
      <c r="F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Y116" s="56"/>
      <c r="Z116" s="56"/>
      <c r="AA116" s="56"/>
      <c r="AB116" s="56"/>
      <c r="AC116" s="56"/>
      <c r="AD116" s="56"/>
      <c r="AE116" s="56"/>
      <c r="AF116" s="56"/>
      <c r="AG116" s="155"/>
      <c r="AH116" s="56"/>
      <c r="AI116" s="56"/>
      <c r="AJ116" s="56"/>
      <c r="AK116" s="155"/>
      <c r="AL116" s="56"/>
      <c r="AM116" s="56"/>
      <c r="AN116" s="56"/>
    </row>
    <row r="117" spans="1:40" x14ac:dyDescent="0.25">
      <c r="C117" s="56"/>
      <c r="D117" s="56"/>
      <c r="E117" s="56"/>
      <c r="F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Y117" s="56"/>
      <c r="Z117" s="56"/>
      <c r="AA117" s="56"/>
      <c r="AB117" s="56"/>
      <c r="AC117" s="56"/>
      <c r="AD117" s="56"/>
      <c r="AE117" s="56"/>
      <c r="AF117" s="56"/>
      <c r="AG117" s="155"/>
      <c r="AH117" s="56"/>
      <c r="AI117" s="56"/>
      <c r="AJ117" s="56"/>
      <c r="AK117" s="155"/>
      <c r="AL117" s="56"/>
      <c r="AM117" s="56"/>
      <c r="AN117" s="56"/>
    </row>
    <row r="118" spans="1:40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154"/>
      <c r="AH118" s="55"/>
      <c r="AI118" s="55"/>
      <c r="AJ118" s="55"/>
      <c r="AK118" s="154"/>
      <c r="AL118" s="55"/>
      <c r="AM118" s="55"/>
      <c r="AN118" s="55"/>
    </row>
    <row r="119" spans="1:40" x14ac:dyDescent="0.25"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Y119" s="56"/>
      <c r="Z119" s="56"/>
      <c r="AA119" s="56"/>
      <c r="AB119" s="56"/>
      <c r="AC119" s="56"/>
      <c r="AD119" s="56"/>
      <c r="AE119" s="56"/>
      <c r="AF119" s="56"/>
      <c r="AG119" s="155"/>
      <c r="AH119" s="56"/>
      <c r="AI119" s="56"/>
      <c r="AJ119" s="56"/>
      <c r="AK119" s="155"/>
      <c r="AL119" s="56"/>
      <c r="AM119" s="56"/>
      <c r="AN119" s="56"/>
    </row>
    <row r="120" spans="1:40" x14ac:dyDescent="0.25">
      <c r="A120" s="53"/>
      <c r="C120" s="54"/>
      <c r="D120" s="54"/>
      <c r="E120" s="54"/>
      <c r="T120" s="54"/>
      <c r="U120" s="54"/>
    </row>
    <row r="121" spans="1:40" x14ac:dyDescent="0.25">
      <c r="A121" s="53"/>
      <c r="D121" s="54"/>
      <c r="E121" s="54"/>
      <c r="U121" s="54"/>
    </row>
    <row r="123" spans="1:40" x14ac:dyDescent="0.25">
      <c r="A123" s="53"/>
      <c r="C123" s="54"/>
      <c r="F123" s="449"/>
      <c r="H123" s="449"/>
      <c r="I123" s="449"/>
      <c r="J123" s="461"/>
      <c r="K123" s="461"/>
      <c r="L123" s="379"/>
      <c r="M123" s="379"/>
      <c r="N123" s="50"/>
      <c r="O123" s="50"/>
      <c r="R123" s="379"/>
      <c r="T123" s="54"/>
      <c r="V123" s="379"/>
      <c r="Y123" s="449"/>
      <c r="Z123" s="461"/>
      <c r="AA123" s="379"/>
      <c r="AB123" s="379"/>
      <c r="AC123" s="50"/>
      <c r="AD123" s="50"/>
      <c r="AE123" s="379"/>
      <c r="AF123" s="379"/>
      <c r="AG123" s="474"/>
      <c r="AH123" s="475"/>
      <c r="AK123" s="156"/>
      <c r="AL123" s="379"/>
      <c r="AM123" s="476"/>
      <c r="AN123" s="476"/>
    </row>
    <row r="124" spans="1:40" x14ac:dyDescent="0.25">
      <c r="A124" s="53"/>
      <c r="C124" s="54"/>
      <c r="F124" s="449"/>
      <c r="H124" s="449"/>
      <c r="I124" s="449"/>
      <c r="J124" s="461"/>
      <c r="K124" s="461"/>
      <c r="L124" s="379"/>
      <c r="M124" s="379"/>
      <c r="N124" s="50"/>
      <c r="O124" s="50"/>
      <c r="P124" s="53"/>
      <c r="Q124" s="53"/>
      <c r="R124" s="379"/>
      <c r="T124" s="54"/>
      <c r="V124" s="379"/>
      <c r="Y124" s="449"/>
      <c r="Z124" s="461"/>
      <c r="AA124" s="379"/>
      <c r="AB124" s="379"/>
      <c r="AC124" s="50"/>
      <c r="AD124" s="50"/>
      <c r="AE124" s="379"/>
      <c r="AF124" s="379"/>
      <c r="AG124" s="156"/>
      <c r="AH124" s="60"/>
      <c r="AI124" s="53"/>
      <c r="AJ124" s="53"/>
      <c r="AK124" s="156"/>
      <c r="AL124" s="379"/>
      <c r="AM124" s="50"/>
      <c r="AN124" s="50"/>
    </row>
    <row r="125" spans="1:40" x14ac:dyDescent="0.25">
      <c r="F125" s="381"/>
      <c r="H125" s="379"/>
      <c r="I125" s="379"/>
      <c r="J125" s="464"/>
      <c r="K125" s="464"/>
      <c r="L125" s="381"/>
      <c r="M125" s="381"/>
      <c r="N125" s="381"/>
      <c r="O125" s="381"/>
      <c r="P125" s="381"/>
      <c r="Q125" s="381"/>
      <c r="R125" s="381"/>
      <c r="V125" s="381"/>
      <c r="Y125" s="379"/>
      <c r="Z125" s="464"/>
      <c r="AA125" s="381"/>
      <c r="AB125" s="381"/>
      <c r="AC125" s="381"/>
      <c r="AD125" s="381"/>
      <c r="AE125" s="381"/>
      <c r="AF125" s="381"/>
      <c r="AI125" s="381"/>
      <c r="AJ125" s="381"/>
      <c r="AK125" s="162"/>
      <c r="AL125" s="381"/>
      <c r="AM125" s="50"/>
      <c r="AN125" s="50"/>
    </row>
    <row r="126" spans="1:40" x14ac:dyDescent="0.25">
      <c r="A126" s="53"/>
      <c r="C126" s="54"/>
      <c r="F126" s="379"/>
      <c r="H126" s="379"/>
      <c r="I126" s="379"/>
      <c r="J126" s="464"/>
      <c r="K126" s="464"/>
      <c r="L126" s="379"/>
      <c r="M126" s="379"/>
      <c r="N126" s="50"/>
      <c r="O126" s="50"/>
      <c r="P126" s="379"/>
      <c r="Q126" s="379"/>
      <c r="R126" s="379"/>
      <c r="T126" s="54"/>
      <c r="V126" s="379"/>
      <c r="Y126" s="379"/>
      <c r="Z126" s="59"/>
      <c r="AA126" s="379"/>
      <c r="AB126" s="379"/>
      <c r="AC126" s="50"/>
      <c r="AD126" s="50"/>
      <c r="AE126" s="379"/>
      <c r="AF126" s="379"/>
      <c r="AG126" s="156"/>
      <c r="AH126" s="60"/>
      <c r="AI126" s="379"/>
      <c r="AJ126" s="379"/>
      <c r="AK126" s="156"/>
      <c r="AL126" s="379"/>
      <c r="AM126" s="50"/>
      <c r="AN126" s="50"/>
    </row>
    <row r="127" spans="1:40" x14ac:dyDescent="0.25">
      <c r="F127" s="381"/>
      <c r="H127" s="379"/>
      <c r="I127" s="379"/>
      <c r="J127" s="464"/>
      <c r="K127" s="464"/>
      <c r="L127" s="381"/>
      <c r="M127" s="381"/>
      <c r="N127" s="381"/>
      <c r="O127" s="381"/>
      <c r="P127" s="381"/>
      <c r="Q127" s="381"/>
      <c r="R127" s="381"/>
      <c r="V127" s="381"/>
      <c r="Y127" s="379"/>
      <c r="Z127" s="464"/>
      <c r="AA127" s="381"/>
      <c r="AB127" s="381"/>
      <c r="AC127" s="381"/>
      <c r="AD127" s="381"/>
      <c r="AE127" s="381"/>
      <c r="AF127" s="381"/>
      <c r="AI127" s="381"/>
      <c r="AJ127" s="381"/>
      <c r="AK127" s="162"/>
      <c r="AL127" s="381"/>
      <c r="AM127" s="50"/>
      <c r="AN127" s="50"/>
    </row>
    <row r="128" spans="1:40" x14ac:dyDescent="0.25">
      <c r="F128" s="379"/>
      <c r="H128" s="379"/>
      <c r="I128" s="379"/>
      <c r="J128" s="464"/>
      <c r="K128" s="464"/>
      <c r="L128" s="379"/>
      <c r="M128" s="379"/>
      <c r="N128" s="50"/>
      <c r="O128" s="50"/>
      <c r="P128" s="379"/>
      <c r="Q128" s="379"/>
      <c r="R128" s="379"/>
      <c r="V128" s="379"/>
      <c r="Y128" s="379"/>
      <c r="Z128" s="59"/>
      <c r="AA128" s="379"/>
      <c r="AB128" s="379"/>
      <c r="AC128" s="50"/>
      <c r="AD128" s="50"/>
      <c r="AE128" s="379"/>
      <c r="AF128" s="379"/>
      <c r="AG128" s="156"/>
      <c r="AH128" s="60"/>
      <c r="AI128" s="379"/>
      <c r="AJ128" s="379"/>
      <c r="AK128" s="156"/>
      <c r="AL128" s="379"/>
      <c r="AM128" s="50"/>
      <c r="AN128" s="50"/>
    </row>
    <row r="129" spans="1:40" x14ac:dyDescent="0.25">
      <c r="A129" s="53"/>
      <c r="C129" s="54"/>
      <c r="F129" s="449"/>
      <c r="H129" s="449"/>
      <c r="I129" s="449"/>
      <c r="J129" s="461"/>
      <c r="K129" s="461"/>
      <c r="L129" s="379"/>
      <c r="M129" s="379"/>
      <c r="N129" s="50"/>
      <c r="O129" s="50"/>
      <c r="P129" s="379"/>
      <c r="Q129" s="379"/>
      <c r="R129" s="379"/>
      <c r="T129" s="54"/>
      <c r="V129" s="449"/>
      <c r="Y129" s="379"/>
      <c r="Z129" s="461"/>
      <c r="AA129" s="379"/>
      <c r="AB129" s="379"/>
      <c r="AC129" s="50"/>
      <c r="AD129" s="50"/>
      <c r="AE129" s="379"/>
      <c r="AF129" s="379"/>
      <c r="AG129" s="474"/>
      <c r="AH129" s="475"/>
      <c r="AI129" s="379"/>
      <c r="AJ129" s="379"/>
      <c r="AK129" s="156"/>
      <c r="AL129" s="379"/>
      <c r="AM129" s="476"/>
      <c r="AN129" s="476"/>
    </row>
    <row r="130" spans="1:40" x14ac:dyDescent="0.25">
      <c r="A130" s="53"/>
      <c r="C130" s="54"/>
      <c r="F130" s="449"/>
      <c r="H130" s="449"/>
      <c r="I130" s="449"/>
      <c r="J130" s="461"/>
      <c r="K130" s="461"/>
      <c r="L130" s="379"/>
      <c r="M130" s="379"/>
      <c r="N130" s="50"/>
      <c r="O130" s="50"/>
      <c r="P130" s="379"/>
      <c r="Q130" s="379"/>
      <c r="R130" s="379"/>
      <c r="T130" s="54"/>
      <c r="V130" s="449"/>
      <c r="Y130" s="379"/>
      <c r="Z130" s="461"/>
      <c r="AA130" s="379"/>
      <c r="AB130" s="379"/>
      <c r="AC130" s="50"/>
      <c r="AD130" s="50"/>
      <c r="AE130" s="379"/>
      <c r="AF130" s="379"/>
      <c r="AG130" s="156"/>
      <c r="AH130" s="60"/>
      <c r="AI130" s="379"/>
      <c r="AJ130" s="379"/>
      <c r="AK130" s="156"/>
      <c r="AL130" s="379"/>
      <c r="AM130" s="50"/>
      <c r="AN130" s="50"/>
    </row>
    <row r="131" spans="1:40" x14ac:dyDescent="0.25">
      <c r="F131" s="379"/>
      <c r="H131" s="381"/>
      <c r="I131" s="381"/>
      <c r="J131" s="464"/>
      <c r="K131" s="464"/>
      <c r="L131" s="381"/>
      <c r="M131" s="381"/>
      <c r="N131" s="381"/>
      <c r="O131" s="381"/>
      <c r="P131" s="381"/>
      <c r="Q131" s="381"/>
      <c r="R131" s="381"/>
      <c r="V131" s="379"/>
      <c r="Y131" s="381"/>
      <c r="Z131" s="464"/>
      <c r="AA131" s="381"/>
      <c r="AB131" s="381"/>
      <c r="AC131" s="381"/>
      <c r="AD131" s="381"/>
      <c r="AE131" s="381"/>
      <c r="AF131" s="381"/>
      <c r="AI131" s="381"/>
      <c r="AJ131" s="381"/>
      <c r="AK131" s="162"/>
      <c r="AL131" s="381"/>
      <c r="AM131" s="50"/>
      <c r="AN131" s="50"/>
    </row>
    <row r="132" spans="1:40" x14ac:dyDescent="0.25">
      <c r="A132" s="53"/>
      <c r="C132" s="54"/>
      <c r="F132" s="379"/>
      <c r="H132" s="379"/>
      <c r="I132" s="379"/>
      <c r="J132" s="464"/>
      <c r="K132" s="464"/>
      <c r="L132" s="379"/>
      <c r="M132" s="379"/>
      <c r="N132" s="50"/>
      <c r="O132" s="50"/>
      <c r="P132" s="379"/>
      <c r="Q132" s="379"/>
      <c r="R132" s="379"/>
      <c r="T132" s="54"/>
      <c r="V132" s="379"/>
      <c r="Y132" s="379"/>
      <c r="Z132" s="464"/>
      <c r="AA132" s="379"/>
      <c r="AB132" s="379"/>
      <c r="AC132" s="50"/>
      <c r="AD132" s="50"/>
      <c r="AE132" s="379"/>
      <c r="AF132" s="379"/>
      <c r="AG132" s="156"/>
      <c r="AH132" s="60"/>
      <c r="AI132" s="379"/>
      <c r="AJ132" s="379"/>
      <c r="AK132" s="156"/>
      <c r="AL132" s="379"/>
      <c r="AM132" s="50"/>
      <c r="AN132" s="50"/>
    </row>
    <row r="133" spans="1:40" x14ac:dyDescent="0.25">
      <c r="F133" s="379"/>
      <c r="H133" s="381"/>
      <c r="I133" s="381"/>
      <c r="J133" s="464"/>
      <c r="K133" s="464"/>
      <c r="L133" s="381"/>
      <c r="M133" s="381"/>
      <c r="N133" s="381"/>
      <c r="O133" s="381"/>
      <c r="P133" s="381"/>
      <c r="Q133" s="381"/>
      <c r="R133" s="381"/>
      <c r="V133" s="379"/>
      <c r="Y133" s="381"/>
      <c r="Z133" s="464"/>
      <c r="AA133" s="381"/>
      <c r="AB133" s="381"/>
      <c r="AC133" s="381"/>
      <c r="AD133" s="381"/>
      <c r="AE133" s="381"/>
      <c r="AF133" s="381"/>
      <c r="AI133" s="381"/>
      <c r="AJ133" s="381"/>
      <c r="AK133" s="162"/>
      <c r="AL133" s="381"/>
      <c r="AM133" s="50"/>
      <c r="AN133" s="50"/>
    </row>
    <row r="134" spans="1:40" x14ac:dyDescent="0.25">
      <c r="F134" s="379"/>
      <c r="H134" s="379"/>
      <c r="I134" s="379"/>
      <c r="J134" s="464"/>
      <c r="K134" s="464"/>
      <c r="L134" s="379"/>
      <c r="M134" s="379"/>
      <c r="N134" s="379"/>
      <c r="O134" s="379"/>
      <c r="P134" s="379"/>
      <c r="Q134" s="379"/>
      <c r="R134" s="379"/>
      <c r="V134" s="379"/>
      <c r="Y134" s="379"/>
      <c r="Z134" s="464"/>
      <c r="AA134" s="379"/>
      <c r="AB134" s="379"/>
      <c r="AC134" s="379"/>
      <c r="AD134" s="379"/>
      <c r="AE134" s="379"/>
      <c r="AF134" s="379"/>
      <c r="AG134" s="156"/>
      <c r="AH134" s="60"/>
      <c r="AI134" s="379"/>
      <c r="AJ134" s="379"/>
      <c r="AK134" s="156"/>
      <c r="AL134" s="379"/>
      <c r="AM134" s="50"/>
      <c r="AN134" s="50"/>
    </row>
    <row r="135" spans="1:40" x14ac:dyDescent="0.25">
      <c r="A135" s="53"/>
      <c r="C135" s="54"/>
      <c r="F135" s="449"/>
      <c r="H135" s="449"/>
      <c r="I135" s="449"/>
      <c r="J135" s="472"/>
      <c r="K135" s="472"/>
      <c r="L135" s="379"/>
      <c r="M135" s="379"/>
      <c r="N135" s="50"/>
      <c r="O135" s="50"/>
      <c r="P135" s="449"/>
      <c r="Q135" s="449"/>
      <c r="R135" s="379"/>
      <c r="T135" s="54"/>
      <c r="V135" s="449"/>
      <c r="Y135" s="449"/>
      <c r="Z135" s="477"/>
      <c r="AA135" s="379"/>
      <c r="AB135" s="379"/>
      <c r="AC135" s="50"/>
      <c r="AD135" s="50"/>
      <c r="AE135" s="379"/>
      <c r="AF135" s="379"/>
      <c r="AG135" s="156"/>
      <c r="AH135" s="60"/>
      <c r="AI135" s="449"/>
      <c r="AJ135" s="449"/>
      <c r="AK135" s="156"/>
      <c r="AL135" s="379"/>
      <c r="AM135" s="50"/>
      <c r="AN135" s="50"/>
    </row>
    <row r="136" spans="1:40" x14ac:dyDescent="0.25">
      <c r="A136" s="53"/>
      <c r="C136" s="54"/>
      <c r="F136" s="449"/>
      <c r="H136" s="449"/>
      <c r="I136" s="449"/>
      <c r="J136" s="472"/>
      <c r="K136" s="472"/>
      <c r="L136" s="379"/>
      <c r="M136" s="379"/>
      <c r="N136" s="50"/>
      <c r="O136" s="50"/>
      <c r="P136" s="449"/>
      <c r="Q136" s="449"/>
      <c r="R136" s="379"/>
      <c r="T136" s="54"/>
      <c r="V136" s="449"/>
      <c r="Y136" s="379"/>
      <c r="Z136" s="463"/>
      <c r="AA136" s="379"/>
      <c r="AB136" s="379"/>
      <c r="AC136" s="50"/>
      <c r="AD136" s="50"/>
      <c r="AE136" s="379"/>
      <c r="AF136" s="379"/>
      <c r="AG136" s="156"/>
      <c r="AH136" s="60"/>
      <c r="AI136" s="449"/>
      <c r="AJ136" s="449"/>
      <c r="AK136" s="156"/>
      <c r="AL136" s="379"/>
      <c r="AM136" s="50"/>
      <c r="AN136" s="50"/>
    </row>
    <row r="137" spans="1:40" x14ac:dyDescent="0.25">
      <c r="A137" s="53"/>
      <c r="C137" s="54"/>
      <c r="F137" s="449"/>
      <c r="H137" s="449"/>
      <c r="I137" s="449"/>
      <c r="J137" s="472"/>
      <c r="K137" s="472"/>
      <c r="L137" s="379"/>
      <c r="M137" s="379"/>
      <c r="N137" s="50"/>
      <c r="O137" s="50"/>
      <c r="P137" s="449"/>
      <c r="Q137" s="449"/>
      <c r="R137" s="379"/>
      <c r="T137" s="54"/>
      <c r="V137" s="449"/>
      <c r="Y137" s="379"/>
      <c r="Z137" s="463"/>
      <c r="AA137" s="379"/>
      <c r="AB137" s="379"/>
      <c r="AC137" s="50"/>
      <c r="AD137" s="50"/>
      <c r="AE137" s="379"/>
      <c r="AF137" s="379"/>
      <c r="AG137" s="156"/>
      <c r="AH137" s="60"/>
      <c r="AI137" s="449"/>
      <c r="AJ137" s="449"/>
      <c r="AK137" s="156"/>
      <c r="AL137" s="379"/>
      <c r="AM137" s="50"/>
      <c r="AN137" s="50"/>
    </row>
    <row r="138" spans="1:40" x14ac:dyDescent="0.25">
      <c r="F138" s="381"/>
      <c r="H138" s="381"/>
      <c r="I138" s="381"/>
      <c r="J138" s="464"/>
      <c r="K138" s="464"/>
      <c r="L138" s="381"/>
      <c r="M138" s="381"/>
      <c r="N138" s="381"/>
      <c r="O138" s="381"/>
      <c r="P138" s="381"/>
      <c r="Q138" s="381"/>
      <c r="R138" s="381"/>
      <c r="V138" s="381"/>
      <c r="Y138" s="381"/>
      <c r="Z138" s="464"/>
      <c r="AA138" s="381"/>
      <c r="AB138" s="381"/>
      <c r="AC138" s="381"/>
      <c r="AD138" s="381"/>
      <c r="AE138" s="381"/>
      <c r="AF138" s="381"/>
      <c r="AI138" s="381"/>
      <c r="AJ138" s="381"/>
      <c r="AK138" s="162"/>
      <c r="AL138" s="381"/>
      <c r="AM138" s="50"/>
      <c r="AN138" s="50"/>
    </row>
    <row r="139" spans="1:40" x14ac:dyDescent="0.25">
      <c r="A139" s="53"/>
      <c r="C139" s="54"/>
      <c r="F139" s="379"/>
      <c r="H139" s="379"/>
      <c r="I139" s="379"/>
      <c r="J139" s="59"/>
      <c r="K139" s="59"/>
      <c r="L139" s="379"/>
      <c r="M139" s="379"/>
      <c r="N139" s="50"/>
      <c r="O139" s="50"/>
      <c r="P139" s="379"/>
      <c r="Q139" s="379"/>
      <c r="R139" s="379"/>
      <c r="T139" s="54"/>
      <c r="V139" s="379"/>
      <c r="Y139" s="379"/>
      <c r="Z139" s="59"/>
      <c r="AA139" s="379"/>
      <c r="AB139" s="379"/>
      <c r="AC139" s="50"/>
      <c r="AD139" s="50"/>
      <c r="AE139" s="379"/>
      <c r="AF139" s="379"/>
      <c r="AG139" s="156"/>
      <c r="AH139" s="60"/>
      <c r="AI139" s="379"/>
      <c r="AJ139" s="379"/>
      <c r="AK139" s="156"/>
      <c r="AL139" s="379"/>
      <c r="AM139" s="50"/>
      <c r="AN139" s="50"/>
    </row>
    <row r="140" spans="1:40" x14ac:dyDescent="0.25">
      <c r="F140" s="381"/>
      <c r="H140" s="381"/>
      <c r="I140" s="381"/>
      <c r="J140" s="464"/>
      <c r="K140" s="464"/>
      <c r="L140" s="381"/>
      <c r="M140" s="381"/>
      <c r="N140" s="381"/>
      <c r="O140" s="381"/>
      <c r="P140" s="381"/>
      <c r="Q140" s="381"/>
      <c r="R140" s="381"/>
      <c r="V140" s="381"/>
      <c r="Y140" s="381"/>
      <c r="Z140" s="464"/>
      <c r="AA140" s="381"/>
      <c r="AB140" s="381"/>
      <c r="AC140" s="381"/>
      <c r="AD140" s="381"/>
      <c r="AE140" s="381"/>
      <c r="AF140" s="381"/>
      <c r="AI140" s="381"/>
      <c r="AJ140" s="381"/>
      <c r="AK140" s="162"/>
      <c r="AL140" s="381"/>
      <c r="AM140" s="50"/>
      <c r="AN140" s="50"/>
    </row>
    <row r="141" spans="1:40" x14ac:dyDescent="0.25">
      <c r="A141" s="53"/>
      <c r="C141" s="54"/>
      <c r="F141" s="379"/>
      <c r="H141" s="379"/>
      <c r="I141" s="379"/>
      <c r="J141" s="59"/>
      <c r="K141" s="59"/>
      <c r="L141" s="379"/>
      <c r="M141" s="379"/>
      <c r="N141" s="50"/>
      <c r="O141" s="50"/>
      <c r="P141" s="379"/>
      <c r="Q141" s="379"/>
      <c r="R141" s="379"/>
      <c r="T141" s="54"/>
      <c r="V141" s="379"/>
      <c r="Y141" s="379"/>
      <c r="Z141" s="59"/>
      <c r="AA141" s="379"/>
      <c r="AB141" s="379"/>
      <c r="AC141" s="50"/>
      <c r="AD141" s="50"/>
      <c r="AE141" s="379"/>
      <c r="AF141" s="379"/>
      <c r="AG141" s="156"/>
      <c r="AH141" s="60"/>
      <c r="AI141" s="379"/>
      <c r="AJ141" s="379"/>
      <c r="AK141" s="156"/>
      <c r="AL141" s="379"/>
      <c r="AM141" s="50"/>
      <c r="AN141" s="50"/>
    </row>
    <row r="142" spans="1:40" x14ac:dyDescent="0.25">
      <c r="A142" s="53"/>
      <c r="C142" s="54"/>
      <c r="F142" s="379"/>
      <c r="H142" s="379"/>
      <c r="I142" s="379"/>
      <c r="J142" s="59"/>
      <c r="K142" s="59"/>
      <c r="L142" s="379"/>
      <c r="M142" s="379"/>
      <c r="N142" s="50"/>
      <c r="O142" s="50"/>
      <c r="P142" s="379"/>
      <c r="Q142" s="379"/>
      <c r="R142" s="379"/>
      <c r="T142" s="54"/>
      <c r="V142" s="379"/>
      <c r="Y142" s="379"/>
      <c r="Z142" s="59"/>
      <c r="AA142" s="379"/>
      <c r="AB142" s="379"/>
      <c r="AC142" s="50"/>
      <c r="AD142" s="50"/>
      <c r="AE142" s="379"/>
      <c r="AF142" s="379"/>
      <c r="AG142" s="156"/>
      <c r="AH142" s="60"/>
      <c r="AI142" s="379"/>
      <c r="AJ142" s="379"/>
      <c r="AK142" s="156"/>
      <c r="AL142" s="379"/>
      <c r="AM142" s="50"/>
      <c r="AN142" s="50"/>
    </row>
    <row r="143" spans="1:40" x14ac:dyDescent="0.25">
      <c r="F143" s="381"/>
      <c r="H143" s="381"/>
      <c r="I143" s="381"/>
      <c r="J143" s="464"/>
      <c r="K143" s="464"/>
      <c r="L143" s="381"/>
      <c r="M143" s="381"/>
      <c r="N143" s="381"/>
      <c r="O143" s="381"/>
      <c r="P143" s="381"/>
      <c r="Q143" s="381"/>
      <c r="R143" s="381"/>
      <c r="V143" s="381"/>
      <c r="Y143" s="381"/>
      <c r="Z143" s="464"/>
      <c r="AA143" s="381"/>
      <c r="AB143" s="381"/>
      <c r="AC143" s="381"/>
      <c r="AD143" s="381"/>
      <c r="AE143" s="381"/>
      <c r="AF143" s="381"/>
      <c r="AI143" s="381"/>
      <c r="AJ143" s="381"/>
      <c r="AK143" s="162"/>
      <c r="AL143" s="381"/>
      <c r="AM143" s="379"/>
      <c r="AN143" s="379"/>
    </row>
    <row r="144" spans="1:40" x14ac:dyDescent="0.25">
      <c r="F144" s="379"/>
      <c r="H144" s="379"/>
      <c r="I144" s="379"/>
      <c r="J144" s="59"/>
      <c r="K144" s="59"/>
      <c r="L144" s="379"/>
      <c r="M144" s="379"/>
      <c r="N144" s="379"/>
      <c r="O144" s="379"/>
      <c r="P144" s="379"/>
      <c r="Q144" s="379"/>
      <c r="R144" s="379"/>
      <c r="V144" s="379"/>
      <c r="Y144" s="379"/>
      <c r="Z144" s="59"/>
      <c r="AA144" s="379"/>
      <c r="AB144" s="379"/>
      <c r="AC144" s="379"/>
      <c r="AD144" s="379"/>
    </row>
    <row r="145" spans="1:40" x14ac:dyDescent="0.25">
      <c r="C145" s="54"/>
      <c r="F145" s="379"/>
      <c r="H145" s="379"/>
      <c r="I145" s="379"/>
      <c r="J145" s="59"/>
      <c r="K145" s="59"/>
      <c r="L145" s="379"/>
      <c r="M145" s="379"/>
      <c r="N145" s="379"/>
      <c r="O145" s="379"/>
      <c r="P145" s="379"/>
      <c r="Q145" s="379"/>
      <c r="R145" s="379"/>
      <c r="T145" s="54"/>
      <c r="V145" s="379"/>
      <c r="Y145" s="379"/>
      <c r="Z145" s="59"/>
      <c r="AA145" s="379"/>
      <c r="AB145" s="379"/>
      <c r="AC145" s="379"/>
      <c r="AD145" s="379"/>
    </row>
    <row r="146" spans="1:40" x14ac:dyDescent="0.25">
      <c r="A146" s="54"/>
    </row>
    <row r="147" spans="1:40" x14ac:dyDescent="0.25">
      <c r="J147" s="53"/>
      <c r="K147" s="53"/>
      <c r="Z147" s="53"/>
    </row>
    <row r="148" spans="1:40" x14ac:dyDescent="0.25">
      <c r="H148" s="54"/>
      <c r="I148" s="54"/>
      <c r="Y148" s="54"/>
    </row>
    <row r="149" spans="1:40" x14ac:dyDescent="0.25">
      <c r="J149" s="53"/>
      <c r="K149" s="53"/>
      <c r="Z149" s="53"/>
    </row>
    <row r="150" spans="1:40" x14ac:dyDescent="0.25">
      <c r="L150" s="54"/>
      <c r="M150" s="54"/>
      <c r="AA150" s="54"/>
      <c r="AB150" s="54"/>
    </row>
    <row r="151" spans="1:40" x14ac:dyDescent="0.25">
      <c r="A151" s="53"/>
      <c r="R151" s="54"/>
      <c r="AK151" s="161"/>
      <c r="AL151" s="54"/>
    </row>
    <row r="152" spans="1:40" x14ac:dyDescent="0.25">
      <c r="A152" s="53"/>
      <c r="R152" s="54"/>
      <c r="AK152" s="161"/>
      <c r="AL152" s="54"/>
    </row>
    <row r="153" spans="1:40" x14ac:dyDescent="0.25">
      <c r="A153" s="54"/>
      <c r="R153" s="54"/>
      <c r="AK153" s="161"/>
      <c r="AL153" s="54"/>
    </row>
    <row r="154" spans="1:40" x14ac:dyDescent="0.25">
      <c r="L154" s="54"/>
      <c r="M154" s="54"/>
      <c r="R154" s="53"/>
      <c r="AA154" s="54"/>
      <c r="AB154" s="54"/>
      <c r="AK154" s="156"/>
      <c r="AL154" s="53"/>
    </row>
    <row r="155" spans="1:40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154"/>
      <c r="AH155" s="55"/>
      <c r="AI155" s="55"/>
      <c r="AJ155" s="55"/>
      <c r="AK155" s="154"/>
      <c r="AL155" s="55"/>
      <c r="AM155" s="55"/>
      <c r="AN155" s="55"/>
    </row>
    <row r="156" spans="1:40" x14ac:dyDescent="0.25">
      <c r="L156" s="56"/>
      <c r="M156" s="56"/>
      <c r="N156" s="56"/>
      <c r="O156" s="56"/>
      <c r="R156" s="56"/>
      <c r="AA156" s="56"/>
      <c r="AB156" s="56"/>
      <c r="AC156" s="56"/>
      <c r="AD156" s="56"/>
      <c r="AE156" s="56"/>
      <c r="AF156" s="56"/>
      <c r="AG156" s="155"/>
      <c r="AH156" s="56"/>
      <c r="AK156" s="155"/>
      <c r="AL156" s="56"/>
      <c r="AM156" s="56"/>
      <c r="AN156" s="56"/>
    </row>
    <row r="157" spans="1:40" x14ac:dyDescent="0.25">
      <c r="L157" s="56"/>
      <c r="M157" s="56"/>
      <c r="N157" s="56"/>
      <c r="O157" s="56"/>
      <c r="R157" s="56"/>
      <c r="Z157" s="56"/>
      <c r="AA157" s="56"/>
      <c r="AB157" s="56"/>
      <c r="AC157" s="56"/>
      <c r="AD157" s="56"/>
      <c r="AE157" s="56"/>
      <c r="AF157" s="56"/>
      <c r="AG157" s="155"/>
      <c r="AH157" s="56"/>
      <c r="AK157" s="155"/>
      <c r="AL157" s="56"/>
      <c r="AM157" s="56"/>
      <c r="AN157" s="56"/>
    </row>
    <row r="158" spans="1:40" x14ac:dyDescent="0.25">
      <c r="A158" s="56"/>
      <c r="C158" s="56"/>
      <c r="D158" s="56"/>
      <c r="E158" s="56"/>
      <c r="F158" s="56"/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Z158" s="56"/>
      <c r="AA158" s="56"/>
      <c r="AB158" s="56"/>
      <c r="AC158" s="56"/>
      <c r="AD158" s="56"/>
      <c r="AE158" s="56"/>
      <c r="AF158" s="56"/>
      <c r="AG158" s="155"/>
      <c r="AH158" s="56"/>
      <c r="AI158" s="56"/>
      <c r="AJ158" s="56"/>
      <c r="AK158" s="155"/>
      <c r="AL158" s="56"/>
      <c r="AM158" s="56"/>
      <c r="AN158" s="56"/>
    </row>
    <row r="159" spans="1:40" x14ac:dyDescent="0.25">
      <c r="A159" s="56"/>
      <c r="C159" s="56"/>
      <c r="D159" s="56"/>
      <c r="E159" s="56"/>
      <c r="F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Y159" s="56"/>
      <c r="Z159" s="56"/>
      <c r="AA159" s="56"/>
      <c r="AB159" s="56"/>
      <c r="AC159" s="56"/>
      <c r="AD159" s="56"/>
      <c r="AE159" s="56"/>
      <c r="AF159" s="56"/>
      <c r="AG159" s="155"/>
      <c r="AH159" s="56"/>
      <c r="AI159" s="56"/>
      <c r="AJ159" s="56"/>
      <c r="AK159" s="155"/>
      <c r="AL159" s="56"/>
      <c r="AM159" s="56"/>
      <c r="AN159" s="56"/>
    </row>
    <row r="160" spans="1:40" x14ac:dyDescent="0.25">
      <c r="C160" s="56"/>
      <c r="D160" s="56"/>
      <c r="E160" s="56"/>
      <c r="F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Y160" s="56"/>
      <c r="Z160" s="56"/>
      <c r="AA160" s="56"/>
      <c r="AB160" s="56"/>
      <c r="AC160" s="56"/>
      <c r="AD160" s="56"/>
      <c r="AE160" s="56"/>
      <c r="AF160" s="56"/>
      <c r="AG160" s="155"/>
      <c r="AH160" s="56"/>
      <c r="AI160" s="56"/>
      <c r="AJ160" s="56"/>
      <c r="AK160" s="155"/>
      <c r="AL160" s="56"/>
      <c r="AM160" s="56"/>
      <c r="AN160" s="56"/>
    </row>
    <row r="161" spans="1:40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154"/>
      <c r="AH161" s="55"/>
      <c r="AI161" s="55"/>
      <c r="AJ161" s="55"/>
      <c r="AK161" s="154"/>
      <c r="AL161" s="55"/>
      <c r="AM161" s="55"/>
      <c r="AN161" s="55"/>
    </row>
    <row r="162" spans="1:40" x14ac:dyDescent="0.25"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Y162" s="56"/>
      <c r="Z162" s="56"/>
      <c r="AA162" s="56"/>
      <c r="AB162" s="56"/>
      <c r="AC162" s="56"/>
      <c r="AD162" s="56"/>
      <c r="AE162" s="56"/>
      <c r="AF162" s="56"/>
      <c r="AG162" s="155"/>
      <c r="AH162" s="56"/>
      <c r="AI162" s="56"/>
      <c r="AJ162" s="56"/>
      <c r="AK162" s="155"/>
      <c r="AL162" s="56"/>
      <c r="AM162" s="56"/>
      <c r="AN162" s="56"/>
    </row>
    <row r="163" spans="1:40" x14ac:dyDescent="0.25">
      <c r="A163" s="53"/>
      <c r="C163" s="54"/>
      <c r="D163" s="54"/>
      <c r="E163" s="54"/>
      <c r="T163" s="54"/>
      <c r="U163" s="54"/>
    </row>
    <row r="165" spans="1:40" x14ac:dyDescent="0.25">
      <c r="A165" s="53"/>
      <c r="C165" s="54"/>
      <c r="F165" s="449"/>
      <c r="H165" s="470"/>
      <c r="I165" s="470"/>
      <c r="J165" s="461"/>
      <c r="K165" s="461"/>
      <c r="L165" s="379"/>
      <c r="M165" s="379"/>
      <c r="N165" s="53"/>
      <c r="O165" s="53"/>
      <c r="P165" s="53"/>
      <c r="Q165" s="53"/>
      <c r="R165" s="379"/>
      <c r="T165" s="54"/>
      <c r="V165" s="379"/>
      <c r="Y165" s="53"/>
      <c r="Z165" s="461"/>
      <c r="AA165" s="379"/>
      <c r="AB165" s="379"/>
      <c r="AC165" s="53"/>
      <c r="AD165" s="53"/>
      <c r="AE165" s="379"/>
      <c r="AF165" s="379"/>
      <c r="AG165" s="474"/>
      <c r="AH165" s="475"/>
      <c r="AI165" s="379"/>
      <c r="AJ165" s="379"/>
      <c r="AK165" s="156"/>
      <c r="AL165" s="379"/>
      <c r="AM165" s="476"/>
      <c r="AN165" s="476"/>
    </row>
    <row r="166" spans="1:40" x14ac:dyDescent="0.25">
      <c r="F166" s="449"/>
      <c r="H166" s="470"/>
      <c r="I166" s="470"/>
      <c r="J166" s="470"/>
      <c r="K166" s="470"/>
      <c r="R166" s="379"/>
      <c r="V166" s="379"/>
      <c r="Z166" s="470"/>
    </row>
    <row r="167" spans="1:40" x14ac:dyDescent="0.25">
      <c r="A167" s="53"/>
      <c r="C167" s="54"/>
      <c r="F167" s="449"/>
      <c r="H167" s="449"/>
      <c r="I167" s="449"/>
      <c r="J167" s="472"/>
      <c r="K167" s="472"/>
      <c r="L167" s="379"/>
      <c r="M167" s="379"/>
      <c r="N167" s="50"/>
      <c r="O167" s="50"/>
      <c r="P167" s="449"/>
      <c r="Q167" s="449"/>
      <c r="R167" s="379"/>
      <c r="T167" s="54"/>
      <c r="V167" s="379"/>
      <c r="Y167" s="379"/>
      <c r="Z167" s="463"/>
      <c r="AA167" s="379"/>
      <c r="AB167" s="379"/>
      <c r="AC167" s="50"/>
      <c r="AD167" s="50"/>
      <c r="AE167" s="379"/>
      <c r="AF167" s="379"/>
      <c r="AG167" s="156"/>
      <c r="AH167" s="60"/>
      <c r="AI167" s="449"/>
      <c r="AJ167" s="449"/>
      <c r="AK167" s="156"/>
      <c r="AL167" s="379"/>
      <c r="AM167" s="50"/>
      <c r="AN167" s="50"/>
    </row>
    <row r="168" spans="1:40" x14ac:dyDescent="0.25">
      <c r="F168" s="381"/>
      <c r="H168" s="381"/>
      <c r="I168" s="381"/>
      <c r="J168" s="464"/>
      <c r="K168" s="464"/>
      <c r="L168" s="381"/>
      <c r="M168" s="381"/>
      <c r="N168" s="381"/>
      <c r="O168" s="381"/>
      <c r="P168" s="381"/>
      <c r="Q168" s="381"/>
      <c r="R168" s="381"/>
      <c r="V168" s="381"/>
      <c r="Y168" s="381"/>
      <c r="Z168" s="464"/>
      <c r="AA168" s="381"/>
      <c r="AB168" s="381"/>
      <c r="AC168" s="381"/>
      <c r="AD168" s="381"/>
      <c r="AE168" s="381"/>
      <c r="AF168" s="381"/>
      <c r="AI168" s="381"/>
      <c r="AJ168" s="381"/>
      <c r="AK168" s="162"/>
      <c r="AL168" s="381"/>
    </row>
    <row r="169" spans="1:40" x14ac:dyDescent="0.25">
      <c r="A169" s="53"/>
      <c r="D169" s="54"/>
      <c r="E169" s="54"/>
      <c r="F169" s="379"/>
      <c r="H169" s="379"/>
      <c r="I169" s="379"/>
      <c r="J169" s="59"/>
      <c r="K169" s="59"/>
      <c r="L169" s="379"/>
      <c r="M169" s="379"/>
      <c r="N169" s="50"/>
      <c r="O169" s="50"/>
      <c r="P169" s="379"/>
      <c r="Q169" s="379"/>
      <c r="R169" s="379"/>
      <c r="U169" s="54"/>
      <c r="V169" s="379"/>
      <c r="Y169" s="379"/>
      <c r="Z169" s="59"/>
      <c r="AA169" s="379"/>
      <c r="AB169" s="379"/>
      <c r="AC169" s="50"/>
      <c r="AD169" s="50"/>
      <c r="AE169" s="379"/>
      <c r="AF169" s="379"/>
      <c r="AG169" s="156"/>
      <c r="AH169" s="60"/>
      <c r="AI169" s="379"/>
      <c r="AJ169" s="379"/>
      <c r="AK169" s="156"/>
      <c r="AL169" s="379"/>
      <c r="AM169" s="50"/>
      <c r="AN169" s="50"/>
    </row>
    <row r="170" spans="1:40" x14ac:dyDescent="0.25">
      <c r="F170" s="381"/>
      <c r="H170" s="381"/>
      <c r="I170" s="381"/>
      <c r="J170" s="464"/>
      <c r="K170" s="464"/>
      <c r="L170" s="381"/>
      <c r="M170" s="381"/>
      <c r="N170" s="381"/>
      <c r="O170" s="381"/>
      <c r="P170" s="381"/>
      <c r="Q170" s="381"/>
      <c r="R170" s="381"/>
      <c r="V170" s="381"/>
      <c r="Y170" s="381"/>
      <c r="Z170" s="464"/>
      <c r="AA170" s="381"/>
      <c r="AB170" s="381"/>
      <c r="AC170" s="381"/>
      <c r="AD170" s="381"/>
      <c r="AE170" s="381"/>
      <c r="AF170" s="381"/>
      <c r="AI170" s="381"/>
      <c r="AJ170" s="381"/>
      <c r="AK170" s="162"/>
      <c r="AL170" s="381"/>
    </row>
    <row r="171" spans="1:40" x14ac:dyDescent="0.25">
      <c r="R171" s="379"/>
    </row>
    <row r="172" spans="1:40" x14ac:dyDescent="0.25">
      <c r="R172" s="379"/>
    </row>
    <row r="173" spans="1:40" x14ac:dyDescent="0.25">
      <c r="R173" s="379"/>
    </row>
    <row r="174" spans="1:40" x14ac:dyDescent="0.25">
      <c r="A174" s="53"/>
      <c r="C174" s="54"/>
      <c r="D174" s="54"/>
      <c r="E174" s="54"/>
      <c r="H174" s="379"/>
      <c r="I174" s="379"/>
      <c r="J174" s="59"/>
      <c r="K174" s="59"/>
      <c r="L174" s="379"/>
      <c r="M174" s="379"/>
      <c r="N174" s="50"/>
      <c r="O174" s="50"/>
      <c r="P174" s="379"/>
      <c r="Q174" s="379"/>
      <c r="R174" s="379"/>
      <c r="T174" s="54"/>
      <c r="U174" s="54"/>
      <c r="Y174" s="379"/>
      <c r="Z174" s="59"/>
      <c r="AA174" s="379"/>
      <c r="AB174" s="379"/>
      <c r="AC174" s="50"/>
      <c r="AD174" s="50"/>
    </row>
    <row r="175" spans="1:40" x14ac:dyDescent="0.25">
      <c r="H175" s="379"/>
      <c r="I175" s="379"/>
      <c r="J175" s="59"/>
      <c r="K175" s="59"/>
      <c r="L175" s="379"/>
      <c r="M175" s="379"/>
      <c r="N175" s="50"/>
      <c r="O175" s="50"/>
      <c r="P175" s="379"/>
      <c r="Q175" s="379"/>
      <c r="R175" s="379"/>
      <c r="Y175" s="379"/>
      <c r="Z175" s="59"/>
      <c r="AA175" s="379"/>
      <c r="AB175" s="379"/>
      <c r="AC175" s="50"/>
      <c r="AD175" s="50"/>
    </row>
    <row r="176" spans="1:40" x14ac:dyDescent="0.25">
      <c r="A176" s="53"/>
      <c r="C176" s="54"/>
      <c r="F176" s="449"/>
      <c r="H176" s="449"/>
      <c r="I176" s="449"/>
      <c r="J176" s="61"/>
      <c r="K176" s="61"/>
      <c r="L176" s="449"/>
      <c r="M176" s="449"/>
      <c r="N176" s="50"/>
      <c r="O176" s="50"/>
      <c r="P176" s="379"/>
      <c r="Q176" s="379"/>
      <c r="R176" s="379"/>
      <c r="T176" s="54"/>
      <c r="V176" s="379"/>
      <c r="Y176" s="379"/>
      <c r="Z176" s="61"/>
      <c r="AA176" s="379"/>
      <c r="AB176" s="379"/>
      <c r="AC176" s="50"/>
      <c r="AD176" s="50"/>
      <c r="AE176" s="379"/>
      <c r="AF176" s="379"/>
      <c r="AG176" s="156"/>
      <c r="AH176" s="60"/>
      <c r="AI176" s="379"/>
      <c r="AJ176" s="379"/>
      <c r="AK176" s="156"/>
      <c r="AL176" s="379"/>
      <c r="AM176" s="50"/>
      <c r="AN176" s="50"/>
    </row>
    <row r="177" spans="1:40" x14ac:dyDescent="0.25">
      <c r="F177" s="449"/>
      <c r="H177" s="470"/>
      <c r="I177" s="470"/>
      <c r="J177" s="470"/>
      <c r="K177" s="470"/>
      <c r="R177" s="379"/>
      <c r="V177" s="379"/>
      <c r="Z177" s="470"/>
    </row>
    <row r="178" spans="1:40" x14ac:dyDescent="0.25">
      <c r="A178" s="53"/>
      <c r="C178" s="54"/>
      <c r="F178" s="449"/>
      <c r="H178" s="449"/>
      <c r="I178" s="449"/>
      <c r="J178" s="461"/>
      <c r="K178" s="461"/>
      <c r="L178" s="379"/>
      <c r="M178" s="379"/>
      <c r="N178" s="50"/>
      <c r="O178" s="50"/>
      <c r="P178" s="379"/>
      <c r="Q178" s="379"/>
      <c r="R178" s="379"/>
      <c r="T178" s="54"/>
      <c r="V178" s="379"/>
      <c r="Y178" s="379"/>
      <c r="Z178" s="461"/>
      <c r="AA178" s="379"/>
      <c r="AB178" s="379"/>
      <c r="AC178" s="50"/>
      <c r="AD178" s="50"/>
      <c r="AE178" s="379"/>
      <c r="AF178" s="379"/>
      <c r="AG178" s="156"/>
      <c r="AH178" s="60"/>
      <c r="AI178" s="379"/>
      <c r="AJ178" s="379"/>
      <c r="AK178" s="156"/>
      <c r="AL178" s="379"/>
      <c r="AM178" s="50"/>
      <c r="AN178" s="50"/>
    </row>
    <row r="179" spans="1:40" x14ac:dyDescent="0.25">
      <c r="F179" s="449"/>
      <c r="H179" s="470"/>
      <c r="I179" s="470"/>
      <c r="J179" s="470"/>
      <c r="K179" s="470"/>
      <c r="R179" s="379"/>
      <c r="V179" s="379"/>
      <c r="Z179" s="470"/>
    </row>
    <row r="180" spans="1:40" x14ac:dyDescent="0.25">
      <c r="A180" s="53"/>
      <c r="C180" s="54"/>
      <c r="F180" s="449"/>
      <c r="H180" s="449"/>
      <c r="I180" s="449"/>
      <c r="J180" s="472"/>
      <c r="K180" s="472"/>
      <c r="L180" s="379"/>
      <c r="M180" s="379"/>
      <c r="N180" s="50"/>
      <c r="O180" s="50"/>
      <c r="P180" s="379"/>
      <c r="Q180" s="379"/>
      <c r="R180" s="379"/>
      <c r="T180" s="54"/>
      <c r="V180" s="379"/>
      <c r="Y180" s="379"/>
      <c r="Z180" s="463"/>
      <c r="AA180" s="379"/>
      <c r="AB180" s="379"/>
      <c r="AC180" s="50"/>
      <c r="AD180" s="50"/>
      <c r="AE180" s="379"/>
      <c r="AF180" s="379"/>
      <c r="AG180" s="156"/>
      <c r="AH180" s="60"/>
      <c r="AI180" s="379"/>
      <c r="AJ180" s="379"/>
      <c r="AK180" s="156"/>
      <c r="AL180" s="379"/>
      <c r="AM180" s="50"/>
      <c r="AN180" s="50"/>
    </row>
    <row r="181" spans="1:40" x14ac:dyDescent="0.25">
      <c r="F181" s="381"/>
      <c r="H181" s="381"/>
      <c r="I181" s="381"/>
      <c r="J181" s="464"/>
      <c r="K181" s="464"/>
      <c r="L181" s="381"/>
      <c r="M181" s="381"/>
      <c r="N181" s="381"/>
      <c r="O181" s="381"/>
      <c r="P181" s="381"/>
      <c r="Q181" s="381"/>
      <c r="R181" s="381"/>
      <c r="S181" s="379"/>
      <c r="V181" s="381"/>
      <c r="Y181" s="381"/>
      <c r="Z181" s="464"/>
      <c r="AA181" s="381"/>
      <c r="AB181" s="381"/>
      <c r="AC181" s="381"/>
      <c r="AD181" s="381"/>
      <c r="AE181" s="381"/>
      <c r="AF181" s="381"/>
      <c r="AI181" s="381"/>
      <c r="AJ181" s="381"/>
      <c r="AK181" s="162"/>
      <c r="AL181" s="381"/>
    </row>
    <row r="182" spans="1:40" x14ac:dyDescent="0.25">
      <c r="A182" s="53"/>
      <c r="D182" s="54"/>
      <c r="E182" s="54"/>
      <c r="F182" s="379"/>
      <c r="H182" s="379"/>
      <c r="I182" s="379"/>
      <c r="J182" s="59"/>
      <c r="K182" s="59"/>
      <c r="L182" s="379"/>
      <c r="M182" s="379"/>
      <c r="N182" s="50"/>
      <c r="O182" s="50"/>
      <c r="P182" s="449"/>
      <c r="Q182" s="449"/>
      <c r="R182" s="379"/>
      <c r="S182" s="379"/>
      <c r="U182" s="54"/>
      <c r="V182" s="379"/>
      <c r="Y182" s="379"/>
      <c r="Z182" s="59"/>
      <c r="AA182" s="379"/>
      <c r="AB182" s="379"/>
      <c r="AC182" s="50"/>
      <c r="AD182" s="50"/>
      <c r="AE182" s="379"/>
      <c r="AF182" s="379"/>
      <c r="AG182" s="156"/>
      <c r="AH182" s="60"/>
      <c r="AI182" s="449"/>
      <c r="AJ182" s="449"/>
      <c r="AK182" s="156"/>
      <c r="AL182" s="379"/>
      <c r="AM182" s="50"/>
      <c r="AN182" s="50"/>
    </row>
    <row r="183" spans="1:40" x14ac:dyDescent="0.25">
      <c r="F183" s="381"/>
      <c r="H183" s="381"/>
      <c r="I183" s="381"/>
      <c r="J183" s="464"/>
      <c r="K183" s="464"/>
      <c r="L183" s="381"/>
      <c r="M183" s="381"/>
      <c r="N183" s="381"/>
      <c r="O183" s="381"/>
      <c r="P183" s="381"/>
      <c r="Q183" s="381"/>
      <c r="R183" s="381"/>
      <c r="S183" s="379"/>
      <c r="V183" s="381"/>
      <c r="Y183" s="381"/>
      <c r="Z183" s="464"/>
      <c r="AA183" s="381"/>
      <c r="AB183" s="381"/>
      <c r="AC183" s="381"/>
      <c r="AD183" s="381"/>
      <c r="AE183" s="381"/>
      <c r="AF183" s="381"/>
      <c r="AI183" s="381"/>
      <c r="AJ183" s="381"/>
      <c r="AK183" s="162"/>
      <c r="AL183" s="381"/>
    </row>
    <row r="184" spans="1:40" x14ac:dyDescent="0.25">
      <c r="R184" s="379"/>
    </row>
    <row r="185" spans="1:40" x14ac:dyDescent="0.25">
      <c r="F185" s="379"/>
      <c r="H185" s="379"/>
      <c r="I185" s="379"/>
      <c r="J185" s="59"/>
      <c r="K185" s="59"/>
      <c r="L185" s="379"/>
      <c r="M185" s="379"/>
      <c r="N185" s="379"/>
      <c r="O185" s="379"/>
      <c r="P185" s="379"/>
      <c r="Q185" s="379"/>
      <c r="R185" s="379"/>
      <c r="V185" s="379"/>
      <c r="Y185" s="379"/>
      <c r="Z185" s="59"/>
      <c r="AA185" s="379"/>
      <c r="AB185" s="379"/>
      <c r="AC185" s="379"/>
      <c r="AD185" s="379"/>
    </row>
    <row r="186" spans="1:40" x14ac:dyDescent="0.25">
      <c r="C186" s="54"/>
      <c r="F186" s="379"/>
      <c r="H186" s="379"/>
      <c r="I186" s="379"/>
      <c r="J186" s="59"/>
      <c r="K186" s="59"/>
      <c r="L186" s="379"/>
      <c r="M186" s="379"/>
      <c r="N186" s="379"/>
      <c r="O186" s="379"/>
      <c r="P186" s="379"/>
      <c r="Q186" s="379"/>
      <c r="R186" s="379"/>
      <c r="T186" s="54"/>
      <c r="V186" s="379"/>
      <c r="Y186" s="379"/>
      <c r="Z186" s="59"/>
      <c r="AA186" s="379"/>
      <c r="AB186" s="379"/>
      <c r="AC186" s="379"/>
      <c r="AD186" s="379"/>
    </row>
    <row r="187" spans="1:40" x14ac:dyDescent="0.25">
      <c r="C187" s="54"/>
      <c r="T187" s="54"/>
    </row>
    <row r="188" spans="1:40" x14ac:dyDescent="0.25">
      <c r="A188" s="54"/>
    </row>
    <row r="190" spans="1:40" x14ac:dyDescent="0.25">
      <c r="J190" s="53"/>
      <c r="K190" s="53"/>
      <c r="Z190" s="53"/>
    </row>
    <row r="191" spans="1:40" x14ac:dyDescent="0.25">
      <c r="H191" s="54"/>
      <c r="I191" s="54"/>
      <c r="Y191" s="54"/>
    </row>
    <row r="192" spans="1:40" x14ac:dyDescent="0.25">
      <c r="J192" s="53"/>
      <c r="K192" s="53"/>
      <c r="Z192" s="53"/>
    </row>
    <row r="193" spans="1:40" x14ac:dyDescent="0.25">
      <c r="L193" s="54"/>
      <c r="M193" s="54"/>
      <c r="AA193" s="54"/>
      <c r="AB193" s="54"/>
    </row>
    <row r="194" spans="1:40" x14ac:dyDescent="0.25">
      <c r="A194" s="53"/>
      <c r="R194" s="54"/>
      <c r="AK194" s="161"/>
      <c r="AL194" s="54"/>
    </row>
    <row r="195" spans="1:40" x14ac:dyDescent="0.25">
      <c r="A195" s="53"/>
      <c r="R195" s="54"/>
      <c r="AK195" s="161"/>
      <c r="AL195" s="54"/>
    </row>
    <row r="196" spans="1:40" x14ac:dyDescent="0.25">
      <c r="A196" s="54"/>
      <c r="R196" s="54"/>
      <c r="AK196" s="161"/>
      <c r="AL196" s="54"/>
    </row>
    <row r="197" spans="1:40" x14ac:dyDescent="0.25">
      <c r="L197" s="54"/>
      <c r="M197" s="54"/>
      <c r="R197" s="53"/>
      <c r="AA197" s="54"/>
      <c r="AB197" s="54"/>
      <c r="AK197" s="156"/>
      <c r="AL197" s="53"/>
    </row>
    <row r="198" spans="1:40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154"/>
      <c r="AH198" s="55"/>
      <c r="AI198" s="55"/>
      <c r="AJ198" s="55"/>
      <c r="AK198" s="154"/>
      <c r="AL198" s="55"/>
      <c r="AM198" s="55"/>
      <c r="AN198" s="55"/>
    </row>
    <row r="199" spans="1:40" x14ac:dyDescent="0.25">
      <c r="L199" s="56"/>
      <c r="M199" s="56"/>
      <c r="N199" s="56"/>
      <c r="O199" s="56"/>
      <c r="R199" s="56"/>
      <c r="AA199" s="56"/>
      <c r="AB199" s="56"/>
      <c r="AC199" s="56"/>
      <c r="AD199" s="56"/>
      <c r="AE199" s="56"/>
      <c r="AF199" s="56"/>
      <c r="AG199" s="155"/>
      <c r="AH199" s="56"/>
      <c r="AK199" s="155"/>
      <c r="AL199" s="56"/>
      <c r="AM199" s="56"/>
      <c r="AN199" s="56"/>
    </row>
    <row r="200" spans="1:40" x14ac:dyDescent="0.25">
      <c r="L200" s="56"/>
      <c r="M200" s="56"/>
      <c r="N200" s="56"/>
      <c r="O200" s="56"/>
      <c r="R200" s="56"/>
      <c r="Z200" s="56"/>
      <c r="AA200" s="56"/>
      <c r="AB200" s="56"/>
      <c r="AC200" s="56"/>
      <c r="AD200" s="56"/>
      <c r="AE200" s="56"/>
      <c r="AF200" s="56"/>
      <c r="AG200" s="155"/>
      <c r="AH200" s="56"/>
      <c r="AK200" s="155"/>
      <c r="AL200" s="56"/>
      <c r="AM200" s="56"/>
      <c r="AN200" s="56"/>
    </row>
    <row r="201" spans="1:40" x14ac:dyDescent="0.25">
      <c r="A201" s="56"/>
      <c r="C201" s="56"/>
      <c r="D201" s="56"/>
      <c r="E201" s="56"/>
      <c r="F201" s="56"/>
      <c r="J201" s="56"/>
      <c r="K201" s="56"/>
      <c r="L201" s="56"/>
      <c r="M201" s="56"/>
      <c r="N201" s="56"/>
      <c r="O201" s="56"/>
      <c r="P201" s="56"/>
      <c r="Q201" s="56"/>
      <c r="R201" s="56"/>
      <c r="T201" s="56"/>
      <c r="U201" s="56"/>
      <c r="V201" s="56"/>
      <c r="Z201" s="56"/>
      <c r="AA201" s="56"/>
      <c r="AB201" s="56"/>
      <c r="AC201" s="56"/>
      <c r="AD201" s="56"/>
      <c r="AE201" s="56"/>
      <c r="AF201" s="56"/>
      <c r="AG201" s="155"/>
      <c r="AH201" s="56"/>
      <c r="AI201" s="56"/>
      <c r="AJ201" s="56"/>
      <c r="AK201" s="155"/>
      <c r="AL201" s="56"/>
      <c r="AM201" s="56"/>
      <c r="AN201" s="56"/>
    </row>
    <row r="202" spans="1:40" x14ac:dyDescent="0.25">
      <c r="A202" s="56"/>
      <c r="C202" s="56"/>
      <c r="D202" s="56"/>
      <c r="E202" s="56"/>
      <c r="F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T202" s="56"/>
      <c r="U202" s="56"/>
      <c r="V202" s="56"/>
      <c r="Y202" s="56"/>
      <c r="Z202" s="56"/>
      <c r="AA202" s="56"/>
      <c r="AB202" s="56"/>
      <c r="AC202" s="56"/>
      <c r="AD202" s="56"/>
      <c r="AE202" s="56"/>
      <c r="AF202" s="56"/>
      <c r="AG202" s="155"/>
      <c r="AH202" s="56"/>
      <c r="AI202" s="56"/>
      <c r="AJ202" s="56"/>
      <c r="AK202" s="155"/>
      <c r="AL202" s="56"/>
      <c r="AM202" s="56"/>
      <c r="AN202" s="56"/>
    </row>
    <row r="203" spans="1:40" x14ac:dyDescent="0.25">
      <c r="C203" s="56"/>
      <c r="D203" s="56"/>
      <c r="E203" s="56"/>
      <c r="F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T203" s="56"/>
      <c r="U203" s="56"/>
      <c r="V203" s="56"/>
      <c r="Y203" s="56"/>
      <c r="Z203" s="56"/>
      <c r="AA203" s="56"/>
      <c r="AB203" s="56"/>
      <c r="AC203" s="56"/>
      <c r="AD203" s="56"/>
      <c r="AE203" s="56"/>
      <c r="AF203" s="56"/>
      <c r="AG203" s="155"/>
      <c r="AH203" s="56"/>
      <c r="AI203" s="56"/>
      <c r="AJ203" s="56"/>
      <c r="AK203" s="155"/>
      <c r="AL203" s="56"/>
      <c r="AM203" s="56"/>
      <c r="AN203" s="56"/>
    </row>
    <row r="204" spans="1:40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154"/>
      <c r="AH204" s="55"/>
      <c r="AI204" s="55"/>
      <c r="AJ204" s="55"/>
      <c r="AK204" s="154"/>
      <c r="AL204" s="55"/>
      <c r="AM204" s="55"/>
      <c r="AN204" s="55"/>
    </row>
    <row r="205" spans="1:40" x14ac:dyDescent="0.25"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Y205" s="56"/>
      <c r="Z205" s="56"/>
      <c r="AA205" s="56"/>
      <c r="AB205" s="56"/>
      <c r="AC205" s="56"/>
      <c r="AD205" s="56"/>
      <c r="AE205" s="56"/>
      <c r="AF205" s="56"/>
      <c r="AG205" s="155"/>
      <c r="AH205" s="56"/>
      <c r="AI205" s="56"/>
      <c r="AJ205" s="56"/>
      <c r="AK205" s="155"/>
      <c r="AL205" s="56"/>
      <c r="AM205" s="56"/>
      <c r="AN205" s="56"/>
    </row>
    <row r="206" spans="1:40" x14ac:dyDescent="0.25">
      <c r="A206" s="53"/>
      <c r="C206" s="54"/>
      <c r="D206" s="54"/>
      <c r="E206" s="54"/>
      <c r="T206" s="54"/>
      <c r="U206" s="54"/>
    </row>
    <row r="207" spans="1:40" x14ac:dyDescent="0.25">
      <c r="A207" s="53"/>
      <c r="D207" s="54"/>
      <c r="E207" s="54"/>
      <c r="U207" s="54"/>
    </row>
    <row r="209" spans="1:40" x14ac:dyDescent="0.25">
      <c r="A209" s="53"/>
      <c r="C209" s="54"/>
      <c r="F209" s="379"/>
      <c r="J209" s="62"/>
      <c r="K209" s="62"/>
      <c r="L209" s="379"/>
      <c r="M209" s="379"/>
      <c r="R209" s="379"/>
      <c r="T209" s="54"/>
      <c r="V209" s="379"/>
      <c r="Z209" s="62"/>
      <c r="AA209" s="379"/>
      <c r="AB209" s="379"/>
      <c r="AK209" s="156"/>
      <c r="AL209" s="379"/>
    </row>
    <row r="210" spans="1:40" x14ac:dyDescent="0.25">
      <c r="F210" s="379"/>
      <c r="R210" s="379"/>
      <c r="V210" s="379"/>
      <c r="AK210" s="156"/>
      <c r="AL210" s="379"/>
    </row>
    <row r="211" spans="1:40" x14ac:dyDescent="0.25">
      <c r="A211" s="53"/>
      <c r="C211" s="54"/>
      <c r="F211" s="449"/>
      <c r="H211" s="449"/>
      <c r="I211" s="449"/>
      <c r="J211" s="461"/>
      <c r="K211" s="461"/>
      <c r="L211" s="379"/>
      <c r="M211" s="379"/>
      <c r="N211" s="50"/>
      <c r="O211" s="50"/>
      <c r="P211" s="379"/>
      <c r="Q211" s="379"/>
      <c r="R211" s="379"/>
      <c r="T211" s="54"/>
      <c r="V211" s="379"/>
      <c r="Y211" s="379"/>
      <c r="Z211" s="461"/>
      <c r="AA211" s="379"/>
      <c r="AB211" s="379"/>
      <c r="AC211" s="50"/>
      <c r="AD211" s="50"/>
      <c r="AE211" s="379"/>
      <c r="AF211" s="379"/>
      <c r="AG211" s="156"/>
      <c r="AH211" s="60"/>
      <c r="AI211" s="379"/>
      <c r="AJ211" s="379"/>
      <c r="AK211" s="156"/>
      <c r="AL211" s="379"/>
      <c r="AM211" s="50"/>
      <c r="AN211" s="50"/>
    </row>
    <row r="212" spans="1:40" x14ac:dyDescent="0.25">
      <c r="A212" s="53"/>
      <c r="C212" s="54"/>
      <c r="F212" s="449"/>
      <c r="H212" s="470"/>
      <c r="I212" s="470"/>
      <c r="J212" s="461"/>
      <c r="K212" s="461"/>
      <c r="L212" s="379"/>
      <c r="M212" s="379"/>
      <c r="N212" s="50"/>
      <c r="O212" s="50"/>
      <c r="P212" s="379"/>
      <c r="Q212" s="379"/>
      <c r="R212" s="379"/>
      <c r="T212" s="54"/>
      <c r="V212" s="379"/>
      <c r="Y212" s="379"/>
      <c r="Z212" s="461"/>
      <c r="AA212" s="379"/>
      <c r="AB212" s="379"/>
      <c r="AC212" s="50"/>
      <c r="AD212" s="50"/>
      <c r="AE212" s="379"/>
      <c r="AF212" s="379"/>
      <c r="AG212" s="156"/>
      <c r="AH212" s="60"/>
      <c r="AI212" s="379"/>
      <c r="AJ212" s="379"/>
      <c r="AK212" s="156"/>
      <c r="AL212" s="379"/>
      <c r="AM212" s="50"/>
      <c r="AN212" s="50"/>
    </row>
    <row r="213" spans="1:40" x14ac:dyDescent="0.25">
      <c r="F213" s="381"/>
      <c r="H213" s="379"/>
      <c r="I213" s="379"/>
      <c r="J213" s="464"/>
      <c r="K213" s="464"/>
      <c r="L213" s="381"/>
      <c r="M213" s="381"/>
      <c r="N213" s="381"/>
      <c r="O213" s="381"/>
      <c r="P213" s="381"/>
      <c r="Q213" s="381"/>
      <c r="R213" s="381"/>
      <c r="V213" s="381"/>
      <c r="Y213" s="379"/>
      <c r="Z213" s="464"/>
      <c r="AA213" s="381"/>
      <c r="AB213" s="381"/>
      <c r="AC213" s="381"/>
      <c r="AD213" s="381"/>
      <c r="AE213" s="381"/>
      <c r="AF213" s="381"/>
      <c r="AI213" s="381"/>
      <c r="AJ213" s="381"/>
      <c r="AK213" s="162"/>
      <c r="AL213" s="381"/>
    </row>
    <row r="214" spans="1:40" x14ac:dyDescent="0.25">
      <c r="A214" s="53"/>
      <c r="C214" s="54"/>
      <c r="F214" s="379"/>
      <c r="H214" s="379"/>
      <c r="I214" s="379"/>
      <c r="J214" s="59"/>
      <c r="K214" s="59"/>
      <c r="L214" s="379"/>
      <c r="M214" s="379"/>
      <c r="N214" s="50"/>
      <c r="O214" s="50"/>
      <c r="P214" s="379"/>
      <c r="Q214" s="379"/>
      <c r="R214" s="379"/>
      <c r="T214" s="54"/>
      <c r="V214" s="379"/>
      <c r="Y214" s="379"/>
      <c r="Z214" s="59"/>
      <c r="AA214" s="379"/>
      <c r="AB214" s="379"/>
      <c r="AC214" s="50"/>
      <c r="AD214" s="50"/>
      <c r="AE214" s="379"/>
      <c r="AF214" s="379"/>
      <c r="AG214" s="156"/>
      <c r="AH214" s="60"/>
      <c r="AI214" s="379"/>
      <c r="AJ214" s="379"/>
      <c r="AK214" s="156"/>
      <c r="AL214" s="379"/>
      <c r="AM214" s="50"/>
      <c r="AN214" s="50"/>
    </row>
    <row r="215" spans="1:40" x14ac:dyDescent="0.25">
      <c r="F215" s="381"/>
      <c r="H215" s="379"/>
      <c r="I215" s="379"/>
      <c r="J215" s="464"/>
      <c r="K215" s="464"/>
      <c r="L215" s="381"/>
      <c r="M215" s="381"/>
      <c r="N215" s="381"/>
      <c r="O215" s="381"/>
      <c r="P215" s="381"/>
      <c r="Q215" s="381"/>
      <c r="R215" s="381"/>
      <c r="V215" s="381"/>
      <c r="Y215" s="379"/>
      <c r="Z215" s="464"/>
      <c r="AA215" s="381"/>
      <c r="AB215" s="381"/>
      <c r="AC215" s="381"/>
      <c r="AD215" s="381"/>
      <c r="AE215" s="381"/>
      <c r="AF215" s="381"/>
      <c r="AI215" s="381"/>
      <c r="AJ215" s="381"/>
      <c r="AK215" s="162"/>
      <c r="AL215" s="381"/>
    </row>
    <row r="216" spans="1:40" x14ac:dyDescent="0.25">
      <c r="F216" s="379"/>
      <c r="R216" s="379"/>
      <c r="V216" s="379"/>
      <c r="AK216" s="156"/>
      <c r="AL216" s="379"/>
    </row>
    <row r="217" spans="1:40" x14ac:dyDescent="0.25">
      <c r="A217" s="53"/>
      <c r="C217" s="54"/>
      <c r="F217" s="379"/>
      <c r="R217" s="379"/>
      <c r="T217" s="54"/>
      <c r="V217" s="379"/>
      <c r="AK217" s="156"/>
      <c r="AL217" s="379"/>
    </row>
    <row r="218" spans="1:40" x14ac:dyDescent="0.25">
      <c r="F218" s="379"/>
      <c r="R218" s="379"/>
      <c r="V218" s="379"/>
      <c r="AK218" s="156"/>
      <c r="AL218" s="379"/>
    </row>
    <row r="219" spans="1:40" x14ac:dyDescent="0.25">
      <c r="A219" s="53"/>
      <c r="C219" s="54"/>
      <c r="F219" s="379"/>
      <c r="H219" s="449"/>
      <c r="I219" s="449"/>
      <c r="J219" s="472"/>
      <c r="K219" s="472"/>
      <c r="L219" s="379"/>
      <c r="M219" s="379"/>
      <c r="N219" s="50"/>
      <c r="O219" s="50"/>
      <c r="P219" s="449"/>
      <c r="Q219" s="449"/>
      <c r="R219" s="379"/>
      <c r="T219" s="54"/>
      <c r="V219" s="379"/>
      <c r="Y219" s="379"/>
      <c r="Z219" s="463"/>
      <c r="AA219" s="379"/>
      <c r="AB219" s="379"/>
      <c r="AC219" s="50"/>
      <c r="AD219" s="50"/>
      <c r="AE219" s="379"/>
      <c r="AF219" s="379"/>
      <c r="AG219" s="156"/>
      <c r="AH219" s="60"/>
      <c r="AI219" s="449"/>
      <c r="AJ219" s="449"/>
      <c r="AK219" s="156"/>
      <c r="AL219" s="379"/>
      <c r="AM219" s="50"/>
      <c r="AN219" s="50"/>
    </row>
    <row r="220" spans="1:40" x14ac:dyDescent="0.25">
      <c r="H220" s="381"/>
      <c r="I220" s="381"/>
      <c r="J220" s="464"/>
      <c r="K220" s="464"/>
      <c r="L220" s="381"/>
      <c r="M220" s="381"/>
      <c r="N220" s="381"/>
      <c r="O220" s="381"/>
      <c r="P220" s="381"/>
      <c r="Q220" s="381"/>
      <c r="R220" s="381"/>
      <c r="V220" s="381"/>
      <c r="Y220" s="381"/>
      <c r="Z220" s="464"/>
      <c r="AA220" s="381"/>
      <c r="AB220" s="381"/>
      <c r="AC220" s="381"/>
      <c r="AD220" s="381"/>
      <c r="AE220" s="381"/>
      <c r="AF220" s="381"/>
      <c r="AI220" s="381"/>
      <c r="AJ220" s="381"/>
      <c r="AK220" s="162"/>
      <c r="AL220" s="381"/>
    </row>
    <row r="221" spans="1:40" x14ac:dyDescent="0.25">
      <c r="F221" s="381"/>
    </row>
    <row r="222" spans="1:40" x14ac:dyDescent="0.25">
      <c r="A222" s="53"/>
      <c r="C222" s="54"/>
      <c r="F222" s="379"/>
      <c r="H222" s="379"/>
      <c r="I222" s="379"/>
      <c r="J222" s="62"/>
      <c r="K222" s="62"/>
      <c r="L222" s="379"/>
      <c r="M222" s="379"/>
      <c r="N222" s="50"/>
      <c r="O222" s="50"/>
      <c r="P222" s="379"/>
      <c r="Q222" s="379"/>
      <c r="R222" s="379"/>
      <c r="T222" s="54"/>
      <c r="V222" s="379"/>
      <c r="Y222" s="379"/>
      <c r="Z222" s="62"/>
      <c r="AA222" s="379"/>
      <c r="AB222" s="379"/>
      <c r="AC222" s="50"/>
      <c r="AD222" s="50"/>
      <c r="AE222" s="379"/>
      <c r="AF222" s="379"/>
      <c r="AG222" s="156"/>
      <c r="AH222" s="60"/>
      <c r="AI222" s="379"/>
      <c r="AJ222" s="379"/>
      <c r="AK222" s="156"/>
      <c r="AL222" s="379"/>
      <c r="AM222" s="50"/>
      <c r="AN222" s="50"/>
    </row>
    <row r="223" spans="1:40" x14ac:dyDescent="0.25">
      <c r="F223" s="381"/>
      <c r="H223" s="381"/>
      <c r="I223" s="381"/>
      <c r="J223" s="464"/>
      <c r="K223" s="464"/>
      <c r="L223" s="381"/>
      <c r="M223" s="381"/>
      <c r="N223" s="381"/>
      <c r="O223" s="381"/>
      <c r="P223" s="381"/>
      <c r="Q223" s="381"/>
      <c r="R223" s="381"/>
      <c r="V223" s="381"/>
      <c r="Y223" s="381"/>
      <c r="Z223" s="464"/>
      <c r="AA223" s="381"/>
      <c r="AB223" s="381"/>
      <c r="AC223" s="381"/>
      <c r="AD223" s="381"/>
      <c r="AE223" s="381"/>
      <c r="AF223" s="381"/>
      <c r="AI223" s="381"/>
      <c r="AJ223" s="381"/>
      <c r="AK223" s="162"/>
      <c r="AL223" s="381"/>
    </row>
    <row r="224" spans="1:40" x14ac:dyDescent="0.25">
      <c r="R224" s="379"/>
      <c r="AG224" s="156"/>
      <c r="AH224" s="379"/>
    </row>
    <row r="225" spans="1:40" x14ac:dyDescent="0.25">
      <c r="F225" s="379"/>
      <c r="H225" s="379"/>
      <c r="I225" s="379"/>
      <c r="J225" s="59"/>
      <c r="K225" s="59"/>
      <c r="L225" s="379"/>
      <c r="M225" s="379"/>
      <c r="N225" s="379"/>
      <c r="O225" s="379"/>
      <c r="P225" s="379"/>
      <c r="Q225" s="379"/>
      <c r="R225" s="379"/>
      <c r="V225" s="379"/>
      <c r="Y225" s="379"/>
      <c r="Z225" s="59"/>
      <c r="AA225" s="379"/>
      <c r="AB225" s="379"/>
      <c r="AC225" s="379"/>
      <c r="AD225" s="379"/>
      <c r="AE225" s="379"/>
      <c r="AF225" s="379"/>
      <c r="AG225" s="156"/>
      <c r="AH225" s="379"/>
    </row>
    <row r="226" spans="1:40" x14ac:dyDescent="0.25">
      <c r="C226" s="54"/>
      <c r="F226" s="379"/>
      <c r="H226" s="379"/>
      <c r="I226" s="379"/>
      <c r="J226" s="59"/>
      <c r="K226" s="59"/>
      <c r="L226" s="379"/>
      <c r="M226" s="379"/>
      <c r="N226" s="379"/>
      <c r="O226" s="379"/>
      <c r="P226" s="379"/>
      <c r="Q226" s="379"/>
      <c r="R226" s="379"/>
      <c r="T226" s="54"/>
      <c r="V226" s="379"/>
      <c r="Y226" s="379"/>
      <c r="Z226" s="59"/>
      <c r="AA226" s="379"/>
      <c r="AB226" s="379"/>
      <c r="AC226" s="379"/>
      <c r="AD226" s="379"/>
      <c r="AE226" s="379"/>
      <c r="AF226" s="379"/>
      <c r="AG226" s="156"/>
      <c r="AH226" s="379"/>
    </row>
    <row r="227" spans="1:40" x14ac:dyDescent="0.25">
      <c r="A227" s="54"/>
    </row>
    <row r="229" spans="1:40" x14ac:dyDescent="0.25">
      <c r="J229" s="53"/>
      <c r="K229" s="53"/>
      <c r="Z229" s="53"/>
    </row>
    <row r="230" spans="1:40" x14ac:dyDescent="0.25">
      <c r="H230" s="54"/>
      <c r="I230" s="54"/>
      <c r="Y230" s="54"/>
    </row>
    <row r="231" spans="1:40" x14ac:dyDescent="0.25">
      <c r="J231" s="53"/>
      <c r="K231" s="53"/>
      <c r="Z231" s="53"/>
    </row>
    <row r="232" spans="1:40" x14ac:dyDescent="0.25">
      <c r="L232" s="54"/>
      <c r="M232" s="54"/>
      <c r="AA232" s="54"/>
      <c r="AB232" s="54"/>
    </row>
    <row r="233" spans="1:40" x14ac:dyDescent="0.25">
      <c r="A233" s="53"/>
      <c r="R233" s="54"/>
      <c r="AK233" s="161"/>
      <c r="AL233" s="54"/>
    </row>
    <row r="234" spans="1:40" x14ac:dyDescent="0.25">
      <c r="A234" s="53"/>
      <c r="R234" s="54"/>
      <c r="AK234" s="161"/>
      <c r="AL234" s="54"/>
    </row>
    <row r="235" spans="1:40" x14ac:dyDescent="0.25">
      <c r="A235" s="54"/>
      <c r="R235" s="54"/>
      <c r="AK235" s="161"/>
      <c r="AL235" s="54"/>
    </row>
    <row r="236" spans="1:40" x14ac:dyDescent="0.25">
      <c r="L236" s="54"/>
      <c r="M236" s="54"/>
      <c r="R236" s="53"/>
      <c r="AA236" s="54"/>
      <c r="AB236" s="54"/>
      <c r="AK236" s="156"/>
      <c r="AL236" s="53"/>
    </row>
    <row r="237" spans="1:40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154"/>
      <c r="AH237" s="55"/>
      <c r="AI237" s="55"/>
      <c r="AJ237" s="55"/>
      <c r="AK237" s="154"/>
      <c r="AL237" s="55"/>
      <c r="AM237" s="55"/>
      <c r="AN237" s="55"/>
    </row>
    <row r="238" spans="1:40" x14ac:dyDescent="0.25">
      <c r="L238" s="56"/>
      <c r="M238" s="56"/>
      <c r="N238" s="56"/>
      <c r="O238" s="56"/>
      <c r="R238" s="56"/>
      <c r="AA238" s="56"/>
      <c r="AB238" s="56"/>
      <c r="AC238" s="56"/>
      <c r="AD238" s="56"/>
      <c r="AE238" s="56"/>
      <c r="AF238" s="56"/>
      <c r="AG238" s="155"/>
      <c r="AH238" s="56"/>
      <c r="AK238" s="155"/>
      <c r="AL238" s="56"/>
      <c r="AM238" s="56"/>
      <c r="AN238" s="56"/>
    </row>
    <row r="239" spans="1:40" x14ac:dyDescent="0.25">
      <c r="L239" s="56"/>
      <c r="M239" s="56"/>
      <c r="N239" s="56"/>
      <c r="O239" s="56"/>
      <c r="R239" s="56"/>
      <c r="Z239" s="56"/>
      <c r="AA239" s="56"/>
      <c r="AB239" s="56"/>
      <c r="AC239" s="56"/>
      <c r="AD239" s="56"/>
      <c r="AE239" s="56"/>
      <c r="AF239" s="56"/>
      <c r="AG239" s="155"/>
      <c r="AH239" s="56"/>
      <c r="AK239" s="155"/>
      <c r="AL239" s="56"/>
      <c r="AM239" s="56"/>
      <c r="AN239" s="56"/>
    </row>
    <row r="240" spans="1:40" x14ac:dyDescent="0.25">
      <c r="A240" s="56"/>
      <c r="C240" s="56"/>
      <c r="D240" s="56"/>
      <c r="E240" s="56"/>
      <c r="F240" s="56"/>
      <c r="J240" s="56"/>
      <c r="K240" s="56"/>
      <c r="L240" s="56"/>
      <c r="M240" s="56"/>
      <c r="N240" s="56"/>
      <c r="O240" s="56"/>
      <c r="P240" s="56"/>
      <c r="Q240" s="56"/>
      <c r="R240" s="56"/>
      <c r="T240" s="56"/>
      <c r="U240" s="56"/>
      <c r="V240" s="56"/>
      <c r="Z240" s="56"/>
      <c r="AA240" s="56"/>
      <c r="AB240" s="56"/>
      <c r="AC240" s="56"/>
      <c r="AD240" s="56"/>
      <c r="AE240" s="56"/>
      <c r="AF240" s="56"/>
      <c r="AG240" s="155"/>
      <c r="AH240" s="56"/>
      <c r="AI240" s="56"/>
      <c r="AJ240" s="56"/>
      <c r="AK240" s="155"/>
      <c r="AL240" s="56"/>
      <c r="AM240" s="56"/>
      <c r="AN240" s="56"/>
    </row>
    <row r="241" spans="1:40" x14ac:dyDescent="0.25">
      <c r="A241" s="56"/>
      <c r="C241" s="56"/>
      <c r="D241" s="56"/>
      <c r="E241" s="56"/>
      <c r="F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T241" s="56"/>
      <c r="U241" s="56"/>
      <c r="V241" s="56"/>
      <c r="Y241" s="56"/>
      <c r="Z241" s="56"/>
      <c r="AA241" s="56"/>
      <c r="AB241" s="56"/>
      <c r="AC241" s="56"/>
      <c r="AD241" s="56"/>
      <c r="AE241" s="56"/>
      <c r="AF241" s="56"/>
      <c r="AG241" s="155"/>
      <c r="AH241" s="56"/>
      <c r="AI241" s="56"/>
      <c r="AJ241" s="56"/>
      <c r="AK241" s="155"/>
      <c r="AL241" s="56"/>
      <c r="AM241" s="56"/>
      <c r="AN241" s="56"/>
    </row>
    <row r="242" spans="1:40" x14ac:dyDescent="0.25">
      <c r="C242" s="56"/>
      <c r="D242" s="56"/>
      <c r="E242" s="56"/>
      <c r="F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T242" s="56"/>
      <c r="U242" s="56"/>
      <c r="V242" s="56"/>
      <c r="Y242" s="56"/>
      <c r="Z242" s="56"/>
      <c r="AA242" s="56"/>
      <c r="AB242" s="56"/>
      <c r="AC242" s="56"/>
      <c r="AD242" s="56"/>
      <c r="AE242" s="56"/>
      <c r="AF242" s="56"/>
      <c r="AG242" s="155"/>
      <c r="AH242" s="56"/>
      <c r="AI242" s="56"/>
      <c r="AJ242" s="56"/>
      <c r="AK242" s="155"/>
      <c r="AL242" s="56"/>
      <c r="AM242" s="56"/>
      <c r="AN242" s="56"/>
    </row>
    <row r="243" spans="1:40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154"/>
      <c r="AH243" s="55"/>
      <c r="AI243" s="55"/>
      <c r="AJ243" s="55"/>
      <c r="AK243" s="154"/>
      <c r="AL243" s="55"/>
      <c r="AM243" s="55"/>
      <c r="AN243" s="55"/>
    </row>
    <row r="244" spans="1:40" x14ac:dyDescent="0.25"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Y244" s="56"/>
      <c r="Z244" s="56"/>
      <c r="AA244" s="56"/>
      <c r="AB244" s="56"/>
      <c r="AC244" s="56"/>
      <c r="AD244" s="56"/>
      <c r="AE244" s="56"/>
      <c r="AF244" s="56"/>
      <c r="AG244" s="155"/>
      <c r="AH244" s="56"/>
      <c r="AI244" s="56"/>
      <c r="AJ244" s="56"/>
      <c r="AK244" s="155"/>
      <c r="AL244" s="56"/>
      <c r="AM244" s="56"/>
      <c r="AN244" s="56"/>
    </row>
    <row r="245" spans="1:40" x14ac:dyDescent="0.25">
      <c r="A245" s="53"/>
      <c r="C245" s="54"/>
      <c r="D245" s="54"/>
      <c r="E245" s="54"/>
      <c r="T245" s="54"/>
      <c r="U245" s="54"/>
    </row>
    <row r="246" spans="1:40" x14ac:dyDescent="0.25">
      <c r="A246" s="53"/>
      <c r="C246" s="54"/>
      <c r="T246" s="54"/>
    </row>
    <row r="248" spans="1:40" x14ac:dyDescent="0.25">
      <c r="A248" s="53"/>
      <c r="C248" s="54"/>
      <c r="F248" s="449"/>
      <c r="H248" s="449"/>
      <c r="I248" s="449"/>
      <c r="J248" s="461"/>
      <c r="K248" s="461"/>
      <c r="L248" s="379"/>
      <c r="M248" s="379"/>
      <c r="N248" s="50"/>
      <c r="O248" s="50"/>
      <c r="P248" s="53"/>
      <c r="Q248" s="53"/>
      <c r="R248" s="379"/>
      <c r="T248" s="54"/>
      <c r="V248" s="379"/>
      <c r="Y248" s="449"/>
      <c r="Z248" s="461"/>
      <c r="AA248" s="379"/>
      <c r="AB248" s="379"/>
      <c r="AC248" s="50"/>
      <c r="AD248" s="50"/>
      <c r="AE248" s="379"/>
      <c r="AF248" s="379"/>
      <c r="AG248" s="156"/>
      <c r="AH248" s="60"/>
      <c r="AI248" s="53"/>
      <c r="AJ248" s="53"/>
      <c r="AK248" s="156"/>
      <c r="AL248" s="379"/>
      <c r="AM248" s="50"/>
      <c r="AN248" s="50"/>
    </row>
    <row r="249" spans="1:40" x14ac:dyDescent="0.25">
      <c r="F249" s="381"/>
      <c r="H249" s="379"/>
      <c r="I249" s="379"/>
      <c r="J249" s="464"/>
      <c r="K249" s="464"/>
      <c r="L249" s="381"/>
      <c r="M249" s="381"/>
      <c r="N249" s="381"/>
      <c r="O249" s="381"/>
      <c r="P249" s="381"/>
      <c r="Q249" s="381"/>
      <c r="R249" s="381"/>
      <c r="V249" s="381"/>
      <c r="Y249" s="379"/>
      <c r="Z249" s="464"/>
      <c r="AA249" s="381"/>
      <c r="AB249" s="381"/>
      <c r="AC249" s="381"/>
      <c r="AD249" s="381"/>
      <c r="AE249" s="381"/>
      <c r="AF249" s="381"/>
      <c r="AI249" s="381"/>
      <c r="AJ249" s="381"/>
      <c r="AK249" s="162"/>
      <c r="AL249" s="381"/>
      <c r="AM249" s="50"/>
      <c r="AN249" s="50"/>
    </row>
    <row r="250" spans="1:40" x14ac:dyDescent="0.25">
      <c r="A250" s="53"/>
      <c r="C250" s="54"/>
      <c r="F250" s="449"/>
      <c r="H250" s="449"/>
      <c r="I250" s="449"/>
      <c r="J250" s="477"/>
      <c r="K250" s="477"/>
      <c r="L250" s="379"/>
      <c r="M250" s="379"/>
      <c r="N250" s="50"/>
      <c r="O250" s="50"/>
      <c r="P250" s="379"/>
      <c r="Q250" s="379"/>
      <c r="R250" s="379"/>
      <c r="S250" s="379"/>
      <c r="T250" s="54"/>
      <c r="V250" s="449"/>
      <c r="Y250" s="449"/>
      <c r="Z250" s="477"/>
      <c r="AA250" s="379"/>
      <c r="AB250" s="379"/>
      <c r="AC250" s="50"/>
      <c r="AD250" s="50"/>
      <c r="AE250" s="379"/>
      <c r="AF250" s="379"/>
      <c r="AG250" s="156"/>
      <c r="AH250" s="50"/>
      <c r="AI250" s="379"/>
      <c r="AJ250" s="379"/>
      <c r="AK250" s="156"/>
      <c r="AL250" s="379"/>
      <c r="AM250" s="50"/>
      <c r="AN250" s="50"/>
    </row>
    <row r="251" spans="1:40" x14ac:dyDescent="0.25">
      <c r="A251" s="53"/>
      <c r="C251" s="54"/>
      <c r="F251" s="449"/>
      <c r="H251" s="449"/>
      <c r="I251" s="449"/>
      <c r="J251" s="461"/>
      <c r="K251" s="461"/>
      <c r="L251" s="379"/>
      <c r="M251" s="379"/>
      <c r="N251" s="50"/>
      <c r="O251" s="50"/>
      <c r="P251" s="379"/>
      <c r="Q251" s="379"/>
      <c r="R251" s="379"/>
      <c r="T251" s="54"/>
      <c r="V251" s="449"/>
      <c r="Y251" s="379"/>
      <c r="Z251" s="461"/>
      <c r="AA251" s="379"/>
      <c r="AB251" s="379"/>
      <c r="AC251" s="50"/>
      <c r="AD251" s="50"/>
      <c r="AE251" s="379"/>
      <c r="AF251" s="379"/>
      <c r="AG251" s="156"/>
      <c r="AH251" s="60"/>
      <c r="AI251" s="379"/>
      <c r="AJ251" s="379"/>
      <c r="AK251" s="156"/>
      <c r="AL251" s="379"/>
      <c r="AM251" s="50"/>
      <c r="AN251" s="50"/>
    </row>
    <row r="252" spans="1:40" x14ac:dyDescent="0.25">
      <c r="A252" s="53"/>
      <c r="C252" s="54"/>
      <c r="F252" s="449"/>
      <c r="H252" s="449"/>
      <c r="I252" s="449"/>
      <c r="J252" s="461"/>
      <c r="K252" s="461"/>
      <c r="L252" s="379"/>
      <c r="M252" s="379"/>
      <c r="N252" s="50"/>
      <c r="O252" s="50"/>
      <c r="P252" s="379"/>
      <c r="Q252" s="379"/>
      <c r="R252" s="379"/>
      <c r="T252" s="54"/>
      <c r="V252" s="449"/>
      <c r="Y252" s="379"/>
      <c r="Z252" s="461"/>
      <c r="AA252" s="379"/>
      <c r="AB252" s="379"/>
      <c r="AC252" s="50"/>
      <c r="AD252" s="50"/>
      <c r="AE252" s="379"/>
      <c r="AF252" s="379"/>
      <c r="AG252" s="156"/>
      <c r="AH252" s="60"/>
      <c r="AI252" s="379"/>
      <c r="AJ252" s="379"/>
      <c r="AK252" s="156"/>
      <c r="AL252" s="379"/>
      <c r="AM252" s="50"/>
      <c r="AN252" s="50"/>
    </row>
    <row r="253" spans="1:40" x14ac:dyDescent="0.25">
      <c r="F253" s="381"/>
      <c r="H253" s="381"/>
      <c r="I253" s="381"/>
      <c r="J253" s="464"/>
      <c r="K253" s="464"/>
      <c r="L253" s="381"/>
      <c r="M253" s="381"/>
      <c r="N253" s="381"/>
      <c r="O253" s="381"/>
      <c r="P253" s="381"/>
      <c r="Q253" s="381"/>
      <c r="R253" s="381"/>
      <c r="V253" s="381"/>
      <c r="Y253" s="381"/>
      <c r="Z253" s="464"/>
      <c r="AA253" s="381"/>
      <c r="AB253" s="381"/>
      <c r="AC253" s="381"/>
      <c r="AD253" s="381"/>
      <c r="AE253" s="381"/>
      <c r="AF253" s="381"/>
      <c r="AI253" s="381"/>
      <c r="AJ253" s="381"/>
      <c r="AK253" s="162"/>
      <c r="AL253" s="381"/>
      <c r="AM253" s="50"/>
      <c r="AN253" s="50"/>
    </row>
    <row r="254" spans="1:40" x14ac:dyDescent="0.25">
      <c r="A254" s="53"/>
      <c r="C254" s="54"/>
      <c r="F254" s="379"/>
      <c r="H254" s="379"/>
      <c r="I254" s="379"/>
      <c r="J254" s="59"/>
      <c r="K254" s="59"/>
      <c r="L254" s="379"/>
      <c r="M254" s="379"/>
      <c r="N254" s="50"/>
      <c r="O254" s="50"/>
      <c r="P254" s="379"/>
      <c r="Q254" s="379"/>
      <c r="R254" s="379"/>
      <c r="T254" s="54"/>
      <c r="V254" s="379"/>
      <c r="Y254" s="379"/>
      <c r="Z254" s="59"/>
      <c r="AA254" s="379"/>
      <c r="AB254" s="379"/>
      <c r="AC254" s="50"/>
      <c r="AD254" s="50"/>
      <c r="AE254" s="379"/>
      <c r="AF254" s="379"/>
      <c r="AG254" s="156"/>
      <c r="AH254" s="60"/>
      <c r="AI254" s="379"/>
      <c r="AJ254" s="379"/>
      <c r="AK254" s="156"/>
      <c r="AL254" s="379"/>
      <c r="AM254" s="50"/>
      <c r="AN254" s="50"/>
    </row>
    <row r="255" spans="1:40" x14ac:dyDescent="0.25">
      <c r="F255" s="381"/>
      <c r="H255" s="381"/>
      <c r="I255" s="381"/>
      <c r="J255" s="464"/>
      <c r="K255" s="464"/>
      <c r="L255" s="381"/>
      <c r="M255" s="381"/>
      <c r="N255" s="381"/>
      <c r="O255" s="381"/>
      <c r="P255" s="381"/>
      <c r="Q255" s="381"/>
      <c r="R255" s="381"/>
      <c r="V255" s="381"/>
      <c r="Y255" s="381"/>
      <c r="Z255" s="464"/>
      <c r="AA255" s="381"/>
      <c r="AB255" s="381"/>
      <c r="AC255" s="381"/>
      <c r="AD255" s="381"/>
      <c r="AE255" s="381"/>
      <c r="AF255" s="381"/>
      <c r="AI255" s="381"/>
      <c r="AJ255" s="381"/>
      <c r="AK255" s="162"/>
      <c r="AL255" s="381"/>
      <c r="AM255" s="50"/>
      <c r="AN255" s="50"/>
    </row>
    <row r="256" spans="1:40" x14ac:dyDescent="0.25">
      <c r="A256" s="53"/>
      <c r="C256" s="54"/>
      <c r="F256" s="379"/>
      <c r="H256" s="379"/>
      <c r="I256" s="379"/>
      <c r="J256" s="59"/>
      <c r="K256" s="59"/>
      <c r="L256" s="379"/>
      <c r="M256" s="379"/>
      <c r="N256" s="50"/>
      <c r="O256" s="50"/>
      <c r="P256" s="379"/>
      <c r="Q256" s="379"/>
      <c r="R256" s="379"/>
      <c r="T256" s="54"/>
      <c r="V256" s="379"/>
      <c r="Y256" s="379"/>
      <c r="Z256" s="59"/>
      <c r="AA256" s="379"/>
      <c r="AB256" s="379"/>
      <c r="AC256" s="50"/>
      <c r="AD256" s="50"/>
      <c r="AE256" s="379"/>
      <c r="AF256" s="379"/>
      <c r="AG256" s="156"/>
      <c r="AH256" s="60"/>
      <c r="AI256" s="379"/>
      <c r="AJ256" s="379"/>
      <c r="AK256" s="156"/>
      <c r="AL256" s="379"/>
      <c r="AM256" s="50"/>
      <c r="AN256" s="50"/>
    </row>
    <row r="257" spans="1:40" x14ac:dyDescent="0.25">
      <c r="A257" s="53"/>
      <c r="C257" s="54"/>
      <c r="F257" s="379"/>
      <c r="H257" s="449"/>
      <c r="I257" s="449"/>
      <c r="J257" s="472"/>
      <c r="K257" s="472"/>
      <c r="L257" s="379"/>
      <c r="M257" s="379"/>
      <c r="N257" s="50"/>
      <c r="O257" s="50"/>
      <c r="P257" s="379"/>
      <c r="Q257" s="379"/>
      <c r="R257" s="379"/>
      <c r="T257" s="54"/>
      <c r="V257" s="379"/>
      <c r="Y257" s="379"/>
      <c r="Z257" s="463"/>
      <c r="AA257" s="379"/>
      <c r="AB257" s="379"/>
      <c r="AC257" s="50"/>
      <c r="AD257" s="50"/>
      <c r="AE257" s="379"/>
      <c r="AF257" s="379"/>
      <c r="AG257" s="156"/>
      <c r="AH257" s="60"/>
      <c r="AI257" s="379"/>
      <c r="AJ257" s="379"/>
      <c r="AK257" s="156"/>
      <c r="AL257" s="379"/>
      <c r="AM257" s="50"/>
      <c r="AN257" s="50"/>
    </row>
    <row r="258" spans="1:40" x14ac:dyDescent="0.25">
      <c r="H258" s="381"/>
      <c r="I258" s="381"/>
      <c r="J258" s="464"/>
      <c r="K258" s="464"/>
      <c r="L258" s="381"/>
      <c r="M258" s="381"/>
      <c r="N258" s="381"/>
      <c r="O258" s="381"/>
      <c r="P258" s="381"/>
      <c r="Q258" s="381"/>
      <c r="R258" s="381"/>
      <c r="V258" s="381"/>
      <c r="Y258" s="381"/>
      <c r="Z258" s="464"/>
      <c r="AA258" s="381"/>
      <c r="AB258" s="381"/>
      <c r="AC258" s="381"/>
      <c r="AD258" s="381"/>
      <c r="AE258" s="381"/>
      <c r="AF258" s="381"/>
      <c r="AI258" s="381"/>
      <c r="AJ258" s="381"/>
      <c r="AK258" s="162"/>
      <c r="AL258" s="381"/>
      <c r="AM258" s="50"/>
      <c r="AN258" s="50"/>
    </row>
    <row r="259" spans="1:40" x14ac:dyDescent="0.25">
      <c r="F259" s="381"/>
    </row>
    <row r="260" spans="1:40" x14ac:dyDescent="0.25">
      <c r="A260" s="53"/>
      <c r="C260" s="54"/>
      <c r="F260" s="379"/>
      <c r="H260" s="379"/>
      <c r="I260" s="379"/>
      <c r="J260" s="464"/>
      <c r="K260" s="464"/>
      <c r="L260" s="379"/>
      <c r="M260" s="379"/>
      <c r="N260" s="50"/>
      <c r="O260" s="50"/>
      <c r="P260" s="379"/>
      <c r="Q260" s="379"/>
      <c r="R260" s="379"/>
      <c r="S260" s="379"/>
      <c r="T260" s="54"/>
      <c r="V260" s="379"/>
      <c r="Y260" s="379"/>
      <c r="Z260" s="464"/>
      <c r="AA260" s="379"/>
      <c r="AB260" s="379"/>
      <c r="AC260" s="50"/>
      <c r="AD260" s="50"/>
      <c r="AE260" s="379"/>
      <c r="AF260" s="379"/>
      <c r="AG260" s="156"/>
      <c r="AH260" s="50"/>
      <c r="AI260" s="379"/>
      <c r="AJ260" s="379"/>
      <c r="AK260" s="156"/>
      <c r="AL260" s="379"/>
      <c r="AM260" s="50"/>
      <c r="AN260" s="50"/>
    </row>
    <row r="261" spans="1:40" x14ac:dyDescent="0.25">
      <c r="F261" s="381"/>
      <c r="H261" s="381"/>
      <c r="I261" s="381"/>
      <c r="J261" s="464"/>
      <c r="K261" s="464"/>
      <c r="L261" s="381"/>
      <c r="M261" s="381"/>
      <c r="N261" s="381"/>
      <c r="O261" s="381"/>
      <c r="P261" s="381"/>
      <c r="Q261" s="381"/>
      <c r="R261" s="381"/>
      <c r="S261" s="379"/>
      <c r="V261" s="381"/>
      <c r="Y261" s="381"/>
      <c r="Z261" s="464"/>
      <c r="AA261" s="381"/>
      <c r="AB261" s="381"/>
      <c r="AC261" s="381"/>
      <c r="AD261" s="381"/>
      <c r="AE261" s="381"/>
      <c r="AF261" s="381"/>
      <c r="AI261" s="381"/>
      <c r="AJ261" s="381"/>
      <c r="AK261" s="162"/>
      <c r="AL261" s="381"/>
      <c r="AM261" s="50"/>
      <c r="AN261" s="50"/>
    </row>
    <row r="262" spans="1:40" x14ac:dyDescent="0.25">
      <c r="A262" s="53"/>
      <c r="C262" s="54"/>
      <c r="H262" s="449"/>
      <c r="I262" s="449"/>
      <c r="J262" s="464"/>
      <c r="K262" s="464"/>
      <c r="L262" s="379"/>
      <c r="M262" s="379"/>
      <c r="N262" s="50"/>
      <c r="O262" s="50"/>
      <c r="P262" s="379"/>
      <c r="Q262" s="379"/>
      <c r="R262" s="379"/>
      <c r="S262" s="379"/>
      <c r="T262" s="54"/>
      <c r="V262" s="449"/>
      <c r="Y262" s="449"/>
      <c r="Z262" s="464"/>
      <c r="AA262" s="379"/>
      <c r="AB262" s="379"/>
      <c r="AC262" s="50"/>
      <c r="AD262" s="50"/>
      <c r="AE262" s="379"/>
      <c r="AF262" s="379"/>
      <c r="AI262" s="379"/>
      <c r="AJ262" s="379"/>
      <c r="AK262" s="156"/>
      <c r="AL262" s="379"/>
      <c r="AM262" s="50"/>
      <c r="AN262" s="50"/>
    </row>
    <row r="263" spans="1:40" x14ac:dyDescent="0.25">
      <c r="F263" s="449"/>
    </row>
    <row r="264" spans="1:40" x14ac:dyDescent="0.25">
      <c r="A264" s="53"/>
      <c r="C264" s="54"/>
      <c r="F264" s="449"/>
      <c r="H264" s="449"/>
      <c r="I264" s="449"/>
      <c r="J264" s="461"/>
      <c r="K264" s="461"/>
      <c r="L264" s="379"/>
      <c r="M264" s="379"/>
      <c r="N264" s="50"/>
      <c r="O264" s="50"/>
      <c r="P264" s="53"/>
      <c r="Q264" s="53"/>
      <c r="R264" s="379"/>
      <c r="T264" s="54"/>
      <c r="V264" s="379"/>
      <c r="Y264" s="449"/>
      <c r="Z264" s="461"/>
      <c r="AA264" s="379"/>
      <c r="AB264" s="379"/>
      <c r="AC264" s="50"/>
      <c r="AD264" s="50"/>
      <c r="AE264" s="379"/>
      <c r="AF264" s="379"/>
      <c r="AG264" s="156"/>
      <c r="AH264" s="60"/>
      <c r="AI264" s="53"/>
      <c r="AJ264" s="53"/>
      <c r="AK264" s="156"/>
      <c r="AL264" s="379"/>
      <c r="AM264" s="50"/>
      <c r="AN264" s="50"/>
    </row>
    <row r="265" spans="1:40" x14ac:dyDescent="0.25">
      <c r="F265" s="381"/>
      <c r="H265" s="379"/>
      <c r="I265" s="379"/>
      <c r="J265" s="464"/>
      <c r="K265" s="464"/>
      <c r="L265" s="381"/>
      <c r="M265" s="381"/>
      <c r="N265" s="381"/>
      <c r="O265" s="381"/>
      <c r="P265" s="381"/>
      <c r="Q265" s="381"/>
      <c r="R265" s="381"/>
      <c r="V265" s="381"/>
      <c r="Y265" s="379"/>
      <c r="Z265" s="464"/>
      <c r="AA265" s="381"/>
      <c r="AB265" s="381"/>
      <c r="AC265" s="381"/>
      <c r="AD265" s="381"/>
      <c r="AE265" s="381"/>
      <c r="AF265" s="381"/>
      <c r="AI265" s="381"/>
      <c r="AJ265" s="381"/>
      <c r="AK265" s="162"/>
      <c r="AL265" s="381"/>
      <c r="AM265" s="50"/>
      <c r="AN265" s="50"/>
    </row>
    <row r="266" spans="1:40" x14ac:dyDescent="0.25">
      <c r="A266" s="53"/>
      <c r="C266" s="54"/>
      <c r="F266" s="449"/>
      <c r="H266" s="449"/>
      <c r="I266" s="449"/>
      <c r="J266" s="477"/>
      <c r="K266" s="477"/>
      <c r="L266" s="379"/>
      <c r="M266" s="379"/>
      <c r="N266" s="50"/>
      <c r="O266" s="50"/>
      <c r="P266" s="379"/>
      <c r="Q266" s="379"/>
      <c r="R266" s="379"/>
      <c r="S266" s="379"/>
      <c r="T266" s="54"/>
      <c r="V266" s="449"/>
      <c r="Y266" s="449"/>
      <c r="Z266" s="477"/>
      <c r="AA266" s="379"/>
      <c r="AB266" s="379"/>
      <c r="AC266" s="50"/>
      <c r="AD266" s="50"/>
      <c r="AE266" s="379"/>
      <c r="AF266" s="379"/>
      <c r="AG266" s="156"/>
      <c r="AH266" s="50"/>
      <c r="AI266" s="379"/>
      <c r="AJ266" s="379"/>
      <c r="AK266" s="156"/>
      <c r="AL266" s="379"/>
      <c r="AM266" s="50"/>
      <c r="AN266" s="50"/>
    </row>
    <row r="267" spans="1:40" x14ac:dyDescent="0.25">
      <c r="A267" s="53"/>
      <c r="C267" s="54"/>
      <c r="F267" s="449"/>
      <c r="H267" s="449"/>
      <c r="I267" s="449"/>
      <c r="J267" s="461"/>
      <c r="K267" s="461"/>
      <c r="L267" s="379"/>
      <c r="M267" s="379"/>
      <c r="N267" s="50"/>
      <c r="O267" s="50"/>
      <c r="P267" s="379"/>
      <c r="Q267" s="379"/>
      <c r="R267" s="379"/>
      <c r="T267" s="54"/>
      <c r="V267" s="449"/>
      <c r="Y267" s="379"/>
      <c r="Z267" s="461"/>
      <c r="AA267" s="379"/>
      <c r="AB267" s="379"/>
      <c r="AC267" s="50"/>
      <c r="AD267" s="50"/>
      <c r="AE267" s="379"/>
      <c r="AF267" s="379"/>
      <c r="AG267" s="156"/>
      <c r="AH267" s="60"/>
      <c r="AI267" s="379"/>
      <c r="AJ267" s="379"/>
      <c r="AK267" s="156"/>
      <c r="AL267" s="379"/>
      <c r="AM267" s="50"/>
      <c r="AN267" s="50"/>
    </row>
    <row r="268" spans="1:40" x14ac:dyDescent="0.25">
      <c r="A268" s="53"/>
      <c r="C268" s="54"/>
      <c r="F268" s="449"/>
      <c r="H268" s="449"/>
      <c r="I268" s="449"/>
      <c r="J268" s="461"/>
      <c r="K268" s="461"/>
      <c r="L268" s="379"/>
      <c r="M268" s="379"/>
      <c r="N268" s="50"/>
      <c r="O268" s="50"/>
      <c r="P268" s="379"/>
      <c r="Q268" s="379"/>
      <c r="R268" s="379"/>
      <c r="T268" s="54"/>
      <c r="V268" s="449"/>
      <c r="Y268" s="379"/>
      <c r="Z268" s="461"/>
      <c r="AA268" s="379"/>
      <c r="AB268" s="379"/>
      <c r="AC268" s="50"/>
      <c r="AD268" s="50"/>
      <c r="AE268" s="379"/>
      <c r="AF268" s="379"/>
      <c r="AG268" s="156"/>
      <c r="AH268" s="60"/>
      <c r="AI268" s="379"/>
      <c r="AJ268" s="379"/>
      <c r="AK268" s="156"/>
      <c r="AL268" s="379"/>
      <c r="AM268" s="50"/>
      <c r="AN268" s="50"/>
    </row>
    <row r="269" spans="1:40" x14ac:dyDescent="0.25">
      <c r="F269" s="381"/>
      <c r="H269" s="381"/>
      <c r="I269" s="381"/>
      <c r="J269" s="464"/>
      <c r="K269" s="464"/>
      <c r="L269" s="381"/>
      <c r="M269" s="381"/>
      <c r="N269" s="381"/>
      <c r="O269" s="381"/>
      <c r="P269" s="381"/>
      <c r="Q269" s="381"/>
      <c r="R269" s="381"/>
      <c r="V269" s="381"/>
      <c r="Y269" s="381"/>
      <c r="Z269" s="464"/>
      <c r="AA269" s="381"/>
      <c r="AB269" s="381"/>
      <c r="AC269" s="381"/>
      <c r="AD269" s="381"/>
      <c r="AE269" s="381"/>
      <c r="AF269" s="381"/>
      <c r="AI269" s="381"/>
      <c r="AJ269" s="381"/>
      <c r="AK269" s="162"/>
      <c r="AL269" s="381"/>
      <c r="AM269" s="50"/>
      <c r="AN269" s="50"/>
    </row>
    <row r="270" spans="1:40" x14ac:dyDescent="0.25">
      <c r="A270" s="53"/>
      <c r="C270" s="54"/>
      <c r="F270" s="379"/>
      <c r="H270" s="379"/>
      <c r="I270" s="379"/>
      <c r="J270" s="59"/>
      <c r="K270" s="59"/>
      <c r="L270" s="379"/>
      <c r="M270" s="379"/>
      <c r="N270" s="50"/>
      <c r="O270" s="50"/>
      <c r="P270" s="379"/>
      <c r="Q270" s="379"/>
      <c r="R270" s="379"/>
      <c r="T270" s="54"/>
      <c r="V270" s="379"/>
      <c r="Y270" s="379"/>
      <c r="Z270" s="59"/>
      <c r="AA270" s="379"/>
      <c r="AB270" s="379"/>
      <c r="AC270" s="50"/>
      <c r="AD270" s="50"/>
      <c r="AE270" s="379"/>
      <c r="AF270" s="379"/>
      <c r="AG270" s="156"/>
      <c r="AH270" s="60"/>
      <c r="AI270" s="379"/>
      <c r="AJ270" s="379"/>
      <c r="AK270" s="156"/>
      <c r="AL270" s="379"/>
      <c r="AM270" s="50"/>
      <c r="AN270" s="50"/>
    </row>
    <row r="271" spans="1:40" x14ac:dyDescent="0.25">
      <c r="F271" s="381"/>
      <c r="H271" s="381"/>
      <c r="I271" s="381"/>
      <c r="J271" s="464"/>
      <c r="K271" s="464"/>
      <c r="L271" s="381"/>
      <c r="M271" s="381"/>
      <c r="N271" s="381"/>
      <c r="O271" s="381"/>
      <c r="P271" s="381"/>
      <c r="Q271" s="381"/>
      <c r="R271" s="381"/>
      <c r="V271" s="381"/>
      <c r="Y271" s="381"/>
      <c r="Z271" s="464"/>
      <c r="AA271" s="381"/>
      <c r="AB271" s="381"/>
      <c r="AC271" s="381"/>
      <c r="AD271" s="381"/>
      <c r="AE271" s="381"/>
      <c r="AF271" s="381"/>
      <c r="AI271" s="381"/>
      <c r="AJ271" s="381"/>
      <c r="AK271" s="162"/>
      <c r="AL271" s="381"/>
      <c r="AM271" s="50"/>
      <c r="AN271" s="50"/>
    </row>
    <row r="272" spans="1:40" x14ac:dyDescent="0.25">
      <c r="A272" s="53"/>
      <c r="C272" s="54"/>
      <c r="F272" s="379"/>
      <c r="H272" s="379"/>
      <c r="I272" s="379"/>
      <c r="J272" s="59"/>
      <c r="K272" s="59"/>
      <c r="L272" s="379"/>
      <c r="M272" s="379"/>
      <c r="N272" s="50"/>
      <c r="O272" s="50"/>
      <c r="P272" s="379"/>
      <c r="Q272" s="379"/>
      <c r="R272" s="379"/>
      <c r="T272" s="54"/>
      <c r="V272" s="379"/>
      <c r="Y272" s="379"/>
      <c r="Z272" s="59"/>
      <c r="AA272" s="379"/>
      <c r="AB272" s="379"/>
      <c r="AC272" s="50"/>
      <c r="AD272" s="50"/>
      <c r="AE272" s="379"/>
      <c r="AF272" s="379"/>
      <c r="AG272" s="156"/>
      <c r="AH272" s="60"/>
      <c r="AI272" s="379"/>
      <c r="AJ272" s="379"/>
      <c r="AK272" s="156"/>
      <c r="AL272" s="379"/>
      <c r="AM272" s="50"/>
      <c r="AN272" s="50"/>
    </row>
    <row r="273" spans="1:40" x14ac:dyDescent="0.25">
      <c r="A273" s="53"/>
      <c r="C273" s="54"/>
      <c r="F273" s="379"/>
      <c r="H273" s="449"/>
      <c r="I273" s="449"/>
      <c r="J273" s="472"/>
      <c r="K273" s="472"/>
      <c r="L273" s="379"/>
      <c r="M273" s="379"/>
      <c r="N273" s="50"/>
      <c r="O273" s="50"/>
      <c r="P273" s="379"/>
      <c r="Q273" s="379"/>
      <c r="R273" s="379"/>
      <c r="T273" s="54"/>
      <c r="V273" s="379"/>
      <c r="Y273" s="379"/>
      <c r="Z273" s="463"/>
      <c r="AA273" s="379"/>
      <c r="AB273" s="379"/>
      <c r="AC273" s="50"/>
      <c r="AD273" s="50"/>
      <c r="AE273" s="379"/>
      <c r="AF273" s="379"/>
      <c r="AG273" s="156"/>
      <c r="AH273" s="60"/>
      <c r="AI273" s="379"/>
      <c r="AJ273" s="379"/>
      <c r="AK273" s="156"/>
      <c r="AL273" s="379"/>
      <c r="AM273" s="50"/>
      <c r="AN273" s="50"/>
    </row>
    <row r="274" spans="1:40" x14ac:dyDescent="0.25">
      <c r="H274" s="381"/>
      <c r="I274" s="381"/>
      <c r="J274" s="464"/>
      <c r="K274" s="464"/>
      <c r="L274" s="381"/>
      <c r="M274" s="381"/>
      <c r="N274" s="381"/>
      <c r="O274" s="381"/>
      <c r="P274" s="381"/>
      <c r="Q274" s="381"/>
      <c r="R274" s="381"/>
      <c r="V274" s="381"/>
      <c r="Y274" s="381"/>
      <c r="Z274" s="464"/>
      <c r="AA274" s="381"/>
      <c r="AB274" s="381"/>
      <c r="AC274" s="381"/>
      <c r="AD274" s="381"/>
      <c r="AE274" s="381"/>
      <c r="AF274" s="381"/>
      <c r="AI274" s="381"/>
      <c r="AJ274" s="381"/>
      <c r="AK274" s="162"/>
      <c r="AL274" s="381"/>
      <c r="AM274" s="50"/>
      <c r="AN274" s="50"/>
    </row>
    <row r="275" spans="1:40" x14ac:dyDescent="0.25">
      <c r="F275" s="381"/>
    </row>
    <row r="276" spans="1:40" x14ac:dyDescent="0.25">
      <c r="A276" s="53"/>
      <c r="C276" s="54"/>
      <c r="F276" s="379"/>
      <c r="H276" s="379"/>
      <c r="I276" s="379"/>
      <c r="J276" s="464"/>
      <c r="K276" s="464"/>
      <c r="L276" s="379"/>
      <c r="M276" s="379"/>
      <c r="N276" s="50"/>
      <c r="O276" s="50"/>
      <c r="P276" s="379"/>
      <c r="Q276" s="379"/>
      <c r="R276" s="379"/>
      <c r="S276" s="379"/>
      <c r="T276" s="54"/>
      <c r="V276" s="379"/>
      <c r="Y276" s="379"/>
      <c r="Z276" s="464"/>
      <c r="AA276" s="379"/>
      <c r="AB276" s="379"/>
      <c r="AC276" s="50"/>
      <c r="AD276" s="50"/>
      <c r="AE276" s="379"/>
      <c r="AF276" s="379"/>
      <c r="AG276" s="156"/>
      <c r="AH276" s="50"/>
      <c r="AI276" s="379"/>
      <c r="AJ276" s="379"/>
      <c r="AK276" s="156"/>
      <c r="AL276" s="379"/>
      <c r="AM276" s="50"/>
      <c r="AN276" s="50"/>
    </row>
    <row r="277" spans="1:40" x14ac:dyDescent="0.25">
      <c r="F277" s="381"/>
      <c r="H277" s="381"/>
      <c r="I277" s="381"/>
      <c r="J277" s="464"/>
      <c r="K277" s="464"/>
      <c r="L277" s="381"/>
      <c r="M277" s="381"/>
      <c r="N277" s="381"/>
      <c r="O277" s="381"/>
      <c r="P277" s="381"/>
      <c r="Q277" s="381"/>
      <c r="R277" s="381"/>
      <c r="S277" s="379"/>
      <c r="V277" s="381"/>
      <c r="Y277" s="381"/>
      <c r="Z277" s="464"/>
      <c r="AA277" s="381"/>
      <c r="AB277" s="381"/>
      <c r="AC277" s="381"/>
      <c r="AD277" s="381"/>
      <c r="AE277" s="381"/>
      <c r="AF277" s="381"/>
      <c r="AI277" s="381"/>
      <c r="AJ277" s="381"/>
      <c r="AK277" s="162"/>
      <c r="AL277" s="381"/>
      <c r="AM277" s="50"/>
      <c r="AN277" s="50"/>
    </row>
    <row r="278" spans="1:40" x14ac:dyDescent="0.25">
      <c r="A278" s="53"/>
      <c r="C278" s="54"/>
      <c r="T278" s="54"/>
    </row>
    <row r="279" spans="1:40" x14ac:dyDescent="0.25">
      <c r="A279" s="53"/>
      <c r="C279" s="54"/>
      <c r="F279" s="379"/>
      <c r="H279" s="379"/>
      <c r="I279" s="379"/>
      <c r="L279" s="379"/>
      <c r="M279" s="379"/>
      <c r="N279" s="50"/>
      <c r="O279" s="50"/>
      <c r="P279" s="449"/>
      <c r="Q279" s="449"/>
      <c r="R279" s="379"/>
      <c r="T279" s="54"/>
      <c r="V279" s="379"/>
      <c r="Y279" s="379"/>
      <c r="AA279" s="379"/>
      <c r="AB279" s="379"/>
      <c r="AC279" s="50"/>
      <c r="AD279" s="50"/>
      <c r="AE279" s="379"/>
      <c r="AF279" s="379"/>
      <c r="AG279" s="156"/>
      <c r="AH279" s="50"/>
      <c r="AI279" s="449"/>
      <c r="AJ279" s="449"/>
      <c r="AK279" s="156"/>
      <c r="AL279" s="379"/>
      <c r="AM279" s="50"/>
      <c r="AN279" s="50"/>
    </row>
    <row r="280" spans="1:40" x14ac:dyDescent="0.25">
      <c r="H280" s="381"/>
      <c r="I280" s="381"/>
      <c r="J280" s="464"/>
      <c r="K280" s="464"/>
      <c r="L280" s="381"/>
      <c r="M280" s="381"/>
      <c r="N280" s="381"/>
      <c r="O280" s="381"/>
      <c r="P280" s="381"/>
      <c r="Q280" s="381"/>
      <c r="R280" s="381"/>
      <c r="V280" s="381"/>
      <c r="Y280" s="381"/>
      <c r="Z280" s="464"/>
      <c r="AA280" s="381"/>
      <c r="AB280" s="381"/>
      <c r="AC280" s="381"/>
      <c r="AD280" s="381"/>
      <c r="AE280" s="381"/>
      <c r="AF280" s="381"/>
      <c r="AI280" s="381"/>
      <c r="AJ280" s="381"/>
      <c r="AK280" s="162"/>
      <c r="AL280" s="381"/>
    </row>
    <row r="281" spans="1:40" x14ac:dyDescent="0.25">
      <c r="F281" s="381"/>
    </row>
    <row r="282" spans="1:40" x14ac:dyDescent="0.25">
      <c r="C282" s="54"/>
      <c r="L282" s="379"/>
      <c r="M282" s="379"/>
      <c r="N282" s="379"/>
      <c r="O282" s="379"/>
      <c r="P282" s="379"/>
      <c r="Q282" s="379"/>
      <c r="R282" s="379"/>
      <c r="S282" s="379"/>
      <c r="T282" s="54"/>
      <c r="AA282" s="379"/>
      <c r="AB282" s="379"/>
      <c r="AC282" s="379"/>
      <c r="AD282" s="379"/>
      <c r="AI282" s="379"/>
      <c r="AJ282" s="379"/>
      <c r="AK282" s="156"/>
      <c r="AL282" s="379"/>
    </row>
    <row r="283" spans="1:40" x14ac:dyDescent="0.25">
      <c r="A283" s="54"/>
    </row>
    <row r="284" spans="1:40" x14ac:dyDescent="0.25">
      <c r="J284" s="53"/>
      <c r="K284" s="53"/>
      <c r="Z284" s="53"/>
    </row>
    <row r="285" spans="1:40" x14ac:dyDescent="0.25">
      <c r="H285" s="54"/>
      <c r="I285" s="54"/>
      <c r="Y285" s="54"/>
    </row>
    <row r="286" spans="1:40" x14ac:dyDescent="0.25">
      <c r="J286" s="53"/>
      <c r="K286" s="53"/>
      <c r="Z286" s="53"/>
    </row>
    <row r="287" spans="1:40" x14ac:dyDescent="0.25">
      <c r="L287" s="54"/>
      <c r="M287" s="54"/>
      <c r="AA287" s="54"/>
      <c r="AB287" s="54"/>
    </row>
    <row r="288" spans="1:40" x14ac:dyDescent="0.25">
      <c r="A288" s="53"/>
      <c r="R288" s="54"/>
      <c r="AK288" s="161"/>
      <c r="AL288" s="54"/>
    </row>
    <row r="289" spans="1:40" x14ac:dyDescent="0.25">
      <c r="A289" s="53"/>
      <c r="R289" s="54"/>
      <c r="AK289" s="161"/>
      <c r="AL289" s="54"/>
    </row>
    <row r="290" spans="1:40" x14ac:dyDescent="0.25">
      <c r="A290" s="54"/>
      <c r="R290" s="54"/>
      <c r="AK290" s="161"/>
      <c r="AL290" s="54"/>
    </row>
    <row r="291" spans="1:40" x14ac:dyDescent="0.25">
      <c r="L291" s="54"/>
      <c r="M291" s="54"/>
      <c r="R291" s="53"/>
      <c r="AA291" s="54"/>
      <c r="AB291" s="54"/>
      <c r="AK291" s="156"/>
      <c r="AL291" s="53"/>
    </row>
    <row r="292" spans="1:40" x14ac:dyDescent="0.25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154"/>
      <c r="AH292" s="55"/>
      <c r="AI292" s="55"/>
      <c r="AJ292" s="55"/>
      <c r="AK292" s="154"/>
      <c r="AL292" s="55"/>
      <c r="AM292" s="55"/>
      <c r="AN292" s="55"/>
    </row>
    <row r="293" spans="1:40" x14ac:dyDescent="0.25">
      <c r="L293" s="56"/>
      <c r="M293" s="56"/>
      <c r="N293" s="56"/>
      <c r="O293" s="56"/>
      <c r="R293" s="56"/>
      <c r="AA293" s="56"/>
      <c r="AB293" s="56"/>
      <c r="AC293" s="56"/>
      <c r="AD293" s="56"/>
      <c r="AE293" s="56"/>
      <c r="AF293" s="56"/>
      <c r="AG293" s="155"/>
      <c r="AH293" s="56"/>
      <c r="AK293" s="155"/>
      <c r="AL293" s="56"/>
      <c r="AM293" s="56"/>
      <c r="AN293" s="56"/>
    </row>
    <row r="294" spans="1:40" x14ac:dyDescent="0.25">
      <c r="L294" s="56"/>
      <c r="M294" s="56"/>
      <c r="N294" s="56"/>
      <c r="O294" s="56"/>
      <c r="R294" s="56"/>
      <c r="Z294" s="56"/>
      <c r="AA294" s="56"/>
      <c r="AB294" s="56"/>
      <c r="AC294" s="56"/>
      <c r="AD294" s="56"/>
      <c r="AE294" s="56"/>
      <c r="AF294" s="56"/>
      <c r="AG294" s="155"/>
      <c r="AH294" s="56"/>
      <c r="AK294" s="155"/>
      <c r="AL294" s="56"/>
      <c r="AM294" s="56"/>
      <c r="AN294" s="56"/>
    </row>
    <row r="295" spans="1:40" x14ac:dyDescent="0.25">
      <c r="A295" s="56"/>
      <c r="C295" s="56"/>
      <c r="D295" s="56"/>
      <c r="E295" s="56"/>
      <c r="F295" s="56"/>
      <c r="J295" s="56"/>
      <c r="K295" s="56"/>
      <c r="L295" s="56"/>
      <c r="M295" s="56"/>
      <c r="N295" s="56"/>
      <c r="O295" s="56"/>
      <c r="P295" s="56"/>
      <c r="Q295" s="56"/>
      <c r="R295" s="56"/>
      <c r="T295" s="56"/>
      <c r="U295" s="56"/>
      <c r="V295" s="56"/>
      <c r="Z295" s="56"/>
      <c r="AA295" s="56"/>
      <c r="AB295" s="56"/>
      <c r="AC295" s="56"/>
      <c r="AD295" s="56"/>
      <c r="AE295" s="56"/>
      <c r="AF295" s="56"/>
      <c r="AG295" s="155"/>
      <c r="AH295" s="56"/>
      <c r="AI295" s="56"/>
      <c r="AJ295" s="56"/>
      <c r="AK295" s="155"/>
      <c r="AL295" s="56"/>
      <c r="AM295" s="56"/>
      <c r="AN295" s="56"/>
    </row>
    <row r="296" spans="1:40" x14ac:dyDescent="0.25">
      <c r="A296" s="56"/>
      <c r="C296" s="56"/>
      <c r="D296" s="56"/>
      <c r="E296" s="56"/>
      <c r="F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T296" s="56"/>
      <c r="U296" s="56"/>
      <c r="V296" s="56"/>
      <c r="Y296" s="56"/>
      <c r="Z296" s="56"/>
      <c r="AA296" s="56"/>
      <c r="AB296" s="56"/>
      <c r="AC296" s="56"/>
      <c r="AD296" s="56"/>
      <c r="AE296" s="56"/>
      <c r="AF296" s="56"/>
      <c r="AG296" s="155"/>
      <c r="AH296" s="56"/>
      <c r="AI296" s="56"/>
      <c r="AJ296" s="56"/>
      <c r="AK296" s="155"/>
      <c r="AL296" s="56"/>
      <c r="AM296" s="56"/>
      <c r="AN296" s="56"/>
    </row>
    <row r="297" spans="1:40" x14ac:dyDescent="0.25">
      <c r="C297" s="56"/>
      <c r="D297" s="56"/>
      <c r="E297" s="56"/>
      <c r="F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T297" s="56"/>
      <c r="U297" s="56"/>
      <c r="V297" s="56"/>
      <c r="Y297" s="56"/>
      <c r="Z297" s="56"/>
      <c r="AA297" s="56"/>
      <c r="AB297" s="56"/>
      <c r="AC297" s="56"/>
      <c r="AD297" s="56"/>
      <c r="AE297" s="56"/>
      <c r="AF297" s="56"/>
      <c r="AG297" s="155"/>
      <c r="AH297" s="56"/>
      <c r="AI297" s="56"/>
      <c r="AJ297" s="56"/>
      <c r="AK297" s="155"/>
      <c r="AL297" s="56"/>
      <c r="AM297" s="56"/>
      <c r="AN297" s="56"/>
    </row>
    <row r="298" spans="1:40" x14ac:dyDescent="0.25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154"/>
      <c r="AH298" s="55"/>
      <c r="AI298" s="55"/>
      <c r="AJ298" s="55"/>
      <c r="AK298" s="154"/>
      <c r="AL298" s="55"/>
      <c r="AM298" s="55"/>
      <c r="AN298" s="55"/>
    </row>
    <row r="299" spans="1:40" x14ac:dyDescent="0.25"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Y299" s="56"/>
      <c r="Z299" s="56"/>
      <c r="AA299" s="56"/>
      <c r="AB299" s="56"/>
      <c r="AC299" s="56"/>
      <c r="AD299" s="56"/>
      <c r="AE299" s="56"/>
      <c r="AF299" s="56"/>
      <c r="AG299" s="155"/>
      <c r="AH299" s="56"/>
      <c r="AI299" s="56"/>
      <c r="AJ299" s="56"/>
      <c r="AK299" s="155"/>
      <c r="AL299" s="56"/>
      <c r="AM299" s="56"/>
      <c r="AN299" s="56"/>
    </row>
    <row r="300" spans="1:40" x14ac:dyDescent="0.25">
      <c r="A300" s="53"/>
      <c r="C300" s="54"/>
      <c r="D300" s="54"/>
      <c r="E300" s="54"/>
      <c r="T300" s="54"/>
      <c r="U300" s="54"/>
    </row>
    <row r="301" spans="1:40" x14ac:dyDescent="0.25">
      <c r="D301" s="54"/>
      <c r="E301" s="54"/>
      <c r="U301" s="54"/>
    </row>
    <row r="303" spans="1:40" x14ac:dyDescent="0.25">
      <c r="A303" s="53"/>
      <c r="C303" s="54"/>
      <c r="T303" s="54"/>
    </row>
    <row r="304" spans="1:40" x14ac:dyDescent="0.25">
      <c r="A304" s="53"/>
      <c r="C304" s="54"/>
      <c r="F304" s="449"/>
      <c r="H304" s="449"/>
      <c r="I304" s="449"/>
      <c r="J304" s="221"/>
      <c r="K304" s="221"/>
      <c r="L304" s="379"/>
      <c r="M304" s="379"/>
      <c r="N304" s="50"/>
      <c r="O304" s="50"/>
      <c r="P304" s="379"/>
      <c r="Q304" s="379"/>
      <c r="R304" s="379"/>
      <c r="T304" s="54"/>
      <c r="V304" s="449"/>
      <c r="W304" s="379"/>
      <c r="X304" s="379"/>
      <c r="Y304" s="449"/>
      <c r="Z304" s="221"/>
      <c r="AA304" s="379"/>
      <c r="AB304" s="379"/>
      <c r="AC304" s="50"/>
      <c r="AD304" s="50"/>
      <c r="AE304" s="379"/>
      <c r="AF304" s="379"/>
      <c r="AG304" s="156"/>
      <c r="AH304" s="60"/>
      <c r="AI304" s="379"/>
      <c r="AJ304" s="379"/>
      <c r="AK304" s="156"/>
      <c r="AL304" s="379"/>
      <c r="AM304" s="50"/>
      <c r="AN304" s="50"/>
    </row>
    <row r="305" spans="1:40" x14ac:dyDescent="0.25">
      <c r="A305" s="53"/>
      <c r="C305" s="54"/>
      <c r="F305" s="379"/>
      <c r="H305" s="379"/>
      <c r="I305" s="379"/>
      <c r="J305" s="464"/>
      <c r="K305" s="464"/>
      <c r="L305" s="379"/>
      <c r="M305" s="379"/>
      <c r="N305" s="50"/>
      <c r="O305" s="50"/>
      <c r="P305" s="379"/>
      <c r="Q305" s="379"/>
      <c r="R305" s="379"/>
      <c r="T305" s="54"/>
      <c r="V305" s="449"/>
      <c r="W305" s="379"/>
      <c r="X305" s="379"/>
      <c r="Y305" s="449"/>
      <c r="Z305" s="464"/>
      <c r="AA305" s="379"/>
      <c r="AB305" s="379"/>
      <c r="AC305" s="50"/>
      <c r="AD305" s="50"/>
      <c r="AE305" s="379"/>
      <c r="AF305" s="379"/>
      <c r="AG305" s="156"/>
      <c r="AH305" s="60"/>
      <c r="AI305" s="379"/>
      <c r="AJ305" s="379"/>
      <c r="AK305" s="156"/>
      <c r="AL305" s="379"/>
      <c r="AM305" s="50"/>
      <c r="AN305" s="50"/>
    </row>
    <row r="306" spans="1:40" x14ac:dyDescent="0.25">
      <c r="A306" s="53"/>
      <c r="C306" s="54"/>
      <c r="F306" s="449"/>
      <c r="H306" s="449"/>
      <c r="I306" s="449"/>
      <c r="J306" s="221"/>
      <c r="K306" s="221"/>
      <c r="L306" s="379"/>
      <c r="M306" s="379"/>
      <c r="N306" s="50"/>
      <c r="O306" s="50"/>
      <c r="P306" s="379"/>
      <c r="Q306" s="379"/>
      <c r="R306" s="379"/>
      <c r="T306" s="54"/>
      <c r="V306" s="449"/>
      <c r="W306" s="379"/>
      <c r="X306" s="379"/>
      <c r="Y306" s="449"/>
      <c r="Z306" s="221"/>
      <c r="AA306" s="379"/>
      <c r="AB306" s="379"/>
      <c r="AC306" s="50"/>
      <c r="AD306" s="50"/>
      <c r="AE306" s="379"/>
      <c r="AF306" s="379"/>
      <c r="AG306" s="156"/>
      <c r="AH306" s="60"/>
      <c r="AI306" s="379"/>
      <c r="AJ306" s="379"/>
      <c r="AK306" s="156"/>
      <c r="AL306" s="379"/>
      <c r="AM306" s="50"/>
      <c r="AN306" s="50"/>
    </row>
    <row r="307" spans="1:40" x14ac:dyDescent="0.25">
      <c r="A307" s="53"/>
      <c r="C307" s="54"/>
      <c r="F307" s="449"/>
      <c r="H307" s="449"/>
      <c r="I307" s="449"/>
      <c r="J307" s="221"/>
      <c r="K307" s="221"/>
      <c r="L307" s="379"/>
      <c r="M307" s="379"/>
      <c r="N307" s="50"/>
      <c r="O307" s="50"/>
      <c r="P307" s="379"/>
      <c r="Q307" s="379"/>
      <c r="R307" s="379"/>
      <c r="T307" s="54"/>
      <c r="V307" s="449"/>
      <c r="W307" s="379"/>
      <c r="X307" s="379"/>
      <c r="Y307" s="449"/>
      <c r="Z307" s="221"/>
      <c r="AA307" s="379"/>
      <c r="AB307" s="379"/>
      <c r="AC307" s="50"/>
      <c r="AD307" s="50"/>
      <c r="AE307" s="379"/>
      <c r="AF307" s="379"/>
      <c r="AG307" s="156"/>
      <c r="AH307" s="60"/>
      <c r="AI307" s="379"/>
      <c r="AJ307" s="379"/>
      <c r="AK307" s="156"/>
      <c r="AL307" s="379"/>
      <c r="AM307" s="50"/>
      <c r="AN307" s="50"/>
    </row>
    <row r="308" spans="1:40" x14ac:dyDescent="0.25">
      <c r="A308" s="53"/>
      <c r="C308" s="54"/>
      <c r="F308" s="449"/>
      <c r="H308" s="449"/>
      <c r="I308" s="449"/>
      <c r="J308" s="221"/>
      <c r="K308" s="221"/>
      <c r="L308" s="379"/>
      <c r="M308" s="379"/>
      <c r="N308" s="50"/>
      <c r="O308" s="50"/>
      <c r="P308" s="379"/>
      <c r="Q308" s="379"/>
      <c r="R308" s="379"/>
      <c r="T308" s="54"/>
      <c r="V308" s="449"/>
      <c r="W308" s="379"/>
      <c r="X308" s="379"/>
      <c r="Y308" s="449"/>
      <c r="Z308" s="221"/>
      <c r="AA308" s="379"/>
      <c r="AB308" s="379"/>
      <c r="AC308" s="50"/>
      <c r="AD308" s="50"/>
      <c r="AE308" s="379"/>
      <c r="AF308" s="379"/>
      <c r="AG308" s="156"/>
      <c r="AH308" s="60"/>
      <c r="AI308" s="379"/>
      <c r="AJ308" s="379"/>
      <c r="AK308" s="156"/>
      <c r="AL308" s="379"/>
      <c r="AM308" s="50"/>
      <c r="AN308" s="50"/>
    </row>
    <row r="309" spans="1:40" x14ac:dyDescent="0.25">
      <c r="A309" s="53"/>
      <c r="C309" s="54"/>
      <c r="F309" s="379"/>
      <c r="H309" s="379"/>
      <c r="I309" s="379"/>
      <c r="J309" s="221"/>
      <c r="K309" s="221"/>
      <c r="L309" s="379"/>
      <c r="M309" s="379"/>
      <c r="N309" s="50"/>
      <c r="O309" s="50"/>
      <c r="P309" s="379"/>
      <c r="Q309" s="379"/>
      <c r="R309" s="379"/>
      <c r="T309" s="54"/>
      <c r="V309" s="449"/>
      <c r="W309" s="379"/>
      <c r="X309" s="379"/>
      <c r="Y309" s="449"/>
      <c r="Z309" s="221"/>
      <c r="AA309" s="379"/>
      <c r="AB309" s="379"/>
      <c r="AC309" s="50"/>
      <c r="AD309" s="50"/>
      <c r="AE309" s="379"/>
      <c r="AF309" s="379"/>
      <c r="AG309" s="156"/>
      <c r="AH309" s="60"/>
      <c r="AI309" s="379"/>
      <c r="AJ309" s="379"/>
      <c r="AK309" s="156"/>
      <c r="AL309" s="379"/>
      <c r="AM309" s="50"/>
      <c r="AN309" s="50"/>
    </row>
    <row r="310" spans="1:40" x14ac:dyDescent="0.25">
      <c r="A310" s="53"/>
      <c r="C310" s="54"/>
      <c r="F310" s="379"/>
      <c r="H310" s="379"/>
      <c r="I310" s="379"/>
      <c r="J310" s="221"/>
      <c r="K310" s="221"/>
      <c r="L310" s="379"/>
      <c r="M310" s="379"/>
      <c r="N310" s="50"/>
      <c r="O310" s="50"/>
      <c r="P310" s="379"/>
      <c r="Q310" s="379"/>
      <c r="R310" s="379"/>
      <c r="T310" s="54"/>
      <c r="V310" s="449"/>
      <c r="W310" s="379"/>
      <c r="X310" s="379"/>
      <c r="Y310" s="449"/>
      <c r="Z310" s="221"/>
      <c r="AA310" s="379"/>
      <c r="AB310" s="379"/>
      <c r="AC310" s="50"/>
      <c r="AD310" s="50"/>
      <c r="AE310" s="379"/>
      <c r="AF310" s="379"/>
      <c r="AG310" s="156"/>
      <c r="AH310" s="60"/>
      <c r="AI310" s="379"/>
      <c r="AJ310" s="379"/>
      <c r="AK310" s="156"/>
      <c r="AL310" s="379"/>
      <c r="AM310" s="50"/>
      <c r="AN310" s="50"/>
    </row>
    <row r="311" spans="1:40" x14ac:dyDescent="0.25">
      <c r="F311" s="63"/>
      <c r="H311" s="479"/>
      <c r="I311" s="479"/>
      <c r="J311" s="221"/>
      <c r="K311" s="221"/>
      <c r="L311" s="63"/>
      <c r="M311" s="63"/>
      <c r="N311" s="381"/>
      <c r="O311" s="381"/>
      <c r="P311" s="63"/>
      <c r="Q311" s="63"/>
      <c r="R311" s="63"/>
      <c r="V311" s="63"/>
      <c r="W311" s="379"/>
      <c r="X311" s="379"/>
      <c r="Y311" s="63"/>
      <c r="Z311" s="221"/>
      <c r="AA311" s="63"/>
      <c r="AB311" s="63"/>
      <c r="AC311" s="64"/>
      <c r="AD311" s="64"/>
      <c r="AE311" s="63"/>
      <c r="AF311" s="63"/>
      <c r="AG311" s="156"/>
      <c r="AH311" s="60"/>
      <c r="AI311" s="63"/>
      <c r="AJ311" s="63"/>
      <c r="AK311" s="154"/>
      <c r="AL311" s="63"/>
      <c r="AM311" s="50"/>
      <c r="AN311" s="50"/>
    </row>
    <row r="312" spans="1:40" x14ac:dyDescent="0.25">
      <c r="A312" s="53"/>
      <c r="C312" s="54"/>
      <c r="F312" s="379"/>
      <c r="H312" s="379"/>
      <c r="I312" s="379"/>
      <c r="J312" s="221"/>
      <c r="K312" s="221"/>
      <c r="L312" s="379"/>
      <c r="M312" s="379"/>
      <c r="N312" s="60"/>
      <c r="O312" s="60"/>
      <c r="P312" s="379"/>
      <c r="Q312" s="379"/>
      <c r="R312" s="379"/>
      <c r="T312" s="56"/>
      <c r="V312" s="379"/>
      <c r="W312" s="379"/>
      <c r="X312" s="379"/>
      <c r="Y312" s="379"/>
      <c r="Z312" s="221"/>
      <c r="AA312" s="379"/>
      <c r="AB312" s="379"/>
      <c r="AC312" s="60"/>
      <c r="AD312" s="60"/>
      <c r="AE312" s="379"/>
      <c r="AF312" s="379"/>
      <c r="AG312" s="156"/>
      <c r="AH312" s="60"/>
      <c r="AI312" s="379"/>
      <c r="AJ312" s="379"/>
      <c r="AK312" s="156"/>
      <c r="AL312" s="379"/>
      <c r="AM312" s="50"/>
      <c r="AN312" s="50"/>
    </row>
    <row r="313" spans="1:40" x14ac:dyDescent="0.25">
      <c r="F313" s="55"/>
      <c r="H313" s="55"/>
      <c r="I313" s="55"/>
      <c r="L313" s="55"/>
      <c r="M313" s="55"/>
      <c r="N313" s="64"/>
      <c r="O313" s="64"/>
      <c r="P313" s="63"/>
      <c r="Q313" s="63"/>
      <c r="R313" s="63"/>
      <c r="V313" s="63"/>
      <c r="Y313" s="63"/>
      <c r="Z313" s="464"/>
      <c r="AA313" s="63"/>
      <c r="AB313" s="63"/>
      <c r="AC313" s="63"/>
      <c r="AD313" s="63"/>
      <c r="AE313" s="63"/>
      <c r="AF313" s="63"/>
      <c r="AI313" s="63"/>
      <c r="AJ313" s="63"/>
      <c r="AK313" s="154"/>
      <c r="AL313" s="63"/>
      <c r="AM313" s="64"/>
      <c r="AN313" s="64"/>
    </row>
    <row r="314" spans="1:40" x14ac:dyDescent="0.25">
      <c r="AI314" s="53"/>
      <c r="AJ314" s="53"/>
    </row>
    <row r="318" spans="1:40" x14ac:dyDescent="0.25">
      <c r="N318" s="379"/>
      <c r="O318" s="379"/>
      <c r="P318" s="379"/>
      <c r="Q318" s="379"/>
      <c r="R318" s="379"/>
      <c r="V318" s="379"/>
      <c r="Y318" s="379"/>
      <c r="Z318" s="59"/>
      <c r="AA318" s="379"/>
      <c r="AB318" s="379"/>
      <c r="AC318" s="50"/>
      <c r="AD318" s="50"/>
      <c r="AE318" s="379"/>
      <c r="AF318" s="379"/>
      <c r="AG318" s="156"/>
      <c r="AH318" s="60"/>
      <c r="AI318" s="379"/>
      <c r="AJ318" s="379"/>
      <c r="AK318" s="156"/>
      <c r="AL318" s="379"/>
      <c r="AM318" s="50"/>
      <c r="AN318" s="50"/>
    </row>
    <row r="319" spans="1:40" x14ac:dyDescent="0.25">
      <c r="A319" s="53"/>
      <c r="C319" s="54"/>
      <c r="D319" s="54"/>
      <c r="E319" s="54"/>
      <c r="J319" s="65"/>
      <c r="K319" s="65"/>
      <c r="T319" s="54"/>
      <c r="U319" s="54"/>
      <c r="Z319" s="65"/>
      <c r="AE319" s="379"/>
      <c r="AF319" s="379"/>
      <c r="AI319" s="379"/>
      <c r="AJ319" s="379"/>
      <c r="AK319" s="156"/>
      <c r="AL319" s="379"/>
      <c r="AM319" s="50"/>
      <c r="AN319" s="50"/>
    </row>
    <row r="320" spans="1:40" x14ac:dyDescent="0.25">
      <c r="D320" s="54"/>
      <c r="E320" s="54"/>
      <c r="F320" s="379"/>
      <c r="H320" s="379"/>
      <c r="I320" s="379"/>
      <c r="J320" s="221"/>
      <c r="K320" s="221"/>
      <c r="L320" s="379"/>
      <c r="M320" s="379"/>
      <c r="N320" s="50"/>
      <c r="O320" s="50"/>
      <c r="P320" s="379"/>
      <c r="Q320" s="379"/>
      <c r="R320" s="379"/>
      <c r="U320" s="54"/>
      <c r="V320" s="379"/>
      <c r="Y320" s="379"/>
      <c r="Z320" s="221"/>
      <c r="AA320" s="379"/>
      <c r="AB320" s="379"/>
      <c r="AC320" s="50"/>
      <c r="AD320" s="50"/>
      <c r="AE320" s="379"/>
      <c r="AF320" s="379"/>
      <c r="AG320" s="156"/>
      <c r="AH320" s="60"/>
      <c r="AI320" s="379"/>
      <c r="AJ320" s="379"/>
      <c r="AK320" s="156"/>
      <c r="AL320" s="379"/>
      <c r="AM320" s="50"/>
      <c r="AN320" s="50"/>
    </row>
    <row r="321" spans="1:40" x14ac:dyDescent="0.25">
      <c r="F321" s="379"/>
      <c r="H321" s="379"/>
      <c r="I321" s="379"/>
      <c r="J321" s="464"/>
      <c r="K321" s="464"/>
      <c r="L321" s="379"/>
      <c r="M321" s="379"/>
      <c r="N321" s="379"/>
      <c r="O321" s="379"/>
      <c r="P321" s="379"/>
      <c r="Q321" s="379"/>
      <c r="R321" s="379"/>
      <c r="V321" s="379"/>
      <c r="Y321" s="379"/>
      <c r="Z321" s="464"/>
      <c r="AA321" s="379"/>
      <c r="AB321" s="379"/>
      <c r="AC321" s="379"/>
      <c r="AD321" s="379"/>
      <c r="AE321" s="379"/>
      <c r="AF321" s="379"/>
      <c r="AG321" s="156"/>
      <c r="AH321" s="60"/>
      <c r="AI321" s="449"/>
      <c r="AJ321" s="449"/>
      <c r="AK321" s="156"/>
      <c r="AL321" s="379"/>
      <c r="AM321" s="50"/>
      <c r="AN321" s="50"/>
    </row>
    <row r="322" spans="1:40" x14ac:dyDescent="0.25">
      <c r="A322" s="53"/>
      <c r="C322" s="54"/>
      <c r="F322" s="449"/>
      <c r="H322" s="449"/>
      <c r="I322" s="449"/>
      <c r="J322" s="463"/>
      <c r="K322" s="463"/>
      <c r="L322" s="379"/>
      <c r="M322" s="379"/>
      <c r="N322" s="50"/>
      <c r="O322" s="50"/>
      <c r="P322" s="379"/>
      <c r="Q322" s="379"/>
      <c r="R322" s="379"/>
      <c r="T322" s="54"/>
      <c r="V322" s="449"/>
      <c r="Y322" s="449"/>
      <c r="Z322" s="463"/>
      <c r="AA322" s="379"/>
      <c r="AB322" s="379"/>
      <c r="AC322" s="50"/>
      <c r="AD322" s="50"/>
      <c r="AE322" s="379"/>
      <c r="AF322" s="379"/>
      <c r="AG322" s="156"/>
      <c r="AH322" s="60"/>
      <c r="AI322" s="379"/>
      <c r="AJ322" s="379"/>
      <c r="AK322" s="156"/>
      <c r="AL322" s="379"/>
      <c r="AM322" s="50"/>
      <c r="AN322" s="50"/>
    </row>
    <row r="323" spans="1:40" x14ac:dyDescent="0.25">
      <c r="F323" s="55"/>
      <c r="H323" s="55"/>
      <c r="I323" s="55"/>
      <c r="L323" s="55"/>
      <c r="M323" s="55"/>
      <c r="N323" s="55"/>
      <c r="O323" s="55"/>
      <c r="P323" s="55"/>
      <c r="Q323" s="55"/>
      <c r="R323" s="55"/>
      <c r="V323" s="55"/>
      <c r="Y323" s="55"/>
      <c r="AA323" s="55"/>
      <c r="AB323" s="55"/>
      <c r="AC323" s="55"/>
      <c r="AD323" s="55"/>
      <c r="AE323" s="55"/>
      <c r="AF323" s="55"/>
      <c r="AG323" s="154"/>
      <c r="AH323" s="55"/>
      <c r="AI323" s="55"/>
      <c r="AJ323" s="55"/>
      <c r="AK323" s="154"/>
      <c r="AL323" s="55"/>
      <c r="AM323" s="55"/>
      <c r="AN323" s="55"/>
    </row>
    <row r="324" spans="1:40" x14ac:dyDescent="0.25">
      <c r="A324" s="53"/>
      <c r="C324" s="56"/>
      <c r="F324" s="449"/>
      <c r="H324" s="449"/>
      <c r="I324" s="449"/>
      <c r="J324" s="461"/>
      <c r="K324" s="461"/>
      <c r="L324" s="449"/>
      <c r="M324" s="449"/>
      <c r="N324" s="50"/>
      <c r="O324" s="50"/>
      <c r="P324" s="449"/>
      <c r="Q324" s="449"/>
      <c r="R324" s="449"/>
      <c r="T324" s="56"/>
      <c r="V324" s="379"/>
      <c r="Y324" s="379"/>
      <c r="Z324" s="59"/>
      <c r="AA324" s="379"/>
      <c r="AB324" s="379"/>
      <c r="AC324" s="50"/>
      <c r="AD324" s="50"/>
      <c r="AE324" s="53"/>
      <c r="AF324" s="53"/>
      <c r="AG324" s="156"/>
      <c r="AH324" s="60"/>
      <c r="AI324" s="379"/>
      <c r="AJ324" s="379"/>
      <c r="AK324" s="156"/>
      <c r="AL324" s="379"/>
      <c r="AM324" s="50"/>
      <c r="AN324" s="50"/>
    </row>
    <row r="325" spans="1:40" x14ac:dyDescent="0.25">
      <c r="F325" s="63"/>
      <c r="H325" s="63"/>
      <c r="I325" s="63"/>
      <c r="J325" s="464"/>
      <c r="K325" s="464"/>
      <c r="L325" s="63"/>
      <c r="M325" s="63"/>
      <c r="N325" s="63"/>
      <c r="O325" s="63"/>
      <c r="P325" s="63"/>
      <c r="Q325" s="63"/>
      <c r="R325" s="63"/>
      <c r="V325" s="55"/>
      <c r="Y325" s="55"/>
      <c r="AA325" s="55"/>
      <c r="AB325" s="55"/>
      <c r="AC325" s="55"/>
      <c r="AD325" s="55"/>
      <c r="AE325" s="55"/>
      <c r="AF325" s="55"/>
      <c r="AG325" s="154"/>
      <c r="AH325" s="55"/>
      <c r="AI325" s="55"/>
      <c r="AJ325" s="55"/>
      <c r="AK325" s="154"/>
      <c r="AL325" s="55"/>
      <c r="AM325" s="55"/>
      <c r="AN325" s="55"/>
    </row>
    <row r="326" spans="1:40" x14ac:dyDescent="0.25">
      <c r="F326" s="449"/>
      <c r="H326" s="449"/>
      <c r="I326" s="449"/>
      <c r="J326" s="477"/>
      <c r="K326" s="477"/>
      <c r="L326" s="379"/>
      <c r="M326" s="379"/>
      <c r="N326" s="50"/>
      <c r="O326" s="50"/>
      <c r="P326" s="379"/>
      <c r="Q326" s="379"/>
      <c r="R326" s="379"/>
    </row>
    <row r="327" spans="1:40" x14ac:dyDescent="0.25">
      <c r="A327" s="54"/>
      <c r="F327" s="449"/>
      <c r="H327" s="449"/>
      <c r="I327" s="449"/>
      <c r="J327" s="461"/>
      <c r="K327" s="461"/>
      <c r="L327" s="379"/>
      <c r="M327" s="379"/>
      <c r="N327" s="50"/>
      <c r="O327" s="50"/>
      <c r="P327" s="379"/>
      <c r="Q327" s="379"/>
      <c r="R327" s="379"/>
    </row>
    <row r="328" spans="1:40" x14ac:dyDescent="0.25">
      <c r="F328" s="449"/>
      <c r="H328" s="449"/>
      <c r="I328" s="449"/>
      <c r="J328" s="461"/>
      <c r="K328" s="461"/>
      <c r="L328" s="379"/>
      <c r="M328" s="379"/>
      <c r="N328" s="50"/>
      <c r="O328" s="50"/>
      <c r="P328" s="379"/>
      <c r="Q328" s="379"/>
      <c r="R328" s="379"/>
    </row>
    <row r="329" spans="1:40" x14ac:dyDescent="0.25">
      <c r="A329" s="54"/>
    </row>
    <row r="331" spans="1:40" x14ac:dyDescent="0.25">
      <c r="J331" s="53"/>
      <c r="K331" s="53"/>
      <c r="Z331" s="53"/>
    </row>
    <row r="332" spans="1:40" x14ac:dyDescent="0.25">
      <c r="H332" s="54"/>
      <c r="I332" s="54"/>
      <c r="Y332" s="54"/>
    </row>
    <row r="333" spans="1:40" x14ac:dyDescent="0.25">
      <c r="J333" s="53"/>
      <c r="K333" s="53"/>
      <c r="Z333" s="53"/>
    </row>
    <row r="334" spans="1:40" x14ac:dyDescent="0.25">
      <c r="L334" s="54"/>
      <c r="M334" s="54"/>
      <c r="AA334" s="54"/>
      <c r="AB334" s="54"/>
    </row>
    <row r="335" spans="1:40" x14ac:dyDescent="0.25">
      <c r="A335" s="53"/>
      <c r="R335" s="54"/>
      <c r="AK335" s="161"/>
      <c r="AL335" s="54"/>
    </row>
    <row r="336" spans="1:40" x14ac:dyDescent="0.25">
      <c r="A336" s="53"/>
      <c r="R336" s="54"/>
      <c r="AK336" s="161"/>
      <c r="AL336" s="54"/>
    </row>
    <row r="337" spans="1:40" x14ac:dyDescent="0.25">
      <c r="A337" s="54"/>
      <c r="R337" s="54"/>
      <c r="AK337" s="161"/>
      <c r="AL337" s="54"/>
    </row>
    <row r="338" spans="1:40" x14ac:dyDescent="0.25">
      <c r="L338" s="54"/>
      <c r="M338" s="54"/>
      <c r="R338" s="53"/>
      <c r="AA338" s="54"/>
      <c r="AB338" s="54"/>
      <c r="AK338" s="156"/>
      <c r="AL338" s="53"/>
    </row>
    <row r="339" spans="1:40" x14ac:dyDescent="0.25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154"/>
      <c r="AH339" s="55"/>
      <c r="AI339" s="55"/>
      <c r="AJ339" s="55"/>
      <c r="AK339" s="154"/>
      <c r="AL339" s="55"/>
      <c r="AM339" s="55"/>
      <c r="AN339" s="55"/>
    </row>
    <row r="340" spans="1:40" x14ac:dyDescent="0.25">
      <c r="L340" s="56"/>
      <c r="M340" s="56"/>
      <c r="N340" s="56"/>
      <c r="O340" s="56"/>
      <c r="R340" s="56"/>
      <c r="AA340" s="56"/>
      <c r="AB340" s="56"/>
      <c r="AC340" s="56"/>
      <c r="AD340" s="56"/>
      <c r="AE340" s="56"/>
      <c r="AF340" s="56"/>
      <c r="AG340" s="155"/>
      <c r="AH340" s="56"/>
      <c r="AK340" s="155"/>
      <c r="AL340" s="56"/>
      <c r="AM340" s="56"/>
      <c r="AN340" s="56"/>
    </row>
    <row r="341" spans="1:40" x14ac:dyDescent="0.25">
      <c r="L341" s="56"/>
      <c r="M341" s="56"/>
      <c r="N341" s="56"/>
      <c r="O341" s="56"/>
      <c r="R341" s="56"/>
      <c r="Z341" s="56"/>
      <c r="AA341" s="56"/>
      <c r="AB341" s="56"/>
      <c r="AC341" s="56"/>
      <c r="AD341" s="56"/>
      <c r="AE341" s="56"/>
      <c r="AF341" s="56"/>
      <c r="AG341" s="155"/>
      <c r="AH341" s="56"/>
      <c r="AK341" s="155"/>
      <c r="AL341" s="56"/>
      <c r="AM341" s="56"/>
      <c r="AN341" s="56"/>
    </row>
    <row r="342" spans="1:40" x14ac:dyDescent="0.25">
      <c r="A342" s="56"/>
      <c r="C342" s="56"/>
      <c r="D342" s="56"/>
      <c r="E342" s="56"/>
      <c r="F342" s="56"/>
      <c r="J342" s="56"/>
      <c r="K342" s="56"/>
      <c r="L342" s="56"/>
      <c r="M342" s="56"/>
      <c r="N342" s="56"/>
      <c r="O342" s="56"/>
      <c r="P342" s="56"/>
      <c r="Q342" s="56"/>
      <c r="R342" s="56"/>
      <c r="T342" s="56"/>
      <c r="U342" s="56"/>
      <c r="V342" s="56"/>
      <c r="Z342" s="56"/>
      <c r="AA342" s="56"/>
      <c r="AB342" s="56"/>
      <c r="AC342" s="56"/>
      <c r="AD342" s="56"/>
      <c r="AE342" s="56"/>
      <c r="AF342" s="56"/>
      <c r="AG342" s="155"/>
      <c r="AH342" s="56"/>
      <c r="AI342" s="56"/>
      <c r="AJ342" s="56"/>
      <c r="AK342" s="155"/>
      <c r="AL342" s="56"/>
      <c r="AM342" s="56"/>
      <c r="AN342" s="56"/>
    </row>
    <row r="343" spans="1:40" x14ac:dyDescent="0.25">
      <c r="A343" s="56"/>
      <c r="C343" s="56"/>
      <c r="D343" s="56"/>
      <c r="E343" s="56"/>
      <c r="F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T343" s="56"/>
      <c r="U343" s="56"/>
      <c r="V343" s="56"/>
      <c r="Y343" s="56"/>
      <c r="Z343" s="56"/>
      <c r="AA343" s="56"/>
      <c r="AB343" s="56"/>
      <c r="AC343" s="56"/>
      <c r="AD343" s="56"/>
      <c r="AE343" s="56"/>
      <c r="AF343" s="56"/>
      <c r="AG343" s="155"/>
      <c r="AH343" s="56"/>
      <c r="AI343" s="56"/>
      <c r="AJ343" s="56"/>
      <c r="AK343" s="155"/>
      <c r="AL343" s="56"/>
      <c r="AM343" s="56"/>
      <c r="AN343" s="56"/>
    </row>
    <row r="344" spans="1:40" x14ac:dyDescent="0.25">
      <c r="C344" s="56"/>
      <c r="D344" s="56"/>
      <c r="E344" s="56"/>
      <c r="F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T344" s="56"/>
      <c r="U344" s="56"/>
      <c r="V344" s="56"/>
      <c r="Y344" s="56"/>
      <c r="Z344" s="56"/>
      <c r="AA344" s="56"/>
      <c r="AB344" s="56"/>
      <c r="AC344" s="56"/>
      <c r="AD344" s="56"/>
      <c r="AE344" s="56"/>
      <c r="AF344" s="56"/>
      <c r="AG344" s="155"/>
      <c r="AH344" s="56"/>
      <c r="AI344" s="56"/>
      <c r="AJ344" s="56"/>
      <c r="AK344" s="155"/>
      <c r="AL344" s="56"/>
      <c r="AM344" s="56"/>
      <c r="AN344" s="56"/>
    </row>
    <row r="345" spans="1:40" x14ac:dyDescent="0.25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154"/>
      <c r="AH345" s="55"/>
      <c r="AI345" s="55"/>
      <c r="AJ345" s="55"/>
      <c r="AK345" s="154"/>
      <c r="AL345" s="55"/>
      <c r="AM345" s="55"/>
      <c r="AN345" s="55"/>
    </row>
    <row r="346" spans="1:40" x14ac:dyDescent="0.25"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Y346" s="56"/>
      <c r="Z346" s="56"/>
      <c r="AA346" s="56"/>
      <c r="AB346" s="56"/>
      <c r="AC346" s="56"/>
      <c r="AD346" s="56"/>
      <c r="AE346" s="56"/>
      <c r="AF346" s="56"/>
      <c r="AG346" s="155"/>
      <c r="AH346" s="56"/>
      <c r="AI346" s="56"/>
      <c r="AJ346" s="56"/>
      <c r="AK346" s="155"/>
      <c r="AL346" s="56"/>
      <c r="AM346" s="56"/>
      <c r="AN346" s="56"/>
    </row>
    <row r="347" spans="1:40" x14ac:dyDescent="0.25">
      <c r="A347" s="53"/>
      <c r="C347" s="54"/>
      <c r="D347" s="54"/>
      <c r="E347" s="54"/>
      <c r="T347" s="54"/>
      <c r="U347" s="54"/>
    </row>
    <row r="349" spans="1:40" x14ac:dyDescent="0.25">
      <c r="A349" s="53"/>
      <c r="C349" s="54"/>
      <c r="T349" s="54"/>
    </row>
    <row r="350" spans="1:40" x14ac:dyDescent="0.25">
      <c r="A350" s="53"/>
      <c r="C350" s="54"/>
      <c r="F350" s="449"/>
      <c r="H350" s="449"/>
      <c r="I350" s="449"/>
      <c r="J350" s="464"/>
      <c r="K350" s="464"/>
      <c r="L350" s="379"/>
      <c r="M350" s="379"/>
      <c r="N350" s="50"/>
      <c r="O350" s="50"/>
      <c r="P350" s="379"/>
      <c r="Q350" s="379"/>
      <c r="R350" s="379"/>
      <c r="T350" s="54"/>
      <c r="V350" s="449"/>
      <c r="Y350" s="449"/>
      <c r="Z350" s="464"/>
      <c r="AA350" s="379"/>
      <c r="AB350" s="379"/>
      <c r="AC350" s="50"/>
      <c r="AD350" s="50"/>
      <c r="AE350" s="379"/>
      <c r="AF350" s="379"/>
      <c r="AG350" s="156"/>
      <c r="AH350" s="60"/>
      <c r="AI350" s="379"/>
      <c r="AJ350" s="379"/>
      <c r="AK350" s="156"/>
      <c r="AL350" s="379"/>
      <c r="AM350" s="50"/>
      <c r="AN350" s="50"/>
    </row>
    <row r="351" spans="1:40" x14ac:dyDescent="0.25">
      <c r="A351" s="53"/>
      <c r="C351" s="54"/>
      <c r="T351" s="54"/>
    </row>
    <row r="352" spans="1:40" x14ac:dyDescent="0.25">
      <c r="A352" s="53"/>
      <c r="C352" s="54"/>
      <c r="F352" s="449"/>
      <c r="H352" s="449"/>
      <c r="I352" s="449"/>
      <c r="J352" s="221"/>
      <c r="K352" s="221"/>
      <c r="L352" s="379"/>
      <c r="M352" s="379"/>
      <c r="N352" s="50"/>
      <c r="O352" s="50"/>
      <c r="P352" s="379"/>
      <c r="Q352" s="379"/>
      <c r="R352" s="379"/>
      <c r="T352" s="54"/>
      <c r="V352" s="379"/>
      <c r="Y352" s="379"/>
      <c r="Z352" s="221"/>
      <c r="AA352" s="379"/>
      <c r="AB352" s="379"/>
      <c r="AC352" s="50"/>
      <c r="AD352" s="50"/>
      <c r="AE352" s="379"/>
      <c r="AF352" s="379"/>
      <c r="AG352" s="156"/>
      <c r="AH352" s="60"/>
      <c r="AI352" s="379"/>
      <c r="AJ352" s="379"/>
      <c r="AK352" s="156"/>
      <c r="AL352" s="379"/>
      <c r="AM352" s="50"/>
      <c r="AN352" s="50"/>
    </row>
    <row r="353" spans="1:40" x14ac:dyDescent="0.25">
      <c r="A353" s="53"/>
      <c r="C353" s="54"/>
      <c r="F353" s="449"/>
      <c r="H353" s="449"/>
      <c r="I353" s="449"/>
      <c r="J353" s="221"/>
      <c r="K353" s="221"/>
      <c r="L353" s="379"/>
      <c r="M353" s="379"/>
      <c r="N353" s="50"/>
      <c r="O353" s="50"/>
      <c r="P353" s="379"/>
      <c r="Q353" s="379"/>
      <c r="R353" s="379"/>
      <c r="T353" s="54"/>
      <c r="V353" s="379"/>
      <c r="Y353" s="379"/>
      <c r="Z353" s="221"/>
      <c r="AA353" s="379"/>
      <c r="AB353" s="379"/>
      <c r="AC353" s="50"/>
      <c r="AD353" s="50"/>
      <c r="AE353" s="379"/>
      <c r="AF353" s="379"/>
      <c r="AG353" s="156"/>
      <c r="AH353" s="60"/>
      <c r="AI353" s="379"/>
      <c r="AJ353" s="379"/>
      <c r="AK353" s="156"/>
      <c r="AL353" s="379"/>
      <c r="AM353" s="50"/>
      <c r="AN353" s="50"/>
    </row>
    <row r="354" spans="1:40" x14ac:dyDescent="0.25">
      <c r="A354" s="53"/>
      <c r="C354" s="54"/>
      <c r="F354" s="449"/>
      <c r="H354" s="449"/>
      <c r="I354" s="449"/>
      <c r="J354" s="221"/>
      <c r="K354" s="221"/>
      <c r="L354" s="379"/>
      <c r="M354" s="379"/>
      <c r="N354" s="50"/>
      <c r="O354" s="50"/>
      <c r="P354" s="379"/>
      <c r="Q354" s="379"/>
      <c r="R354" s="379"/>
      <c r="T354" s="54"/>
      <c r="V354" s="379"/>
      <c r="Y354" s="379"/>
      <c r="Z354" s="221"/>
      <c r="AA354" s="379"/>
      <c r="AB354" s="379"/>
      <c r="AC354" s="50"/>
      <c r="AD354" s="50"/>
      <c r="AE354" s="379"/>
      <c r="AF354" s="379"/>
      <c r="AG354" s="156"/>
      <c r="AH354" s="60"/>
      <c r="AI354" s="379"/>
      <c r="AJ354" s="379"/>
      <c r="AK354" s="156"/>
      <c r="AL354" s="379"/>
      <c r="AM354" s="50"/>
      <c r="AN354" s="50"/>
    </row>
    <row r="355" spans="1:40" x14ac:dyDescent="0.25">
      <c r="A355" s="53"/>
      <c r="C355" s="54"/>
      <c r="F355" s="449"/>
      <c r="H355" s="449"/>
      <c r="I355" s="449"/>
      <c r="J355" s="221"/>
      <c r="K355" s="221"/>
      <c r="L355" s="379"/>
      <c r="M355" s="379"/>
      <c r="N355" s="50"/>
      <c r="O355" s="50"/>
      <c r="P355" s="379"/>
      <c r="Q355" s="379"/>
      <c r="R355" s="379"/>
      <c r="T355" s="54"/>
      <c r="V355" s="379"/>
      <c r="Y355" s="379"/>
      <c r="Z355" s="221"/>
      <c r="AA355" s="379"/>
      <c r="AB355" s="379"/>
      <c r="AC355" s="50"/>
      <c r="AD355" s="50"/>
      <c r="AE355" s="379"/>
      <c r="AF355" s="379"/>
      <c r="AG355" s="156"/>
      <c r="AH355" s="60"/>
      <c r="AI355" s="379"/>
      <c r="AJ355" s="379"/>
      <c r="AK355" s="156"/>
      <c r="AL355" s="379"/>
      <c r="AM355" s="50"/>
      <c r="AN355" s="50"/>
    </row>
    <row r="356" spans="1:40" x14ac:dyDescent="0.25">
      <c r="A356" s="53"/>
      <c r="C356" s="54"/>
      <c r="J356" s="65"/>
      <c r="K356" s="65"/>
      <c r="T356" s="54"/>
      <c r="Z356" s="65"/>
    </row>
    <row r="357" spans="1:40" x14ac:dyDescent="0.25">
      <c r="A357" s="53"/>
      <c r="C357" s="54"/>
      <c r="F357" s="449"/>
      <c r="H357" s="449"/>
      <c r="I357" s="449"/>
      <c r="J357" s="221"/>
      <c r="K357" s="221"/>
      <c r="L357" s="379"/>
      <c r="M357" s="379"/>
      <c r="N357" s="50"/>
      <c r="O357" s="50"/>
      <c r="P357" s="379"/>
      <c r="Q357" s="379"/>
      <c r="R357" s="379"/>
      <c r="T357" s="54"/>
      <c r="V357" s="379"/>
      <c r="Y357" s="379"/>
      <c r="Z357" s="221"/>
      <c r="AA357" s="379"/>
      <c r="AB357" s="379"/>
      <c r="AC357" s="50"/>
      <c r="AD357" s="50"/>
      <c r="AE357" s="379"/>
      <c r="AF357" s="379"/>
      <c r="AG357" s="156"/>
      <c r="AH357" s="60"/>
      <c r="AI357" s="379"/>
      <c r="AJ357" s="379"/>
      <c r="AK357" s="156"/>
      <c r="AL357" s="379"/>
      <c r="AM357" s="50"/>
      <c r="AN357" s="50"/>
    </row>
    <row r="358" spans="1:40" x14ac:dyDescent="0.25">
      <c r="A358" s="53"/>
      <c r="C358" s="54"/>
      <c r="F358" s="449"/>
      <c r="H358" s="449"/>
      <c r="I358" s="449"/>
      <c r="J358" s="221"/>
      <c r="K358" s="221"/>
      <c r="L358" s="379"/>
      <c r="M358" s="379"/>
      <c r="N358" s="50"/>
      <c r="O358" s="50"/>
      <c r="P358" s="379"/>
      <c r="Q358" s="379"/>
      <c r="R358" s="379"/>
      <c r="T358" s="54"/>
      <c r="V358" s="379"/>
      <c r="Y358" s="379"/>
      <c r="Z358" s="221"/>
      <c r="AA358" s="379"/>
      <c r="AB358" s="379"/>
      <c r="AC358" s="50"/>
      <c r="AD358" s="50"/>
      <c r="AE358" s="379"/>
      <c r="AF358" s="379"/>
      <c r="AG358" s="156"/>
      <c r="AH358" s="60"/>
      <c r="AI358" s="379"/>
      <c r="AJ358" s="379"/>
      <c r="AK358" s="156"/>
      <c r="AL358" s="379"/>
      <c r="AM358" s="50"/>
      <c r="AN358" s="50"/>
    </row>
    <row r="359" spans="1:40" x14ac:dyDescent="0.25">
      <c r="A359" s="53"/>
      <c r="C359" s="54"/>
      <c r="F359" s="449"/>
      <c r="H359" s="449"/>
      <c r="I359" s="449"/>
      <c r="J359" s="221"/>
      <c r="K359" s="221"/>
      <c r="L359" s="379"/>
      <c r="M359" s="379"/>
      <c r="N359" s="50"/>
      <c r="O359" s="50"/>
      <c r="P359" s="379"/>
      <c r="Q359" s="379"/>
      <c r="R359" s="379"/>
      <c r="T359" s="54"/>
      <c r="V359" s="379"/>
      <c r="Y359" s="379"/>
      <c r="Z359" s="221"/>
      <c r="AA359" s="379"/>
      <c r="AB359" s="379"/>
      <c r="AC359" s="50"/>
      <c r="AD359" s="50"/>
      <c r="AE359" s="379"/>
      <c r="AF359" s="379"/>
      <c r="AG359" s="156"/>
      <c r="AH359" s="60"/>
      <c r="AI359" s="379"/>
      <c r="AJ359" s="379"/>
      <c r="AK359" s="156"/>
      <c r="AL359" s="379"/>
      <c r="AM359" s="50"/>
      <c r="AN359" s="50"/>
    </row>
    <row r="360" spans="1:40" x14ac:dyDescent="0.25">
      <c r="A360" s="53"/>
      <c r="C360" s="54"/>
      <c r="J360" s="65"/>
      <c r="K360" s="65"/>
      <c r="T360" s="54"/>
      <c r="Z360" s="65"/>
    </row>
    <row r="361" spans="1:40" x14ac:dyDescent="0.25">
      <c r="A361" s="53"/>
      <c r="C361" s="54"/>
      <c r="F361" s="449"/>
      <c r="H361" s="449"/>
      <c r="I361" s="449"/>
      <c r="J361" s="221"/>
      <c r="K361" s="221"/>
      <c r="L361" s="379"/>
      <c r="M361" s="379"/>
      <c r="N361" s="50"/>
      <c r="O361" s="50"/>
      <c r="P361" s="379"/>
      <c r="Q361" s="379"/>
      <c r="R361" s="379"/>
      <c r="T361" s="54"/>
      <c r="V361" s="379"/>
      <c r="Y361" s="379"/>
      <c r="Z361" s="221"/>
      <c r="AA361" s="379"/>
      <c r="AB361" s="379"/>
      <c r="AC361" s="50"/>
      <c r="AD361" s="50"/>
      <c r="AE361" s="379"/>
      <c r="AF361" s="379"/>
      <c r="AG361" s="156"/>
      <c r="AH361" s="60"/>
      <c r="AI361" s="379"/>
      <c r="AJ361" s="379"/>
      <c r="AK361" s="156"/>
      <c r="AL361" s="379"/>
      <c r="AM361" s="50"/>
      <c r="AN361" s="50"/>
    </row>
    <row r="362" spans="1:40" x14ac:dyDescent="0.25">
      <c r="A362" s="53"/>
      <c r="C362" s="54"/>
      <c r="F362" s="449"/>
      <c r="H362" s="449"/>
      <c r="I362" s="449"/>
      <c r="J362" s="221"/>
      <c r="K362" s="221"/>
      <c r="L362" s="379"/>
      <c r="M362" s="379"/>
      <c r="N362" s="50"/>
      <c r="O362" s="50"/>
      <c r="P362" s="379"/>
      <c r="Q362" s="379"/>
      <c r="R362" s="379"/>
      <c r="T362" s="54"/>
      <c r="V362" s="379"/>
      <c r="Y362" s="379"/>
      <c r="Z362" s="221"/>
      <c r="AA362" s="379"/>
      <c r="AB362" s="379"/>
      <c r="AC362" s="50"/>
      <c r="AD362" s="50"/>
      <c r="AE362" s="379"/>
      <c r="AF362" s="379"/>
      <c r="AG362" s="156"/>
      <c r="AH362" s="60"/>
      <c r="AI362" s="379"/>
      <c r="AJ362" s="379"/>
      <c r="AK362" s="156"/>
      <c r="AL362" s="379"/>
      <c r="AM362" s="50"/>
      <c r="AN362" s="50"/>
    </row>
    <row r="363" spans="1:40" x14ac:dyDescent="0.25">
      <c r="A363" s="53"/>
      <c r="C363" s="54"/>
      <c r="J363" s="65"/>
      <c r="K363" s="65"/>
      <c r="T363" s="54"/>
      <c r="Z363" s="65"/>
    </row>
    <row r="364" spans="1:40" x14ac:dyDescent="0.25">
      <c r="A364" s="53"/>
      <c r="C364" s="54"/>
      <c r="F364" s="449"/>
      <c r="H364" s="449"/>
      <c r="I364" s="449"/>
      <c r="J364" s="221"/>
      <c r="K364" s="221"/>
      <c r="L364" s="379"/>
      <c r="M364" s="379"/>
      <c r="N364" s="50"/>
      <c r="O364" s="50"/>
      <c r="P364" s="379"/>
      <c r="Q364" s="379"/>
      <c r="R364" s="379"/>
      <c r="T364" s="54"/>
      <c r="V364" s="379"/>
      <c r="Y364" s="379"/>
      <c r="Z364" s="221"/>
      <c r="AA364" s="379"/>
      <c r="AB364" s="379"/>
      <c r="AC364" s="50"/>
      <c r="AD364" s="50"/>
      <c r="AE364" s="379"/>
      <c r="AF364" s="379"/>
      <c r="AG364" s="156"/>
      <c r="AH364" s="60"/>
      <c r="AI364" s="379"/>
      <c r="AJ364" s="379"/>
      <c r="AK364" s="156"/>
      <c r="AL364" s="379"/>
      <c r="AM364" s="50"/>
      <c r="AN364" s="50"/>
    </row>
    <row r="365" spans="1:40" x14ac:dyDescent="0.25">
      <c r="A365" s="53"/>
      <c r="C365" s="54"/>
      <c r="F365" s="449"/>
      <c r="H365" s="449"/>
      <c r="I365" s="449"/>
      <c r="J365" s="221"/>
      <c r="K365" s="221"/>
      <c r="L365" s="379"/>
      <c r="M365" s="379"/>
      <c r="N365" s="50"/>
      <c r="O365" s="50"/>
      <c r="P365" s="379"/>
      <c r="Q365" s="379"/>
      <c r="R365" s="379"/>
      <c r="T365" s="54"/>
      <c r="V365" s="379"/>
      <c r="Y365" s="379"/>
      <c r="Z365" s="221"/>
      <c r="AA365" s="379"/>
      <c r="AB365" s="379"/>
      <c r="AC365" s="50"/>
      <c r="AD365" s="50"/>
      <c r="AE365" s="379"/>
      <c r="AF365" s="379"/>
      <c r="AG365" s="156"/>
      <c r="AH365" s="60"/>
      <c r="AI365" s="379"/>
      <c r="AJ365" s="379"/>
      <c r="AK365" s="156"/>
      <c r="AL365" s="379"/>
      <c r="AM365" s="50"/>
      <c r="AN365" s="50"/>
    </row>
    <row r="366" spans="1:40" x14ac:dyDescent="0.25">
      <c r="A366" s="53"/>
      <c r="C366" s="54"/>
      <c r="F366" s="449"/>
      <c r="H366" s="449"/>
      <c r="I366" s="449"/>
      <c r="J366" s="221"/>
      <c r="K366" s="221"/>
      <c r="L366" s="379"/>
      <c r="M366" s="379"/>
      <c r="N366" s="50"/>
      <c r="O366" s="50"/>
      <c r="P366" s="379"/>
      <c r="Q366" s="379"/>
      <c r="R366" s="379"/>
      <c r="T366" s="54"/>
      <c r="V366" s="379"/>
      <c r="Y366" s="379"/>
      <c r="Z366" s="221"/>
      <c r="AA366" s="379"/>
      <c r="AB366" s="379"/>
      <c r="AC366" s="50"/>
      <c r="AD366" s="50"/>
      <c r="AE366" s="379"/>
      <c r="AF366" s="379"/>
      <c r="AG366" s="156"/>
      <c r="AH366" s="60"/>
      <c r="AI366" s="379"/>
      <c r="AJ366" s="379"/>
      <c r="AK366" s="156"/>
      <c r="AL366" s="379"/>
      <c r="AM366" s="50"/>
      <c r="AN366" s="50"/>
    </row>
    <row r="367" spans="1:40" x14ac:dyDescent="0.25">
      <c r="F367" s="381"/>
      <c r="H367" s="381"/>
      <c r="I367" s="381"/>
      <c r="J367" s="221"/>
      <c r="K367" s="221"/>
      <c r="L367" s="381"/>
      <c r="M367" s="381"/>
      <c r="N367" s="381"/>
      <c r="O367" s="381"/>
      <c r="P367" s="381"/>
      <c r="Q367" s="381"/>
      <c r="R367" s="381"/>
      <c r="V367" s="381"/>
      <c r="Y367" s="381"/>
      <c r="Z367" s="221"/>
      <c r="AA367" s="381"/>
      <c r="AB367" s="381"/>
      <c r="AC367" s="381"/>
      <c r="AD367" s="381"/>
      <c r="AE367" s="381"/>
      <c r="AF367" s="381"/>
      <c r="AI367" s="381"/>
      <c r="AJ367" s="381"/>
      <c r="AK367" s="162"/>
      <c r="AL367" s="381"/>
    </row>
    <row r="368" spans="1:40" x14ac:dyDescent="0.25">
      <c r="A368" s="53"/>
      <c r="C368" s="56"/>
      <c r="F368" s="379"/>
      <c r="H368" s="379"/>
      <c r="I368" s="379"/>
      <c r="J368" s="65"/>
      <c r="K368" s="65"/>
      <c r="L368" s="379"/>
      <c r="M368" s="379"/>
      <c r="N368" s="60"/>
      <c r="O368" s="60"/>
      <c r="P368" s="379"/>
      <c r="Q368" s="379"/>
      <c r="R368" s="379"/>
      <c r="T368" s="56"/>
      <c r="V368" s="379"/>
      <c r="Y368" s="379"/>
      <c r="Z368" s="65"/>
      <c r="AA368" s="379"/>
      <c r="AB368" s="379"/>
      <c r="AC368" s="379"/>
      <c r="AD368" s="379"/>
      <c r="AE368" s="379"/>
      <c r="AF368" s="379"/>
      <c r="AG368" s="156"/>
      <c r="AH368" s="60"/>
      <c r="AI368" s="379"/>
      <c r="AJ368" s="379"/>
      <c r="AK368" s="156"/>
      <c r="AL368" s="379"/>
      <c r="AM368" s="50"/>
      <c r="AN368" s="50"/>
    </row>
    <row r="369" spans="1:40" x14ac:dyDescent="0.25">
      <c r="F369" s="381"/>
      <c r="H369" s="381"/>
      <c r="I369" s="381"/>
      <c r="J369" s="221"/>
      <c r="K369" s="221"/>
      <c r="L369" s="381"/>
      <c r="M369" s="381"/>
      <c r="N369" s="381"/>
      <c r="O369" s="381"/>
      <c r="P369" s="381"/>
      <c r="Q369" s="381"/>
      <c r="R369" s="381"/>
      <c r="V369" s="381"/>
      <c r="Y369" s="381"/>
      <c r="Z369" s="221"/>
      <c r="AA369" s="381"/>
      <c r="AB369" s="381"/>
      <c r="AC369" s="381"/>
      <c r="AD369" s="381"/>
      <c r="AE369" s="381"/>
      <c r="AF369" s="381"/>
      <c r="AI369" s="381"/>
      <c r="AJ369" s="381"/>
      <c r="AK369" s="162"/>
      <c r="AL369" s="381"/>
    </row>
    <row r="370" spans="1:40" x14ac:dyDescent="0.25">
      <c r="A370" s="53"/>
      <c r="C370" s="54"/>
      <c r="J370" s="65"/>
      <c r="K370" s="65"/>
      <c r="T370" s="54"/>
      <c r="Z370" s="65"/>
    </row>
    <row r="371" spans="1:40" x14ac:dyDescent="0.25">
      <c r="A371" s="53"/>
      <c r="C371" s="54"/>
      <c r="J371" s="65"/>
      <c r="K371" s="65"/>
      <c r="T371" s="54"/>
      <c r="Z371" s="65"/>
    </row>
    <row r="372" spans="1:40" x14ac:dyDescent="0.25">
      <c r="A372" s="53"/>
      <c r="C372" s="54"/>
      <c r="F372" s="449"/>
      <c r="H372" s="449"/>
      <c r="I372" s="449"/>
      <c r="J372" s="221"/>
      <c r="K372" s="221"/>
      <c r="L372" s="379"/>
      <c r="M372" s="379"/>
      <c r="N372" s="50"/>
      <c r="O372" s="50"/>
      <c r="P372" s="379"/>
      <c r="Q372" s="379"/>
      <c r="R372" s="379"/>
      <c r="T372" s="54"/>
      <c r="V372" s="379"/>
      <c r="Y372" s="379"/>
      <c r="Z372" s="221"/>
      <c r="AA372" s="379"/>
      <c r="AB372" s="379"/>
      <c r="AC372" s="50"/>
      <c r="AD372" s="50"/>
      <c r="AE372" s="379"/>
      <c r="AF372" s="379"/>
      <c r="AG372" s="156"/>
      <c r="AH372" s="60"/>
      <c r="AI372" s="379"/>
      <c r="AJ372" s="379"/>
      <c r="AK372" s="156"/>
      <c r="AL372" s="379"/>
      <c r="AM372" s="50"/>
      <c r="AN372" s="50"/>
    </row>
    <row r="373" spans="1:40" x14ac:dyDescent="0.25">
      <c r="A373" s="53"/>
      <c r="C373" s="54"/>
      <c r="F373" s="449"/>
      <c r="H373" s="449"/>
      <c r="I373" s="449"/>
      <c r="J373" s="221"/>
      <c r="K373" s="221"/>
      <c r="L373" s="379"/>
      <c r="M373" s="379"/>
      <c r="N373" s="50"/>
      <c r="O373" s="50"/>
      <c r="P373" s="379"/>
      <c r="Q373" s="379"/>
      <c r="R373" s="379"/>
      <c r="T373" s="54"/>
      <c r="V373" s="379"/>
      <c r="Y373" s="379"/>
      <c r="Z373" s="221"/>
      <c r="AA373" s="379"/>
      <c r="AB373" s="379"/>
      <c r="AC373" s="50"/>
      <c r="AD373" s="50"/>
      <c r="AE373" s="379"/>
      <c r="AF373" s="379"/>
      <c r="AG373" s="156"/>
      <c r="AH373" s="60"/>
      <c r="AI373" s="379"/>
      <c r="AJ373" s="379"/>
      <c r="AK373" s="156"/>
      <c r="AL373" s="379"/>
      <c r="AM373" s="50"/>
      <c r="AN373" s="50"/>
    </row>
    <row r="374" spans="1:40" x14ac:dyDescent="0.25">
      <c r="A374" s="53"/>
      <c r="C374" s="54"/>
      <c r="F374" s="449"/>
      <c r="H374" s="449"/>
      <c r="I374" s="449"/>
      <c r="J374" s="221"/>
      <c r="K374" s="221"/>
      <c r="L374" s="379"/>
      <c r="M374" s="379"/>
      <c r="N374" s="50"/>
      <c r="O374" s="50"/>
      <c r="P374" s="379"/>
      <c r="Q374" s="379"/>
      <c r="R374" s="379"/>
      <c r="T374" s="54"/>
      <c r="V374" s="379"/>
      <c r="Y374" s="379"/>
      <c r="Z374" s="221"/>
      <c r="AA374" s="379"/>
      <c r="AB374" s="379"/>
      <c r="AC374" s="50"/>
      <c r="AD374" s="50"/>
      <c r="AE374" s="379"/>
      <c r="AF374" s="379"/>
      <c r="AG374" s="156"/>
      <c r="AH374" s="60"/>
      <c r="AI374" s="379"/>
      <c r="AJ374" s="379"/>
      <c r="AK374" s="156"/>
      <c r="AL374" s="379"/>
      <c r="AM374" s="50"/>
      <c r="AN374" s="50"/>
    </row>
    <row r="375" spans="1:40" x14ac:dyDescent="0.25">
      <c r="A375" s="53"/>
      <c r="C375" s="54"/>
      <c r="F375" s="449"/>
      <c r="H375" s="449"/>
      <c r="I375" s="449"/>
      <c r="J375" s="221"/>
      <c r="K375" s="221"/>
      <c r="L375" s="379"/>
      <c r="M375" s="379"/>
      <c r="N375" s="50"/>
      <c r="O375" s="50"/>
      <c r="P375" s="379"/>
      <c r="Q375" s="379"/>
      <c r="R375" s="379"/>
      <c r="T375" s="54"/>
      <c r="V375" s="379"/>
      <c r="Y375" s="379"/>
      <c r="Z375" s="221"/>
      <c r="AA375" s="379"/>
      <c r="AB375" s="379"/>
      <c r="AC375" s="50"/>
      <c r="AD375" s="50"/>
      <c r="AE375" s="379"/>
      <c r="AF375" s="379"/>
      <c r="AG375" s="156"/>
      <c r="AH375" s="60"/>
      <c r="AI375" s="379"/>
      <c r="AJ375" s="379"/>
      <c r="AK375" s="156"/>
      <c r="AL375" s="379"/>
      <c r="AM375" s="50"/>
      <c r="AN375" s="50"/>
    </row>
    <row r="376" spans="1:40" x14ac:dyDescent="0.25">
      <c r="A376" s="53"/>
      <c r="C376" s="54"/>
      <c r="F376" s="449"/>
      <c r="H376" s="449"/>
      <c r="I376" s="449"/>
      <c r="J376" s="221"/>
      <c r="K376" s="221"/>
      <c r="L376" s="379"/>
      <c r="M376" s="379"/>
      <c r="N376" s="50"/>
      <c r="O376" s="50"/>
      <c r="P376" s="379"/>
      <c r="Q376" s="379"/>
      <c r="R376" s="379"/>
      <c r="T376" s="54"/>
      <c r="V376" s="379"/>
      <c r="Y376" s="379"/>
      <c r="Z376" s="221"/>
      <c r="AA376" s="379"/>
      <c r="AB376" s="379"/>
      <c r="AC376" s="50"/>
      <c r="AD376" s="50"/>
      <c r="AE376" s="379"/>
      <c r="AF376" s="379"/>
      <c r="AG376" s="156"/>
      <c r="AH376" s="60"/>
      <c r="AI376" s="379"/>
      <c r="AJ376" s="379"/>
      <c r="AK376" s="156"/>
      <c r="AL376" s="379"/>
      <c r="AM376" s="50"/>
      <c r="AN376" s="50"/>
    </row>
    <row r="377" spans="1:40" x14ac:dyDescent="0.25">
      <c r="A377" s="53"/>
      <c r="C377" s="54"/>
      <c r="F377" s="449"/>
      <c r="H377" s="449"/>
      <c r="I377" s="449"/>
      <c r="J377" s="221"/>
      <c r="K377" s="221"/>
      <c r="L377" s="379"/>
      <c r="M377" s="379"/>
      <c r="N377" s="50"/>
      <c r="O377" s="50"/>
      <c r="P377" s="379"/>
      <c r="Q377" s="379"/>
      <c r="R377" s="379"/>
      <c r="T377" s="54"/>
      <c r="V377" s="379"/>
      <c r="Y377" s="379"/>
      <c r="Z377" s="221"/>
      <c r="AA377" s="379"/>
      <c r="AB377" s="379"/>
      <c r="AC377" s="50"/>
      <c r="AD377" s="50"/>
      <c r="AE377" s="379"/>
      <c r="AF377" s="379"/>
      <c r="AG377" s="156"/>
      <c r="AH377" s="60"/>
      <c r="AI377" s="379"/>
      <c r="AJ377" s="379"/>
      <c r="AK377" s="156"/>
      <c r="AL377" s="379"/>
      <c r="AM377" s="50"/>
      <c r="AN377" s="50"/>
    </row>
    <row r="378" spans="1:40" x14ac:dyDescent="0.25">
      <c r="A378" s="53"/>
      <c r="C378" s="54"/>
      <c r="F378" s="449"/>
      <c r="H378" s="449"/>
      <c r="I378" s="449"/>
      <c r="J378" s="221"/>
      <c r="K378" s="221"/>
      <c r="L378" s="379"/>
      <c r="M378" s="379"/>
      <c r="N378" s="50"/>
      <c r="O378" s="50"/>
      <c r="P378" s="379"/>
      <c r="Q378" s="379"/>
      <c r="R378" s="379"/>
      <c r="T378" s="54"/>
      <c r="V378" s="379"/>
      <c r="Y378" s="379"/>
      <c r="Z378" s="221"/>
      <c r="AA378" s="379"/>
      <c r="AB378" s="379"/>
      <c r="AC378" s="50"/>
      <c r="AD378" s="50"/>
      <c r="AE378" s="379"/>
      <c r="AF378" s="379"/>
      <c r="AG378" s="156"/>
      <c r="AH378" s="60"/>
      <c r="AI378" s="379"/>
      <c r="AJ378" s="379"/>
      <c r="AK378" s="156"/>
      <c r="AL378" s="379"/>
      <c r="AM378" s="50"/>
      <c r="AN378" s="50"/>
    </row>
    <row r="379" spans="1:40" x14ac:dyDescent="0.25">
      <c r="A379" s="53"/>
      <c r="C379" s="54"/>
      <c r="J379" s="65"/>
      <c r="K379" s="65"/>
      <c r="T379" s="54"/>
      <c r="Z379" s="65"/>
    </row>
    <row r="380" spans="1:40" x14ac:dyDescent="0.25">
      <c r="A380" s="53"/>
      <c r="C380" s="54"/>
      <c r="F380" s="449"/>
      <c r="H380" s="449"/>
      <c r="I380" s="449"/>
      <c r="J380" s="221"/>
      <c r="K380" s="221"/>
      <c r="L380" s="379"/>
      <c r="M380" s="379"/>
      <c r="N380" s="50"/>
      <c r="O380" s="50"/>
      <c r="P380" s="379"/>
      <c r="Q380" s="379"/>
      <c r="R380" s="379"/>
      <c r="T380" s="54"/>
      <c r="V380" s="379"/>
      <c r="Y380" s="379"/>
      <c r="Z380" s="221"/>
      <c r="AA380" s="379"/>
      <c r="AB380" s="379"/>
      <c r="AC380" s="50"/>
      <c r="AD380" s="50"/>
      <c r="AE380" s="379"/>
      <c r="AF380" s="379"/>
      <c r="AG380" s="156"/>
      <c r="AH380" s="60"/>
      <c r="AI380" s="379"/>
      <c r="AJ380" s="379"/>
      <c r="AK380" s="156"/>
      <c r="AL380" s="379"/>
      <c r="AM380" s="50"/>
      <c r="AN380" s="50"/>
    </row>
    <row r="381" spans="1:40" x14ac:dyDescent="0.25">
      <c r="A381" s="53"/>
      <c r="C381" s="54"/>
      <c r="F381" s="449"/>
      <c r="H381" s="449"/>
      <c r="I381" s="449"/>
      <c r="J381" s="221"/>
      <c r="K381" s="221"/>
      <c r="L381" s="379"/>
      <c r="M381" s="379"/>
      <c r="N381" s="50"/>
      <c r="O381" s="50"/>
      <c r="P381" s="379"/>
      <c r="Q381" s="379"/>
      <c r="R381" s="379"/>
      <c r="T381" s="54"/>
      <c r="V381" s="379"/>
      <c r="Y381" s="379"/>
      <c r="Z381" s="221"/>
      <c r="AA381" s="379"/>
      <c r="AB381" s="379"/>
      <c r="AC381" s="50"/>
      <c r="AD381" s="50"/>
      <c r="AE381" s="379"/>
      <c r="AF381" s="379"/>
      <c r="AG381" s="156"/>
      <c r="AH381" s="60"/>
      <c r="AI381" s="379"/>
      <c r="AJ381" s="379"/>
      <c r="AK381" s="156"/>
      <c r="AL381" s="379"/>
      <c r="AM381" s="50"/>
      <c r="AN381" s="50"/>
    </row>
    <row r="382" spans="1:40" x14ac:dyDescent="0.25">
      <c r="A382" s="53"/>
      <c r="C382" s="54"/>
      <c r="F382" s="449"/>
      <c r="H382" s="449"/>
      <c r="I382" s="449"/>
      <c r="J382" s="221"/>
      <c r="K382" s="221"/>
      <c r="L382" s="379"/>
      <c r="M382" s="379"/>
      <c r="N382" s="50"/>
      <c r="O382" s="50"/>
      <c r="P382" s="379"/>
      <c r="Q382" s="379"/>
      <c r="R382" s="379"/>
      <c r="T382" s="54"/>
      <c r="V382" s="379"/>
      <c r="Y382" s="379"/>
      <c r="Z382" s="221"/>
      <c r="AA382" s="379"/>
      <c r="AB382" s="379"/>
      <c r="AC382" s="50"/>
      <c r="AD382" s="50"/>
      <c r="AE382" s="379"/>
      <c r="AF382" s="379"/>
      <c r="AG382" s="156"/>
      <c r="AH382" s="60"/>
      <c r="AI382" s="379"/>
      <c r="AJ382" s="379"/>
      <c r="AK382" s="156"/>
      <c r="AL382" s="379"/>
      <c r="AM382" s="50"/>
      <c r="AN382" s="50"/>
    </row>
    <row r="383" spans="1:40" x14ac:dyDescent="0.25">
      <c r="A383" s="53"/>
      <c r="C383" s="54"/>
      <c r="F383" s="449"/>
      <c r="H383" s="449"/>
      <c r="I383" s="449"/>
      <c r="J383" s="221"/>
      <c r="K383" s="221"/>
      <c r="L383" s="379"/>
      <c r="M383" s="379"/>
      <c r="N383" s="50"/>
      <c r="O383" s="50"/>
      <c r="P383" s="379"/>
      <c r="Q383" s="379"/>
      <c r="R383" s="379"/>
      <c r="T383" s="54"/>
      <c r="V383" s="379"/>
      <c r="Y383" s="379"/>
      <c r="Z383" s="221"/>
      <c r="AA383" s="379"/>
      <c r="AB383" s="379"/>
      <c r="AC383" s="50"/>
      <c r="AD383" s="50"/>
      <c r="AE383" s="379"/>
      <c r="AF383" s="379"/>
      <c r="AG383" s="156"/>
      <c r="AH383" s="60"/>
      <c r="AI383" s="379"/>
      <c r="AJ383" s="379"/>
      <c r="AK383" s="156"/>
      <c r="AL383" s="379"/>
      <c r="AM383" s="50"/>
      <c r="AN383" s="50"/>
    </row>
    <row r="384" spans="1:40" x14ac:dyDescent="0.25">
      <c r="A384" s="53"/>
      <c r="C384" s="54"/>
      <c r="J384" s="65"/>
      <c r="K384" s="65"/>
      <c r="T384" s="54"/>
      <c r="Z384" s="65"/>
    </row>
    <row r="385" spans="1:40" x14ac:dyDescent="0.25">
      <c r="A385" s="53"/>
      <c r="C385" s="54"/>
      <c r="F385" s="449"/>
      <c r="H385" s="449"/>
      <c r="I385" s="449"/>
      <c r="J385" s="221"/>
      <c r="K385" s="221"/>
      <c r="L385" s="379"/>
      <c r="M385" s="379"/>
      <c r="N385" s="50"/>
      <c r="O385" s="50"/>
      <c r="P385" s="379"/>
      <c r="Q385" s="379"/>
      <c r="R385" s="379"/>
      <c r="T385" s="54"/>
      <c r="V385" s="379"/>
      <c r="Y385" s="379"/>
      <c r="Z385" s="221"/>
      <c r="AA385" s="379"/>
      <c r="AB385" s="379"/>
      <c r="AC385" s="50"/>
      <c r="AD385" s="50"/>
      <c r="AE385" s="379"/>
      <c r="AF385" s="379"/>
      <c r="AG385" s="156"/>
      <c r="AH385" s="60"/>
      <c r="AI385" s="379"/>
      <c r="AJ385" s="379"/>
      <c r="AK385" s="156"/>
      <c r="AL385" s="379"/>
      <c r="AM385" s="50"/>
      <c r="AN385" s="50"/>
    </row>
    <row r="386" spans="1:40" x14ac:dyDescent="0.25">
      <c r="A386" s="53"/>
      <c r="C386" s="54"/>
      <c r="F386" s="449"/>
      <c r="H386" s="449"/>
      <c r="I386" s="449"/>
      <c r="J386" s="221"/>
      <c r="K386" s="221"/>
      <c r="L386" s="379"/>
      <c r="M386" s="379"/>
      <c r="N386" s="50"/>
      <c r="O386" s="50"/>
      <c r="P386" s="379"/>
      <c r="Q386" s="379"/>
      <c r="R386" s="379"/>
      <c r="T386" s="54"/>
      <c r="V386" s="379"/>
      <c r="Y386" s="379"/>
      <c r="Z386" s="221"/>
      <c r="AA386" s="379"/>
      <c r="AB386" s="379"/>
      <c r="AC386" s="50"/>
      <c r="AD386" s="50"/>
      <c r="AE386" s="379"/>
      <c r="AF386" s="379"/>
      <c r="AG386" s="156"/>
      <c r="AH386" s="60"/>
      <c r="AI386" s="379"/>
      <c r="AJ386" s="379"/>
      <c r="AK386" s="156"/>
      <c r="AL386" s="379"/>
      <c r="AM386" s="50"/>
      <c r="AN386" s="50"/>
    </row>
    <row r="387" spans="1:40" x14ac:dyDescent="0.25">
      <c r="A387" s="53"/>
      <c r="C387" s="54"/>
      <c r="F387" s="449"/>
      <c r="H387" s="449"/>
      <c r="I387" s="449"/>
      <c r="J387" s="221"/>
      <c r="K387" s="221"/>
      <c r="L387" s="379"/>
      <c r="M387" s="379"/>
      <c r="N387" s="50"/>
      <c r="O387" s="50"/>
      <c r="P387" s="379"/>
      <c r="Q387" s="379"/>
      <c r="R387" s="379"/>
      <c r="T387" s="54"/>
      <c r="V387" s="379"/>
      <c r="Y387" s="379"/>
      <c r="Z387" s="221"/>
      <c r="AA387" s="379"/>
      <c r="AB387" s="379"/>
      <c r="AC387" s="50"/>
      <c r="AD387" s="50"/>
      <c r="AE387" s="379"/>
      <c r="AF387" s="379"/>
      <c r="AG387" s="156"/>
      <c r="AH387" s="60"/>
      <c r="AI387" s="379"/>
      <c r="AJ387" s="379"/>
      <c r="AK387" s="156"/>
      <c r="AL387" s="379"/>
      <c r="AM387" s="50"/>
      <c r="AN387" s="50"/>
    </row>
    <row r="388" spans="1:40" x14ac:dyDescent="0.25">
      <c r="A388" s="53"/>
      <c r="C388" s="54"/>
      <c r="F388" s="449"/>
      <c r="H388" s="449"/>
      <c r="I388" s="449"/>
      <c r="J388" s="221"/>
      <c r="K388" s="221"/>
      <c r="L388" s="379"/>
      <c r="M388" s="379"/>
      <c r="N388" s="50"/>
      <c r="O388" s="50"/>
      <c r="P388" s="379"/>
      <c r="Q388" s="379"/>
      <c r="R388" s="379"/>
      <c r="T388" s="54"/>
      <c r="V388" s="379"/>
      <c r="Y388" s="379"/>
      <c r="Z388" s="221"/>
      <c r="AA388" s="379"/>
      <c r="AB388" s="379"/>
      <c r="AC388" s="50"/>
      <c r="AD388" s="50"/>
      <c r="AE388" s="379"/>
      <c r="AF388" s="379"/>
      <c r="AG388" s="156"/>
      <c r="AH388" s="60"/>
      <c r="AI388" s="379"/>
      <c r="AJ388" s="379"/>
      <c r="AK388" s="156"/>
      <c r="AL388" s="379"/>
      <c r="AM388" s="50"/>
      <c r="AN388" s="50"/>
    </row>
    <row r="389" spans="1:40" x14ac:dyDescent="0.25">
      <c r="A389" s="53"/>
      <c r="C389" s="54"/>
      <c r="F389" s="449"/>
      <c r="H389" s="449"/>
      <c r="I389" s="449"/>
      <c r="J389" s="221"/>
      <c r="K389" s="221"/>
      <c r="L389" s="379"/>
      <c r="M389" s="379"/>
      <c r="N389" s="50"/>
      <c r="O389" s="50"/>
      <c r="P389" s="379"/>
      <c r="Q389" s="379"/>
      <c r="R389" s="379"/>
      <c r="T389" s="54"/>
      <c r="V389" s="379"/>
      <c r="Y389" s="379"/>
      <c r="Z389" s="221"/>
      <c r="AA389" s="379"/>
      <c r="AB389" s="379"/>
      <c r="AC389" s="50"/>
      <c r="AD389" s="50"/>
      <c r="AE389" s="379"/>
      <c r="AF389" s="379"/>
      <c r="AG389" s="156"/>
      <c r="AH389" s="60"/>
      <c r="AI389" s="379"/>
      <c r="AJ389" s="379"/>
      <c r="AK389" s="156"/>
      <c r="AL389" s="379"/>
      <c r="AM389" s="50"/>
      <c r="AN389" s="50"/>
    </row>
    <row r="390" spans="1:40" x14ac:dyDescent="0.25">
      <c r="F390" s="381"/>
      <c r="H390" s="381"/>
      <c r="I390" s="381"/>
      <c r="J390" s="464"/>
      <c r="K390" s="464"/>
      <c r="L390" s="381"/>
      <c r="M390" s="381"/>
      <c r="N390" s="381"/>
      <c r="O390" s="381"/>
      <c r="P390" s="381"/>
      <c r="Q390" s="381"/>
      <c r="R390" s="381"/>
      <c r="V390" s="381"/>
      <c r="Y390" s="381"/>
      <c r="Z390" s="221"/>
      <c r="AA390" s="381"/>
      <c r="AB390" s="381"/>
      <c r="AC390" s="381"/>
      <c r="AD390" s="381"/>
      <c r="AE390" s="381"/>
      <c r="AF390" s="381"/>
      <c r="AI390" s="381"/>
      <c r="AJ390" s="381"/>
      <c r="AK390" s="162"/>
      <c r="AL390" s="381"/>
    </row>
    <row r="391" spans="1:40" x14ac:dyDescent="0.25">
      <c r="A391" s="53"/>
      <c r="C391" s="54"/>
      <c r="F391" s="379"/>
      <c r="H391" s="379"/>
      <c r="I391" s="379"/>
      <c r="L391" s="379"/>
      <c r="M391" s="379"/>
      <c r="N391" s="60"/>
      <c r="O391" s="60"/>
      <c r="P391" s="379"/>
      <c r="Q391" s="379"/>
      <c r="R391" s="379"/>
      <c r="T391" s="54"/>
      <c r="V391" s="379"/>
      <c r="Y391" s="379"/>
      <c r="AA391" s="379"/>
      <c r="AB391" s="379"/>
      <c r="AC391" s="50"/>
      <c r="AD391" s="50"/>
      <c r="AE391" s="379"/>
      <c r="AF391" s="379"/>
      <c r="AG391" s="156"/>
      <c r="AH391" s="60"/>
      <c r="AI391" s="379"/>
      <c r="AJ391" s="379"/>
      <c r="AK391" s="156"/>
      <c r="AL391" s="379"/>
      <c r="AM391" s="50"/>
      <c r="AN391" s="50"/>
    </row>
    <row r="392" spans="1:40" x14ac:dyDescent="0.25">
      <c r="F392" s="381"/>
      <c r="H392" s="381"/>
      <c r="I392" s="381"/>
      <c r="J392" s="464"/>
      <c r="K392" s="464"/>
      <c r="L392" s="381"/>
      <c r="M392" s="381"/>
      <c r="N392" s="381"/>
      <c r="O392" s="381"/>
      <c r="P392" s="381"/>
      <c r="Q392" s="381"/>
      <c r="R392" s="381"/>
      <c r="V392" s="381"/>
      <c r="Y392" s="381"/>
      <c r="Z392" s="464"/>
      <c r="AA392" s="381"/>
      <c r="AB392" s="381"/>
      <c r="AC392" s="381"/>
      <c r="AD392" s="381"/>
      <c r="AE392" s="381"/>
      <c r="AF392" s="381"/>
      <c r="AI392" s="381"/>
      <c r="AJ392" s="381"/>
      <c r="AK392" s="162"/>
      <c r="AL392" s="381"/>
    </row>
    <row r="393" spans="1:40" x14ac:dyDescent="0.25">
      <c r="A393" s="53"/>
      <c r="C393" s="54"/>
      <c r="T393" s="54"/>
    </row>
    <row r="394" spans="1:40" x14ac:dyDescent="0.25">
      <c r="A394" s="53"/>
      <c r="C394" s="54"/>
      <c r="F394" s="449"/>
      <c r="H394" s="449"/>
      <c r="I394" s="449"/>
      <c r="J394" s="461"/>
      <c r="K394" s="461"/>
      <c r="L394" s="379"/>
      <c r="M394" s="379"/>
      <c r="N394" s="50"/>
      <c r="O394" s="50"/>
      <c r="P394" s="379"/>
      <c r="Q394" s="379"/>
      <c r="R394" s="379"/>
      <c r="T394" s="54"/>
      <c r="V394" s="379"/>
      <c r="Y394" s="379"/>
      <c r="Z394" s="461"/>
      <c r="AA394" s="379"/>
      <c r="AB394" s="379"/>
      <c r="AC394" s="50"/>
      <c r="AD394" s="50"/>
      <c r="AE394" s="379"/>
      <c r="AF394" s="379"/>
      <c r="AG394" s="156"/>
      <c r="AH394" s="60"/>
      <c r="AI394" s="379"/>
      <c r="AJ394" s="379"/>
      <c r="AK394" s="156"/>
      <c r="AL394" s="379"/>
      <c r="AM394" s="50"/>
      <c r="AN394" s="50"/>
    </row>
    <row r="395" spans="1:40" x14ac:dyDescent="0.25">
      <c r="A395" s="53"/>
      <c r="C395" s="54"/>
      <c r="F395" s="449"/>
      <c r="H395" s="449"/>
      <c r="I395" s="449"/>
      <c r="J395" s="461"/>
      <c r="K395" s="461"/>
      <c r="L395" s="379"/>
      <c r="M395" s="379"/>
      <c r="N395" s="50"/>
      <c r="O395" s="50"/>
      <c r="P395" s="379"/>
      <c r="Q395" s="379"/>
      <c r="R395" s="379"/>
      <c r="T395" s="54"/>
      <c r="V395" s="379"/>
      <c r="Y395" s="379"/>
      <c r="Z395" s="461"/>
      <c r="AA395" s="379"/>
      <c r="AB395" s="379"/>
      <c r="AC395" s="50"/>
      <c r="AD395" s="50"/>
      <c r="AE395" s="379"/>
      <c r="AF395" s="379"/>
      <c r="AG395" s="156"/>
      <c r="AH395" s="60"/>
      <c r="AI395" s="379"/>
      <c r="AJ395" s="379"/>
      <c r="AK395" s="156"/>
      <c r="AL395" s="379"/>
      <c r="AM395" s="50"/>
      <c r="AN395" s="50"/>
    </row>
    <row r="396" spans="1:40" x14ac:dyDescent="0.25">
      <c r="F396" s="381"/>
      <c r="H396" s="379"/>
      <c r="I396" s="379"/>
      <c r="J396" s="464"/>
      <c r="K396" s="464"/>
      <c r="L396" s="381"/>
      <c r="M396" s="381"/>
      <c r="N396" s="381"/>
      <c r="O396" s="381"/>
      <c r="P396" s="381"/>
      <c r="Q396" s="381"/>
      <c r="R396" s="381"/>
      <c r="V396" s="381"/>
      <c r="Y396" s="379"/>
      <c r="Z396" s="464"/>
      <c r="AA396" s="381"/>
      <c r="AB396" s="381"/>
      <c r="AC396" s="381"/>
      <c r="AD396" s="381"/>
      <c r="AE396" s="381"/>
      <c r="AF396" s="381"/>
      <c r="AI396" s="381"/>
      <c r="AJ396" s="381"/>
      <c r="AK396" s="162"/>
      <c r="AL396" s="381"/>
    </row>
    <row r="397" spans="1:40" x14ac:dyDescent="0.25">
      <c r="F397" s="379"/>
      <c r="H397" s="379"/>
      <c r="I397" s="379"/>
      <c r="J397" s="464"/>
      <c r="K397" s="464"/>
      <c r="L397" s="379"/>
      <c r="M397" s="379"/>
      <c r="N397" s="379"/>
      <c r="O397" s="379"/>
      <c r="P397" s="379"/>
      <c r="Q397" s="379"/>
      <c r="R397" s="379"/>
      <c r="V397" s="379"/>
      <c r="Y397" s="379"/>
      <c r="Z397" s="464"/>
      <c r="AA397" s="379"/>
      <c r="AB397" s="379"/>
      <c r="AC397" s="379"/>
      <c r="AD397" s="379"/>
      <c r="AE397" s="379"/>
      <c r="AF397" s="379"/>
      <c r="AI397" s="379"/>
      <c r="AJ397" s="379"/>
      <c r="AK397" s="156"/>
      <c r="AL397" s="379"/>
    </row>
    <row r="398" spans="1:40" x14ac:dyDescent="0.25">
      <c r="A398" s="53"/>
      <c r="C398" s="54"/>
      <c r="F398" s="379"/>
      <c r="H398" s="379"/>
      <c r="I398" s="379"/>
      <c r="L398" s="379"/>
      <c r="M398" s="379"/>
      <c r="N398" s="50"/>
      <c r="O398" s="50"/>
      <c r="P398" s="379"/>
      <c r="Q398" s="379"/>
      <c r="R398" s="379"/>
      <c r="T398" s="54"/>
      <c r="V398" s="379"/>
      <c r="Y398" s="379"/>
      <c r="AA398" s="379"/>
      <c r="AB398" s="379"/>
      <c r="AC398" s="50"/>
      <c r="AD398" s="50"/>
      <c r="AE398" s="379"/>
      <c r="AF398" s="379"/>
      <c r="AG398" s="156"/>
      <c r="AH398" s="60"/>
      <c r="AI398" s="449"/>
      <c r="AJ398" s="449"/>
      <c r="AK398" s="156"/>
      <c r="AL398" s="379"/>
      <c r="AM398" s="50"/>
      <c r="AN398" s="50"/>
    </row>
    <row r="399" spans="1:40" x14ac:dyDescent="0.25">
      <c r="H399" s="381"/>
      <c r="I399" s="381"/>
      <c r="J399" s="464"/>
      <c r="K399" s="464"/>
      <c r="L399" s="381"/>
      <c r="M399" s="381"/>
      <c r="N399" s="381"/>
      <c r="O399" s="381"/>
      <c r="P399" s="381"/>
      <c r="Q399" s="381"/>
      <c r="R399" s="381"/>
      <c r="V399" s="381"/>
      <c r="Y399" s="381"/>
      <c r="Z399" s="464"/>
      <c r="AA399" s="381"/>
      <c r="AB399" s="381"/>
      <c r="AC399" s="381"/>
      <c r="AD399" s="381"/>
      <c r="AE399" s="381"/>
      <c r="AF399" s="381"/>
      <c r="AI399" s="381"/>
      <c r="AJ399" s="381"/>
      <c r="AK399" s="162"/>
      <c r="AL399" s="381"/>
    </row>
    <row r="400" spans="1:40" x14ac:dyDescent="0.25">
      <c r="F400" s="381"/>
    </row>
    <row r="401" spans="1:38" x14ac:dyDescent="0.25">
      <c r="A401" s="54"/>
      <c r="T401" s="54"/>
    </row>
    <row r="402" spans="1:38" x14ac:dyDescent="0.25">
      <c r="A402" s="54"/>
      <c r="T402" s="54"/>
    </row>
    <row r="403" spans="1:38" x14ac:dyDescent="0.25">
      <c r="A403" s="54"/>
      <c r="T403" s="54"/>
    </row>
    <row r="404" spans="1:38" x14ac:dyDescent="0.25">
      <c r="A404" s="54"/>
      <c r="T404" s="54"/>
    </row>
    <row r="405" spans="1:38" x14ac:dyDescent="0.25">
      <c r="A405" s="54"/>
      <c r="T405" s="54"/>
    </row>
    <row r="406" spans="1:38" x14ac:dyDescent="0.25">
      <c r="A406" s="54"/>
      <c r="T406" s="54"/>
    </row>
    <row r="407" spans="1:38" x14ac:dyDescent="0.25">
      <c r="A407" s="54"/>
      <c r="T407" s="54"/>
    </row>
    <row r="408" spans="1:38" x14ac:dyDescent="0.25">
      <c r="A408" s="54"/>
      <c r="T408" s="54"/>
    </row>
    <row r="409" spans="1:38" x14ac:dyDescent="0.25">
      <c r="A409" s="54"/>
      <c r="T409" s="54"/>
    </row>
    <row r="411" spans="1:38" x14ac:dyDescent="0.25">
      <c r="A411" s="54"/>
    </row>
    <row r="412" spans="1:38" x14ac:dyDescent="0.25">
      <c r="J412" s="53"/>
      <c r="K412" s="53"/>
      <c r="Z412" s="53"/>
    </row>
    <row r="413" spans="1:38" x14ac:dyDescent="0.25">
      <c r="H413" s="54"/>
      <c r="I413" s="54"/>
      <c r="Y413" s="54"/>
    </row>
    <row r="414" spans="1:38" x14ac:dyDescent="0.25">
      <c r="J414" s="53"/>
      <c r="K414" s="53"/>
      <c r="Z414" s="53"/>
    </row>
    <row r="415" spans="1:38" x14ac:dyDescent="0.25">
      <c r="L415" s="54"/>
      <c r="M415" s="54"/>
      <c r="AA415" s="54"/>
      <c r="AB415" s="54"/>
    </row>
    <row r="416" spans="1:38" x14ac:dyDescent="0.25">
      <c r="A416" s="53"/>
      <c r="R416" s="54"/>
      <c r="AK416" s="161"/>
      <c r="AL416" s="54"/>
    </row>
    <row r="417" spans="1:40" x14ac:dyDescent="0.25">
      <c r="A417" s="53"/>
      <c r="R417" s="54"/>
      <c r="AK417" s="161"/>
      <c r="AL417" s="54"/>
    </row>
    <row r="418" spans="1:40" x14ac:dyDescent="0.25">
      <c r="A418" s="54"/>
      <c r="R418" s="54"/>
      <c r="AK418" s="161"/>
      <c r="AL418" s="54"/>
    </row>
    <row r="419" spans="1:40" x14ac:dyDescent="0.25">
      <c r="L419" s="54"/>
      <c r="M419" s="54"/>
      <c r="R419" s="53"/>
      <c r="AA419" s="54"/>
      <c r="AB419" s="54"/>
      <c r="AK419" s="156"/>
      <c r="AL419" s="53"/>
    </row>
    <row r="420" spans="1:40" x14ac:dyDescent="0.25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154"/>
      <c r="AH420" s="55"/>
      <c r="AI420" s="55"/>
      <c r="AJ420" s="55"/>
      <c r="AK420" s="154"/>
      <c r="AL420" s="55"/>
      <c r="AM420" s="55"/>
      <c r="AN420" s="55"/>
    </row>
    <row r="421" spans="1:40" x14ac:dyDescent="0.25">
      <c r="L421" s="56"/>
      <c r="M421" s="56"/>
      <c r="N421" s="56"/>
      <c r="O421" s="56"/>
      <c r="R421" s="56"/>
      <c r="AA421" s="56"/>
      <c r="AB421" s="56"/>
      <c r="AC421" s="56"/>
      <c r="AD421" s="56"/>
      <c r="AE421" s="56"/>
      <c r="AF421" s="56"/>
      <c r="AG421" s="155"/>
      <c r="AH421" s="56"/>
      <c r="AK421" s="155"/>
      <c r="AL421" s="56"/>
      <c r="AM421" s="56"/>
      <c r="AN421" s="56"/>
    </row>
    <row r="422" spans="1:40" x14ac:dyDescent="0.25">
      <c r="L422" s="56"/>
      <c r="M422" s="56"/>
      <c r="N422" s="56"/>
      <c r="O422" s="56"/>
      <c r="R422" s="56"/>
      <c r="Z422" s="56"/>
      <c r="AA422" s="56"/>
      <c r="AB422" s="56"/>
      <c r="AC422" s="56"/>
      <c r="AD422" s="56"/>
      <c r="AE422" s="56"/>
      <c r="AF422" s="56"/>
      <c r="AG422" s="155"/>
      <c r="AH422" s="56"/>
      <c r="AK422" s="155"/>
      <c r="AL422" s="56"/>
      <c r="AM422" s="56"/>
      <c r="AN422" s="56"/>
    </row>
    <row r="423" spans="1:40" x14ac:dyDescent="0.25">
      <c r="A423" s="56"/>
      <c r="C423" s="56"/>
      <c r="D423" s="56"/>
      <c r="E423" s="56"/>
      <c r="F423" s="56"/>
      <c r="J423" s="56"/>
      <c r="K423" s="56"/>
      <c r="L423" s="56"/>
      <c r="M423" s="56"/>
      <c r="N423" s="56"/>
      <c r="O423" s="56"/>
      <c r="P423" s="56"/>
      <c r="Q423" s="56"/>
      <c r="R423" s="56"/>
      <c r="T423" s="56"/>
      <c r="U423" s="56"/>
      <c r="V423" s="56"/>
      <c r="Z423" s="56"/>
      <c r="AA423" s="56"/>
      <c r="AB423" s="56"/>
      <c r="AC423" s="56"/>
      <c r="AD423" s="56"/>
      <c r="AE423" s="56"/>
      <c r="AF423" s="56"/>
      <c r="AG423" s="155"/>
      <c r="AH423" s="56"/>
      <c r="AI423" s="56"/>
      <c r="AJ423" s="56"/>
      <c r="AK423" s="155"/>
      <c r="AL423" s="56"/>
      <c r="AM423" s="56"/>
      <c r="AN423" s="56"/>
    </row>
    <row r="424" spans="1:40" x14ac:dyDescent="0.25">
      <c r="A424" s="56"/>
      <c r="C424" s="56"/>
      <c r="D424" s="56"/>
      <c r="E424" s="56"/>
      <c r="F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T424" s="56"/>
      <c r="U424" s="56"/>
      <c r="V424" s="56"/>
      <c r="Y424" s="56"/>
      <c r="Z424" s="56"/>
      <c r="AA424" s="56"/>
      <c r="AB424" s="56"/>
      <c r="AC424" s="56"/>
      <c r="AD424" s="56"/>
      <c r="AE424" s="56"/>
      <c r="AF424" s="56"/>
      <c r="AG424" s="155"/>
      <c r="AH424" s="56"/>
      <c r="AI424" s="56"/>
      <c r="AJ424" s="56"/>
      <c r="AK424" s="155"/>
      <c r="AL424" s="56"/>
      <c r="AM424" s="56"/>
      <c r="AN424" s="56"/>
    </row>
    <row r="425" spans="1:40" x14ac:dyDescent="0.25">
      <c r="C425" s="56"/>
      <c r="D425" s="56"/>
      <c r="E425" s="56"/>
      <c r="F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T425" s="56"/>
      <c r="U425" s="56"/>
      <c r="V425" s="56"/>
      <c r="Y425" s="56"/>
      <c r="Z425" s="56"/>
      <c r="AA425" s="56"/>
      <c r="AB425" s="56"/>
      <c r="AC425" s="56"/>
      <c r="AD425" s="56"/>
      <c r="AE425" s="56"/>
      <c r="AF425" s="56"/>
      <c r="AG425" s="155"/>
      <c r="AH425" s="56"/>
      <c r="AI425" s="56"/>
      <c r="AJ425" s="56"/>
      <c r="AK425" s="155"/>
      <c r="AL425" s="56"/>
      <c r="AM425" s="56"/>
      <c r="AN425" s="56"/>
    </row>
    <row r="426" spans="1:40" x14ac:dyDescent="0.25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154"/>
      <c r="AH426" s="55"/>
      <c r="AI426" s="55"/>
      <c r="AJ426" s="55"/>
      <c r="AK426" s="154"/>
      <c r="AL426" s="55"/>
      <c r="AM426" s="55"/>
      <c r="AN426" s="55"/>
    </row>
    <row r="427" spans="1:40" x14ac:dyDescent="0.25"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Y427" s="56"/>
      <c r="Z427" s="56"/>
      <c r="AA427" s="56"/>
      <c r="AB427" s="56"/>
      <c r="AC427" s="56"/>
      <c r="AD427" s="56"/>
      <c r="AE427" s="56"/>
      <c r="AF427" s="56"/>
      <c r="AG427" s="155"/>
      <c r="AH427" s="56"/>
      <c r="AI427" s="56"/>
      <c r="AJ427" s="56"/>
      <c r="AK427" s="155"/>
      <c r="AL427" s="56"/>
      <c r="AM427" s="56"/>
      <c r="AN427" s="56"/>
    </row>
    <row r="428" spans="1:40" x14ac:dyDescent="0.25">
      <c r="A428" s="53"/>
      <c r="C428" s="54"/>
      <c r="D428" s="54"/>
      <c r="E428" s="54"/>
      <c r="T428" s="54"/>
      <c r="U428" s="54"/>
    </row>
    <row r="429" spans="1:40" x14ac:dyDescent="0.25">
      <c r="A429" s="53"/>
      <c r="D429" s="54"/>
      <c r="E429" s="54"/>
      <c r="U429" s="54"/>
    </row>
    <row r="431" spans="1:40" x14ac:dyDescent="0.25">
      <c r="A431" s="53"/>
      <c r="C431" s="54"/>
      <c r="F431" s="379"/>
      <c r="J431" s="62"/>
      <c r="K431" s="62"/>
      <c r="L431" s="379"/>
      <c r="M431" s="379"/>
      <c r="R431" s="379"/>
      <c r="T431" s="54"/>
      <c r="V431" s="379"/>
      <c r="Z431" s="62"/>
      <c r="AA431" s="379"/>
      <c r="AB431" s="379"/>
      <c r="AG431" s="156"/>
      <c r="AH431" s="379"/>
      <c r="AK431" s="156"/>
      <c r="AL431" s="379"/>
    </row>
    <row r="432" spans="1:40" x14ac:dyDescent="0.25">
      <c r="A432" s="53"/>
      <c r="C432" s="54"/>
      <c r="F432" s="379"/>
      <c r="R432" s="379"/>
      <c r="T432" s="54"/>
      <c r="V432" s="379"/>
      <c r="AG432" s="156"/>
      <c r="AH432" s="379"/>
      <c r="AK432" s="156"/>
      <c r="AL432" s="379"/>
    </row>
    <row r="433" spans="1:40" x14ac:dyDescent="0.25">
      <c r="AI433" s="379"/>
      <c r="AJ433" s="379"/>
      <c r="AK433" s="156"/>
      <c r="AL433" s="379"/>
      <c r="AM433" s="50"/>
      <c r="AN433" s="50"/>
    </row>
    <row r="434" spans="1:40" x14ac:dyDescent="0.25">
      <c r="A434" s="53"/>
      <c r="C434" s="54"/>
      <c r="F434" s="449"/>
      <c r="H434" s="449"/>
      <c r="I434" s="449"/>
      <c r="J434" s="477"/>
      <c r="K434" s="477"/>
      <c r="L434" s="379"/>
      <c r="M434" s="379"/>
      <c r="N434" s="50"/>
      <c r="O434" s="50"/>
      <c r="P434" s="379"/>
      <c r="Q434" s="379"/>
      <c r="R434" s="379"/>
      <c r="T434" s="54"/>
      <c r="V434" s="379"/>
      <c r="Y434" s="379"/>
      <c r="Z434" s="477"/>
      <c r="AA434" s="379"/>
      <c r="AB434" s="379"/>
      <c r="AC434" s="50"/>
      <c r="AD434" s="50"/>
      <c r="AE434" s="379"/>
      <c r="AF434" s="379"/>
      <c r="AG434" s="156"/>
      <c r="AH434" s="60"/>
      <c r="AI434" s="379"/>
      <c r="AJ434" s="379"/>
      <c r="AK434" s="156"/>
      <c r="AL434" s="379"/>
      <c r="AM434" s="50"/>
      <c r="AN434" s="50"/>
    </row>
    <row r="435" spans="1:40" x14ac:dyDescent="0.25">
      <c r="F435" s="379"/>
      <c r="H435" s="379"/>
      <c r="I435" s="379"/>
      <c r="J435" s="59"/>
      <c r="K435" s="59"/>
      <c r="L435" s="379"/>
      <c r="M435" s="379"/>
      <c r="P435" s="379"/>
      <c r="Q435" s="379"/>
      <c r="R435" s="379"/>
      <c r="V435" s="379"/>
      <c r="Y435" s="379"/>
      <c r="Z435" s="59"/>
      <c r="AA435" s="379"/>
      <c r="AB435" s="379"/>
      <c r="AI435" s="379"/>
      <c r="AJ435" s="379"/>
      <c r="AK435" s="156"/>
      <c r="AL435" s="379"/>
      <c r="AM435" s="50"/>
      <c r="AN435" s="50"/>
    </row>
    <row r="436" spans="1:40" x14ac:dyDescent="0.25">
      <c r="F436" s="379"/>
      <c r="R436" s="379"/>
      <c r="V436" s="379"/>
      <c r="AK436" s="156"/>
      <c r="AL436" s="379"/>
      <c r="AM436" s="50"/>
      <c r="AN436" s="50"/>
    </row>
    <row r="437" spans="1:40" x14ac:dyDescent="0.25">
      <c r="A437" s="53"/>
      <c r="C437" s="54"/>
      <c r="F437" s="379"/>
      <c r="J437" s="62"/>
      <c r="K437" s="62"/>
      <c r="L437" s="379"/>
      <c r="M437" s="379"/>
      <c r="N437" s="50"/>
      <c r="O437" s="50"/>
      <c r="R437" s="379"/>
      <c r="T437" s="54"/>
      <c r="V437" s="379"/>
      <c r="Z437" s="62"/>
      <c r="AA437" s="379"/>
      <c r="AB437" s="379"/>
      <c r="AC437" s="50"/>
      <c r="AD437" s="50"/>
      <c r="AK437" s="156"/>
      <c r="AL437" s="379"/>
      <c r="AM437" s="50"/>
      <c r="AN437" s="50"/>
    </row>
    <row r="438" spans="1:40" x14ac:dyDescent="0.25">
      <c r="A438" s="53"/>
      <c r="C438" s="54"/>
      <c r="F438" s="379"/>
      <c r="H438" s="379"/>
      <c r="I438" s="379"/>
      <c r="J438" s="62"/>
      <c r="K438" s="62"/>
      <c r="L438" s="379"/>
      <c r="M438" s="379"/>
      <c r="N438" s="50"/>
      <c r="O438" s="50"/>
      <c r="P438" s="379"/>
      <c r="Q438" s="379"/>
      <c r="R438" s="379"/>
      <c r="T438" s="54"/>
      <c r="V438" s="379"/>
      <c r="Y438" s="379"/>
      <c r="Z438" s="62"/>
      <c r="AA438" s="379"/>
      <c r="AB438" s="379"/>
      <c r="AC438" s="50"/>
      <c r="AD438" s="50"/>
      <c r="AI438" s="379"/>
      <c r="AJ438" s="379"/>
      <c r="AK438" s="156"/>
      <c r="AL438" s="379"/>
      <c r="AM438" s="50"/>
      <c r="AN438" s="50"/>
    </row>
    <row r="439" spans="1:40" x14ac:dyDescent="0.25">
      <c r="A439" s="53"/>
      <c r="C439" s="54"/>
      <c r="T439" s="54"/>
      <c r="AM439" s="50"/>
      <c r="AN439" s="50"/>
    </row>
    <row r="440" spans="1:40" x14ac:dyDescent="0.25">
      <c r="A440" s="53"/>
      <c r="C440" s="54"/>
      <c r="T440" s="54"/>
      <c r="AM440" s="50"/>
      <c r="AN440" s="50"/>
    </row>
    <row r="441" spans="1:40" x14ac:dyDescent="0.25">
      <c r="AM441" s="50"/>
      <c r="AN441" s="50"/>
    </row>
    <row r="442" spans="1:40" x14ac:dyDescent="0.25">
      <c r="A442" s="53"/>
      <c r="C442" s="54"/>
      <c r="F442" s="449"/>
      <c r="H442" s="449"/>
      <c r="I442" s="449"/>
      <c r="J442" s="477"/>
      <c r="K442" s="477"/>
      <c r="L442" s="379"/>
      <c r="M442" s="379"/>
      <c r="N442" s="50"/>
      <c r="O442" s="50"/>
      <c r="P442" s="379"/>
      <c r="Q442" s="379"/>
      <c r="R442" s="379"/>
      <c r="T442" s="54"/>
      <c r="V442" s="379"/>
      <c r="Y442" s="379"/>
      <c r="Z442" s="477"/>
      <c r="AA442" s="379"/>
      <c r="AB442" s="379"/>
      <c r="AC442" s="50"/>
      <c r="AD442" s="50"/>
      <c r="AE442" s="379"/>
      <c r="AF442" s="379"/>
      <c r="AG442" s="156"/>
      <c r="AH442" s="60"/>
      <c r="AI442" s="379"/>
      <c r="AJ442" s="379"/>
      <c r="AK442" s="156"/>
      <c r="AL442" s="379"/>
      <c r="AM442" s="50"/>
      <c r="AN442" s="50"/>
    </row>
    <row r="443" spans="1:40" x14ac:dyDescent="0.25">
      <c r="F443" s="381"/>
      <c r="H443" s="381"/>
      <c r="I443" s="381"/>
      <c r="J443" s="464"/>
      <c r="K443" s="464"/>
      <c r="L443" s="381"/>
      <c r="M443" s="381"/>
      <c r="N443" s="381"/>
      <c r="O443" s="381"/>
      <c r="P443" s="381"/>
      <c r="Q443" s="381"/>
      <c r="R443" s="381"/>
      <c r="V443" s="381"/>
      <c r="Y443" s="381"/>
      <c r="Z443" s="464"/>
      <c r="AA443" s="381"/>
      <c r="AB443" s="381"/>
      <c r="AC443" s="381"/>
      <c r="AD443" s="381"/>
      <c r="AE443" s="381"/>
      <c r="AF443" s="381"/>
      <c r="AI443" s="381"/>
      <c r="AJ443" s="381"/>
      <c r="AK443" s="162"/>
      <c r="AL443" s="381"/>
      <c r="AM443" s="50"/>
      <c r="AN443" s="50"/>
    </row>
    <row r="444" spans="1:40" x14ac:dyDescent="0.25">
      <c r="H444" s="379"/>
      <c r="I444" s="379"/>
      <c r="Y444" s="379"/>
      <c r="AM444" s="50"/>
      <c r="AN444" s="50"/>
    </row>
    <row r="445" spans="1:40" x14ac:dyDescent="0.25">
      <c r="A445" s="53"/>
      <c r="C445" s="54"/>
      <c r="F445" s="379"/>
      <c r="H445" s="379"/>
      <c r="I445" s="379"/>
      <c r="L445" s="379"/>
      <c r="M445" s="379"/>
      <c r="N445" s="50"/>
      <c r="O445" s="50"/>
      <c r="P445" s="449"/>
      <c r="Q445" s="449"/>
      <c r="R445" s="379"/>
      <c r="T445" s="54"/>
      <c r="V445" s="379"/>
      <c r="Y445" s="379"/>
      <c r="AA445" s="379"/>
      <c r="AB445" s="379"/>
      <c r="AC445" s="50"/>
      <c r="AD445" s="50"/>
      <c r="AE445" s="379"/>
      <c r="AF445" s="379"/>
      <c r="AG445" s="156"/>
      <c r="AH445" s="60"/>
      <c r="AI445" s="449"/>
      <c r="AJ445" s="449"/>
      <c r="AK445" s="156"/>
      <c r="AL445" s="379"/>
      <c r="AM445" s="50"/>
      <c r="AN445" s="50"/>
    </row>
    <row r="446" spans="1:40" x14ac:dyDescent="0.25">
      <c r="H446" s="381"/>
      <c r="I446" s="381"/>
      <c r="J446" s="464"/>
      <c r="K446" s="464"/>
      <c r="L446" s="381"/>
      <c r="M446" s="381"/>
      <c r="N446" s="381"/>
      <c r="O446" s="381"/>
      <c r="P446" s="381"/>
      <c r="Q446" s="381"/>
      <c r="R446" s="381"/>
      <c r="V446" s="381"/>
      <c r="Y446" s="381"/>
      <c r="Z446" s="464"/>
      <c r="AA446" s="381"/>
      <c r="AB446" s="381"/>
      <c r="AC446" s="381"/>
      <c r="AD446" s="381"/>
      <c r="AE446" s="381"/>
      <c r="AF446" s="381"/>
      <c r="AI446" s="381"/>
      <c r="AJ446" s="381"/>
      <c r="AK446" s="162"/>
      <c r="AL446" s="381"/>
      <c r="AM446" s="50"/>
      <c r="AN446" s="50"/>
    </row>
    <row r="447" spans="1:40" x14ac:dyDescent="0.25">
      <c r="F447" s="381"/>
    </row>
    <row r="448" spans="1:40" x14ac:dyDescent="0.25">
      <c r="F448" s="379"/>
      <c r="H448" s="379"/>
      <c r="I448" s="379"/>
      <c r="J448" s="59"/>
      <c r="K448" s="59"/>
      <c r="L448" s="379"/>
      <c r="M448" s="379"/>
      <c r="N448" s="379"/>
      <c r="O448" s="379"/>
      <c r="P448" s="379"/>
      <c r="Q448" s="379"/>
      <c r="R448" s="379"/>
      <c r="V448" s="379"/>
      <c r="Y448" s="379"/>
      <c r="Z448" s="59"/>
      <c r="AA448" s="379"/>
      <c r="AB448" s="379"/>
      <c r="AC448" s="379"/>
      <c r="AD448" s="379"/>
      <c r="AE448" s="379"/>
      <c r="AF448" s="379"/>
      <c r="AG448" s="156"/>
      <c r="AH448" s="379"/>
      <c r="AI448" s="379"/>
      <c r="AJ448" s="379"/>
      <c r="AK448" s="156"/>
      <c r="AL448" s="379"/>
    </row>
    <row r="449" spans="1:40" x14ac:dyDescent="0.25">
      <c r="A449" s="54"/>
    </row>
    <row r="450" spans="1:40" x14ac:dyDescent="0.25">
      <c r="J450" s="53"/>
      <c r="K450" s="53"/>
      <c r="Z450" s="53"/>
    </row>
    <row r="451" spans="1:40" x14ac:dyDescent="0.25">
      <c r="H451" s="54"/>
      <c r="I451" s="54"/>
      <c r="Y451" s="54"/>
    </row>
    <row r="452" spans="1:40" x14ac:dyDescent="0.25">
      <c r="J452" s="53"/>
      <c r="K452" s="53"/>
      <c r="Z452" s="53"/>
    </row>
    <row r="453" spans="1:40" x14ac:dyDescent="0.25">
      <c r="L453" s="54"/>
      <c r="M453" s="54"/>
      <c r="AA453" s="54"/>
      <c r="AB453" s="54"/>
    </row>
    <row r="454" spans="1:40" x14ac:dyDescent="0.25">
      <c r="A454" s="53"/>
      <c r="R454" s="54"/>
      <c r="AK454" s="161"/>
      <c r="AL454" s="54"/>
    </row>
    <row r="455" spans="1:40" x14ac:dyDescent="0.25">
      <c r="A455" s="53"/>
      <c r="R455" s="54"/>
      <c r="AK455" s="161"/>
      <c r="AL455" s="54"/>
    </row>
    <row r="456" spans="1:40" x14ac:dyDescent="0.25">
      <c r="A456" s="54"/>
      <c r="R456" s="54"/>
      <c r="AK456" s="161"/>
      <c r="AL456" s="54"/>
    </row>
    <row r="457" spans="1:40" x14ac:dyDescent="0.25">
      <c r="L457" s="54"/>
      <c r="M457" s="54"/>
      <c r="R457" s="53"/>
      <c r="AA457" s="54"/>
      <c r="AB457" s="54"/>
      <c r="AK457" s="156"/>
      <c r="AL457" s="53"/>
    </row>
    <row r="458" spans="1:40" x14ac:dyDescent="0.25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154"/>
      <c r="AH458" s="55"/>
      <c r="AI458" s="55"/>
      <c r="AJ458" s="55"/>
      <c r="AK458" s="154"/>
      <c r="AL458" s="55"/>
      <c r="AM458" s="55"/>
      <c r="AN458" s="55"/>
    </row>
    <row r="459" spans="1:40" x14ac:dyDescent="0.25">
      <c r="L459" s="56"/>
      <c r="M459" s="56"/>
      <c r="N459" s="56"/>
      <c r="O459" s="56"/>
      <c r="R459" s="56"/>
      <c r="AA459" s="56"/>
      <c r="AB459" s="56"/>
      <c r="AC459" s="56"/>
      <c r="AD459" s="56"/>
      <c r="AE459" s="56"/>
      <c r="AF459" s="56"/>
      <c r="AG459" s="155"/>
      <c r="AH459" s="56"/>
      <c r="AK459" s="155"/>
      <c r="AL459" s="56"/>
      <c r="AM459" s="56"/>
      <c r="AN459" s="56"/>
    </row>
    <row r="460" spans="1:40" x14ac:dyDescent="0.25">
      <c r="L460" s="56"/>
      <c r="M460" s="56"/>
      <c r="N460" s="56"/>
      <c r="O460" s="56"/>
      <c r="R460" s="56"/>
      <c r="Z460" s="56"/>
      <c r="AA460" s="56"/>
      <c r="AB460" s="56"/>
      <c r="AC460" s="56"/>
      <c r="AD460" s="56"/>
      <c r="AE460" s="56"/>
      <c r="AF460" s="56"/>
      <c r="AG460" s="155"/>
      <c r="AH460" s="56"/>
      <c r="AK460" s="155"/>
      <c r="AL460" s="56"/>
      <c r="AM460" s="56"/>
      <c r="AN460" s="56"/>
    </row>
    <row r="461" spans="1:40" x14ac:dyDescent="0.25">
      <c r="A461" s="56"/>
      <c r="C461" s="56"/>
      <c r="D461" s="56"/>
      <c r="E461" s="56"/>
      <c r="F461" s="56"/>
      <c r="J461" s="56"/>
      <c r="K461" s="56"/>
      <c r="L461" s="56"/>
      <c r="M461" s="56"/>
      <c r="N461" s="56"/>
      <c r="O461" s="56"/>
      <c r="P461" s="56"/>
      <c r="Q461" s="56"/>
      <c r="R461" s="56"/>
      <c r="T461" s="56"/>
      <c r="U461" s="56"/>
      <c r="V461" s="56"/>
      <c r="Z461" s="56"/>
      <c r="AA461" s="56"/>
      <c r="AB461" s="56"/>
      <c r="AC461" s="56"/>
      <c r="AD461" s="56"/>
      <c r="AE461" s="56"/>
      <c r="AF461" s="56"/>
      <c r="AG461" s="155"/>
      <c r="AH461" s="56"/>
      <c r="AI461" s="56"/>
      <c r="AJ461" s="56"/>
      <c r="AK461" s="155"/>
      <c r="AL461" s="56"/>
      <c r="AM461" s="56"/>
      <c r="AN461" s="56"/>
    </row>
    <row r="462" spans="1:40" x14ac:dyDescent="0.25">
      <c r="A462" s="56"/>
      <c r="C462" s="56"/>
      <c r="D462" s="56"/>
      <c r="E462" s="56"/>
      <c r="F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T462" s="56"/>
      <c r="U462" s="56"/>
      <c r="V462" s="56"/>
      <c r="Y462" s="56"/>
      <c r="Z462" s="56"/>
      <c r="AA462" s="56"/>
      <c r="AB462" s="56"/>
      <c r="AC462" s="56"/>
      <c r="AD462" s="56"/>
      <c r="AE462" s="56"/>
      <c r="AF462" s="56"/>
      <c r="AG462" s="155"/>
      <c r="AH462" s="56"/>
      <c r="AI462" s="56"/>
      <c r="AJ462" s="56"/>
      <c r="AK462" s="155"/>
      <c r="AL462" s="56"/>
      <c r="AM462" s="56"/>
      <c r="AN462" s="56"/>
    </row>
    <row r="463" spans="1:40" x14ac:dyDescent="0.25">
      <c r="C463" s="56"/>
      <c r="D463" s="56"/>
      <c r="E463" s="56"/>
      <c r="F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T463" s="56"/>
      <c r="U463" s="56"/>
      <c r="V463" s="56"/>
      <c r="Y463" s="56"/>
      <c r="Z463" s="56"/>
      <c r="AA463" s="56"/>
      <c r="AB463" s="56"/>
      <c r="AC463" s="56"/>
      <c r="AD463" s="56"/>
      <c r="AE463" s="56"/>
      <c r="AF463" s="56"/>
      <c r="AG463" s="155"/>
      <c r="AH463" s="56"/>
      <c r="AI463" s="56"/>
      <c r="AJ463" s="56"/>
      <c r="AK463" s="155"/>
      <c r="AL463" s="56"/>
      <c r="AM463" s="56"/>
      <c r="AN463" s="56"/>
    </row>
    <row r="464" spans="1:40" x14ac:dyDescent="0.25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154"/>
      <c r="AH464" s="55"/>
      <c r="AI464" s="55"/>
      <c r="AJ464" s="55"/>
      <c r="AK464" s="154"/>
      <c r="AL464" s="55"/>
      <c r="AM464" s="55"/>
      <c r="AN464" s="55"/>
    </row>
    <row r="465" spans="1:40" x14ac:dyDescent="0.25"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Y465" s="56"/>
      <c r="Z465" s="56"/>
      <c r="AA465" s="56"/>
      <c r="AB465" s="56"/>
      <c r="AC465" s="56"/>
      <c r="AD465" s="56"/>
      <c r="AE465" s="56"/>
      <c r="AF465" s="56"/>
      <c r="AG465" s="155"/>
      <c r="AH465" s="56"/>
      <c r="AI465" s="56"/>
      <c r="AJ465" s="56"/>
      <c r="AK465" s="155"/>
      <c r="AL465" s="56"/>
      <c r="AM465" s="56"/>
      <c r="AN465" s="56"/>
    </row>
    <row r="466" spans="1:40" x14ac:dyDescent="0.25">
      <c r="A466" s="53"/>
      <c r="C466" s="54"/>
      <c r="D466" s="54"/>
      <c r="E466" s="54"/>
      <c r="T466" s="54"/>
      <c r="U466" s="54"/>
      <c r="V466" s="379"/>
      <c r="W466" s="379"/>
      <c r="X466" s="379"/>
      <c r="Y466" s="379"/>
      <c r="Z466" s="477"/>
    </row>
    <row r="468" spans="1:40" x14ac:dyDescent="0.25">
      <c r="A468" s="53"/>
      <c r="C468" s="54"/>
      <c r="T468" s="54"/>
      <c r="V468" s="379"/>
      <c r="W468" s="379"/>
      <c r="X468" s="379"/>
      <c r="Y468" s="379"/>
      <c r="Z468" s="477"/>
    </row>
    <row r="469" spans="1:40" x14ac:dyDescent="0.25">
      <c r="A469" s="53"/>
      <c r="C469" s="54"/>
      <c r="F469" s="449"/>
      <c r="H469" s="449"/>
      <c r="I469" s="449"/>
      <c r="J469" s="221"/>
      <c r="K469" s="221"/>
      <c r="L469" s="379"/>
      <c r="M469" s="379"/>
      <c r="N469" s="50"/>
      <c r="O469" s="50"/>
      <c r="P469" s="379"/>
      <c r="Q469" s="379"/>
      <c r="R469" s="379"/>
      <c r="T469" s="54"/>
      <c r="V469" s="379"/>
      <c r="W469" s="379"/>
      <c r="X469" s="379"/>
      <c r="Y469" s="379"/>
      <c r="Z469" s="221"/>
      <c r="AA469" s="379"/>
      <c r="AB469" s="379"/>
      <c r="AC469" s="50"/>
      <c r="AD469" s="50"/>
      <c r="AE469" s="379"/>
      <c r="AF469" s="379"/>
      <c r="AG469" s="156"/>
      <c r="AH469" s="60"/>
      <c r="AI469" s="379"/>
      <c r="AJ469" s="379"/>
      <c r="AK469" s="156"/>
      <c r="AL469" s="379"/>
      <c r="AM469" s="50"/>
      <c r="AN469" s="50"/>
    </row>
    <row r="470" spans="1:40" x14ac:dyDescent="0.25">
      <c r="A470" s="53"/>
      <c r="C470" s="54"/>
      <c r="F470" s="449"/>
      <c r="H470" s="449"/>
      <c r="I470" s="449"/>
      <c r="J470" s="221"/>
      <c r="K470" s="221"/>
      <c r="L470" s="379"/>
      <c r="M470" s="379"/>
      <c r="N470" s="50"/>
      <c r="O470" s="50"/>
      <c r="P470" s="379"/>
      <c r="Q470" s="379"/>
      <c r="R470" s="379"/>
      <c r="T470" s="54"/>
      <c r="V470" s="379"/>
      <c r="W470" s="379"/>
      <c r="X470" s="379"/>
      <c r="Y470" s="379"/>
      <c r="Z470" s="221"/>
      <c r="AA470" s="379"/>
      <c r="AB470" s="379"/>
      <c r="AC470" s="50"/>
      <c r="AD470" s="50"/>
      <c r="AE470" s="379"/>
      <c r="AF470" s="379"/>
      <c r="AG470" s="156"/>
      <c r="AH470" s="60"/>
      <c r="AI470" s="379"/>
      <c r="AJ470" s="379"/>
      <c r="AK470" s="156"/>
      <c r="AL470" s="379"/>
      <c r="AM470" s="50"/>
      <c r="AN470" s="50"/>
    </row>
    <row r="471" spans="1:40" x14ac:dyDescent="0.25">
      <c r="A471" s="53"/>
      <c r="C471" s="54"/>
      <c r="F471" s="449"/>
      <c r="H471" s="449"/>
      <c r="I471" s="449"/>
      <c r="J471" s="221"/>
      <c r="K471" s="221"/>
      <c r="L471" s="379"/>
      <c r="M471" s="379"/>
      <c r="N471" s="50"/>
      <c r="O471" s="50"/>
      <c r="P471" s="379"/>
      <c r="Q471" s="379"/>
      <c r="R471" s="379"/>
      <c r="T471" s="54"/>
      <c r="V471" s="379"/>
      <c r="W471" s="379"/>
      <c r="X471" s="379"/>
      <c r="Y471" s="379"/>
      <c r="Z471" s="221"/>
      <c r="AA471" s="379"/>
      <c r="AB471" s="379"/>
      <c r="AC471" s="50"/>
      <c r="AD471" s="50"/>
      <c r="AE471" s="379"/>
      <c r="AF471" s="379"/>
      <c r="AG471" s="156"/>
      <c r="AH471" s="60"/>
      <c r="AI471" s="379"/>
      <c r="AJ471" s="379"/>
      <c r="AK471" s="156"/>
      <c r="AL471" s="379"/>
      <c r="AM471" s="50"/>
      <c r="AN471" s="50"/>
    </row>
    <row r="472" spans="1:40" x14ac:dyDescent="0.25">
      <c r="A472" s="53"/>
      <c r="C472" s="54"/>
      <c r="F472" s="449"/>
      <c r="H472" s="449"/>
      <c r="I472" s="449"/>
      <c r="J472" s="221"/>
      <c r="K472" s="221"/>
      <c r="L472" s="379"/>
      <c r="M472" s="379"/>
      <c r="N472" s="50"/>
      <c r="O472" s="50"/>
      <c r="P472" s="379"/>
      <c r="Q472" s="379"/>
      <c r="R472" s="379"/>
      <c r="T472" s="54"/>
      <c r="V472" s="379"/>
      <c r="W472" s="379"/>
      <c r="X472" s="379"/>
      <c r="Y472" s="379"/>
      <c r="Z472" s="221"/>
      <c r="AA472" s="379"/>
      <c r="AB472" s="379"/>
      <c r="AC472" s="50"/>
      <c r="AD472" s="50"/>
      <c r="AE472" s="379"/>
      <c r="AF472" s="379"/>
      <c r="AG472" s="156"/>
      <c r="AH472" s="60"/>
      <c r="AI472" s="379"/>
      <c r="AJ472" s="379"/>
      <c r="AK472" s="156"/>
      <c r="AL472" s="379"/>
      <c r="AM472" s="50"/>
      <c r="AN472" s="50"/>
    </row>
    <row r="473" spans="1:40" x14ac:dyDescent="0.25">
      <c r="J473" s="65"/>
      <c r="K473" s="65"/>
      <c r="V473" s="379"/>
      <c r="W473" s="379"/>
      <c r="X473" s="379"/>
      <c r="Y473" s="379"/>
      <c r="Z473" s="221"/>
    </row>
    <row r="474" spans="1:40" x14ac:dyDescent="0.25">
      <c r="A474" s="53"/>
      <c r="C474" s="54"/>
      <c r="F474" s="449"/>
      <c r="H474" s="449"/>
      <c r="I474" s="449"/>
      <c r="J474" s="221"/>
      <c r="K474" s="221"/>
      <c r="L474" s="379"/>
      <c r="M474" s="379"/>
      <c r="N474" s="50"/>
      <c r="O474" s="50"/>
      <c r="P474" s="379"/>
      <c r="Q474" s="379"/>
      <c r="R474" s="379"/>
      <c r="T474" s="54"/>
      <c r="V474" s="379"/>
      <c r="W474" s="379"/>
      <c r="X474" s="379"/>
      <c r="Y474" s="379"/>
      <c r="Z474" s="221"/>
      <c r="AA474" s="379"/>
      <c r="AB474" s="379"/>
      <c r="AC474" s="50"/>
      <c r="AD474" s="50"/>
      <c r="AE474" s="379"/>
      <c r="AF474" s="379"/>
      <c r="AG474" s="156"/>
      <c r="AH474" s="60"/>
      <c r="AI474" s="379"/>
      <c r="AJ474" s="379"/>
      <c r="AK474" s="156"/>
      <c r="AL474" s="379"/>
      <c r="AM474" s="60"/>
      <c r="AN474" s="60"/>
    </row>
    <row r="475" spans="1:40" x14ac:dyDescent="0.25">
      <c r="A475" s="53"/>
      <c r="C475" s="54"/>
      <c r="J475" s="65"/>
      <c r="K475" s="65"/>
      <c r="T475" s="54"/>
      <c r="V475" s="379"/>
      <c r="W475" s="379"/>
      <c r="X475" s="379"/>
      <c r="Y475" s="379"/>
      <c r="Z475" s="221"/>
    </row>
    <row r="476" spans="1:40" x14ac:dyDescent="0.25">
      <c r="A476" s="53"/>
      <c r="C476" s="54"/>
      <c r="F476" s="449"/>
      <c r="H476" s="449"/>
      <c r="I476" s="449"/>
      <c r="J476" s="221"/>
      <c r="K476" s="221"/>
      <c r="L476" s="379"/>
      <c r="M476" s="379"/>
      <c r="N476" s="50"/>
      <c r="O476" s="50"/>
      <c r="P476" s="379"/>
      <c r="Q476" s="379"/>
      <c r="R476" s="379"/>
      <c r="T476" s="54"/>
      <c r="V476" s="379"/>
      <c r="W476" s="379"/>
      <c r="X476" s="379"/>
      <c r="Y476" s="379"/>
      <c r="Z476" s="221"/>
      <c r="AA476" s="379"/>
      <c r="AB476" s="379"/>
      <c r="AC476" s="50"/>
      <c r="AD476" s="50"/>
      <c r="AE476" s="379"/>
      <c r="AF476" s="379"/>
      <c r="AG476" s="156"/>
      <c r="AH476" s="60"/>
      <c r="AI476" s="379"/>
      <c r="AJ476" s="379"/>
      <c r="AK476" s="156"/>
      <c r="AL476" s="379"/>
      <c r="AM476" s="60"/>
      <c r="AN476" s="60"/>
    </row>
    <row r="477" spans="1:40" x14ac:dyDescent="0.25">
      <c r="J477" s="65"/>
      <c r="K477" s="65"/>
      <c r="Z477" s="65"/>
    </row>
    <row r="478" spans="1:40" x14ac:dyDescent="0.25">
      <c r="A478" s="53"/>
      <c r="C478" s="54"/>
      <c r="J478" s="65"/>
      <c r="K478" s="65"/>
      <c r="T478" s="54"/>
      <c r="V478" s="379"/>
      <c r="W478" s="379"/>
      <c r="X478" s="379"/>
      <c r="Y478" s="379"/>
      <c r="Z478" s="221"/>
    </row>
    <row r="479" spans="1:40" x14ac:dyDescent="0.25">
      <c r="A479" s="53"/>
      <c r="C479" s="54"/>
      <c r="F479" s="449"/>
      <c r="H479" s="449"/>
      <c r="I479" s="449"/>
      <c r="J479" s="221"/>
      <c r="K479" s="221"/>
      <c r="L479" s="379"/>
      <c r="M479" s="379"/>
      <c r="N479" s="50"/>
      <c r="O479" s="50"/>
      <c r="P479" s="379"/>
      <c r="Q479" s="379"/>
      <c r="R479" s="379"/>
      <c r="T479" s="54"/>
      <c r="V479" s="379"/>
      <c r="W479" s="379"/>
      <c r="X479" s="379"/>
      <c r="Y479" s="379"/>
      <c r="Z479" s="221"/>
      <c r="AA479" s="379"/>
      <c r="AB479" s="379"/>
      <c r="AC479" s="50"/>
      <c r="AD479" s="50"/>
      <c r="AE479" s="379"/>
      <c r="AF479" s="379"/>
      <c r="AG479" s="156"/>
      <c r="AH479" s="60"/>
      <c r="AI479" s="379"/>
      <c r="AJ479" s="379"/>
      <c r="AK479" s="156"/>
      <c r="AL479" s="379"/>
      <c r="AM479" s="60"/>
      <c r="AN479" s="60"/>
    </row>
    <row r="480" spans="1:40" x14ac:dyDescent="0.25">
      <c r="A480" s="53"/>
      <c r="C480" s="54"/>
      <c r="F480" s="449"/>
      <c r="H480" s="449"/>
      <c r="I480" s="449"/>
      <c r="J480" s="221"/>
      <c r="K480" s="221"/>
      <c r="L480" s="379"/>
      <c r="M480" s="379"/>
      <c r="N480" s="50"/>
      <c r="O480" s="50"/>
      <c r="P480" s="379"/>
      <c r="Q480" s="379"/>
      <c r="R480" s="379"/>
      <c r="T480" s="54"/>
      <c r="V480" s="379"/>
      <c r="W480" s="379"/>
      <c r="X480" s="379"/>
      <c r="Y480" s="379"/>
      <c r="Z480" s="221"/>
      <c r="AA480" s="379"/>
      <c r="AB480" s="379"/>
      <c r="AC480" s="50"/>
      <c r="AD480" s="50"/>
      <c r="AE480" s="379"/>
      <c r="AF480" s="379"/>
      <c r="AG480" s="156"/>
      <c r="AH480" s="60"/>
      <c r="AI480" s="379"/>
      <c r="AJ480" s="379"/>
      <c r="AK480" s="156"/>
      <c r="AL480" s="379"/>
      <c r="AM480" s="60"/>
      <c r="AN480" s="60"/>
    </row>
    <row r="481" spans="1:40" x14ac:dyDescent="0.25">
      <c r="F481" s="381"/>
      <c r="H481" s="381"/>
      <c r="I481" s="381"/>
      <c r="J481" s="221"/>
      <c r="K481" s="221"/>
      <c r="L481" s="381"/>
      <c r="M481" s="381"/>
      <c r="N481" s="381"/>
      <c r="O481" s="381"/>
      <c r="P481" s="381"/>
      <c r="Q481" s="381"/>
      <c r="R481" s="381"/>
      <c r="V481" s="381"/>
      <c r="Y481" s="381"/>
      <c r="Z481" s="464"/>
      <c r="AA481" s="381"/>
      <c r="AB481" s="381"/>
      <c r="AC481" s="381"/>
      <c r="AD481" s="381"/>
      <c r="AE481" s="381"/>
      <c r="AF481" s="381"/>
      <c r="AI481" s="381"/>
      <c r="AJ481" s="381"/>
      <c r="AK481" s="162"/>
      <c r="AL481" s="381"/>
    </row>
    <row r="482" spans="1:40" x14ac:dyDescent="0.25">
      <c r="A482" s="53"/>
      <c r="C482" s="54"/>
      <c r="F482" s="379"/>
      <c r="H482" s="379"/>
      <c r="I482" s="379"/>
      <c r="L482" s="379"/>
      <c r="M482" s="379"/>
      <c r="N482" s="50"/>
      <c r="O482" s="50"/>
      <c r="P482" s="449"/>
      <c r="Q482" s="449"/>
      <c r="R482" s="379"/>
      <c r="T482" s="54"/>
      <c r="V482" s="379"/>
      <c r="W482" s="379"/>
      <c r="X482" s="379"/>
      <c r="Y482" s="379"/>
      <c r="Z482" s="477"/>
      <c r="AA482" s="379"/>
      <c r="AB482" s="379"/>
      <c r="AC482" s="50"/>
      <c r="AD482" s="50"/>
      <c r="AE482" s="379"/>
      <c r="AF482" s="379"/>
      <c r="AG482" s="156"/>
      <c r="AH482" s="60"/>
      <c r="AI482" s="449"/>
      <c r="AJ482" s="449"/>
      <c r="AK482" s="156"/>
      <c r="AL482" s="379"/>
      <c r="AM482" s="60"/>
      <c r="AN482" s="60"/>
    </row>
    <row r="483" spans="1:40" x14ac:dyDescent="0.25">
      <c r="H483" s="381"/>
      <c r="I483" s="381"/>
      <c r="J483" s="464"/>
      <c r="K483" s="464"/>
      <c r="L483" s="381"/>
      <c r="M483" s="381"/>
      <c r="N483" s="381"/>
      <c r="O483" s="381"/>
      <c r="P483" s="381"/>
      <c r="Q483" s="381"/>
      <c r="R483" s="381"/>
      <c r="V483" s="381"/>
      <c r="Y483" s="381"/>
      <c r="Z483" s="464"/>
      <c r="AA483" s="381"/>
      <c r="AB483" s="381"/>
      <c r="AC483" s="381"/>
      <c r="AD483" s="381"/>
      <c r="AE483" s="381"/>
      <c r="AF483" s="381"/>
      <c r="AI483" s="381"/>
      <c r="AJ483" s="381"/>
      <c r="AK483" s="162"/>
      <c r="AL483" s="381"/>
    </row>
    <row r="484" spans="1:40" x14ac:dyDescent="0.25">
      <c r="F484" s="381"/>
    </row>
    <row r="485" spans="1:40" x14ac:dyDescent="0.25">
      <c r="C485" s="53"/>
      <c r="T485" s="53"/>
    </row>
    <row r="486" spans="1:40" x14ac:dyDescent="0.25">
      <c r="A486" s="54"/>
    </row>
    <row r="487" spans="1:40" x14ac:dyDescent="0.25">
      <c r="J487" s="53"/>
      <c r="K487" s="53"/>
      <c r="Z487" s="53"/>
    </row>
    <row r="488" spans="1:40" x14ac:dyDescent="0.25">
      <c r="H488" s="54"/>
      <c r="I488" s="54"/>
      <c r="Y488" s="54"/>
    </row>
    <row r="489" spans="1:40" x14ac:dyDescent="0.25">
      <c r="J489" s="53"/>
      <c r="K489" s="53"/>
      <c r="Z489" s="53"/>
    </row>
    <row r="490" spans="1:40" x14ac:dyDescent="0.25">
      <c r="L490" s="54"/>
      <c r="M490" s="54"/>
      <c r="AA490" s="54"/>
      <c r="AB490" s="54"/>
    </row>
    <row r="491" spans="1:40" x14ac:dyDescent="0.25">
      <c r="A491" s="53"/>
      <c r="R491" s="54"/>
      <c r="AK491" s="161"/>
      <c r="AL491" s="54"/>
    </row>
    <row r="492" spans="1:40" x14ac:dyDescent="0.25">
      <c r="A492" s="53"/>
      <c r="R492" s="54"/>
      <c r="AK492" s="161"/>
      <c r="AL492" s="54"/>
    </row>
    <row r="493" spans="1:40" x14ac:dyDescent="0.25">
      <c r="A493" s="54"/>
      <c r="R493" s="54"/>
      <c r="AK493" s="161"/>
      <c r="AL493" s="54"/>
    </row>
    <row r="494" spans="1:40" x14ac:dyDescent="0.25">
      <c r="L494" s="54"/>
      <c r="M494" s="54"/>
      <c r="R494" s="53"/>
      <c r="AA494" s="54"/>
      <c r="AB494" s="54"/>
      <c r="AK494" s="156"/>
      <c r="AL494" s="53"/>
    </row>
    <row r="495" spans="1:40" x14ac:dyDescent="0.25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154"/>
      <c r="AH495" s="55"/>
      <c r="AI495" s="55"/>
      <c r="AJ495" s="55"/>
      <c r="AK495" s="154"/>
      <c r="AL495" s="55"/>
      <c r="AM495" s="55"/>
      <c r="AN495" s="55"/>
    </row>
    <row r="496" spans="1:40" x14ac:dyDescent="0.25">
      <c r="L496" s="56"/>
      <c r="M496" s="56"/>
      <c r="N496" s="56"/>
      <c r="O496" s="56"/>
      <c r="R496" s="56"/>
      <c r="AA496" s="56"/>
      <c r="AB496" s="56"/>
      <c r="AC496" s="56"/>
      <c r="AD496" s="56"/>
      <c r="AE496" s="56"/>
      <c r="AF496" s="56"/>
      <c r="AG496" s="155"/>
      <c r="AH496" s="56"/>
      <c r="AK496" s="155"/>
      <c r="AL496" s="56"/>
      <c r="AM496" s="56"/>
      <c r="AN496" s="56"/>
    </row>
    <row r="497" spans="1:40" x14ac:dyDescent="0.25">
      <c r="L497" s="56"/>
      <c r="M497" s="56"/>
      <c r="N497" s="56"/>
      <c r="O497" s="56"/>
      <c r="R497" s="56"/>
      <c r="Z497" s="56"/>
      <c r="AA497" s="56"/>
      <c r="AB497" s="56"/>
      <c r="AC497" s="56"/>
      <c r="AD497" s="56"/>
      <c r="AE497" s="56"/>
      <c r="AF497" s="56"/>
      <c r="AG497" s="155"/>
      <c r="AH497" s="56"/>
      <c r="AK497" s="155"/>
      <c r="AL497" s="56"/>
      <c r="AM497" s="56"/>
      <c r="AN497" s="56"/>
    </row>
    <row r="498" spans="1:40" x14ac:dyDescent="0.25">
      <c r="A498" s="56"/>
      <c r="C498" s="56"/>
      <c r="D498" s="56"/>
      <c r="E498" s="56"/>
      <c r="F498" s="56"/>
      <c r="J498" s="56"/>
      <c r="K498" s="56"/>
      <c r="L498" s="56"/>
      <c r="M498" s="56"/>
      <c r="N498" s="56"/>
      <c r="O498" s="56"/>
      <c r="P498" s="56"/>
      <c r="Q498" s="56"/>
      <c r="R498" s="56"/>
      <c r="T498" s="56"/>
      <c r="U498" s="56"/>
      <c r="V498" s="56"/>
      <c r="Z498" s="56"/>
      <c r="AA498" s="56"/>
      <c r="AB498" s="56"/>
      <c r="AC498" s="56"/>
      <c r="AD498" s="56"/>
      <c r="AE498" s="56"/>
      <c r="AF498" s="56"/>
      <c r="AG498" s="155"/>
      <c r="AH498" s="56"/>
      <c r="AI498" s="56"/>
      <c r="AJ498" s="56"/>
      <c r="AK498" s="155"/>
      <c r="AL498" s="56"/>
      <c r="AM498" s="56"/>
      <c r="AN498" s="56"/>
    </row>
    <row r="499" spans="1:40" x14ac:dyDescent="0.25">
      <c r="A499" s="56"/>
      <c r="C499" s="56"/>
      <c r="D499" s="56"/>
      <c r="E499" s="56"/>
      <c r="F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T499" s="56"/>
      <c r="U499" s="56"/>
      <c r="V499" s="56"/>
      <c r="Y499" s="56"/>
      <c r="Z499" s="56"/>
      <c r="AA499" s="56"/>
      <c r="AB499" s="56"/>
      <c r="AC499" s="56"/>
      <c r="AD499" s="56"/>
      <c r="AE499" s="56"/>
      <c r="AF499" s="56"/>
      <c r="AG499" s="155"/>
      <c r="AH499" s="56"/>
      <c r="AI499" s="56"/>
      <c r="AJ499" s="56"/>
      <c r="AK499" s="155"/>
      <c r="AL499" s="56"/>
      <c r="AM499" s="56"/>
      <c r="AN499" s="56"/>
    </row>
    <row r="500" spans="1:40" x14ac:dyDescent="0.25">
      <c r="C500" s="56"/>
      <c r="D500" s="56"/>
      <c r="E500" s="56"/>
      <c r="F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T500" s="56"/>
      <c r="U500" s="56"/>
      <c r="V500" s="56"/>
      <c r="Y500" s="56"/>
      <c r="Z500" s="56"/>
      <c r="AA500" s="56"/>
      <c r="AB500" s="56"/>
      <c r="AC500" s="56"/>
      <c r="AD500" s="56"/>
      <c r="AE500" s="56"/>
      <c r="AF500" s="56"/>
      <c r="AG500" s="155"/>
      <c r="AH500" s="56"/>
      <c r="AI500" s="56"/>
      <c r="AJ500" s="56"/>
      <c r="AK500" s="155"/>
      <c r="AL500" s="56"/>
      <c r="AM500" s="56"/>
      <c r="AN500" s="56"/>
    </row>
    <row r="501" spans="1:40" x14ac:dyDescent="0.25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154"/>
      <c r="AH501" s="55"/>
      <c r="AI501" s="55"/>
      <c r="AJ501" s="55"/>
      <c r="AK501" s="154"/>
      <c r="AL501" s="55"/>
      <c r="AM501" s="55"/>
      <c r="AN501" s="55"/>
    </row>
    <row r="502" spans="1:40" x14ac:dyDescent="0.25"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Y502" s="56"/>
      <c r="Z502" s="56"/>
      <c r="AA502" s="56"/>
      <c r="AB502" s="56"/>
      <c r="AC502" s="56"/>
      <c r="AD502" s="56"/>
      <c r="AE502" s="56"/>
      <c r="AF502" s="56"/>
      <c r="AG502" s="155"/>
      <c r="AH502" s="56"/>
      <c r="AI502" s="56"/>
      <c r="AJ502" s="56"/>
      <c r="AK502" s="155"/>
      <c r="AL502" s="56"/>
      <c r="AM502" s="56"/>
      <c r="AN502" s="56"/>
    </row>
    <row r="503" spans="1:40" x14ac:dyDescent="0.25">
      <c r="A503" s="53"/>
      <c r="C503" s="54"/>
      <c r="D503" s="54"/>
      <c r="E503" s="54"/>
      <c r="T503" s="54"/>
      <c r="U503" s="54"/>
    </row>
    <row r="505" spans="1:40" x14ac:dyDescent="0.25">
      <c r="A505" s="53"/>
      <c r="C505" s="54"/>
      <c r="T505" s="54"/>
    </row>
    <row r="506" spans="1:40" x14ac:dyDescent="0.25">
      <c r="A506" s="53"/>
      <c r="C506" s="54"/>
      <c r="T506" s="54"/>
    </row>
    <row r="507" spans="1:40" x14ac:dyDescent="0.25">
      <c r="A507" s="53"/>
      <c r="C507" s="54"/>
      <c r="F507" s="449"/>
      <c r="H507" s="449"/>
      <c r="I507" s="449"/>
      <c r="J507" s="221"/>
      <c r="K507" s="221"/>
      <c r="L507" s="379"/>
      <c r="M507" s="379"/>
      <c r="N507" s="50"/>
      <c r="O507" s="50"/>
      <c r="P507" s="379"/>
      <c r="Q507" s="379"/>
      <c r="R507" s="379"/>
      <c r="T507" s="54"/>
      <c r="V507" s="379"/>
      <c r="W507" s="379"/>
      <c r="X507" s="379"/>
      <c r="Y507" s="379"/>
      <c r="Z507" s="221"/>
      <c r="AA507" s="379"/>
      <c r="AB507" s="379"/>
      <c r="AC507" s="50"/>
      <c r="AD507" s="50"/>
      <c r="AE507" s="379"/>
      <c r="AF507" s="379"/>
      <c r="AG507" s="156"/>
      <c r="AH507" s="60"/>
      <c r="AI507" s="379"/>
      <c r="AJ507" s="379"/>
      <c r="AK507" s="156"/>
      <c r="AL507" s="379"/>
      <c r="AM507" s="60"/>
      <c r="AN507" s="60"/>
    </row>
    <row r="508" spans="1:40" x14ac:dyDescent="0.25">
      <c r="A508" s="53"/>
      <c r="C508" s="54"/>
      <c r="F508" s="379"/>
      <c r="H508" s="379"/>
      <c r="I508" s="379"/>
      <c r="J508" s="65"/>
      <c r="K508" s="65"/>
      <c r="L508" s="379"/>
      <c r="M508" s="379"/>
      <c r="N508" s="50"/>
      <c r="O508" s="50"/>
      <c r="P508" s="379"/>
      <c r="Q508" s="379"/>
      <c r="R508" s="379"/>
      <c r="T508" s="54"/>
      <c r="V508" s="379"/>
      <c r="W508" s="379"/>
      <c r="X508" s="379"/>
      <c r="Y508" s="379"/>
      <c r="Z508" s="65"/>
      <c r="AA508" s="379"/>
      <c r="AB508" s="379"/>
      <c r="AC508" s="50"/>
      <c r="AD508" s="50"/>
      <c r="AE508" s="379"/>
      <c r="AF508" s="379"/>
      <c r="AG508" s="156"/>
      <c r="AH508" s="60"/>
      <c r="AI508" s="379"/>
      <c r="AJ508" s="379"/>
      <c r="AK508" s="156"/>
      <c r="AL508" s="379"/>
      <c r="AM508" s="60"/>
      <c r="AN508" s="60"/>
    </row>
    <row r="509" spans="1:40" x14ac:dyDescent="0.25">
      <c r="A509" s="53"/>
      <c r="C509" s="54"/>
      <c r="F509" s="379"/>
      <c r="H509" s="379"/>
      <c r="I509" s="379"/>
      <c r="J509" s="65"/>
      <c r="K509" s="65"/>
      <c r="L509" s="379"/>
      <c r="M509" s="379"/>
      <c r="N509" s="50"/>
      <c r="O509" s="50"/>
      <c r="P509" s="379"/>
      <c r="Q509" s="379"/>
      <c r="R509" s="379"/>
      <c r="T509" s="54"/>
      <c r="V509" s="379"/>
      <c r="W509" s="379"/>
      <c r="X509" s="379"/>
      <c r="Y509" s="379"/>
      <c r="Z509" s="65"/>
      <c r="AA509" s="379"/>
      <c r="AB509" s="379"/>
      <c r="AC509" s="50"/>
      <c r="AD509" s="50"/>
      <c r="AE509" s="379"/>
      <c r="AF509" s="379"/>
      <c r="AG509" s="156"/>
      <c r="AH509" s="60"/>
      <c r="AI509" s="379"/>
      <c r="AJ509" s="379"/>
      <c r="AK509" s="156"/>
      <c r="AL509" s="379"/>
      <c r="AM509" s="60"/>
      <c r="AN509" s="60"/>
    </row>
    <row r="510" spans="1:40" x14ac:dyDescent="0.25">
      <c r="A510" s="53"/>
      <c r="C510" s="54"/>
      <c r="F510" s="379"/>
      <c r="H510" s="379"/>
      <c r="I510" s="379"/>
      <c r="J510" s="65"/>
      <c r="K510" s="65"/>
      <c r="T510" s="54"/>
      <c r="V510" s="379"/>
      <c r="Z510" s="65"/>
    </row>
    <row r="511" spans="1:40" x14ac:dyDescent="0.25">
      <c r="A511" s="53"/>
      <c r="C511" s="54"/>
      <c r="F511" s="449"/>
      <c r="H511" s="449"/>
      <c r="I511" s="449"/>
      <c r="J511" s="221"/>
      <c r="K511" s="221"/>
      <c r="L511" s="379"/>
      <c r="M511" s="379"/>
      <c r="N511" s="50"/>
      <c r="O511" s="50"/>
      <c r="P511" s="379"/>
      <c r="Q511" s="379"/>
      <c r="R511" s="379"/>
      <c r="T511" s="54"/>
      <c r="V511" s="379"/>
      <c r="W511" s="379"/>
      <c r="X511" s="379"/>
      <c r="Y511" s="379"/>
      <c r="Z511" s="221"/>
      <c r="AA511" s="379"/>
      <c r="AB511" s="379"/>
      <c r="AC511" s="50"/>
      <c r="AD511" s="50"/>
      <c r="AE511" s="379"/>
      <c r="AF511" s="379"/>
      <c r="AG511" s="156"/>
      <c r="AH511" s="60"/>
      <c r="AI511" s="379"/>
      <c r="AJ511" s="379"/>
      <c r="AK511" s="156"/>
      <c r="AL511" s="379"/>
      <c r="AM511" s="60"/>
      <c r="AN511" s="60"/>
    </row>
    <row r="512" spans="1:40" x14ac:dyDescent="0.25">
      <c r="A512" s="53"/>
      <c r="C512" s="54"/>
      <c r="F512" s="379"/>
      <c r="H512" s="379"/>
      <c r="I512" s="379"/>
      <c r="J512" s="65"/>
      <c r="K512" s="65"/>
      <c r="T512" s="54"/>
      <c r="V512" s="379"/>
      <c r="W512" s="379"/>
      <c r="X512" s="379"/>
      <c r="Y512" s="379"/>
      <c r="Z512" s="65"/>
      <c r="AC512" s="50"/>
      <c r="AD512" s="50"/>
      <c r="AE512" s="379"/>
      <c r="AF512" s="379"/>
      <c r="AG512" s="156"/>
      <c r="AH512" s="60"/>
      <c r="AI512" s="379"/>
      <c r="AJ512" s="379"/>
      <c r="AK512" s="156"/>
      <c r="AL512" s="379"/>
      <c r="AM512" s="60"/>
      <c r="AN512" s="60"/>
    </row>
    <row r="513" spans="1:40" x14ac:dyDescent="0.25">
      <c r="A513" s="53"/>
      <c r="C513" s="54"/>
      <c r="F513" s="449"/>
      <c r="H513" s="449"/>
      <c r="I513" s="449"/>
      <c r="J513" s="221"/>
      <c r="K513" s="221"/>
      <c r="L513" s="379"/>
      <c r="M513" s="379"/>
      <c r="N513" s="50"/>
      <c r="O513" s="50"/>
      <c r="P513" s="379"/>
      <c r="Q513" s="379"/>
      <c r="R513" s="379"/>
      <c r="T513" s="54"/>
      <c r="V513" s="379"/>
      <c r="W513" s="379"/>
      <c r="X513" s="379"/>
      <c r="Y513" s="379"/>
      <c r="Z513" s="221"/>
      <c r="AA513" s="379"/>
      <c r="AB513" s="379"/>
      <c r="AC513" s="50"/>
      <c r="AD513" s="50"/>
      <c r="AE513" s="379"/>
      <c r="AF513" s="379"/>
      <c r="AG513" s="156"/>
      <c r="AH513" s="60"/>
      <c r="AI513" s="379"/>
      <c r="AJ513" s="379"/>
      <c r="AK513" s="156"/>
      <c r="AL513" s="379"/>
      <c r="AM513" s="60"/>
      <c r="AN513" s="60"/>
    </row>
    <row r="514" spans="1:40" x14ac:dyDescent="0.25">
      <c r="A514" s="53"/>
      <c r="C514" s="54"/>
      <c r="F514" s="379"/>
      <c r="H514" s="379"/>
      <c r="I514" s="379"/>
      <c r="J514" s="65"/>
      <c r="K514" s="65"/>
      <c r="L514" s="379"/>
      <c r="M514" s="379"/>
      <c r="N514" s="50"/>
      <c r="O514" s="50"/>
      <c r="P514" s="379"/>
      <c r="Q514" s="379"/>
      <c r="R514" s="379"/>
      <c r="T514" s="54"/>
      <c r="V514" s="379"/>
      <c r="W514" s="379"/>
      <c r="X514" s="379"/>
      <c r="Y514" s="379"/>
      <c r="Z514" s="65"/>
      <c r="AA514" s="379"/>
      <c r="AB514" s="379"/>
      <c r="AC514" s="50"/>
      <c r="AD514" s="50"/>
      <c r="AE514" s="379"/>
      <c r="AF514" s="379"/>
      <c r="AG514" s="156"/>
      <c r="AH514" s="60"/>
      <c r="AI514" s="379"/>
      <c r="AJ514" s="379"/>
      <c r="AK514" s="156"/>
      <c r="AL514" s="379"/>
      <c r="AM514" s="60"/>
      <c r="AN514" s="60"/>
    </row>
    <row r="515" spans="1:40" x14ac:dyDescent="0.25">
      <c r="F515" s="379"/>
      <c r="H515" s="379"/>
      <c r="I515" s="379"/>
      <c r="J515" s="65"/>
      <c r="K515" s="65"/>
      <c r="Z515" s="65"/>
    </row>
    <row r="516" spans="1:40" x14ac:dyDescent="0.25">
      <c r="A516" s="53"/>
      <c r="C516" s="54"/>
      <c r="F516" s="379"/>
      <c r="H516" s="449"/>
      <c r="I516" s="449"/>
      <c r="J516" s="221"/>
      <c r="K516" s="221"/>
      <c r="L516" s="379"/>
      <c r="M516" s="379"/>
      <c r="N516" s="50"/>
      <c r="O516" s="50"/>
      <c r="P516" s="379"/>
      <c r="Q516" s="379"/>
      <c r="R516" s="379"/>
      <c r="T516" s="54"/>
      <c r="V516" s="379"/>
      <c r="W516" s="379"/>
      <c r="X516" s="379"/>
      <c r="Y516" s="379"/>
      <c r="Z516" s="221"/>
      <c r="AA516" s="379"/>
      <c r="AB516" s="379"/>
      <c r="AC516" s="50"/>
      <c r="AD516" s="50"/>
      <c r="AE516" s="379"/>
      <c r="AF516" s="379"/>
      <c r="AG516" s="156"/>
      <c r="AH516" s="60"/>
      <c r="AI516" s="379"/>
      <c r="AJ516" s="379"/>
      <c r="AK516" s="156"/>
      <c r="AL516" s="379"/>
      <c r="AM516" s="60"/>
      <c r="AN516" s="60"/>
    </row>
    <row r="517" spans="1:40" x14ac:dyDescent="0.25">
      <c r="F517" s="381"/>
      <c r="H517" s="381"/>
      <c r="I517" s="381"/>
      <c r="J517" s="221"/>
      <c r="K517" s="221"/>
      <c r="L517" s="381"/>
      <c r="M517" s="381"/>
      <c r="N517" s="381"/>
      <c r="O517" s="381"/>
      <c r="P517" s="381"/>
      <c r="Q517" s="381"/>
      <c r="R517" s="381"/>
      <c r="V517" s="381"/>
      <c r="Y517" s="381"/>
      <c r="Z517" s="221"/>
      <c r="AA517" s="381"/>
      <c r="AB517" s="381"/>
      <c r="AC517" s="381"/>
      <c r="AD517" s="381"/>
      <c r="AE517" s="381"/>
      <c r="AF517" s="381"/>
      <c r="AI517" s="381"/>
      <c r="AJ517" s="381"/>
      <c r="AK517" s="162"/>
      <c r="AL517" s="381"/>
    </row>
    <row r="518" spans="1:40" x14ac:dyDescent="0.25">
      <c r="A518" s="53"/>
      <c r="C518" s="54"/>
      <c r="F518" s="379"/>
      <c r="H518" s="379"/>
      <c r="I518" s="379"/>
      <c r="J518" s="65"/>
      <c r="K518" s="65"/>
      <c r="L518" s="379"/>
      <c r="M518" s="379"/>
      <c r="N518" s="53"/>
      <c r="O518" s="53"/>
      <c r="P518" s="379"/>
      <c r="Q518" s="379"/>
      <c r="R518" s="379"/>
      <c r="T518" s="54"/>
      <c r="V518" s="379"/>
      <c r="Y518" s="379"/>
      <c r="Z518" s="65"/>
      <c r="AA518" s="379"/>
      <c r="AB518" s="379"/>
      <c r="AC518" s="60"/>
      <c r="AD518" s="60"/>
      <c r="AE518" s="379"/>
      <c r="AF518" s="379"/>
      <c r="AG518" s="156"/>
      <c r="AH518" s="60"/>
      <c r="AI518" s="379"/>
      <c r="AJ518" s="379"/>
      <c r="AK518" s="156"/>
      <c r="AL518" s="379"/>
      <c r="AM518" s="60"/>
      <c r="AN518" s="60"/>
    </row>
    <row r="519" spans="1:40" x14ac:dyDescent="0.25">
      <c r="F519" s="381"/>
      <c r="H519" s="381"/>
      <c r="I519" s="381"/>
      <c r="J519" s="221"/>
      <c r="K519" s="221"/>
      <c r="L519" s="381"/>
      <c r="M519" s="381"/>
      <c r="N519" s="381"/>
      <c r="O519" s="381"/>
      <c r="P519" s="381"/>
      <c r="Q519" s="381"/>
      <c r="R519" s="381"/>
      <c r="V519" s="381"/>
      <c r="Y519" s="381"/>
      <c r="Z519" s="221"/>
      <c r="AA519" s="381"/>
      <c r="AB519" s="381"/>
      <c r="AC519" s="381"/>
      <c r="AD519" s="381"/>
      <c r="AE519" s="381"/>
      <c r="AF519" s="381"/>
      <c r="AI519" s="381"/>
      <c r="AJ519" s="381"/>
      <c r="AK519" s="162"/>
      <c r="AL519" s="381"/>
    </row>
    <row r="520" spans="1:40" x14ac:dyDescent="0.25">
      <c r="J520" s="65"/>
      <c r="K520" s="65"/>
      <c r="Z520" s="65"/>
    </row>
    <row r="521" spans="1:40" x14ac:dyDescent="0.25">
      <c r="A521" s="53"/>
      <c r="C521" s="54"/>
      <c r="J521" s="65"/>
      <c r="K521" s="65"/>
      <c r="T521" s="54"/>
      <c r="Z521" s="65"/>
    </row>
    <row r="522" spans="1:40" x14ac:dyDescent="0.25">
      <c r="A522" s="53"/>
      <c r="C522" s="54"/>
      <c r="J522" s="65"/>
      <c r="K522" s="65"/>
      <c r="T522" s="54"/>
      <c r="Z522" s="65"/>
    </row>
    <row r="523" spans="1:40" x14ac:dyDescent="0.25">
      <c r="A523" s="53"/>
      <c r="C523" s="54"/>
      <c r="F523" s="449"/>
      <c r="H523" s="449"/>
      <c r="I523" s="449"/>
      <c r="J523" s="221"/>
      <c r="K523" s="221"/>
      <c r="L523" s="379"/>
      <c r="M523" s="379"/>
      <c r="N523" s="50"/>
      <c r="O523" s="50"/>
      <c r="P523" s="379"/>
      <c r="Q523" s="379"/>
      <c r="R523" s="379"/>
      <c r="T523" s="54"/>
      <c r="V523" s="379"/>
      <c r="W523" s="379"/>
      <c r="X523" s="379"/>
      <c r="Y523" s="379"/>
      <c r="Z523" s="221"/>
      <c r="AA523" s="379"/>
      <c r="AB523" s="379"/>
      <c r="AC523" s="50"/>
      <c r="AD523" s="50"/>
      <c r="AE523" s="379"/>
      <c r="AF523" s="379"/>
      <c r="AG523" s="156"/>
      <c r="AH523" s="60"/>
      <c r="AI523" s="379"/>
      <c r="AJ523" s="379"/>
      <c r="AK523" s="156"/>
      <c r="AL523" s="379"/>
      <c r="AM523" s="60"/>
      <c r="AN523" s="60"/>
    </row>
    <row r="524" spans="1:40" x14ac:dyDescent="0.25">
      <c r="A524" s="53"/>
      <c r="C524" s="54"/>
      <c r="J524" s="65"/>
      <c r="K524" s="65"/>
      <c r="T524" s="54"/>
      <c r="Z524" s="65"/>
    </row>
    <row r="525" spans="1:40" x14ac:dyDescent="0.25">
      <c r="A525" s="53"/>
      <c r="C525" s="54"/>
      <c r="F525" s="449"/>
      <c r="H525" s="449"/>
      <c r="I525" s="449"/>
      <c r="J525" s="221"/>
      <c r="K525" s="221"/>
      <c r="L525" s="379"/>
      <c r="M525" s="379"/>
      <c r="N525" s="50"/>
      <c r="O525" s="50"/>
      <c r="P525" s="379"/>
      <c r="Q525" s="379"/>
      <c r="R525" s="379"/>
      <c r="T525" s="54"/>
      <c r="V525" s="379"/>
      <c r="W525" s="379"/>
      <c r="X525" s="379"/>
      <c r="Y525" s="379"/>
      <c r="Z525" s="221"/>
      <c r="AA525" s="379"/>
      <c r="AB525" s="379"/>
      <c r="AC525" s="50"/>
      <c r="AD525" s="50"/>
      <c r="AE525" s="379"/>
      <c r="AF525" s="379"/>
      <c r="AG525" s="156"/>
      <c r="AH525" s="60"/>
      <c r="AI525" s="379"/>
      <c r="AJ525" s="379"/>
      <c r="AK525" s="156"/>
      <c r="AL525" s="379"/>
      <c r="AM525" s="60"/>
      <c r="AN525" s="60"/>
    </row>
    <row r="526" spans="1:40" x14ac:dyDescent="0.25">
      <c r="F526" s="381"/>
      <c r="H526" s="381"/>
      <c r="I526" s="381"/>
      <c r="J526" s="221"/>
      <c r="K526" s="221"/>
      <c r="L526" s="381"/>
      <c r="M526" s="381"/>
      <c r="N526" s="381"/>
      <c r="O526" s="381"/>
      <c r="P526" s="381"/>
      <c r="Q526" s="381"/>
      <c r="R526" s="381"/>
      <c r="V526" s="381"/>
      <c r="Y526" s="381"/>
      <c r="Z526" s="221"/>
      <c r="AA526" s="381"/>
      <c r="AB526" s="381"/>
      <c r="AC526" s="381"/>
      <c r="AD526" s="381"/>
      <c r="AE526" s="381"/>
      <c r="AF526" s="381"/>
      <c r="AI526" s="381"/>
      <c r="AJ526" s="381"/>
      <c r="AK526" s="162"/>
      <c r="AL526" s="381"/>
    </row>
    <row r="527" spans="1:40" x14ac:dyDescent="0.25">
      <c r="A527" s="53"/>
      <c r="C527" s="54"/>
      <c r="F527" s="379"/>
      <c r="H527" s="379"/>
      <c r="I527" s="379"/>
      <c r="J527" s="65"/>
      <c r="K527" s="65"/>
      <c r="L527" s="379"/>
      <c r="M527" s="379"/>
      <c r="N527" s="60"/>
      <c r="O527" s="60"/>
      <c r="P527" s="379"/>
      <c r="Q527" s="379"/>
      <c r="R527" s="379"/>
      <c r="T527" s="54"/>
      <c r="V527" s="379"/>
      <c r="Y527" s="379"/>
      <c r="Z527" s="65"/>
      <c r="AA527" s="379"/>
      <c r="AB527" s="379"/>
      <c r="AC527" s="60"/>
      <c r="AD527" s="60"/>
      <c r="AE527" s="379"/>
      <c r="AF527" s="379"/>
      <c r="AG527" s="156"/>
      <c r="AH527" s="60"/>
      <c r="AI527" s="379"/>
      <c r="AJ527" s="379"/>
      <c r="AK527" s="156"/>
      <c r="AL527" s="379"/>
      <c r="AM527" s="60"/>
      <c r="AN527" s="60"/>
    </row>
    <row r="528" spans="1:40" x14ac:dyDescent="0.25">
      <c r="F528" s="381"/>
      <c r="H528" s="381"/>
      <c r="I528" s="381"/>
      <c r="J528" s="221"/>
      <c r="K528" s="221"/>
      <c r="L528" s="381"/>
      <c r="M528" s="381"/>
      <c r="N528" s="381"/>
      <c r="O528" s="381"/>
      <c r="P528" s="381"/>
      <c r="Q528" s="381"/>
      <c r="R528" s="381"/>
      <c r="V528" s="381"/>
      <c r="Y528" s="381"/>
      <c r="Z528" s="464"/>
      <c r="AA528" s="381"/>
      <c r="AB528" s="381"/>
      <c r="AC528" s="381"/>
      <c r="AD528" s="381"/>
      <c r="AE528" s="381"/>
      <c r="AF528" s="381"/>
      <c r="AI528" s="381"/>
      <c r="AJ528" s="381"/>
      <c r="AK528" s="162"/>
      <c r="AL528" s="381"/>
    </row>
    <row r="529" spans="1:40" x14ac:dyDescent="0.25">
      <c r="J529" s="65"/>
      <c r="K529" s="65"/>
    </row>
    <row r="530" spans="1:40" x14ac:dyDescent="0.25">
      <c r="A530" s="53"/>
      <c r="C530" s="54"/>
      <c r="F530" s="379"/>
      <c r="H530" s="379"/>
      <c r="I530" s="379"/>
      <c r="J530" s="65"/>
      <c r="K530" s="65"/>
      <c r="L530" s="379"/>
      <c r="M530" s="379"/>
      <c r="N530" s="50"/>
      <c r="O530" s="50"/>
      <c r="P530" s="449"/>
      <c r="Q530" s="449"/>
      <c r="R530" s="379"/>
      <c r="T530" s="54"/>
      <c r="V530" s="379"/>
      <c r="Y530" s="379"/>
      <c r="AA530" s="379"/>
      <c r="AB530" s="379"/>
      <c r="AC530" s="60"/>
      <c r="AD530" s="60"/>
      <c r="AE530" s="379"/>
      <c r="AF530" s="379"/>
      <c r="AG530" s="156"/>
      <c r="AH530" s="60"/>
      <c r="AI530" s="449"/>
      <c r="AJ530" s="449"/>
      <c r="AK530" s="156"/>
      <c r="AL530" s="379"/>
      <c r="AM530" s="60"/>
      <c r="AN530" s="60"/>
    </row>
    <row r="531" spans="1:40" x14ac:dyDescent="0.25">
      <c r="H531" s="381"/>
      <c r="I531" s="381"/>
      <c r="J531" s="221"/>
      <c r="K531" s="221"/>
      <c r="L531" s="381"/>
      <c r="M531" s="381"/>
      <c r="N531" s="381"/>
      <c r="O531" s="381"/>
      <c r="P531" s="381"/>
      <c r="Q531" s="381"/>
      <c r="R531" s="381"/>
      <c r="V531" s="381"/>
      <c r="Y531" s="381"/>
      <c r="Z531" s="464"/>
      <c r="AA531" s="381"/>
      <c r="AB531" s="381"/>
      <c r="AC531" s="381"/>
      <c r="AD531" s="381"/>
      <c r="AE531" s="381"/>
      <c r="AF531" s="381"/>
      <c r="AI531" s="381"/>
      <c r="AJ531" s="381"/>
      <c r="AK531" s="162"/>
      <c r="AL531" s="381"/>
    </row>
    <row r="532" spans="1:40" x14ac:dyDescent="0.25">
      <c r="F532" s="381"/>
    </row>
    <row r="533" spans="1:40" x14ac:dyDescent="0.25">
      <c r="C533" s="53"/>
      <c r="T533" s="53"/>
    </row>
    <row r="534" spans="1:40" x14ac:dyDescent="0.25">
      <c r="A534" s="54"/>
    </row>
    <row r="535" spans="1:40" x14ac:dyDescent="0.25">
      <c r="J535" s="53"/>
      <c r="K535" s="53"/>
      <c r="Z535" s="53"/>
    </row>
    <row r="536" spans="1:40" x14ac:dyDescent="0.25">
      <c r="H536" s="54"/>
      <c r="I536" s="54"/>
      <c r="Y536" s="54"/>
    </row>
    <row r="537" spans="1:40" x14ac:dyDescent="0.25">
      <c r="J537" s="53"/>
      <c r="K537" s="53"/>
      <c r="Z537" s="53"/>
    </row>
    <row r="538" spans="1:40" x14ac:dyDescent="0.25">
      <c r="L538" s="54"/>
      <c r="M538" s="54"/>
      <c r="AA538" s="54"/>
      <c r="AB538" s="54"/>
    </row>
    <row r="539" spans="1:40" x14ac:dyDescent="0.25">
      <c r="A539" s="53"/>
      <c r="R539" s="54"/>
      <c r="AK539" s="161"/>
      <c r="AL539" s="54"/>
    </row>
    <row r="540" spans="1:40" x14ac:dyDescent="0.25">
      <c r="A540" s="53"/>
      <c r="R540" s="54"/>
      <c r="AK540" s="161"/>
      <c r="AL540" s="54"/>
    </row>
    <row r="541" spans="1:40" x14ac:dyDescent="0.25">
      <c r="A541" s="54"/>
      <c r="R541" s="54"/>
      <c r="AK541" s="161"/>
      <c r="AL541" s="54"/>
    </row>
    <row r="542" spans="1:40" x14ac:dyDescent="0.25">
      <c r="L542" s="54"/>
      <c r="M542" s="54"/>
      <c r="R542" s="53"/>
      <c r="AA542" s="54"/>
      <c r="AB542" s="54"/>
      <c r="AK542" s="156"/>
      <c r="AL542" s="53"/>
    </row>
    <row r="543" spans="1:40" x14ac:dyDescent="0.25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154"/>
      <c r="AH543" s="55"/>
      <c r="AI543" s="55"/>
      <c r="AJ543" s="55"/>
      <c r="AK543" s="154"/>
      <c r="AL543" s="55"/>
      <c r="AM543" s="55"/>
      <c r="AN543" s="55"/>
    </row>
    <row r="544" spans="1:40" x14ac:dyDescent="0.25">
      <c r="L544" s="56"/>
      <c r="M544" s="56"/>
      <c r="N544" s="56"/>
      <c r="O544" s="56"/>
      <c r="R544" s="56"/>
      <c r="AA544" s="56"/>
      <c r="AB544" s="56"/>
      <c r="AC544" s="56"/>
      <c r="AD544" s="56"/>
      <c r="AE544" s="56"/>
      <c r="AF544" s="56"/>
      <c r="AG544" s="155"/>
      <c r="AH544" s="56"/>
      <c r="AK544" s="155"/>
      <c r="AL544" s="56"/>
      <c r="AM544" s="56"/>
      <c r="AN544" s="56"/>
    </row>
    <row r="545" spans="1:40" x14ac:dyDescent="0.25">
      <c r="L545" s="56"/>
      <c r="M545" s="56"/>
      <c r="N545" s="56"/>
      <c r="O545" s="56"/>
      <c r="R545" s="56"/>
      <c r="Z545" s="56"/>
      <c r="AA545" s="56"/>
      <c r="AB545" s="56"/>
      <c r="AC545" s="56"/>
      <c r="AD545" s="56"/>
      <c r="AE545" s="56"/>
      <c r="AF545" s="56"/>
      <c r="AG545" s="155"/>
      <c r="AH545" s="56"/>
      <c r="AK545" s="155"/>
      <c r="AL545" s="56"/>
      <c r="AM545" s="56"/>
      <c r="AN545" s="56"/>
    </row>
    <row r="546" spans="1:40" x14ac:dyDescent="0.25">
      <c r="A546" s="56"/>
      <c r="C546" s="56"/>
      <c r="D546" s="56"/>
      <c r="E546" s="56"/>
      <c r="F546" s="56"/>
      <c r="J546" s="56"/>
      <c r="K546" s="56"/>
      <c r="L546" s="56"/>
      <c r="M546" s="56"/>
      <c r="N546" s="56"/>
      <c r="O546" s="56"/>
      <c r="P546" s="56"/>
      <c r="Q546" s="56"/>
      <c r="R546" s="56"/>
      <c r="T546" s="56"/>
      <c r="U546" s="56"/>
      <c r="V546" s="56"/>
      <c r="Z546" s="56"/>
      <c r="AA546" s="56"/>
      <c r="AB546" s="56"/>
      <c r="AC546" s="56"/>
      <c r="AD546" s="56"/>
      <c r="AE546" s="56"/>
      <c r="AF546" s="56"/>
      <c r="AG546" s="155"/>
      <c r="AH546" s="56"/>
      <c r="AI546" s="56"/>
      <c r="AJ546" s="56"/>
      <c r="AK546" s="155"/>
      <c r="AL546" s="56"/>
      <c r="AM546" s="56"/>
      <c r="AN546" s="56"/>
    </row>
    <row r="547" spans="1:40" x14ac:dyDescent="0.25">
      <c r="A547" s="56"/>
      <c r="C547" s="56"/>
      <c r="D547" s="56"/>
      <c r="E547" s="56"/>
      <c r="F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T547" s="56"/>
      <c r="U547" s="56"/>
      <c r="V547" s="56"/>
      <c r="Y547" s="56"/>
      <c r="Z547" s="56"/>
      <c r="AA547" s="56"/>
      <c r="AB547" s="56"/>
      <c r="AC547" s="56"/>
      <c r="AD547" s="56"/>
      <c r="AE547" s="56"/>
      <c r="AF547" s="56"/>
      <c r="AG547" s="155"/>
      <c r="AH547" s="56"/>
      <c r="AI547" s="56"/>
      <c r="AJ547" s="56"/>
      <c r="AK547" s="155"/>
      <c r="AL547" s="56"/>
      <c r="AM547" s="56"/>
      <c r="AN547" s="56"/>
    </row>
    <row r="548" spans="1:40" x14ac:dyDescent="0.25">
      <c r="C548" s="56"/>
      <c r="D548" s="56"/>
      <c r="E548" s="56"/>
      <c r="F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T548" s="56"/>
      <c r="U548" s="56"/>
      <c r="V548" s="56"/>
      <c r="Y548" s="56"/>
      <c r="Z548" s="56"/>
      <c r="AA548" s="56"/>
      <c r="AB548" s="56"/>
      <c r="AC548" s="56"/>
      <c r="AD548" s="56"/>
      <c r="AE548" s="56"/>
      <c r="AF548" s="56"/>
      <c r="AG548" s="155"/>
      <c r="AH548" s="56"/>
      <c r="AI548" s="56"/>
      <c r="AJ548" s="56"/>
      <c r="AK548" s="155"/>
      <c r="AL548" s="56"/>
      <c r="AM548" s="56"/>
      <c r="AN548" s="56"/>
    </row>
    <row r="549" spans="1:40" x14ac:dyDescent="0.25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154"/>
      <c r="AH549" s="55"/>
      <c r="AI549" s="55"/>
      <c r="AJ549" s="55"/>
      <c r="AK549" s="154"/>
      <c r="AL549" s="55"/>
      <c r="AM549" s="55"/>
      <c r="AN549" s="55"/>
    </row>
    <row r="550" spans="1:40" x14ac:dyDescent="0.25"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Y550" s="56"/>
      <c r="Z550" s="56"/>
      <c r="AA550" s="56"/>
      <c r="AB550" s="56"/>
      <c r="AC550" s="56"/>
      <c r="AD550" s="56"/>
      <c r="AE550" s="56"/>
      <c r="AF550" s="56"/>
      <c r="AG550" s="155"/>
      <c r="AH550" s="56"/>
      <c r="AI550" s="56"/>
      <c r="AJ550" s="56"/>
      <c r="AK550" s="155"/>
      <c r="AL550" s="56"/>
      <c r="AM550" s="56"/>
      <c r="AN550" s="56"/>
    </row>
    <row r="551" spans="1:40" x14ac:dyDescent="0.25">
      <c r="A551" s="53"/>
      <c r="C551" s="54"/>
      <c r="D551" s="54"/>
      <c r="E551" s="54"/>
      <c r="T551" s="54"/>
      <c r="U551" s="54"/>
    </row>
    <row r="553" spans="1:40" x14ac:dyDescent="0.25">
      <c r="A553" s="53"/>
      <c r="C553" s="54"/>
      <c r="D553" s="54"/>
      <c r="E553" s="54"/>
      <c r="T553" s="54"/>
      <c r="U553" s="54"/>
    </row>
    <row r="554" spans="1:40" x14ac:dyDescent="0.25">
      <c r="A554" s="53"/>
      <c r="C554" s="54"/>
      <c r="T554" s="54"/>
    </row>
    <row r="555" spans="1:40" x14ac:dyDescent="0.25">
      <c r="A555" s="53"/>
      <c r="C555" s="54"/>
      <c r="T555" s="54"/>
    </row>
    <row r="556" spans="1:40" x14ac:dyDescent="0.25">
      <c r="A556" s="53"/>
      <c r="C556" s="54"/>
      <c r="H556" s="449"/>
      <c r="I556" s="449"/>
      <c r="J556" s="221"/>
      <c r="K556" s="221"/>
      <c r="L556" s="379"/>
      <c r="M556" s="379"/>
      <c r="N556" s="50"/>
      <c r="O556" s="50"/>
      <c r="P556" s="379"/>
      <c r="Q556" s="379"/>
      <c r="R556" s="379"/>
      <c r="T556" s="54"/>
      <c r="V556" s="379"/>
      <c r="W556" s="379"/>
      <c r="X556" s="379"/>
      <c r="Y556" s="379"/>
      <c r="Z556" s="221"/>
      <c r="AA556" s="379"/>
      <c r="AB556" s="379"/>
      <c r="AC556" s="50"/>
      <c r="AD556" s="50"/>
      <c r="AE556" s="379"/>
      <c r="AF556" s="379"/>
      <c r="AG556" s="156"/>
      <c r="AH556" s="60"/>
      <c r="AI556" s="379"/>
      <c r="AJ556" s="379"/>
      <c r="AK556" s="156"/>
      <c r="AL556" s="379"/>
      <c r="AM556" s="50"/>
      <c r="AN556" s="50"/>
    </row>
    <row r="557" spans="1:40" x14ac:dyDescent="0.25">
      <c r="A557" s="53"/>
      <c r="C557" s="54"/>
      <c r="F557" s="449"/>
      <c r="J557" s="65"/>
      <c r="K557" s="65"/>
      <c r="T557" s="54"/>
      <c r="V557" s="379"/>
      <c r="W557" s="379"/>
      <c r="X557" s="379"/>
      <c r="Y557" s="379"/>
      <c r="Z557" s="221"/>
    </row>
    <row r="558" spans="1:40" x14ac:dyDescent="0.25">
      <c r="A558" s="53"/>
      <c r="C558" s="54"/>
      <c r="H558" s="449"/>
      <c r="I558" s="449"/>
      <c r="J558" s="221"/>
      <c r="K558" s="221"/>
      <c r="L558" s="379"/>
      <c r="M558" s="379"/>
      <c r="N558" s="50"/>
      <c r="O558" s="50"/>
      <c r="P558" s="379"/>
      <c r="Q558" s="379"/>
      <c r="R558" s="379"/>
      <c r="T558" s="54"/>
      <c r="V558" s="379"/>
      <c r="W558" s="379"/>
      <c r="X558" s="379"/>
      <c r="Y558" s="379"/>
      <c r="Z558" s="221"/>
      <c r="AA558" s="379"/>
      <c r="AB558" s="379"/>
      <c r="AC558" s="50"/>
      <c r="AD558" s="50"/>
      <c r="AE558" s="379"/>
      <c r="AF558" s="379"/>
      <c r="AG558" s="156"/>
      <c r="AH558" s="60"/>
      <c r="AI558" s="379"/>
      <c r="AJ558" s="379"/>
      <c r="AK558" s="156"/>
      <c r="AL558" s="379"/>
      <c r="AM558" s="50"/>
      <c r="AN558" s="50"/>
    </row>
    <row r="559" spans="1:40" x14ac:dyDescent="0.25">
      <c r="A559" s="53"/>
      <c r="C559" s="54"/>
      <c r="F559" s="449"/>
      <c r="J559" s="65"/>
      <c r="K559" s="65"/>
      <c r="T559" s="54"/>
      <c r="V559" s="379"/>
      <c r="W559" s="379"/>
      <c r="X559" s="379"/>
      <c r="Y559" s="379"/>
      <c r="Z559" s="221"/>
    </row>
    <row r="560" spans="1:40" x14ac:dyDescent="0.25">
      <c r="A560" s="53"/>
      <c r="C560" s="54"/>
      <c r="H560" s="449"/>
      <c r="I560" s="449"/>
      <c r="J560" s="221"/>
      <c r="K560" s="221"/>
      <c r="L560" s="379"/>
      <c r="M560" s="379"/>
      <c r="N560" s="50"/>
      <c r="O560" s="50"/>
      <c r="P560" s="379"/>
      <c r="Q560" s="379"/>
      <c r="R560" s="379"/>
      <c r="T560" s="54"/>
      <c r="V560" s="379"/>
      <c r="W560" s="379"/>
      <c r="X560" s="379"/>
      <c r="Y560" s="379"/>
      <c r="Z560" s="221"/>
      <c r="AA560" s="379"/>
      <c r="AB560" s="379"/>
      <c r="AC560" s="50"/>
      <c r="AD560" s="50"/>
      <c r="AE560" s="379"/>
      <c r="AF560" s="379"/>
      <c r="AG560" s="156"/>
      <c r="AH560" s="60"/>
      <c r="AI560" s="379"/>
      <c r="AJ560" s="379"/>
      <c r="AK560" s="156"/>
      <c r="AL560" s="379"/>
      <c r="AM560" s="50"/>
      <c r="AN560" s="50"/>
    </row>
    <row r="561" spans="1:40" x14ac:dyDescent="0.25">
      <c r="A561" s="53"/>
      <c r="C561" s="54"/>
      <c r="F561" s="449"/>
      <c r="J561" s="65"/>
      <c r="K561" s="65"/>
      <c r="T561" s="54"/>
      <c r="V561" s="379"/>
      <c r="W561" s="379"/>
      <c r="X561" s="379"/>
      <c r="Y561" s="379"/>
      <c r="Z561" s="221"/>
    </row>
    <row r="562" spans="1:40" x14ac:dyDescent="0.25">
      <c r="A562" s="53"/>
      <c r="C562" s="54"/>
      <c r="H562" s="449"/>
      <c r="I562" s="449"/>
      <c r="J562" s="221"/>
      <c r="K562" s="221"/>
      <c r="L562" s="379"/>
      <c r="M562" s="379"/>
      <c r="N562" s="50"/>
      <c r="O562" s="50"/>
      <c r="P562" s="379"/>
      <c r="Q562" s="379"/>
      <c r="R562" s="379"/>
      <c r="T562" s="54"/>
      <c r="V562" s="379"/>
      <c r="W562" s="379"/>
      <c r="X562" s="379"/>
      <c r="Y562" s="379"/>
      <c r="Z562" s="221"/>
      <c r="AA562" s="379"/>
      <c r="AB562" s="379"/>
      <c r="AC562" s="50"/>
      <c r="AD562" s="50"/>
      <c r="AE562" s="379"/>
      <c r="AF562" s="379"/>
      <c r="AG562" s="156"/>
      <c r="AH562" s="60"/>
      <c r="AI562" s="379"/>
      <c r="AJ562" s="379"/>
      <c r="AK562" s="156"/>
      <c r="AL562" s="379"/>
      <c r="AM562" s="50"/>
      <c r="AN562" s="50"/>
    </row>
    <row r="563" spans="1:40" x14ac:dyDescent="0.25">
      <c r="A563" s="53"/>
      <c r="C563" s="54"/>
      <c r="F563" s="449"/>
      <c r="J563" s="65"/>
      <c r="K563" s="65"/>
      <c r="T563" s="54"/>
      <c r="V563" s="379"/>
      <c r="W563" s="379"/>
      <c r="X563" s="379"/>
      <c r="Y563" s="379"/>
      <c r="Z563" s="221"/>
    </row>
    <row r="564" spans="1:40" x14ac:dyDescent="0.25">
      <c r="A564" s="53"/>
      <c r="C564" s="54"/>
      <c r="H564" s="449"/>
      <c r="I564" s="449"/>
      <c r="J564" s="221"/>
      <c r="K564" s="221"/>
      <c r="L564" s="379"/>
      <c r="M564" s="379"/>
      <c r="N564" s="50"/>
      <c r="O564" s="50"/>
      <c r="P564" s="379"/>
      <c r="Q564" s="379"/>
      <c r="R564" s="379"/>
      <c r="T564" s="54"/>
      <c r="V564" s="379"/>
      <c r="W564" s="379"/>
      <c r="X564" s="379"/>
      <c r="Y564" s="379"/>
      <c r="Z564" s="221"/>
      <c r="AA564" s="379"/>
      <c r="AB564" s="379"/>
      <c r="AC564" s="50"/>
      <c r="AD564" s="50"/>
      <c r="AE564" s="379"/>
      <c r="AF564" s="379"/>
      <c r="AG564" s="156"/>
      <c r="AH564" s="60"/>
      <c r="AI564" s="379"/>
      <c r="AJ564" s="379"/>
      <c r="AK564" s="156"/>
      <c r="AL564" s="379"/>
      <c r="AM564" s="50"/>
      <c r="AN564" s="50"/>
    </row>
    <row r="565" spans="1:40" x14ac:dyDescent="0.25">
      <c r="A565" s="53"/>
      <c r="C565" s="54"/>
      <c r="F565" s="449"/>
      <c r="J565" s="65"/>
      <c r="K565" s="65"/>
      <c r="T565" s="54"/>
      <c r="V565" s="379"/>
      <c r="W565" s="379"/>
      <c r="X565" s="379"/>
      <c r="Y565" s="379"/>
      <c r="Z565" s="221"/>
    </row>
    <row r="566" spans="1:40" x14ac:dyDescent="0.25">
      <c r="A566" s="53"/>
      <c r="C566" s="54"/>
      <c r="H566" s="449"/>
      <c r="I566" s="449"/>
      <c r="J566" s="221"/>
      <c r="K566" s="221"/>
      <c r="L566" s="379"/>
      <c r="M566" s="379"/>
      <c r="N566" s="50"/>
      <c r="O566" s="50"/>
      <c r="P566" s="379"/>
      <c r="Q566" s="379"/>
      <c r="R566" s="379"/>
      <c r="T566" s="54"/>
      <c r="V566" s="379"/>
      <c r="W566" s="379"/>
      <c r="X566" s="379"/>
      <c r="Y566" s="379"/>
      <c r="Z566" s="221"/>
      <c r="AA566" s="379"/>
      <c r="AB566" s="379"/>
      <c r="AC566" s="50"/>
      <c r="AD566" s="50"/>
      <c r="AE566" s="379"/>
      <c r="AF566" s="379"/>
      <c r="AG566" s="156"/>
      <c r="AH566" s="60"/>
      <c r="AI566" s="379"/>
      <c r="AJ566" s="379"/>
      <c r="AK566" s="156"/>
      <c r="AL566" s="379"/>
      <c r="AM566" s="50"/>
      <c r="AN566" s="50"/>
    </row>
    <row r="567" spans="1:40" x14ac:dyDescent="0.25">
      <c r="F567" s="449"/>
      <c r="H567" s="381"/>
      <c r="I567" s="381"/>
      <c r="J567" s="221"/>
      <c r="K567" s="221"/>
      <c r="L567" s="381"/>
      <c r="M567" s="381"/>
      <c r="N567" s="381"/>
      <c r="O567" s="381"/>
      <c r="P567" s="381"/>
      <c r="Q567" s="381"/>
      <c r="R567" s="381"/>
      <c r="V567" s="381"/>
      <c r="Y567" s="381"/>
      <c r="Z567" s="221"/>
      <c r="AA567" s="381"/>
      <c r="AB567" s="381"/>
      <c r="AC567" s="381"/>
      <c r="AD567" s="381"/>
      <c r="AE567" s="381"/>
      <c r="AF567" s="381"/>
      <c r="AI567" s="381"/>
      <c r="AJ567" s="381"/>
      <c r="AK567" s="162"/>
      <c r="AL567" s="381"/>
      <c r="AM567" s="50"/>
      <c r="AN567" s="50"/>
    </row>
    <row r="568" spans="1:40" x14ac:dyDescent="0.25">
      <c r="A568" s="53"/>
      <c r="C568" s="54"/>
      <c r="F568" s="381"/>
      <c r="H568" s="379"/>
      <c r="I568" s="379"/>
      <c r="J568" s="65"/>
      <c r="K568" s="65"/>
      <c r="L568" s="379"/>
      <c r="M568" s="379"/>
      <c r="N568" s="50"/>
      <c r="O568" s="50"/>
      <c r="P568" s="449"/>
      <c r="Q568" s="449"/>
      <c r="R568" s="379"/>
      <c r="T568" s="54"/>
      <c r="V568" s="379"/>
      <c r="W568" s="379"/>
      <c r="X568" s="379"/>
      <c r="Y568" s="379"/>
      <c r="Z568" s="221"/>
      <c r="AA568" s="379"/>
      <c r="AB568" s="379"/>
      <c r="AC568" s="50"/>
      <c r="AD568" s="50"/>
      <c r="AE568" s="379"/>
      <c r="AF568" s="379"/>
      <c r="AG568" s="156"/>
      <c r="AH568" s="60"/>
      <c r="AI568" s="449"/>
      <c r="AJ568" s="449"/>
      <c r="AK568" s="156"/>
      <c r="AL568" s="379"/>
      <c r="AM568" s="50"/>
      <c r="AN568" s="50"/>
    </row>
    <row r="569" spans="1:40" x14ac:dyDescent="0.25">
      <c r="F569" s="379"/>
      <c r="H569" s="381"/>
      <c r="I569" s="381"/>
      <c r="J569" s="221"/>
      <c r="K569" s="221"/>
      <c r="L569" s="381"/>
      <c r="M569" s="381"/>
      <c r="N569" s="381"/>
      <c r="O569" s="381"/>
      <c r="P569" s="381"/>
      <c r="Q569" s="381"/>
      <c r="R569" s="381"/>
      <c r="V569" s="381"/>
      <c r="Y569" s="381"/>
      <c r="Z569" s="221"/>
      <c r="AA569" s="381"/>
      <c r="AB569" s="381"/>
      <c r="AC569" s="381"/>
      <c r="AD569" s="381"/>
      <c r="AE569" s="381"/>
      <c r="AF569" s="381"/>
      <c r="AI569" s="381"/>
      <c r="AJ569" s="381"/>
      <c r="AK569" s="162"/>
      <c r="AL569" s="381"/>
    </row>
    <row r="570" spans="1:40" x14ac:dyDescent="0.25">
      <c r="A570" s="53"/>
      <c r="C570" s="54"/>
      <c r="D570" s="54"/>
      <c r="E570" s="54"/>
      <c r="F570" s="381"/>
      <c r="J570" s="65"/>
      <c r="K570" s="65"/>
      <c r="T570" s="54"/>
      <c r="U570" s="54"/>
      <c r="V570" s="379"/>
      <c r="W570" s="379"/>
      <c r="X570" s="379"/>
      <c r="Y570" s="379"/>
      <c r="Z570" s="221"/>
    </row>
    <row r="571" spans="1:40" x14ac:dyDescent="0.25">
      <c r="A571" s="53"/>
      <c r="C571" s="54"/>
      <c r="J571" s="65"/>
      <c r="K571" s="65"/>
      <c r="T571" s="54"/>
      <c r="V571" s="379"/>
      <c r="W571" s="379"/>
      <c r="X571" s="379"/>
      <c r="Y571" s="379"/>
      <c r="Z571" s="221"/>
    </row>
    <row r="572" spans="1:40" x14ac:dyDescent="0.25">
      <c r="A572" s="53"/>
      <c r="C572" s="54"/>
      <c r="J572" s="65"/>
      <c r="K572" s="65"/>
      <c r="T572" s="54"/>
      <c r="V572" s="379"/>
      <c r="W572" s="379"/>
      <c r="X572" s="379"/>
      <c r="Y572" s="379"/>
      <c r="Z572" s="221"/>
    </row>
    <row r="573" spans="1:40" x14ac:dyDescent="0.25">
      <c r="A573" s="53"/>
      <c r="C573" s="54"/>
      <c r="H573" s="449"/>
      <c r="I573" s="449"/>
      <c r="J573" s="221"/>
      <c r="K573" s="221"/>
      <c r="L573" s="379"/>
      <c r="M573" s="379"/>
      <c r="N573" s="50"/>
      <c r="O573" s="50"/>
      <c r="P573" s="379"/>
      <c r="Q573" s="379"/>
      <c r="R573" s="379"/>
      <c r="T573" s="54"/>
      <c r="V573" s="379"/>
      <c r="W573" s="379"/>
      <c r="X573" s="379"/>
      <c r="Y573" s="379"/>
      <c r="Z573" s="221"/>
      <c r="AA573" s="379"/>
      <c r="AB573" s="379"/>
      <c r="AC573" s="50"/>
      <c r="AD573" s="50"/>
      <c r="AE573" s="379"/>
      <c r="AF573" s="379"/>
      <c r="AG573" s="156"/>
      <c r="AH573" s="60"/>
      <c r="AI573" s="379"/>
      <c r="AJ573" s="379"/>
      <c r="AK573" s="156"/>
      <c r="AL573" s="379"/>
      <c r="AM573" s="50"/>
      <c r="AN573" s="50"/>
    </row>
    <row r="574" spans="1:40" x14ac:dyDescent="0.25">
      <c r="A574" s="53"/>
      <c r="C574" s="54"/>
      <c r="F574" s="449"/>
      <c r="J574" s="65"/>
      <c r="K574" s="65"/>
      <c r="T574" s="54"/>
      <c r="V574" s="379"/>
      <c r="W574" s="379"/>
      <c r="X574" s="379"/>
      <c r="Y574" s="379"/>
      <c r="Z574" s="221"/>
    </row>
    <row r="575" spans="1:40" x14ac:dyDescent="0.25">
      <c r="A575" s="53"/>
      <c r="C575" s="54"/>
      <c r="H575" s="449"/>
      <c r="I575" s="449"/>
      <c r="J575" s="221"/>
      <c r="K575" s="221"/>
      <c r="L575" s="379"/>
      <c r="M575" s="379"/>
      <c r="N575" s="50"/>
      <c r="O575" s="50"/>
      <c r="P575" s="379"/>
      <c r="Q575" s="379"/>
      <c r="R575" s="379"/>
      <c r="T575" s="54"/>
      <c r="V575" s="379"/>
      <c r="W575" s="379"/>
      <c r="X575" s="379"/>
      <c r="Y575" s="379"/>
      <c r="Z575" s="221"/>
      <c r="AA575" s="379"/>
      <c r="AB575" s="379"/>
      <c r="AC575" s="50"/>
      <c r="AD575" s="50"/>
      <c r="AE575" s="379"/>
      <c r="AF575" s="379"/>
      <c r="AG575" s="156"/>
      <c r="AH575" s="60"/>
      <c r="AI575" s="379"/>
      <c r="AJ575" s="379"/>
      <c r="AK575" s="156"/>
      <c r="AL575" s="379"/>
      <c r="AM575" s="50"/>
      <c r="AN575" s="50"/>
    </row>
    <row r="576" spans="1:40" x14ac:dyDescent="0.25">
      <c r="F576" s="449"/>
      <c r="H576" s="381"/>
      <c r="I576" s="381"/>
      <c r="J576" s="221"/>
      <c r="K576" s="221"/>
      <c r="L576" s="381"/>
      <c r="M576" s="381"/>
      <c r="N576" s="381"/>
      <c r="O576" s="381"/>
      <c r="P576" s="381"/>
      <c r="Q576" s="381"/>
      <c r="R576" s="381"/>
      <c r="V576" s="381"/>
      <c r="Y576" s="381"/>
      <c r="Z576" s="464"/>
      <c r="AA576" s="381"/>
      <c r="AB576" s="381"/>
      <c r="AC576" s="381"/>
      <c r="AD576" s="381"/>
      <c r="AE576" s="381"/>
      <c r="AF576" s="381"/>
      <c r="AI576" s="381"/>
      <c r="AJ576" s="381"/>
      <c r="AK576" s="162"/>
      <c r="AL576" s="381"/>
    </row>
    <row r="577" spans="1:40" x14ac:dyDescent="0.25">
      <c r="A577" s="53"/>
      <c r="C577" s="54"/>
      <c r="F577" s="381"/>
      <c r="H577" s="379"/>
      <c r="I577" s="379"/>
      <c r="L577" s="379"/>
      <c r="M577" s="379"/>
      <c r="N577" s="50"/>
      <c r="O577" s="50"/>
      <c r="P577" s="449"/>
      <c r="Q577" s="449"/>
      <c r="R577" s="379"/>
      <c r="T577" s="54"/>
      <c r="V577" s="379"/>
      <c r="W577" s="379"/>
      <c r="X577" s="379"/>
      <c r="Y577" s="379"/>
      <c r="Z577" s="477"/>
      <c r="AA577" s="379"/>
      <c r="AB577" s="379"/>
      <c r="AC577" s="50"/>
      <c r="AD577" s="50"/>
      <c r="AE577" s="379"/>
      <c r="AF577" s="379"/>
      <c r="AG577" s="156"/>
      <c r="AH577" s="60"/>
      <c r="AI577" s="449"/>
      <c r="AJ577" s="449"/>
      <c r="AK577" s="156"/>
      <c r="AL577" s="379"/>
      <c r="AM577" s="50"/>
      <c r="AN577" s="50"/>
    </row>
    <row r="578" spans="1:40" x14ac:dyDescent="0.25">
      <c r="F578" s="379"/>
      <c r="H578" s="381"/>
      <c r="I578" s="381"/>
      <c r="J578" s="464"/>
      <c r="K578" s="464"/>
      <c r="L578" s="381"/>
      <c r="M578" s="381"/>
      <c r="N578" s="381"/>
      <c r="O578" s="381"/>
      <c r="P578" s="381"/>
      <c r="Q578" s="381"/>
      <c r="R578" s="381"/>
      <c r="V578" s="381"/>
      <c r="Y578" s="381"/>
      <c r="Z578" s="464"/>
      <c r="AA578" s="381"/>
      <c r="AB578" s="381"/>
      <c r="AC578" s="381"/>
      <c r="AD578" s="381"/>
      <c r="AE578" s="381"/>
      <c r="AF578" s="381"/>
      <c r="AI578" s="381"/>
      <c r="AJ578" s="381"/>
      <c r="AK578" s="162"/>
      <c r="AL578" s="381"/>
    </row>
    <row r="579" spans="1:40" x14ac:dyDescent="0.25">
      <c r="A579" s="53"/>
      <c r="C579" s="54"/>
      <c r="D579" s="54"/>
      <c r="E579" s="54"/>
      <c r="F579" s="381"/>
      <c r="T579" s="54"/>
      <c r="U579" s="54"/>
      <c r="V579" s="379"/>
      <c r="W579" s="379"/>
      <c r="X579" s="379"/>
      <c r="Y579" s="379"/>
      <c r="Z579" s="477"/>
    </row>
    <row r="580" spans="1:40" x14ac:dyDescent="0.25">
      <c r="A580" s="53"/>
      <c r="C580" s="54"/>
      <c r="T580" s="54"/>
      <c r="V580" s="379"/>
      <c r="W580" s="379"/>
      <c r="X580" s="379"/>
      <c r="Y580" s="379"/>
      <c r="Z580" s="477"/>
    </row>
    <row r="581" spans="1:40" x14ac:dyDescent="0.25">
      <c r="A581" s="53"/>
      <c r="C581" s="54"/>
      <c r="H581" s="449"/>
      <c r="I581" s="449"/>
      <c r="J581" s="477"/>
      <c r="K581" s="477"/>
      <c r="L581" s="379"/>
      <c r="M581" s="379"/>
      <c r="N581" s="50"/>
      <c r="O581" s="50"/>
      <c r="P581" s="379"/>
      <c r="Q581" s="379"/>
      <c r="R581" s="379"/>
      <c r="T581" s="54"/>
      <c r="V581" s="379"/>
      <c r="W581" s="379"/>
      <c r="X581" s="379"/>
      <c r="Y581" s="379"/>
      <c r="Z581" s="477"/>
      <c r="AA581" s="379"/>
      <c r="AB581" s="379"/>
      <c r="AC581" s="50"/>
      <c r="AD581" s="50"/>
      <c r="AE581" s="379"/>
      <c r="AF581" s="379"/>
      <c r="AG581" s="156"/>
      <c r="AH581" s="60"/>
      <c r="AI581" s="379"/>
      <c r="AJ581" s="379"/>
      <c r="AK581" s="156"/>
      <c r="AL581" s="379"/>
      <c r="AM581" s="50"/>
      <c r="AN581" s="50"/>
    </row>
    <row r="582" spans="1:40" x14ac:dyDescent="0.25">
      <c r="A582" s="53"/>
      <c r="C582" s="54"/>
      <c r="F582" s="449"/>
      <c r="T582" s="54"/>
      <c r="V582" s="379"/>
      <c r="W582" s="379"/>
      <c r="X582" s="379"/>
      <c r="Y582" s="379"/>
      <c r="Z582" s="477"/>
    </row>
    <row r="583" spans="1:40" x14ac:dyDescent="0.25">
      <c r="A583" s="53"/>
      <c r="C583" s="54"/>
      <c r="H583" s="449"/>
      <c r="I583" s="449"/>
      <c r="J583" s="477"/>
      <c r="K583" s="477"/>
      <c r="L583" s="379"/>
      <c r="M583" s="379"/>
      <c r="N583" s="50"/>
      <c r="O583" s="50"/>
      <c r="P583" s="379"/>
      <c r="Q583" s="379"/>
      <c r="R583" s="379"/>
      <c r="T583" s="54"/>
      <c r="V583" s="379"/>
      <c r="W583" s="379"/>
      <c r="X583" s="379"/>
      <c r="Y583" s="379"/>
      <c r="Z583" s="477"/>
      <c r="AA583" s="379"/>
      <c r="AB583" s="379"/>
      <c r="AC583" s="50"/>
      <c r="AD583" s="50"/>
      <c r="AE583" s="379"/>
      <c r="AF583" s="379"/>
      <c r="AG583" s="156"/>
      <c r="AH583" s="60"/>
      <c r="AI583" s="379"/>
      <c r="AJ583" s="379"/>
      <c r="AK583" s="156"/>
      <c r="AL583" s="379"/>
      <c r="AM583" s="50"/>
      <c r="AN583" s="50"/>
    </row>
    <row r="584" spans="1:40" x14ac:dyDescent="0.25">
      <c r="A584" s="53"/>
      <c r="C584" s="54"/>
      <c r="F584" s="449"/>
      <c r="T584" s="54"/>
      <c r="V584" s="379"/>
      <c r="W584" s="379"/>
      <c r="X584" s="379"/>
      <c r="Y584" s="379"/>
      <c r="Z584" s="477"/>
    </row>
    <row r="585" spans="1:40" x14ac:dyDescent="0.25">
      <c r="A585" s="53"/>
      <c r="C585" s="54"/>
      <c r="H585" s="449"/>
      <c r="I585" s="449"/>
      <c r="J585" s="477"/>
      <c r="K585" s="477"/>
      <c r="L585" s="379"/>
      <c r="M585" s="379"/>
      <c r="N585" s="50"/>
      <c r="O585" s="50"/>
      <c r="P585" s="379"/>
      <c r="Q585" s="379"/>
      <c r="R585" s="379"/>
      <c r="T585" s="54"/>
      <c r="V585" s="379"/>
      <c r="W585" s="379"/>
      <c r="X585" s="379"/>
      <c r="Y585" s="379"/>
      <c r="Z585" s="477"/>
      <c r="AA585" s="379"/>
      <c r="AB585" s="379"/>
      <c r="AC585" s="50"/>
      <c r="AD585" s="50"/>
      <c r="AE585" s="379"/>
      <c r="AF585" s="379"/>
      <c r="AG585" s="156"/>
      <c r="AH585" s="60"/>
      <c r="AI585" s="379"/>
      <c r="AJ585" s="379"/>
      <c r="AK585" s="156"/>
      <c r="AL585" s="379"/>
      <c r="AM585" s="50"/>
      <c r="AN585" s="50"/>
    </row>
    <row r="586" spans="1:40" x14ac:dyDescent="0.25">
      <c r="A586" s="53"/>
      <c r="C586" s="54"/>
      <c r="F586" s="449"/>
      <c r="T586" s="54"/>
      <c r="V586" s="379"/>
      <c r="W586" s="379"/>
      <c r="X586" s="379"/>
      <c r="Y586" s="379"/>
      <c r="Z586" s="477"/>
    </row>
    <row r="587" spans="1:40" x14ac:dyDescent="0.25">
      <c r="A587" s="53"/>
      <c r="C587" s="54"/>
      <c r="H587" s="449"/>
      <c r="I587" s="449"/>
      <c r="J587" s="477"/>
      <c r="K587" s="477"/>
      <c r="L587" s="379"/>
      <c r="M587" s="379"/>
      <c r="N587" s="50"/>
      <c r="O587" s="50"/>
      <c r="P587" s="379"/>
      <c r="Q587" s="379"/>
      <c r="R587" s="379"/>
      <c r="T587" s="54"/>
      <c r="V587" s="379"/>
      <c r="W587" s="379"/>
      <c r="X587" s="379"/>
      <c r="Y587" s="379"/>
      <c r="Z587" s="477"/>
      <c r="AA587" s="379"/>
      <c r="AB587" s="379"/>
      <c r="AC587" s="50"/>
      <c r="AD587" s="50"/>
      <c r="AE587" s="379"/>
      <c r="AF587" s="379"/>
      <c r="AG587" s="156"/>
      <c r="AH587" s="60"/>
      <c r="AI587" s="379"/>
      <c r="AJ587" s="379"/>
      <c r="AK587" s="156"/>
      <c r="AL587" s="379"/>
      <c r="AM587" s="50"/>
      <c r="AN587" s="50"/>
    </row>
    <row r="588" spans="1:40" x14ac:dyDescent="0.25">
      <c r="F588" s="449"/>
      <c r="H588" s="381"/>
      <c r="I588" s="381"/>
      <c r="J588" s="464"/>
      <c r="K588" s="464"/>
      <c r="L588" s="381"/>
      <c r="M588" s="381"/>
      <c r="N588" s="381"/>
      <c r="O588" s="381"/>
      <c r="P588" s="381"/>
      <c r="Q588" s="381"/>
      <c r="R588" s="381"/>
      <c r="V588" s="381"/>
      <c r="Y588" s="381"/>
      <c r="Z588" s="464"/>
      <c r="AA588" s="381"/>
      <c r="AB588" s="381"/>
      <c r="AC588" s="381"/>
      <c r="AD588" s="381"/>
      <c r="AE588" s="381"/>
      <c r="AF588" s="381"/>
      <c r="AI588" s="381"/>
      <c r="AJ588" s="381"/>
      <c r="AK588" s="162"/>
      <c r="AL588" s="381"/>
    </row>
    <row r="589" spans="1:40" x14ac:dyDescent="0.25">
      <c r="A589" s="53"/>
      <c r="C589" s="54"/>
      <c r="F589" s="381"/>
      <c r="H589" s="379"/>
      <c r="I589" s="379"/>
      <c r="L589" s="379"/>
      <c r="M589" s="379"/>
      <c r="N589" s="50"/>
      <c r="O589" s="50"/>
      <c r="P589" s="449"/>
      <c r="Q589" s="449"/>
      <c r="R589" s="379"/>
      <c r="T589" s="54"/>
      <c r="V589" s="379"/>
      <c r="W589" s="379"/>
      <c r="X589" s="379"/>
      <c r="Y589" s="379"/>
      <c r="Z589" s="477"/>
      <c r="AA589" s="379"/>
      <c r="AB589" s="379"/>
      <c r="AC589" s="50"/>
      <c r="AD589" s="50"/>
      <c r="AE589" s="379"/>
      <c r="AF589" s="379"/>
      <c r="AG589" s="156"/>
      <c r="AH589" s="60"/>
      <c r="AI589" s="449"/>
      <c r="AJ589" s="449"/>
      <c r="AK589" s="156"/>
      <c r="AL589" s="379"/>
      <c r="AM589" s="50"/>
      <c r="AN589" s="50"/>
    </row>
    <row r="590" spans="1:40" x14ac:dyDescent="0.25">
      <c r="F590" s="379"/>
      <c r="H590" s="381"/>
      <c r="I590" s="381"/>
      <c r="J590" s="464"/>
      <c r="K590" s="464"/>
      <c r="L590" s="381"/>
      <c r="M590" s="381"/>
      <c r="N590" s="381"/>
      <c r="O590" s="381"/>
      <c r="P590" s="381"/>
      <c r="Q590" s="381"/>
      <c r="R590" s="381"/>
      <c r="V590" s="381"/>
      <c r="Y590" s="381"/>
      <c r="Z590" s="464"/>
      <c r="AA590" s="381"/>
      <c r="AB590" s="381"/>
      <c r="AC590" s="381"/>
      <c r="AD590" s="381"/>
      <c r="AE590" s="381"/>
      <c r="AF590" s="381"/>
      <c r="AI590" s="381"/>
      <c r="AJ590" s="381"/>
      <c r="AK590" s="162"/>
      <c r="AL590" s="381"/>
    </row>
    <row r="591" spans="1:40" x14ac:dyDescent="0.25">
      <c r="A591" s="53"/>
      <c r="C591" s="54"/>
      <c r="F591" s="381"/>
      <c r="H591" s="379"/>
      <c r="I591" s="379"/>
      <c r="L591" s="379"/>
      <c r="M591" s="379"/>
      <c r="N591" s="50"/>
      <c r="O591" s="50"/>
      <c r="P591" s="379"/>
      <c r="Q591" s="379"/>
      <c r="R591" s="379"/>
      <c r="T591" s="54"/>
      <c r="V591" s="379"/>
      <c r="W591" s="379"/>
      <c r="X591" s="379"/>
      <c r="Y591" s="379"/>
      <c r="AA591" s="379"/>
      <c r="AB591" s="379"/>
      <c r="AC591" s="50"/>
      <c r="AD591" s="50"/>
      <c r="AE591" s="379"/>
      <c r="AF591" s="379"/>
      <c r="AG591" s="156"/>
      <c r="AH591" s="60"/>
      <c r="AI591" s="379"/>
      <c r="AJ591" s="379"/>
      <c r="AK591" s="156"/>
      <c r="AL591" s="379"/>
      <c r="AM591" s="60"/>
      <c r="AN591" s="60"/>
    </row>
    <row r="592" spans="1:40" x14ac:dyDescent="0.25">
      <c r="F592" s="379"/>
      <c r="H592" s="381"/>
      <c r="I592" s="381"/>
      <c r="J592" s="464"/>
      <c r="K592" s="464"/>
      <c r="L592" s="381"/>
      <c r="M592" s="381"/>
      <c r="N592" s="381"/>
      <c r="O592" s="381"/>
      <c r="P592" s="381"/>
      <c r="Q592" s="381"/>
      <c r="R592" s="381"/>
      <c r="V592" s="381"/>
      <c r="Y592" s="381"/>
      <c r="Z592" s="464"/>
      <c r="AA592" s="381"/>
      <c r="AB592" s="381"/>
      <c r="AC592" s="381"/>
      <c r="AD592" s="381"/>
      <c r="AE592" s="381"/>
      <c r="AF592" s="381"/>
      <c r="AI592" s="381"/>
      <c r="AJ592" s="381"/>
      <c r="AK592" s="162"/>
      <c r="AL592" s="381"/>
    </row>
    <row r="594" spans="1:40" x14ac:dyDescent="0.25">
      <c r="C594" s="53"/>
      <c r="F594" s="381"/>
      <c r="T594" s="53"/>
    </row>
    <row r="595" spans="1:40" x14ac:dyDescent="0.25">
      <c r="A595" s="54"/>
    </row>
    <row r="596" spans="1:40" x14ac:dyDescent="0.25">
      <c r="J596" s="53"/>
      <c r="K596" s="53"/>
      <c r="Z596" s="53"/>
    </row>
    <row r="597" spans="1:40" x14ac:dyDescent="0.25">
      <c r="H597" s="54"/>
      <c r="I597" s="54"/>
      <c r="Y597" s="54"/>
    </row>
    <row r="598" spans="1:40" x14ac:dyDescent="0.25">
      <c r="J598" s="53"/>
      <c r="K598" s="53"/>
      <c r="Z598" s="53"/>
    </row>
    <row r="599" spans="1:40" x14ac:dyDescent="0.25">
      <c r="L599" s="54"/>
      <c r="M599" s="54"/>
      <c r="AA599" s="54"/>
      <c r="AB599" s="54"/>
    </row>
    <row r="600" spans="1:40" x14ac:dyDescent="0.25">
      <c r="A600" s="53"/>
      <c r="R600" s="54"/>
      <c r="AK600" s="161"/>
      <c r="AL600" s="54"/>
    </row>
    <row r="601" spans="1:40" x14ac:dyDescent="0.25">
      <c r="A601" s="53"/>
      <c r="R601" s="54"/>
      <c r="AK601" s="161"/>
      <c r="AL601" s="54"/>
    </row>
    <row r="602" spans="1:40" x14ac:dyDescent="0.25">
      <c r="A602" s="54"/>
      <c r="R602" s="54"/>
      <c r="AK602" s="161"/>
      <c r="AL602" s="54"/>
    </row>
    <row r="603" spans="1:40" x14ac:dyDescent="0.25">
      <c r="L603" s="54"/>
      <c r="M603" s="54"/>
      <c r="R603" s="53"/>
      <c r="AA603" s="54"/>
      <c r="AB603" s="54"/>
      <c r="AK603" s="156"/>
      <c r="AL603" s="53"/>
    </row>
    <row r="604" spans="1:40" x14ac:dyDescent="0.25">
      <c r="A604" s="55"/>
      <c r="B604" s="55"/>
      <c r="C604" s="55"/>
      <c r="D604" s="55"/>
      <c r="E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154"/>
      <c r="AH604" s="55"/>
      <c r="AI604" s="55"/>
      <c r="AJ604" s="55"/>
      <c r="AK604" s="154"/>
      <c r="AL604" s="55"/>
      <c r="AM604" s="55"/>
      <c r="AN604" s="55"/>
    </row>
    <row r="605" spans="1:40" x14ac:dyDescent="0.25">
      <c r="F605" s="55"/>
      <c r="L605" s="56"/>
      <c r="M605" s="56"/>
      <c r="N605" s="56"/>
      <c r="O605" s="56"/>
      <c r="R605" s="56"/>
      <c r="AA605" s="56"/>
      <c r="AB605" s="56"/>
      <c r="AC605" s="56"/>
      <c r="AD605" s="56"/>
      <c r="AE605" s="56"/>
      <c r="AF605" s="56"/>
      <c r="AG605" s="155"/>
      <c r="AH605" s="56"/>
      <c r="AK605" s="155"/>
      <c r="AL605" s="56"/>
      <c r="AM605" s="56"/>
      <c r="AN605" s="56"/>
    </row>
    <row r="606" spans="1:40" x14ac:dyDescent="0.25">
      <c r="L606" s="56"/>
      <c r="M606" s="56"/>
      <c r="N606" s="56"/>
      <c r="O606" s="56"/>
      <c r="R606" s="56"/>
      <c r="Z606" s="56"/>
      <c r="AA606" s="56"/>
      <c r="AB606" s="56"/>
      <c r="AC606" s="56"/>
      <c r="AD606" s="56"/>
      <c r="AE606" s="56"/>
      <c r="AF606" s="56"/>
      <c r="AG606" s="155"/>
      <c r="AH606" s="56"/>
      <c r="AK606" s="155"/>
      <c r="AL606" s="56"/>
      <c r="AM606" s="56"/>
      <c r="AN606" s="56"/>
    </row>
    <row r="607" spans="1:40" x14ac:dyDescent="0.25">
      <c r="A607" s="56"/>
      <c r="C607" s="56"/>
      <c r="D607" s="56"/>
      <c r="E607" s="56"/>
      <c r="J607" s="56"/>
      <c r="K607" s="56"/>
      <c r="L607" s="56"/>
      <c r="M607" s="56"/>
      <c r="N607" s="56"/>
      <c r="O607" s="56"/>
      <c r="P607" s="56"/>
      <c r="Q607" s="56"/>
      <c r="R607" s="56"/>
      <c r="T607" s="56"/>
      <c r="U607" s="56"/>
      <c r="V607" s="56"/>
      <c r="Z607" s="56"/>
      <c r="AA607" s="56"/>
      <c r="AB607" s="56"/>
      <c r="AC607" s="56"/>
      <c r="AD607" s="56"/>
      <c r="AE607" s="56"/>
      <c r="AF607" s="56"/>
      <c r="AG607" s="155"/>
      <c r="AH607" s="56"/>
      <c r="AI607" s="56"/>
      <c r="AJ607" s="56"/>
      <c r="AK607" s="155"/>
      <c r="AL607" s="56"/>
      <c r="AM607" s="56"/>
      <c r="AN607" s="56"/>
    </row>
    <row r="608" spans="1:40" x14ac:dyDescent="0.25">
      <c r="A608" s="56"/>
      <c r="C608" s="56"/>
      <c r="D608" s="56"/>
      <c r="E608" s="56"/>
      <c r="F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T608" s="56"/>
      <c r="U608" s="56"/>
      <c r="V608" s="56"/>
      <c r="Y608" s="56"/>
      <c r="Z608" s="56"/>
      <c r="AA608" s="56"/>
      <c r="AB608" s="56"/>
      <c r="AC608" s="56"/>
      <c r="AD608" s="56"/>
      <c r="AE608" s="56"/>
      <c r="AF608" s="56"/>
      <c r="AG608" s="155"/>
      <c r="AH608" s="56"/>
      <c r="AI608" s="56"/>
      <c r="AJ608" s="56"/>
      <c r="AK608" s="155"/>
      <c r="AL608" s="56"/>
      <c r="AM608" s="56"/>
      <c r="AN608" s="56"/>
    </row>
    <row r="609" spans="1:40" x14ac:dyDescent="0.25">
      <c r="C609" s="56"/>
      <c r="D609" s="56"/>
      <c r="E609" s="56"/>
      <c r="F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T609" s="56"/>
      <c r="U609" s="56"/>
      <c r="V609" s="56"/>
      <c r="Y609" s="56"/>
      <c r="Z609" s="56"/>
      <c r="AA609" s="56"/>
      <c r="AB609" s="56"/>
      <c r="AC609" s="56"/>
      <c r="AD609" s="56"/>
      <c r="AE609" s="56"/>
      <c r="AF609" s="56"/>
      <c r="AG609" s="155"/>
      <c r="AH609" s="56"/>
      <c r="AI609" s="56"/>
      <c r="AJ609" s="56"/>
      <c r="AK609" s="155"/>
      <c r="AL609" s="56"/>
      <c r="AM609" s="56"/>
      <c r="AN609" s="56"/>
    </row>
    <row r="610" spans="1:40" x14ac:dyDescent="0.25">
      <c r="A610" s="55"/>
      <c r="B610" s="55"/>
      <c r="C610" s="55"/>
      <c r="D610" s="55"/>
      <c r="E610" s="55"/>
      <c r="F610" s="56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154"/>
      <c r="AH610" s="55"/>
      <c r="AI610" s="55"/>
      <c r="AJ610" s="55"/>
      <c r="AK610" s="154"/>
      <c r="AL610" s="55"/>
      <c r="AM610" s="55"/>
      <c r="AN610" s="55"/>
    </row>
    <row r="611" spans="1:40" x14ac:dyDescent="0.25">
      <c r="F611" s="55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Y611" s="56"/>
      <c r="Z611" s="56"/>
      <c r="AA611" s="56"/>
      <c r="AB611" s="56"/>
      <c r="AC611" s="56"/>
      <c r="AD611" s="56"/>
      <c r="AE611" s="56"/>
      <c r="AF611" s="56"/>
      <c r="AG611" s="155"/>
      <c r="AH611" s="56"/>
      <c r="AI611" s="56"/>
      <c r="AJ611" s="56"/>
      <c r="AK611" s="155"/>
      <c r="AL611" s="56"/>
      <c r="AM611" s="56"/>
      <c r="AN611" s="56"/>
    </row>
    <row r="612" spans="1:40" x14ac:dyDescent="0.25">
      <c r="A612" s="53"/>
      <c r="C612" s="54"/>
      <c r="D612" s="54"/>
      <c r="E612" s="54"/>
      <c r="H612" s="379"/>
      <c r="I612" s="379"/>
      <c r="J612" s="59"/>
      <c r="K612" s="59"/>
      <c r="L612" s="379"/>
      <c r="M612" s="379"/>
      <c r="N612" s="59"/>
      <c r="O612" s="59"/>
      <c r="P612" s="379"/>
      <c r="Q612" s="379"/>
      <c r="R612" s="379"/>
      <c r="T612" s="54"/>
      <c r="U612" s="54"/>
      <c r="V612" s="379"/>
      <c r="Y612" s="379"/>
      <c r="Z612" s="59"/>
      <c r="AA612" s="379"/>
      <c r="AB612" s="379"/>
      <c r="AC612" s="59"/>
      <c r="AD612" s="59"/>
      <c r="AE612" s="379"/>
      <c r="AF612" s="379"/>
      <c r="AG612" s="156"/>
      <c r="AH612" s="60"/>
      <c r="AI612" s="379"/>
      <c r="AJ612" s="379"/>
      <c r="AK612" s="156"/>
      <c r="AL612" s="379"/>
      <c r="AM612" s="50"/>
      <c r="AN612" s="50"/>
    </row>
    <row r="613" spans="1:40" x14ac:dyDescent="0.25">
      <c r="F613" s="379"/>
      <c r="H613" s="381"/>
      <c r="I613" s="381"/>
      <c r="J613" s="464"/>
      <c r="K613" s="464"/>
      <c r="L613" s="381"/>
      <c r="M613" s="381"/>
      <c r="N613" s="381"/>
      <c r="O613" s="381"/>
      <c r="P613" s="381"/>
      <c r="Q613" s="381"/>
      <c r="R613" s="381"/>
      <c r="V613" s="381"/>
      <c r="Y613" s="381"/>
      <c r="Z613" s="464"/>
      <c r="AA613" s="381"/>
      <c r="AB613" s="381"/>
      <c r="AC613" s="381"/>
      <c r="AD613" s="381"/>
      <c r="AE613" s="381"/>
      <c r="AF613" s="381"/>
      <c r="AI613" s="381"/>
      <c r="AJ613" s="381"/>
      <c r="AK613" s="162"/>
      <c r="AL613" s="381"/>
      <c r="AM613" s="50"/>
      <c r="AN613" s="50"/>
    </row>
    <row r="614" spans="1:40" x14ac:dyDescent="0.25">
      <c r="A614" s="53"/>
      <c r="C614" s="54"/>
      <c r="F614" s="381"/>
      <c r="H614" s="379"/>
      <c r="I614" s="379"/>
      <c r="J614" s="59"/>
      <c r="K614" s="59"/>
      <c r="L614" s="379"/>
      <c r="M614" s="379"/>
      <c r="N614" s="59"/>
      <c r="O614" s="59"/>
      <c r="P614" s="379"/>
      <c r="Q614" s="379"/>
      <c r="R614" s="379"/>
      <c r="T614" s="54"/>
      <c r="V614" s="379"/>
      <c r="Y614" s="379"/>
      <c r="Z614" s="59"/>
      <c r="AA614" s="379"/>
      <c r="AB614" s="379"/>
      <c r="AC614" s="59"/>
      <c r="AD614" s="59"/>
      <c r="AE614" s="379"/>
      <c r="AF614" s="379"/>
      <c r="AG614" s="156"/>
      <c r="AH614" s="60"/>
      <c r="AI614" s="379"/>
      <c r="AJ614" s="379"/>
      <c r="AK614" s="156"/>
      <c r="AL614" s="379"/>
      <c r="AM614" s="50"/>
      <c r="AN614" s="50"/>
    </row>
    <row r="615" spans="1:40" x14ac:dyDescent="0.25">
      <c r="F615" s="379"/>
      <c r="H615" s="379"/>
      <c r="I615" s="379"/>
      <c r="J615" s="59"/>
      <c r="K615" s="59"/>
      <c r="L615" s="379"/>
      <c r="M615" s="379"/>
      <c r="N615" s="59"/>
      <c r="O615" s="59"/>
      <c r="P615" s="379"/>
      <c r="Q615" s="379"/>
      <c r="R615" s="379"/>
      <c r="V615" s="379"/>
      <c r="Y615" s="379"/>
      <c r="Z615" s="59"/>
      <c r="AA615" s="379"/>
      <c r="AB615" s="379"/>
      <c r="AC615" s="59"/>
      <c r="AD615" s="59"/>
      <c r="AG615" s="156"/>
      <c r="AH615" s="60"/>
      <c r="AI615" s="379"/>
      <c r="AJ615" s="379"/>
      <c r="AK615" s="156"/>
      <c r="AL615" s="379"/>
      <c r="AM615" s="50"/>
      <c r="AN615" s="50"/>
    </row>
    <row r="616" spans="1:40" x14ac:dyDescent="0.25">
      <c r="A616" s="53"/>
      <c r="C616" s="54"/>
      <c r="D616" s="54"/>
      <c r="E616" s="54"/>
      <c r="F616" s="379"/>
      <c r="H616" s="379"/>
      <c r="I616" s="379"/>
      <c r="J616" s="59"/>
      <c r="K616" s="59"/>
      <c r="L616" s="379"/>
      <c r="M616" s="379"/>
      <c r="N616" s="59"/>
      <c r="O616" s="59"/>
      <c r="P616" s="379"/>
      <c r="Q616" s="379"/>
      <c r="R616" s="379"/>
      <c r="T616" s="54"/>
      <c r="U616" s="54"/>
      <c r="V616" s="379"/>
      <c r="Y616" s="379"/>
      <c r="Z616" s="59"/>
      <c r="AA616" s="379"/>
      <c r="AB616" s="379"/>
      <c r="AC616" s="59"/>
      <c r="AD616" s="59"/>
      <c r="AE616" s="379"/>
      <c r="AF616" s="379"/>
      <c r="AG616" s="156"/>
      <c r="AH616" s="60"/>
      <c r="AI616" s="379"/>
      <c r="AJ616" s="379"/>
      <c r="AK616" s="156"/>
      <c r="AL616" s="379"/>
      <c r="AM616" s="50"/>
      <c r="AN616" s="50"/>
    </row>
    <row r="617" spans="1:40" x14ac:dyDescent="0.25">
      <c r="A617" s="53"/>
      <c r="C617" s="54"/>
      <c r="D617" s="54"/>
      <c r="E617" s="54"/>
      <c r="F617" s="379"/>
      <c r="H617" s="379"/>
      <c r="I617" s="379"/>
      <c r="J617" s="59"/>
      <c r="K617" s="59"/>
      <c r="L617" s="379"/>
      <c r="M617" s="379"/>
      <c r="N617" s="59"/>
      <c r="O617" s="59"/>
      <c r="P617" s="379"/>
      <c r="Q617" s="379"/>
      <c r="R617" s="379"/>
      <c r="T617" s="54"/>
      <c r="U617" s="54"/>
      <c r="V617" s="379"/>
      <c r="Y617" s="379"/>
      <c r="Z617" s="59"/>
      <c r="AA617" s="379"/>
      <c r="AB617" s="379"/>
      <c r="AC617" s="59"/>
      <c r="AD617" s="59"/>
      <c r="AE617" s="379"/>
      <c r="AF617" s="379"/>
      <c r="AG617" s="156"/>
      <c r="AH617" s="60"/>
      <c r="AI617" s="379"/>
      <c r="AJ617" s="379"/>
      <c r="AK617" s="156"/>
      <c r="AL617" s="379"/>
      <c r="AM617" s="50"/>
      <c r="AN617" s="50"/>
    </row>
    <row r="618" spans="1:40" x14ac:dyDescent="0.25">
      <c r="A618" s="53"/>
      <c r="C618" s="54"/>
      <c r="D618" s="54"/>
      <c r="E618" s="54"/>
      <c r="F618" s="379"/>
      <c r="H618" s="379"/>
      <c r="I618" s="379"/>
      <c r="J618" s="59"/>
      <c r="K618" s="59"/>
      <c r="L618" s="379"/>
      <c r="M618" s="379"/>
      <c r="N618" s="59"/>
      <c r="O618" s="59"/>
      <c r="P618" s="379"/>
      <c r="Q618" s="379"/>
      <c r="R618" s="379"/>
      <c r="T618" s="54"/>
      <c r="U618" s="54"/>
      <c r="V618" s="379"/>
      <c r="Y618" s="379"/>
      <c r="Z618" s="59"/>
      <c r="AA618" s="379"/>
      <c r="AB618" s="379"/>
      <c r="AC618" s="59"/>
      <c r="AD618" s="59"/>
      <c r="AE618" s="379"/>
      <c r="AF618" s="379"/>
      <c r="AG618" s="156"/>
      <c r="AH618" s="60"/>
      <c r="AI618" s="379"/>
      <c r="AJ618" s="379"/>
      <c r="AK618" s="156"/>
      <c r="AL618" s="379"/>
      <c r="AM618" s="50"/>
      <c r="AN618" s="50"/>
    </row>
    <row r="619" spans="1:40" x14ac:dyDescent="0.25">
      <c r="A619" s="53"/>
      <c r="C619" s="54"/>
      <c r="D619" s="54"/>
      <c r="E619" s="54"/>
      <c r="F619" s="379"/>
      <c r="H619" s="379"/>
      <c r="I619" s="379"/>
      <c r="J619" s="59"/>
      <c r="K619" s="59"/>
      <c r="L619" s="379"/>
      <c r="M619" s="379"/>
      <c r="N619" s="59"/>
      <c r="O619" s="59"/>
      <c r="P619" s="379"/>
      <c r="Q619" s="379"/>
      <c r="R619" s="379"/>
      <c r="T619" s="54"/>
      <c r="U619" s="54"/>
      <c r="V619" s="379"/>
      <c r="Y619" s="379"/>
      <c r="Z619" s="59"/>
      <c r="AA619" s="379"/>
      <c r="AB619" s="379"/>
      <c r="AC619" s="59"/>
      <c r="AD619" s="59"/>
      <c r="AE619" s="379"/>
      <c r="AF619" s="379"/>
      <c r="AG619" s="156"/>
      <c r="AH619" s="60"/>
      <c r="AI619" s="379"/>
      <c r="AJ619" s="379"/>
      <c r="AK619" s="156"/>
      <c r="AL619" s="379"/>
      <c r="AM619" s="50"/>
      <c r="AN619" s="50"/>
    </row>
    <row r="620" spans="1:40" x14ac:dyDescent="0.25">
      <c r="A620" s="53"/>
      <c r="C620" s="54"/>
      <c r="D620" s="54"/>
      <c r="E620" s="54"/>
      <c r="F620" s="379"/>
      <c r="H620" s="379"/>
      <c r="I620" s="379"/>
      <c r="J620" s="59"/>
      <c r="K620" s="59"/>
      <c r="L620" s="379"/>
      <c r="M620" s="379"/>
      <c r="N620" s="59"/>
      <c r="O620" s="59"/>
      <c r="P620" s="379"/>
      <c r="Q620" s="379"/>
      <c r="R620" s="379"/>
      <c r="T620" s="54"/>
      <c r="U620" s="54"/>
      <c r="V620" s="379"/>
      <c r="Y620" s="379"/>
      <c r="Z620" s="59"/>
      <c r="AA620" s="379"/>
      <c r="AB620" s="379"/>
      <c r="AC620" s="59"/>
      <c r="AD620" s="59"/>
      <c r="AE620" s="379"/>
      <c r="AF620" s="379"/>
      <c r="AG620" s="156"/>
      <c r="AH620" s="60"/>
      <c r="AI620" s="379"/>
      <c r="AJ620" s="379"/>
      <c r="AK620" s="156"/>
      <c r="AL620" s="379"/>
      <c r="AM620" s="50"/>
      <c r="AN620" s="50"/>
    </row>
    <row r="621" spans="1:40" x14ac:dyDescent="0.25">
      <c r="A621" s="53"/>
      <c r="C621" s="54"/>
      <c r="D621" s="54"/>
      <c r="E621" s="54"/>
      <c r="F621" s="379"/>
      <c r="H621" s="379"/>
      <c r="I621" s="379"/>
      <c r="J621" s="59"/>
      <c r="K621" s="59"/>
      <c r="L621" s="379"/>
      <c r="M621" s="379"/>
      <c r="N621" s="59"/>
      <c r="O621" s="59"/>
      <c r="P621" s="379"/>
      <c r="Q621" s="379"/>
      <c r="R621" s="379"/>
      <c r="T621" s="54"/>
      <c r="U621" s="54"/>
      <c r="V621" s="379"/>
      <c r="Y621" s="379"/>
      <c r="Z621" s="59"/>
      <c r="AA621" s="379"/>
      <c r="AB621" s="379"/>
      <c r="AC621" s="59"/>
      <c r="AD621" s="59"/>
      <c r="AE621" s="379"/>
      <c r="AF621" s="379"/>
      <c r="AG621" s="156"/>
      <c r="AH621" s="60"/>
      <c r="AI621" s="379"/>
      <c r="AJ621" s="379"/>
      <c r="AK621" s="156"/>
      <c r="AL621" s="379"/>
      <c r="AM621" s="50"/>
      <c r="AN621" s="50"/>
    </row>
    <row r="622" spans="1:40" x14ac:dyDescent="0.25">
      <c r="F622" s="379"/>
      <c r="H622" s="381"/>
      <c r="I622" s="381"/>
      <c r="J622" s="464"/>
      <c r="K622" s="464"/>
      <c r="L622" s="381"/>
      <c r="M622" s="381"/>
      <c r="N622" s="381"/>
      <c r="O622" s="381"/>
      <c r="P622" s="381"/>
      <c r="Q622" s="381"/>
      <c r="R622" s="381"/>
      <c r="V622" s="381"/>
      <c r="Y622" s="381"/>
      <c r="Z622" s="464"/>
      <c r="AA622" s="381"/>
      <c r="AB622" s="381"/>
      <c r="AC622" s="381"/>
      <c r="AD622" s="381"/>
      <c r="AE622" s="381"/>
      <c r="AF622" s="381"/>
      <c r="AI622" s="381"/>
      <c r="AJ622" s="381"/>
      <c r="AK622" s="162"/>
      <c r="AL622" s="381"/>
      <c r="AM622" s="50"/>
      <c r="AN622" s="50"/>
    </row>
    <row r="623" spans="1:40" x14ac:dyDescent="0.25">
      <c r="A623" s="53"/>
      <c r="C623" s="54"/>
      <c r="F623" s="381"/>
      <c r="H623" s="379"/>
      <c r="I623" s="379"/>
      <c r="J623" s="59"/>
      <c r="K623" s="59"/>
      <c r="L623" s="379"/>
      <c r="M623" s="379"/>
      <c r="N623" s="59"/>
      <c r="O623" s="59"/>
      <c r="P623" s="379"/>
      <c r="Q623" s="379"/>
      <c r="R623" s="379"/>
      <c r="T623" s="54"/>
      <c r="V623" s="379"/>
      <c r="Y623" s="379"/>
      <c r="Z623" s="59"/>
      <c r="AA623" s="379"/>
      <c r="AB623" s="379"/>
      <c r="AC623" s="59"/>
      <c r="AD623" s="59"/>
      <c r="AE623" s="379"/>
      <c r="AF623" s="379"/>
      <c r="AG623" s="156"/>
      <c r="AH623" s="60"/>
      <c r="AI623" s="379"/>
      <c r="AJ623" s="379"/>
      <c r="AK623" s="156"/>
      <c r="AL623" s="379"/>
      <c r="AM623" s="50"/>
      <c r="AN623" s="50"/>
    </row>
    <row r="624" spans="1:40" x14ac:dyDescent="0.25">
      <c r="F624" s="379"/>
      <c r="H624" s="379"/>
      <c r="I624" s="379"/>
      <c r="J624" s="59"/>
      <c r="K624" s="59"/>
      <c r="L624" s="379"/>
      <c r="M624" s="379"/>
      <c r="N624" s="59"/>
      <c r="O624" s="59"/>
      <c r="P624" s="379"/>
      <c r="Q624" s="379"/>
      <c r="R624" s="379"/>
      <c r="V624" s="379"/>
      <c r="Y624" s="379"/>
      <c r="Z624" s="59"/>
      <c r="AA624" s="379"/>
      <c r="AB624" s="379"/>
      <c r="AC624" s="59"/>
      <c r="AD624" s="59"/>
      <c r="AG624" s="156"/>
      <c r="AH624" s="60"/>
      <c r="AI624" s="379"/>
      <c r="AJ624" s="379"/>
      <c r="AK624" s="156"/>
      <c r="AL624" s="379"/>
      <c r="AM624" s="50"/>
      <c r="AN624" s="50"/>
    </row>
    <row r="625" spans="1:40" x14ac:dyDescent="0.25">
      <c r="A625" s="53"/>
      <c r="C625" s="54"/>
      <c r="D625" s="54"/>
      <c r="E625" s="54"/>
      <c r="F625" s="379"/>
      <c r="H625" s="379"/>
      <c r="I625" s="379"/>
      <c r="J625" s="59"/>
      <c r="K625" s="59"/>
      <c r="L625" s="379"/>
      <c r="M625" s="379"/>
      <c r="N625" s="59"/>
      <c r="O625" s="59"/>
      <c r="P625" s="379"/>
      <c r="Q625" s="379"/>
      <c r="R625" s="379"/>
      <c r="T625" s="54"/>
      <c r="U625" s="54"/>
      <c r="V625" s="379"/>
      <c r="Y625" s="379"/>
      <c r="Z625" s="59"/>
      <c r="AA625" s="379"/>
      <c r="AB625" s="379"/>
      <c r="AC625" s="59"/>
      <c r="AD625" s="59"/>
      <c r="AE625" s="379"/>
      <c r="AF625" s="379"/>
      <c r="AG625" s="156"/>
      <c r="AH625" s="60"/>
      <c r="AI625" s="379"/>
      <c r="AJ625" s="379"/>
      <c r="AK625" s="156"/>
      <c r="AL625" s="379"/>
      <c r="AM625" s="50"/>
      <c r="AN625" s="50"/>
    </row>
    <row r="626" spans="1:40" x14ac:dyDescent="0.25">
      <c r="F626" s="379"/>
      <c r="H626" s="381"/>
      <c r="I626" s="381"/>
      <c r="J626" s="464"/>
      <c r="K626" s="464"/>
      <c r="L626" s="381"/>
      <c r="M626" s="381"/>
      <c r="N626" s="381"/>
      <c r="O626" s="381"/>
      <c r="P626" s="381"/>
      <c r="Q626" s="381"/>
      <c r="R626" s="381"/>
      <c r="V626" s="381"/>
      <c r="Y626" s="381"/>
      <c r="Z626" s="464"/>
      <c r="AA626" s="381"/>
      <c r="AB626" s="381"/>
      <c r="AC626" s="381"/>
      <c r="AD626" s="381"/>
      <c r="AE626" s="381"/>
      <c r="AF626" s="381"/>
      <c r="AI626" s="381"/>
      <c r="AJ626" s="381"/>
      <c r="AK626" s="162"/>
      <c r="AL626" s="381"/>
      <c r="AM626" s="50"/>
      <c r="AN626" s="50"/>
    </row>
    <row r="627" spans="1:40" x14ac:dyDescent="0.25">
      <c r="A627" s="53"/>
      <c r="C627" s="54"/>
      <c r="F627" s="381"/>
      <c r="H627" s="379"/>
      <c r="I627" s="379"/>
      <c r="J627" s="59"/>
      <c r="K627" s="59"/>
      <c r="L627" s="379"/>
      <c r="M627" s="379"/>
      <c r="N627" s="59"/>
      <c r="O627" s="59"/>
      <c r="P627" s="379"/>
      <c r="Q627" s="379"/>
      <c r="R627" s="379"/>
      <c r="T627" s="54"/>
      <c r="V627" s="379"/>
      <c r="Y627" s="379"/>
      <c r="Z627" s="59"/>
      <c r="AA627" s="379"/>
      <c r="AB627" s="379"/>
      <c r="AC627" s="59"/>
      <c r="AD627" s="59"/>
      <c r="AE627" s="379"/>
      <c r="AF627" s="379"/>
      <c r="AG627" s="156"/>
      <c r="AH627" s="60"/>
      <c r="AI627" s="379"/>
      <c r="AJ627" s="379"/>
      <c r="AK627" s="156"/>
      <c r="AL627" s="379"/>
      <c r="AM627" s="50"/>
      <c r="AN627" s="50"/>
    </row>
    <row r="628" spans="1:40" x14ac:dyDescent="0.25">
      <c r="F628" s="379"/>
      <c r="H628" s="379"/>
      <c r="I628" s="379"/>
      <c r="J628" s="59"/>
      <c r="K628" s="59"/>
      <c r="L628" s="379"/>
      <c r="M628" s="379"/>
      <c r="N628" s="59"/>
      <c r="O628" s="59"/>
      <c r="P628" s="379"/>
      <c r="Q628" s="379"/>
      <c r="R628" s="379"/>
      <c r="V628" s="379"/>
      <c r="Y628" s="379"/>
      <c r="Z628" s="59"/>
      <c r="AA628" s="379"/>
      <c r="AB628" s="379"/>
      <c r="AC628" s="59"/>
      <c r="AD628" s="59"/>
      <c r="AG628" s="156"/>
      <c r="AH628" s="60"/>
      <c r="AI628" s="379"/>
      <c r="AJ628" s="379"/>
      <c r="AK628" s="156"/>
      <c r="AL628" s="379"/>
      <c r="AM628" s="50"/>
      <c r="AN628" s="50"/>
    </row>
    <row r="629" spans="1:40" x14ac:dyDescent="0.25">
      <c r="A629" s="53"/>
      <c r="C629" s="54"/>
      <c r="D629" s="54"/>
      <c r="E629" s="54"/>
      <c r="F629" s="379"/>
      <c r="H629" s="379"/>
      <c r="I629" s="379"/>
      <c r="J629" s="59"/>
      <c r="K629" s="59"/>
      <c r="L629" s="379"/>
      <c r="M629" s="379"/>
      <c r="N629" s="59"/>
      <c r="O629" s="59"/>
      <c r="P629" s="379"/>
      <c r="Q629" s="379"/>
      <c r="R629" s="379"/>
      <c r="T629" s="54"/>
      <c r="U629" s="54"/>
      <c r="V629" s="379"/>
      <c r="Y629" s="379"/>
      <c r="Z629" s="59"/>
      <c r="AA629" s="379"/>
      <c r="AB629" s="379"/>
      <c r="AC629" s="59"/>
      <c r="AD629" s="59"/>
      <c r="AE629" s="379"/>
      <c r="AF629" s="379"/>
      <c r="AG629" s="156"/>
      <c r="AH629" s="60"/>
      <c r="AI629" s="379"/>
      <c r="AJ629" s="379"/>
      <c r="AK629" s="156"/>
      <c r="AL629" s="379"/>
      <c r="AM629" s="50"/>
      <c r="AN629" s="50"/>
    </row>
    <row r="630" spans="1:40" x14ac:dyDescent="0.25">
      <c r="A630" s="53"/>
      <c r="C630" s="54"/>
      <c r="D630" s="54"/>
      <c r="E630" s="54"/>
      <c r="F630" s="379"/>
      <c r="G630" s="379"/>
      <c r="H630" s="379"/>
      <c r="I630" s="379"/>
      <c r="J630" s="59"/>
      <c r="K630" s="59"/>
      <c r="L630" s="379"/>
      <c r="M630" s="379"/>
      <c r="N630" s="59"/>
      <c r="O630" s="59"/>
      <c r="P630" s="379"/>
      <c r="Q630" s="379"/>
      <c r="R630" s="379"/>
      <c r="T630" s="54"/>
      <c r="U630" s="54"/>
      <c r="V630" s="379"/>
      <c r="W630" s="379"/>
      <c r="X630" s="379"/>
      <c r="Y630" s="379"/>
      <c r="Z630" s="59"/>
      <c r="AA630" s="379"/>
      <c r="AB630" s="379"/>
      <c r="AC630" s="59"/>
      <c r="AD630" s="59"/>
      <c r="AE630" s="379"/>
      <c r="AF630" s="379"/>
      <c r="AG630" s="156"/>
      <c r="AH630" s="60"/>
      <c r="AI630" s="379"/>
      <c r="AJ630" s="379"/>
      <c r="AK630" s="156"/>
      <c r="AL630" s="379"/>
      <c r="AM630" s="50"/>
      <c r="AN630" s="50"/>
    </row>
    <row r="631" spans="1:40" x14ac:dyDescent="0.25">
      <c r="A631" s="53"/>
      <c r="C631" s="54"/>
      <c r="D631" s="54"/>
      <c r="E631" s="54"/>
      <c r="F631" s="379"/>
      <c r="G631" s="379"/>
      <c r="H631" s="379"/>
      <c r="I631" s="379"/>
      <c r="J631" s="59"/>
      <c r="K631" s="59"/>
      <c r="L631" s="379"/>
      <c r="M631" s="379"/>
      <c r="N631" s="59"/>
      <c r="O631" s="59"/>
      <c r="P631" s="379"/>
      <c r="Q631" s="379"/>
      <c r="R631" s="379"/>
      <c r="T631" s="54"/>
      <c r="U631" s="54"/>
      <c r="V631" s="379"/>
      <c r="W631" s="379"/>
      <c r="X631" s="379"/>
      <c r="Y631" s="379"/>
      <c r="Z631" s="59"/>
      <c r="AA631" s="379"/>
      <c r="AB631" s="379"/>
      <c r="AC631" s="59"/>
      <c r="AD631" s="59"/>
      <c r="AE631" s="379"/>
      <c r="AF631" s="379"/>
      <c r="AG631" s="156"/>
      <c r="AH631" s="60"/>
      <c r="AI631" s="379"/>
      <c r="AJ631" s="379"/>
      <c r="AK631" s="156"/>
      <c r="AL631" s="379"/>
      <c r="AM631" s="50"/>
      <c r="AN631" s="50"/>
    </row>
    <row r="632" spans="1:40" x14ac:dyDescent="0.25">
      <c r="A632" s="53"/>
      <c r="C632" s="54"/>
      <c r="D632" s="54"/>
      <c r="E632" s="54"/>
      <c r="F632" s="379"/>
      <c r="H632" s="379"/>
      <c r="I632" s="379"/>
      <c r="J632" s="59"/>
      <c r="K632" s="59"/>
      <c r="L632" s="379"/>
      <c r="M632" s="379"/>
      <c r="N632" s="59"/>
      <c r="O632" s="59"/>
      <c r="P632" s="379"/>
      <c r="Q632" s="379"/>
      <c r="R632" s="379"/>
      <c r="T632" s="54"/>
      <c r="U632" s="54"/>
      <c r="V632" s="379"/>
      <c r="Y632" s="379"/>
      <c r="Z632" s="59"/>
      <c r="AA632" s="379"/>
      <c r="AB632" s="379"/>
      <c r="AC632" s="59"/>
      <c r="AD632" s="59"/>
      <c r="AE632" s="379"/>
      <c r="AF632" s="379"/>
      <c r="AG632" s="156"/>
      <c r="AH632" s="60"/>
      <c r="AI632" s="379"/>
      <c r="AJ632" s="379"/>
      <c r="AK632" s="156"/>
      <c r="AL632" s="379"/>
      <c r="AM632" s="50"/>
      <c r="AN632" s="50"/>
    </row>
    <row r="633" spans="1:40" x14ac:dyDescent="0.25">
      <c r="A633" s="53"/>
      <c r="C633" s="54"/>
      <c r="D633" s="54"/>
      <c r="E633" s="54"/>
      <c r="F633" s="379"/>
      <c r="H633" s="379"/>
      <c r="I633" s="379"/>
      <c r="J633" s="59"/>
      <c r="K633" s="59"/>
      <c r="L633" s="379"/>
      <c r="M633" s="379"/>
      <c r="N633" s="59"/>
      <c r="O633" s="59"/>
      <c r="P633" s="379"/>
      <c r="Q633" s="379"/>
      <c r="R633" s="379"/>
      <c r="T633" s="54"/>
      <c r="U633" s="54"/>
      <c r="V633" s="379"/>
      <c r="Y633" s="379"/>
      <c r="Z633" s="59"/>
      <c r="AA633" s="379"/>
      <c r="AB633" s="379"/>
      <c r="AC633" s="59"/>
      <c r="AD633" s="59"/>
      <c r="AE633" s="379"/>
      <c r="AF633" s="379"/>
      <c r="AG633" s="156"/>
      <c r="AH633" s="60"/>
      <c r="AI633" s="379"/>
      <c r="AJ633" s="379"/>
      <c r="AK633" s="156"/>
      <c r="AL633" s="379"/>
      <c r="AM633" s="50"/>
      <c r="AN633" s="50"/>
    </row>
    <row r="634" spans="1:40" x14ac:dyDescent="0.25">
      <c r="A634" s="53"/>
      <c r="C634" s="54"/>
      <c r="D634" s="54"/>
      <c r="E634" s="54"/>
      <c r="F634" s="379"/>
      <c r="H634" s="379"/>
      <c r="I634" s="379"/>
      <c r="J634" s="59"/>
      <c r="K634" s="59"/>
      <c r="L634" s="379"/>
      <c r="M634" s="379"/>
      <c r="N634" s="59"/>
      <c r="O634" s="59"/>
      <c r="P634" s="379"/>
      <c r="Q634" s="379"/>
      <c r="R634" s="379"/>
      <c r="T634" s="54"/>
      <c r="U634" s="54"/>
      <c r="V634" s="379"/>
      <c r="Y634" s="379"/>
      <c r="Z634" s="59"/>
      <c r="AA634" s="379"/>
      <c r="AB634" s="379"/>
      <c r="AC634" s="59"/>
      <c r="AD634" s="59"/>
      <c r="AE634" s="379"/>
      <c r="AF634" s="379"/>
      <c r="AG634" s="156"/>
      <c r="AH634" s="60"/>
      <c r="AI634" s="379"/>
      <c r="AJ634" s="379"/>
      <c r="AK634" s="156"/>
      <c r="AL634" s="379"/>
      <c r="AM634" s="50"/>
      <c r="AN634" s="50"/>
    </row>
    <row r="635" spans="1:40" x14ac:dyDescent="0.25">
      <c r="A635" s="53"/>
      <c r="C635" s="54"/>
      <c r="D635" s="54"/>
      <c r="E635" s="54"/>
      <c r="F635" s="379"/>
      <c r="H635" s="379"/>
      <c r="I635" s="379"/>
      <c r="J635" s="59"/>
      <c r="K635" s="59"/>
      <c r="L635" s="379"/>
      <c r="M635" s="379"/>
      <c r="N635" s="59"/>
      <c r="O635" s="59"/>
      <c r="P635" s="379"/>
      <c r="Q635" s="379"/>
      <c r="R635" s="379"/>
      <c r="T635" s="54"/>
      <c r="U635" s="54"/>
      <c r="V635" s="379"/>
      <c r="Y635" s="379"/>
      <c r="Z635" s="59"/>
      <c r="AA635" s="379"/>
      <c r="AB635" s="379"/>
      <c r="AC635" s="59"/>
      <c r="AD635" s="59"/>
      <c r="AE635" s="379"/>
      <c r="AF635" s="379"/>
      <c r="AG635" s="156"/>
      <c r="AH635" s="60"/>
      <c r="AI635" s="379"/>
      <c r="AJ635" s="379"/>
      <c r="AK635" s="156"/>
      <c r="AL635" s="379"/>
      <c r="AM635" s="50"/>
      <c r="AN635" s="50"/>
    </row>
    <row r="636" spans="1:40" x14ac:dyDescent="0.25">
      <c r="F636" s="379"/>
      <c r="H636" s="381"/>
      <c r="I636" s="381"/>
      <c r="J636" s="464"/>
      <c r="K636" s="464"/>
      <c r="L636" s="381"/>
      <c r="M636" s="381"/>
      <c r="N636" s="381"/>
      <c r="O636" s="381"/>
      <c r="P636" s="381"/>
      <c r="Q636" s="381"/>
      <c r="R636" s="381"/>
      <c r="V636" s="381"/>
      <c r="Y636" s="381"/>
      <c r="Z636" s="464"/>
      <c r="AA636" s="381"/>
      <c r="AB636" s="381"/>
      <c r="AC636" s="381"/>
      <c r="AD636" s="381"/>
      <c r="AE636" s="381"/>
      <c r="AF636" s="381"/>
      <c r="AI636" s="381"/>
      <c r="AJ636" s="381"/>
      <c r="AK636" s="162"/>
      <c r="AL636" s="381"/>
      <c r="AM636" s="50"/>
      <c r="AN636" s="50"/>
    </row>
    <row r="637" spans="1:40" x14ac:dyDescent="0.25">
      <c r="A637" s="53"/>
      <c r="C637" s="54"/>
      <c r="F637" s="381"/>
      <c r="H637" s="379"/>
      <c r="I637" s="379"/>
      <c r="J637" s="59"/>
      <c r="K637" s="59"/>
      <c r="L637" s="379"/>
      <c r="M637" s="379"/>
      <c r="N637" s="59"/>
      <c r="O637" s="59"/>
      <c r="P637" s="379"/>
      <c r="Q637" s="379"/>
      <c r="R637" s="379"/>
      <c r="T637" s="54"/>
      <c r="V637" s="379"/>
      <c r="Y637" s="379"/>
      <c r="Z637" s="59"/>
      <c r="AA637" s="379"/>
      <c r="AB637" s="379"/>
      <c r="AC637" s="59"/>
      <c r="AD637" s="59"/>
      <c r="AE637" s="379"/>
      <c r="AF637" s="379"/>
      <c r="AG637" s="156"/>
      <c r="AH637" s="60"/>
      <c r="AI637" s="379"/>
      <c r="AJ637" s="379"/>
      <c r="AK637" s="156"/>
      <c r="AL637" s="379"/>
      <c r="AM637" s="50"/>
      <c r="AN637" s="50"/>
    </row>
    <row r="638" spans="1:40" x14ac:dyDescent="0.25">
      <c r="F638" s="379"/>
      <c r="V638" s="379"/>
      <c r="Y638" s="379"/>
      <c r="Z638" s="464"/>
      <c r="AA638" s="379"/>
      <c r="AB638" s="379"/>
      <c r="AC638" s="379"/>
      <c r="AD638" s="379"/>
      <c r="AE638" s="379"/>
      <c r="AF638" s="379"/>
      <c r="AI638" s="379"/>
      <c r="AJ638" s="379"/>
      <c r="AK638" s="156"/>
      <c r="AL638" s="379"/>
      <c r="AM638" s="50"/>
      <c r="AN638" s="50"/>
    </row>
    <row r="639" spans="1:40" x14ac:dyDescent="0.25">
      <c r="A639" s="53"/>
      <c r="C639" s="54"/>
      <c r="D639" s="54"/>
      <c r="E639" s="54"/>
      <c r="L639" s="379"/>
      <c r="M639" s="379"/>
      <c r="N639" s="59"/>
      <c r="O639" s="59"/>
      <c r="P639" s="53"/>
      <c r="Q639" s="53"/>
      <c r="R639" s="379"/>
      <c r="T639" s="54"/>
      <c r="U639" s="54"/>
      <c r="AA639" s="379"/>
      <c r="AB639" s="379"/>
      <c r="AC639" s="59"/>
      <c r="AD639" s="59"/>
      <c r="AE639" s="379"/>
      <c r="AF639" s="379"/>
      <c r="AG639" s="156"/>
      <c r="AH639" s="60"/>
      <c r="AI639" s="53"/>
      <c r="AJ639" s="53"/>
      <c r="AK639" s="156"/>
      <c r="AL639" s="379"/>
      <c r="AM639" s="50"/>
      <c r="AN639" s="50"/>
    </row>
    <row r="640" spans="1:40" x14ac:dyDescent="0.25">
      <c r="A640" s="53"/>
      <c r="D640" s="54"/>
      <c r="E640" s="54"/>
      <c r="H640" s="449"/>
      <c r="I640" s="449"/>
      <c r="J640" s="59"/>
      <c r="K640" s="59"/>
      <c r="L640" s="379"/>
      <c r="M640" s="379"/>
      <c r="N640" s="59"/>
      <c r="O640" s="59"/>
      <c r="P640" s="449"/>
      <c r="Q640" s="449"/>
      <c r="R640" s="379"/>
      <c r="U640" s="54"/>
      <c r="V640" s="379"/>
      <c r="Y640" s="379"/>
      <c r="Z640" s="59"/>
      <c r="AA640" s="379"/>
      <c r="AB640" s="379"/>
      <c r="AC640" s="59"/>
      <c r="AD640" s="59"/>
      <c r="AE640" s="379"/>
      <c r="AF640" s="379"/>
      <c r="AG640" s="156"/>
      <c r="AH640" s="60"/>
      <c r="AI640" s="379"/>
      <c r="AJ640" s="379"/>
      <c r="AK640" s="156"/>
      <c r="AL640" s="379"/>
      <c r="AM640" s="50"/>
      <c r="AN640" s="50"/>
    </row>
    <row r="641" spans="1:40" x14ac:dyDescent="0.25">
      <c r="F641" s="449"/>
      <c r="H641" s="381"/>
      <c r="I641" s="381"/>
      <c r="J641" s="464"/>
      <c r="K641" s="464"/>
      <c r="L641" s="381"/>
      <c r="M641" s="381"/>
      <c r="N641" s="381"/>
      <c r="O641" s="381"/>
      <c r="P641" s="381"/>
      <c r="Q641" s="381"/>
      <c r="R641" s="381"/>
      <c r="V641" s="381"/>
      <c r="Y641" s="381"/>
      <c r="Z641" s="464"/>
      <c r="AA641" s="381"/>
      <c r="AB641" s="381"/>
      <c r="AC641" s="381"/>
      <c r="AD641" s="381"/>
      <c r="AE641" s="381"/>
      <c r="AF641" s="381"/>
      <c r="AI641" s="381"/>
      <c r="AJ641" s="381"/>
      <c r="AK641" s="162"/>
      <c r="AL641" s="381"/>
      <c r="AM641" s="50"/>
      <c r="AN641" s="50"/>
    </row>
    <row r="642" spans="1:40" x14ac:dyDescent="0.25">
      <c r="A642" s="53"/>
      <c r="C642" s="54"/>
      <c r="F642" s="381"/>
      <c r="H642" s="379"/>
      <c r="I642" s="379"/>
      <c r="J642" s="59"/>
      <c r="K642" s="59"/>
      <c r="L642" s="379"/>
      <c r="M642" s="379"/>
      <c r="N642" s="59"/>
      <c r="O642" s="59"/>
      <c r="P642" s="379"/>
      <c r="Q642" s="379"/>
      <c r="R642" s="379"/>
      <c r="T642" s="54"/>
      <c r="V642" s="379"/>
      <c r="Y642" s="379"/>
      <c r="Z642" s="59"/>
      <c r="AA642" s="379"/>
      <c r="AB642" s="379"/>
      <c r="AC642" s="59"/>
      <c r="AD642" s="59"/>
      <c r="AE642" s="379"/>
      <c r="AF642" s="379"/>
      <c r="AG642" s="156"/>
      <c r="AH642" s="60"/>
      <c r="AI642" s="379"/>
      <c r="AJ642" s="379"/>
      <c r="AK642" s="156"/>
      <c r="AL642" s="379"/>
      <c r="AM642" s="50"/>
      <c r="AN642" s="50"/>
    </row>
    <row r="643" spans="1:40" x14ac:dyDescent="0.25">
      <c r="F643" s="379"/>
      <c r="H643" s="379"/>
      <c r="I643" s="379"/>
      <c r="J643" s="59"/>
      <c r="K643" s="59"/>
      <c r="L643" s="379"/>
      <c r="M643" s="379"/>
      <c r="N643" s="59"/>
      <c r="O643" s="59"/>
      <c r="P643" s="379"/>
      <c r="Q643" s="379"/>
      <c r="R643" s="379"/>
      <c r="V643" s="379"/>
      <c r="Y643" s="379"/>
      <c r="Z643" s="59"/>
      <c r="AA643" s="379"/>
      <c r="AB643" s="379"/>
      <c r="AC643" s="59"/>
      <c r="AD643" s="59"/>
      <c r="AG643" s="156"/>
      <c r="AH643" s="60"/>
      <c r="AI643" s="379"/>
      <c r="AJ643" s="379"/>
      <c r="AK643" s="156"/>
      <c r="AL643" s="379"/>
      <c r="AM643" s="50"/>
      <c r="AN643" s="50"/>
    </row>
    <row r="644" spans="1:40" x14ac:dyDescent="0.25">
      <c r="A644" s="53"/>
      <c r="D644" s="54"/>
      <c r="E644" s="54"/>
      <c r="F644" s="379"/>
      <c r="H644" s="379"/>
      <c r="I644" s="379"/>
      <c r="J644" s="59"/>
      <c r="K644" s="59"/>
      <c r="L644" s="449"/>
      <c r="M644" s="449"/>
      <c r="N644" s="59"/>
      <c r="O644" s="59"/>
      <c r="P644" s="379"/>
      <c r="Q644" s="379"/>
      <c r="R644" s="379"/>
      <c r="U644" s="54"/>
      <c r="V644" s="379"/>
      <c r="Y644" s="379"/>
      <c r="Z644" s="59"/>
      <c r="AA644" s="449"/>
      <c r="AB644" s="449"/>
      <c r="AC644" s="59"/>
      <c r="AD644" s="59"/>
      <c r="AE644" s="379"/>
      <c r="AF644" s="379"/>
      <c r="AG644" s="156"/>
      <c r="AH644" s="60"/>
      <c r="AI644" s="379"/>
      <c r="AJ644" s="379"/>
      <c r="AK644" s="156"/>
      <c r="AL644" s="379"/>
      <c r="AM644" s="50"/>
      <c r="AN644" s="50"/>
    </row>
    <row r="645" spans="1:40" x14ac:dyDescent="0.25">
      <c r="A645" s="53"/>
      <c r="D645" s="54"/>
      <c r="E645" s="54"/>
      <c r="F645" s="379"/>
      <c r="H645" s="379"/>
      <c r="I645" s="379"/>
      <c r="J645" s="59"/>
      <c r="K645" s="59"/>
      <c r="L645" s="449"/>
      <c r="M645" s="449"/>
      <c r="N645" s="59"/>
      <c r="O645" s="59"/>
      <c r="P645" s="379"/>
      <c r="Q645" s="379"/>
      <c r="R645" s="379"/>
      <c r="U645" s="54"/>
      <c r="V645" s="379"/>
      <c r="Y645" s="379"/>
      <c r="Z645" s="59"/>
      <c r="AA645" s="449"/>
      <c r="AB645" s="449"/>
      <c r="AC645" s="59"/>
      <c r="AD645" s="59"/>
      <c r="AE645" s="379"/>
      <c r="AF645" s="379"/>
      <c r="AG645" s="156"/>
      <c r="AH645" s="60"/>
      <c r="AI645" s="379"/>
      <c r="AJ645" s="379"/>
      <c r="AK645" s="156"/>
      <c r="AL645" s="379"/>
      <c r="AM645" s="50"/>
      <c r="AN645" s="50"/>
    </row>
    <row r="646" spans="1:40" x14ac:dyDescent="0.25">
      <c r="A646" s="53"/>
      <c r="D646" s="54"/>
      <c r="E646" s="54"/>
      <c r="F646" s="379"/>
      <c r="H646" s="379"/>
      <c r="I646" s="379"/>
      <c r="J646" s="59"/>
      <c r="K646" s="59"/>
      <c r="L646" s="449"/>
      <c r="M646" s="449"/>
      <c r="N646" s="59"/>
      <c r="O646" s="59"/>
      <c r="P646" s="379"/>
      <c r="Q646" s="379"/>
      <c r="R646" s="379"/>
      <c r="U646" s="54"/>
      <c r="V646" s="379"/>
      <c r="Y646" s="379"/>
      <c r="Z646" s="59"/>
      <c r="AA646" s="449"/>
      <c r="AB646" s="449"/>
      <c r="AC646" s="59"/>
      <c r="AD646" s="59"/>
      <c r="AE646" s="379"/>
      <c r="AF646" s="379"/>
      <c r="AG646" s="156"/>
      <c r="AH646" s="60"/>
      <c r="AI646" s="379"/>
      <c r="AJ646" s="379"/>
      <c r="AK646" s="156"/>
      <c r="AL646" s="379"/>
      <c r="AM646" s="50"/>
      <c r="AN646" s="50"/>
    </row>
    <row r="647" spans="1:40" x14ac:dyDescent="0.25">
      <c r="F647" s="379"/>
      <c r="H647" s="381"/>
      <c r="I647" s="381"/>
      <c r="J647" s="464"/>
      <c r="K647" s="464"/>
      <c r="L647" s="381"/>
      <c r="M647" s="381"/>
      <c r="N647" s="381"/>
      <c r="O647" s="381"/>
      <c r="P647" s="381"/>
      <c r="Q647" s="381"/>
      <c r="R647" s="381"/>
      <c r="V647" s="381"/>
      <c r="Y647" s="381"/>
      <c r="Z647" s="464"/>
      <c r="AA647" s="381"/>
      <c r="AB647" s="381"/>
      <c r="AC647" s="381"/>
      <c r="AD647" s="381"/>
      <c r="AE647" s="381"/>
      <c r="AF647" s="381"/>
      <c r="AI647" s="381"/>
      <c r="AJ647" s="381"/>
      <c r="AK647" s="162"/>
      <c r="AL647" s="381"/>
      <c r="AM647" s="50"/>
      <c r="AN647" s="50"/>
    </row>
    <row r="648" spans="1:40" x14ac:dyDescent="0.25">
      <c r="A648" s="53"/>
      <c r="C648" s="54"/>
      <c r="F648" s="381"/>
      <c r="H648" s="379"/>
      <c r="I648" s="379"/>
      <c r="J648" s="59"/>
      <c r="K648" s="59"/>
      <c r="L648" s="379"/>
      <c r="M648" s="379"/>
      <c r="N648" s="59"/>
      <c r="O648" s="59"/>
      <c r="P648" s="379"/>
      <c r="Q648" s="379"/>
      <c r="R648" s="379"/>
      <c r="T648" s="54"/>
      <c r="V648" s="379"/>
      <c r="Y648" s="379"/>
      <c r="Z648" s="59"/>
      <c r="AA648" s="379"/>
      <c r="AB648" s="379"/>
      <c r="AC648" s="59"/>
      <c r="AD648" s="59"/>
      <c r="AE648" s="379"/>
      <c r="AF648" s="379"/>
      <c r="AG648" s="156"/>
      <c r="AH648" s="60"/>
      <c r="AI648" s="379"/>
      <c r="AJ648" s="379"/>
      <c r="AK648" s="156"/>
      <c r="AL648" s="379"/>
      <c r="AM648" s="50"/>
      <c r="AN648" s="50"/>
    </row>
    <row r="649" spans="1:40" x14ac:dyDescent="0.25">
      <c r="F649" s="379"/>
      <c r="H649" s="379"/>
      <c r="I649" s="379"/>
      <c r="J649" s="59"/>
      <c r="K649" s="59"/>
      <c r="L649" s="379"/>
      <c r="M649" s="379"/>
      <c r="N649" s="59"/>
      <c r="O649" s="59"/>
      <c r="P649" s="379"/>
      <c r="Q649" s="379"/>
      <c r="R649" s="379"/>
      <c r="V649" s="379"/>
      <c r="Y649" s="379"/>
      <c r="Z649" s="59"/>
      <c r="AA649" s="379"/>
      <c r="AB649" s="379"/>
      <c r="AC649" s="59"/>
      <c r="AD649" s="59"/>
      <c r="AG649" s="156"/>
      <c r="AH649" s="60"/>
      <c r="AI649" s="379"/>
      <c r="AJ649" s="379"/>
      <c r="AK649" s="156"/>
      <c r="AL649" s="379"/>
      <c r="AM649" s="50"/>
      <c r="AN649" s="50"/>
    </row>
    <row r="650" spans="1:40" x14ac:dyDescent="0.25">
      <c r="A650" s="53"/>
      <c r="C650" s="54"/>
      <c r="F650" s="379"/>
      <c r="H650" s="379"/>
      <c r="I650" s="379"/>
      <c r="J650" s="59"/>
      <c r="K650" s="59"/>
      <c r="L650" s="379"/>
      <c r="M650" s="379"/>
      <c r="N650" s="59"/>
      <c r="O650" s="59"/>
      <c r="P650" s="379"/>
      <c r="Q650" s="379"/>
      <c r="R650" s="379"/>
      <c r="T650" s="54"/>
      <c r="V650" s="379"/>
      <c r="Y650" s="379"/>
      <c r="Z650" s="59"/>
      <c r="AA650" s="379"/>
      <c r="AB650" s="379"/>
      <c r="AC650" s="59"/>
      <c r="AD650" s="59"/>
      <c r="AE650" s="379"/>
      <c r="AF650" s="379"/>
      <c r="AG650" s="156"/>
      <c r="AH650" s="60"/>
      <c r="AI650" s="379"/>
      <c r="AJ650" s="379"/>
      <c r="AK650" s="156"/>
      <c r="AL650" s="379"/>
      <c r="AM650" s="50"/>
      <c r="AN650" s="50"/>
    </row>
    <row r="651" spans="1:40" x14ac:dyDescent="0.25">
      <c r="F651" s="379"/>
      <c r="H651" s="381"/>
      <c r="I651" s="381"/>
      <c r="J651" s="464"/>
      <c r="K651" s="464"/>
      <c r="L651" s="381"/>
      <c r="M651" s="381"/>
      <c r="N651" s="381"/>
      <c r="O651" s="381"/>
      <c r="P651" s="381"/>
      <c r="Q651" s="381"/>
      <c r="R651" s="381"/>
      <c r="V651" s="381"/>
      <c r="Y651" s="381"/>
      <c r="Z651" s="464"/>
      <c r="AA651" s="381"/>
      <c r="AB651" s="381"/>
      <c r="AC651" s="381"/>
      <c r="AD651" s="381"/>
      <c r="AE651" s="381"/>
      <c r="AF651" s="381"/>
      <c r="AI651" s="381"/>
      <c r="AJ651" s="381"/>
      <c r="AK651" s="162"/>
      <c r="AL651" s="381"/>
    </row>
    <row r="653" spans="1:40" x14ac:dyDescent="0.25">
      <c r="C653" s="54"/>
      <c r="F653" s="381"/>
      <c r="L653" s="379"/>
      <c r="M653" s="379"/>
      <c r="P653" s="379"/>
      <c r="Q653" s="379"/>
      <c r="R653" s="379"/>
      <c r="T653" s="54"/>
    </row>
    <row r="654" spans="1:40" x14ac:dyDescent="0.25">
      <c r="A654" s="54"/>
      <c r="L654" s="379"/>
      <c r="M654" s="379"/>
      <c r="P654" s="379"/>
      <c r="Q654" s="379"/>
      <c r="R654" s="379"/>
    </row>
    <row r="655" spans="1:40" x14ac:dyDescent="0.25">
      <c r="L655" s="379"/>
      <c r="M655" s="379"/>
      <c r="P655" s="379"/>
      <c r="Q655" s="379"/>
      <c r="R655" s="379"/>
    </row>
    <row r="656" spans="1:40" x14ac:dyDescent="0.25">
      <c r="L656" s="379"/>
      <c r="M656" s="379"/>
      <c r="P656" s="379"/>
      <c r="Q656" s="379"/>
      <c r="R656" s="379"/>
    </row>
    <row r="657" spans="12:18" x14ac:dyDescent="0.25">
      <c r="L657" s="379"/>
      <c r="M657" s="379"/>
      <c r="P657" s="379"/>
      <c r="Q657" s="379"/>
      <c r="R657" s="379"/>
    </row>
    <row r="658" spans="12:18" x14ac:dyDescent="0.25">
      <c r="L658" s="379"/>
      <c r="M658" s="379"/>
      <c r="P658" s="379"/>
      <c r="Q658" s="379"/>
      <c r="R658" s="379"/>
    </row>
    <row r="659" spans="12:18" x14ac:dyDescent="0.25">
      <c r="L659" s="379"/>
      <c r="M659" s="379"/>
      <c r="P659" s="379"/>
      <c r="Q659" s="379"/>
      <c r="R659" s="379"/>
    </row>
    <row r="692" spans="49:49" x14ac:dyDescent="0.25">
      <c r="AW692" s="379"/>
    </row>
    <row r="693" spans="49:49" x14ac:dyDescent="0.25">
      <c r="AW693" s="379"/>
    </row>
    <row r="694" spans="49:49" x14ac:dyDescent="0.25">
      <c r="AW694" s="379"/>
    </row>
    <row r="695" spans="49:49" x14ac:dyDescent="0.25">
      <c r="AW695" s="379"/>
    </row>
    <row r="696" spans="49:49" x14ac:dyDescent="0.25">
      <c r="AW696" s="379"/>
    </row>
    <row r="697" spans="49:49" x14ac:dyDescent="0.25">
      <c r="AW697" s="379"/>
    </row>
    <row r="700" spans="49:49" x14ac:dyDescent="0.25">
      <c r="AW700" s="379"/>
    </row>
    <row r="701" spans="49:49" x14ac:dyDescent="0.25">
      <c r="AW701" s="379"/>
    </row>
    <row r="702" spans="49:49" x14ac:dyDescent="0.25">
      <c r="AW702" s="379"/>
    </row>
    <row r="703" spans="49:49" x14ac:dyDescent="0.25">
      <c r="AW703" s="379"/>
    </row>
    <row r="704" spans="49:49" x14ac:dyDescent="0.25">
      <c r="AW704" s="379"/>
    </row>
    <row r="705" spans="49:49" x14ac:dyDescent="0.25">
      <c r="AW705" s="379"/>
    </row>
    <row r="706" spans="49:49" x14ac:dyDescent="0.25">
      <c r="AW706" s="379"/>
    </row>
    <row r="707" spans="49:49" x14ac:dyDescent="0.25">
      <c r="AW707" s="379"/>
    </row>
    <row r="710" spans="49:49" x14ac:dyDescent="0.25">
      <c r="AW710" s="379"/>
    </row>
    <row r="711" spans="49:49" x14ac:dyDescent="0.25">
      <c r="AW711" s="379"/>
    </row>
    <row r="714" spans="49:49" x14ac:dyDescent="0.25">
      <c r="AW714" s="379"/>
    </row>
    <row r="715" spans="49:49" x14ac:dyDescent="0.25">
      <c r="AW715" s="379"/>
    </row>
    <row r="716" spans="49:49" x14ac:dyDescent="0.25">
      <c r="AW716" s="379"/>
    </row>
    <row r="717" spans="49:49" x14ac:dyDescent="0.25">
      <c r="AW717" s="379"/>
    </row>
    <row r="723" spans="45:69" x14ac:dyDescent="0.25">
      <c r="AY723" s="53"/>
    </row>
    <row r="724" spans="45:69" x14ac:dyDescent="0.25">
      <c r="AY724" s="53"/>
    </row>
    <row r="725" spans="45:69" x14ac:dyDescent="0.25">
      <c r="AY725" s="54"/>
    </row>
    <row r="726" spans="45:69" x14ac:dyDescent="0.25">
      <c r="AY726" s="54"/>
    </row>
    <row r="727" spans="45:69" x14ac:dyDescent="0.25">
      <c r="AS727" s="53"/>
      <c r="BD727" s="54"/>
    </row>
    <row r="728" spans="45:69" x14ac:dyDescent="0.25">
      <c r="AS728" s="53"/>
      <c r="BD728" s="54"/>
    </row>
    <row r="729" spans="45:69" x14ac:dyDescent="0.25">
      <c r="AS729" s="54"/>
      <c r="BD729" s="54"/>
    </row>
    <row r="730" spans="45:69" x14ac:dyDescent="0.25">
      <c r="BD730" s="53"/>
    </row>
    <row r="731" spans="45:69" x14ac:dyDescent="0.25"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</row>
    <row r="732" spans="45:69" x14ac:dyDescent="0.25">
      <c r="AX732" s="54"/>
    </row>
    <row r="733" spans="45:69" x14ac:dyDescent="0.25">
      <c r="AX733" s="55"/>
      <c r="AY733" s="55"/>
      <c r="AZ733" s="55"/>
      <c r="BA733" s="55"/>
      <c r="BC733" s="56"/>
      <c r="BD733" s="56"/>
    </row>
    <row r="734" spans="45:69" x14ac:dyDescent="0.25">
      <c r="AV734" s="56"/>
      <c r="AW734" s="56"/>
      <c r="AZ734" s="56"/>
      <c r="BA734" s="56"/>
      <c r="BC734" s="56"/>
      <c r="BD734" s="56"/>
      <c r="BE734" s="56"/>
      <c r="BG734" s="55"/>
      <c r="BH734" s="54"/>
      <c r="BK734" s="55"/>
      <c r="BM734" s="55"/>
      <c r="BN734" s="54"/>
      <c r="BQ734" s="55"/>
    </row>
    <row r="735" spans="45:69" x14ac:dyDescent="0.25"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H735" s="56"/>
      <c r="BI735" s="56"/>
      <c r="BJ735" s="56"/>
      <c r="BN735" s="56"/>
      <c r="BO735" s="56"/>
      <c r="BP735" s="56"/>
    </row>
    <row r="736" spans="45:69" x14ac:dyDescent="0.25">
      <c r="AS736" s="56"/>
      <c r="AU736" s="54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G736" s="56"/>
      <c r="BH736" s="56"/>
      <c r="BI736" s="56"/>
      <c r="BJ736" s="56"/>
      <c r="BK736" s="56"/>
      <c r="BM736" s="56"/>
      <c r="BN736" s="56"/>
      <c r="BO736" s="56"/>
      <c r="BP736" s="56"/>
      <c r="BQ736" s="56"/>
    </row>
    <row r="737" spans="45:69" x14ac:dyDescent="0.25">
      <c r="AS737" s="56"/>
      <c r="AU737" s="54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G737" s="56"/>
      <c r="BH737" s="56"/>
      <c r="BI737" s="56"/>
      <c r="BJ737" s="56"/>
      <c r="BK737" s="56"/>
      <c r="BM737" s="56"/>
      <c r="BN737" s="56"/>
      <c r="BO737" s="56"/>
      <c r="BP737" s="56"/>
      <c r="BQ737" s="56"/>
    </row>
    <row r="738" spans="45:69" x14ac:dyDescent="0.25"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G738" s="55"/>
      <c r="BH738" s="55"/>
      <c r="BI738" s="55"/>
      <c r="BJ738" s="55"/>
      <c r="BK738" s="55"/>
      <c r="BM738" s="55"/>
      <c r="BN738" s="55"/>
      <c r="BO738" s="55"/>
      <c r="BP738" s="55"/>
      <c r="BQ738" s="55"/>
    </row>
    <row r="739" spans="45:69" x14ac:dyDescent="0.25"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</row>
    <row r="740" spans="45:69" x14ac:dyDescent="0.25">
      <c r="AS740" s="53"/>
      <c r="AU740" s="54"/>
      <c r="AV740" s="56"/>
      <c r="AY740" s="59"/>
    </row>
    <row r="741" spans="45:69" x14ac:dyDescent="0.25">
      <c r="AS741" s="53"/>
      <c r="AV741" s="56"/>
      <c r="AW741" s="379"/>
      <c r="AX741" s="65"/>
      <c r="AY741" s="65"/>
      <c r="AZ741" s="65"/>
      <c r="BA741" s="50"/>
      <c r="BB741" s="65"/>
      <c r="BC741" s="59"/>
      <c r="BD741" s="59"/>
      <c r="BE741" s="50"/>
      <c r="BG741" s="65"/>
      <c r="BH741" s="65"/>
      <c r="BI741" s="65"/>
      <c r="BJ741" s="65"/>
      <c r="BK741" s="65"/>
      <c r="BM741" s="65"/>
      <c r="BN741" s="65"/>
      <c r="BO741" s="65"/>
      <c r="BP741" s="65"/>
      <c r="BQ741" s="65"/>
    </row>
    <row r="742" spans="45:69" x14ac:dyDescent="0.25">
      <c r="AS742" s="53"/>
      <c r="AV742" s="56"/>
      <c r="AW742" s="379"/>
      <c r="AX742" s="65"/>
      <c r="AY742" s="65"/>
      <c r="AZ742" s="65"/>
      <c r="BA742" s="50"/>
      <c r="BB742" s="65"/>
      <c r="BC742" s="59"/>
      <c r="BD742" s="59"/>
      <c r="BE742" s="50"/>
      <c r="BG742" s="65"/>
      <c r="BH742" s="65"/>
      <c r="BI742" s="65"/>
      <c r="BJ742" s="65"/>
      <c r="BK742" s="65"/>
      <c r="BM742" s="65"/>
      <c r="BN742" s="65"/>
      <c r="BO742" s="65"/>
      <c r="BP742" s="65"/>
      <c r="BQ742" s="65"/>
    </row>
    <row r="743" spans="45:69" x14ac:dyDescent="0.25">
      <c r="AS743" s="53"/>
      <c r="AV743" s="56"/>
      <c r="AW743" s="379"/>
      <c r="AX743" s="65"/>
      <c r="AY743" s="65"/>
      <c r="AZ743" s="65"/>
      <c r="BA743" s="50"/>
      <c r="BB743" s="65"/>
      <c r="BC743" s="59"/>
      <c r="BD743" s="59"/>
      <c r="BE743" s="50"/>
      <c r="BG743" s="65"/>
      <c r="BH743" s="65"/>
      <c r="BI743" s="65"/>
      <c r="BJ743" s="65"/>
      <c r="BK743" s="65"/>
      <c r="BM743" s="65"/>
      <c r="BN743" s="65"/>
      <c r="BO743" s="65"/>
      <c r="BP743" s="65"/>
      <c r="BQ743" s="65"/>
    </row>
    <row r="744" spans="45:69" x14ac:dyDescent="0.25">
      <c r="AS744" s="53"/>
      <c r="AV744" s="56"/>
      <c r="AW744" s="379"/>
      <c r="AX744" s="65"/>
      <c r="AY744" s="65"/>
      <c r="AZ744" s="65"/>
      <c r="BA744" s="50"/>
      <c r="BB744" s="65"/>
      <c r="BC744" s="59"/>
      <c r="BD744" s="59"/>
      <c r="BE744" s="50"/>
      <c r="BG744" s="65"/>
      <c r="BH744" s="65"/>
      <c r="BI744" s="65"/>
      <c r="BJ744" s="65"/>
      <c r="BK744" s="65"/>
      <c r="BM744" s="65"/>
      <c r="BN744" s="65"/>
      <c r="BO744" s="65"/>
      <c r="BP744" s="65"/>
      <c r="BQ744" s="65"/>
    </row>
    <row r="745" spans="45:69" x14ac:dyDescent="0.25">
      <c r="AS745" s="53"/>
      <c r="AV745" s="56"/>
      <c r="AW745" s="379"/>
      <c r="AX745" s="65"/>
      <c r="AY745" s="65"/>
      <c r="AZ745" s="65"/>
      <c r="BA745" s="50"/>
      <c r="BB745" s="65"/>
      <c r="BC745" s="59"/>
      <c r="BD745" s="59"/>
      <c r="BE745" s="50"/>
      <c r="BG745" s="65"/>
      <c r="BH745" s="65"/>
      <c r="BI745" s="65"/>
      <c r="BJ745" s="65"/>
      <c r="BK745" s="65"/>
      <c r="BM745" s="65"/>
      <c r="BN745" s="65"/>
      <c r="BO745" s="65"/>
      <c r="BP745" s="65"/>
      <c r="BQ745" s="65"/>
    </row>
    <row r="746" spans="45:69" x14ac:dyDescent="0.25">
      <c r="AS746" s="53"/>
      <c r="AV746" s="56"/>
      <c r="AW746" s="379"/>
      <c r="AX746" s="65"/>
      <c r="AY746" s="65"/>
      <c r="AZ746" s="65"/>
      <c r="BA746" s="50"/>
      <c r="BB746" s="65"/>
      <c r="BC746" s="59"/>
      <c r="BD746" s="59"/>
      <c r="BE746" s="50"/>
      <c r="BG746" s="65"/>
      <c r="BH746" s="65"/>
      <c r="BI746" s="65"/>
      <c r="BJ746" s="65"/>
      <c r="BK746" s="65"/>
      <c r="BM746" s="65"/>
      <c r="BN746" s="65"/>
      <c r="BO746" s="65"/>
      <c r="BP746" s="65"/>
      <c r="BQ746" s="65"/>
    </row>
    <row r="747" spans="45:69" x14ac:dyDescent="0.25">
      <c r="AS747" s="53"/>
      <c r="AV747" s="56"/>
      <c r="AW747" s="379"/>
      <c r="AX747" s="65"/>
      <c r="AY747" s="65"/>
      <c r="AZ747" s="65"/>
      <c r="BA747" s="50"/>
      <c r="BB747" s="65"/>
      <c r="BC747" s="59"/>
      <c r="BD747" s="59"/>
      <c r="BE747" s="50"/>
      <c r="BG747" s="65"/>
      <c r="BH747" s="65"/>
      <c r="BI747" s="65"/>
      <c r="BJ747" s="65"/>
      <c r="BK747" s="65"/>
      <c r="BM747" s="65"/>
      <c r="BN747" s="65"/>
      <c r="BO747" s="65"/>
      <c r="BP747" s="65"/>
      <c r="BQ747" s="65"/>
    </row>
    <row r="748" spans="45:69" x14ac:dyDescent="0.25">
      <c r="AY748" s="59"/>
      <c r="AZ748" s="65"/>
      <c r="BA748" s="50"/>
      <c r="BB748" s="65"/>
      <c r="BC748" s="59"/>
      <c r="BD748" s="59"/>
      <c r="BE748" s="50"/>
      <c r="BK748" s="65"/>
      <c r="BQ748" s="65"/>
    </row>
    <row r="749" spans="45:69" x14ac:dyDescent="0.25">
      <c r="AS749" s="53"/>
      <c r="AV749" s="56"/>
      <c r="AY749" s="59"/>
      <c r="AZ749" s="65"/>
      <c r="BA749" s="50"/>
      <c r="BB749" s="65"/>
      <c r="BC749" s="59"/>
      <c r="BD749" s="59"/>
      <c r="BE749" s="50"/>
      <c r="BK749" s="65"/>
      <c r="BQ749" s="65"/>
    </row>
    <row r="750" spans="45:69" x14ac:dyDescent="0.25">
      <c r="AS750" s="53"/>
      <c r="AV750" s="56"/>
      <c r="AW750" s="379"/>
      <c r="AX750" s="65"/>
      <c r="AY750" s="65"/>
      <c r="AZ750" s="65"/>
      <c r="BA750" s="50"/>
      <c r="BB750" s="65"/>
      <c r="BC750" s="59"/>
      <c r="BD750" s="59"/>
      <c r="BE750" s="50"/>
      <c r="BG750" s="65"/>
      <c r="BH750" s="65"/>
      <c r="BI750" s="65"/>
      <c r="BJ750" s="65"/>
      <c r="BK750" s="65"/>
      <c r="BM750" s="65"/>
      <c r="BN750" s="65"/>
      <c r="BO750" s="65"/>
      <c r="BP750" s="65"/>
      <c r="BQ750" s="65"/>
    </row>
    <row r="751" spans="45:69" x14ac:dyDescent="0.25">
      <c r="AS751" s="53"/>
      <c r="AV751" s="56"/>
      <c r="AW751" s="379"/>
      <c r="AX751" s="65"/>
      <c r="AY751" s="65"/>
      <c r="AZ751" s="65"/>
      <c r="BA751" s="50"/>
      <c r="BB751" s="65"/>
      <c r="BC751" s="59"/>
      <c r="BD751" s="59"/>
      <c r="BE751" s="50"/>
      <c r="BG751" s="65"/>
      <c r="BH751" s="65"/>
      <c r="BI751" s="65"/>
      <c r="BJ751" s="65"/>
      <c r="BK751" s="65"/>
      <c r="BM751" s="65"/>
      <c r="BN751" s="65"/>
      <c r="BO751" s="65"/>
      <c r="BP751" s="65"/>
      <c r="BQ751" s="65"/>
    </row>
    <row r="752" spans="45:69" x14ac:dyDescent="0.25">
      <c r="AS752" s="53"/>
      <c r="AV752" s="56"/>
      <c r="AW752" s="379"/>
      <c r="AX752" s="65"/>
      <c r="AY752" s="65"/>
      <c r="AZ752" s="65"/>
      <c r="BA752" s="50"/>
      <c r="BB752" s="65"/>
      <c r="BC752" s="59"/>
      <c r="BD752" s="59"/>
      <c r="BE752" s="50"/>
      <c r="BG752" s="65"/>
      <c r="BH752" s="65"/>
      <c r="BI752" s="65"/>
      <c r="BJ752" s="65"/>
      <c r="BK752" s="65"/>
      <c r="BM752" s="65"/>
      <c r="BN752" s="65"/>
      <c r="BO752" s="65"/>
      <c r="BP752" s="65"/>
      <c r="BQ752" s="65"/>
    </row>
    <row r="753" spans="45:69" x14ac:dyDescent="0.25">
      <c r="AS753" s="53"/>
      <c r="AV753" s="56"/>
      <c r="AW753" s="379"/>
      <c r="AX753" s="65"/>
      <c r="AY753" s="65"/>
      <c r="AZ753" s="65"/>
      <c r="BA753" s="50"/>
      <c r="BB753" s="65"/>
      <c r="BC753" s="59"/>
      <c r="BD753" s="59"/>
      <c r="BE753" s="50"/>
      <c r="BG753" s="65"/>
      <c r="BH753" s="65"/>
      <c r="BI753" s="65"/>
      <c r="BJ753" s="65"/>
      <c r="BK753" s="65"/>
      <c r="BM753" s="65"/>
      <c r="BN753" s="65"/>
      <c r="BO753" s="65"/>
      <c r="BP753" s="65"/>
      <c r="BQ753" s="65"/>
    </row>
    <row r="754" spans="45:69" x14ac:dyDescent="0.25">
      <c r="AS754" s="53"/>
      <c r="AV754" s="56"/>
      <c r="AW754" s="379"/>
      <c r="AX754" s="65"/>
      <c r="AY754" s="65"/>
      <c r="AZ754" s="65"/>
      <c r="BA754" s="50"/>
      <c r="BB754" s="65"/>
      <c r="BC754" s="59"/>
      <c r="BD754" s="59"/>
      <c r="BE754" s="50"/>
      <c r="BG754" s="65"/>
      <c r="BH754" s="65"/>
      <c r="BI754" s="65"/>
      <c r="BJ754" s="65"/>
      <c r="BK754" s="65"/>
      <c r="BM754" s="65"/>
      <c r="BN754" s="65"/>
      <c r="BO754" s="65"/>
      <c r="BP754" s="65"/>
      <c r="BQ754" s="65"/>
    </row>
    <row r="755" spans="45:69" x14ac:dyDescent="0.25">
      <c r="AS755" s="53"/>
      <c r="AV755" s="56"/>
      <c r="AW755" s="379"/>
      <c r="AX755" s="65"/>
      <c r="AY755" s="65"/>
      <c r="AZ755" s="65"/>
      <c r="BA755" s="50"/>
      <c r="BB755" s="65"/>
      <c r="BC755" s="59"/>
      <c r="BD755" s="59"/>
      <c r="BE755" s="50"/>
      <c r="BG755" s="65"/>
      <c r="BH755" s="65"/>
      <c r="BI755" s="65"/>
      <c r="BJ755" s="65"/>
      <c r="BK755" s="65"/>
      <c r="BM755" s="65"/>
      <c r="BN755" s="65"/>
      <c r="BO755" s="65"/>
      <c r="BP755" s="65"/>
      <c r="BQ755" s="65"/>
    </row>
    <row r="756" spans="45:69" x14ac:dyDescent="0.25">
      <c r="AS756" s="53"/>
      <c r="AV756" s="56"/>
      <c r="AW756" s="379"/>
      <c r="AX756" s="65"/>
      <c r="AY756" s="65"/>
      <c r="AZ756" s="65"/>
      <c r="BA756" s="50"/>
      <c r="BB756" s="65"/>
      <c r="BC756" s="59"/>
      <c r="BD756" s="59"/>
      <c r="BE756" s="50"/>
      <c r="BG756" s="65"/>
      <c r="BH756" s="65"/>
      <c r="BI756" s="65"/>
      <c r="BJ756" s="65"/>
      <c r="BK756" s="65"/>
      <c r="BM756" s="65"/>
      <c r="BN756" s="65"/>
      <c r="BO756" s="65"/>
      <c r="BP756" s="65"/>
      <c r="BQ756" s="65"/>
    </row>
    <row r="757" spans="45:69" x14ac:dyDescent="0.25">
      <c r="AS757" s="53"/>
      <c r="AV757" s="56"/>
      <c r="AW757" s="379"/>
      <c r="AX757" s="65"/>
      <c r="AY757" s="65"/>
      <c r="AZ757" s="65"/>
      <c r="BA757" s="50"/>
      <c r="BB757" s="65"/>
      <c r="BC757" s="59"/>
      <c r="BD757" s="59"/>
      <c r="BE757" s="50"/>
      <c r="BG757" s="65"/>
      <c r="BH757" s="65"/>
      <c r="BI757" s="65"/>
      <c r="BJ757" s="65"/>
      <c r="BK757" s="65"/>
      <c r="BM757" s="65"/>
      <c r="BN757" s="65"/>
      <c r="BO757" s="65"/>
      <c r="BP757" s="65"/>
      <c r="BQ757" s="65"/>
    </row>
    <row r="758" spans="45:69" x14ac:dyDescent="0.25">
      <c r="AY758" s="59"/>
      <c r="AZ758" s="65"/>
      <c r="BA758" s="50"/>
      <c r="BB758" s="65"/>
      <c r="BC758" s="59"/>
      <c r="BD758" s="59"/>
      <c r="BE758" s="50"/>
      <c r="BK758" s="65"/>
      <c r="BQ758" s="65"/>
    </row>
    <row r="759" spans="45:69" x14ac:dyDescent="0.25">
      <c r="AU759" s="54"/>
      <c r="AZ759" s="65"/>
      <c r="BB759" s="65"/>
      <c r="BG759" s="65"/>
      <c r="BH759" s="65"/>
      <c r="BJ759" s="65"/>
      <c r="BK759" s="65"/>
    </row>
    <row r="760" spans="45:69" x14ac:dyDescent="0.25">
      <c r="AZ760" s="65"/>
      <c r="BB760" s="65"/>
    </row>
    <row r="761" spans="45:69" x14ac:dyDescent="0.25">
      <c r="AS761" s="54"/>
      <c r="AZ761" s="65"/>
      <c r="BB761" s="65"/>
      <c r="BI761" s="65"/>
    </row>
    <row r="762" spans="45:69" x14ac:dyDescent="0.25">
      <c r="AY762" s="53"/>
      <c r="AZ762" s="65"/>
      <c r="BB762" s="65"/>
    </row>
    <row r="763" spans="45:69" x14ac:dyDescent="0.25">
      <c r="AY763" s="65"/>
      <c r="BB763" s="65"/>
    </row>
    <row r="764" spans="45:69" x14ac:dyDescent="0.25">
      <c r="AY764" s="54"/>
      <c r="AZ764" s="65"/>
      <c r="BB764" s="65"/>
    </row>
    <row r="765" spans="45:69" x14ac:dyDescent="0.25">
      <c r="AY765" s="54"/>
      <c r="AZ765" s="65"/>
      <c r="BB765" s="65"/>
    </row>
    <row r="766" spans="45:69" x14ac:dyDescent="0.25">
      <c r="AS766" s="53"/>
      <c r="AZ766" s="65"/>
      <c r="BB766" s="65"/>
      <c r="BD766" s="54"/>
    </row>
    <row r="767" spans="45:69" x14ac:dyDescent="0.25">
      <c r="AS767" s="53"/>
      <c r="AZ767" s="65"/>
      <c r="BB767" s="65"/>
      <c r="BD767" s="54"/>
    </row>
    <row r="768" spans="45:69" x14ac:dyDescent="0.25">
      <c r="AS768" s="54"/>
      <c r="AZ768" s="65"/>
      <c r="BB768" s="65"/>
      <c r="BD768" s="54"/>
    </row>
    <row r="769" spans="45:75" x14ac:dyDescent="0.25">
      <c r="AZ769" s="65"/>
      <c r="BB769" s="65"/>
      <c r="BD769" s="53"/>
    </row>
    <row r="770" spans="45:75" x14ac:dyDescent="0.25">
      <c r="AS770" s="55"/>
      <c r="AT770" s="55"/>
      <c r="AU770" s="55"/>
      <c r="AV770" s="55"/>
      <c r="AW770" s="55"/>
      <c r="AX770" s="55"/>
      <c r="AY770" s="55"/>
      <c r="AZ770" s="66"/>
      <c r="BA770" s="55"/>
      <c r="BB770" s="66"/>
      <c r="BC770" s="55"/>
      <c r="BD770" s="55"/>
      <c r="BE770" s="55"/>
    </row>
    <row r="771" spans="45:75" x14ac:dyDescent="0.25">
      <c r="AX771" s="54"/>
      <c r="AZ771" s="65"/>
      <c r="BB771" s="65"/>
    </row>
    <row r="772" spans="45:75" x14ac:dyDescent="0.25">
      <c r="AX772" s="55"/>
      <c r="AY772" s="55"/>
      <c r="AZ772" s="66"/>
      <c r="BA772" s="55"/>
      <c r="BB772" s="65"/>
      <c r="BC772" s="56"/>
      <c r="BD772" s="56"/>
    </row>
    <row r="773" spans="45:75" x14ac:dyDescent="0.25">
      <c r="AV773" s="56"/>
      <c r="AW773" s="56"/>
      <c r="AZ773" s="67"/>
      <c r="BA773" s="56"/>
      <c r="BB773" s="65"/>
      <c r="BC773" s="56"/>
      <c r="BD773" s="56"/>
      <c r="BE773" s="56"/>
      <c r="BG773" s="55"/>
      <c r="BH773" s="55"/>
      <c r="BI773" s="54"/>
      <c r="BM773" s="55"/>
      <c r="BN773" s="55"/>
      <c r="BP773" s="55"/>
      <c r="BQ773" s="55"/>
      <c r="BR773" s="54"/>
      <c r="BV773" s="55"/>
      <c r="BW773" s="55"/>
    </row>
    <row r="774" spans="45:75" x14ac:dyDescent="0.25">
      <c r="AV774" s="56"/>
      <c r="AW774" s="56"/>
      <c r="AX774" s="56"/>
      <c r="AY774" s="56"/>
      <c r="AZ774" s="67"/>
      <c r="BA774" s="56"/>
      <c r="BB774" s="67"/>
      <c r="BC774" s="56"/>
      <c r="BD774" s="56"/>
      <c r="BE774" s="56"/>
      <c r="BH774" s="56"/>
      <c r="BI774" s="56"/>
      <c r="BJ774" s="56"/>
      <c r="BK774" s="56"/>
      <c r="BL774" s="56"/>
      <c r="BM774" s="56"/>
      <c r="BQ774" s="56"/>
      <c r="BR774" s="56"/>
      <c r="BS774" s="56"/>
      <c r="BT774" s="56"/>
      <c r="BU774" s="56"/>
      <c r="BV774" s="56"/>
    </row>
    <row r="775" spans="45:75" x14ac:dyDescent="0.25">
      <c r="AS775" s="56"/>
      <c r="AU775" s="54"/>
      <c r="AV775" s="56"/>
      <c r="AW775" s="56"/>
      <c r="AX775" s="56"/>
      <c r="AY775" s="56"/>
      <c r="AZ775" s="67"/>
      <c r="BA775" s="56"/>
      <c r="BB775" s="67"/>
      <c r="BC775" s="56"/>
      <c r="BD775" s="56"/>
      <c r="BE775" s="56"/>
      <c r="BG775" s="56"/>
      <c r="BH775" s="56"/>
      <c r="BI775" s="56"/>
      <c r="BJ775" s="56"/>
      <c r="BK775" s="56"/>
      <c r="BL775" s="56"/>
      <c r="BM775" s="56"/>
      <c r="BN775" s="56"/>
      <c r="BP775" s="56"/>
      <c r="BQ775" s="56"/>
      <c r="BR775" s="56"/>
      <c r="BS775" s="56"/>
      <c r="BT775" s="56"/>
      <c r="BU775" s="56"/>
      <c r="BV775" s="56"/>
      <c r="BW775" s="56"/>
    </row>
    <row r="776" spans="45:75" x14ac:dyDescent="0.25">
      <c r="AS776" s="56"/>
      <c r="AU776" s="54"/>
      <c r="AV776" s="56"/>
      <c r="AW776" s="56"/>
      <c r="AX776" s="56"/>
      <c r="AY776" s="56"/>
      <c r="AZ776" s="67"/>
      <c r="BA776" s="56"/>
      <c r="BB776" s="67"/>
      <c r="BC776" s="56"/>
      <c r="BD776" s="56"/>
      <c r="BE776" s="56"/>
      <c r="BG776" s="56"/>
      <c r="BH776" s="56"/>
      <c r="BI776" s="56"/>
      <c r="BJ776" s="56"/>
      <c r="BK776" s="56"/>
      <c r="BL776" s="56"/>
      <c r="BM776" s="56"/>
      <c r="BN776" s="56"/>
      <c r="BP776" s="56"/>
      <c r="BQ776" s="56"/>
      <c r="BR776" s="56"/>
      <c r="BS776" s="56"/>
      <c r="BT776" s="56"/>
      <c r="BU776" s="56"/>
      <c r="BV776" s="56"/>
      <c r="BW776" s="56"/>
    </row>
    <row r="777" spans="45:75" x14ac:dyDescent="0.25">
      <c r="AS777" s="55"/>
      <c r="AT777" s="55"/>
      <c r="AU777" s="55"/>
      <c r="AV777" s="55"/>
      <c r="AW777" s="55"/>
      <c r="AX777" s="55"/>
      <c r="AY777" s="55"/>
      <c r="AZ777" s="66"/>
      <c r="BA777" s="55"/>
      <c r="BB777" s="66"/>
      <c r="BC777" s="55"/>
      <c r="BD777" s="55"/>
      <c r="BE777" s="55"/>
      <c r="BG777" s="55"/>
      <c r="BH777" s="55"/>
      <c r="BI777" s="55"/>
      <c r="BJ777" s="55"/>
      <c r="BK777" s="55"/>
      <c r="BL777" s="55"/>
      <c r="BM777" s="55"/>
      <c r="BN777" s="55"/>
      <c r="BP777" s="55"/>
      <c r="BQ777" s="55"/>
      <c r="BR777" s="55"/>
      <c r="BS777" s="55"/>
      <c r="BT777" s="55"/>
      <c r="BU777" s="55"/>
      <c r="BV777" s="55"/>
      <c r="BW777" s="55"/>
    </row>
    <row r="778" spans="45:75" x14ac:dyDescent="0.25">
      <c r="AV778" s="56"/>
      <c r="AW778" s="56"/>
      <c r="AX778" s="56"/>
      <c r="AY778" s="56"/>
      <c r="AZ778" s="67"/>
      <c r="BA778" s="56"/>
      <c r="BB778" s="67"/>
      <c r="BC778" s="56"/>
      <c r="BD778" s="56"/>
      <c r="BE778" s="56"/>
      <c r="BG778" s="65"/>
      <c r="BH778" s="65"/>
      <c r="BI778" s="65"/>
      <c r="BJ778" s="65"/>
      <c r="BK778" s="65"/>
      <c r="BL778" s="65"/>
      <c r="BM778" s="65"/>
      <c r="BN778" s="65"/>
      <c r="BO778" s="65"/>
      <c r="BP778" s="65"/>
      <c r="BQ778" s="65"/>
      <c r="BR778" s="65"/>
      <c r="BS778" s="65"/>
      <c r="BT778" s="65"/>
      <c r="BU778" s="65"/>
      <c r="BV778" s="65"/>
      <c r="BW778" s="65"/>
    </row>
    <row r="779" spans="45:75" x14ac:dyDescent="0.25">
      <c r="AS779" s="53"/>
      <c r="AU779" s="54"/>
      <c r="AV779" s="53"/>
      <c r="AW779" s="379"/>
      <c r="AX779" s="65"/>
      <c r="AY779" s="65"/>
      <c r="AZ779" s="65"/>
      <c r="BA779" s="60"/>
      <c r="BB779" s="65"/>
      <c r="BC779" s="65"/>
      <c r="BD779" s="65"/>
      <c r="BE779" s="60"/>
      <c r="BG779" s="65"/>
      <c r="BH779" s="65"/>
      <c r="BI779" s="65"/>
      <c r="BJ779" s="65"/>
      <c r="BK779" s="65"/>
      <c r="BL779" s="65"/>
      <c r="BM779" s="65"/>
      <c r="BN779" s="65"/>
      <c r="BO779" s="65"/>
      <c r="BP779" s="65"/>
      <c r="BQ779" s="65"/>
      <c r="BR779" s="65"/>
      <c r="BS779" s="65"/>
      <c r="BT779" s="65"/>
      <c r="BU779" s="65"/>
      <c r="BV779" s="65"/>
      <c r="BW779" s="65"/>
    </row>
    <row r="780" spans="45:75" x14ac:dyDescent="0.25">
      <c r="AS780" s="53"/>
      <c r="AV780" s="53"/>
      <c r="AW780" s="379"/>
      <c r="AX780" s="65"/>
      <c r="AY780" s="65"/>
      <c r="AZ780" s="65"/>
      <c r="BA780" s="60"/>
      <c r="BB780" s="65"/>
      <c r="BC780" s="65"/>
      <c r="BD780" s="65"/>
      <c r="BE780" s="60"/>
      <c r="BG780" s="65"/>
      <c r="BH780" s="65"/>
      <c r="BI780" s="65"/>
      <c r="BJ780" s="65"/>
      <c r="BK780" s="65"/>
      <c r="BL780" s="65"/>
      <c r="BM780" s="65"/>
      <c r="BN780" s="65"/>
      <c r="BO780" s="65"/>
      <c r="BP780" s="65"/>
      <c r="BQ780" s="65"/>
      <c r="BR780" s="65"/>
      <c r="BS780" s="65"/>
      <c r="BT780" s="65"/>
      <c r="BU780" s="65"/>
      <c r="BV780" s="65"/>
      <c r="BW780" s="65"/>
    </row>
    <row r="781" spans="45:75" x14ac:dyDescent="0.25">
      <c r="AS781" s="53"/>
      <c r="AV781" s="53"/>
      <c r="AW781" s="379"/>
      <c r="AX781" s="65"/>
      <c r="AY781" s="65"/>
      <c r="AZ781" s="65"/>
      <c r="BA781" s="60"/>
      <c r="BB781" s="65"/>
      <c r="BC781" s="65"/>
      <c r="BD781" s="65"/>
      <c r="BE781" s="60"/>
      <c r="BG781" s="65"/>
      <c r="BH781" s="65"/>
      <c r="BI781" s="65"/>
      <c r="BJ781" s="65"/>
      <c r="BK781" s="65"/>
      <c r="BL781" s="65"/>
      <c r="BM781" s="65"/>
      <c r="BN781" s="65"/>
      <c r="BO781" s="65"/>
      <c r="BP781" s="65"/>
      <c r="BQ781" s="65"/>
      <c r="BR781" s="65"/>
      <c r="BS781" s="65"/>
      <c r="BT781" s="65"/>
      <c r="BU781" s="65"/>
      <c r="BV781" s="65"/>
      <c r="BW781" s="65"/>
    </row>
    <row r="782" spans="45:75" x14ac:dyDescent="0.25">
      <c r="AS782" s="53"/>
      <c r="AV782" s="53"/>
      <c r="AW782" s="379"/>
      <c r="AX782" s="65"/>
      <c r="AY782" s="65"/>
      <c r="AZ782" s="65"/>
      <c r="BA782" s="60"/>
      <c r="BB782" s="65"/>
      <c r="BC782" s="65"/>
      <c r="BD782" s="65"/>
      <c r="BE782" s="60"/>
      <c r="BG782" s="65"/>
      <c r="BH782" s="65"/>
      <c r="BI782" s="65"/>
      <c r="BJ782" s="65"/>
      <c r="BK782" s="65"/>
      <c r="BL782" s="65"/>
      <c r="BM782" s="65"/>
      <c r="BN782" s="65"/>
      <c r="BO782" s="65"/>
      <c r="BP782" s="65"/>
      <c r="BQ782" s="65"/>
      <c r="BR782" s="65"/>
      <c r="BS782" s="65"/>
      <c r="BT782" s="65"/>
      <c r="BU782" s="65"/>
      <c r="BV782" s="65"/>
      <c r="BW782" s="65"/>
    </row>
    <row r="783" spans="45:75" x14ac:dyDescent="0.25">
      <c r="AS783" s="53"/>
      <c r="AV783" s="53"/>
      <c r="AW783" s="379"/>
      <c r="AX783" s="65"/>
      <c r="AY783" s="65"/>
      <c r="AZ783" s="65"/>
      <c r="BA783" s="60"/>
      <c r="BB783" s="65"/>
      <c r="BC783" s="65"/>
      <c r="BD783" s="65"/>
      <c r="BE783" s="60"/>
      <c r="BG783" s="65"/>
      <c r="BH783" s="65"/>
      <c r="BI783" s="65"/>
      <c r="BJ783" s="65"/>
      <c r="BK783" s="65"/>
      <c r="BL783" s="65"/>
      <c r="BM783" s="65"/>
      <c r="BN783" s="65"/>
      <c r="BO783" s="65"/>
      <c r="BP783" s="65"/>
      <c r="BQ783" s="65"/>
      <c r="BR783" s="65"/>
      <c r="BS783" s="65"/>
      <c r="BT783" s="65"/>
      <c r="BU783" s="65"/>
      <c r="BV783" s="65"/>
      <c r="BW783" s="65"/>
    </row>
    <row r="784" spans="45:75" x14ac:dyDescent="0.25">
      <c r="AS784" s="53"/>
      <c r="AV784" s="53"/>
      <c r="AW784" s="379"/>
      <c r="AX784" s="65"/>
      <c r="AY784" s="65"/>
      <c r="AZ784" s="65"/>
      <c r="BA784" s="60"/>
      <c r="BB784" s="65"/>
      <c r="BC784" s="65"/>
      <c r="BD784" s="65"/>
      <c r="BE784" s="60"/>
      <c r="BG784" s="65"/>
      <c r="BH784" s="65"/>
      <c r="BI784" s="65"/>
      <c r="BJ784" s="65"/>
      <c r="BK784" s="65"/>
      <c r="BL784" s="65"/>
      <c r="BM784" s="65"/>
      <c r="BN784" s="65"/>
      <c r="BO784" s="65"/>
      <c r="BP784" s="65"/>
      <c r="BQ784" s="65"/>
      <c r="BR784" s="65"/>
      <c r="BS784" s="65"/>
      <c r="BT784" s="65"/>
      <c r="BU784" s="65"/>
      <c r="BV784" s="65"/>
      <c r="BW784" s="65"/>
    </row>
    <row r="785" spans="45:75" x14ac:dyDescent="0.25">
      <c r="AS785" s="53"/>
      <c r="AV785" s="53"/>
      <c r="AW785" s="379"/>
      <c r="AX785" s="65"/>
      <c r="AY785" s="65"/>
      <c r="AZ785" s="65"/>
      <c r="BA785" s="60"/>
      <c r="BB785" s="65"/>
      <c r="BC785" s="65"/>
      <c r="BD785" s="65"/>
      <c r="BE785" s="60"/>
      <c r="BG785" s="65"/>
      <c r="BH785" s="65"/>
      <c r="BI785" s="65"/>
      <c r="BJ785" s="65"/>
      <c r="BK785" s="65"/>
      <c r="BL785" s="65"/>
      <c r="BM785" s="65"/>
      <c r="BN785" s="65"/>
      <c r="BO785" s="65"/>
      <c r="BP785" s="65"/>
      <c r="BQ785" s="65"/>
      <c r="BR785" s="65"/>
      <c r="BS785" s="65"/>
      <c r="BT785" s="65"/>
      <c r="BU785" s="65"/>
      <c r="BV785" s="65"/>
      <c r="BW785" s="65"/>
    </row>
    <row r="786" spans="45:75" x14ac:dyDescent="0.25">
      <c r="AS786" s="53"/>
      <c r="AV786" s="53"/>
      <c r="AW786" s="379"/>
      <c r="AX786" s="65"/>
      <c r="AY786" s="65"/>
      <c r="AZ786" s="65"/>
      <c r="BA786" s="60"/>
      <c r="BB786" s="65"/>
      <c r="BC786" s="65"/>
      <c r="BD786" s="65"/>
      <c r="BE786" s="60"/>
      <c r="BG786" s="65"/>
      <c r="BH786" s="65"/>
      <c r="BI786" s="65"/>
      <c r="BJ786" s="65"/>
      <c r="BK786" s="65"/>
      <c r="BL786" s="65"/>
      <c r="BM786" s="65"/>
      <c r="BN786" s="65"/>
      <c r="BO786" s="65"/>
      <c r="BP786" s="65"/>
      <c r="BQ786" s="65"/>
      <c r="BR786" s="65"/>
      <c r="BS786" s="65"/>
      <c r="BT786" s="65"/>
      <c r="BU786" s="65"/>
      <c r="BV786" s="65"/>
      <c r="BW786" s="65"/>
    </row>
    <row r="787" spans="45:75" x14ac:dyDescent="0.25">
      <c r="AS787" s="53"/>
      <c r="AV787" s="53"/>
      <c r="AW787" s="379"/>
      <c r="AX787" s="65"/>
      <c r="AY787" s="65"/>
      <c r="AZ787" s="65"/>
      <c r="BA787" s="60"/>
      <c r="BB787" s="65"/>
      <c r="BC787" s="65"/>
      <c r="BD787" s="65"/>
      <c r="BE787" s="60"/>
      <c r="BG787" s="65"/>
      <c r="BH787" s="65"/>
      <c r="BI787" s="65"/>
      <c r="BJ787" s="65"/>
      <c r="BK787" s="65"/>
      <c r="BL787" s="65"/>
      <c r="BM787" s="65"/>
      <c r="BN787" s="65"/>
      <c r="BO787" s="65"/>
      <c r="BP787" s="65"/>
      <c r="BQ787" s="65"/>
      <c r="BR787" s="65"/>
      <c r="BS787" s="65"/>
      <c r="BT787" s="65"/>
      <c r="BU787" s="65"/>
      <c r="BV787" s="65"/>
      <c r="BW787" s="65"/>
    </row>
    <row r="788" spans="45:75" x14ac:dyDescent="0.25">
      <c r="AS788" s="53"/>
      <c r="AV788" s="53"/>
      <c r="AW788" s="379"/>
      <c r="AX788" s="65"/>
      <c r="AY788" s="65"/>
      <c r="AZ788" s="65"/>
      <c r="BA788" s="60"/>
      <c r="BB788" s="65"/>
      <c r="BC788" s="65"/>
      <c r="BD788" s="65"/>
      <c r="BE788" s="60"/>
      <c r="BG788" s="65"/>
      <c r="BH788" s="65"/>
      <c r="BI788" s="65"/>
      <c r="BJ788" s="65"/>
      <c r="BK788" s="65"/>
      <c r="BL788" s="65"/>
      <c r="BM788" s="65"/>
      <c r="BN788" s="65"/>
      <c r="BO788" s="65"/>
      <c r="BP788" s="65"/>
      <c r="BQ788" s="65"/>
      <c r="BR788" s="65"/>
      <c r="BS788" s="65"/>
      <c r="BT788" s="65"/>
      <c r="BU788" s="65"/>
      <c r="BV788" s="65"/>
      <c r="BW788" s="65"/>
    </row>
    <row r="789" spans="45:75" x14ac:dyDescent="0.25">
      <c r="AS789" s="53"/>
      <c r="AV789" s="53"/>
      <c r="AW789" s="379"/>
      <c r="AX789" s="65"/>
      <c r="AY789" s="65"/>
      <c r="AZ789" s="65"/>
      <c r="BA789" s="60"/>
      <c r="BB789" s="65"/>
      <c r="BC789" s="65"/>
      <c r="BD789" s="65"/>
      <c r="BE789" s="60"/>
      <c r="BG789" s="65"/>
      <c r="BH789" s="65"/>
      <c r="BI789" s="65"/>
      <c r="BJ789" s="65"/>
      <c r="BK789" s="65"/>
      <c r="BL789" s="65"/>
      <c r="BM789" s="65"/>
      <c r="BN789" s="65"/>
      <c r="BO789" s="65"/>
      <c r="BP789" s="65"/>
      <c r="BQ789" s="65"/>
      <c r="BR789" s="65"/>
      <c r="BS789" s="65"/>
      <c r="BT789" s="65"/>
      <c r="BU789" s="65"/>
      <c r="BV789" s="65"/>
      <c r="BW789" s="65"/>
    </row>
    <row r="790" spans="45:75" x14ac:dyDescent="0.25">
      <c r="AS790" s="53"/>
      <c r="AV790" s="53"/>
      <c r="AW790" s="379"/>
      <c r="AX790" s="65"/>
      <c r="AY790" s="65"/>
      <c r="AZ790" s="65"/>
      <c r="BA790" s="60"/>
      <c r="BB790" s="65"/>
      <c r="BC790" s="65"/>
      <c r="BD790" s="65"/>
      <c r="BE790" s="60"/>
      <c r="BG790" s="65"/>
      <c r="BH790" s="65"/>
      <c r="BI790" s="65"/>
      <c r="BJ790" s="65"/>
      <c r="BK790" s="65"/>
      <c r="BL790" s="65"/>
      <c r="BM790" s="65"/>
      <c r="BN790" s="65"/>
      <c r="BO790" s="65"/>
      <c r="BP790" s="65"/>
      <c r="BQ790" s="65"/>
      <c r="BR790" s="65"/>
      <c r="BS790" s="65"/>
      <c r="BT790" s="65"/>
      <c r="BU790" s="65"/>
      <c r="BV790" s="65"/>
      <c r="BW790" s="65"/>
    </row>
    <row r="791" spans="45:75" x14ac:dyDescent="0.25">
      <c r="AS791" s="53"/>
      <c r="AV791" s="53"/>
      <c r="AW791" s="379"/>
      <c r="AX791" s="65"/>
      <c r="AY791" s="65"/>
      <c r="AZ791" s="65"/>
      <c r="BA791" s="60"/>
      <c r="BB791" s="65"/>
      <c r="BC791" s="65"/>
      <c r="BD791" s="65"/>
      <c r="BE791" s="60"/>
      <c r="BG791" s="65"/>
      <c r="BH791" s="65"/>
      <c r="BI791" s="65"/>
      <c r="BJ791" s="65"/>
      <c r="BK791" s="65"/>
      <c r="BL791" s="65"/>
      <c r="BM791" s="65"/>
      <c r="BN791" s="65"/>
      <c r="BO791" s="65"/>
      <c r="BP791" s="65"/>
      <c r="BQ791" s="65"/>
      <c r="BR791" s="65"/>
      <c r="BS791" s="65"/>
      <c r="BT791" s="65"/>
      <c r="BU791" s="65"/>
      <c r="BV791" s="65"/>
      <c r="BW791" s="65"/>
    </row>
    <row r="792" spans="45:75" x14ac:dyDescent="0.25">
      <c r="AS792" s="53"/>
      <c r="AV792" s="53"/>
      <c r="AW792" s="379"/>
      <c r="AX792" s="65"/>
      <c r="AY792" s="65"/>
      <c r="AZ792" s="65"/>
      <c r="BA792" s="60"/>
      <c r="BB792" s="65"/>
      <c r="BC792" s="65"/>
      <c r="BD792" s="65"/>
      <c r="BE792" s="60"/>
      <c r="BG792" s="65"/>
      <c r="BH792" s="65"/>
      <c r="BI792" s="65"/>
      <c r="BJ792" s="65"/>
      <c r="BK792" s="65"/>
      <c r="BL792" s="65"/>
      <c r="BM792" s="65"/>
      <c r="BN792" s="65"/>
      <c r="BO792" s="65"/>
      <c r="BP792" s="65"/>
      <c r="BQ792" s="65"/>
      <c r="BR792" s="65"/>
      <c r="BS792" s="65"/>
      <c r="BT792" s="65"/>
      <c r="BU792" s="65"/>
      <c r="BV792" s="65"/>
      <c r="BW792" s="65"/>
    </row>
    <row r="793" spans="45:75" x14ac:dyDescent="0.25">
      <c r="AS793" s="53"/>
      <c r="AV793" s="53"/>
      <c r="AW793" s="379"/>
      <c r="AX793" s="65"/>
      <c r="AY793" s="65"/>
      <c r="AZ793" s="65"/>
      <c r="BA793" s="60"/>
      <c r="BB793" s="65"/>
      <c r="BC793" s="65"/>
      <c r="BD793" s="65"/>
      <c r="BE793" s="60"/>
      <c r="BG793" s="65"/>
      <c r="BH793" s="65"/>
      <c r="BI793" s="65"/>
      <c r="BJ793" s="65"/>
      <c r="BK793" s="65"/>
      <c r="BL793" s="65"/>
      <c r="BM793" s="65"/>
      <c r="BN793" s="65"/>
      <c r="BO793" s="65"/>
      <c r="BP793" s="65"/>
      <c r="BQ793" s="65"/>
      <c r="BR793" s="65"/>
      <c r="BS793" s="65"/>
      <c r="BT793" s="65"/>
      <c r="BU793" s="65"/>
      <c r="BV793" s="65"/>
      <c r="BW793" s="65"/>
    </row>
    <row r="794" spans="45:75" x14ac:dyDescent="0.25">
      <c r="AS794" s="53"/>
      <c r="AV794" s="53"/>
      <c r="AW794" s="379"/>
      <c r="AX794" s="65"/>
      <c r="AY794" s="65"/>
      <c r="AZ794" s="65"/>
      <c r="BA794" s="60"/>
      <c r="BB794" s="65"/>
      <c r="BC794" s="65"/>
      <c r="BD794" s="65"/>
      <c r="BE794" s="60"/>
      <c r="BG794" s="65"/>
      <c r="BH794" s="65"/>
      <c r="BI794" s="65"/>
      <c r="BJ794" s="65"/>
      <c r="BK794" s="65"/>
      <c r="BL794" s="65"/>
      <c r="BM794" s="65"/>
      <c r="BN794" s="65"/>
      <c r="BO794" s="65"/>
      <c r="BP794" s="65"/>
      <c r="BQ794" s="65"/>
      <c r="BR794" s="65"/>
      <c r="BS794" s="65"/>
      <c r="BT794" s="65"/>
      <c r="BU794" s="65"/>
      <c r="BV794" s="65"/>
      <c r="BW794" s="65"/>
    </row>
    <row r="795" spans="45:75" x14ac:dyDescent="0.25">
      <c r="AS795" s="53"/>
      <c r="AV795" s="53"/>
      <c r="AW795" s="379"/>
      <c r="AX795" s="65"/>
      <c r="AY795" s="65"/>
      <c r="AZ795" s="65"/>
      <c r="BA795" s="60"/>
      <c r="BB795" s="65"/>
      <c r="BC795" s="65"/>
      <c r="BD795" s="65"/>
      <c r="BE795" s="60"/>
      <c r="BG795" s="65"/>
      <c r="BH795" s="65"/>
      <c r="BI795" s="65"/>
      <c r="BJ795" s="65"/>
      <c r="BK795" s="65"/>
      <c r="BL795" s="65"/>
      <c r="BM795" s="65"/>
      <c r="BN795" s="65"/>
      <c r="BO795" s="65"/>
      <c r="BP795" s="65"/>
      <c r="BQ795" s="65"/>
      <c r="BR795" s="65"/>
      <c r="BS795" s="65"/>
      <c r="BT795" s="65"/>
      <c r="BU795" s="65"/>
      <c r="BV795" s="65"/>
      <c r="BW795" s="65"/>
    </row>
    <row r="796" spans="45:75" x14ac:dyDescent="0.25">
      <c r="AS796" s="53"/>
      <c r="AV796" s="53"/>
      <c r="AW796" s="379"/>
      <c r="AX796" s="65"/>
      <c r="AY796" s="65"/>
      <c r="AZ796" s="65"/>
      <c r="BA796" s="60"/>
      <c r="BB796" s="65"/>
      <c r="BC796" s="65"/>
      <c r="BD796" s="65"/>
      <c r="BE796" s="60"/>
      <c r="BG796" s="65"/>
      <c r="BH796" s="65"/>
      <c r="BI796" s="65"/>
      <c r="BJ796" s="65"/>
      <c r="BK796" s="65"/>
      <c r="BL796" s="65"/>
      <c r="BM796" s="65"/>
      <c r="BN796" s="65"/>
      <c r="BO796" s="65"/>
      <c r="BP796" s="65"/>
      <c r="BQ796" s="65"/>
      <c r="BR796" s="65"/>
      <c r="BS796" s="65"/>
      <c r="BT796" s="65"/>
      <c r="BU796" s="65"/>
      <c r="BV796" s="65"/>
      <c r="BW796" s="65"/>
    </row>
    <row r="797" spans="45:75" x14ac:dyDescent="0.25">
      <c r="AS797" s="53"/>
      <c r="AV797" s="53"/>
      <c r="AW797" s="379"/>
      <c r="AX797" s="65"/>
      <c r="AY797" s="65"/>
      <c r="AZ797" s="65"/>
      <c r="BA797" s="60"/>
      <c r="BB797" s="65"/>
      <c r="BC797" s="65"/>
      <c r="BD797" s="65"/>
      <c r="BE797" s="60"/>
      <c r="BG797" s="65"/>
      <c r="BH797" s="65"/>
      <c r="BI797" s="65"/>
      <c r="BJ797" s="65"/>
      <c r="BK797" s="65"/>
      <c r="BL797" s="65"/>
      <c r="BM797" s="65"/>
      <c r="BN797" s="65"/>
      <c r="BO797" s="65"/>
      <c r="BP797" s="65"/>
      <c r="BQ797" s="65"/>
      <c r="BR797" s="65"/>
      <c r="BS797" s="65"/>
      <c r="BT797" s="65"/>
      <c r="BU797" s="65"/>
      <c r="BV797" s="65"/>
      <c r="BW797" s="65"/>
    </row>
    <row r="798" spans="45:75" x14ac:dyDescent="0.25">
      <c r="AS798" s="53"/>
      <c r="AV798" s="53"/>
      <c r="AW798" s="379"/>
      <c r="AX798" s="65"/>
      <c r="AY798" s="65"/>
      <c r="AZ798" s="65"/>
      <c r="BA798" s="60"/>
      <c r="BB798" s="65"/>
      <c r="BC798" s="65"/>
      <c r="BD798" s="65"/>
      <c r="BE798" s="60"/>
      <c r="BG798" s="65"/>
      <c r="BH798" s="65"/>
      <c r="BI798" s="65"/>
      <c r="BJ798" s="65"/>
      <c r="BK798" s="65"/>
      <c r="BL798" s="65"/>
      <c r="BM798" s="65"/>
      <c r="BN798" s="65"/>
      <c r="BO798" s="65"/>
      <c r="BP798" s="65"/>
      <c r="BQ798" s="65"/>
      <c r="BR798" s="65"/>
      <c r="BS798" s="65"/>
      <c r="BT798" s="65"/>
      <c r="BU798" s="65"/>
      <c r="BV798" s="65"/>
      <c r="BW798" s="65"/>
    </row>
    <row r="799" spans="45:75" x14ac:dyDescent="0.25">
      <c r="AS799" s="53"/>
      <c r="AV799" s="53"/>
      <c r="AW799" s="379"/>
      <c r="AX799" s="65"/>
      <c r="AY799" s="65"/>
      <c r="AZ799" s="65"/>
      <c r="BA799" s="60"/>
      <c r="BB799" s="65"/>
      <c r="BC799" s="65"/>
      <c r="BD799" s="65"/>
      <c r="BE799" s="60"/>
      <c r="BG799" s="65"/>
      <c r="BH799" s="65"/>
      <c r="BI799" s="65"/>
      <c r="BJ799" s="65"/>
      <c r="BK799" s="65"/>
      <c r="BL799" s="65"/>
      <c r="BM799" s="65"/>
      <c r="BN799" s="65"/>
      <c r="BO799" s="65"/>
      <c r="BP799" s="65"/>
      <c r="BQ799" s="65"/>
      <c r="BR799" s="65"/>
      <c r="BS799" s="65"/>
      <c r="BT799" s="65"/>
      <c r="BU799" s="65"/>
      <c r="BV799" s="65"/>
      <c r="BW799" s="65"/>
    </row>
    <row r="800" spans="45:75" x14ac:dyDescent="0.25">
      <c r="AW800" s="379"/>
      <c r="AX800" s="65"/>
      <c r="AY800" s="65"/>
      <c r="AZ800" s="65"/>
      <c r="BA800" s="60"/>
      <c r="BB800" s="65"/>
      <c r="BC800" s="65"/>
      <c r="BD800" s="65"/>
      <c r="BE800" s="60"/>
      <c r="BG800" s="55"/>
      <c r="BH800" s="55"/>
      <c r="BI800" s="54"/>
      <c r="BM800" s="55"/>
      <c r="BN800" s="55"/>
      <c r="BO800" s="65"/>
      <c r="BP800" s="55"/>
      <c r="BQ800" s="55"/>
      <c r="BR800" s="54"/>
      <c r="BV800" s="55"/>
      <c r="BW800" s="55"/>
    </row>
    <row r="801" spans="45:75" x14ac:dyDescent="0.25">
      <c r="AS801" s="53"/>
      <c r="AU801" s="54"/>
      <c r="AV801" s="56"/>
      <c r="AW801" s="379"/>
      <c r="AX801" s="65"/>
      <c r="AY801" s="65"/>
      <c r="AZ801" s="65"/>
      <c r="BA801" s="60"/>
      <c r="BB801" s="65"/>
      <c r="BC801" s="65"/>
      <c r="BD801" s="65"/>
      <c r="BE801" s="60"/>
      <c r="BG801" s="67"/>
      <c r="BH801" s="65"/>
      <c r="BI801" s="65"/>
      <c r="BJ801" s="65"/>
      <c r="BK801" s="67"/>
      <c r="BL801" s="68"/>
      <c r="BM801" s="65"/>
      <c r="BN801" s="67"/>
      <c r="BO801" s="65"/>
      <c r="BP801" s="67"/>
      <c r="BQ801" s="65"/>
      <c r="BR801" s="65"/>
      <c r="BS801" s="65"/>
      <c r="BT801" s="67"/>
      <c r="BU801" s="68"/>
      <c r="BV801" s="65"/>
      <c r="BW801" s="67"/>
    </row>
    <row r="802" spans="45:75" x14ac:dyDescent="0.25">
      <c r="AS802" s="53"/>
      <c r="AV802" s="56"/>
      <c r="AW802" s="379"/>
      <c r="AX802" s="65"/>
      <c r="AY802" s="65"/>
      <c r="AZ802" s="65"/>
      <c r="BA802" s="60"/>
      <c r="BB802" s="65"/>
      <c r="BC802" s="65"/>
      <c r="BD802" s="65"/>
      <c r="BE802" s="60"/>
      <c r="BG802" s="65"/>
      <c r="BH802" s="65"/>
      <c r="BI802" s="65"/>
      <c r="BJ802" s="65"/>
      <c r="BK802" s="65"/>
      <c r="BL802" s="68"/>
      <c r="BM802" s="65"/>
      <c r="BN802" s="65"/>
      <c r="BO802" s="65"/>
      <c r="BP802" s="65"/>
      <c r="BQ802" s="65"/>
      <c r="BR802" s="65"/>
      <c r="BS802" s="65"/>
      <c r="BT802" s="65"/>
      <c r="BU802" s="68"/>
      <c r="BV802" s="65"/>
      <c r="BW802" s="65"/>
    </row>
    <row r="803" spans="45:75" x14ac:dyDescent="0.25">
      <c r="AS803" s="53"/>
      <c r="AV803" s="56"/>
      <c r="AW803" s="379"/>
      <c r="AX803" s="65"/>
      <c r="AY803" s="65"/>
      <c r="AZ803" s="65"/>
      <c r="BA803" s="60"/>
      <c r="BB803" s="65"/>
      <c r="BC803" s="65"/>
      <c r="BD803" s="65"/>
      <c r="BE803" s="60"/>
      <c r="BG803" s="65"/>
      <c r="BH803" s="65"/>
      <c r="BI803" s="65"/>
      <c r="BJ803" s="65"/>
      <c r="BK803" s="65"/>
      <c r="BL803" s="68"/>
      <c r="BM803" s="65"/>
      <c r="BN803" s="65"/>
      <c r="BO803" s="65"/>
      <c r="BP803" s="65"/>
      <c r="BQ803" s="65"/>
      <c r="BR803" s="65"/>
      <c r="BS803" s="65"/>
      <c r="BT803" s="65"/>
      <c r="BU803" s="68"/>
      <c r="BV803" s="65"/>
      <c r="BW803" s="65"/>
    </row>
    <row r="804" spans="45:75" x14ac:dyDescent="0.25">
      <c r="AS804" s="53"/>
      <c r="AV804" s="56"/>
      <c r="AW804" s="379"/>
      <c r="AX804" s="65"/>
      <c r="AY804" s="65"/>
      <c r="AZ804" s="65"/>
      <c r="BA804" s="60"/>
      <c r="BB804" s="65"/>
      <c r="BC804" s="65"/>
      <c r="BD804" s="65"/>
      <c r="BE804" s="60"/>
      <c r="BG804" s="65"/>
      <c r="BH804" s="65"/>
      <c r="BI804" s="65"/>
      <c r="BJ804" s="65"/>
      <c r="BK804" s="65"/>
      <c r="BL804" s="68"/>
      <c r="BM804" s="65"/>
      <c r="BN804" s="65"/>
      <c r="BO804" s="65"/>
      <c r="BP804" s="65"/>
      <c r="BQ804" s="65"/>
      <c r="BR804" s="65"/>
      <c r="BS804" s="65"/>
      <c r="BT804" s="65"/>
      <c r="BU804" s="68"/>
      <c r="BV804" s="65"/>
      <c r="BW804" s="65"/>
    </row>
    <row r="805" spans="45:75" x14ac:dyDescent="0.25">
      <c r="AX805" s="65"/>
      <c r="AY805" s="65"/>
      <c r="AZ805" s="65"/>
      <c r="BA805" s="60"/>
      <c r="BB805" s="65"/>
      <c r="BC805" s="65"/>
      <c r="BD805" s="65"/>
      <c r="BE805" s="60"/>
      <c r="BG805" s="65"/>
      <c r="BH805" s="65"/>
      <c r="BI805" s="65"/>
      <c r="BJ805" s="65"/>
      <c r="BK805" s="65"/>
      <c r="BL805" s="65"/>
      <c r="BM805" s="65"/>
      <c r="BN805" s="65"/>
      <c r="BO805" s="65"/>
      <c r="BP805" s="65"/>
      <c r="BQ805" s="65"/>
      <c r="BR805" s="65"/>
      <c r="BS805" s="65"/>
      <c r="BT805" s="65"/>
      <c r="BU805" s="65"/>
      <c r="BV805" s="65"/>
    </row>
    <row r="806" spans="45:75" x14ac:dyDescent="0.25">
      <c r="AU806" s="54"/>
    </row>
    <row r="807" spans="45:75" x14ac:dyDescent="0.25">
      <c r="AU807" s="54"/>
      <c r="AZ807" s="65"/>
      <c r="BA807" s="60"/>
      <c r="BB807" s="65"/>
      <c r="BC807" s="65"/>
      <c r="BD807" s="65"/>
      <c r="BE807" s="60"/>
      <c r="BG807" s="65"/>
      <c r="BH807" s="65"/>
      <c r="BI807" s="65"/>
      <c r="BJ807" s="65"/>
      <c r="BK807" s="65"/>
      <c r="BL807" s="65"/>
      <c r="BM807" s="65"/>
      <c r="BN807" s="65"/>
      <c r="BO807" s="65"/>
      <c r="BP807" s="65"/>
      <c r="BQ807" s="65"/>
      <c r="BR807" s="65"/>
      <c r="BS807" s="65"/>
      <c r="BT807" s="65"/>
      <c r="BU807" s="65"/>
      <c r="BV807" s="65"/>
    </row>
    <row r="808" spans="45:75" x14ac:dyDescent="0.25">
      <c r="AS808" s="54"/>
      <c r="AZ808" s="65"/>
      <c r="BB808" s="65"/>
    </row>
    <row r="809" spans="45:75" x14ac:dyDescent="0.25">
      <c r="AY809" s="53"/>
      <c r="AZ809" s="65"/>
      <c r="BB809" s="65"/>
      <c r="BO809" s="65"/>
      <c r="BP809" s="65"/>
      <c r="BQ809" s="65"/>
      <c r="BR809" s="65"/>
      <c r="BS809" s="65"/>
      <c r="BT809" s="65"/>
      <c r="BU809" s="65"/>
      <c r="BV809" s="65"/>
    </row>
    <row r="810" spans="45:75" x14ac:dyDescent="0.25">
      <c r="AY810" s="65"/>
      <c r="AZ810" s="65"/>
      <c r="BB810" s="65"/>
      <c r="BO810" s="65"/>
      <c r="BP810" s="65"/>
      <c r="BQ810" s="65"/>
      <c r="BR810" s="65"/>
      <c r="BS810" s="65"/>
      <c r="BT810" s="65"/>
      <c r="BU810" s="65"/>
      <c r="BV810" s="65"/>
    </row>
    <row r="811" spans="45:75" x14ac:dyDescent="0.25">
      <c r="AY811" s="54"/>
      <c r="AZ811" s="65"/>
      <c r="BB811" s="65"/>
      <c r="BO811" s="65"/>
      <c r="BP811" s="65"/>
      <c r="BQ811" s="65"/>
      <c r="BR811" s="65"/>
      <c r="BS811" s="65"/>
      <c r="BT811" s="65"/>
      <c r="BU811" s="65"/>
      <c r="BV811" s="65"/>
    </row>
    <row r="812" spans="45:75" x14ac:dyDescent="0.25">
      <c r="AY812" s="54"/>
      <c r="AZ812" s="65"/>
      <c r="BB812" s="65"/>
      <c r="BO812" s="65"/>
      <c r="BP812" s="65"/>
      <c r="BQ812" s="65"/>
      <c r="BR812" s="65"/>
      <c r="BS812" s="65"/>
      <c r="BT812" s="65"/>
      <c r="BU812" s="65"/>
      <c r="BV812" s="65"/>
    </row>
    <row r="813" spans="45:75" x14ac:dyDescent="0.25">
      <c r="AS813" s="53"/>
      <c r="AZ813" s="65"/>
      <c r="BB813" s="65"/>
      <c r="BD813" s="54"/>
      <c r="BO813" s="65"/>
      <c r="BP813" s="65"/>
      <c r="BQ813" s="65"/>
      <c r="BR813" s="65"/>
      <c r="BS813" s="65"/>
      <c r="BT813" s="65"/>
      <c r="BU813" s="65"/>
      <c r="BV813" s="65"/>
    </row>
    <row r="814" spans="45:75" x14ac:dyDescent="0.25">
      <c r="AS814" s="53"/>
      <c r="AZ814" s="65"/>
      <c r="BB814" s="65"/>
      <c r="BD814" s="54"/>
      <c r="BO814" s="65"/>
      <c r="BP814" s="65"/>
      <c r="BQ814" s="65"/>
      <c r="BR814" s="65"/>
      <c r="BS814" s="65"/>
      <c r="BT814" s="65"/>
      <c r="BU814" s="65"/>
      <c r="BV814" s="65"/>
    </row>
    <row r="815" spans="45:75" x14ac:dyDescent="0.25">
      <c r="AS815" s="54"/>
      <c r="AZ815" s="65"/>
      <c r="BB815" s="65"/>
      <c r="BD815" s="54"/>
      <c r="BO815" s="65"/>
      <c r="BP815" s="65"/>
      <c r="BQ815" s="65"/>
      <c r="BR815" s="65"/>
      <c r="BS815" s="65"/>
      <c r="BT815" s="65"/>
      <c r="BU815" s="65"/>
      <c r="BV815" s="65"/>
    </row>
    <row r="816" spans="45:75" x14ac:dyDescent="0.25">
      <c r="AZ816" s="65"/>
      <c r="BB816" s="65"/>
      <c r="BD816" s="53"/>
      <c r="BO816" s="65"/>
      <c r="BP816" s="65"/>
      <c r="BQ816" s="65"/>
      <c r="BR816" s="65"/>
      <c r="BS816" s="65"/>
      <c r="BT816" s="65"/>
      <c r="BU816" s="65"/>
      <c r="BV816" s="65"/>
    </row>
    <row r="817" spans="45:74" x14ac:dyDescent="0.25">
      <c r="AS817" s="55"/>
      <c r="AT817" s="55"/>
      <c r="AU817" s="55"/>
      <c r="AV817" s="55"/>
      <c r="AW817" s="55"/>
      <c r="AX817" s="55"/>
      <c r="AY817" s="55"/>
      <c r="AZ817" s="66"/>
      <c r="BA817" s="55"/>
      <c r="BB817" s="66"/>
      <c r="BC817" s="55"/>
      <c r="BD817" s="55"/>
      <c r="BE817" s="55"/>
      <c r="BO817" s="65"/>
      <c r="BP817" s="65"/>
      <c r="BQ817" s="65"/>
      <c r="BR817" s="65"/>
      <c r="BS817" s="65"/>
      <c r="BT817" s="65"/>
      <c r="BU817" s="65"/>
      <c r="BV817" s="65"/>
    </row>
    <row r="818" spans="45:74" x14ac:dyDescent="0.25">
      <c r="AX818" s="54"/>
      <c r="AZ818" s="65"/>
      <c r="BB818" s="65"/>
      <c r="BO818" s="65"/>
      <c r="BP818" s="65"/>
      <c r="BQ818" s="65"/>
      <c r="BR818" s="65"/>
      <c r="BS818" s="65"/>
      <c r="BT818" s="65"/>
      <c r="BU818" s="65"/>
      <c r="BV818" s="65"/>
    </row>
    <row r="819" spans="45:74" x14ac:dyDescent="0.25">
      <c r="AX819" s="55"/>
      <c r="AY819" s="55"/>
      <c r="AZ819" s="66"/>
      <c r="BA819" s="55"/>
      <c r="BB819" s="65"/>
      <c r="BC819" s="56"/>
      <c r="BD819" s="56"/>
      <c r="BO819" s="65"/>
      <c r="BP819" s="65"/>
      <c r="BQ819" s="65"/>
      <c r="BR819" s="65"/>
      <c r="BS819" s="65"/>
      <c r="BT819" s="65"/>
      <c r="BU819" s="65"/>
      <c r="BV819" s="65"/>
    </row>
    <row r="820" spans="45:74" x14ac:dyDescent="0.25">
      <c r="AV820" s="56"/>
      <c r="AW820" s="56"/>
      <c r="AZ820" s="67"/>
      <c r="BA820" s="56"/>
      <c r="BB820" s="65"/>
      <c r="BC820" s="56"/>
      <c r="BD820" s="56"/>
      <c r="BE820" s="56"/>
      <c r="BG820" s="55"/>
      <c r="BH820" s="54"/>
      <c r="BK820" s="55"/>
      <c r="BM820" s="55"/>
      <c r="BN820" s="54"/>
      <c r="BQ820" s="55"/>
    </row>
    <row r="821" spans="45:74" x14ac:dyDescent="0.25">
      <c r="AV821" s="56"/>
      <c r="AW821" s="56"/>
      <c r="AX821" s="56"/>
      <c r="AY821" s="56"/>
      <c r="AZ821" s="67"/>
      <c r="BA821" s="56"/>
      <c r="BB821" s="67"/>
      <c r="BC821" s="56"/>
      <c r="BD821" s="56"/>
      <c r="BE821" s="56"/>
      <c r="BH821" s="56"/>
      <c r="BI821" s="56"/>
      <c r="BN821" s="56"/>
      <c r="BO821" s="56"/>
    </row>
    <row r="822" spans="45:74" x14ac:dyDescent="0.25">
      <c r="AS822" s="56"/>
      <c r="AU822" s="54"/>
      <c r="AV822" s="56"/>
      <c r="AW822" s="56"/>
      <c r="AX822" s="56"/>
      <c r="AY822" s="56"/>
      <c r="AZ822" s="67"/>
      <c r="BA822" s="56"/>
      <c r="BB822" s="67"/>
      <c r="BC822" s="56"/>
      <c r="BD822" s="56"/>
      <c r="BE822" s="56"/>
      <c r="BG822" s="56"/>
      <c r="BH822" s="56"/>
      <c r="BI822" s="56"/>
      <c r="BJ822" s="56"/>
      <c r="BK822" s="56"/>
      <c r="BM822" s="56"/>
      <c r="BN822" s="56"/>
      <c r="BO822" s="56"/>
      <c r="BP822" s="56"/>
      <c r="BQ822" s="56"/>
    </row>
    <row r="823" spans="45:74" x14ac:dyDescent="0.25">
      <c r="AS823" s="56"/>
      <c r="AU823" s="54"/>
      <c r="AV823" s="56"/>
      <c r="AW823" s="56"/>
      <c r="AX823" s="56"/>
      <c r="AY823" s="56"/>
      <c r="AZ823" s="67"/>
      <c r="BA823" s="56"/>
      <c r="BB823" s="67"/>
      <c r="BC823" s="56"/>
      <c r="BD823" s="56"/>
      <c r="BE823" s="56"/>
      <c r="BG823" s="56"/>
      <c r="BH823" s="56"/>
      <c r="BI823" s="56"/>
      <c r="BJ823" s="56"/>
      <c r="BK823" s="56"/>
      <c r="BM823" s="56"/>
      <c r="BN823" s="56"/>
      <c r="BO823" s="56"/>
      <c r="BP823" s="56"/>
      <c r="BQ823" s="56"/>
    </row>
    <row r="824" spans="45:74" x14ac:dyDescent="0.25">
      <c r="AS824" s="55"/>
      <c r="AT824" s="55"/>
      <c r="AU824" s="55"/>
      <c r="AV824" s="55"/>
      <c r="AW824" s="55"/>
      <c r="AX824" s="55"/>
      <c r="AY824" s="55"/>
      <c r="AZ824" s="66"/>
      <c r="BA824" s="55"/>
      <c r="BB824" s="66"/>
      <c r="BC824" s="55"/>
      <c r="BD824" s="55"/>
      <c r="BE824" s="55"/>
      <c r="BG824" s="55"/>
      <c r="BH824" s="55"/>
      <c r="BI824" s="55"/>
      <c r="BJ824" s="55"/>
      <c r="BK824" s="55"/>
      <c r="BM824" s="55"/>
      <c r="BN824" s="55"/>
      <c r="BO824" s="55"/>
      <c r="BP824" s="55"/>
      <c r="BQ824" s="55"/>
    </row>
    <row r="825" spans="45:74" x14ac:dyDescent="0.25">
      <c r="AV825" s="56"/>
      <c r="AW825" s="56"/>
      <c r="AX825" s="56"/>
      <c r="AY825" s="56"/>
      <c r="AZ825" s="67"/>
      <c r="BA825" s="56"/>
      <c r="BB825" s="67"/>
      <c r="BC825" s="56"/>
      <c r="BD825" s="56"/>
      <c r="BE825" s="56"/>
      <c r="BG825" s="65"/>
      <c r="BH825" s="65"/>
      <c r="BI825" s="65"/>
      <c r="BJ825" s="65"/>
      <c r="BK825" s="65"/>
      <c r="BL825" s="65"/>
      <c r="BM825" s="65"/>
      <c r="BN825" s="65"/>
      <c r="BO825" s="65"/>
      <c r="BP825" s="65"/>
      <c r="BQ825" s="65"/>
    </row>
    <row r="826" spans="45:74" x14ac:dyDescent="0.25">
      <c r="AS826" s="53"/>
      <c r="AT826" s="54"/>
      <c r="AV826" s="379"/>
      <c r="AW826" s="379"/>
      <c r="AX826" s="65"/>
      <c r="AY826" s="65"/>
      <c r="AZ826" s="65"/>
      <c r="BA826" s="60"/>
      <c r="BB826" s="65"/>
      <c r="BC826" s="65"/>
      <c r="BD826" s="65"/>
      <c r="BE826" s="60"/>
      <c r="BG826" s="65"/>
      <c r="BH826" s="65"/>
      <c r="BI826" s="65"/>
      <c r="BJ826" s="65"/>
      <c r="BK826" s="65"/>
      <c r="BL826" s="65"/>
      <c r="BM826" s="65"/>
      <c r="BN826" s="65"/>
      <c r="BO826" s="65"/>
      <c r="BP826" s="65"/>
      <c r="BQ826" s="65"/>
      <c r="BR826" s="65"/>
      <c r="BS826" s="65"/>
    </row>
    <row r="827" spans="45:74" x14ac:dyDescent="0.25">
      <c r="AS827" s="53"/>
      <c r="AV827" s="379"/>
      <c r="AW827" s="379"/>
      <c r="AX827" s="65"/>
      <c r="AY827" s="65"/>
      <c r="AZ827" s="65"/>
      <c r="BA827" s="60"/>
      <c r="BB827" s="65"/>
      <c r="BC827" s="65"/>
      <c r="BD827" s="65"/>
      <c r="BE827" s="60"/>
      <c r="BG827" s="65"/>
      <c r="BH827" s="65"/>
      <c r="BI827" s="65"/>
      <c r="BJ827" s="65"/>
      <c r="BK827" s="65"/>
      <c r="BL827" s="65"/>
      <c r="BM827" s="65"/>
      <c r="BN827" s="65"/>
      <c r="BO827" s="65"/>
      <c r="BP827" s="65"/>
      <c r="BQ827" s="65"/>
      <c r="BR827" s="65"/>
      <c r="BS827" s="65"/>
    </row>
    <row r="828" spans="45:74" x14ac:dyDescent="0.25">
      <c r="AS828" s="53"/>
      <c r="AV828" s="379"/>
      <c r="AW828" s="379"/>
      <c r="AX828" s="65"/>
      <c r="AY828" s="65"/>
      <c r="AZ828" s="65"/>
      <c r="BA828" s="60"/>
      <c r="BB828" s="65"/>
      <c r="BC828" s="65"/>
      <c r="BD828" s="65"/>
      <c r="BE828" s="60"/>
      <c r="BG828" s="65"/>
      <c r="BH828" s="65"/>
      <c r="BI828" s="65"/>
      <c r="BJ828" s="65"/>
      <c r="BK828" s="65"/>
      <c r="BL828" s="65"/>
      <c r="BM828" s="65"/>
      <c r="BN828" s="65"/>
      <c r="BO828" s="65"/>
      <c r="BP828" s="65"/>
      <c r="BQ828" s="65"/>
      <c r="BR828" s="65"/>
      <c r="BS828" s="65"/>
    </row>
    <row r="829" spans="45:74" x14ac:dyDescent="0.25">
      <c r="AS829" s="53"/>
      <c r="AV829" s="379"/>
      <c r="AW829" s="379"/>
      <c r="AX829" s="65"/>
      <c r="AY829" s="65"/>
      <c r="AZ829" s="65"/>
      <c r="BA829" s="60"/>
      <c r="BB829" s="65"/>
      <c r="BC829" s="65"/>
      <c r="BD829" s="65"/>
      <c r="BE829" s="60"/>
      <c r="BG829" s="65"/>
      <c r="BH829" s="65"/>
      <c r="BI829" s="65"/>
      <c r="BJ829" s="65"/>
      <c r="BK829" s="65"/>
      <c r="BL829" s="65"/>
      <c r="BM829" s="65"/>
      <c r="BN829" s="65"/>
      <c r="BO829" s="65"/>
      <c r="BP829" s="65"/>
      <c r="BQ829" s="65"/>
      <c r="BR829" s="65"/>
      <c r="BS829" s="65"/>
    </row>
    <row r="830" spans="45:74" x14ac:dyDescent="0.25">
      <c r="AS830" s="53"/>
      <c r="AV830" s="379"/>
      <c r="AW830" s="379"/>
      <c r="AX830" s="65"/>
      <c r="AY830" s="65"/>
      <c r="AZ830" s="65"/>
      <c r="BA830" s="60"/>
      <c r="BB830" s="65"/>
      <c r="BC830" s="65"/>
      <c r="BD830" s="65"/>
      <c r="BE830" s="60"/>
      <c r="BG830" s="65"/>
      <c r="BH830" s="65"/>
      <c r="BI830" s="65"/>
      <c r="BJ830" s="65"/>
      <c r="BK830" s="65"/>
      <c r="BL830" s="65"/>
      <c r="BM830" s="65"/>
      <c r="BN830" s="65"/>
      <c r="BO830" s="65"/>
      <c r="BP830" s="65"/>
      <c r="BQ830" s="65"/>
      <c r="BR830" s="65"/>
      <c r="BS830" s="65"/>
    </row>
    <row r="831" spans="45:74" x14ac:dyDescent="0.25">
      <c r="AS831" s="53"/>
      <c r="AV831" s="379"/>
      <c r="AW831" s="379"/>
      <c r="AX831" s="65"/>
      <c r="AY831" s="65"/>
      <c r="AZ831" s="65"/>
      <c r="BA831" s="60"/>
      <c r="BB831" s="65"/>
      <c r="BC831" s="65"/>
      <c r="BD831" s="65"/>
      <c r="BE831" s="60"/>
      <c r="BG831" s="65"/>
      <c r="BH831" s="65"/>
      <c r="BI831" s="65"/>
      <c r="BJ831" s="65"/>
      <c r="BK831" s="65"/>
      <c r="BL831" s="65"/>
      <c r="BM831" s="65"/>
      <c r="BN831" s="65"/>
      <c r="BO831" s="65"/>
      <c r="BP831" s="65"/>
      <c r="BQ831" s="65"/>
      <c r="BR831" s="65"/>
      <c r="BS831" s="65"/>
    </row>
    <row r="832" spans="45:74" x14ac:dyDescent="0.25">
      <c r="AS832" s="53"/>
      <c r="AV832" s="379"/>
      <c r="AW832" s="379"/>
      <c r="AX832" s="65"/>
      <c r="AY832" s="65"/>
      <c r="AZ832" s="65"/>
      <c r="BA832" s="60"/>
      <c r="BB832" s="65"/>
      <c r="BC832" s="65"/>
      <c r="BD832" s="65"/>
      <c r="BE832" s="60"/>
      <c r="BG832" s="65"/>
      <c r="BH832" s="65"/>
      <c r="BI832" s="65"/>
      <c r="BJ832" s="65"/>
      <c r="BK832" s="65"/>
      <c r="BL832" s="65"/>
      <c r="BM832" s="65"/>
      <c r="BN832" s="65"/>
      <c r="BO832" s="65"/>
      <c r="BP832" s="65"/>
      <c r="BQ832" s="65"/>
      <c r="BR832" s="65"/>
      <c r="BS832" s="65"/>
    </row>
    <row r="833" spans="45:71" x14ac:dyDescent="0.25">
      <c r="AS833" s="53"/>
      <c r="AV833" s="379"/>
      <c r="AW833" s="379"/>
      <c r="AX833" s="65"/>
      <c r="AY833" s="65"/>
      <c r="AZ833" s="65"/>
      <c r="BA833" s="60"/>
      <c r="BB833" s="65"/>
      <c r="BC833" s="65"/>
      <c r="BD833" s="65"/>
      <c r="BE833" s="60"/>
      <c r="BG833" s="65"/>
      <c r="BH833" s="65"/>
      <c r="BI833" s="65"/>
      <c r="BJ833" s="65"/>
      <c r="BK833" s="65"/>
      <c r="BL833" s="65"/>
      <c r="BM833" s="65"/>
      <c r="BN833" s="65"/>
      <c r="BO833" s="65"/>
      <c r="BP833" s="65"/>
      <c r="BQ833" s="65"/>
      <c r="BR833" s="65"/>
      <c r="BS833" s="65"/>
    </row>
    <row r="834" spans="45:71" x14ac:dyDescent="0.25">
      <c r="AS834" s="53"/>
      <c r="AV834" s="379"/>
      <c r="AW834" s="379"/>
      <c r="AX834" s="65"/>
      <c r="AY834" s="65"/>
      <c r="AZ834" s="65"/>
      <c r="BA834" s="60"/>
      <c r="BB834" s="65"/>
      <c r="BC834" s="65"/>
      <c r="BD834" s="65"/>
      <c r="BE834" s="60"/>
      <c r="BG834" s="65"/>
      <c r="BH834" s="65"/>
      <c r="BI834" s="65"/>
      <c r="BJ834" s="65"/>
      <c r="BK834" s="65"/>
      <c r="BL834" s="65"/>
      <c r="BM834" s="65"/>
      <c r="BN834" s="65"/>
      <c r="BO834" s="65"/>
      <c r="BP834" s="65"/>
      <c r="BQ834" s="65"/>
      <c r="BR834" s="65"/>
      <c r="BS834" s="65"/>
    </row>
    <row r="835" spans="45:71" x14ac:dyDescent="0.25">
      <c r="AS835" s="53"/>
      <c r="AV835" s="379"/>
      <c r="AW835" s="379"/>
      <c r="AX835" s="65"/>
      <c r="AY835" s="65"/>
      <c r="AZ835" s="65"/>
      <c r="BA835" s="60"/>
      <c r="BB835" s="65"/>
      <c r="BC835" s="65"/>
      <c r="BD835" s="65"/>
      <c r="BE835" s="60"/>
      <c r="BG835" s="65"/>
      <c r="BH835" s="65"/>
      <c r="BI835" s="65"/>
      <c r="BJ835" s="65"/>
      <c r="BK835" s="65"/>
      <c r="BL835" s="65"/>
      <c r="BM835" s="65"/>
      <c r="BN835" s="65"/>
      <c r="BO835" s="65"/>
      <c r="BP835" s="65"/>
      <c r="BQ835" s="65"/>
      <c r="BR835" s="65"/>
      <c r="BS835" s="65"/>
    </row>
    <row r="836" spans="45:71" x14ac:dyDescent="0.25">
      <c r="AS836" s="53"/>
      <c r="AV836" s="379"/>
      <c r="AW836" s="379"/>
      <c r="AX836" s="65"/>
      <c r="AY836" s="65"/>
      <c r="AZ836" s="65"/>
      <c r="BA836" s="60"/>
      <c r="BB836" s="65"/>
      <c r="BC836" s="65"/>
      <c r="BD836" s="65"/>
      <c r="BE836" s="60"/>
      <c r="BG836" s="65"/>
      <c r="BH836" s="65"/>
      <c r="BI836" s="65"/>
      <c r="BJ836" s="65"/>
      <c r="BK836" s="65"/>
      <c r="BL836" s="65"/>
      <c r="BM836" s="65"/>
      <c r="BN836" s="65"/>
      <c r="BO836" s="65"/>
      <c r="BP836" s="65"/>
      <c r="BQ836" s="65"/>
      <c r="BR836" s="65"/>
      <c r="BS836" s="65"/>
    </row>
    <row r="837" spans="45:71" x14ac:dyDescent="0.25">
      <c r="AS837" s="53"/>
      <c r="AV837" s="379"/>
      <c r="AW837" s="379"/>
      <c r="AX837" s="65"/>
      <c r="AY837" s="65"/>
      <c r="AZ837" s="65"/>
      <c r="BA837" s="60"/>
      <c r="BB837" s="65"/>
      <c r="BC837" s="65"/>
      <c r="BD837" s="65"/>
      <c r="BE837" s="60"/>
      <c r="BG837" s="65"/>
      <c r="BH837" s="65"/>
      <c r="BI837" s="65"/>
      <c r="BJ837" s="65"/>
      <c r="BK837" s="65"/>
      <c r="BL837" s="65"/>
      <c r="BM837" s="65"/>
      <c r="BN837" s="65"/>
      <c r="BO837" s="65"/>
      <c r="BP837" s="65"/>
      <c r="BQ837" s="65"/>
      <c r="BR837" s="65"/>
      <c r="BS837" s="65"/>
    </row>
    <row r="838" spans="45:71" x14ac:dyDescent="0.25">
      <c r="AS838" s="53"/>
      <c r="AV838" s="379"/>
      <c r="AW838" s="379"/>
      <c r="AX838" s="65"/>
      <c r="AY838" s="65"/>
      <c r="AZ838" s="65"/>
      <c r="BA838" s="60"/>
      <c r="BB838" s="65"/>
      <c r="BC838" s="65"/>
      <c r="BD838" s="65"/>
      <c r="BE838" s="60"/>
      <c r="BG838" s="65"/>
      <c r="BH838" s="65"/>
      <c r="BI838" s="65"/>
      <c r="BJ838" s="65"/>
      <c r="BK838" s="65"/>
      <c r="BL838" s="65"/>
      <c r="BM838" s="65"/>
      <c r="BN838" s="65"/>
      <c r="BO838" s="65"/>
      <c r="BP838" s="65"/>
      <c r="BQ838" s="65"/>
      <c r="BR838" s="65"/>
      <c r="BS838" s="65"/>
    </row>
    <row r="839" spans="45:71" x14ac:dyDescent="0.25">
      <c r="AS839" s="53"/>
      <c r="AV839" s="379"/>
      <c r="AW839" s="379"/>
      <c r="AX839" s="65"/>
      <c r="AY839" s="65"/>
      <c r="AZ839" s="65"/>
      <c r="BA839" s="60"/>
      <c r="BB839" s="65"/>
      <c r="BC839" s="65"/>
      <c r="BD839" s="65"/>
      <c r="BE839" s="60"/>
      <c r="BG839" s="65"/>
      <c r="BH839" s="65"/>
      <c r="BI839" s="65"/>
      <c r="BJ839" s="65"/>
      <c r="BK839" s="65"/>
      <c r="BL839" s="65"/>
      <c r="BM839" s="65"/>
      <c r="BN839" s="65"/>
      <c r="BO839" s="65"/>
      <c r="BP839" s="65"/>
      <c r="BQ839" s="65"/>
      <c r="BR839" s="65"/>
      <c r="BS839" s="65"/>
    </row>
    <row r="840" spans="45:71" x14ac:dyDescent="0.25">
      <c r="AS840" s="53"/>
      <c r="AV840" s="379"/>
      <c r="AW840" s="379"/>
      <c r="AX840" s="65"/>
      <c r="AY840" s="65"/>
      <c r="AZ840" s="65"/>
      <c r="BA840" s="60"/>
      <c r="BB840" s="65"/>
      <c r="BC840" s="65"/>
      <c r="BD840" s="65"/>
      <c r="BE840" s="60"/>
      <c r="BG840" s="65"/>
      <c r="BH840" s="65"/>
      <c r="BI840" s="65"/>
      <c r="BJ840" s="65"/>
      <c r="BK840" s="65"/>
      <c r="BL840" s="65"/>
      <c r="BM840" s="65"/>
      <c r="BN840" s="65"/>
      <c r="BO840" s="65"/>
      <c r="BP840" s="65"/>
      <c r="BQ840" s="65"/>
      <c r="BR840" s="65"/>
      <c r="BS840" s="65"/>
    </row>
    <row r="841" spans="45:71" x14ac:dyDescent="0.25">
      <c r="AS841" s="53"/>
      <c r="AV841" s="379"/>
      <c r="AW841" s="379"/>
      <c r="AX841" s="65"/>
      <c r="AY841" s="65"/>
      <c r="AZ841" s="65"/>
      <c r="BA841" s="60"/>
      <c r="BB841" s="65"/>
      <c r="BC841" s="65"/>
      <c r="BD841" s="65"/>
      <c r="BE841" s="60"/>
      <c r="BG841" s="65"/>
      <c r="BH841" s="65"/>
      <c r="BI841" s="65"/>
      <c r="BJ841" s="65"/>
      <c r="BK841" s="65"/>
      <c r="BL841" s="65"/>
      <c r="BM841" s="65"/>
      <c r="BN841" s="65"/>
      <c r="BO841" s="65"/>
      <c r="BP841" s="65"/>
      <c r="BQ841" s="65"/>
      <c r="BR841" s="65"/>
      <c r="BS841" s="65"/>
    </row>
    <row r="842" spans="45:71" x14ac:dyDescent="0.25">
      <c r="AS842" s="53"/>
      <c r="AV842" s="379"/>
      <c r="AW842" s="379"/>
      <c r="AX842" s="65"/>
      <c r="AY842" s="65"/>
      <c r="AZ842" s="65"/>
      <c r="BA842" s="60"/>
      <c r="BB842" s="65"/>
      <c r="BC842" s="65"/>
      <c r="BD842" s="65"/>
      <c r="BE842" s="60"/>
      <c r="BG842" s="65"/>
      <c r="BH842" s="65"/>
      <c r="BI842" s="65"/>
      <c r="BJ842" s="65"/>
      <c r="BK842" s="65"/>
      <c r="BL842" s="65"/>
      <c r="BM842" s="65"/>
      <c r="BN842" s="65"/>
      <c r="BO842" s="65"/>
      <c r="BP842" s="65"/>
      <c r="BQ842" s="65"/>
      <c r="BR842" s="65"/>
      <c r="BS842" s="65"/>
    </row>
    <row r="843" spans="45:71" x14ac:dyDescent="0.25">
      <c r="AS843" s="53"/>
      <c r="AV843" s="379"/>
      <c r="AW843" s="379"/>
      <c r="AX843" s="65"/>
      <c r="AY843" s="65"/>
      <c r="AZ843" s="65"/>
      <c r="BA843" s="60"/>
      <c r="BB843" s="65"/>
      <c r="BC843" s="65"/>
      <c r="BD843" s="65"/>
      <c r="BE843" s="60"/>
      <c r="BG843" s="65"/>
      <c r="BH843" s="65"/>
      <c r="BI843" s="65"/>
      <c r="BJ843" s="65"/>
      <c r="BK843" s="65"/>
      <c r="BL843" s="65"/>
      <c r="BM843" s="65"/>
      <c r="BN843" s="65"/>
      <c r="BO843" s="65"/>
      <c r="BP843" s="65"/>
      <c r="BQ843" s="65"/>
      <c r="BR843" s="65"/>
      <c r="BS843" s="65"/>
    </row>
    <row r="844" spans="45:71" x14ac:dyDescent="0.25">
      <c r="AZ844" s="65"/>
      <c r="BB844" s="65"/>
      <c r="BC844" s="65"/>
      <c r="BD844" s="65"/>
      <c r="BG844" s="65"/>
      <c r="BH844" s="65"/>
      <c r="BI844" s="65"/>
      <c r="BJ844" s="65"/>
      <c r="BK844" s="65"/>
      <c r="BL844" s="65"/>
      <c r="BM844" s="65"/>
      <c r="BN844" s="65"/>
      <c r="BO844" s="65"/>
      <c r="BP844" s="65"/>
      <c r="BQ844" s="65"/>
      <c r="BR844" s="65"/>
      <c r="BS844" s="65"/>
    </row>
    <row r="845" spans="45:71" x14ac:dyDescent="0.25">
      <c r="AS845" s="53"/>
      <c r="AT845" s="54"/>
      <c r="AV845" s="379"/>
      <c r="AW845" s="379"/>
      <c r="AX845" s="65"/>
      <c r="AY845" s="65"/>
      <c r="AZ845" s="65"/>
      <c r="BA845" s="60"/>
      <c r="BB845" s="65"/>
      <c r="BC845" s="65"/>
      <c r="BD845" s="65"/>
      <c r="BE845" s="60"/>
    </row>
    <row r="846" spans="45:71" x14ac:dyDescent="0.25">
      <c r="AS846" s="53"/>
      <c r="AV846" s="379"/>
      <c r="AW846" s="379"/>
      <c r="AX846" s="65"/>
      <c r="AY846" s="65"/>
      <c r="AZ846" s="65"/>
      <c r="BA846" s="60"/>
      <c r="BB846" s="65"/>
      <c r="BC846" s="65"/>
      <c r="BD846" s="65"/>
      <c r="BE846" s="60"/>
    </row>
    <row r="847" spans="45:71" x14ac:dyDescent="0.25">
      <c r="AS847" s="53"/>
      <c r="AV847" s="379"/>
      <c r="AW847" s="379"/>
      <c r="AX847" s="65"/>
      <c r="AY847" s="65"/>
      <c r="AZ847" s="65"/>
      <c r="BA847" s="60"/>
      <c r="BB847" s="65"/>
      <c r="BC847" s="65"/>
      <c r="BD847" s="65"/>
      <c r="BE847" s="60"/>
    </row>
    <row r="848" spans="45:71" x14ac:dyDescent="0.25">
      <c r="AS848" s="53"/>
      <c r="AV848" s="379"/>
      <c r="AW848" s="379"/>
      <c r="AX848" s="65"/>
      <c r="AY848" s="65"/>
      <c r="AZ848" s="65"/>
      <c r="BA848" s="60"/>
      <c r="BB848" s="65"/>
      <c r="BC848" s="65"/>
      <c r="BD848" s="65"/>
      <c r="BE848" s="60"/>
    </row>
    <row r="849" spans="45:57" x14ac:dyDescent="0.25">
      <c r="AS849" s="53"/>
      <c r="AV849" s="379"/>
      <c r="AW849" s="379"/>
      <c r="AX849" s="65"/>
      <c r="AY849" s="65"/>
      <c r="AZ849" s="65"/>
      <c r="BA849" s="60"/>
      <c r="BB849" s="65"/>
      <c r="BC849" s="65"/>
      <c r="BD849" s="65"/>
      <c r="BE849" s="60"/>
    </row>
    <row r="850" spans="45:57" x14ac:dyDescent="0.25">
      <c r="AS850" s="53"/>
      <c r="AV850" s="379"/>
      <c r="AW850" s="379"/>
      <c r="AX850" s="65"/>
      <c r="AY850" s="65"/>
      <c r="AZ850" s="65"/>
      <c r="BA850" s="60"/>
      <c r="BB850" s="65"/>
      <c r="BC850" s="65"/>
      <c r="BD850" s="65"/>
      <c r="BE850" s="60"/>
    </row>
    <row r="851" spans="45:57" x14ac:dyDescent="0.25">
      <c r="AS851" s="53"/>
      <c r="AV851" s="379"/>
      <c r="AW851" s="379"/>
      <c r="AX851" s="65"/>
      <c r="AY851" s="65"/>
      <c r="AZ851" s="65"/>
      <c r="BA851" s="60"/>
      <c r="BB851" s="65"/>
      <c r="BC851" s="65"/>
      <c r="BD851" s="65"/>
      <c r="BE851" s="60"/>
    </row>
    <row r="852" spans="45:57" x14ac:dyDescent="0.25">
      <c r="AS852" s="53"/>
      <c r="AV852" s="379"/>
      <c r="AW852" s="379"/>
      <c r="AX852" s="65"/>
      <c r="AY852" s="65"/>
      <c r="AZ852" s="65"/>
      <c r="BA852" s="60"/>
      <c r="BB852" s="65"/>
      <c r="BC852" s="65"/>
      <c r="BD852" s="65"/>
      <c r="BE852" s="60"/>
    </row>
    <row r="853" spans="45:57" x14ac:dyDescent="0.25">
      <c r="AS853" s="53"/>
      <c r="AV853" s="379"/>
      <c r="AW853" s="379"/>
      <c r="AX853" s="65"/>
      <c r="AY853" s="65"/>
      <c r="AZ853" s="65"/>
      <c r="BA853" s="60"/>
      <c r="BB853" s="65"/>
      <c r="BC853" s="65"/>
      <c r="BD853" s="65"/>
      <c r="BE853" s="60"/>
    </row>
    <row r="854" spans="45:57" x14ac:dyDescent="0.25">
      <c r="AS854" s="53"/>
      <c r="AV854" s="379"/>
      <c r="AW854" s="379"/>
      <c r="AX854" s="65"/>
      <c r="AY854" s="65"/>
      <c r="AZ854" s="65"/>
      <c r="BA854" s="60"/>
      <c r="BB854" s="65"/>
      <c r="BC854" s="65"/>
      <c r="BD854" s="65"/>
      <c r="BE854" s="60"/>
    </row>
    <row r="855" spans="45:57" x14ac:dyDescent="0.25">
      <c r="AS855" s="53"/>
      <c r="AV855" s="379"/>
      <c r="AW855" s="379"/>
      <c r="AX855" s="65"/>
      <c r="AY855" s="65"/>
      <c r="AZ855" s="65"/>
      <c r="BA855" s="60"/>
      <c r="BB855" s="65"/>
      <c r="BC855" s="65"/>
      <c r="BD855" s="65"/>
      <c r="BE855" s="60"/>
    </row>
    <row r="856" spans="45:57" x14ac:dyDescent="0.25">
      <c r="AS856" s="53"/>
      <c r="AV856" s="379"/>
      <c r="AW856" s="379"/>
      <c r="AX856" s="65"/>
      <c r="AY856" s="65"/>
      <c r="AZ856" s="65"/>
      <c r="BA856" s="60"/>
      <c r="BB856" s="65"/>
      <c r="BC856" s="65"/>
      <c r="BD856" s="65"/>
      <c r="BE856" s="60"/>
    </row>
    <row r="857" spans="45:57" x14ac:dyDescent="0.25">
      <c r="AS857" s="53"/>
      <c r="AV857" s="379"/>
      <c r="AW857" s="379"/>
      <c r="AX857" s="65"/>
      <c r="AY857" s="65"/>
      <c r="AZ857" s="65"/>
      <c r="BA857" s="60"/>
      <c r="BB857" s="65"/>
      <c r="BC857" s="65"/>
      <c r="BD857" s="65"/>
      <c r="BE857" s="60"/>
    </row>
    <row r="858" spans="45:57" x14ac:dyDescent="0.25">
      <c r="AS858" s="53"/>
      <c r="AV858" s="379"/>
      <c r="AW858" s="379"/>
      <c r="AX858" s="65"/>
      <c r="AY858" s="65"/>
      <c r="AZ858" s="65"/>
      <c r="BA858" s="60"/>
      <c r="BB858" s="65"/>
      <c r="BC858" s="65"/>
      <c r="BD858" s="65"/>
      <c r="BE858" s="60"/>
    </row>
    <row r="859" spans="45:57" x14ac:dyDescent="0.25">
      <c r="AS859" s="53"/>
      <c r="AV859" s="379"/>
      <c r="AW859" s="379"/>
      <c r="AX859" s="65"/>
      <c r="AY859" s="65"/>
      <c r="AZ859" s="65"/>
      <c r="BA859" s="60"/>
      <c r="BB859" s="65"/>
      <c r="BC859" s="65"/>
      <c r="BD859" s="65"/>
      <c r="BE859" s="60"/>
    </row>
    <row r="860" spans="45:57" x14ac:dyDescent="0.25">
      <c r="AS860" s="53"/>
      <c r="AV860" s="379"/>
      <c r="AW860" s="379"/>
      <c r="AX860" s="65"/>
      <c r="AY860" s="65"/>
      <c r="AZ860" s="65"/>
      <c r="BA860" s="60"/>
      <c r="BB860" s="65"/>
      <c r="BC860" s="65"/>
      <c r="BD860" s="65"/>
      <c r="BE860" s="60"/>
    </row>
    <row r="861" spans="45:57" x14ac:dyDescent="0.25">
      <c r="AS861" s="53"/>
      <c r="AV861" s="379"/>
      <c r="AW861" s="379"/>
      <c r="AX861" s="65"/>
      <c r="AY861" s="65"/>
      <c r="AZ861" s="65"/>
      <c r="BA861" s="60"/>
      <c r="BB861" s="65"/>
      <c r="BC861" s="65"/>
      <c r="BD861" s="65"/>
      <c r="BE861" s="60"/>
    </row>
    <row r="862" spans="45:57" x14ac:dyDescent="0.25">
      <c r="AS862" s="53"/>
      <c r="AV862" s="379"/>
      <c r="AW862" s="379"/>
      <c r="AX862" s="65"/>
      <c r="AY862" s="65"/>
      <c r="AZ862" s="65"/>
      <c r="BA862" s="60"/>
      <c r="BB862" s="65"/>
      <c r="BC862" s="65"/>
      <c r="BD862" s="65"/>
      <c r="BE862" s="60"/>
    </row>
    <row r="863" spans="45:57" x14ac:dyDescent="0.25">
      <c r="BB863" s="65"/>
    </row>
    <row r="864" spans="45:57" x14ac:dyDescent="0.25">
      <c r="AU864" s="54"/>
      <c r="BB864" s="65"/>
    </row>
    <row r="865" spans="45:57" x14ac:dyDescent="0.25">
      <c r="AU865" s="54"/>
    </row>
    <row r="866" spans="45:57" x14ac:dyDescent="0.25">
      <c r="AU866" s="54"/>
      <c r="BB866" s="65"/>
    </row>
    <row r="867" spans="45:57" x14ac:dyDescent="0.25">
      <c r="AS867" s="54"/>
      <c r="AZ867" s="65"/>
      <c r="BB867" s="65"/>
    </row>
    <row r="868" spans="45:57" x14ac:dyDescent="0.25">
      <c r="AY868" s="53"/>
      <c r="AZ868" s="65"/>
      <c r="BB868" s="65"/>
    </row>
    <row r="869" spans="45:57" x14ac:dyDescent="0.25">
      <c r="AY869" s="65"/>
      <c r="AZ869" s="65"/>
      <c r="BB869" s="65"/>
    </row>
    <row r="870" spans="45:57" x14ac:dyDescent="0.25">
      <c r="AY870" s="54"/>
      <c r="AZ870" s="65"/>
      <c r="BB870" s="65"/>
    </row>
    <row r="871" spans="45:57" x14ac:dyDescent="0.25">
      <c r="AY871" s="54"/>
      <c r="AZ871" s="65"/>
      <c r="BB871" s="65"/>
    </row>
    <row r="872" spans="45:57" x14ac:dyDescent="0.25">
      <c r="AS872" s="53"/>
      <c r="AZ872" s="65"/>
      <c r="BB872" s="65"/>
      <c r="BD872" s="54"/>
    </row>
    <row r="873" spans="45:57" x14ac:dyDescent="0.25">
      <c r="AS873" s="53"/>
      <c r="AZ873" s="65"/>
      <c r="BB873" s="65"/>
      <c r="BD873" s="54"/>
    </row>
    <row r="874" spans="45:57" x14ac:dyDescent="0.25">
      <c r="AS874" s="54"/>
      <c r="AZ874" s="65"/>
      <c r="BB874" s="65"/>
      <c r="BD874" s="54"/>
    </row>
    <row r="875" spans="45:57" x14ac:dyDescent="0.25">
      <c r="AZ875" s="65"/>
      <c r="BB875" s="65"/>
      <c r="BD875" s="53"/>
    </row>
    <row r="876" spans="45:57" x14ac:dyDescent="0.25">
      <c r="AS876" s="55"/>
      <c r="AT876" s="55"/>
      <c r="AU876" s="55"/>
      <c r="AV876" s="55"/>
      <c r="AW876" s="55"/>
      <c r="AX876" s="55"/>
      <c r="AY876" s="55"/>
      <c r="AZ876" s="66"/>
      <c r="BA876" s="55"/>
      <c r="BB876" s="66"/>
      <c r="BC876" s="55"/>
      <c r="BD876" s="55"/>
      <c r="BE876" s="55"/>
    </row>
    <row r="877" spans="45:57" x14ac:dyDescent="0.25">
      <c r="AX877" s="54"/>
      <c r="AZ877" s="65"/>
      <c r="BB877" s="65"/>
    </row>
    <row r="878" spans="45:57" x14ac:dyDescent="0.25">
      <c r="AX878" s="55"/>
      <c r="AY878" s="55"/>
      <c r="AZ878" s="66"/>
      <c r="BA878" s="55"/>
      <c r="BB878" s="65"/>
      <c r="BC878" s="56"/>
      <c r="BD878" s="56"/>
    </row>
    <row r="879" spans="45:57" x14ac:dyDescent="0.25">
      <c r="AV879" s="56"/>
      <c r="AW879" s="56"/>
      <c r="AZ879" s="67"/>
      <c r="BA879" s="56"/>
      <c r="BB879" s="65"/>
      <c r="BC879" s="56"/>
      <c r="BD879" s="56"/>
      <c r="BE879" s="56"/>
    </row>
    <row r="880" spans="45:57" x14ac:dyDescent="0.25">
      <c r="AV880" s="56"/>
      <c r="AW880" s="56"/>
      <c r="AX880" s="56"/>
      <c r="AY880" s="56"/>
      <c r="AZ880" s="67"/>
      <c r="BA880" s="56"/>
      <c r="BB880" s="67"/>
      <c r="BC880" s="56"/>
      <c r="BD880" s="56"/>
      <c r="BE880" s="56"/>
    </row>
    <row r="881" spans="45:57" x14ac:dyDescent="0.25">
      <c r="AS881" s="56"/>
      <c r="AU881" s="54"/>
      <c r="AV881" s="56"/>
      <c r="AW881" s="56"/>
      <c r="AX881" s="56"/>
      <c r="AY881" s="56"/>
      <c r="AZ881" s="67"/>
      <c r="BA881" s="56"/>
      <c r="BB881" s="67"/>
      <c r="BC881" s="56"/>
      <c r="BD881" s="56"/>
      <c r="BE881" s="56"/>
    </row>
    <row r="882" spans="45:57" x14ac:dyDescent="0.25">
      <c r="AS882" s="56"/>
      <c r="AU882" s="54"/>
      <c r="AV882" s="56"/>
      <c r="AW882" s="56"/>
      <c r="AX882" s="56"/>
      <c r="AY882" s="56"/>
      <c r="AZ882" s="67"/>
      <c r="BA882" s="56"/>
      <c r="BB882" s="67"/>
      <c r="BC882" s="56"/>
      <c r="BD882" s="56"/>
      <c r="BE882" s="56"/>
    </row>
    <row r="883" spans="45:57" x14ac:dyDescent="0.25">
      <c r="AS883" s="55"/>
      <c r="AT883" s="55"/>
      <c r="AU883" s="55"/>
      <c r="AV883" s="55"/>
      <c r="AW883" s="55"/>
      <c r="AX883" s="55"/>
      <c r="AY883" s="55"/>
      <c r="AZ883" s="66"/>
      <c r="BA883" s="55"/>
      <c r="BB883" s="66"/>
      <c r="BC883" s="55"/>
      <c r="BD883" s="55"/>
      <c r="BE883" s="55"/>
    </row>
    <row r="884" spans="45:57" x14ac:dyDescent="0.25">
      <c r="AV884" s="56"/>
      <c r="AW884" s="56"/>
      <c r="AX884" s="56"/>
      <c r="AY884" s="56"/>
      <c r="AZ884" s="67"/>
      <c r="BA884" s="56"/>
      <c r="BB884" s="67"/>
      <c r="BC884" s="56"/>
      <c r="BD884" s="56"/>
      <c r="BE884" s="56"/>
    </row>
    <row r="885" spans="45:57" x14ac:dyDescent="0.25">
      <c r="AS885" s="53"/>
      <c r="AT885" s="54"/>
      <c r="AV885" s="379"/>
      <c r="AW885" s="379"/>
      <c r="AX885" s="65"/>
      <c r="AY885" s="65"/>
      <c r="AZ885" s="65"/>
      <c r="BA885" s="60"/>
      <c r="BB885" s="65"/>
      <c r="BC885" s="65"/>
      <c r="BD885" s="65"/>
      <c r="BE885" s="60"/>
    </row>
    <row r="886" spans="45:57" x14ac:dyDescent="0.25">
      <c r="AS886" s="53"/>
      <c r="AV886" s="379"/>
      <c r="AW886" s="379"/>
      <c r="AX886" s="65"/>
      <c r="AY886" s="65"/>
      <c r="AZ886" s="65"/>
      <c r="BA886" s="60"/>
      <c r="BB886" s="65"/>
      <c r="BC886" s="65"/>
      <c r="BD886" s="65"/>
      <c r="BE886" s="60"/>
    </row>
    <row r="887" spans="45:57" x14ac:dyDescent="0.25">
      <c r="AS887" s="53"/>
      <c r="AV887" s="379"/>
      <c r="AW887" s="379"/>
      <c r="AX887" s="65"/>
      <c r="AY887" s="65"/>
      <c r="AZ887" s="65"/>
      <c r="BA887" s="60"/>
      <c r="BB887" s="65"/>
      <c r="BC887" s="65"/>
      <c r="BD887" s="65"/>
      <c r="BE887" s="60"/>
    </row>
    <row r="888" spans="45:57" x14ac:dyDescent="0.25">
      <c r="AS888" s="53"/>
      <c r="AV888" s="379"/>
      <c r="AW888" s="379"/>
      <c r="AX888" s="65"/>
      <c r="AY888" s="65"/>
      <c r="AZ888" s="65"/>
      <c r="BA888" s="60"/>
      <c r="BB888" s="65"/>
      <c r="BC888" s="65"/>
      <c r="BD888" s="65"/>
      <c r="BE888" s="60"/>
    </row>
    <row r="889" spans="45:57" x14ac:dyDescent="0.25">
      <c r="AS889" s="53"/>
      <c r="AV889" s="379"/>
      <c r="AW889" s="379"/>
      <c r="AX889" s="65"/>
      <c r="AY889" s="65"/>
      <c r="AZ889" s="65"/>
      <c r="BA889" s="60"/>
      <c r="BB889" s="65"/>
      <c r="BC889" s="65"/>
      <c r="BD889" s="65"/>
      <c r="BE889" s="60"/>
    </row>
    <row r="890" spans="45:57" x14ac:dyDescent="0.25">
      <c r="AS890" s="53"/>
      <c r="AV890" s="379"/>
      <c r="AW890" s="379"/>
      <c r="AX890" s="65"/>
      <c r="AY890" s="65"/>
      <c r="AZ890" s="65"/>
      <c r="BA890" s="60"/>
      <c r="BB890" s="65"/>
      <c r="BC890" s="65"/>
      <c r="BD890" s="65"/>
      <c r="BE890" s="60"/>
    </row>
    <row r="891" spans="45:57" x14ac:dyDescent="0.25">
      <c r="AS891" s="53"/>
      <c r="AV891" s="379"/>
      <c r="AW891" s="379"/>
      <c r="AX891" s="65"/>
      <c r="AY891" s="65"/>
      <c r="AZ891" s="65"/>
      <c r="BA891" s="60"/>
      <c r="BB891" s="65"/>
      <c r="BC891" s="65"/>
      <c r="BD891" s="65"/>
      <c r="BE891" s="60"/>
    </row>
    <row r="892" spans="45:57" x14ac:dyDescent="0.25">
      <c r="AS892" s="53"/>
      <c r="AV892" s="379"/>
      <c r="AW892" s="379"/>
      <c r="AX892" s="65"/>
      <c r="AY892" s="65"/>
      <c r="AZ892" s="65"/>
      <c r="BA892" s="60"/>
      <c r="BB892" s="65"/>
      <c r="BC892" s="65"/>
      <c r="BD892" s="65"/>
      <c r="BE892" s="60"/>
    </row>
    <row r="893" spans="45:57" x14ac:dyDescent="0.25">
      <c r="AS893" s="53"/>
      <c r="AV893" s="379"/>
      <c r="AW893" s="379"/>
      <c r="AX893" s="65"/>
      <c r="AY893" s="65"/>
      <c r="AZ893" s="65"/>
      <c r="BA893" s="60"/>
      <c r="BB893" s="65"/>
      <c r="BC893" s="65"/>
      <c r="BD893" s="65"/>
      <c r="BE893" s="60"/>
    </row>
    <row r="894" spans="45:57" x14ac:dyDescent="0.25">
      <c r="AS894" s="53"/>
      <c r="AV894" s="379"/>
      <c r="AW894" s="379"/>
      <c r="AX894" s="65"/>
      <c r="AY894" s="65"/>
      <c r="AZ894" s="65"/>
      <c r="BA894" s="60"/>
      <c r="BB894" s="65"/>
      <c r="BC894" s="65"/>
      <c r="BD894" s="65"/>
      <c r="BE894" s="60"/>
    </row>
    <row r="895" spans="45:57" x14ac:dyDescent="0.25">
      <c r="AV895" s="379"/>
      <c r="AW895" s="379"/>
      <c r="BB895" s="65"/>
    </row>
    <row r="896" spans="45:57" x14ac:dyDescent="0.25">
      <c r="AS896" s="53"/>
      <c r="AT896" s="54"/>
      <c r="AV896" s="379"/>
      <c r="AW896" s="379"/>
      <c r="AX896" s="65"/>
      <c r="AY896" s="65"/>
      <c r="AZ896" s="65"/>
      <c r="BA896" s="60"/>
      <c r="BB896" s="65"/>
      <c r="BC896" s="65"/>
      <c r="BD896" s="65"/>
      <c r="BE896" s="60"/>
    </row>
    <row r="897" spans="45:57" x14ac:dyDescent="0.25">
      <c r="AS897" s="53"/>
      <c r="AV897" s="379"/>
      <c r="AW897" s="379"/>
      <c r="AX897" s="65"/>
      <c r="AY897" s="65"/>
      <c r="AZ897" s="65"/>
      <c r="BA897" s="60"/>
      <c r="BB897" s="65"/>
      <c r="BC897" s="65"/>
      <c r="BD897" s="65"/>
      <c r="BE897" s="60"/>
    </row>
    <row r="898" spans="45:57" x14ac:dyDescent="0.25">
      <c r="AS898" s="53"/>
      <c r="AV898" s="379"/>
      <c r="AW898" s="379"/>
      <c r="AX898" s="65"/>
      <c r="AY898" s="65"/>
      <c r="AZ898" s="65"/>
      <c r="BA898" s="60"/>
      <c r="BB898" s="65"/>
      <c r="BC898" s="65"/>
      <c r="BD898" s="65"/>
      <c r="BE898" s="60"/>
    </row>
    <row r="899" spans="45:57" x14ac:dyDescent="0.25">
      <c r="AS899" s="53"/>
      <c r="AV899" s="379"/>
      <c r="AW899" s="379"/>
      <c r="AX899" s="65"/>
      <c r="AY899" s="65"/>
      <c r="AZ899" s="65"/>
      <c r="BA899" s="60"/>
      <c r="BB899" s="65"/>
      <c r="BC899" s="65"/>
      <c r="BD899" s="65"/>
      <c r="BE899" s="60"/>
    </row>
    <row r="900" spans="45:57" x14ac:dyDescent="0.25">
      <c r="AS900" s="53"/>
      <c r="AV900" s="379"/>
      <c r="AW900" s="379"/>
      <c r="AX900" s="65"/>
      <c r="AY900" s="65"/>
      <c r="AZ900" s="65"/>
      <c r="BA900" s="60"/>
      <c r="BB900" s="65"/>
      <c r="BC900" s="65"/>
      <c r="BD900" s="65"/>
      <c r="BE900" s="60"/>
    </row>
    <row r="901" spans="45:57" x14ac:dyDescent="0.25">
      <c r="AS901" s="53"/>
      <c r="AV901" s="379"/>
      <c r="AW901" s="379"/>
      <c r="AX901" s="65"/>
      <c r="AY901" s="65"/>
      <c r="AZ901" s="65"/>
      <c r="BA901" s="60"/>
      <c r="BB901" s="65"/>
      <c r="BC901" s="65"/>
      <c r="BD901" s="65"/>
      <c r="BE901" s="60"/>
    </row>
    <row r="902" spans="45:57" x14ac:dyDescent="0.25">
      <c r="AS902" s="53"/>
      <c r="AV902" s="379"/>
      <c r="AW902" s="379"/>
      <c r="AX902" s="65"/>
      <c r="AY902" s="65"/>
      <c r="AZ902" s="65"/>
      <c r="BA902" s="60"/>
      <c r="BB902" s="65"/>
      <c r="BC902" s="65"/>
      <c r="BD902" s="65"/>
      <c r="BE902" s="60"/>
    </row>
    <row r="903" spans="45:57" x14ac:dyDescent="0.25">
      <c r="AS903" s="53"/>
      <c r="AV903" s="379"/>
      <c r="AW903" s="379"/>
      <c r="AX903" s="65"/>
      <c r="AY903" s="65"/>
      <c r="AZ903" s="65"/>
      <c r="BA903" s="60"/>
      <c r="BB903" s="65"/>
      <c r="BC903" s="65"/>
      <c r="BD903" s="65"/>
      <c r="BE903" s="60"/>
    </row>
    <row r="904" spans="45:57" x14ac:dyDescent="0.25">
      <c r="AS904" s="53"/>
      <c r="AV904" s="379"/>
      <c r="AW904" s="379"/>
      <c r="AX904" s="65"/>
      <c r="AY904" s="65"/>
      <c r="AZ904" s="65"/>
      <c r="BA904" s="60"/>
      <c r="BB904" s="65"/>
      <c r="BC904" s="65"/>
      <c r="BD904" s="65"/>
      <c r="BE904" s="60"/>
    </row>
    <row r="905" spans="45:57" x14ac:dyDescent="0.25">
      <c r="AS905" s="53"/>
      <c r="AV905" s="379"/>
      <c r="AW905" s="379"/>
      <c r="AX905" s="65"/>
      <c r="AY905" s="65"/>
      <c r="AZ905" s="65"/>
      <c r="BA905" s="60"/>
      <c r="BB905" s="65"/>
      <c r="BC905" s="65"/>
      <c r="BD905" s="65"/>
      <c r="BE905" s="60"/>
    </row>
    <row r="907" spans="45:57" x14ac:dyDescent="0.25">
      <c r="AU907" s="54"/>
    </row>
    <row r="908" spans="45:57" x14ac:dyDescent="0.25">
      <c r="AU908" s="54"/>
    </row>
    <row r="909" spans="45:57" x14ac:dyDescent="0.25">
      <c r="AU909" s="54"/>
    </row>
    <row r="910" spans="45:57" x14ac:dyDescent="0.25">
      <c r="AS910" s="54"/>
    </row>
    <row r="931" spans="52:71" x14ac:dyDescent="0.25">
      <c r="AZ931" s="65"/>
      <c r="BB931" s="65"/>
      <c r="BC931" s="65"/>
      <c r="BD931" s="65"/>
      <c r="BG931" s="65"/>
      <c r="BH931" s="65"/>
      <c r="BI931" s="65"/>
      <c r="BJ931" s="65"/>
      <c r="BK931" s="65"/>
      <c r="BL931" s="65"/>
      <c r="BM931" s="65"/>
      <c r="BN931" s="65"/>
      <c r="BO931" s="65"/>
      <c r="BP931" s="65"/>
      <c r="BQ931" s="65"/>
      <c r="BR931" s="65"/>
      <c r="BS931" s="65"/>
    </row>
    <row r="932" spans="52:71" x14ac:dyDescent="0.25">
      <c r="AZ932" s="65"/>
      <c r="BB932" s="65"/>
      <c r="BC932" s="65"/>
      <c r="BD932" s="65"/>
      <c r="BG932" s="65"/>
      <c r="BH932" s="65"/>
      <c r="BI932" s="65"/>
      <c r="BJ932" s="65"/>
      <c r="BK932" s="65"/>
      <c r="BL932" s="65"/>
      <c r="BM932" s="65"/>
      <c r="BN932" s="65"/>
      <c r="BO932" s="65"/>
      <c r="BP932" s="65"/>
      <c r="BQ932" s="65"/>
      <c r="BR932" s="65"/>
      <c r="BS932" s="65"/>
    </row>
    <row r="933" spans="52:71" x14ac:dyDescent="0.25">
      <c r="AZ933" s="65"/>
      <c r="BB933" s="65"/>
      <c r="BC933" s="65"/>
      <c r="BD933" s="65"/>
      <c r="BG933" s="65"/>
      <c r="BH933" s="65"/>
      <c r="BI933" s="65"/>
      <c r="BJ933" s="65"/>
      <c r="BK933" s="65"/>
      <c r="BL933" s="65"/>
      <c r="BM933" s="65"/>
      <c r="BN933" s="65"/>
      <c r="BO933" s="65"/>
      <c r="BP933" s="65"/>
      <c r="BQ933" s="65"/>
      <c r="BR933" s="65"/>
      <c r="BS933" s="65"/>
    </row>
    <row r="934" spans="52:71" x14ac:dyDescent="0.25">
      <c r="AZ934" s="65"/>
      <c r="BB934" s="65"/>
      <c r="BC934" s="65"/>
      <c r="BD934" s="65"/>
      <c r="BG934" s="65"/>
      <c r="BH934" s="65"/>
      <c r="BI934" s="65"/>
      <c r="BJ934" s="65"/>
      <c r="BK934" s="65"/>
      <c r="BL934" s="65"/>
      <c r="BM934" s="65"/>
      <c r="BN934" s="65"/>
      <c r="BO934" s="65"/>
      <c r="BP934" s="65"/>
      <c r="BQ934" s="65"/>
      <c r="BR934" s="65"/>
      <c r="BS934" s="65"/>
    </row>
    <row r="935" spans="52:71" x14ac:dyDescent="0.25">
      <c r="AZ935" s="65"/>
      <c r="BB935" s="65"/>
      <c r="BC935" s="65"/>
      <c r="BD935" s="65"/>
      <c r="BG935" s="65"/>
      <c r="BH935" s="65"/>
      <c r="BI935" s="65"/>
      <c r="BJ935" s="65"/>
      <c r="BK935" s="65"/>
      <c r="BL935" s="65"/>
      <c r="BM935" s="65"/>
      <c r="BN935" s="65"/>
      <c r="BO935" s="65"/>
      <c r="BP935" s="65"/>
      <c r="BQ935" s="65"/>
      <c r="BR935" s="65"/>
      <c r="BS935" s="65"/>
    </row>
    <row r="936" spans="52:71" x14ac:dyDescent="0.25">
      <c r="AZ936" s="65"/>
      <c r="BB936" s="65"/>
      <c r="BC936" s="65"/>
      <c r="BD936" s="65"/>
      <c r="BG936" s="65"/>
      <c r="BH936" s="65"/>
      <c r="BI936" s="65"/>
      <c r="BJ936" s="65"/>
      <c r="BK936" s="65"/>
      <c r="BL936" s="65"/>
      <c r="BM936" s="65"/>
      <c r="BN936" s="65"/>
      <c r="BO936" s="65"/>
      <c r="BP936" s="65"/>
      <c r="BQ936" s="65"/>
      <c r="BR936" s="65"/>
      <c r="BS936" s="65"/>
    </row>
    <row r="937" spans="52:71" x14ac:dyDescent="0.25">
      <c r="AZ937" s="65"/>
      <c r="BB937" s="65"/>
      <c r="BC937" s="65"/>
      <c r="BD937" s="65"/>
      <c r="BG937" s="65"/>
      <c r="BH937" s="65"/>
      <c r="BI937" s="65"/>
      <c r="BJ937" s="65"/>
      <c r="BK937" s="65"/>
      <c r="BL937" s="65"/>
      <c r="BM937" s="65"/>
      <c r="BN937" s="65"/>
      <c r="BO937" s="65"/>
      <c r="BP937" s="65"/>
      <c r="BQ937" s="65"/>
      <c r="BR937" s="65"/>
      <c r="BS937" s="65"/>
    </row>
    <row r="938" spans="52:71" x14ac:dyDescent="0.25">
      <c r="AZ938" s="65"/>
      <c r="BB938" s="65"/>
      <c r="BC938" s="65"/>
      <c r="BD938" s="65"/>
      <c r="BG938" s="65"/>
      <c r="BH938" s="65"/>
      <c r="BI938" s="65"/>
      <c r="BJ938" s="65"/>
      <c r="BK938" s="65"/>
      <c r="BL938" s="65"/>
      <c r="BM938" s="65"/>
      <c r="BN938" s="65"/>
      <c r="BO938" s="65"/>
      <c r="BP938" s="65"/>
      <c r="BQ938" s="65"/>
      <c r="BR938" s="65"/>
      <c r="BS938" s="65"/>
    </row>
    <row r="939" spans="52:71" x14ac:dyDescent="0.25">
      <c r="AZ939" s="65"/>
      <c r="BB939" s="65"/>
      <c r="BC939" s="65"/>
      <c r="BD939" s="65"/>
      <c r="BG939" s="65"/>
      <c r="BH939" s="65"/>
      <c r="BI939" s="65"/>
      <c r="BJ939" s="65"/>
      <c r="BK939" s="65"/>
      <c r="BL939" s="65"/>
      <c r="BM939" s="65"/>
      <c r="BN939" s="65"/>
      <c r="BO939" s="65"/>
      <c r="BP939" s="65"/>
      <c r="BQ939" s="65"/>
      <c r="BR939" s="65"/>
      <c r="BS939" s="65"/>
    </row>
    <row r="940" spans="52:71" x14ac:dyDescent="0.25">
      <c r="AZ940" s="65"/>
      <c r="BB940" s="65"/>
      <c r="BC940" s="65"/>
      <c r="BD940" s="65"/>
      <c r="BG940" s="65"/>
      <c r="BH940" s="65"/>
      <c r="BI940" s="65"/>
      <c r="BJ940" s="65"/>
      <c r="BK940" s="65"/>
      <c r="BL940" s="65"/>
      <c r="BM940" s="65"/>
      <c r="BN940" s="65"/>
      <c r="BO940" s="65"/>
      <c r="BP940" s="65"/>
      <c r="BQ940" s="65"/>
      <c r="BR940" s="65"/>
      <c r="BS940" s="65"/>
    </row>
    <row r="941" spans="52:71" x14ac:dyDescent="0.25">
      <c r="AZ941" s="65"/>
      <c r="BB941" s="65"/>
      <c r="BC941" s="65"/>
      <c r="BD941" s="65"/>
      <c r="BG941" s="65"/>
      <c r="BH941" s="65"/>
      <c r="BI941" s="65"/>
      <c r="BJ941" s="65"/>
      <c r="BK941" s="65"/>
      <c r="BL941" s="65"/>
      <c r="BM941" s="65"/>
      <c r="BN941" s="65"/>
      <c r="BO941" s="65"/>
      <c r="BP941" s="65"/>
      <c r="BQ941" s="65"/>
      <c r="BR941" s="65"/>
      <c r="BS941" s="65"/>
    </row>
    <row r="942" spans="52:71" x14ac:dyDescent="0.25">
      <c r="AZ942" s="65"/>
      <c r="BB942" s="65"/>
      <c r="BC942" s="65"/>
      <c r="BD942" s="65"/>
      <c r="BG942" s="65"/>
      <c r="BH942" s="65"/>
      <c r="BI942" s="65"/>
      <c r="BJ942" s="65"/>
      <c r="BK942" s="65"/>
      <c r="BL942" s="65"/>
      <c r="BM942" s="65"/>
      <c r="BN942" s="65"/>
      <c r="BO942" s="65"/>
      <c r="BP942" s="65"/>
      <c r="BQ942" s="65"/>
      <c r="BR942" s="65"/>
      <c r="BS942" s="65"/>
    </row>
    <row r="943" spans="52:71" x14ac:dyDescent="0.25">
      <c r="AZ943" s="65"/>
      <c r="BG943" s="65"/>
      <c r="BH943" s="65"/>
      <c r="BI943" s="65"/>
      <c r="BJ943" s="65"/>
      <c r="BK943" s="65"/>
      <c r="BL943" s="65"/>
      <c r="BM943" s="65"/>
      <c r="BN943" s="65"/>
      <c r="BO943" s="65"/>
      <c r="BP943" s="65"/>
      <c r="BQ943" s="65"/>
      <c r="BR943" s="65"/>
      <c r="BS943" s="65"/>
    </row>
    <row r="944" spans="52:71" x14ac:dyDescent="0.25">
      <c r="AZ944" s="65"/>
      <c r="BG944" s="65"/>
      <c r="BH944" s="65"/>
      <c r="BI944" s="65"/>
      <c r="BJ944" s="65"/>
      <c r="BK944" s="65"/>
      <c r="BL944" s="65"/>
      <c r="BM944" s="65"/>
      <c r="BN944" s="65"/>
      <c r="BO944" s="65"/>
      <c r="BP944" s="65"/>
      <c r="BQ944" s="65"/>
      <c r="BR944" s="65"/>
      <c r="BS944" s="65"/>
    </row>
    <row r="945" spans="52:71" x14ac:dyDescent="0.25">
      <c r="AZ945" s="65"/>
      <c r="BG945" s="65"/>
      <c r="BH945" s="65"/>
      <c r="BI945" s="65"/>
      <c r="BJ945" s="65"/>
      <c r="BK945" s="65"/>
      <c r="BL945" s="65"/>
      <c r="BM945" s="65"/>
      <c r="BN945" s="65"/>
      <c r="BO945" s="65"/>
      <c r="BP945" s="65"/>
      <c r="BQ945" s="65"/>
      <c r="BR945" s="65"/>
      <c r="BS945" s="65"/>
    </row>
    <row r="946" spans="52:71" x14ac:dyDescent="0.25">
      <c r="AZ946" s="65"/>
      <c r="BG946" s="65"/>
      <c r="BH946" s="65"/>
      <c r="BI946" s="65"/>
      <c r="BJ946" s="65"/>
      <c r="BK946" s="65"/>
      <c r="BL946" s="65"/>
      <c r="BM946" s="65"/>
      <c r="BN946" s="65"/>
      <c r="BO946" s="65"/>
      <c r="BP946" s="65"/>
      <c r="BQ946" s="65"/>
      <c r="BR946" s="65"/>
      <c r="BS946" s="65"/>
    </row>
    <row r="947" spans="52:71" x14ac:dyDescent="0.25">
      <c r="AZ947" s="65"/>
      <c r="BG947" s="65"/>
      <c r="BH947" s="65"/>
      <c r="BI947" s="65"/>
      <c r="BJ947" s="65"/>
      <c r="BK947" s="65"/>
      <c r="BL947" s="65"/>
      <c r="BM947" s="65"/>
      <c r="BN947" s="65"/>
      <c r="BO947" s="65"/>
      <c r="BP947" s="65"/>
      <c r="BQ947" s="65"/>
      <c r="BR947" s="65"/>
      <c r="BS947" s="65"/>
    </row>
    <row r="948" spans="52:71" x14ac:dyDescent="0.25">
      <c r="AZ948" s="65"/>
      <c r="BG948" s="65"/>
      <c r="BH948" s="65"/>
      <c r="BI948" s="65"/>
      <c r="BJ948" s="65"/>
      <c r="BK948" s="65"/>
      <c r="BL948" s="65"/>
      <c r="BM948" s="65"/>
      <c r="BN948" s="65"/>
      <c r="BO948" s="65"/>
      <c r="BP948" s="65"/>
      <c r="BQ948" s="65"/>
      <c r="BR948" s="65"/>
      <c r="BS948" s="65"/>
    </row>
    <row r="949" spans="52:71" x14ac:dyDescent="0.25">
      <c r="AZ949" s="65"/>
      <c r="BG949" s="65"/>
      <c r="BH949" s="65"/>
      <c r="BI949" s="65"/>
      <c r="BJ949" s="65"/>
      <c r="BK949" s="65"/>
      <c r="BL949" s="65"/>
      <c r="BM949" s="65"/>
      <c r="BN949" s="65"/>
      <c r="BO949" s="65"/>
      <c r="BP949" s="65"/>
      <c r="BQ949" s="65"/>
      <c r="BR949" s="65"/>
      <c r="BS949" s="65"/>
    </row>
    <row r="950" spans="52:71" x14ac:dyDescent="0.25">
      <c r="AZ950" s="65"/>
    </row>
    <row r="951" spans="52:71" x14ac:dyDescent="0.25">
      <c r="AZ951" s="65"/>
    </row>
    <row r="965" spans="1:28" x14ac:dyDescent="0.25">
      <c r="A965" s="54"/>
    </row>
    <row r="968" spans="1:28" x14ac:dyDescent="0.25">
      <c r="Y968" s="54"/>
    </row>
    <row r="969" spans="1:28" x14ac:dyDescent="0.25">
      <c r="A969" s="54"/>
      <c r="H969" s="54"/>
      <c r="I969" s="54"/>
    </row>
    <row r="970" spans="1:28" x14ac:dyDescent="0.25">
      <c r="A970" s="54"/>
      <c r="V970" s="56"/>
      <c r="AA970" s="56"/>
      <c r="AB970" s="56"/>
    </row>
    <row r="971" spans="1:28" x14ac:dyDescent="0.25">
      <c r="A971" s="54"/>
      <c r="V971" s="55"/>
      <c r="AA971" s="55"/>
      <c r="AB971" s="55"/>
    </row>
    <row r="972" spans="1:28" x14ac:dyDescent="0.25">
      <c r="A972" s="54"/>
      <c r="U972" s="54"/>
      <c r="AA972" s="56"/>
      <c r="AB972" s="56"/>
    </row>
    <row r="973" spans="1:28" x14ac:dyDescent="0.25">
      <c r="A973" s="54"/>
    </row>
    <row r="974" spans="1:28" x14ac:dyDescent="0.25">
      <c r="A974" s="54"/>
      <c r="U974" s="54"/>
      <c r="AA974" s="56"/>
      <c r="AB974" s="56"/>
    </row>
    <row r="975" spans="1:28" x14ac:dyDescent="0.25">
      <c r="A975" s="54"/>
    </row>
    <row r="976" spans="1:28" x14ac:dyDescent="0.25">
      <c r="A976" s="54"/>
      <c r="U976" s="54"/>
      <c r="V976" s="480"/>
      <c r="AA976" s="56"/>
      <c r="AB976" s="56"/>
    </row>
    <row r="977" spans="1:28" x14ac:dyDescent="0.25">
      <c r="A977" s="54"/>
    </row>
    <row r="978" spans="1:28" x14ac:dyDescent="0.25">
      <c r="A978" s="54"/>
      <c r="U978" s="54"/>
      <c r="AA978" s="56"/>
      <c r="AB978" s="56"/>
    </row>
    <row r="979" spans="1:28" x14ac:dyDescent="0.25">
      <c r="A979" s="54"/>
    </row>
    <row r="980" spans="1:28" x14ac:dyDescent="0.25">
      <c r="A980" s="54"/>
      <c r="U980" s="54"/>
      <c r="AA980" s="56"/>
      <c r="AB980" s="56"/>
    </row>
    <row r="981" spans="1:28" x14ac:dyDescent="0.25">
      <c r="A981" s="54"/>
    </row>
    <row r="982" spans="1:28" x14ac:dyDescent="0.25">
      <c r="A982" s="54"/>
    </row>
    <row r="983" spans="1:28" x14ac:dyDescent="0.25">
      <c r="A983" s="54"/>
    </row>
    <row r="984" spans="1:28" x14ac:dyDescent="0.25">
      <c r="A984" s="54"/>
    </row>
    <row r="985" spans="1:28" x14ac:dyDescent="0.25">
      <c r="A985" s="54"/>
    </row>
    <row r="986" spans="1:28" x14ac:dyDescent="0.25">
      <c r="A986" s="54"/>
    </row>
    <row r="987" spans="1:28" x14ac:dyDescent="0.25">
      <c r="A987" s="54"/>
    </row>
    <row r="988" spans="1:28" x14ac:dyDescent="0.25">
      <c r="A988" s="54"/>
    </row>
    <row r="989" spans="1:28" x14ac:dyDescent="0.25">
      <c r="A989" s="54"/>
    </row>
    <row r="990" spans="1:28" x14ac:dyDescent="0.25">
      <c r="A990" s="54"/>
    </row>
    <row r="991" spans="1:28" x14ac:dyDescent="0.25">
      <c r="A991" s="54"/>
      <c r="H991" s="54"/>
      <c r="I991" s="54"/>
    </row>
    <row r="994" spans="1:1" x14ac:dyDescent="0.25">
      <c r="A994" s="54"/>
    </row>
    <row r="997" spans="1:1" x14ac:dyDescent="0.25">
      <c r="A997" s="54"/>
    </row>
    <row r="1000" spans="1:1" x14ac:dyDescent="0.25">
      <c r="A1000" s="54"/>
    </row>
    <row r="1001" spans="1:1" x14ac:dyDescent="0.25">
      <c r="A1001" s="54"/>
    </row>
    <row r="1002" spans="1:1" x14ac:dyDescent="0.25">
      <c r="A1002" s="54"/>
    </row>
    <row r="1003" spans="1:1" x14ac:dyDescent="0.25">
      <c r="A1003" s="54"/>
    </row>
    <row r="1004" spans="1:1" x14ac:dyDescent="0.25">
      <c r="A1004" s="54"/>
    </row>
    <row r="1005" spans="1:1" x14ac:dyDescent="0.25">
      <c r="A1005" s="54"/>
    </row>
    <row r="1006" spans="1:1" x14ac:dyDescent="0.25">
      <c r="A1006" s="54"/>
    </row>
    <row r="1007" spans="1:1" x14ac:dyDescent="0.25">
      <c r="A1007" s="54"/>
    </row>
    <row r="1008" spans="1:1" x14ac:dyDescent="0.25">
      <c r="A1008" s="54"/>
    </row>
    <row r="1009" spans="1:1" x14ac:dyDescent="0.25">
      <c r="A1009" s="54"/>
    </row>
    <row r="1010" spans="1:1" x14ac:dyDescent="0.25">
      <c r="A1010" s="54"/>
    </row>
    <row r="1011" spans="1:1" x14ac:dyDescent="0.25">
      <c r="A1011" s="54"/>
    </row>
    <row r="1012" spans="1:1" x14ac:dyDescent="0.25">
      <c r="A1012" s="54"/>
    </row>
    <row r="1013" spans="1:1" x14ac:dyDescent="0.25">
      <c r="A1013" s="54"/>
    </row>
    <row r="1014" spans="1:1" x14ac:dyDescent="0.25">
      <c r="A1014" s="54"/>
    </row>
    <row r="1015" spans="1:1" x14ac:dyDescent="0.25">
      <c r="A1015" s="54"/>
    </row>
    <row r="1016" spans="1:1" x14ac:dyDescent="0.25">
      <c r="A1016" s="54"/>
    </row>
    <row r="1017" spans="1:1" x14ac:dyDescent="0.25">
      <c r="A1017" s="54"/>
    </row>
    <row r="1018" spans="1:1" x14ac:dyDescent="0.25">
      <c r="A1018" s="54"/>
    </row>
    <row r="1019" spans="1:1" x14ac:dyDescent="0.25">
      <c r="A1019" s="54"/>
    </row>
    <row r="1020" spans="1:1" x14ac:dyDescent="0.25">
      <c r="A1020" s="54"/>
    </row>
    <row r="1021" spans="1:1" x14ac:dyDescent="0.25">
      <c r="A1021" s="54"/>
    </row>
    <row r="1022" spans="1:1" x14ac:dyDescent="0.25">
      <c r="A1022" s="54"/>
    </row>
    <row r="1023" spans="1:1" x14ac:dyDescent="0.25">
      <c r="A1023" s="54"/>
    </row>
    <row r="1024" spans="1:1" x14ac:dyDescent="0.25">
      <c r="A1024" s="54"/>
    </row>
    <row r="1025" spans="1:1" x14ac:dyDescent="0.25">
      <c r="A1025" s="54"/>
    </row>
    <row r="1026" spans="1:1" x14ac:dyDescent="0.25">
      <c r="A1026" s="54"/>
    </row>
    <row r="1027" spans="1:1" x14ac:dyDescent="0.25">
      <c r="A1027" s="54"/>
    </row>
    <row r="1028" spans="1:1" x14ac:dyDescent="0.25">
      <c r="A1028" s="54"/>
    </row>
    <row r="1029" spans="1:1" x14ac:dyDescent="0.25">
      <c r="A1029" s="54"/>
    </row>
    <row r="1030" spans="1:1" x14ac:dyDescent="0.25">
      <c r="A1030" s="54"/>
    </row>
    <row r="1031" spans="1:1" x14ac:dyDescent="0.25">
      <c r="A1031" s="54"/>
    </row>
    <row r="1032" spans="1:1" x14ac:dyDescent="0.25">
      <c r="A1032" s="54"/>
    </row>
    <row r="1033" spans="1:1" x14ac:dyDescent="0.25">
      <c r="A1033" s="54"/>
    </row>
    <row r="1034" spans="1:1" x14ac:dyDescent="0.25">
      <c r="A1034" s="54"/>
    </row>
    <row r="1039" spans="1:1" x14ac:dyDescent="0.25">
      <c r="A1039" s="54"/>
    </row>
    <row r="1040" spans="1:1" x14ac:dyDescent="0.25">
      <c r="A1040" s="54"/>
    </row>
    <row r="1043" spans="1:1" x14ac:dyDescent="0.25">
      <c r="A1043" s="54"/>
    </row>
    <row r="1045" spans="1:1" x14ac:dyDescent="0.25">
      <c r="A1045" s="54"/>
    </row>
    <row r="1047" spans="1:1" x14ac:dyDescent="0.25">
      <c r="A1047" s="54"/>
    </row>
    <row r="1049" spans="1:1" x14ac:dyDescent="0.25">
      <c r="A1049" s="54"/>
    </row>
    <row r="1052" spans="1:1" x14ac:dyDescent="0.25">
      <c r="A1052" s="54"/>
    </row>
    <row r="1053" spans="1:1" x14ac:dyDescent="0.25">
      <c r="A1053" s="54"/>
    </row>
    <row r="1054" spans="1:1" x14ac:dyDescent="0.25">
      <c r="A1054" s="54"/>
    </row>
    <row r="1055" spans="1:1" x14ac:dyDescent="0.25">
      <c r="A1055" s="54"/>
    </row>
    <row r="1056" spans="1:1" x14ac:dyDescent="0.25">
      <c r="A1056" s="54"/>
    </row>
    <row r="1057" spans="1:1" x14ac:dyDescent="0.25">
      <c r="A1057" s="54"/>
    </row>
    <row r="1058" spans="1:1" x14ac:dyDescent="0.25">
      <c r="A1058" s="54"/>
    </row>
    <row r="1059" spans="1:1" x14ac:dyDescent="0.25">
      <c r="A1059" s="54"/>
    </row>
  </sheetData>
  <pageMargins left="0.75" right="0.75" top="1" bottom="1" header="0.5" footer="0.5"/>
  <pageSetup scale="43" orientation="landscape" r:id="rId1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96" transitionEvaluation="1" transitionEntry="1" codeName="Sheet13"/>
  <dimension ref="A1:BY1336"/>
  <sheetViews>
    <sheetView tabSelected="1" view="pageBreakPreview" topLeftCell="A196" zoomScale="60" zoomScaleNormal="75" workbookViewId="0">
      <selection sqref="A1:J1"/>
    </sheetView>
  </sheetViews>
  <sheetFormatPr defaultColWidth="8.88671875" defaultRowHeight="15.75" x14ac:dyDescent="0.25"/>
  <cols>
    <col min="1" max="1" width="5.21875" style="380" customWidth="1"/>
    <col min="2" max="2" width="0.44140625" style="380" customWidth="1"/>
    <col min="3" max="3" width="9.44140625" style="380" customWidth="1"/>
    <col min="4" max="4" width="36.6640625" style="380" customWidth="1"/>
    <col min="5" max="5" width="0.554687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1.21875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5" style="380" customWidth="1"/>
    <col min="15" max="15" width="0.5546875" style="380" customWidth="1"/>
    <col min="16" max="16" width="15.6640625" style="380" customWidth="1"/>
    <col min="17" max="17" width="0.5546875" style="380" customWidth="1"/>
    <col min="18" max="18" width="16.44140625" style="380" customWidth="1"/>
    <col min="19" max="19" width="6.77734375" style="380" customWidth="1"/>
    <col min="20" max="20" width="5.44140625" style="380" customWidth="1"/>
    <col min="21" max="21" width="0.5546875" style="380" customWidth="1"/>
    <col min="22" max="22" width="7.109375" style="380" customWidth="1"/>
    <col min="23" max="23" width="33" style="380" customWidth="1"/>
    <col min="24" max="24" width="0.5546875" style="380" customWidth="1"/>
    <col min="25" max="25" width="13.21875" style="380" customWidth="1"/>
    <col min="26" max="26" width="1" style="380" customWidth="1"/>
    <col min="27" max="27" width="14.5546875" style="380" customWidth="1"/>
    <col min="28" max="28" width="0.6640625" style="380" customWidth="1"/>
    <col min="29" max="29" width="13.33203125" style="380" customWidth="1"/>
    <col min="30" max="30" width="0.6640625" style="380" customWidth="1"/>
    <col min="31" max="31" width="14.33203125" style="380" customWidth="1"/>
    <col min="32" max="32" width="0.88671875" style="380" customWidth="1"/>
    <col min="33" max="33" width="12.88671875" style="153" customWidth="1"/>
    <col min="34" max="34" width="0.77734375" style="380" customWidth="1"/>
    <col min="35" max="35" width="14.77734375" style="380" customWidth="1"/>
    <col min="36" max="36" width="0.6640625" style="380" customWidth="1"/>
    <col min="37" max="37" width="14.33203125" style="153" customWidth="1"/>
    <col min="38" max="38" width="0.77734375" style="380" customWidth="1"/>
    <col min="39" max="39" width="12.44140625" style="380" customWidth="1"/>
    <col min="40" max="40" width="0.5546875" style="380" customWidth="1"/>
    <col min="41" max="41" width="12.109375" style="380" customWidth="1"/>
    <col min="42" max="42" width="0.5546875" style="380" customWidth="1"/>
    <col min="43" max="43" width="13.21875" style="170" customWidth="1"/>
    <col min="44" max="44" width="0.6640625" style="380" customWidth="1"/>
    <col min="45" max="45" width="11.21875" style="380" customWidth="1"/>
    <col min="46" max="46" width="14.77734375" style="380" customWidth="1"/>
    <col min="47" max="47" width="4.77734375" style="380" customWidth="1"/>
    <col min="48" max="48" width="5.77734375" style="380" customWidth="1"/>
    <col min="49" max="49" width="10.77734375" style="380" customWidth="1"/>
    <col min="50" max="50" width="11.77734375" style="380" customWidth="1"/>
    <col min="51" max="51" width="12.77734375" style="380" customWidth="1"/>
    <col min="52" max="54" width="15.77734375" style="380" customWidth="1"/>
    <col min="55" max="55" width="12.77734375" style="380" customWidth="1"/>
    <col min="56" max="58" width="15.77734375" style="380" customWidth="1"/>
    <col min="59" max="59" width="12.77734375" style="380" customWidth="1"/>
    <col min="60" max="61" width="9.77734375" style="380"/>
    <col min="62" max="64" width="12.77734375" style="380" customWidth="1"/>
    <col min="65" max="65" width="14.77734375" style="380" customWidth="1"/>
    <col min="66" max="67" width="9.77734375" style="380"/>
    <col min="68" max="70" width="12.77734375" style="380" customWidth="1"/>
    <col min="71" max="71" width="14.77734375" style="380" customWidth="1"/>
    <col min="72" max="78" width="9.77734375" style="380"/>
    <col min="79" max="79" width="1.77734375" style="380" customWidth="1"/>
    <col min="80" max="81" width="9.77734375" style="380"/>
    <col min="82" max="82" width="10.77734375" style="380" customWidth="1"/>
    <col min="83" max="84" width="9.77734375" style="380"/>
    <col min="85" max="85" width="7.77734375" style="380" customWidth="1"/>
    <col min="86" max="16384" width="8.88671875" style="380"/>
  </cols>
  <sheetData>
    <row r="1" spans="1:42" x14ac:dyDescent="0.25">
      <c r="A1" s="43" t="str">
        <f>NAME</f>
        <v>DUKE ENERGY KENTUCKY, INC.</v>
      </c>
      <c r="B1" s="43"/>
      <c r="C1" s="43"/>
      <c r="D1" s="43"/>
      <c r="E1" s="43"/>
      <c r="F1" s="297"/>
      <c r="G1" s="43"/>
      <c r="H1" s="43"/>
      <c r="I1" s="43"/>
      <c r="J1" s="44"/>
      <c r="K1" s="44"/>
      <c r="L1" s="43"/>
      <c r="M1" s="43"/>
      <c r="N1" s="43"/>
      <c r="O1" s="43"/>
      <c r="P1" s="43"/>
      <c r="Q1" s="43"/>
      <c r="R1" s="43"/>
      <c r="AA1" s="380" t="s">
        <v>652</v>
      </c>
      <c r="AG1" s="508">
        <v>0.12265235788475171</v>
      </c>
    </row>
    <row r="2" spans="1:42" x14ac:dyDescent="0.25">
      <c r="A2" s="43" t="str">
        <f>CASE_NO</f>
        <v>CASE NO.   2019-000271</v>
      </c>
      <c r="B2" s="43"/>
      <c r="C2" s="43"/>
      <c r="D2" s="43"/>
      <c r="E2" s="43"/>
      <c r="F2" s="297"/>
      <c r="G2" s="43"/>
      <c r="H2" s="43"/>
      <c r="I2" s="43"/>
      <c r="J2" s="44"/>
      <c r="K2" s="44"/>
      <c r="L2" s="43"/>
      <c r="M2" s="43"/>
      <c r="N2" s="43"/>
      <c r="O2" s="43"/>
      <c r="P2" s="43"/>
      <c r="Q2" s="43"/>
      <c r="R2" s="43"/>
      <c r="AC2" s="134"/>
      <c r="AE2" s="54"/>
    </row>
    <row r="3" spans="1:42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297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AC3" s="205"/>
      <c r="AE3" s="54"/>
    </row>
    <row r="4" spans="1:42" x14ac:dyDescent="0.25">
      <c r="A4" s="43" t="str">
        <f>DATE</f>
        <v>FOR THE TWELVE MONTHS ENDED November 30, 2019</v>
      </c>
      <c r="B4" s="43"/>
      <c r="C4" s="43"/>
      <c r="D4" s="43"/>
      <c r="E4" s="43"/>
      <c r="F4" s="297"/>
      <c r="G4" s="43"/>
      <c r="H4" s="43"/>
      <c r="I4" s="43"/>
      <c r="J4" s="44"/>
      <c r="K4" s="44"/>
      <c r="L4" s="43"/>
      <c r="M4" s="43"/>
      <c r="N4" s="43"/>
      <c r="O4" s="43"/>
      <c r="P4" s="43"/>
      <c r="Q4" s="43"/>
      <c r="R4" s="43"/>
      <c r="AA4" s="380" t="s">
        <v>336</v>
      </c>
      <c r="AF4" s="53"/>
      <c r="AI4" s="380" t="s">
        <v>351</v>
      </c>
    </row>
    <row r="5" spans="1:42" x14ac:dyDescent="0.25">
      <c r="A5" s="43" t="str">
        <f>SERVICE</f>
        <v>(ELECTRIC SERVICE)</v>
      </c>
      <c r="B5" s="43"/>
      <c r="C5" s="43"/>
      <c r="D5" s="43"/>
      <c r="E5" s="43"/>
      <c r="F5" s="297"/>
      <c r="G5" s="43"/>
      <c r="H5" s="43"/>
      <c r="I5" s="43"/>
      <c r="J5" s="43"/>
      <c r="K5" s="43"/>
      <c r="L5" s="44"/>
      <c r="M5" s="44"/>
      <c r="N5" s="43"/>
      <c r="O5" s="43"/>
      <c r="P5" s="43"/>
      <c r="Q5" s="43"/>
      <c r="R5" s="43"/>
      <c r="AA5" s="132" t="s">
        <v>337</v>
      </c>
      <c r="AC5" s="77">
        <v>4.5</v>
      </c>
      <c r="AE5" s="509">
        <f t="shared" ref="AE5:AE18" si="0">ROUND(AC5*$AG$1,2)</f>
        <v>0.55000000000000004</v>
      </c>
      <c r="AG5" s="190">
        <f t="shared" ref="AG5:AG18" si="1">AC5+AE5</f>
        <v>5.05</v>
      </c>
      <c r="AI5" s="380">
        <v>3</v>
      </c>
      <c r="AM5" s="54"/>
      <c r="AN5" s="54"/>
    </row>
    <row r="6" spans="1:42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194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A6" s="132" t="s">
        <v>338</v>
      </c>
      <c r="AC6" s="77">
        <v>4.4400000000000004</v>
      </c>
      <c r="AE6" s="509">
        <f t="shared" si="0"/>
        <v>0.54</v>
      </c>
      <c r="AG6" s="190">
        <f t="shared" si="1"/>
        <v>4.9800000000000004</v>
      </c>
      <c r="AI6" s="380">
        <v>4</v>
      </c>
      <c r="AM6" s="54"/>
      <c r="AN6" s="54"/>
    </row>
    <row r="7" spans="1:42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194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13 OF "&amp;TEXT(Page_Num_2.3,"00")</f>
        <v>PAGE 13 OF 23</v>
      </c>
      <c r="AA7" s="132" t="s">
        <v>339</v>
      </c>
      <c r="AC7" s="77">
        <v>4.5</v>
      </c>
      <c r="AE7" s="509">
        <f t="shared" si="0"/>
        <v>0.55000000000000004</v>
      </c>
      <c r="AG7" s="190">
        <f t="shared" si="1"/>
        <v>5.05</v>
      </c>
      <c r="AI7" s="380">
        <v>5</v>
      </c>
      <c r="AM7" s="54"/>
      <c r="AN7" s="54"/>
    </row>
    <row r="8" spans="1:42" x14ac:dyDescent="0.25">
      <c r="A8" s="46" t="s">
        <v>177</v>
      </c>
      <c r="B8" s="378"/>
      <c r="C8" s="378"/>
      <c r="D8" s="378"/>
      <c r="E8" s="378"/>
      <c r="F8" s="194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A8" s="132" t="s">
        <v>340</v>
      </c>
      <c r="AC8" s="77">
        <v>5.39</v>
      </c>
      <c r="AE8" s="509">
        <f t="shared" si="0"/>
        <v>0.66</v>
      </c>
      <c r="AG8" s="190">
        <f t="shared" si="1"/>
        <v>6.05</v>
      </c>
      <c r="AI8" s="380">
        <v>6</v>
      </c>
      <c r="AM8" s="54"/>
      <c r="AN8" s="54"/>
    </row>
    <row r="9" spans="1:42" x14ac:dyDescent="0.25">
      <c r="A9" s="218" t="str">
        <f>TIME</f>
        <v>6 Months Actual and 6 Months Projected with Riders</v>
      </c>
      <c r="B9" s="378"/>
      <c r="C9" s="378"/>
      <c r="D9" s="378"/>
      <c r="E9" s="378"/>
      <c r="F9" s="194"/>
      <c r="G9" s="378"/>
      <c r="H9" s="378"/>
      <c r="I9" s="378"/>
      <c r="J9" s="378"/>
      <c r="K9" s="378"/>
      <c r="M9" s="46"/>
      <c r="N9" s="378"/>
      <c r="O9" s="378"/>
      <c r="P9" s="378"/>
      <c r="Q9" s="378"/>
      <c r="R9" s="45" t="str">
        <f>WIT</f>
        <v>J. L. Kern</v>
      </c>
      <c r="AA9" s="132" t="s">
        <v>341</v>
      </c>
      <c r="AC9" s="77">
        <v>12.23</v>
      </c>
      <c r="AE9" s="509">
        <f t="shared" si="0"/>
        <v>1.5</v>
      </c>
      <c r="AG9" s="190">
        <f t="shared" si="1"/>
        <v>13.73</v>
      </c>
      <c r="AI9" s="380">
        <v>7</v>
      </c>
      <c r="AM9" s="53"/>
      <c r="AN9" s="53"/>
    </row>
    <row r="10" spans="1:42" ht="15" customHeight="1" x14ac:dyDescent="0.25">
      <c r="A10" s="44" t="s">
        <v>136</v>
      </c>
      <c r="B10" s="43"/>
      <c r="C10" s="43"/>
      <c r="D10" s="43"/>
      <c r="E10" s="43"/>
      <c r="F10" s="297"/>
      <c r="G10" s="43"/>
      <c r="H10" s="43"/>
      <c r="I10" s="43"/>
      <c r="J10" s="43"/>
      <c r="K10" s="43"/>
      <c r="L10" s="44"/>
      <c r="M10" s="44"/>
      <c r="N10" s="43"/>
      <c r="O10" s="43"/>
      <c r="P10" s="43"/>
      <c r="Q10" s="43"/>
      <c r="R10" s="44"/>
      <c r="AA10" s="132" t="s">
        <v>342</v>
      </c>
      <c r="AC10" s="510">
        <v>7.09</v>
      </c>
      <c r="AE10" s="511">
        <f t="shared" si="0"/>
        <v>0.87</v>
      </c>
      <c r="AG10" s="190">
        <f t="shared" si="1"/>
        <v>7.96</v>
      </c>
      <c r="AI10" s="380">
        <v>8</v>
      </c>
      <c r="AM10" s="53"/>
      <c r="AN10" s="53"/>
    </row>
    <row r="11" spans="1:42" x14ac:dyDescent="0.25">
      <c r="A11" s="72"/>
      <c r="B11" s="72"/>
      <c r="C11" s="72"/>
      <c r="D11" s="72"/>
      <c r="E11" s="72"/>
      <c r="F11" s="194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T11" s="55"/>
      <c r="U11" s="55"/>
      <c r="V11" s="55"/>
      <c r="W11" s="55"/>
      <c r="X11" s="55"/>
      <c r="Y11" s="55"/>
      <c r="Z11" s="55"/>
      <c r="AA11" s="133" t="s">
        <v>343</v>
      </c>
      <c r="AB11" s="55"/>
      <c r="AC11" s="510">
        <v>7.16</v>
      </c>
      <c r="AD11" s="55"/>
      <c r="AE11" s="511">
        <f t="shared" si="0"/>
        <v>0.88</v>
      </c>
      <c r="AF11" s="55"/>
      <c r="AG11" s="203">
        <f t="shared" si="1"/>
        <v>8.0400000000000009</v>
      </c>
      <c r="AH11" s="55"/>
      <c r="AI11" s="179" t="s">
        <v>386</v>
      </c>
      <c r="AJ11" s="55"/>
      <c r="AK11" s="154"/>
      <c r="AL11" s="55"/>
      <c r="AM11" s="55"/>
      <c r="AN11" s="55"/>
      <c r="AO11" s="55"/>
      <c r="AP11" s="55"/>
    </row>
    <row r="12" spans="1:42" ht="18" customHeight="1" x14ac:dyDescent="0.25">
      <c r="A12" s="73"/>
      <c r="B12" s="73"/>
      <c r="C12" s="73"/>
      <c r="D12" s="73"/>
      <c r="E12" s="73"/>
      <c r="F12" s="299"/>
      <c r="G12" s="73"/>
      <c r="H12" s="73"/>
      <c r="I12" s="73"/>
      <c r="J12" s="73"/>
      <c r="K12" s="73"/>
      <c r="L12" s="74" t="s">
        <v>6</v>
      </c>
      <c r="M12" s="74"/>
      <c r="N12" s="74" t="s">
        <v>7</v>
      </c>
      <c r="O12" s="74"/>
      <c r="P12" s="73"/>
      <c r="Q12" s="73"/>
      <c r="R12" s="74" t="s">
        <v>6</v>
      </c>
      <c r="AA12" s="132" t="s">
        <v>344</v>
      </c>
      <c r="AC12" s="77">
        <v>14.16</v>
      </c>
      <c r="AE12" s="511">
        <f t="shared" si="0"/>
        <v>1.74</v>
      </c>
      <c r="AG12" s="203">
        <f t="shared" si="1"/>
        <v>15.9</v>
      </c>
      <c r="AH12" s="56"/>
      <c r="AI12" s="133">
        <v>9</v>
      </c>
      <c r="AJ12" s="56"/>
      <c r="AM12" s="56"/>
      <c r="AN12" s="56"/>
      <c r="AO12" s="56"/>
      <c r="AP12" s="56"/>
    </row>
    <row r="13" spans="1:42" x14ac:dyDescent="0.25">
      <c r="A13" s="378"/>
      <c r="B13" s="378"/>
      <c r="C13" s="378"/>
      <c r="D13" s="378"/>
      <c r="E13" s="378"/>
      <c r="F13" s="194"/>
      <c r="G13" s="378"/>
      <c r="H13" s="378"/>
      <c r="I13" s="378"/>
      <c r="J13" s="378"/>
      <c r="K13" s="378"/>
      <c r="L13" s="426" t="s">
        <v>12</v>
      </c>
      <c r="M13" s="426"/>
      <c r="N13" s="426" t="s">
        <v>13</v>
      </c>
      <c r="O13" s="426"/>
      <c r="P13" s="378"/>
      <c r="Q13" s="378"/>
      <c r="R13" s="426" t="s">
        <v>11</v>
      </c>
      <c r="AA13" s="132" t="s">
        <v>345</v>
      </c>
      <c r="AC13" s="77">
        <v>4.5</v>
      </c>
      <c r="AE13" s="511">
        <f t="shared" si="0"/>
        <v>0.55000000000000004</v>
      </c>
      <c r="AF13" s="56"/>
      <c r="AG13" s="190">
        <f t="shared" si="1"/>
        <v>5.05</v>
      </c>
      <c r="AH13" s="56"/>
      <c r="AI13" s="133">
        <v>10</v>
      </c>
      <c r="AJ13" s="56"/>
      <c r="AM13" s="56"/>
      <c r="AN13" s="56"/>
      <c r="AO13" s="56"/>
      <c r="AP13" s="56"/>
    </row>
    <row r="14" spans="1:42" x14ac:dyDescent="0.25">
      <c r="A14" s="426" t="s">
        <v>17</v>
      </c>
      <c r="B14" s="378"/>
      <c r="C14" s="426" t="s">
        <v>18</v>
      </c>
      <c r="D14" s="426" t="s">
        <v>19</v>
      </c>
      <c r="E14" s="426"/>
      <c r="F14" s="197" t="s">
        <v>20</v>
      </c>
      <c r="G14" s="378"/>
      <c r="H14" s="378"/>
      <c r="I14" s="378"/>
      <c r="J14" s="426" t="s">
        <v>6</v>
      </c>
      <c r="K14" s="426"/>
      <c r="L14" s="426" t="s">
        <v>21</v>
      </c>
      <c r="M14" s="426"/>
      <c r="N14" s="426" t="s">
        <v>21</v>
      </c>
      <c r="O14" s="426"/>
      <c r="P14" s="426" t="s">
        <v>21</v>
      </c>
      <c r="Q14" s="426"/>
      <c r="R14" s="426" t="s">
        <v>9</v>
      </c>
      <c r="T14" s="56"/>
      <c r="U14" s="56"/>
      <c r="V14" s="56"/>
      <c r="AA14" s="132" t="s">
        <v>350</v>
      </c>
      <c r="AC14" s="77">
        <v>13.15</v>
      </c>
      <c r="AE14" s="511">
        <f t="shared" si="0"/>
        <v>1.61</v>
      </c>
      <c r="AF14" s="56"/>
      <c r="AG14" s="190">
        <f t="shared" si="1"/>
        <v>14.76</v>
      </c>
      <c r="AH14" s="56"/>
      <c r="AI14" s="133">
        <v>11</v>
      </c>
      <c r="AJ14" s="56"/>
      <c r="AK14" s="155"/>
      <c r="AL14" s="56"/>
      <c r="AM14" s="56"/>
      <c r="AN14" s="56"/>
      <c r="AO14" s="56"/>
      <c r="AP14" s="56"/>
    </row>
    <row r="15" spans="1:42" x14ac:dyDescent="0.25">
      <c r="A15" s="426" t="s">
        <v>24</v>
      </c>
      <c r="B15" s="378"/>
      <c r="C15" s="426" t="s">
        <v>25</v>
      </c>
      <c r="D15" s="426" t="s">
        <v>26</v>
      </c>
      <c r="E15" s="426"/>
      <c r="F15" s="197" t="s">
        <v>27</v>
      </c>
      <c r="G15" s="378"/>
      <c r="H15" s="426" t="s">
        <v>28</v>
      </c>
      <c r="I15" s="426"/>
      <c r="J15" s="70" t="s">
        <v>381</v>
      </c>
      <c r="K15" s="426"/>
      <c r="L15" s="426" t="s">
        <v>9</v>
      </c>
      <c r="M15" s="426"/>
      <c r="N15" s="426" t="s">
        <v>9</v>
      </c>
      <c r="O15" s="426"/>
      <c r="P15" s="426" t="s">
        <v>379</v>
      </c>
      <c r="Q15" s="426"/>
      <c r="R15" s="265" t="s">
        <v>30</v>
      </c>
      <c r="T15" s="56"/>
      <c r="U15" s="56"/>
      <c r="V15" s="56"/>
      <c r="AA15" s="132" t="s">
        <v>346</v>
      </c>
      <c r="AC15" s="77">
        <v>8.56</v>
      </c>
      <c r="AE15" s="511">
        <f t="shared" si="0"/>
        <v>1.05</v>
      </c>
      <c r="AF15" s="56"/>
      <c r="AG15" s="190">
        <f t="shared" si="1"/>
        <v>9.6100000000000012</v>
      </c>
      <c r="AH15" s="56"/>
      <c r="AI15" s="133">
        <v>12</v>
      </c>
      <c r="AJ15" s="56"/>
      <c r="AK15" s="155"/>
      <c r="AL15" s="56"/>
      <c r="AM15" s="56"/>
      <c r="AN15" s="56"/>
      <c r="AO15" s="56"/>
      <c r="AP15" s="56"/>
    </row>
    <row r="16" spans="1:42" x14ac:dyDescent="0.25">
      <c r="A16" s="378"/>
      <c r="B16" s="378"/>
      <c r="C16" s="265" t="s">
        <v>35</v>
      </c>
      <c r="D16" s="265" t="s">
        <v>36</v>
      </c>
      <c r="E16" s="265"/>
      <c r="F16" s="512" t="s">
        <v>37</v>
      </c>
      <c r="G16" s="218"/>
      <c r="H16" s="265" t="s">
        <v>38</v>
      </c>
      <c r="I16" s="265"/>
      <c r="J16" s="265" t="s">
        <v>39</v>
      </c>
      <c r="K16" s="265"/>
      <c r="L16" s="265" t="s">
        <v>40</v>
      </c>
      <c r="M16" s="265"/>
      <c r="N16" s="265" t="s">
        <v>41</v>
      </c>
      <c r="O16" s="265"/>
      <c r="P16" s="265" t="s">
        <v>42</v>
      </c>
      <c r="Q16" s="265"/>
      <c r="R16" s="265" t="s">
        <v>43</v>
      </c>
      <c r="T16" s="55"/>
      <c r="U16" s="55"/>
      <c r="V16" s="55"/>
      <c r="W16" s="55"/>
      <c r="X16" s="55"/>
      <c r="Y16" s="55"/>
      <c r="Z16" s="55"/>
      <c r="AA16" s="132" t="s">
        <v>347</v>
      </c>
      <c r="AC16" s="77">
        <v>8.7899999999999991</v>
      </c>
      <c r="AE16" s="511">
        <f t="shared" si="0"/>
        <v>1.08</v>
      </c>
      <c r="AF16" s="56"/>
      <c r="AG16" s="203">
        <f t="shared" si="1"/>
        <v>9.8699999999999992</v>
      </c>
      <c r="AH16" s="55"/>
      <c r="AI16" s="135">
        <v>13</v>
      </c>
      <c r="AJ16" s="55"/>
      <c r="AK16" s="154"/>
      <c r="AL16" s="55"/>
      <c r="AM16" s="55"/>
      <c r="AN16" s="55"/>
      <c r="AO16" s="55"/>
      <c r="AP16" s="55"/>
    </row>
    <row r="17" spans="1:45" ht="17.100000000000001" customHeight="1" x14ac:dyDescent="0.25">
      <c r="A17" s="73"/>
      <c r="B17" s="73"/>
      <c r="C17" s="73"/>
      <c r="D17" s="73"/>
      <c r="E17" s="73"/>
      <c r="F17" s="299"/>
      <c r="G17" s="73"/>
      <c r="H17" s="496" t="s">
        <v>51</v>
      </c>
      <c r="I17" s="496"/>
      <c r="J17" s="495" t="s">
        <v>71</v>
      </c>
      <c r="K17" s="496"/>
      <c r="L17" s="496" t="s">
        <v>52</v>
      </c>
      <c r="M17" s="496"/>
      <c r="N17" s="496" t="s">
        <v>53</v>
      </c>
      <c r="O17" s="496"/>
      <c r="P17" s="496" t="s">
        <v>52</v>
      </c>
      <c r="Q17" s="496"/>
      <c r="R17" s="496" t="s">
        <v>52</v>
      </c>
      <c r="Y17" s="137"/>
      <c r="AA17" s="132" t="s">
        <v>348</v>
      </c>
      <c r="AC17" s="77">
        <v>11.56</v>
      </c>
      <c r="AE17" s="509">
        <f t="shared" si="0"/>
        <v>1.42</v>
      </c>
      <c r="AF17" s="56"/>
      <c r="AG17" s="190">
        <f t="shared" si="1"/>
        <v>12.98</v>
      </c>
      <c r="AH17" s="56"/>
      <c r="AI17" s="133">
        <v>16</v>
      </c>
      <c r="AJ17" s="56"/>
      <c r="AK17" s="155"/>
      <c r="AL17" s="56"/>
      <c r="AM17" s="56"/>
      <c r="AN17" s="56"/>
      <c r="AO17" s="56"/>
      <c r="AP17" s="56"/>
    </row>
    <row r="18" spans="1:45" x14ac:dyDescent="0.25">
      <c r="A18" s="363">
        <v>1</v>
      </c>
      <c r="B18" s="378"/>
      <c r="C18" s="222" t="s">
        <v>79</v>
      </c>
      <c r="D18" s="444" t="s">
        <v>297</v>
      </c>
      <c r="E18" s="46"/>
      <c r="F18" s="131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T18" s="54"/>
      <c r="U18" s="54"/>
      <c r="Y18" s="137"/>
      <c r="AA18" s="132" t="s">
        <v>349</v>
      </c>
      <c r="AC18" s="77">
        <v>17.43</v>
      </c>
      <c r="AE18" s="509">
        <f t="shared" si="0"/>
        <v>2.14</v>
      </c>
      <c r="AG18" s="203">
        <f t="shared" si="1"/>
        <v>19.57</v>
      </c>
      <c r="AI18" s="380">
        <v>17</v>
      </c>
    </row>
    <row r="19" spans="1:45" x14ac:dyDescent="0.25">
      <c r="A19" s="363">
        <v>2</v>
      </c>
      <c r="B19" s="378"/>
      <c r="C19" s="222" t="s">
        <v>81</v>
      </c>
      <c r="D19" s="218"/>
      <c r="E19" s="378"/>
      <c r="F19" s="189"/>
      <c r="G19" s="2"/>
      <c r="H19" s="86"/>
      <c r="I19" s="86"/>
      <c r="J19" s="446"/>
      <c r="K19" s="446"/>
      <c r="L19" s="5"/>
      <c r="M19" s="5"/>
      <c r="N19" s="6"/>
      <c r="O19" s="6"/>
      <c r="P19" s="5"/>
      <c r="Q19" s="5"/>
      <c r="R19" s="5"/>
      <c r="S19" s="379"/>
      <c r="Y19" s="137"/>
      <c r="AH19" s="379"/>
      <c r="AK19" s="156"/>
      <c r="AL19" s="379"/>
      <c r="AM19" s="379"/>
      <c r="AN19" s="379"/>
    </row>
    <row r="20" spans="1:45" x14ac:dyDescent="0.25">
      <c r="A20" s="363">
        <v>3</v>
      </c>
      <c r="B20" s="378"/>
      <c r="C20" s="444" t="s">
        <v>208</v>
      </c>
      <c r="D20" s="218"/>
      <c r="E20" s="378"/>
      <c r="F20" s="131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379"/>
      <c r="AA20" s="137"/>
      <c r="AC20" s="380" t="s">
        <v>632</v>
      </c>
      <c r="AF20" s="449"/>
      <c r="AG20" s="161"/>
      <c r="AH20" s="381"/>
      <c r="AK20" s="162"/>
      <c r="AL20" s="381"/>
      <c r="AM20" s="381"/>
      <c r="AN20" s="381"/>
      <c r="AO20" s="50"/>
      <c r="AP20" s="50"/>
    </row>
    <row r="21" spans="1:45" x14ac:dyDescent="0.25">
      <c r="A21" s="363">
        <v>4</v>
      </c>
      <c r="B21" s="378"/>
      <c r="C21" s="52" t="s">
        <v>217</v>
      </c>
      <c r="D21" s="378"/>
      <c r="E21" s="378"/>
      <c r="F21" s="391">
        <v>66375</v>
      </c>
      <c r="G21" s="131"/>
      <c r="H21" s="391">
        <f>ROUND(F21*AC21/12,0)</f>
        <v>4441594</v>
      </c>
      <c r="I21" s="86"/>
      <c r="J21" s="223">
        <f>ROUND(AC241+(AC241*$AG$1),2)</f>
        <v>8.16</v>
      </c>
      <c r="K21" s="485"/>
      <c r="L21" s="5">
        <f>ROUND((F21*J21),0)</f>
        <v>541620</v>
      </c>
      <c r="M21" s="5"/>
      <c r="N21" s="6">
        <f t="shared" ref="N21:N31" si="2">ROUND((L21/L$209)*100,1)</f>
        <v>31.9</v>
      </c>
      <c r="O21" s="6"/>
      <c r="P21" s="5">
        <f t="shared" ref="P21:P31" si="3">ROUND($P$209/$H$209*H21,0)</f>
        <v>3025</v>
      </c>
      <c r="Q21" s="5"/>
      <c r="R21" s="5">
        <f>L21+P21</f>
        <v>544645</v>
      </c>
      <c r="S21" s="125"/>
      <c r="Y21" s="514"/>
      <c r="AA21" s="391"/>
      <c r="AB21" s="464"/>
      <c r="AC21" s="381">
        <v>803</v>
      </c>
      <c r="AD21" s="381"/>
      <c r="AE21" s="381"/>
      <c r="AF21" s="381"/>
      <c r="AG21" s="162"/>
      <c r="AH21" s="381"/>
      <c r="AK21" s="162"/>
      <c r="AL21" s="381"/>
      <c r="AM21" s="381"/>
      <c r="AN21" s="381"/>
      <c r="AO21" s="208"/>
      <c r="AP21" s="50"/>
    </row>
    <row r="22" spans="1:45" x14ac:dyDescent="0.25">
      <c r="A22" s="363">
        <v>5</v>
      </c>
      <c r="B22" s="378"/>
      <c r="C22" s="52" t="s">
        <v>216</v>
      </c>
      <c r="D22" s="378"/>
      <c r="E22" s="378"/>
      <c r="F22" s="391">
        <v>60</v>
      </c>
      <c r="G22" s="131"/>
      <c r="H22" s="391">
        <f t="shared" ref="H22:H31" si="4">ROUND(F22*AC22/12,0)</f>
        <v>4265</v>
      </c>
      <c r="I22" s="86"/>
      <c r="J22" s="223">
        <f>ROUND(AC242+(AC242*$AG$1),2)</f>
        <v>6.81</v>
      </c>
      <c r="K22" s="485"/>
      <c r="L22" s="5">
        <f t="shared" ref="L22:L58" si="5">ROUND((F22*J22),0)</f>
        <v>409</v>
      </c>
      <c r="M22" s="5"/>
      <c r="N22" s="6">
        <f t="shared" si="2"/>
        <v>0</v>
      </c>
      <c r="O22" s="6"/>
      <c r="P22" s="5">
        <f t="shared" si="3"/>
        <v>3</v>
      </c>
      <c r="Q22" s="5"/>
      <c r="R22" s="5">
        <f t="shared" ref="R22:R31" si="6">L22+P22</f>
        <v>412</v>
      </c>
      <c r="S22" s="125"/>
      <c r="Y22" s="514"/>
      <c r="AA22" s="391"/>
      <c r="AB22" s="464"/>
      <c r="AC22" s="379">
        <v>853</v>
      </c>
      <c r="AD22" s="379"/>
      <c r="AE22" s="50"/>
      <c r="AF22" s="50"/>
      <c r="AG22" s="156"/>
      <c r="AH22" s="379"/>
      <c r="AK22" s="156"/>
      <c r="AL22" s="379"/>
      <c r="AM22" s="379"/>
      <c r="AN22" s="379"/>
      <c r="AO22" s="208"/>
      <c r="AP22" s="50"/>
    </row>
    <row r="23" spans="1:45" x14ac:dyDescent="0.25">
      <c r="A23" s="363">
        <v>6</v>
      </c>
      <c r="B23" s="378"/>
      <c r="C23" s="52" t="s">
        <v>225</v>
      </c>
      <c r="D23" s="378"/>
      <c r="E23" s="378"/>
      <c r="F23" s="391">
        <v>12</v>
      </c>
      <c r="G23" s="131"/>
      <c r="H23" s="391">
        <f t="shared" si="4"/>
        <v>803</v>
      </c>
      <c r="I23" s="86"/>
      <c r="J23" s="223">
        <f>$J$21+$AG$6</f>
        <v>13.14</v>
      </c>
      <c r="K23" s="485"/>
      <c r="L23" s="5">
        <f t="shared" si="5"/>
        <v>158</v>
      </c>
      <c r="M23" s="5"/>
      <c r="N23" s="6">
        <f t="shared" si="2"/>
        <v>0</v>
      </c>
      <c r="O23" s="6"/>
      <c r="P23" s="5">
        <f t="shared" si="3"/>
        <v>1</v>
      </c>
      <c r="Q23" s="5"/>
      <c r="R23" s="5">
        <f>L23+P23</f>
        <v>159</v>
      </c>
      <c r="S23" s="125"/>
      <c r="Y23" s="514"/>
      <c r="AA23" s="391"/>
      <c r="AB23" s="464"/>
      <c r="AC23" s="379">
        <v>803</v>
      </c>
      <c r="AD23" s="379"/>
      <c r="AE23" s="50"/>
      <c r="AF23" s="50"/>
      <c r="AG23" s="156"/>
      <c r="AH23" s="379"/>
      <c r="AK23" s="156"/>
      <c r="AL23" s="379"/>
      <c r="AM23" s="379"/>
      <c r="AN23" s="379"/>
      <c r="AO23" s="208"/>
      <c r="AP23" s="50"/>
    </row>
    <row r="24" spans="1:45" x14ac:dyDescent="0.25">
      <c r="A24" s="363">
        <v>7</v>
      </c>
      <c r="B24" s="378"/>
      <c r="C24" s="52" t="s">
        <v>282</v>
      </c>
      <c r="D24" s="378"/>
      <c r="E24" s="378"/>
      <c r="F24" s="391">
        <v>511</v>
      </c>
      <c r="G24" s="131"/>
      <c r="H24" s="391">
        <f t="shared" si="4"/>
        <v>34194</v>
      </c>
      <c r="I24" s="86"/>
      <c r="J24" s="223">
        <f>$J$21+$AG$7</f>
        <v>13.21</v>
      </c>
      <c r="K24" s="485"/>
      <c r="L24" s="5">
        <f t="shared" si="5"/>
        <v>6750</v>
      </c>
      <c r="M24" s="5"/>
      <c r="N24" s="6">
        <f t="shared" si="2"/>
        <v>0.4</v>
      </c>
      <c r="O24" s="6"/>
      <c r="P24" s="5">
        <f t="shared" si="3"/>
        <v>23</v>
      </c>
      <c r="Q24" s="5"/>
      <c r="R24" s="5">
        <f t="shared" si="6"/>
        <v>6773</v>
      </c>
      <c r="S24" s="192"/>
      <c r="T24" s="210"/>
      <c r="U24" s="57"/>
      <c r="X24" s="57"/>
      <c r="Y24" s="514"/>
      <c r="Z24" s="57"/>
      <c r="AA24" s="391"/>
      <c r="AB24" s="57"/>
      <c r="AC24" s="379">
        <v>803</v>
      </c>
      <c r="AD24" s="57"/>
      <c r="AE24" s="57"/>
      <c r="AF24" s="57"/>
      <c r="AG24" s="158"/>
      <c r="AH24" s="57"/>
      <c r="AI24" s="57"/>
      <c r="AJ24" s="57"/>
      <c r="AK24" s="158"/>
      <c r="AL24" s="57"/>
      <c r="AM24" s="57"/>
      <c r="AN24" s="57"/>
      <c r="AO24" s="209"/>
      <c r="AP24" s="57"/>
      <c r="AR24" s="57"/>
      <c r="AS24" s="57"/>
    </row>
    <row r="25" spans="1:45" x14ac:dyDescent="0.25">
      <c r="A25" s="363">
        <v>8</v>
      </c>
      <c r="B25" s="378"/>
      <c r="C25" s="52" t="s">
        <v>283</v>
      </c>
      <c r="D25" s="378"/>
      <c r="E25" s="378"/>
      <c r="F25" s="391">
        <v>108</v>
      </c>
      <c r="G25" s="131"/>
      <c r="H25" s="391">
        <f t="shared" si="4"/>
        <v>7227</v>
      </c>
      <c r="I25" s="86"/>
      <c r="J25" s="223">
        <f>$J$21+$AG$8</f>
        <v>14.21</v>
      </c>
      <c r="K25" s="485"/>
      <c r="L25" s="5">
        <f t="shared" si="5"/>
        <v>1535</v>
      </c>
      <c r="M25" s="5"/>
      <c r="N25" s="6">
        <f t="shared" si="2"/>
        <v>0.1</v>
      </c>
      <c r="O25" s="6"/>
      <c r="P25" s="5">
        <f t="shared" si="3"/>
        <v>5</v>
      </c>
      <c r="Q25" s="5"/>
      <c r="R25" s="5">
        <f>L25+P25</f>
        <v>1540</v>
      </c>
      <c r="S25" s="192"/>
      <c r="T25" s="210"/>
      <c r="U25" s="57"/>
      <c r="X25" s="57"/>
      <c r="Y25" s="514"/>
      <c r="Z25" s="57"/>
      <c r="AA25" s="391"/>
      <c r="AB25" s="57"/>
      <c r="AC25" s="379">
        <v>803</v>
      </c>
      <c r="AD25" s="57"/>
      <c r="AE25" s="57"/>
      <c r="AF25" s="57"/>
      <c r="AG25" s="158"/>
      <c r="AH25" s="57"/>
      <c r="AI25" s="57"/>
      <c r="AJ25" s="57"/>
      <c r="AK25" s="158"/>
      <c r="AL25" s="57"/>
      <c r="AM25" s="57"/>
      <c r="AN25" s="57"/>
      <c r="AO25" s="209"/>
      <c r="AP25" s="57"/>
      <c r="AR25" s="57"/>
      <c r="AS25" s="57"/>
    </row>
    <row r="26" spans="1:45" x14ac:dyDescent="0.25">
      <c r="A26" s="363">
        <v>9</v>
      </c>
      <c r="B26" s="378"/>
      <c r="C26" s="52" t="s">
        <v>388</v>
      </c>
      <c r="D26" s="378"/>
      <c r="E26" s="378"/>
      <c r="F26" s="391">
        <v>132</v>
      </c>
      <c r="G26" s="131"/>
      <c r="H26" s="391">
        <f t="shared" si="4"/>
        <v>8833</v>
      </c>
      <c r="I26" s="86"/>
      <c r="J26" s="223">
        <f>$J$21+$AG$11</f>
        <v>16.200000000000003</v>
      </c>
      <c r="K26" s="485"/>
      <c r="L26" s="5">
        <f t="shared" si="5"/>
        <v>2138</v>
      </c>
      <c r="M26" s="5"/>
      <c r="N26" s="6">
        <f t="shared" si="2"/>
        <v>0.1</v>
      </c>
      <c r="O26" s="6"/>
      <c r="P26" s="5">
        <f t="shared" si="3"/>
        <v>6</v>
      </c>
      <c r="Q26" s="5"/>
      <c r="R26" s="5">
        <f>L26+P26</f>
        <v>2144</v>
      </c>
      <c r="S26" s="192"/>
      <c r="T26" s="210"/>
      <c r="U26" s="57"/>
      <c r="X26" s="57"/>
      <c r="Y26" s="514"/>
      <c r="Z26" s="57"/>
      <c r="AA26" s="391"/>
      <c r="AB26" s="57"/>
      <c r="AC26" s="379">
        <v>803</v>
      </c>
      <c r="AD26" s="57"/>
      <c r="AE26" s="57"/>
      <c r="AF26" s="57"/>
      <c r="AG26" s="158"/>
      <c r="AH26" s="57"/>
      <c r="AI26" s="57"/>
      <c r="AJ26" s="57"/>
      <c r="AK26" s="158"/>
      <c r="AL26" s="57"/>
      <c r="AM26" s="57"/>
      <c r="AN26" s="57"/>
      <c r="AO26" s="209"/>
      <c r="AP26" s="57"/>
      <c r="AR26" s="57"/>
      <c r="AS26" s="57"/>
    </row>
    <row r="27" spans="1:45" x14ac:dyDescent="0.25">
      <c r="A27" s="363">
        <v>10</v>
      </c>
      <c r="B27" s="378"/>
      <c r="C27" s="52" t="s">
        <v>218</v>
      </c>
      <c r="D27" s="378"/>
      <c r="E27" s="378"/>
      <c r="F27" s="391">
        <f>2092+12</f>
        <v>2104</v>
      </c>
      <c r="G27" s="131"/>
      <c r="H27" s="391">
        <f t="shared" si="4"/>
        <v>200581</v>
      </c>
      <c r="I27" s="86"/>
      <c r="J27" s="223">
        <f>ROUND(AC247+(AC247*$AG$1),2)</f>
        <v>9.42</v>
      </c>
      <c r="K27" s="485"/>
      <c r="L27" s="5">
        <f t="shared" si="5"/>
        <v>19820</v>
      </c>
      <c r="M27" s="5"/>
      <c r="N27" s="6">
        <f t="shared" si="2"/>
        <v>1.2</v>
      </c>
      <c r="O27" s="6"/>
      <c r="P27" s="5">
        <f t="shared" si="3"/>
        <v>137</v>
      </c>
      <c r="Q27" s="5"/>
      <c r="R27" s="5">
        <f>L27+P27</f>
        <v>19957</v>
      </c>
      <c r="S27" s="192"/>
      <c r="T27" s="210"/>
      <c r="U27" s="57"/>
      <c r="X27" s="57"/>
      <c r="Y27" s="514"/>
      <c r="Z27" s="57"/>
      <c r="AA27" s="391"/>
      <c r="AB27" s="57"/>
      <c r="AC27" s="390">
        <v>1144</v>
      </c>
      <c r="AD27" s="57"/>
      <c r="AE27" s="57"/>
      <c r="AF27" s="57"/>
      <c r="AG27" s="158"/>
      <c r="AH27" s="57"/>
      <c r="AI27" s="57"/>
      <c r="AJ27" s="57"/>
      <c r="AK27" s="158"/>
      <c r="AL27" s="57"/>
      <c r="AM27" s="57"/>
      <c r="AN27" s="57"/>
      <c r="AO27" s="209"/>
      <c r="AP27" s="57"/>
      <c r="AR27" s="57"/>
      <c r="AS27" s="57"/>
    </row>
    <row r="28" spans="1:45" x14ac:dyDescent="0.25">
      <c r="A28" s="363">
        <v>11</v>
      </c>
      <c r="B28" s="378"/>
      <c r="C28" s="52" t="s">
        <v>329</v>
      </c>
      <c r="D28" s="378"/>
      <c r="E28" s="378"/>
      <c r="F28" s="391">
        <v>0</v>
      </c>
      <c r="G28" s="131"/>
      <c r="H28" s="391">
        <f t="shared" si="4"/>
        <v>0</v>
      </c>
      <c r="I28" s="86"/>
      <c r="J28" s="223">
        <f>$J$27+$AG$7</f>
        <v>14.469999999999999</v>
      </c>
      <c r="K28" s="485"/>
      <c r="L28" s="5">
        <f t="shared" si="5"/>
        <v>0</v>
      </c>
      <c r="M28" s="5"/>
      <c r="N28" s="6">
        <f t="shared" si="2"/>
        <v>0</v>
      </c>
      <c r="O28" s="6"/>
      <c r="P28" s="5">
        <f t="shared" si="3"/>
        <v>0</v>
      </c>
      <c r="Q28" s="5"/>
      <c r="R28" s="5">
        <f t="shared" si="6"/>
        <v>0</v>
      </c>
      <c r="S28" s="125"/>
      <c r="T28" s="210"/>
      <c r="Y28" s="514"/>
      <c r="AA28" s="391"/>
      <c r="AC28" s="379">
        <v>1144</v>
      </c>
      <c r="AD28" s="379"/>
      <c r="AE28" s="379"/>
      <c r="AF28" s="379"/>
      <c r="AK28" s="156"/>
      <c r="AL28" s="379"/>
      <c r="AM28" s="379"/>
      <c r="AN28" s="379"/>
      <c r="AO28" s="209"/>
    </row>
    <row r="29" spans="1:45" x14ac:dyDescent="0.25">
      <c r="A29" s="363">
        <v>12</v>
      </c>
      <c r="B29" s="378"/>
      <c r="C29" s="52" t="s">
        <v>219</v>
      </c>
      <c r="D29" s="378"/>
      <c r="E29" s="378"/>
      <c r="F29" s="391">
        <v>9336</v>
      </c>
      <c r="G29" s="131"/>
      <c r="H29" s="391">
        <f t="shared" si="4"/>
        <v>1391842</v>
      </c>
      <c r="I29" s="86"/>
      <c r="J29" s="223">
        <f>ROUND(AC249+(AC249*$AG$1),2)</f>
        <v>12.61</v>
      </c>
      <c r="K29" s="485"/>
      <c r="L29" s="5">
        <f t="shared" si="5"/>
        <v>117727</v>
      </c>
      <c r="M29" s="5"/>
      <c r="N29" s="6">
        <f t="shared" si="2"/>
        <v>6.9</v>
      </c>
      <c r="O29" s="6"/>
      <c r="P29" s="5">
        <f t="shared" si="3"/>
        <v>948</v>
      </c>
      <c r="Q29" s="5"/>
      <c r="R29" s="5">
        <f>L29+P29</f>
        <v>118675</v>
      </c>
      <c r="S29" s="125"/>
      <c r="T29" s="210"/>
      <c r="Y29" s="514"/>
      <c r="AA29" s="391"/>
      <c r="AC29" s="379">
        <v>1789</v>
      </c>
      <c r="AD29" s="379"/>
      <c r="AE29" s="379"/>
      <c r="AF29" s="379"/>
      <c r="AK29" s="156"/>
      <c r="AL29" s="379"/>
      <c r="AM29" s="379"/>
      <c r="AN29" s="379"/>
      <c r="AO29" s="209"/>
    </row>
    <row r="30" spans="1:45" ht="15" customHeight="1" x14ac:dyDescent="0.25">
      <c r="A30" s="363">
        <v>13</v>
      </c>
      <c r="B30" s="378"/>
      <c r="C30" s="52" t="s">
        <v>284</v>
      </c>
      <c r="D30" s="378"/>
      <c r="E30" s="378"/>
      <c r="F30" s="391">
        <v>132</v>
      </c>
      <c r="G30" s="131"/>
      <c r="H30" s="391">
        <f t="shared" si="4"/>
        <v>19679</v>
      </c>
      <c r="I30" s="86"/>
      <c r="J30" s="223">
        <f>$J$29+$AG$7</f>
        <v>17.66</v>
      </c>
      <c r="K30" s="485"/>
      <c r="L30" s="5">
        <f t="shared" si="5"/>
        <v>2331</v>
      </c>
      <c r="M30" s="5"/>
      <c r="N30" s="6">
        <f t="shared" si="2"/>
        <v>0.1</v>
      </c>
      <c r="O30" s="6"/>
      <c r="P30" s="5">
        <f t="shared" si="3"/>
        <v>13</v>
      </c>
      <c r="Q30" s="5"/>
      <c r="R30" s="5">
        <f t="shared" si="6"/>
        <v>2344</v>
      </c>
      <c r="S30" s="192"/>
      <c r="V30" s="221"/>
      <c r="Y30" s="514"/>
      <c r="AA30" s="391"/>
      <c r="AB30" s="53"/>
      <c r="AC30" s="379">
        <v>1789</v>
      </c>
      <c r="AO30" s="209"/>
    </row>
    <row r="31" spans="1:45" ht="15.75" customHeight="1" x14ac:dyDescent="0.25">
      <c r="A31" s="363">
        <v>14</v>
      </c>
      <c r="B31" s="378"/>
      <c r="C31" s="52" t="s">
        <v>627</v>
      </c>
      <c r="D31" s="378"/>
      <c r="E31" s="378"/>
      <c r="F31" s="391">
        <v>132</v>
      </c>
      <c r="G31" s="131"/>
      <c r="H31" s="391">
        <f t="shared" si="4"/>
        <v>19679</v>
      </c>
      <c r="I31" s="86"/>
      <c r="J31" s="223">
        <f>$J$29+$AG$8</f>
        <v>18.66</v>
      </c>
      <c r="K31" s="485"/>
      <c r="L31" s="5">
        <f t="shared" si="5"/>
        <v>2463</v>
      </c>
      <c r="M31" s="5"/>
      <c r="N31" s="6">
        <f t="shared" si="2"/>
        <v>0.1</v>
      </c>
      <c r="O31" s="6"/>
      <c r="P31" s="5">
        <f t="shared" si="3"/>
        <v>13</v>
      </c>
      <c r="Q31" s="5"/>
      <c r="R31" s="5">
        <f t="shared" si="6"/>
        <v>2476</v>
      </c>
      <c r="S31" s="192"/>
      <c r="T31" s="211"/>
      <c r="U31" s="57"/>
      <c r="V31" s="221"/>
      <c r="W31" s="57"/>
      <c r="X31" s="57"/>
      <c r="Y31" s="514"/>
      <c r="Z31" s="57"/>
      <c r="AA31" s="391"/>
      <c r="AB31" s="57"/>
      <c r="AC31" s="379">
        <v>1789</v>
      </c>
      <c r="AD31" s="57"/>
      <c r="AE31" s="58"/>
      <c r="AF31" s="58"/>
      <c r="AG31" s="158"/>
      <c r="AH31" s="57"/>
      <c r="AI31" s="57"/>
      <c r="AJ31" s="57"/>
      <c r="AK31" s="158"/>
      <c r="AL31" s="57"/>
      <c r="AM31" s="57"/>
      <c r="AN31" s="57"/>
      <c r="AO31" s="209"/>
      <c r="AP31" s="57"/>
      <c r="AR31" s="57"/>
      <c r="AS31" s="57"/>
    </row>
    <row r="32" spans="1:45" ht="15.75" customHeight="1" x14ac:dyDescent="0.25">
      <c r="A32" s="363">
        <v>15</v>
      </c>
      <c r="B32" s="378"/>
      <c r="C32" s="222" t="s">
        <v>305</v>
      </c>
      <c r="D32" s="378"/>
      <c r="E32" s="378"/>
      <c r="F32" s="391"/>
      <c r="G32" s="131"/>
      <c r="H32" s="189"/>
      <c r="I32" s="86"/>
      <c r="J32" s="485"/>
      <c r="K32" s="485"/>
      <c r="L32" s="5"/>
      <c r="M32" s="5"/>
      <c r="N32" s="6"/>
      <c r="O32" s="6"/>
      <c r="P32" s="5"/>
      <c r="Q32" s="5"/>
      <c r="R32" s="5"/>
      <c r="S32" s="192"/>
      <c r="T32" s="211"/>
      <c r="U32" s="57"/>
      <c r="V32" s="221"/>
      <c r="W32" s="57"/>
      <c r="X32" s="57"/>
      <c r="Y32" s="514"/>
      <c r="Z32" s="57"/>
      <c r="AA32" s="189"/>
      <c r="AB32" s="57"/>
      <c r="AC32" s="57"/>
      <c r="AD32" s="57"/>
      <c r="AE32" s="58"/>
      <c r="AF32" s="58"/>
      <c r="AG32" s="158"/>
      <c r="AH32" s="57"/>
      <c r="AI32" s="57"/>
      <c r="AJ32" s="57"/>
      <c r="AK32" s="158"/>
      <c r="AL32" s="57"/>
      <c r="AM32" s="57"/>
      <c r="AN32" s="57"/>
      <c r="AO32" s="209"/>
      <c r="AP32" s="57"/>
      <c r="AR32" s="57"/>
      <c r="AS32" s="57"/>
    </row>
    <row r="33" spans="1:45" ht="15.75" customHeight="1" x14ac:dyDescent="0.25">
      <c r="A33" s="363">
        <v>16</v>
      </c>
      <c r="B33" s="378"/>
      <c r="C33" s="46" t="s">
        <v>308</v>
      </c>
      <c r="D33" s="378"/>
      <c r="E33" s="378"/>
      <c r="F33" s="391">
        <v>328</v>
      </c>
      <c r="G33" s="131"/>
      <c r="H33" s="391">
        <f t="shared" ref="H33:H39" si="7">ROUND(F33*AC33/12,0)</f>
        <v>21949</v>
      </c>
      <c r="I33" s="86"/>
      <c r="J33" s="223">
        <f>ROUND(AC253+(AC253*$AG$1),2)</f>
        <v>8.16</v>
      </c>
      <c r="K33" s="485"/>
      <c r="L33" s="5">
        <f t="shared" si="5"/>
        <v>2676</v>
      </c>
      <c r="M33" s="5"/>
      <c r="N33" s="6">
        <f t="shared" ref="N33:N39" si="8">ROUND((L33/L$209)*100,1)</f>
        <v>0.2</v>
      </c>
      <c r="O33" s="6"/>
      <c r="P33" s="5">
        <f t="shared" ref="P33:P39" si="9">ROUND($P$209/$H$209*H33,0)</f>
        <v>15</v>
      </c>
      <c r="Q33" s="5"/>
      <c r="R33" s="5">
        <f>L33+P33</f>
        <v>2691</v>
      </c>
      <c r="S33" s="192"/>
      <c r="T33" s="211"/>
      <c r="U33" s="57"/>
      <c r="V33" s="221"/>
      <c r="W33" s="57"/>
      <c r="X33" s="57"/>
      <c r="Y33" s="514"/>
      <c r="Z33" s="57"/>
      <c r="AA33" s="391"/>
      <c r="AB33" s="57"/>
      <c r="AC33" s="379">
        <v>803</v>
      </c>
      <c r="AD33" s="57"/>
      <c r="AE33" s="58"/>
      <c r="AF33" s="58"/>
      <c r="AG33" s="158"/>
      <c r="AH33" s="57"/>
      <c r="AI33" s="57"/>
      <c r="AJ33" s="57"/>
      <c r="AK33" s="158"/>
      <c r="AL33" s="57"/>
      <c r="AM33" s="57"/>
      <c r="AN33" s="57"/>
      <c r="AO33" s="209"/>
      <c r="AP33" s="57"/>
      <c r="AR33" s="57"/>
      <c r="AS33" s="57"/>
    </row>
    <row r="34" spans="1:45" ht="15.75" customHeight="1" x14ac:dyDescent="0.25">
      <c r="A34" s="365">
        <v>17</v>
      </c>
      <c r="B34" s="271"/>
      <c r="C34" s="272" t="s">
        <v>552</v>
      </c>
      <c r="D34" s="271"/>
      <c r="E34" s="378"/>
      <c r="F34" s="391">
        <v>48</v>
      </c>
      <c r="G34" s="131"/>
      <c r="H34" s="391">
        <f t="shared" si="7"/>
        <v>3212</v>
      </c>
      <c r="I34" s="86"/>
      <c r="J34" s="223">
        <f>$J$33+$AG$7</f>
        <v>13.21</v>
      </c>
      <c r="K34" s="485"/>
      <c r="L34" s="5">
        <f t="shared" si="5"/>
        <v>634</v>
      </c>
      <c r="M34" s="5"/>
      <c r="N34" s="6">
        <f t="shared" si="8"/>
        <v>0</v>
      </c>
      <c r="O34" s="6"/>
      <c r="P34" s="5">
        <f t="shared" si="9"/>
        <v>2</v>
      </c>
      <c r="Q34" s="5"/>
      <c r="R34" s="5">
        <f>L34+P34</f>
        <v>636</v>
      </c>
      <c r="S34" s="192"/>
      <c r="T34" s="211"/>
      <c r="U34" s="57"/>
      <c r="V34" s="221"/>
      <c r="W34" s="57"/>
      <c r="X34" s="57"/>
      <c r="Y34" s="514"/>
      <c r="Z34" s="57"/>
      <c r="AA34" s="391"/>
      <c r="AB34" s="57"/>
      <c r="AC34" s="379">
        <v>803</v>
      </c>
      <c r="AD34" s="57"/>
      <c r="AE34" s="58"/>
      <c r="AF34" s="58"/>
      <c r="AG34" s="158"/>
      <c r="AH34" s="57"/>
      <c r="AI34" s="57"/>
      <c r="AJ34" s="57"/>
      <c r="AK34" s="158"/>
      <c r="AL34" s="57"/>
      <c r="AM34" s="57"/>
      <c r="AN34" s="57"/>
      <c r="AO34" s="209"/>
      <c r="AP34" s="57"/>
      <c r="AR34" s="57"/>
      <c r="AS34" s="57"/>
    </row>
    <row r="35" spans="1:45" ht="15.75" customHeight="1" x14ac:dyDescent="0.25">
      <c r="A35" s="365">
        <v>18</v>
      </c>
      <c r="B35" s="271"/>
      <c r="C35" s="272" t="s">
        <v>553</v>
      </c>
      <c r="D35" s="271"/>
      <c r="E35" s="378"/>
      <c r="F35" s="391">
        <v>84</v>
      </c>
      <c r="G35" s="131"/>
      <c r="H35" s="391">
        <f t="shared" si="7"/>
        <v>5621</v>
      </c>
      <c r="I35" s="86"/>
      <c r="J35" s="223">
        <f>$J$33+$AG$8</f>
        <v>14.21</v>
      </c>
      <c r="K35" s="485"/>
      <c r="L35" s="5">
        <f t="shared" si="5"/>
        <v>1194</v>
      </c>
      <c r="M35" s="5"/>
      <c r="N35" s="6">
        <f t="shared" si="8"/>
        <v>0.1</v>
      </c>
      <c r="O35" s="6"/>
      <c r="P35" s="5">
        <f t="shared" si="9"/>
        <v>4</v>
      </c>
      <c r="Q35" s="5"/>
      <c r="R35" s="5">
        <f t="shared" ref="R35:R36" si="10">L35+P35</f>
        <v>1198</v>
      </c>
      <c r="S35" s="192"/>
      <c r="T35" s="211"/>
      <c r="U35" s="57"/>
      <c r="V35" s="221"/>
      <c r="W35" s="57"/>
      <c r="X35" s="57"/>
      <c r="Y35" s="514"/>
      <c r="Z35" s="57"/>
      <c r="AA35" s="391"/>
      <c r="AB35" s="57"/>
      <c r="AC35" s="379">
        <v>803</v>
      </c>
      <c r="AD35" s="57"/>
      <c r="AE35" s="58"/>
      <c r="AF35" s="58"/>
      <c r="AG35" s="158"/>
      <c r="AH35" s="57"/>
      <c r="AI35" s="57"/>
      <c r="AJ35" s="57"/>
      <c r="AK35" s="158"/>
      <c r="AL35" s="57"/>
      <c r="AM35" s="57"/>
      <c r="AN35" s="57"/>
      <c r="AO35" s="209"/>
      <c r="AP35" s="57"/>
      <c r="AR35" s="57"/>
      <c r="AS35" s="57"/>
    </row>
    <row r="36" spans="1:45" ht="15.75" customHeight="1" x14ac:dyDescent="0.25">
      <c r="A36" s="365">
        <v>19</v>
      </c>
      <c r="B36" s="271"/>
      <c r="C36" s="272" t="s">
        <v>554</v>
      </c>
      <c r="D36" s="271"/>
      <c r="E36" s="378"/>
      <c r="F36" s="391">
        <v>12</v>
      </c>
      <c r="G36" s="131"/>
      <c r="H36" s="391">
        <f t="shared" si="7"/>
        <v>803</v>
      </c>
      <c r="I36" s="86"/>
      <c r="J36" s="223">
        <f>$J$33+$AG$13</f>
        <v>13.21</v>
      </c>
      <c r="K36" s="485"/>
      <c r="L36" s="5">
        <f t="shared" si="5"/>
        <v>159</v>
      </c>
      <c r="M36" s="5"/>
      <c r="N36" s="6">
        <f t="shared" si="8"/>
        <v>0</v>
      </c>
      <c r="O36" s="6"/>
      <c r="P36" s="5">
        <f t="shared" si="9"/>
        <v>1</v>
      </c>
      <c r="Q36" s="5"/>
      <c r="R36" s="5">
        <f t="shared" si="10"/>
        <v>160</v>
      </c>
      <c r="S36" s="192"/>
      <c r="T36" s="211"/>
      <c r="U36" s="57"/>
      <c r="V36" s="221"/>
      <c r="W36" s="57"/>
      <c r="X36" s="57"/>
      <c r="Y36" s="514"/>
      <c r="Z36" s="57"/>
      <c r="AA36" s="391"/>
      <c r="AB36" s="57"/>
      <c r="AC36" s="379">
        <v>803</v>
      </c>
      <c r="AD36" s="57"/>
      <c r="AE36" s="58"/>
      <c r="AF36" s="58"/>
      <c r="AG36" s="158"/>
      <c r="AH36" s="57"/>
      <c r="AI36" s="57"/>
      <c r="AJ36" s="57"/>
      <c r="AK36" s="158"/>
      <c r="AL36" s="57"/>
      <c r="AM36" s="57"/>
      <c r="AN36" s="57"/>
      <c r="AO36" s="209"/>
      <c r="AP36" s="57"/>
      <c r="AR36" s="57"/>
      <c r="AS36" s="57"/>
    </row>
    <row r="37" spans="1:45" ht="15.75" customHeight="1" x14ac:dyDescent="0.25">
      <c r="A37" s="365">
        <v>20</v>
      </c>
      <c r="B37" s="378"/>
      <c r="C37" s="196" t="s">
        <v>309</v>
      </c>
      <c r="D37" s="378"/>
      <c r="E37" s="378"/>
      <c r="F37" s="391">
        <v>168</v>
      </c>
      <c r="G37" s="131"/>
      <c r="H37" s="391">
        <f t="shared" si="7"/>
        <v>16016</v>
      </c>
      <c r="I37" s="86"/>
      <c r="J37" s="223">
        <f>ROUND(AC257+(AC257*$AG$1),2)</f>
        <v>9.42</v>
      </c>
      <c r="K37" s="485"/>
      <c r="L37" s="5">
        <f t="shared" si="5"/>
        <v>1583</v>
      </c>
      <c r="M37" s="5"/>
      <c r="N37" s="6">
        <f t="shared" si="8"/>
        <v>0.1</v>
      </c>
      <c r="O37" s="6"/>
      <c r="P37" s="5">
        <f t="shared" si="9"/>
        <v>11</v>
      </c>
      <c r="Q37" s="5"/>
      <c r="R37" s="5">
        <f>L37+P37</f>
        <v>1594</v>
      </c>
      <c r="S37" s="192"/>
      <c r="T37" s="211"/>
      <c r="U37" s="57"/>
      <c r="V37" s="221"/>
      <c r="W37" s="57"/>
      <c r="X37" s="57"/>
      <c r="Y37" s="514"/>
      <c r="Z37" s="57"/>
      <c r="AA37" s="391"/>
      <c r="AB37" s="57"/>
      <c r="AC37" s="379">
        <v>1144</v>
      </c>
      <c r="AD37" s="57"/>
      <c r="AE37" s="58"/>
      <c r="AF37" s="58"/>
      <c r="AG37" s="158"/>
      <c r="AH37" s="57"/>
      <c r="AI37" s="57"/>
      <c r="AJ37" s="57"/>
      <c r="AK37" s="158"/>
      <c r="AL37" s="57"/>
      <c r="AM37" s="57"/>
      <c r="AN37" s="57"/>
      <c r="AO37" s="209"/>
      <c r="AP37" s="57"/>
      <c r="AR37" s="57"/>
      <c r="AS37" s="57"/>
    </row>
    <row r="38" spans="1:45" ht="15.75" customHeight="1" x14ac:dyDescent="0.25">
      <c r="A38" s="365">
        <v>21</v>
      </c>
      <c r="B38" s="273"/>
      <c r="C38" s="274" t="s">
        <v>555</v>
      </c>
      <c r="D38" s="378"/>
      <c r="E38" s="378"/>
      <c r="F38" s="391">
        <v>24</v>
      </c>
      <c r="G38" s="131"/>
      <c r="H38" s="391">
        <f t="shared" si="7"/>
        <v>2288</v>
      </c>
      <c r="I38" s="86"/>
      <c r="J38" s="223">
        <f>$J$37+$AG$8</f>
        <v>15.469999999999999</v>
      </c>
      <c r="K38" s="485"/>
      <c r="L38" s="5">
        <f t="shared" si="5"/>
        <v>371</v>
      </c>
      <c r="M38" s="5"/>
      <c r="N38" s="6">
        <f t="shared" si="8"/>
        <v>0</v>
      </c>
      <c r="O38" s="6"/>
      <c r="P38" s="5">
        <f t="shared" si="9"/>
        <v>2</v>
      </c>
      <c r="Q38" s="5"/>
      <c r="R38" s="5">
        <f>L38+P38</f>
        <v>373</v>
      </c>
      <c r="S38" s="192"/>
      <c r="T38" s="211"/>
      <c r="U38" s="57"/>
      <c r="V38" s="221"/>
      <c r="W38" s="57"/>
      <c r="X38" s="57"/>
      <c r="Y38" s="514"/>
      <c r="Z38" s="57"/>
      <c r="AA38" s="391"/>
      <c r="AB38" s="57"/>
      <c r="AC38" s="379">
        <v>1144</v>
      </c>
      <c r="AD38" s="57"/>
      <c r="AE38" s="58"/>
      <c r="AF38" s="58"/>
      <c r="AG38" s="158"/>
      <c r="AH38" s="57"/>
      <c r="AI38" s="57"/>
      <c r="AJ38" s="57"/>
      <c r="AK38" s="158"/>
      <c r="AL38" s="57"/>
      <c r="AM38" s="57"/>
      <c r="AN38" s="57"/>
      <c r="AO38" s="209"/>
      <c r="AP38" s="57"/>
      <c r="AR38" s="57"/>
      <c r="AS38" s="57"/>
    </row>
    <row r="39" spans="1:45" ht="15.75" customHeight="1" x14ac:dyDescent="0.25">
      <c r="A39" s="365">
        <v>22</v>
      </c>
      <c r="B39" s="378"/>
      <c r="C39" s="196" t="s">
        <v>307</v>
      </c>
      <c r="D39" s="378"/>
      <c r="E39" s="378"/>
      <c r="F39" s="391">
        <v>0</v>
      </c>
      <c r="G39" s="131"/>
      <c r="H39" s="391">
        <f t="shared" si="7"/>
        <v>0</v>
      </c>
      <c r="I39" s="86"/>
      <c r="J39" s="223">
        <f>ROUND(AC259+(AC259*$AG$1),2)</f>
        <v>12.61</v>
      </c>
      <c r="K39" s="485"/>
      <c r="L39" s="5">
        <f t="shared" si="5"/>
        <v>0</v>
      </c>
      <c r="M39" s="5"/>
      <c r="N39" s="6">
        <f t="shared" si="8"/>
        <v>0</v>
      </c>
      <c r="O39" s="6"/>
      <c r="P39" s="5">
        <f t="shared" si="9"/>
        <v>0</v>
      </c>
      <c r="Q39" s="5"/>
      <c r="R39" s="5">
        <f>L39+P39</f>
        <v>0</v>
      </c>
      <c r="S39" s="192"/>
      <c r="T39" s="211"/>
      <c r="U39" s="57"/>
      <c r="V39" s="221"/>
      <c r="W39" s="57"/>
      <c r="X39" s="57"/>
      <c r="Y39" s="514"/>
      <c r="Z39" s="57"/>
      <c r="AA39" s="391"/>
      <c r="AB39" s="57"/>
      <c r="AC39" s="379">
        <v>1789</v>
      </c>
      <c r="AD39" s="57"/>
      <c r="AE39" s="58"/>
      <c r="AF39" s="58"/>
      <c r="AG39" s="158"/>
      <c r="AH39" s="57"/>
      <c r="AI39" s="57"/>
      <c r="AJ39" s="57"/>
      <c r="AK39" s="158"/>
      <c r="AL39" s="57"/>
      <c r="AM39" s="57"/>
      <c r="AN39" s="57"/>
      <c r="AO39" s="209"/>
      <c r="AP39" s="57"/>
      <c r="AR39" s="57"/>
      <c r="AS39" s="57"/>
    </row>
    <row r="40" spans="1:45" x14ac:dyDescent="0.25">
      <c r="A40" s="365">
        <v>23</v>
      </c>
      <c r="B40" s="378"/>
      <c r="C40" s="518" t="s">
        <v>209</v>
      </c>
      <c r="D40" s="378"/>
      <c r="E40" s="378"/>
      <c r="F40" s="519"/>
      <c r="G40" s="131"/>
      <c r="H40" s="398"/>
      <c r="I40" s="2"/>
      <c r="J40" s="7"/>
      <c r="K40" s="7"/>
      <c r="L40" s="5"/>
      <c r="M40" s="2"/>
      <c r="N40" s="2"/>
      <c r="O40" s="2"/>
      <c r="P40" s="2"/>
      <c r="Q40" s="2"/>
      <c r="R40" s="2"/>
      <c r="S40" s="192"/>
      <c r="V40" s="221"/>
      <c r="Y40" s="514"/>
      <c r="AA40" s="398"/>
      <c r="AO40" s="209"/>
    </row>
    <row r="41" spans="1:45" x14ac:dyDescent="0.25">
      <c r="A41" s="365">
        <v>24</v>
      </c>
      <c r="B41" s="378"/>
      <c r="C41" s="195" t="s">
        <v>221</v>
      </c>
      <c r="D41" s="378"/>
      <c r="E41" s="378"/>
      <c r="F41" s="391">
        <v>18953</v>
      </c>
      <c r="G41" s="131"/>
      <c r="H41" s="391">
        <f t="shared" ref="H41:H58" si="11">ROUND(F41*AC41/12,0)</f>
        <v>769176</v>
      </c>
      <c r="I41" s="86"/>
      <c r="J41" s="223">
        <f>ROUND(AC261+(AC261*$AG$1),2)</f>
        <v>9.0299999999999994</v>
      </c>
      <c r="K41" s="485"/>
      <c r="L41" s="5">
        <f t="shared" si="5"/>
        <v>171146</v>
      </c>
      <c r="M41" s="5"/>
      <c r="N41" s="6">
        <f t="shared" ref="N41:N58" si="12">ROUND((L41/L$209)*100,1)</f>
        <v>10.1</v>
      </c>
      <c r="O41" s="6"/>
      <c r="P41" s="5">
        <f t="shared" ref="P41:P58" si="13">ROUND($P$209/$H$209*H41,0)</f>
        <v>524</v>
      </c>
      <c r="Q41" s="5"/>
      <c r="R41" s="5">
        <f t="shared" ref="R41:R50" si="14">L41+P41</f>
        <v>171670</v>
      </c>
      <c r="S41" s="192"/>
      <c r="V41" s="221"/>
      <c r="Y41" s="514"/>
      <c r="AA41" s="391"/>
      <c r="AC41" s="380">
        <v>487</v>
      </c>
      <c r="AO41" s="209"/>
    </row>
    <row r="42" spans="1:45" x14ac:dyDescent="0.25">
      <c r="A42" s="365">
        <v>25</v>
      </c>
      <c r="B42" s="378"/>
      <c r="C42" s="195" t="s">
        <v>220</v>
      </c>
      <c r="D42" s="378"/>
      <c r="E42" s="378"/>
      <c r="F42" s="391">
        <v>120</v>
      </c>
      <c r="G42" s="131"/>
      <c r="H42" s="391">
        <f t="shared" si="11"/>
        <v>4870</v>
      </c>
      <c r="I42" s="86"/>
      <c r="J42" s="223">
        <f>ROUND(AC262+(AC262*$AG$1),2)</f>
        <v>6.78</v>
      </c>
      <c r="K42" s="485"/>
      <c r="L42" s="5">
        <f t="shared" si="5"/>
        <v>814</v>
      </c>
      <c r="M42" s="5"/>
      <c r="N42" s="6">
        <f t="shared" si="12"/>
        <v>0</v>
      </c>
      <c r="O42" s="6"/>
      <c r="P42" s="5">
        <f t="shared" si="13"/>
        <v>3</v>
      </c>
      <c r="Q42" s="5"/>
      <c r="R42" s="5">
        <f>L42+P42</f>
        <v>817</v>
      </c>
      <c r="S42" s="192"/>
      <c r="V42" s="221"/>
      <c r="Y42" s="514"/>
      <c r="AA42" s="391"/>
      <c r="AC42" s="380">
        <v>487</v>
      </c>
      <c r="AO42" s="209"/>
    </row>
    <row r="43" spans="1:45" x14ac:dyDescent="0.25">
      <c r="A43" s="365">
        <v>26</v>
      </c>
      <c r="B43" s="378"/>
      <c r="C43" s="195" t="s">
        <v>285</v>
      </c>
      <c r="D43" s="378"/>
      <c r="E43" s="378"/>
      <c r="F43" s="391">
        <f>24+24</f>
        <v>48</v>
      </c>
      <c r="G43" s="131"/>
      <c r="H43" s="391">
        <f t="shared" si="11"/>
        <v>1948</v>
      </c>
      <c r="I43" s="86"/>
      <c r="J43" s="223">
        <f>$J$41+$AG$6</f>
        <v>14.01</v>
      </c>
      <c r="K43" s="485"/>
      <c r="L43" s="5">
        <f t="shared" si="5"/>
        <v>672</v>
      </c>
      <c r="M43" s="5"/>
      <c r="N43" s="6">
        <f t="shared" si="12"/>
        <v>0</v>
      </c>
      <c r="O43" s="6"/>
      <c r="P43" s="5">
        <f t="shared" si="13"/>
        <v>1</v>
      </c>
      <c r="Q43" s="5"/>
      <c r="R43" s="5">
        <f t="shared" si="14"/>
        <v>673</v>
      </c>
      <c r="S43" s="192"/>
      <c r="T43" s="53"/>
      <c r="V43" s="221"/>
      <c r="Y43" s="514"/>
      <c r="AA43" s="391"/>
      <c r="AC43" s="380">
        <v>487</v>
      </c>
      <c r="AO43" s="209"/>
      <c r="AQ43" s="162"/>
      <c r="AR43" s="54"/>
    </row>
    <row r="44" spans="1:45" x14ac:dyDescent="0.25">
      <c r="A44" s="365">
        <v>27</v>
      </c>
      <c r="B44" s="378"/>
      <c r="C44" s="195" t="s">
        <v>286</v>
      </c>
      <c r="D44" s="378"/>
      <c r="E44" s="378"/>
      <c r="F44" s="391">
        <v>674</v>
      </c>
      <c r="G44" s="131"/>
      <c r="H44" s="391">
        <f t="shared" si="11"/>
        <v>27353</v>
      </c>
      <c r="I44" s="86"/>
      <c r="J44" s="223">
        <f>$J$41+$AG$7</f>
        <v>14.079999999999998</v>
      </c>
      <c r="K44" s="485"/>
      <c r="L44" s="5">
        <f t="shared" si="5"/>
        <v>9490</v>
      </c>
      <c r="M44" s="5"/>
      <c r="N44" s="6">
        <f t="shared" si="12"/>
        <v>0.6</v>
      </c>
      <c r="O44" s="6"/>
      <c r="P44" s="5">
        <f t="shared" si="13"/>
        <v>19</v>
      </c>
      <c r="Q44" s="5"/>
      <c r="R44" s="5">
        <f>L44+P44</f>
        <v>9509</v>
      </c>
      <c r="S44" s="192"/>
      <c r="T44" s="53"/>
      <c r="V44" s="221"/>
      <c r="Y44" s="514"/>
      <c r="AA44" s="391"/>
      <c r="AC44" s="380">
        <v>487</v>
      </c>
      <c r="AO44" s="209"/>
      <c r="AQ44" s="162"/>
      <c r="AR44" s="54"/>
    </row>
    <row r="45" spans="1:45" x14ac:dyDescent="0.25">
      <c r="A45" s="365">
        <v>28</v>
      </c>
      <c r="B45" s="378"/>
      <c r="C45" s="195" t="s">
        <v>287</v>
      </c>
      <c r="D45" s="378"/>
      <c r="E45" s="378"/>
      <c r="F45" s="391">
        <v>612</v>
      </c>
      <c r="G45" s="131"/>
      <c r="H45" s="391">
        <f t="shared" si="11"/>
        <v>24837</v>
      </c>
      <c r="I45" s="86"/>
      <c r="J45" s="223">
        <f>$J$41+$AG$8</f>
        <v>15.079999999999998</v>
      </c>
      <c r="K45" s="485"/>
      <c r="L45" s="5">
        <f t="shared" si="5"/>
        <v>9229</v>
      </c>
      <c r="M45" s="5"/>
      <c r="N45" s="6">
        <f t="shared" si="12"/>
        <v>0.5</v>
      </c>
      <c r="O45" s="6"/>
      <c r="P45" s="5">
        <f t="shared" si="13"/>
        <v>17</v>
      </c>
      <c r="Q45" s="5"/>
      <c r="R45" s="5">
        <f>L45+P45</f>
        <v>9246</v>
      </c>
      <c r="S45" s="192"/>
      <c r="T45" s="53"/>
      <c r="V45" s="221"/>
      <c r="Y45" s="514"/>
      <c r="AA45" s="391"/>
      <c r="AC45" s="380">
        <v>487</v>
      </c>
      <c r="AO45" s="209"/>
      <c r="AQ45" s="162"/>
      <c r="AR45" s="54"/>
    </row>
    <row r="46" spans="1:45" x14ac:dyDescent="0.25">
      <c r="A46" s="365">
        <v>29</v>
      </c>
      <c r="B46" s="378"/>
      <c r="C46" s="195" t="s">
        <v>222</v>
      </c>
      <c r="D46" s="378"/>
      <c r="E46" s="378"/>
      <c r="F46" s="519">
        <v>372</v>
      </c>
      <c r="G46" s="131"/>
      <c r="H46" s="391">
        <f t="shared" si="11"/>
        <v>22041</v>
      </c>
      <c r="I46" s="86"/>
      <c r="J46" s="223">
        <f>ROUND(AC266+(AC266*$AG$1),2)</f>
        <v>9.85</v>
      </c>
      <c r="K46" s="485"/>
      <c r="L46" s="5">
        <f t="shared" si="5"/>
        <v>3664</v>
      </c>
      <c r="M46" s="5"/>
      <c r="N46" s="6">
        <f t="shared" si="12"/>
        <v>0.2</v>
      </c>
      <c r="O46" s="6"/>
      <c r="P46" s="5">
        <f t="shared" si="13"/>
        <v>15</v>
      </c>
      <c r="Q46" s="5"/>
      <c r="R46" s="5">
        <f t="shared" si="14"/>
        <v>3679</v>
      </c>
      <c r="S46" s="192"/>
      <c r="V46" s="221"/>
      <c r="Y46" s="514"/>
      <c r="AA46" s="391"/>
      <c r="AC46" s="380">
        <v>711</v>
      </c>
      <c r="AO46" s="209"/>
    </row>
    <row r="47" spans="1:45" x14ac:dyDescent="0.25">
      <c r="A47" s="365">
        <v>30</v>
      </c>
      <c r="B47" s="378"/>
      <c r="C47" s="195" t="s">
        <v>327</v>
      </c>
      <c r="D47" s="378"/>
      <c r="E47" s="378"/>
      <c r="F47" s="519">
        <v>12</v>
      </c>
      <c r="G47" s="131"/>
      <c r="H47" s="391">
        <f t="shared" si="11"/>
        <v>711</v>
      </c>
      <c r="I47" s="86"/>
      <c r="J47" s="223">
        <f>$J$46+$AG$7</f>
        <v>14.899999999999999</v>
      </c>
      <c r="K47" s="485"/>
      <c r="L47" s="5">
        <f t="shared" si="5"/>
        <v>179</v>
      </c>
      <c r="M47" s="5"/>
      <c r="N47" s="6">
        <f t="shared" si="12"/>
        <v>0</v>
      </c>
      <c r="O47" s="6"/>
      <c r="P47" s="5">
        <f t="shared" si="13"/>
        <v>0</v>
      </c>
      <c r="Q47" s="5"/>
      <c r="R47" s="5">
        <f>L47+P47</f>
        <v>179</v>
      </c>
      <c r="S47" s="192"/>
      <c r="V47" s="221"/>
      <c r="Y47" s="514"/>
      <c r="AA47" s="391"/>
      <c r="AC47" s="380">
        <v>711</v>
      </c>
      <c r="AO47" s="209"/>
    </row>
    <row r="48" spans="1:45" x14ac:dyDescent="0.25">
      <c r="A48" s="365">
        <v>31</v>
      </c>
      <c r="B48" s="275"/>
      <c r="C48" s="276" t="s">
        <v>556</v>
      </c>
      <c r="D48" s="275"/>
      <c r="E48" s="378"/>
      <c r="F48" s="519">
        <v>108</v>
      </c>
      <c r="G48" s="131"/>
      <c r="H48" s="391">
        <f t="shared" si="11"/>
        <v>6399</v>
      </c>
      <c r="I48" s="86"/>
      <c r="J48" s="223">
        <f>$J$46+$AG$8</f>
        <v>15.899999999999999</v>
      </c>
      <c r="K48" s="485"/>
      <c r="L48" s="5">
        <f t="shared" si="5"/>
        <v>1717</v>
      </c>
      <c r="M48" s="5"/>
      <c r="N48" s="6">
        <f t="shared" si="12"/>
        <v>0.1</v>
      </c>
      <c r="O48" s="6"/>
      <c r="P48" s="5">
        <f t="shared" si="13"/>
        <v>4</v>
      </c>
      <c r="Q48" s="5"/>
      <c r="R48" s="5">
        <f>L48+P48</f>
        <v>1721</v>
      </c>
      <c r="S48" s="192"/>
      <c r="V48" s="221"/>
      <c r="Y48" s="514"/>
      <c r="AA48" s="391"/>
      <c r="AC48" s="380">
        <v>711</v>
      </c>
      <c r="AO48" s="209"/>
    </row>
    <row r="49" spans="1:45" x14ac:dyDescent="0.25">
      <c r="A49" s="363">
        <v>32</v>
      </c>
      <c r="B49" s="378"/>
      <c r="C49" s="195" t="s">
        <v>223</v>
      </c>
      <c r="D49" s="378"/>
      <c r="E49" s="378"/>
      <c r="F49" s="391">
        <f>5343+3</f>
        <v>5346</v>
      </c>
      <c r="G49" s="131"/>
      <c r="H49" s="391">
        <f t="shared" si="11"/>
        <v>422334</v>
      </c>
      <c r="I49" s="86"/>
      <c r="J49" s="223">
        <f>ROUND(AC269+(AC269*$AG$1),2)</f>
        <v>12.76</v>
      </c>
      <c r="K49" s="485"/>
      <c r="L49" s="5">
        <f t="shared" si="5"/>
        <v>68215</v>
      </c>
      <c r="M49" s="5"/>
      <c r="N49" s="6">
        <f t="shared" si="12"/>
        <v>4</v>
      </c>
      <c r="O49" s="6"/>
      <c r="P49" s="5">
        <f t="shared" si="13"/>
        <v>288</v>
      </c>
      <c r="Q49" s="5"/>
      <c r="R49" s="5">
        <f t="shared" si="14"/>
        <v>68503</v>
      </c>
      <c r="S49" s="192"/>
      <c r="V49" s="221"/>
      <c r="Y49" s="514"/>
      <c r="AA49" s="391"/>
      <c r="AC49" s="380">
        <v>948</v>
      </c>
      <c r="AO49" s="209"/>
    </row>
    <row r="50" spans="1:45" x14ac:dyDescent="0.25">
      <c r="A50" s="364">
        <v>33</v>
      </c>
      <c r="B50" s="378"/>
      <c r="C50" s="195" t="s">
        <v>288</v>
      </c>
      <c r="D50" s="378"/>
      <c r="E50" s="378"/>
      <c r="F50" s="391">
        <v>0</v>
      </c>
      <c r="G50" s="131"/>
      <c r="H50" s="391">
        <f t="shared" si="11"/>
        <v>0</v>
      </c>
      <c r="I50" s="86"/>
      <c r="J50" s="223">
        <f>$J$49+$AG$6</f>
        <v>17.740000000000002</v>
      </c>
      <c r="K50" s="485"/>
      <c r="L50" s="5">
        <f t="shared" si="5"/>
        <v>0</v>
      </c>
      <c r="M50" s="5"/>
      <c r="N50" s="6">
        <f t="shared" si="12"/>
        <v>0</v>
      </c>
      <c r="O50" s="6"/>
      <c r="P50" s="5">
        <f t="shared" si="13"/>
        <v>0</v>
      </c>
      <c r="Q50" s="5"/>
      <c r="R50" s="5">
        <f t="shared" si="14"/>
        <v>0</v>
      </c>
      <c r="S50" s="192"/>
      <c r="T50" s="210"/>
      <c r="V50" s="221"/>
      <c r="Y50" s="514"/>
      <c r="AA50" s="391"/>
      <c r="AC50" s="380">
        <v>948</v>
      </c>
      <c r="AO50" s="209"/>
      <c r="AQ50" s="162"/>
      <c r="AR50" s="53"/>
    </row>
    <row r="51" spans="1:45" x14ac:dyDescent="0.25">
      <c r="A51" s="364">
        <v>34</v>
      </c>
      <c r="B51" s="378"/>
      <c r="C51" s="195" t="s">
        <v>289</v>
      </c>
      <c r="D51" s="378"/>
      <c r="E51" s="378"/>
      <c r="F51" s="391">
        <v>204</v>
      </c>
      <c r="G51" s="131"/>
      <c r="H51" s="391">
        <f t="shared" si="11"/>
        <v>16116</v>
      </c>
      <c r="I51" s="86"/>
      <c r="J51" s="223">
        <f>$J$49+$AG$7</f>
        <v>17.809999999999999</v>
      </c>
      <c r="K51" s="485"/>
      <c r="L51" s="5">
        <f t="shared" si="5"/>
        <v>3633</v>
      </c>
      <c r="M51" s="5"/>
      <c r="N51" s="6">
        <f t="shared" si="12"/>
        <v>0.2</v>
      </c>
      <c r="O51" s="6"/>
      <c r="P51" s="5">
        <f t="shared" si="13"/>
        <v>11</v>
      </c>
      <c r="Q51" s="5"/>
      <c r="R51" s="5">
        <f t="shared" ref="R51:R58" si="15">L51+P51</f>
        <v>3644</v>
      </c>
      <c r="S51" s="192"/>
      <c r="T51" s="210"/>
      <c r="V51" s="221"/>
      <c r="Y51" s="514"/>
      <c r="AA51" s="391"/>
      <c r="AC51" s="380">
        <v>948</v>
      </c>
      <c r="AO51" s="209"/>
      <c r="AQ51" s="162"/>
      <c r="AR51" s="53"/>
    </row>
    <row r="52" spans="1:45" x14ac:dyDescent="0.25">
      <c r="A52" s="364">
        <v>35</v>
      </c>
      <c r="B52" s="378"/>
      <c r="C52" s="195" t="s">
        <v>290</v>
      </c>
      <c r="D52" s="378"/>
      <c r="E52" s="378"/>
      <c r="F52" s="391">
        <v>72</v>
      </c>
      <c r="G52" s="131"/>
      <c r="H52" s="391">
        <f t="shared" si="11"/>
        <v>5688</v>
      </c>
      <c r="I52" s="86"/>
      <c r="J52" s="223">
        <f>$J$49+$AG$8</f>
        <v>18.809999999999999</v>
      </c>
      <c r="K52" s="485"/>
      <c r="L52" s="5">
        <f t="shared" si="5"/>
        <v>1354</v>
      </c>
      <c r="M52" s="5"/>
      <c r="N52" s="6">
        <f t="shared" si="12"/>
        <v>0.1</v>
      </c>
      <c r="O52" s="6"/>
      <c r="P52" s="5">
        <f t="shared" si="13"/>
        <v>4</v>
      </c>
      <c r="Q52" s="5"/>
      <c r="R52" s="5">
        <f t="shared" si="15"/>
        <v>1358</v>
      </c>
      <c r="S52" s="192"/>
      <c r="T52" s="210"/>
      <c r="V52" s="221"/>
      <c r="Y52" s="514"/>
      <c r="AA52" s="391"/>
      <c r="AC52" s="380">
        <v>948</v>
      </c>
      <c r="AO52" s="209"/>
      <c r="AQ52" s="162"/>
      <c r="AR52" s="53"/>
    </row>
    <row r="53" spans="1:45" x14ac:dyDescent="0.25">
      <c r="A53" s="363">
        <v>36</v>
      </c>
      <c r="B53" s="378"/>
      <c r="C53" s="195" t="s">
        <v>328</v>
      </c>
      <c r="D53" s="378"/>
      <c r="E53" s="378"/>
      <c r="F53" s="391">
        <v>12</v>
      </c>
      <c r="G53" s="131"/>
      <c r="H53" s="391">
        <f t="shared" si="11"/>
        <v>948</v>
      </c>
      <c r="I53" s="86"/>
      <c r="J53" s="223">
        <f>$J$49+$AG$10</f>
        <v>20.72</v>
      </c>
      <c r="K53" s="485"/>
      <c r="L53" s="5">
        <f t="shared" si="5"/>
        <v>249</v>
      </c>
      <c r="M53" s="5"/>
      <c r="N53" s="6">
        <f t="shared" si="12"/>
        <v>0</v>
      </c>
      <c r="O53" s="6"/>
      <c r="P53" s="5">
        <f t="shared" si="13"/>
        <v>1</v>
      </c>
      <c r="Q53" s="5"/>
      <c r="R53" s="5">
        <f t="shared" si="15"/>
        <v>250</v>
      </c>
      <c r="S53" s="192"/>
      <c r="T53" s="210"/>
      <c r="V53" s="221"/>
      <c r="Y53" s="514"/>
      <c r="AA53" s="391"/>
      <c r="AC53" s="380">
        <v>948</v>
      </c>
      <c r="AO53" s="209"/>
      <c r="AQ53" s="162"/>
      <c r="AR53" s="53"/>
    </row>
    <row r="54" spans="1:45" x14ac:dyDescent="0.25">
      <c r="A54" s="363">
        <v>37</v>
      </c>
      <c r="B54" s="378"/>
      <c r="C54" s="195" t="s">
        <v>324</v>
      </c>
      <c r="D54" s="378"/>
      <c r="E54" s="378"/>
      <c r="F54" s="391">
        <v>96</v>
      </c>
      <c r="G54" s="131"/>
      <c r="H54" s="391">
        <f t="shared" si="11"/>
        <v>7584</v>
      </c>
      <c r="I54" s="86"/>
      <c r="J54" s="223">
        <f>ROUND(AC274+(AC274*$AG$1),2)</f>
        <v>12.76</v>
      </c>
      <c r="K54" s="485"/>
      <c r="L54" s="5">
        <f t="shared" si="5"/>
        <v>1225</v>
      </c>
      <c r="M54" s="5"/>
      <c r="N54" s="6">
        <f t="shared" si="12"/>
        <v>0.1</v>
      </c>
      <c r="O54" s="6"/>
      <c r="P54" s="5">
        <f t="shared" si="13"/>
        <v>5</v>
      </c>
      <c r="Q54" s="5"/>
      <c r="R54" s="5">
        <f t="shared" si="15"/>
        <v>1230</v>
      </c>
      <c r="S54" s="192"/>
      <c r="V54" s="221"/>
      <c r="Y54" s="514"/>
      <c r="AA54" s="391"/>
      <c r="AC54" s="380">
        <v>948</v>
      </c>
      <c r="AO54" s="209"/>
    </row>
    <row r="55" spans="1:45" x14ac:dyDescent="0.25">
      <c r="A55" s="363">
        <v>38</v>
      </c>
      <c r="B55" s="378"/>
      <c r="C55" s="195" t="s">
        <v>626</v>
      </c>
      <c r="D55" s="378"/>
      <c r="E55" s="378"/>
      <c r="F55" s="391">
        <v>12</v>
      </c>
      <c r="G55" s="131"/>
      <c r="H55" s="391">
        <f t="shared" si="11"/>
        <v>948</v>
      </c>
      <c r="I55" s="86"/>
      <c r="J55" s="223">
        <f>$J$54+$AG$8</f>
        <v>18.809999999999999</v>
      </c>
      <c r="K55" s="485"/>
      <c r="L55" s="5">
        <f t="shared" si="5"/>
        <v>226</v>
      </c>
      <c r="M55" s="5"/>
      <c r="N55" s="6">
        <f t="shared" si="12"/>
        <v>0</v>
      </c>
      <c r="O55" s="6"/>
      <c r="P55" s="5">
        <f t="shared" si="13"/>
        <v>1</v>
      </c>
      <c r="Q55" s="5"/>
      <c r="R55" s="5">
        <f t="shared" si="15"/>
        <v>227</v>
      </c>
      <c r="S55" s="192"/>
      <c r="V55" s="221"/>
      <c r="Y55" s="514"/>
      <c r="AA55" s="391"/>
      <c r="AC55" s="380">
        <v>948</v>
      </c>
      <c r="AO55" s="209"/>
    </row>
    <row r="56" spans="1:45" x14ac:dyDescent="0.25">
      <c r="A56" s="363">
        <v>39</v>
      </c>
      <c r="B56" s="378"/>
      <c r="C56" s="195" t="s">
        <v>224</v>
      </c>
      <c r="D56" s="378"/>
      <c r="E56" s="378"/>
      <c r="F56" s="391">
        <f>9633+12</f>
        <v>9645</v>
      </c>
      <c r="G56" s="131"/>
      <c r="H56" s="391">
        <f t="shared" si="11"/>
        <v>1574546</v>
      </c>
      <c r="I56" s="86"/>
      <c r="J56" s="223">
        <f>ROUND(AC276+(AC276*$AG$1),2)</f>
        <v>17.149999999999999</v>
      </c>
      <c r="K56" s="485"/>
      <c r="L56" s="5">
        <f t="shared" si="5"/>
        <v>165412</v>
      </c>
      <c r="M56" s="5"/>
      <c r="N56" s="6">
        <f t="shared" si="12"/>
        <v>9.6999999999999993</v>
      </c>
      <c r="O56" s="6"/>
      <c r="P56" s="5">
        <f t="shared" si="13"/>
        <v>1072</v>
      </c>
      <c r="Q56" s="5"/>
      <c r="R56" s="5">
        <f t="shared" si="15"/>
        <v>166484</v>
      </c>
      <c r="S56" s="192"/>
      <c r="V56" s="221"/>
      <c r="Y56" s="514"/>
      <c r="AA56" s="391"/>
      <c r="AC56" s="380">
        <v>1959</v>
      </c>
      <c r="AO56" s="209"/>
    </row>
    <row r="57" spans="1:45" x14ac:dyDescent="0.25">
      <c r="A57" s="363">
        <v>40</v>
      </c>
      <c r="B57" s="378"/>
      <c r="C57" s="195" t="s">
        <v>291</v>
      </c>
      <c r="D57" s="378"/>
      <c r="E57" s="378"/>
      <c r="F57" s="391">
        <v>264</v>
      </c>
      <c r="G57" s="131"/>
      <c r="H57" s="391">
        <f t="shared" si="11"/>
        <v>43098</v>
      </c>
      <c r="I57" s="86"/>
      <c r="J57" s="223">
        <f>$J$56+$AG$7</f>
        <v>22.2</v>
      </c>
      <c r="K57" s="485"/>
      <c r="L57" s="5">
        <f t="shared" si="5"/>
        <v>5861</v>
      </c>
      <c r="M57" s="5"/>
      <c r="N57" s="6">
        <f t="shared" si="12"/>
        <v>0.3</v>
      </c>
      <c r="O57" s="6"/>
      <c r="P57" s="5">
        <f t="shared" si="13"/>
        <v>29</v>
      </c>
      <c r="Q57" s="5"/>
      <c r="R57" s="5">
        <f t="shared" si="15"/>
        <v>5890</v>
      </c>
      <c r="S57" s="192"/>
      <c r="V57" s="221"/>
      <c r="Y57" s="514"/>
      <c r="AA57" s="391"/>
      <c r="AC57" s="380">
        <v>1959</v>
      </c>
      <c r="AO57" s="209"/>
    </row>
    <row r="58" spans="1:45" x14ac:dyDescent="0.25">
      <c r="A58" s="363">
        <v>41</v>
      </c>
      <c r="B58" s="378"/>
      <c r="C58" s="195" t="s">
        <v>292</v>
      </c>
      <c r="D58" s="378"/>
      <c r="E58" s="378"/>
      <c r="F58" s="391">
        <v>633</v>
      </c>
      <c r="G58" s="131"/>
      <c r="H58" s="391">
        <f t="shared" si="11"/>
        <v>103337</v>
      </c>
      <c r="I58" s="86"/>
      <c r="J58" s="223">
        <f>$J$56+$AG$8</f>
        <v>23.2</v>
      </c>
      <c r="K58" s="485"/>
      <c r="L58" s="5">
        <f t="shared" si="5"/>
        <v>14686</v>
      </c>
      <c r="M58" s="5"/>
      <c r="N58" s="6">
        <f t="shared" si="12"/>
        <v>0.9</v>
      </c>
      <c r="O58" s="6"/>
      <c r="P58" s="5">
        <f t="shared" si="13"/>
        <v>70</v>
      </c>
      <c r="Q58" s="5"/>
      <c r="R58" s="5">
        <f t="shared" si="15"/>
        <v>14756</v>
      </c>
      <c r="S58" s="192"/>
      <c r="V58" s="221"/>
      <c r="Y58" s="514"/>
      <c r="AA58" s="391"/>
      <c r="AC58" s="380">
        <v>1959</v>
      </c>
      <c r="AO58" s="209"/>
    </row>
    <row r="59" spans="1:45" x14ac:dyDescent="0.25">
      <c r="F59" s="229"/>
    </row>
    <row r="60" spans="1:45" x14ac:dyDescent="0.25">
      <c r="A60" s="243" t="s">
        <v>78</v>
      </c>
      <c r="B60" s="245"/>
      <c r="C60" s="293"/>
      <c r="D60" s="246"/>
      <c r="E60" s="246"/>
      <c r="F60" s="293"/>
      <c r="G60" s="246"/>
      <c r="H60" s="246"/>
      <c r="I60" s="246"/>
      <c r="J60" s="244" t="s">
        <v>272</v>
      </c>
      <c r="K60" s="246"/>
      <c r="L60" s="247"/>
      <c r="M60" s="246"/>
      <c r="N60" s="245"/>
      <c r="O60" s="246"/>
      <c r="P60" s="248" t="s">
        <v>277</v>
      </c>
      <c r="Q60" s="249"/>
      <c r="R60" s="249"/>
      <c r="T60" s="53"/>
      <c r="V60" s="54"/>
      <c r="AA60" s="379"/>
      <c r="AC60" s="379"/>
      <c r="AD60" s="379"/>
      <c r="AE60" s="59"/>
      <c r="AF60" s="59"/>
      <c r="AG60" s="156"/>
      <c r="AH60" s="379"/>
      <c r="AI60" s="50"/>
      <c r="AJ60" s="50"/>
      <c r="AK60" s="156"/>
      <c r="AL60" s="379"/>
      <c r="AM60" s="60"/>
      <c r="AN60" s="60"/>
      <c r="AO60" s="379"/>
      <c r="AP60" s="379"/>
      <c r="AQ60" s="162"/>
      <c r="AR60" s="379"/>
      <c r="AS60" s="50"/>
    </row>
    <row r="61" spans="1:45" x14ac:dyDescent="0.25">
      <c r="A61" s="243" t="str">
        <f>"(1A) REFLECTS FUEL COST RECOVERY INCLUDED IN BASE RATES OF "&amp;TEXT(CUR_BASE_FUEL,"$0.000000;($0.000000)")&amp;"  PER KWH."</f>
        <v>(1A) REFLECTS FUEL COST RECOVERY INCLUDED IN BASE RATES OF $0.023837  PER KWH.</v>
      </c>
      <c r="B61" s="246"/>
      <c r="C61" s="293"/>
      <c r="D61" s="246"/>
      <c r="E61" s="246"/>
      <c r="F61" s="327"/>
      <c r="G61" s="246"/>
      <c r="H61" s="246"/>
      <c r="I61" s="246"/>
      <c r="J61" s="248" t="s">
        <v>274</v>
      </c>
      <c r="K61" s="246"/>
      <c r="L61" s="247"/>
      <c r="M61" s="246"/>
      <c r="N61" s="245"/>
      <c r="O61" s="246"/>
      <c r="P61" s="244" t="s">
        <v>278</v>
      </c>
      <c r="Q61" s="249"/>
      <c r="R61" s="249"/>
      <c r="V61" s="54"/>
      <c r="AA61" s="379"/>
      <c r="AC61" s="379"/>
      <c r="AD61" s="379"/>
      <c r="AE61" s="59"/>
      <c r="AF61" s="59"/>
      <c r="AG61" s="156"/>
      <c r="AH61" s="379"/>
      <c r="AI61" s="50"/>
      <c r="AJ61" s="50"/>
      <c r="AK61" s="156"/>
      <c r="AL61" s="379"/>
      <c r="AM61" s="60"/>
      <c r="AN61" s="60"/>
      <c r="AO61" s="379"/>
      <c r="AP61" s="379"/>
      <c r="AQ61" s="162"/>
      <c r="AR61" s="379"/>
      <c r="AS61" s="50"/>
    </row>
    <row r="62" spans="1:45" x14ac:dyDescent="0.25">
      <c r="A62" s="243" t="str">
        <f>"(2) REFLECTS FUEL COMPONENT OF "&amp;TEXT(CUR_FAC,"$0.000000;($0.000000)")&amp;"  PER KWH."</f>
        <v>(2) REFLECTS FUEL COMPONENT OF $0.000681  PER KWH.</v>
      </c>
      <c r="B62" s="246"/>
      <c r="C62" s="293"/>
      <c r="D62" s="246"/>
      <c r="E62" s="246"/>
      <c r="F62" s="327"/>
      <c r="G62" s="246"/>
      <c r="H62" s="246"/>
      <c r="I62" s="246"/>
      <c r="J62" s="248" t="s">
        <v>275</v>
      </c>
      <c r="K62" s="246"/>
      <c r="L62" s="247"/>
      <c r="M62" s="246"/>
      <c r="N62" s="245"/>
      <c r="O62" s="246"/>
      <c r="P62" s="244" t="s">
        <v>279</v>
      </c>
      <c r="Q62" s="249"/>
      <c r="R62" s="249"/>
      <c r="V62" s="54"/>
      <c r="AA62" s="379"/>
      <c r="AC62" s="379"/>
      <c r="AD62" s="379"/>
      <c r="AE62" s="59"/>
      <c r="AF62" s="59"/>
      <c r="AG62" s="156"/>
      <c r="AH62" s="379"/>
      <c r="AI62" s="50"/>
      <c r="AJ62" s="50"/>
      <c r="AK62" s="156"/>
      <c r="AL62" s="379"/>
      <c r="AM62" s="60"/>
      <c r="AN62" s="60"/>
      <c r="AO62" s="379"/>
      <c r="AP62" s="379"/>
      <c r="AQ62" s="162"/>
      <c r="AR62" s="379"/>
      <c r="AS62" s="50"/>
    </row>
    <row r="63" spans="1:45" x14ac:dyDescent="0.25">
      <c r="A63" s="244" t="s">
        <v>273</v>
      </c>
      <c r="B63" s="246"/>
      <c r="C63" s="293"/>
      <c r="D63" s="246"/>
      <c r="E63" s="246"/>
      <c r="F63" s="327"/>
      <c r="G63" s="246"/>
      <c r="H63" s="246"/>
      <c r="I63" s="246"/>
      <c r="J63" s="244" t="s">
        <v>276</v>
      </c>
      <c r="K63" s="246"/>
      <c r="L63" s="247"/>
      <c r="M63" s="246"/>
      <c r="N63" s="245"/>
      <c r="O63" s="246"/>
      <c r="P63" s="244" t="s">
        <v>280</v>
      </c>
      <c r="Q63" s="249"/>
      <c r="R63" s="249"/>
      <c r="V63" s="54"/>
      <c r="AA63" s="379"/>
      <c r="AC63" s="379"/>
      <c r="AD63" s="379"/>
      <c r="AE63" s="463"/>
      <c r="AF63" s="463"/>
      <c r="AG63" s="156"/>
      <c r="AH63" s="379"/>
      <c r="AI63" s="50"/>
      <c r="AJ63" s="50"/>
      <c r="AK63" s="156"/>
      <c r="AL63" s="379"/>
      <c r="AM63" s="60"/>
      <c r="AN63" s="60"/>
      <c r="AO63" s="379"/>
      <c r="AP63" s="379"/>
      <c r="AQ63" s="162"/>
      <c r="AR63" s="379"/>
      <c r="AS63" s="50"/>
    </row>
    <row r="64" spans="1:45" x14ac:dyDescent="0.25">
      <c r="A64" s="244" t="s">
        <v>271</v>
      </c>
      <c r="B64" s="246"/>
      <c r="C64" s="293"/>
      <c r="D64" s="246"/>
      <c r="E64" s="246"/>
      <c r="F64" s="327"/>
      <c r="G64" s="246"/>
      <c r="H64" s="246"/>
      <c r="I64" s="246"/>
      <c r="J64" s="244" t="s">
        <v>387</v>
      </c>
      <c r="K64" s="245"/>
      <c r="L64" s="250"/>
      <c r="M64" s="245"/>
      <c r="N64" s="245"/>
      <c r="O64" s="245"/>
      <c r="P64" s="244" t="s">
        <v>281</v>
      </c>
      <c r="Q64" s="249"/>
      <c r="R64" s="249"/>
    </row>
    <row r="65" spans="1:45" x14ac:dyDescent="0.25">
      <c r="A65" s="52"/>
      <c r="B65" s="378"/>
      <c r="C65" s="194"/>
      <c r="D65" s="378"/>
      <c r="E65" s="378"/>
      <c r="F65" s="329"/>
      <c r="G65" s="378"/>
      <c r="H65" s="378"/>
      <c r="I65" s="378"/>
      <c r="J65" s="52"/>
      <c r="V65" s="54"/>
      <c r="AA65" s="379"/>
      <c r="AC65" s="379"/>
      <c r="AD65" s="379"/>
      <c r="AE65" s="464"/>
      <c r="AF65" s="464"/>
      <c r="AG65" s="156"/>
      <c r="AH65" s="379"/>
      <c r="AI65" s="50"/>
      <c r="AJ65" s="50"/>
      <c r="AK65" s="156"/>
      <c r="AL65" s="379"/>
      <c r="AM65" s="50"/>
      <c r="AN65" s="50"/>
      <c r="AO65" s="379"/>
      <c r="AP65" s="379"/>
      <c r="AQ65" s="162"/>
      <c r="AR65" s="379"/>
      <c r="AS65" s="50"/>
    </row>
    <row r="66" spans="1:45" x14ac:dyDescent="0.25">
      <c r="A66" s="52"/>
      <c r="B66" s="378"/>
      <c r="C66" s="194"/>
      <c r="D66" s="378"/>
      <c r="E66" s="378"/>
      <c r="F66" s="329"/>
      <c r="G66" s="378"/>
      <c r="H66" s="378"/>
      <c r="I66" s="378"/>
      <c r="J66" s="52"/>
      <c r="K66" s="378"/>
      <c r="L66" s="378"/>
      <c r="M66" s="378"/>
      <c r="N66" s="76"/>
      <c r="O66" s="378"/>
      <c r="P66" s="69"/>
      <c r="Q66" s="378"/>
      <c r="R66" s="378"/>
      <c r="V66" s="54"/>
      <c r="AA66" s="379"/>
      <c r="AC66" s="379"/>
      <c r="AD66" s="379"/>
      <c r="AE66" s="464"/>
      <c r="AF66" s="464"/>
      <c r="AG66" s="156"/>
      <c r="AH66" s="379"/>
      <c r="AI66" s="50"/>
      <c r="AJ66" s="50"/>
      <c r="AK66" s="156"/>
      <c r="AL66" s="379"/>
      <c r="AM66" s="50"/>
      <c r="AN66" s="50"/>
      <c r="AO66" s="379"/>
      <c r="AP66" s="379"/>
      <c r="AQ66" s="162"/>
      <c r="AR66" s="379"/>
      <c r="AS66" s="50"/>
    </row>
    <row r="67" spans="1:45" x14ac:dyDescent="0.25">
      <c r="A67" s="43" t="str">
        <f>NAME</f>
        <v>DUKE ENERGY KENTUCKY, INC.</v>
      </c>
      <c r="B67" s="43"/>
      <c r="C67" s="297"/>
      <c r="D67" s="43"/>
      <c r="E67" s="43"/>
      <c r="F67" s="297"/>
      <c r="G67" s="43"/>
      <c r="H67" s="43"/>
      <c r="I67" s="43"/>
      <c r="J67" s="44"/>
      <c r="K67" s="44"/>
      <c r="L67" s="43"/>
      <c r="M67" s="43"/>
      <c r="N67" s="43"/>
      <c r="O67" s="43"/>
      <c r="P67" s="43"/>
      <c r="Q67" s="43"/>
      <c r="R67" s="43"/>
      <c r="AA67" s="54"/>
    </row>
    <row r="68" spans="1:45" x14ac:dyDescent="0.25">
      <c r="A68" s="43" t="str">
        <f>CASE_NO</f>
        <v>CASE NO.   2019-000271</v>
      </c>
      <c r="B68" s="43"/>
      <c r="C68" s="297"/>
      <c r="D68" s="43"/>
      <c r="E68" s="43"/>
      <c r="F68" s="297"/>
      <c r="G68" s="43"/>
      <c r="H68" s="43"/>
      <c r="I68" s="43"/>
      <c r="J68" s="44"/>
      <c r="K68" s="44"/>
      <c r="L68" s="43"/>
      <c r="M68" s="43"/>
      <c r="N68" s="43"/>
      <c r="O68" s="43"/>
      <c r="P68" s="43"/>
      <c r="Q68" s="43"/>
      <c r="R68" s="43"/>
      <c r="AA68" s="54"/>
    </row>
    <row r="69" spans="1:45" x14ac:dyDescent="0.25">
      <c r="A69" s="44" t="str">
        <f>TITLE</f>
        <v>ANNUALIZED BASE YEAR REVENUES AT PROPOSED VS. MOST CURRENT RATES</v>
      </c>
      <c r="B69" s="43"/>
      <c r="C69" s="297"/>
      <c r="D69" s="43"/>
      <c r="E69" s="43"/>
      <c r="F69" s="297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AB69" s="53"/>
    </row>
    <row r="70" spans="1:45" x14ac:dyDescent="0.25">
      <c r="A70" s="43" t="str">
        <f>DATE</f>
        <v>FOR THE TWELVE MONTHS ENDED November 30, 2019</v>
      </c>
      <c r="B70" s="43"/>
      <c r="C70" s="297"/>
      <c r="D70" s="43"/>
      <c r="E70" s="43"/>
      <c r="F70" s="297"/>
      <c r="G70" s="43"/>
      <c r="H70" s="43"/>
      <c r="I70" s="43"/>
      <c r="J70" s="44"/>
      <c r="K70" s="44"/>
      <c r="L70" s="43"/>
      <c r="M70" s="43"/>
      <c r="N70" s="43"/>
      <c r="O70" s="43"/>
      <c r="P70" s="43"/>
      <c r="Q70" s="43"/>
      <c r="R70" s="43"/>
      <c r="AC70" s="54"/>
      <c r="AD70" s="54"/>
    </row>
    <row r="71" spans="1:45" x14ac:dyDescent="0.25">
      <c r="A71" s="43" t="str">
        <f>SERVICE</f>
        <v>(ELECTRIC SERVICE)</v>
      </c>
      <c r="B71" s="43"/>
      <c r="C71" s="297"/>
      <c r="D71" s="43"/>
      <c r="E71" s="43"/>
      <c r="F71" s="297"/>
      <c r="G71" s="43"/>
      <c r="H71" s="43"/>
      <c r="I71" s="43"/>
      <c r="J71" s="43"/>
      <c r="K71" s="43"/>
      <c r="L71" s="44"/>
      <c r="M71" s="44"/>
      <c r="N71" s="43"/>
      <c r="O71" s="43"/>
      <c r="P71" s="43"/>
      <c r="Q71" s="43"/>
      <c r="R71" s="43"/>
      <c r="AM71" s="54"/>
      <c r="AN71" s="54"/>
    </row>
    <row r="72" spans="1:45" x14ac:dyDescent="0.25">
      <c r="A72" s="45" t="str">
        <f>DATA_PERIOD</f>
        <v>DATA: __X__ BASE PERIOD   ____FORECASTED PERIOD</v>
      </c>
      <c r="B72" s="378"/>
      <c r="C72" s="194"/>
      <c r="D72" s="378"/>
      <c r="E72" s="378"/>
      <c r="F72" s="194"/>
      <c r="G72" s="378"/>
      <c r="H72" s="378"/>
      <c r="I72" s="378"/>
      <c r="J72" s="378"/>
      <c r="K72" s="378"/>
      <c r="L72" s="378"/>
      <c r="M72" s="378"/>
      <c r="N72" s="378"/>
      <c r="O72" s="378"/>
      <c r="P72" s="378"/>
      <c r="Q72" s="378"/>
      <c r="R72" s="46" t="s">
        <v>163</v>
      </c>
      <c r="AM72" s="54"/>
      <c r="AN72" s="54"/>
    </row>
    <row r="73" spans="1:45" x14ac:dyDescent="0.25">
      <c r="A73" s="45" t="str">
        <f>TYPE</f>
        <v>TYPE OF FILING: _X_ ORIGINAL   ___UPDATED  ___ REVISED</v>
      </c>
      <c r="B73" s="378"/>
      <c r="C73" s="194"/>
      <c r="D73" s="378"/>
      <c r="E73" s="378"/>
      <c r="F73" s="194"/>
      <c r="G73" s="378"/>
      <c r="H73" s="378"/>
      <c r="I73" s="378"/>
      <c r="J73" s="378"/>
      <c r="K73" s="378"/>
      <c r="L73" s="378"/>
      <c r="M73" s="378"/>
      <c r="N73" s="378"/>
      <c r="O73" s="378"/>
      <c r="P73" s="378"/>
      <c r="Q73" s="378"/>
      <c r="R73" s="52" t="str">
        <f>"PAGE 14 OF "&amp;TEXT(Page_Num_2.3,"00")</f>
        <v>PAGE 14 OF 23</v>
      </c>
      <c r="AM73" s="54"/>
      <c r="AN73" s="54"/>
    </row>
    <row r="74" spans="1:45" x14ac:dyDescent="0.25">
      <c r="A74" s="46" t="s">
        <v>177</v>
      </c>
      <c r="B74" s="378"/>
      <c r="C74" s="194"/>
      <c r="D74" s="378"/>
      <c r="E74" s="378"/>
      <c r="F74" s="194"/>
      <c r="G74" s="378"/>
      <c r="H74" s="378"/>
      <c r="I74" s="378"/>
      <c r="J74" s="378"/>
      <c r="K74" s="378"/>
      <c r="L74" s="378"/>
      <c r="M74" s="378"/>
      <c r="N74" s="378"/>
      <c r="O74" s="378"/>
      <c r="P74" s="378"/>
      <c r="Q74" s="378"/>
      <c r="R74" s="46" t="s">
        <v>3</v>
      </c>
      <c r="AM74" s="54"/>
      <c r="AN74" s="54"/>
    </row>
    <row r="75" spans="1:45" x14ac:dyDescent="0.25">
      <c r="A75" s="218" t="str">
        <f>TIME</f>
        <v>6 Months Actual and 6 Months Projected with Riders</v>
      </c>
      <c r="B75" s="378"/>
      <c r="C75" s="194"/>
      <c r="D75" s="378"/>
      <c r="E75" s="378"/>
      <c r="F75" s="194"/>
      <c r="G75" s="378"/>
      <c r="H75" s="378"/>
      <c r="I75" s="378"/>
      <c r="J75" s="378"/>
      <c r="K75" s="378"/>
      <c r="M75" s="46"/>
      <c r="N75" s="378"/>
      <c r="O75" s="378"/>
      <c r="P75" s="378"/>
      <c r="Q75" s="378"/>
      <c r="R75" s="45" t="str">
        <f>WIT</f>
        <v>J. L. Kern</v>
      </c>
      <c r="AC75" s="54"/>
      <c r="AD75" s="54"/>
      <c r="AM75" s="53"/>
      <c r="AN75" s="53"/>
    </row>
    <row r="76" spans="1:45" x14ac:dyDescent="0.25">
      <c r="A76" s="44" t="s">
        <v>136</v>
      </c>
      <c r="B76" s="43"/>
      <c r="C76" s="297"/>
      <c r="D76" s="43"/>
      <c r="E76" s="43"/>
      <c r="F76" s="297"/>
      <c r="G76" s="43"/>
      <c r="H76" s="43"/>
      <c r="I76" s="43"/>
      <c r="J76" s="43"/>
      <c r="K76" s="43"/>
      <c r="L76" s="44"/>
      <c r="M76" s="44"/>
      <c r="N76" s="43"/>
      <c r="O76" s="43"/>
      <c r="P76" s="43"/>
      <c r="Q76" s="43"/>
      <c r="R76" s="44"/>
      <c r="AC76" s="54"/>
      <c r="AD76" s="54"/>
      <c r="AM76" s="53"/>
      <c r="AN76" s="53"/>
    </row>
    <row r="77" spans="1:45" x14ac:dyDescent="0.25">
      <c r="A77" s="72"/>
      <c r="B77" s="72"/>
      <c r="C77" s="298"/>
      <c r="D77" s="72"/>
      <c r="E77" s="72"/>
      <c r="F77" s="194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T77" s="210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154"/>
      <c r="AH77" s="55"/>
      <c r="AI77" s="55"/>
      <c r="AJ77" s="55"/>
      <c r="AK77" s="154"/>
      <c r="AL77" s="55"/>
      <c r="AM77" s="55"/>
      <c r="AN77" s="55"/>
      <c r="AO77" s="55"/>
      <c r="AP77" s="55"/>
    </row>
    <row r="78" spans="1:45" ht="18" customHeight="1" x14ac:dyDescent="0.25">
      <c r="A78" s="73"/>
      <c r="B78" s="73"/>
      <c r="C78" s="299"/>
      <c r="D78" s="73"/>
      <c r="E78" s="73"/>
      <c r="F78" s="299"/>
      <c r="G78" s="73"/>
      <c r="H78" s="73"/>
      <c r="I78" s="73"/>
      <c r="J78" s="73"/>
      <c r="K78" s="73"/>
      <c r="L78" s="74" t="s">
        <v>6</v>
      </c>
      <c r="M78" s="74"/>
      <c r="N78" s="74" t="s">
        <v>7</v>
      </c>
      <c r="O78" s="74"/>
      <c r="P78" s="73"/>
      <c r="Q78" s="73"/>
      <c r="R78" s="74" t="s">
        <v>6</v>
      </c>
      <c r="AC78" s="56"/>
      <c r="AD78" s="56"/>
      <c r="AE78" s="56"/>
      <c r="AF78" s="56"/>
      <c r="AG78" s="155"/>
      <c r="AH78" s="56"/>
      <c r="AI78" s="56"/>
      <c r="AJ78" s="56"/>
      <c r="AM78" s="56"/>
      <c r="AN78" s="56"/>
      <c r="AO78" s="56"/>
      <c r="AP78" s="56"/>
    </row>
    <row r="79" spans="1:45" x14ac:dyDescent="0.25">
      <c r="A79" s="378"/>
      <c r="B79" s="378"/>
      <c r="C79" s="194"/>
      <c r="D79" s="378"/>
      <c r="E79" s="378"/>
      <c r="F79" s="194"/>
      <c r="G79" s="378"/>
      <c r="H79" s="378"/>
      <c r="I79" s="378"/>
      <c r="J79" s="378"/>
      <c r="K79" s="378"/>
      <c r="L79" s="426" t="s">
        <v>12</v>
      </c>
      <c r="M79" s="426"/>
      <c r="N79" s="426" t="s">
        <v>13</v>
      </c>
      <c r="O79" s="426"/>
      <c r="P79" s="378"/>
      <c r="Q79" s="378"/>
      <c r="R79" s="426" t="s">
        <v>11</v>
      </c>
      <c r="AB79" s="56"/>
      <c r="AC79" s="56"/>
      <c r="AD79" s="56"/>
      <c r="AE79" s="56"/>
      <c r="AF79" s="56"/>
      <c r="AG79" s="155"/>
      <c r="AH79" s="56"/>
      <c r="AI79" s="56"/>
      <c r="AJ79" s="56"/>
      <c r="AM79" s="56"/>
      <c r="AN79" s="56"/>
      <c r="AO79" s="56"/>
      <c r="AP79" s="56"/>
    </row>
    <row r="80" spans="1:45" x14ac:dyDescent="0.25">
      <c r="A80" s="426" t="s">
        <v>17</v>
      </c>
      <c r="B80" s="378"/>
      <c r="C80" s="197" t="s">
        <v>18</v>
      </c>
      <c r="D80" s="426" t="s">
        <v>19</v>
      </c>
      <c r="E80" s="426"/>
      <c r="F80" s="197" t="s">
        <v>20</v>
      </c>
      <c r="G80" s="378"/>
      <c r="H80" s="378"/>
      <c r="I80" s="378"/>
      <c r="J80" s="426" t="s">
        <v>6</v>
      </c>
      <c r="K80" s="426"/>
      <c r="L80" s="426" t="s">
        <v>21</v>
      </c>
      <c r="M80" s="426"/>
      <c r="N80" s="426" t="s">
        <v>21</v>
      </c>
      <c r="O80" s="426"/>
      <c r="P80" s="426" t="s">
        <v>21</v>
      </c>
      <c r="Q80" s="426"/>
      <c r="R80" s="426" t="s">
        <v>9</v>
      </c>
      <c r="T80" s="210"/>
      <c r="U80" s="56"/>
      <c r="V80" s="56"/>
      <c r="AB80" s="56"/>
      <c r="AC80" s="56"/>
      <c r="AD80" s="56"/>
      <c r="AE80" s="56"/>
      <c r="AF80" s="56"/>
      <c r="AG80" s="155"/>
      <c r="AH80" s="56"/>
      <c r="AI80" s="56"/>
      <c r="AJ80" s="56"/>
      <c r="AK80" s="155"/>
      <c r="AL80" s="56"/>
      <c r="AM80" s="56"/>
      <c r="AN80" s="56"/>
      <c r="AO80" s="56"/>
      <c r="AP80" s="56"/>
    </row>
    <row r="81" spans="1:49" x14ac:dyDescent="0.25">
      <c r="A81" s="426" t="s">
        <v>24</v>
      </c>
      <c r="B81" s="378"/>
      <c r="C81" s="197" t="s">
        <v>25</v>
      </c>
      <c r="D81" s="426" t="s">
        <v>26</v>
      </c>
      <c r="E81" s="426"/>
      <c r="F81" s="197" t="s">
        <v>27</v>
      </c>
      <c r="G81" s="378"/>
      <c r="H81" s="426" t="s">
        <v>28</v>
      </c>
      <c r="I81" s="426"/>
      <c r="J81" s="70" t="s">
        <v>381</v>
      </c>
      <c r="K81" s="426"/>
      <c r="L81" s="426" t="s">
        <v>9</v>
      </c>
      <c r="M81" s="426"/>
      <c r="N81" s="426" t="s">
        <v>9</v>
      </c>
      <c r="O81" s="426"/>
      <c r="P81" s="426" t="s">
        <v>379</v>
      </c>
      <c r="Q81" s="426"/>
      <c r="R81" s="265" t="s">
        <v>30</v>
      </c>
      <c r="T81" s="210"/>
      <c r="U81" s="56"/>
      <c r="V81" s="56"/>
      <c r="AA81" s="56"/>
      <c r="AB81" s="56"/>
      <c r="AC81" s="56"/>
      <c r="AD81" s="56"/>
      <c r="AE81" s="56"/>
      <c r="AF81" s="56"/>
      <c r="AG81" s="155"/>
      <c r="AH81" s="56"/>
      <c r="AI81" s="56"/>
      <c r="AJ81" s="56"/>
      <c r="AK81" s="155"/>
      <c r="AL81" s="56"/>
      <c r="AM81" s="56"/>
      <c r="AN81" s="56"/>
      <c r="AO81" s="56"/>
      <c r="AP81" s="56"/>
    </row>
    <row r="82" spans="1:49" x14ac:dyDescent="0.25">
      <c r="A82" s="378"/>
      <c r="B82" s="378"/>
      <c r="C82" s="512" t="s">
        <v>35</v>
      </c>
      <c r="D82" s="265" t="s">
        <v>36</v>
      </c>
      <c r="E82" s="265"/>
      <c r="F82" s="512" t="s">
        <v>37</v>
      </c>
      <c r="G82" s="218"/>
      <c r="H82" s="265" t="s">
        <v>38</v>
      </c>
      <c r="I82" s="265"/>
      <c r="J82" s="265" t="s">
        <v>39</v>
      </c>
      <c r="K82" s="265"/>
      <c r="L82" s="265" t="s">
        <v>40</v>
      </c>
      <c r="M82" s="265"/>
      <c r="N82" s="265" t="s">
        <v>41</v>
      </c>
      <c r="O82" s="265"/>
      <c r="P82" s="265" t="s">
        <v>42</v>
      </c>
      <c r="Q82" s="265"/>
      <c r="R82" s="265" t="s">
        <v>43</v>
      </c>
      <c r="T82" s="210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154"/>
      <c r="AH82" s="55"/>
      <c r="AI82" s="55"/>
      <c r="AJ82" s="55"/>
      <c r="AK82" s="154"/>
      <c r="AL82" s="55"/>
      <c r="AM82" s="55"/>
      <c r="AN82" s="55"/>
      <c r="AO82" s="55"/>
      <c r="AP82" s="55"/>
    </row>
    <row r="83" spans="1:49" ht="17.100000000000001" customHeight="1" x14ac:dyDescent="0.25">
      <c r="A83" s="73"/>
      <c r="B83" s="73"/>
      <c r="C83" s="299"/>
      <c r="D83" s="73"/>
      <c r="E83" s="73"/>
      <c r="F83" s="299"/>
      <c r="G83" s="73"/>
      <c r="H83" s="496" t="s">
        <v>51</v>
      </c>
      <c r="I83" s="496"/>
      <c r="J83" s="495" t="s">
        <v>71</v>
      </c>
      <c r="K83" s="496"/>
      <c r="L83" s="496" t="s">
        <v>52</v>
      </c>
      <c r="M83" s="496"/>
      <c r="N83" s="496" t="s">
        <v>53</v>
      </c>
      <c r="O83" s="496"/>
      <c r="P83" s="496" t="s">
        <v>52</v>
      </c>
      <c r="Q83" s="496"/>
      <c r="R83" s="496" t="s">
        <v>52</v>
      </c>
      <c r="AA83" s="56"/>
      <c r="AB83" s="56"/>
      <c r="AC83" s="56"/>
      <c r="AD83" s="56"/>
      <c r="AE83" s="56"/>
      <c r="AF83" s="56"/>
      <c r="AG83" s="155"/>
      <c r="AH83" s="56"/>
      <c r="AI83" s="56"/>
      <c r="AJ83" s="56"/>
      <c r="AK83" s="155"/>
      <c r="AL83" s="56"/>
      <c r="AM83" s="56"/>
      <c r="AN83" s="56"/>
      <c r="AO83" s="56"/>
      <c r="AP83" s="56"/>
    </row>
    <row r="84" spans="1:49" x14ac:dyDescent="0.25">
      <c r="A84" s="366">
        <v>42</v>
      </c>
      <c r="B84" s="378"/>
      <c r="C84" s="520" t="s">
        <v>79</v>
      </c>
      <c r="D84" s="52" t="s">
        <v>303</v>
      </c>
      <c r="E84" s="46"/>
      <c r="F84" s="131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T84" s="210"/>
      <c r="U84" s="54"/>
    </row>
    <row r="85" spans="1:49" x14ac:dyDescent="0.25">
      <c r="A85" s="366">
        <v>43</v>
      </c>
      <c r="B85" s="378"/>
      <c r="C85" s="222" t="s">
        <v>568</v>
      </c>
      <c r="D85" s="52"/>
      <c r="E85" s="46"/>
      <c r="F85" s="131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T85" s="210"/>
      <c r="U85" s="54"/>
    </row>
    <row r="86" spans="1:49" x14ac:dyDescent="0.25">
      <c r="A86" s="366">
        <v>44</v>
      </c>
      <c r="B86" s="378"/>
      <c r="C86" s="520" t="s">
        <v>210</v>
      </c>
      <c r="D86" s="378"/>
      <c r="E86" s="378"/>
      <c r="F86" s="391"/>
      <c r="G86" s="131"/>
      <c r="H86" s="391"/>
      <c r="I86" s="86"/>
      <c r="J86" s="485"/>
      <c r="K86" s="485"/>
      <c r="L86" s="5"/>
      <c r="M86" s="5"/>
      <c r="N86" s="6"/>
      <c r="O86" s="6"/>
      <c r="P86" s="5"/>
      <c r="Q86" s="5"/>
      <c r="R86" s="5"/>
      <c r="S86" s="192"/>
      <c r="V86" s="221"/>
      <c r="AO86" s="209"/>
    </row>
    <row r="87" spans="1:49" x14ac:dyDescent="0.25">
      <c r="A87" s="366">
        <v>45</v>
      </c>
      <c r="B87" s="378"/>
      <c r="C87" s="195" t="s">
        <v>453</v>
      </c>
      <c r="D87" s="378"/>
      <c r="E87" s="378"/>
      <c r="F87" s="391">
        <v>0</v>
      </c>
      <c r="G87" s="131"/>
      <c r="H87" s="391">
        <f t="shared" ref="H87:H93" si="16">ROUND(F87*AC87/12,0)</f>
        <v>0</v>
      </c>
      <c r="I87" s="86"/>
      <c r="J87" s="223">
        <f>ROUND(AC307+(AC307*$AG$1),2)</f>
        <v>11.23</v>
      </c>
      <c r="K87" s="485"/>
      <c r="L87" s="5">
        <f t="shared" ref="L87:L93" si="17">ROUND((F87*J87),0)</f>
        <v>0</v>
      </c>
      <c r="M87" s="5"/>
      <c r="N87" s="6">
        <f t="shared" ref="N87:N94" si="18">ROUND((L87/L$209)*100,1)</f>
        <v>0</v>
      </c>
      <c r="O87" s="6"/>
      <c r="P87" s="5">
        <f t="shared" ref="P87:P93" si="19">ROUND($P$209/$H$209*H87,0)</f>
        <v>0</v>
      </c>
      <c r="Q87" s="5"/>
      <c r="R87" s="5">
        <f>L87+P87</f>
        <v>0</v>
      </c>
      <c r="S87" s="192"/>
      <c r="V87" s="221"/>
      <c r="Y87" s="514"/>
      <c r="AA87" s="391"/>
      <c r="AC87" s="380">
        <v>487</v>
      </c>
      <c r="AO87" s="209"/>
    </row>
    <row r="88" spans="1:49" x14ac:dyDescent="0.25">
      <c r="A88" s="366">
        <v>46</v>
      </c>
      <c r="B88" s="378"/>
      <c r="C88" s="195" t="s">
        <v>454</v>
      </c>
      <c r="D88" s="378"/>
      <c r="E88" s="378"/>
      <c r="F88" s="519">
        <v>12</v>
      </c>
      <c r="G88" s="131"/>
      <c r="H88" s="391">
        <f t="shared" si="16"/>
        <v>1023</v>
      </c>
      <c r="I88" s="86"/>
      <c r="J88" s="223">
        <f>ROUND(AC308+(AC308*$AG$1),2)</f>
        <v>13.88</v>
      </c>
      <c r="K88" s="485"/>
      <c r="L88" s="5">
        <f t="shared" si="17"/>
        <v>167</v>
      </c>
      <c r="M88" s="5"/>
      <c r="N88" s="6">
        <f t="shared" si="18"/>
        <v>0</v>
      </c>
      <c r="O88" s="6"/>
      <c r="P88" s="5">
        <f t="shared" si="19"/>
        <v>1</v>
      </c>
      <c r="Q88" s="5"/>
      <c r="R88" s="5">
        <f t="shared" ref="R88:R93" si="20">L88+P88</f>
        <v>168</v>
      </c>
      <c r="S88" s="192"/>
      <c r="V88" s="221"/>
      <c r="Y88" s="514"/>
      <c r="AA88" s="398"/>
      <c r="AC88" s="380">
        <v>1023</v>
      </c>
      <c r="AO88" s="209"/>
    </row>
    <row r="89" spans="1:49" x14ac:dyDescent="0.25">
      <c r="A89" s="367">
        <v>47</v>
      </c>
      <c r="B89" s="378"/>
      <c r="C89" s="195" t="s">
        <v>455</v>
      </c>
      <c r="D89" s="378"/>
      <c r="E89" s="378"/>
      <c r="F89" s="391">
        <v>132</v>
      </c>
      <c r="G89" s="131"/>
      <c r="H89" s="391">
        <f t="shared" si="16"/>
        <v>21549</v>
      </c>
      <c r="I89" s="86"/>
      <c r="J89" s="223">
        <f>ROUND(AC309+(AC309*$AG$1),2)</f>
        <v>18.36</v>
      </c>
      <c r="K89" s="485"/>
      <c r="L89" s="5">
        <f t="shared" si="17"/>
        <v>2424</v>
      </c>
      <c r="M89" s="5"/>
      <c r="N89" s="6">
        <f t="shared" si="18"/>
        <v>0.1</v>
      </c>
      <c r="O89" s="6"/>
      <c r="P89" s="5">
        <f t="shared" si="19"/>
        <v>15</v>
      </c>
      <c r="Q89" s="5"/>
      <c r="R89" s="5">
        <f t="shared" si="20"/>
        <v>2439</v>
      </c>
      <c r="S89" s="192"/>
      <c r="V89" s="221"/>
      <c r="Y89" s="514"/>
      <c r="AA89" s="391"/>
      <c r="AC89" s="380">
        <v>1959</v>
      </c>
      <c r="AO89" s="209"/>
    </row>
    <row r="90" spans="1:49" x14ac:dyDescent="0.25">
      <c r="A90" s="367">
        <v>48</v>
      </c>
      <c r="B90" s="378"/>
      <c r="C90" s="195" t="s">
        <v>456</v>
      </c>
      <c r="D90" s="378"/>
      <c r="E90" s="378"/>
      <c r="F90" s="391">
        <v>180</v>
      </c>
      <c r="G90" s="131"/>
      <c r="H90" s="391">
        <f t="shared" si="16"/>
        <v>29385</v>
      </c>
      <c r="I90" s="86"/>
      <c r="J90" s="223">
        <f>$J$89+$AG$7</f>
        <v>23.41</v>
      </c>
      <c r="K90" s="485"/>
      <c r="L90" s="5">
        <f t="shared" si="17"/>
        <v>4214</v>
      </c>
      <c r="M90" s="5"/>
      <c r="N90" s="6">
        <f t="shared" si="18"/>
        <v>0.2</v>
      </c>
      <c r="O90" s="6"/>
      <c r="P90" s="5">
        <f t="shared" si="19"/>
        <v>20</v>
      </c>
      <c r="Q90" s="5"/>
      <c r="R90" s="5">
        <f t="shared" si="20"/>
        <v>4234</v>
      </c>
      <c r="S90" s="192"/>
      <c r="V90" s="221"/>
      <c r="Y90" s="514"/>
      <c r="AA90" s="391"/>
      <c r="AC90" s="380">
        <v>1959</v>
      </c>
      <c r="AO90" s="209"/>
    </row>
    <row r="91" spans="1:49" x14ac:dyDescent="0.25">
      <c r="A91" s="367">
        <v>49</v>
      </c>
      <c r="B91" s="378"/>
      <c r="C91" s="195" t="s">
        <v>457</v>
      </c>
      <c r="D91" s="378"/>
      <c r="E91" s="378"/>
      <c r="F91" s="391">
        <v>0</v>
      </c>
      <c r="G91" s="131"/>
      <c r="H91" s="391">
        <f t="shared" si="16"/>
        <v>0</v>
      </c>
      <c r="I91" s="86"/>
      <c r="J91" s="223">
        <f>$J$89+$AG$8</f>
        <v>24.41</v>
      </c>
      <c r="K91" s="485"/>
      <c r="L91" s="5">
        <f t="shared" si="17"/>
        <v>0</v>
      </c>
      <c r="M91" s="5"/>
      <c r="N91" s="6">
        <f t="shared" si="18"/>
        <v>0</v>
      </c>
      <c r="O91" s="6"/>
      <c r="P91" s="5">
        <f t="shared" si="19"/>
        <v>0</v>
      </c>
      <c r="Q91" s="5"/>
      <c r="R91" s="5">
        <f t="shared" si="20"/>
        <v>0</v>
      </c>
      <c r="S91" s="192"/>
      <c r="V91" s="221"/>
      <c r="Y91" s="514"/>
      <c r="AA91" s="391"/>
      <c r="AC91" s="380">
        <v>1959</v>
      </c>
      <c r="AO91" s="209"/>
    </row>
    <row r="92" spans="1:49" x14ac:dyDescent="0.25">
      <c r="A92" s="367">
        <v>50</v>
      </c>
      <c r="B92" s="378"/>
      <c r="C92" s="195" t="s">
        <v>451</v>
      </c>
      <c r="D92" s="378"/>
      <c r="E92" s="378"/>
      <c r="F92" s="391">
        <v>216</v>
      </c>
      <c r="G92" s="131"/>
      <c r="H92" s="391">
        <f t="shared" si="16"/>
        <v>35262</v>
      </c>
      <c r="I92" s="86"/>
      <c r="J92" s="223">
        <f>ROUND(AC312+(AC312*$AG$1),2)</f>
        <v>27.29</v>
      </c>
      <c r="K92" s="485"/>
      <c r="L92" s="5">
        <f t="shared" si="17"/>
        <v>5895</v>
      </c>
      <c r="M92" s="83"/>
      <c r="N92" s="91">
        <f t="shared" si="18"/>
        <v>0.3</v>
      </c>
      <c r="O92" s="91"/>
      <c r="P92" s="83">
        <f t="shared" si="19"/>
        <v>24</v>
      </c>
      <c r="Q92" s="83"/>
      <c r="R92" s="83">
        <f t="shared" si="20"/>
        <v>5919</v>
      </c>
      <c r="S92" s="192"/>
      <c r="V92" s="221"/>
      <c r="Y92" s="514"/>
      <c r="AA92" s="391"/>
      <c r="AC92" s="380">
        <v>1959</v>
      </c>
      <c r="AO92" s="209"/>
    </row>
    <row r="93" spans="1:49" x14ac:dyDescent="0.25">
      <c r="A93" s="367">
        <v>51</v>
      </c>
      <c r="B93" s="378"/>
      <c r="C93" s="195" t="s">
        <v>452</v>
      </c>
      <c r="D93" s="378"/>
      <c r="E93" s="378"/>
      <c r="F93" s="391">
        <v>36</v>
      </c>
      <c r="G93" s="131"/>
      <c r="H93" s="391">
        <f t="shared" si="16"/>
        <v>5877</v>
      </c>
      <c r="I93" s="86"/>
      <c r="J93" s="223">
        <f>$J$92+$AG$8</f>
        <v>33.339999999999996</v>
      </c>
      <c r="K93" s="485"/>
      <c r="L93" s="5">
        <f t="shared" si="17"/>
        <v>1200</v>
      </c>
      <c r="M93" s="5"/>
      <c r="N93" s="88">
        <f t="shared" si="18"/>
        <v>0.1</v>
      </c>
      <c r="O93" s="6"/>
      <c r="P93" s="81">
        <f t="shared" si="19"/>
        <v>4</v>
      </c>
      <c r="Q93" s="5"/>
      <c r="R93" s="5">
        <f t="shared" si="20"/>
        <v>1204</v>
      </c>
      <c r="S93" s="192"/>
      <c r="V93" s="221"/>
      <c r="Y93" s="514"/>
      <c r="AA93" s="391"/>
      <c r="AC93" s="380">
        <v>1959</v>
      </c>
      <c r="AO93" s="209"/>
    </row>
    <row r="94" spans="1:49" ht="20.100000000000001" customHeight="1" x14ac:dyDescent="0.25">
      <c r="A94" s="367">
        <v>52</v>
      </c>
      <c r="B94" s="378"/>
      <c r="C94" s="518" t="s">
        <v>302</v>
      </c>
      <c r="D94" s="378"/>
      <c r="E94" s="378"/>
      <c r="F94" s="316">
        <f>SUM(F21:F93)</f>
        <v>117325</v>
      </c>
      <c r="G94" s="2"/>
      <c r="H94" s="90">
        <f>SUM(H21:H93)</f>
        <v>9303616</v>
      </c>
      <c r="I94" s="5"/>
      <c r="J94" s="7"/>
      <c r="K94" s="7"/>
      <c r="L94" s="90">
        <f>SUM(L21:L93)</f>
        <v>1173240</v>
      </c>
      <c r="M94" s="5"/>
      <c r="N94" s="93">
        <f t="shared" si="18"/>
        <v>69.099999999999994</v>
      </c>
      <c r="O94" s="8"/>
      <c r="P94" s="482">
        <f>ROUND(H94*CUR_FAC,0)</f>
        <v>6336</v>
      </c>
      <c r="Q94" s="5"/>
      <c r="R94" s="90">
        <f>SUM(R21:R93)</f>
        <v>1179577</v>
      </c>
      <c r="AA94" s="90"/>
      <c r="AE94" s="56"/>
      <c r="AF94" s="56"/>
      <c r="AG94" s="155"/>
      <c r="AH94" s="56"/>
      <c r="AI94" s="56"/>
      <c r="AJ94" s="56"/>
      <c r="AK94" s="155"/>
      <c r="AL94" s="56"/>
      <c r="AM94" s="56"/>
      <c r="AN94" s="56"/>
      <c r="AQ94" s="162"/>
      <c r="AR94" s="56"/>
      <c r="AS94" s="56"/>
    </row>
    <row r="95" spans="1:49" x14ac:dyDescent="0.25">
      <c r="A95" s="366"/>
      <c r="B95" s="378"/>
      <c r="C95" s="520"/>
      <c r="D95" s="52"/>
      <c r="E95" s="46"/>
      <c r="F95" s="131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T95" s="210"/>
      <c r="U95" s="54"/>
      <c r="AA95" s="2"/>
    </row>
    <row r="96" spans="1:49" x14ac:dyDescent="0.25">
      <c r="A96" s="366">
        <v>53</v>
      </c>
      <c r="B96" s="378"/>
      <c r="C96" s="520" t="s">
        <v>82</v>
      </c>
      <c r="D96" s="378"/>
      <c r="E96" s="378"/>
      <c r="F96" s="131"/>
      <c r="G96" s="2"/>
      <c r="H96" s="2"/>
      <c r="I96" s="2"/>
      <c r="J96" s="7"/>
      <c r="K96" s="7"/>
      <c r="L96" s="2"/>
      <c r="M96" s="2"/>
      <c r="N96" s="2"/>
      <c r="O96" s="2"/>
      <c r="P96" s="2"/>
      <c r="Q96" s="2"/>
      <c r="R96" s="2"/>
      <c r="V96" s="56"/>
      <c r="W96" s="56"/>
      <c r="X96" s="56"/>
      <c r="Y96" s="56"/>
      <c r="Z96" s="56"/>
      <c r="AA96" s="2"/>
      <c r="AC96" s="56"/>
      <c r="AD96" s="56"/>
      <c r="AE96" s="56"/>
      <c r="AF96" s="56"/>
      <c r="AG96" s="155"/>
      <c r="AH96" s="56"/>
      <c r="AI96" s="56"/>
      <c r="AJ96" s="56"/>
      <c r="AK96" s="155"/>
      <c r="AL96" s="56"/>
      <c r="AM96" s="56"/>
      <c r="AN96" s="56"/>
      <c r="AO96" s="56"/>
      <c r="AP96" s="56"/>
      <c r="AQ96" s="162"/>
      <c r="AR96" s="56"/>
      <c r="AS96" s="56"/>
      <c r="AU96" s="379"/>
      <c r="AV96" s="379"/>
      <c r="AW96" s="50"/>
    </row>
    <row r="97" spans="1:49" x14ac:dyDescent="0.25">
      <c r="A97" s="366">
        <v>54</v>
      </c>
      <c r="B97" s="378"/>
      <c r="C97" s="518" t="s">
        <v>211</v>
      </c>
      <c r="D97" s="378"/>
      <c r="E97" s="378"/>
      <c r="F97" s="131"/>
      <c r="G97" s="2"/>
      <c r="H97" s="2"/>
      <c r="I97" s="2"/>
      <c r="J97" s="7"/>
      <c r="K97" s="7"/>
      <c r="L97" s="2"/>
      <c r="M97" s="2"/>
      <c r="N97" s="2"/>
      <c r="O97" s="2"/>
      <c r="P97" s="2"/>
      <c r="Q97" s="2"/>
      <c r="R97" s="2"/>
      <c r="AA97" s="2"/>
      <c r="AC97" s="56"/>
      <c r="AD97" s="56"/>
      <c r="AE97" s="56"/>
      <c r="AF97" s="56"/>
      <c r="AG97" s="155"/>
      <c r="AH97" s="56"/>
      <c r="AI97" s="56"/>
      <c r="AJ97" s="56"/>
      <c r="AK97" s="155"/>
      <c r="AL97" s="56"/>
      <c r="AM97" s="56"/>
      <c r="AN97" s="56"/>
      <c r="AO97" s="56"/>
      <c r="AP97" s="56"/>
      <c r="AQ97" s="162"/>
      <c r="AR97" s="56"/>
      <c r="AS97" s="56"/>
      <c r="AU97" s="379"/>
      <c r="AV97" s="379"/>
      <c r="AW97" s="476"/>
    </row>
    <row r="98" spans="1:49" x14ac:dyDescent="0.25">
      <c r="A98" s="366">
        <v>55</v>
      </c>
      <c r="B98" s="378"/>
      <c r="C98" s="195" t="s">
        <v>217</v>
      </c>
      <c r="D98" s="378"/>
      <c r="E98" s="378"/>
      <c r="F98" s="391">
        <v>60</v>
      </c>
      <c r="G98" s="131"/>
      <c r="H98" s="391">
        <f t="shared" ref="H98:H107" si="21">ROUND(F98*AC98/12,0)</f>
        <v>4370</v>
      </c>
      <c r="I98" s="86"/>
      <c r="J98" s="223">
        <f>ROUND(AC318+(AC318*$AG$1),2)</f>
        <v>8.31</v>
      </c>
      <c r="K98" s="485"/>
      <c r="L98" s="5">
        <f t="shared" ref="L98:L139" si="22">ROUND((F98*J98),0)</f>
        <v>499</v>
      </c>
      <c r="M98" s="5"/>
      <c r="N98" s="6">
        <f t="shared" ref="N98:N107" si="23">ROUND((L98/L$209)*100,1)</f>
        <v>0</v>
      </c>
      <c r="O98" s="6"/>
      <c r="P98" s="5">
        <f>ROUND($P$209/$H$209*H98,0)+1</f>
        <v>4</v>
      </c>
      <c r="Q98" s="5"/>
      <c r="R98" s="5">
        <f t="shared" ref="R98:R107" si="24">L98+P98</f>
        <v>503</v>
      </c>
      <c r="S98" s="84"/>
      <c r="T98" s="53"/>
      <c r="V98" s="413"/>
      <c r="W98" s="54"/>
      <c r="X98" s="54"/>
      <c r="Y98" s="514"/>
      <c r="Z98" s="54"/>
      <c r="AA98" s="391"/>
      <c r="AC98" s="380">
        <v>874</v>
      </c>
      <c r="AU98" s="379"/>
      <c r="AV98" s="379"/>
      <c r="AW98" s="50"/>
    </row>
    <row r="99" spans="1:49" x14ac:dyDescent="0.25">
      <c r="A99" s="366">
        <v>56</v>
      </c>
      <c r="B99" s="378"/>
      <c r="C99" s="195" t="s">
        <v>216</v>
      </c>
      <c r="D99" s="378"/>
      <c r="E99" s="378"/>
      <c r="F99" s="391">
        <v>0</v>
      </c>
      <c r="G99" s="131"/>
      <c r="H99" s="391">
        <f t="shared" si="21"/>
        <v>0</v>
      </c>
      <c r="I99" s="86"/>
      <c r="J99" s="223">
        <f>ROUND(AC319+(AC319*$AG$1),2)</f>
        <v>6.81</v>
      </c>
      <c r="K99" s="485"/>
      <c r="L99" s="5">
        <f t="shared" si="22"/>
        <v>0</v>
      </c>
      <c r="M99" s="5"/>
      <c r="N99" s="6">
        <f t="shared" si="23"/>
        <v>0</v>
      </c>
      <c r="O99" s="6"/>
      <c r="P99" s="5">
        <f t="shared" ref="P99:P107" si="25">ROUND($P$209/$H$209*H99,0)</f>
        <v>0</v>
      </c>
      <c r="Q99" s="5"/>
      <c r="R99" s="5">
        <f t="shared" ref="R99" si="26">L99+P99</f>
        <v>0</v>
      </c>
      <c r="S99" s="84"/>
      <c r="T99" s="53"/>
      <c r="V99" s="413"/>
      <c r="W99" s="54"/>
      <c r="X99" s="54"/>
      <c r="Y99" s="514"/>
      <c r="Z99" s="54"/>
      <c r="AA99" s="391"/>
      <c r="AC99" s="380">
        <v>853</v>
      </c>
      <c r="AU99" s="379"/>
      <c r="AV99" s="379"/>
      <c r="AW99" s="50"/>
    </row>
    <row r="100" spans="1:49" x14ac:dyDescent="0.25">
      <c r="A100" s="367">
        <v>57</v>
      </c>
      <c r="B100" s="378"/>
      <c r="C100" s="195" t="s">
        <v>225</v>
      </c>
      <c r="D100" s="378"/>
      <c r="E100" s="378"/>
      <c r="F100" s="391">
        <v>566</v>
      </c>
      <c r="G100" s="131"/>
      <c r="H100" s="391">
        <f t="shared" si="21"/>
        <v>41224</v>
      </c>
      <c r="I100" s="86"/>
      <c r="J100" s="223">
        <f>$J$98+$AG$6</f>
        <v>13.290000000000001</v>
      </c>
      <c r="K100" s="485"/>
      <c r="L100" s="5">
        <f t="shared" si="22"/>
        <v>7522</v>
      </c>
      <c r="M100" s="5"/>
      <c r="N100" s="6">
        <f t="shared" si="23"/>
        <v>0.4</v>
      </c>
      <c r="O100" s="6"/>
      <c r="P100" s="5">
        <f t="shared" si="25"/>
        <v>28</v>
      </c>
      <c r="Q100" s="5"/>
      <c r="R100" s="5">
        <f t="shared" si="24"/>
        <v>7550</v>
      </c>
      <c r="S100" s="84"/>
      <c r="T100" s="53"/>
      <c r="V100" s="413"/>
      <c r="W100" s="54"/>
      <c r="X100" s="54"/>
      <c r="Y100" s="514"/>
      <c r="Z100" s="54"/>
      <c r="AA100" s="391"/>
      <c r="AC100" s="380">
        <v>874</v>
      </c>
      <c r="AU100" s="379"/>
      <c r="AV100" s="379"/>
      <c r="AW100" s="50"/>
    </row>
    <row r="101" spans="1:49" x14ac:dyDescent="0.25">
      <c r="A101" s="367">
        <v>58</v>
      </c>
      <c r="B101" s="378"/>
      <c r="C101" s="195" t="s">
        <v>282</v>
      </c>
      <c r="D101" s="378"/>
      <c r="E101" s="378"/>
      <c r="F101" s="391">
        <v>4</v>
      </c>
      <c r="G101" s="131"/>
      <c r="H101" s="391">
        <f t="shared" si="21"/>
        <v>291</v>
      </c>
      <c r="I101" s="86"/>
      <c r="J101" s="223">
        <f>$J$98+$AG$7</f>
        <v>13.36</v>
      </c>
      <c r="K101" s="485"/>
      <c r="L101" s="5">
        <f t="shared" si="22"/>
        <v>53</v>
      </c>
      <c r="M101" s="5"/>
      <c r="N101" s="6">
        <f t="shared" si="23"/>
        <v>0</v>
      </c>
      <c r="O101" s="6"/>
      <c r="P101" s="5">
        <f t="shared" si="25"/>
        <v>0</v>
      </c>
      <c r="Q101" s="5"/>
      <c r="R101" s="5">
        <f t="shared" si="24"/>
        <v>53</v>
      </c>
      <c r="S101" s="84"/>
      <c r="T101" s="53"/>
      <c r="V101" s="413"/>
      <c r="Y101" s="514"/>
      <c r="AA101" s="391"/>
      <c r="AC101" s="380">
        <v>874</v>
      </c>
      <c r="AE101" s="62"/>
      <c r="AF101" s="62"/>
      <c r="AG101" s="156"/>
      <c r="AH101" s="379"/>
      <c r="AQ101" s="162"/>
      <c r="AR101" s="379"/>
      <c r="AU101" s="379"/>
      <c r="AV101" s="379"/>
      <c r="AW101" s="50"/>
    </row>
    <row r="102" spans="1:49" x14ac:dyDescent="0.25">
      <c r="A102" s="366">
        <v>59</v>
      </c>
      <c r="B102" s="378"/>
      <c r="C102" s="195" t="s">
        <v>293</v>
      </c>
      <c r="D102" s="378"/>
      <c r="E102" s="378"/>
      <c r="F102" s="391">
        <v>348</v>
      </c>
      <c r="G102" s="131"/>
      <c r="H102" s="391">
        <f t="shared" si="21"/>
        <v>25346</v>
      </c>
      <c r="I102" s="86"/>
      <c r="J102" s="223">
        <f>$J$98+$AG$10</f>
        <v>16.27</v>
      </c>
      <c r="K102" s="485"/>
      <c r="L102" s="5">
        <f t="shared" si="22"/>
        <v>5662</v>
      </c>
      <c r="M102" s="5"/>
      <c r="N102" s="6">
        <f t="shared" si="23"/>
        <v>0.3</v>
      </c>
      <c r="O102" s="6"/>
      <c r="P102" s="5">
        <f t="shared" si="25"/>
        <v>17</v>
      </c>
      <c r="Q102" s="5"/>
      <c r="R102" s="5">
        <f t="shared" si="24"/>
        <v>5679</v>
      </c>
      <c r="S102" s="84"/>
      <c r="T102" s="53"/>
      <c r="V102" s="413"/>
      <c r="Y102" s="514"/>
      <c r="AA102" s="391"/>
      <c r="AC102" s="380">
        <v>874</v>
      </c>
      <c r="AD102" s="379"/>
      <c r="AE102" s="461"/>
      <c r="AF102" s="461"/>
      <c r="AG102" s="156"/>
      <c r="AH102" s="379"/>
      <c r="AI102" s="50"/>
      <c r="AJ102" s="50"/>
      <c r="AK102" s="156"/>
      <c r="AL102" s="379"/>
      <c r="AM102" s="60"/>
      <c r="AN102" s="60"/>
      <c r="AO102" s="379"/>
      <c r="AP102" s="379"/>
      <c r="AQ102" s="162"/>
      <c r="AR102" s="379"/>
      <c r="AS102" s="50"/>
      <c r="AT102" s="379"/>
      <c r="AU102" s="379"/>
      <c r="AV102" s="379"/>
      <c r="AW102" s="50"/>
    </row>
    <row r="103" spans="1:49" x14ac:dyDescent="0.25">
      <c r="A103" s="366">
        <v>60</v>
      </c>
      <c r="B103" s="378"/>
      <c r="C103" s="195" t="s">
        <v>226</v>
      </c>
      <c r="D103" s="378"/>
      <c r="E103" s="378"/>
      <c r="F103" s="391">
        <v>0</v>
      </c>
      <c r="G103" s="131"/>
      <c r="H103" s="391">
        <f t="shared" si="21"/>
        <v>0</v>
      </c>
      <c r="I103" s="86"/>
      <c r="J103" s="223">
        <f>ROUND(AC323+(AC323*$AG$1),2)</f>
        <v>9.59</v>
      </c>
      <c r="K103" s="485"/>
      <c r="L103" s="5">
        <f t="shared" si="22"/>
        <v>0</v>
      </c>
      <c r="M103" s="5"/>
      <c r="N103" s="6">
        <f t="shared" si="23"/>
        <v>0</v>
      </c>
      <c r="O103" s="6"/>
      <c r="P103" s="5">
        <f t="shared" si="25"/>
        <v>0</v>
      </c>
      <c r="Q103" s="5"/>
      <c r="R103" s="5">
        <f t="shared" si="24"/>
        <v>0</v>
      </c>
      <c r="S103" s="84"/>
      <c r="T103" s="53"/>
      <c r="V103" s="413"/>
      <c r="W103" s="54"/>
      <c r="X103" s="54"/>
      <c r="Y103" s="514"/>
      <c r="Z103" s="54"/>
      <c r="AA103" s="391"/>
      <c r="AC103" s="380">
        <v>1215</v>
      </c>
      <c r="AU103" s="379"/>
      <c r="AV103" s="379"/>
      <c r="AW103" s="50"/>
    </row>
    <row r="104" spans="1:49" x14ac:dyDescent="0.25">
      <c r="A104" s="366">
        <v>61</v>
      </c>
      <c r="B104" s="378"/>
      <c r="C104" s="195" t="s">
        <v>294</v>
      </c>
      <c r="D104" s="378"/>
      <c r="E104" s="378"/>
      <c r="F104" s="391">
        <v>84</v>
      </c>
      <c r="G104" s="131"/>
      <c r="H104" s="391">
        <f t="shared" si="21"/>
        <v>8505</v>
      </c>
      <c r="I104" s="86"/>
      <c r="J104" s="223">
        <f>$J$103+$AG$6</f>
        <v>14.57</v>
      </c>
      <c r="K104" s="485"/>
      <c r="L104" s="5">
        <f t="shared" si="22"/>
        <v>1224</v>
      </c>
      <c r="M104" s="5"/>
      <c r="N104" s="6">
        <f t="shared" si="23"/>
        <v>0.1</v>
      </c>
      <c r="O104" s="6"/>
      <c r="P104" s="5">
        <f t="shared" si="25"/>
        <v>6</v>
      </c>
      <c r="Q104" s="5"/>
      <c r="R104" s="5">
        <f t="shared" si="24"/>
        <v>1230</v>
      </c>
      <c r="S104" s="84"/>
      <c r="V104" s="413"/>
      <c r="Y104" s="514"/>
      <c r="AA104" s="391"/>
      <c r="AC104" s="380">
        <v>1215</v>
      </c>
      <c r="AQ104" s="162"/>
      <c r="AR104" s="379"/>
      <c r="AT104" s="53"/>
      <c r="AU104" s="379"/>
      <c r="AV104" s="379"/>
      <c r="AW104" s="50"/>
    </row>
    <row r="105" spans="1:49" x14ac:dyDescent="0.25">
      <c r="A105" s="366">
        <v>62</v>
      </c>
      <c r="B105" s="378"/>
      <c r="C105" s="195" t="s">
        <v>295</v>
      </c>
      <c r="D105" s="378"/>
      <c r="E105" s="378"/>
      <c r="F105" s="391">
        <v>156</v>
      </c>
      <c r="G105" s="131"/>
      <c r="H105" s="391">
        <f t="shared" si="21"/>
        <v>15795</v>
      </c>
      <c r="I105" s="86"/>
      <c r="J105" s="223">
        <f>$J$103+$AG$10</f>
        <v>17.55</v>
      </c>
      <c r="K105" s="485"/>
      <c r="L105" s="5">
        <f t="shared" si="22"/>
        <v>2738</v>
      </c>
      <c r="M105" s="5"/>
      <c r="N105" s="6">
        <f t="shared" si="23"/>
        <v>0.2</v>
      </c>
      <c r="O105" s="6"/>
      <c r="P105" s="5">
        <f t="shared" si="25"/>
        <v>11</v>
      </c>
      <c r="Q105" s="5"/>
      <c r="R105" s="5">
        <f t="shared" si="24"/>
        <v>2749</v>
      </c>
      <c r="S105" s="84"/>
      <c r="T105" s="211"/>
      <c r="U105" s="57"/>
      <c r="V105" s="413"/>
      <c r="W105" s="57"/>
      <c r="X105" s="57"/>
      <c r="Y105" s="514"/>
      <c r="Z105" s="57"/>
      <c r="AA105" s="391"/>
      <c r="AB105" s="57"/>
      <c r="AC105" s="380">
        <v>1215</v>
      </c>
      <c r="AD105" s="57"/>
      <c r="AE105" s="58"/>
      <c r="AF105" s="58"/>
      <c r="AG105" s="158"/>
      <c r="AH105" s="57"/>
      <c r="AI105" s="57"/>
      <c r="AJ105" s="57"/>
      <c r="AK105" s="158"/>
      <c r="AL105" s="57"/>
      <c r="AM105" s="57"/>
      <c r="AT105" s="379"/>
      <c r="AU105" s="379"/>
      <c r="AV105" s="379"/>
      <c r="AW105" s="50"/>
    </row>
    <row r="106" spans="1:49" x14ac:dyDescent="0.25">
      <c r="A106" s="367">
        <v>63</v>
      </c>
      <c r="B106" s="378"/>
      <c r="C106" s="195" t="s">
        <v>95</v>
      </c>
      <c r="D106" s="378"/>
      <c r="E106" s="378"/>
      <c r="F106" s="391">
        <v>96</v>
      </c>
      <c r="G106" s="131"/>
      <c r="H106" s="391">
        <f t="shared" si="21"/>
        <v>15312</v>
      </c>
      <c r="I106" s="86"/>
      <c r="J106" s="223">
        <f>ROUND(AC326+(AC326*$AG$1),2)</f>
        <v>12.91</v>
      </c>
      <c r="K106" s="485"/>
      <c r="L106" s="5">
        <f t="shared" si="22"/>
        <v>1239</v>
      </c>
      <c r="M106" s="5"/>
      <c r="N106" s="6">
        <f t="shared" si="23"/>
        <v>0.1</v>
      </c>
      <c r="O106" s="6"/>
      <c r="P106" s="5">
        <f t="shared" si="25"/>
        <v>10</v>
      </c>
      <c r="Q106" s="5"/>
      <c r="R106" s="5">
        <f t="shared" si="24"/>
        <v>1249</v>
      </c>
      <c r="S106" s="84"/>
      <c r="V106" s="413"/>
      <c r="Y106" s="514"/>
      <c r="AA106" s="391"/>
      <c r="AC106" s="380">
        <v>1914</v>
      </c>
      <c r="AU106" s="379"/>
      <c r="AV106" s="379"/>
      <c r="AW106" s="50"/>
    </row>
    <row r="107" spans="1:49" x14ac:dyDescent="0.25">
      <c r="A107" s="367">
        <v>64</v>
      </c>
      <c r="B107" s="378"/>
      <c r="C107" s="195" t="s">
        <v>296</v>
      </c>
      <c r="D107" s="378"/>
      <c r="E107" s="378"/>
      <c r="F107" s="391">
        <v>132</v>
      </c>
      <c r="G107" s="131"/>
      <c r="H107" s="391">
        <f t="shared" si="21"/>
        <v>21054</v>
      </c>
      <c r="I107" s="86"/>
      <c r="J107" s="223">
        <f>$J$106+$AG$10</f>
        <v>20.87</v>
      </c>
      <c r="K107" s="485"/>
      <c r="L107" s="5">
        <f t="shared" si="22"/>
        <v>2755</v>
      </c>
      <c r="M107" s="5"/>
      <c r="N107" s="6">
        <f t="shared" si="23"/>
        <v>0.2</v>
      </c>
      <c r="O107" s="6"/>
      <c r="P107" s="5">
        <f t="shared" si="25"/>
        <v>14</v>
      </c>
      <c r="Q107" s="5"/>
      <c r="R107" s="5">
        <f t="shared" si="24"/>
        <v>2769</v>
      </c>
      <c r="S107" s="84"/>
      <c r="V107" s="413"/>
      <c r="Y107" s="514"/>
      <c r="AA107" s="391"/>
      <c r="AC107" s="380">
        <v>1914</v>
      </c>
      <c r="AU107" s="379"/>
      <c r="AV107" s="379"/>
      <c r="AW107" s="50"/>
    </row>
    <row r="108" spans="1:49" x14ac:dyDescent="0.25">
      <c r="A108" s="367">
        <v>65</v>
      </c>
      <c r="B108" s="378"/>
      <c r="C108" s="520" t="s">
        <v>305</v>
      </c>
      <c r="D108" s="378"/>
      <c r="E108" s="378"/>
      <c r="F108" s="391"/>
      <c r="G108" s="131"/>
      <c r="H108" s="189"/>
      <c r="I108" s="86"/>
      <c r="J108" s="485"/>
      <c r="K108" s="485"/>
      <c r="L108" s="5"/>
      <c r="M108" s="5"/>
      <c r="N108" s="6"/>
      <c r="O108" s="6"/>
      <c r="P108" s="5"/>
      <c r="Q108" s="5"/>
      <c r="R108" s="5"/>
      <c r="V108" s="413"/>
      <c r="Y108" s="514"/>
      <c r="AA108" s="189"/>
      <c r="AU108" s="379"/>
      <c r="AV108" s="379"/>
      <c r="AW108" s="50"/>
    </row>
    <row r="109" spans="1:49" x14ac:dyDescent="0.25">
      <c r="A109" s="367">
        <v>66</v>
      </c>
      <c r="B109" s="378"/>
      <c r="C109" s="196" t="s">
        <v>308</v>
      </c>
      <c r="D109" s="378"/>
      <c r="E109" s="378"/>
      <c r="F109" s="391">
        <v>0</v>
      </c>
      <c r="G109" s="131"/>
      <c r="H109" s="391">
        <f t="shared" ref="H109:H111" si="27">ROUND(F109*AC109/12,0)</f>
        <v>0</v>
      </c>
      <c r="I109" s="86"/>
      <c r="J109" s="223">
        <f>ROUND(AC329+(AC329*$AG$1),2)</f>
        <v>8.31</v>
      </c>
      <c r="K109" s="485"/>
      <c r="L109" s="5">
        <f t="shared" si="22"/>
        <v>0</v>
      </c>
      <c r="M109" s="5"/>
      <c r="N109" s="6">
        <f>ROUND((L109/L$209)*100,1)</f>
        <v>0</v>
      </c>
      <c r="O109" s="6"/>
      <c r="P109" s="5">
        <f>ROUND($P$209/$H$209*H109,0)</f>
        <v>0</v>
      </c>
      <c r="Q109" s="5"/>
      <c r="R109" s="5">
        <f>L109+P109</f>
        <v>0</v>
      </c>
      <c r="S109" s="84"/>
      <c r="V109" s="413"/>
      <c r="Y109" s="514"/>
      <c r="AA109" s="391"/>
      <c r="AC109" s="380">
        <v>874</v>
      </c>
      <c r="AU109" s="379"/>
      <c r="AV109" s="379"/>
      <c r="AW109" s="50"/>
    </row>
    <row r="110" spans="1:49" x14ac:dyDescent="0.25">
      <c r="A110" s="367">
        <v>67</v>
      </c>
      <c r="B110" s="378"/>
      <c r="C110" s="196" t="s">
        <v>309</v>
      </c>
      <c r="D110" s="378"/>
      <c r="E110" s="378"/>
      <c r="F110" s="391">
        <v>0</v>
      </c>
      <c r="G110" s="131"/>
      <c r="H110" s="391">
        <f t="shared" si="27"/>
        <v>0</v>
      </c>
      <c r="I110" s="86"/>
      <c r="J110" s="223">
        <f>ROUND(AC330+(AC330*$AG$1),2)</f>
        <v>9.59</v>
      </c>
      <c r="K110" s="485"/>
      <c r="L110" s="5">
        <f t="shared" si="22"/>
        <v>0</v>
      </c>
      <c r="M110" s="5"/>
      <c r="N110" s="6">
        <f>ROUND((L110/L$209)*100,1)</f>
        <v>0</v>
      </c>
      <c r="O110" s="6"/>
      <c r="P110" s="5">
        <f>ROUND($P$209/$H$209*H110,0)</f>
        <v>0</v>
      </c>
      <c r="Q110" s="5"/>
      <c r="R110" s="5">
        <f>L110+P110</f>
        <v>0</v>
      </c>
      <c r="S110" s="84"/>
      <c r="V110" s="413"/>
      <c r="Y110" s="514"/>
      <c r="AA110" s="391"/>
      <c r="AC110" s="380">
        <v>1215</v>
      </c>
      <c r="AU110" s="379"/>
      <c r="AV110" s="379"/>
      <c r="AW110" s="50"/>
    </row>
    <row r="111" spans="1:49" x14ac:dyDescent="0.25">
      <c r="A111" s="367">
        <v>68</v>
      </c>
      <c r="B111" s="378"/>
      <c r="C111" s="196" t="s">
        <v>307</v>
      </c>
      <c r="D111" s="378"/>
      <c r="E111" s="378"/>
      <c r="F111" s="391">
        <v>0</v>
      </c>
      <c r="G111" s="131"/>
      <c r="H111" s="391">
        <f t="shared" si="27"/>
        <v>0</v>
      </c>
      <c r="I111" s="86"/>
      <c r="J111" s="223">
        <f>ROUND(AC331+(AC331*$AG$1),2)</f>
        <v>12.91</v>
      </c>
      <c r="K111" s="485"/>
      <c r="L111" s="5">
        <f t="shared" si="22"/>
        <v>0</v>
      </c>
      <c r="M111" s="5"/>
      <c r="N111" s="6">
        <f>ROUND((L111/L$209)*100,1)</f>
        <v>0</v>
      </c>
      <c r="O111" s="6"/>
      <c r="P111" s="5">
        <f>ROUND($P$209/$H$209*H111,0)</f>
        <v>0</v>
      </c>
      <c r="Q111" s="5"/>
      <c r="R111" s="5">
        <f>L111+P111</f>
        <v>0</v>
      </c>
      <c r="S111" s="84"/>
      <c r="V111" s="413"/>
      <c r="Y111" s="514"/>
      <c r="AA111" s="391"/>
      <c r="AC111" s="380">
        <v>1914</v>
      </c>
      <c r="AU111" s="379"/>
      <c r="AV111" s="379"/>
      <c r="AW111" s="50"/>
    </row>
    <row r="112" spans="1:49" x14ac:dyDescent="0.25">
      <c r="A112" s="367">
        <v>69</v>
      </c>
      <c r="B112" s="378"/>
      <c r="C112" s="518" t="s">
        <v>209</v>
      </c>
      <c r="D112" s="378"/>
      <c r="E112" s="378"/>
      <c r="F112" s="194"/>
      <c r="G112" s="131"/>
      <c r="H112" s="131"/>
      <c r="I112" s="2"/>
      <c r="J112" s="7"/>
      <c r="K112" s="7"/>
      <c r="L112" s="5">
        <f t="shared" si="22"/>
        <v>0</v>
      </c>
      <c r="M112" s="2"/>
      <c r="N112" s="2"/>
      <c r="O112" s="2"/>
      <c r="P112" s="2"/>
      <c r="Q112" s="2"/>
      <c r="R112" s="2"/>
      <c r="V112" s="413"/>
      <c r="Y112" s="514"/>
      <c r="AA112" s="131"/>
    </row>
    <row r="113" spans="1:29" x14ac:dyDescent="0.25">
      <c r="A113" s="367">
        <v>70</v>
      </c>
      <c r="B113" s="378"/>
      <c r="C113" s="195" t="s">
        <v>464</v>
      </c>
      <c r="D113" s="378"/>
      <c r="E113" s="378"/>
      <c r="F113" s="391">
        <v>0</v>
      </c>
      <c r="G113" s="131"/>
      <c r="H113" s="391">
        <f t="shared" ref="H113:H129" si="28">ROUND(F113*AC113/12,0)</f>
        <v>0</v>
      </c>
      <c r="I113" s="86"/>
      <c r="J113" s="223">
        <f>ROUND(AC333+(AC333*$AG$1),2)</f>
        <v>9.0299999999999994</v>
      </c>
      <c r="K113" s="485"/>
      <c r="L113" s="5">
        <f t="shared" si="22"/>
        <v>0</v>
      </c>
      <c r="M113" s="5"/>
      <c r="N113" s="6">
        <f t="shared" ref="N113:N129" si="29">ROUND((L113/L$209)*100,1)</f>
        <v>0</v>
      </c>
      <c r="O113" s="6"/>
      <c r="P113" s="5">
        <f t="shared" ref="P113:P125" si="30">ROUND($P$209/$H$209*H113,0)</f>
        <v>0</v>
      </c>
      <c r="Q113" s="5"/>
      <c r="R113" s="5">
        <f t="shared" ref="R113:R114" si="31">L113+P113</f>
        <v>0</v>
      </c>
      <c r="S113" s="84"/>
      <c r="V113" s="413"/>
      <c r="Y113" s="514"/>
      <c r="AA113" s="391"/>
      <c r="AC113" s="380">
        <v>487</v>
      </c>
    </row>
    <row r="114" spans="1:29" x14ac:dyDescent="0.25">
      <c r="A114" s="367">
        <v>71</v>
      </c>
      <c r="B114" s="277"/>
      <c r="C114" s="278" t="s">
        <v>557</v>
      </c>
      <c r="D114" s="277"/>
      <c r="E114" s="378"/>
      <c r="F114" s="391">
        <v>24</v>
      </c>
      <c r="G114" s="131"/>
      <c r="H114" s="391">
        <f t="shared" si="28"/>
        <v>974</v>
      </c>
      <c r="I114" s="86"/>
      <c r="J114" s="223">
        <f>$J$113+$AG$8</f>
        <v>15.079999999999998</v>
      </c>
      <c r="K114" s="485"/>
      <c r="L114" s="5">
        <f t="shared" si="22"/>
        <v>362</v>
      </c>
      <c r="M114" s="5"/>
      <c r="N114" s="6">
        <f t="shared" si="29"/>
        <v>0</v>
      </c>
      <c r="O114" s="6"/>
      <c r="P114" s="5">
        <f t="shared" si="30"/>
        <v>1</v>
      </c>
      <c r="Q114" s="5"/>
      <c r="R114" s="5">
        <f t="shared" si="31"/>
        <v>363</v>
      </c>
      <c r="S114" s="84"/>
      <c r="V114" s="413"/>
      <c r="Y114" s="514"/>
      <c r="AA114" s="391"/>
      <c r="AC114" s="380">
        <v>487</v>
      </c>
    </row>
    <row r="115" spans="1:29" x14ac:dyDescent="0.25">
      <c r="A115" s="366">
        <v>72</v>
      </c>
      <c r="B115" s="277"/>
      <c r="C115" s="278" t="s">
        <v>330</v>
      </c>
      <c r="D115" s="277"/>
      <c r="E115" s="378"/>
      <c r="F115" s="391">
        <v>588</v>
      </c>
      <c r="G115" s="131"/>
      <c r="H115" s="391">
        <f t="shared" si="28"/>
        <v>23863</v>
      </c>
      <c r="I115" s="86"/>
      <c r="J115" s="223">
        <f>$J$113+$AG$10</f>
        <v>16.989999999999998</v>
      </c>
      <c r="K115" s="485"/>
      <c r="L115" s="5">
        <f t="shared" si="22"/>
        <v>9990</v>
      </c>
      <c r="M115" s="5"/>
      <c r="N115" s="6">
        <f t="shared" si="29"/>
        <v>0.6</v>
      </c>
      <c r="O115" s="6"/>
      <c r="P115" s="5">
        <f t="shared" si="30"/>
        <v>16</v>
      </c>
      <c r="Q115" s="5"/>
      <c r="R115" s="5">
        <f t="shared" ref="R115:R127" si="32">L115+P115</f>
        <v>10006</v>
      </c>
      <c r="S115" s="84"/>
      <c r="V115" s="413"/>
      <c r="Y115" s="514"/>
      <c r="AA115" s="391"/>
      <c r="AC115" s="380">
        <v>487</v>
      </c>
    </row>
    <row r="116" spans="1:29" x14ac:dyDescent="0.25">
      <c r="A116" s="366">
        <v>73</v>
      </c>
      <c r="B116" s="277"/>
      <c r="C116" s="278" t="s">
        <v>558</v>
      </c>
      <c r="D116" s="277"/>
      <c r="E116" s="378"/>
      <c r="F116" s="391">
        <v>24</v>
      </c>
      <c r="G116" s="131"/>
      <c r="H116" s="391">
        <f t="shared" si="28"/>
        <v>974</v>
      </c>
      <c r="I116" s="86"/>
      <c r="J116" s="223">
        <f>$J$113+$AG$13</f>
        <v>14.079999999999998</v>
      </c>
      <c r="K116" s="485"/>
      <c r="L116" s="5">
        <f t="shared" si="22"/>
        <v>338</v>
      </c>
      <c r="M116" s="5"/>
      <c r="N116" s="6">
        <f t="shared" si="29"/>
        <v>0</v>
      </c>
      <c r="O116" s="6"/>
      <c r="P116" s="5">
        <f t="shared" si="30"/>
        <v>1</v>
      </c>
      <c r="Q116" s="5"/>
      <c r="R116" s="5">
        <f t="shared" ref="R116:R117" si="33">L116+P116</f>
        <v>339</v>
      </c>
      <c r="S116" s="84"/>
      <c r="V116" s="413"/>
      <c r="Y116" s="514"/>
      <c r="AA116" s="391"/>
      <c r="AC116" s="380">
        <v>487</v>
      </c>
    </row>
    <row r="117" spans="1:29" x14ac:dyDescent="0.25">
      <c r="A117" s="366">
        <v>74</v>
      </c>
      <c r="B117" s="277"/>
      <c r="C117" s="278" t="s">
        <v>559</v>
      </c>
      <c r="D117" s="277"/>
      <c r="E117" s="378"/>
      <c r="F117" s="391">
        <v>12</v>
      </c>
      <c r="G117" s="131"/>
      <c r="H117" s="391">
        <f t="shared" si="28"/>
        <v>487</v>
      </c>
      <c r="I117" s="86"/>
      <c r="J117" s="223">
        <f>$J$113+$AG$16</f>
        <v>18.899999999999999</v>
      </c>
      <c r="K117" s="485"/>
      <c r="L117" s="5">
        <f t="shared" si="22"/>
        <v>227</v>
      </c>
      <c r="M117" s="5"/>
      <c r="N117" s="6">
        <f t="shared" si="29"/>
        <v>0</v>
      </c>
      <c r="O117" s="6"/>
      <c r="P117" s="5">
        <f t="shared" si="30"/>
        <v>0</v>
      </c>
      <c r="Q117" s="5"/>
      <c r="R117" s="5">
        <f t="shared" si="33"/>
        <v>227</v>
      </c>
      <c r="S117" s="84"/>
      <c r="V117" s="413"/>
      <c r="Y117" s="514"/>
      <c r="AA117" s="391"/>
      <c r="AC117" s="380">
        <v>487</v>
      </c>
    </row>
    <row r="118" spans="1:29" x14ac:dyDescent="0.25">
      <c r="A118" s="366">
        <v>75</v>
      </c>
      <c r="B118" s="277"/>
      <c r="C118" s="278" t="s">
        <v>220</v>
      </c>
      <c r="D118" s="277"/>
      <c r="E118" s="378"/>
      <c r="F118" s="391">
        <v>0</v>
      </c>
      <c r="G118" s="131"/>
      <c r="H118" s="391">
        <f t="shared" si="28"/>
        <v>0</v>
      </c>
      <c r="I118" s="86"/>
      <c r="J118" s="223">
        <f>ROUND(AC338+(AC338*$AG$1),2)</f>
        <v>6.87</v>
      </c>
      <c r="K118" s="485"/>
      <c r="L118" s="5">
        <f t="shared" si="22"/>
        <v>0</v>
      </c>
      <c r="M118" s="5"/>
      <c r="N118" s="6">
        <f t="shared" si="29"/>
        <v>0</v>
      </c>
      <c r="O118" s="6"/>
      <c r="P118" s="5">
        <f t="shared" si="30"/>
        <v>0</v>
      </c>
      <c r="Q118" s="5"/>
      <c r="R118" s="5">
        <f t="shared" si="32"/>
        <v>0</v>
      </c>
      <c r="S118" s="84"/>
      <c r="V118" s="413"/>
      <c r="Y118" s="514"/>
      <c r="AA118" s="391"/>
      <c r="AC118" s="380">
        <v>487</v>
      </c>
    </row>
    <row r="119" spans="1:29" x14ac:dyDescent="0.25">
      <c r="A119" s="366">
        <v>76</v>
      </c>
      <c r="B119" s="277"/>
      <c r="C119" s="278" t="s">
        <v>222</v>
      </c>
      <c r="D119" s="277"/>
      <c r="E119" s="378"/>
      <c r="F119" s="391">
        <v>0</v>
      </c>
      <c r="G119" s="131"/>
      <c r="H119" s="391">
        <f t="shared" si="28"/>
        <v>0</v>
      </c>
      <c r="I119" s="86"/>
      <c r="J119" s="223">
        <f>ROUND(AC339+(AC339*$AG$1),2)</f>
        <v>9.81</v>
      </c>
      <c r="K119" s="485"/>
      <c r="L119" s="5">
        <f t="shared" si="22"/>
        <v>0</v>
      </c>
      <c r="M119" s="5"/>
      <c r="N119" s="6">
        <f t="shared" si="29"/>
        <v>0</v>
      </c>
      <c r="O119" s="6"/>
      <c r="P119" s="5">
        <f t="shared" si="30"/>
        <v>0</v>
      </c>
      <c r="Q119" s="5"/>
      <c r="R119" s="5">
        <f t="shared" si="32"/>
        <v>0</v>
      </c>
      <c r="S119" s="84"/>
      <c r="V119" s="413"/>
      <c r="Y119" s="514"/>
      <c r="AA119" s="391"/>
      <c r="AC119" s="380">
        <v>711</v>
      </c>
    </row>
    <row r="120" spans="1:29" x14ac:dyDescent="0.25">
      <c r="A120" s="366">
        <v>77</v>
      </c>
      <c r="B120" s="277"/>
      <c r="C120" s="278" t="s">
        <v>556</v>
      </c>
      <c r="D120" s="277"/>
      <c r="E120" s="378"/>
      <c r="F120" s="391">
        <v>24</v>
      </c>
      <c r="G120" s="131"/>
      <c r="H120" s="391">
        <f t="shared" si="28"/>
        <v>1422</v>
      </c>
      <c r="I120" s="86"/>
      <c r="J120" s="223">
        <f>$J$119+$AG$8</f>
        <v>15.86</v>
      </c>
      <c r="K120" s="485"/>
      <c r="L120" s="5">
        <f t="shared" si="22"/>
        <v>381</v>
      </c>
      <c r="M120" s="5"/>
      <c r="N120" s="6">
        <f t="shared" si="29"/>
        <v>0</v>
      </c>
      <c r="O120" s="6"/>
      <c r="P120" s="5">
        <f t="shared" si="30"/>
        <v>1</v>
      </c>
      <c r="Q120" s="5"/>
      <c r="R120" s="5">
        <f t="shared" ref="R120" si="34">L120+P120</f>
        <v>382</v>
      </c>
      <c r="S120" s="84"/>
      <c r="V120" s="413"/>
      <c r="Y120" s="514"/>
      <c r="AA120" s="391"/>
      <c r="AC120" s="380">
        <v>711</v>
      </c>
    </row>
    <row r="121" spans="1:29" x14ac:dyDescent="0.25">
      <c r="A121" s="366">
        <v>78</v>
      </c>
      <c r="B121" s="378"/>
      <c r="C121" s="195" t="s">
        <v>223</v>
      </c>
      <c r="D121" s="378"/>
      <c r="E121" s="378"/>
      <c r="F121" s="391">
        <v>228</v>
      </c>
      <c r="G121" s="131"/>
      <c r="H121" s="391">
        <f t="shared" si="28"/>
        <v>18012</v>
      </c>
      <c r="I121" s="86"/>
      <c r="J121" s="223">
        <f>ROUND(AC341+(AC341*$AG$1),2)</f>
        <v>12.76</v>
      </c>
      <c r="K121" s="485"/>
      <c r="L121" s="5">
        <f t="shared" si="22"/>
        <v>2909</v>
      </c>
      <c r="M121" s="5"/>
      <c r="N121" s="6">
        <f t="shared" si="29"/>
        <v>0.2</v>
      </c>
      <c r="O121" s="6"/>
      <c r="P121" s="5">
        <f t="shared" si="30"/>
        <v>12</v>
      </c>
      <c r="Q121" s="5"/>
      <c r="R121" s="5">
        <f t="shared" si="32"/>
        <v>2921</v>
      </c>
      <c r="S121" s="84"/>
      <c r="V121" s="413"/>
      <c r="Y121" s="514"/>
      <c r="AA121" s="391"/>
      <c r="AC121" s="380">
        <v>948</v>
      </c>
    </row>
    <row r="122" spans="1:29" x14ac:dyDescent="0.25">
      <c r="A122" s="366">
        <v>79</v>
      </c>
      <c r="B122" s="378"/>
      <c r="C122" s="195" t="s">
        <v>289</v>
      </c>
      <c r="D122" s="378"/>
      <c r="E122" s="378"/>
      <c r="F122" s="391">
        <v>60</v>
      </c>
      <c r="G122" s="131"/>
      <c r="H122" s="391">
        <f t="shared" si="28"/>
        <v>4740</v>
      </c>
      <c r="I122" s="86"/>
      <c r="J122" s="223">
        <f>$J$121+$AG$7</f>
        <v>17.809999999999999</v>
      </c>
      <c r="K122" s="485"/>
      <c r="L122" s="5">
        <f t="shared" si="22"/>
        <v>1069</v>
      </c>
      <c r="M122" s="5"/>
      <c r="N122" s="6">
        <f t="shared" si="29"/>
        <v>0.1</v>
      </c>
      <c r="O122" s="6"/>
      <c r="P122" s="5">
        <f t="shared" si="30"/>
        <v>3</v>
      </c>
      <c r="Q122" s="5"/>
      <c r="R122" s="5">
        <f t="shared" si="32"/>
        <v>1072</v>
      </c>
      <c r="S122" s="84"/>
      <c r="V122" s="413"/>
      <c r="Y122" s="514"/>
      <c r="AA122" s="391"/>
      <c r="AC122" s="380">
        <v>948</v>
      </c>
    </row>
    <row r="123" spans="1:29" x14ac:dyDescent="0.25">
      <c r="A123" s="366">
        <v>80</v>
      </c>
      <c r="B123" s="378"/>
      <c r="C123" s="195" t="s">
        <v>328</v>
      </c>
      <c r="D123" s="378"/>
      <c r="E123" s="378"/>
      <c r="F123" s="391">
        <v>530</v>
      </c>
      <c r="G123" s="131"/>
      <c r="H123" s="391">
        <f t="shared" si="28"/>
        <v>41870</v>
      </c>
      <c r="I123" s="86"/>
      <c r="J123" s="223">
        <f>$J$121+$AG$10</f>
        <v>20.72</v>
      </c>
      <c r="K123" s="485"/>
      <c r="L123" s="5">
        <f t="shared" si="22"/>
        <v>10982</v>
      </c>
      <c r="M123" s="5"/>
      <c r="N123" s="6">
        <f t="shared" si="29"/>
        <v>0.6</v>
      </c>
      <c r="O123" s="6"/>
      <c r="P123" s="5">
        <f t="shared" si="30"/>
        <v>29</v>
      </c>
      <c r="Q123" s="5"/>
      <c r="R123" s="5">
        <f>L123+P123</f>
        <v>11011</v>
      </c>
      <c r="S123" s="84"/>
      <c r="V123" s="413"/>
      <c r="Y123" s="514"/>
      <c r="AA123" s="391"/>
      <c r="AC123" s="380">
        <v>948</v>
      </c>
    </row>
    <row r="124" spans="1:29" x14ac:dyDescent="0.25">
      <c r="A124" s="366">
        <v>81</v>
      </c>
      <c r="B124" s="378"/>
      <c r="C124" s="195" t="s">
        <v>389</v>
      </c>
      <c r="D124" s="378"/>
      <c r="E124" s="378"/>
      <c r="F124" s="391">
        <v>48</v>
      </c>
      <c r="G124" s="131"/>
      <c r="H124" s="391">
        <f t="shared" si="28"/>
        <v>3792</v>
      </c>
      <c r="I124" s="86"/>
      <c r="J124" s="223">
        <f>$J$121+$AG$11</f>
        <v>20.8</v>
      </c>
      <c r="K124" s="485"/>
      <c r="L124" s="5">
        <f t="shared" si="22"/>
        <v>998</v>
      </c>
      <c r="M124" s="5"/>
      <c r="N124" s="6">
        <f t="shared" si="29"/>
        <v>0.1</v>
      </c>
      <c r="O124" s="6"/>
      <c r="P124" s="5">
        <f t="shared" si="30"/>
        <v>3</v>
      </c>
      <c r="Q124" s="5"/>
      <c r="R124" s="5">
        <f>L124+P124</f>
        <v>1001</v>
      </c>
      <c r="S124" s="84"/>
      <c r="V124" s="413"/>
      <c r="Y124" s="514"/>
      <c r="AA124" s="391"/>
      <c r="AC124" s="380">
        <v>948</v>
      </c>
    </row>
    <row r="125" spans="1:29" x14ac:dyDescent="0.25">
      <c r="A125" s="366">
        <v>82</v>
      </c>
      <c r="B125" s="279"/>
      <c r="C125" s="280" t="s">
        <v>324</v>
      </c>
      <c r="D125" s="279"/>
      <c r="E125" s="378"/>
      <c r="F125" s="391">
        <v>0</v>
      </c>
      <c r="G125" s="131"/>
      <c r="H125" s="391">
        <f t="shared" si="28"/>
        <v>0</v>
      </c>
      <c r="I125" s="86"/>
      <c r="J125" s="223">
        <f>ROUND(AC345+(AC345*$AG$1),2)</f>
        <v>12.76</v>
      </c>
      <c r="K125" s="485"/>
      <c r="L125" s="5">
        <f t="shared" si="22"/>
        <v>0</v>
      </c>
      <c r="M125" s="5"/>
      <c r="N125" s="6">
        <f t="shared" si="29"/>
        <v>0</v>
      </c>
      <c r="O125" s="6"/>
      <c r="P125" s="5">
        <f t="shared" si="30"/>
        <v>0</v>
      </c>
      <c r="Q125" s="5"/>
      <c r="R125" s="5">
        <f t="shared" ref="R125:R126" si="35">L125+P125</f>
        <v>0</v>
      </c>
      <c r="S125" s="84"/>
      <c r="V125" s="413"/>
      <c r="Y125" s="514"/>
      <c r="AA125" s="391"/>
      <c r="AC125" s="380">
        <v>948</v>
      </c>
    </row>
    <row r="126" spans="1:29" x14ac:dyDescent="0.25">
      <c r="A126" s="366">
        <v>83</v>
      </c>
      <c r="B126" s="279"/>
      <c r="C126" s="280" t="s">
        <v>560</v>
      </c>
      <c r="D126" s="279"/>
      <c r="E126" s="378"/>
      <c r="F126" s="391">
        <v>252</v>
      </c>
      <c r="G126" s="131"/>
      <c r="H126" s="391">
        <f t="shared" si="28"/>
        <v>19908</v>
      </c>
      <c r="I126" s="86"/>
      <c r="J126" s="521">
        <f>$J$125+$AG$12</f>
        <v>28.66</v>
      </c>
      <c r="K126" s="485"/>
      <c r="L126" s="5">
        <f t="shared" si="22"/>
        <v>7222</v>
      </c>
      <c r="M126" s="5"/>
      <c r="N126" s="6">
        <f t="shared" si="29"/>
        <v>0.4</v>
      </c>
      <c r="O126" s="6"/>
      <c r="P126" s="5">
        <f>ROUND($P$209/$H$209*H126,0)</f>
        <v>14</v>
      </c>
      <c r="Q126" s="5"/>
      <c r="R126" s="5">
        <f t="shared" si="35"/>
        <v>7236</v>
      </c>
      <c r="S126" s="84"/>
      <c r="V126" s="413"/>
      <c r="Y126" s="514"/>
      <c r="AA126" s="391"/>
      <c r="AC126" s="380">
        <v>948</v>
      </c>
    </row>
    <row r="127" spans="1:29" x14ac:dyDescent="0.25">
      <c r="A127" s="366">
        <v>84</v>
      </c>
      <c r="B127" s="378"/>
      <c r="C127" s="195" t="s">
        <v>224</v>
      </c>
      <c r="D127" s="378"/>
      <c r="E127" s="378"/>
      <c r="F127" s="391">
        <v>342</v>
      </c>
      <c r="G127" s="131"/>
      <c r="H127" s="391">
        <f t="shared" si="28"/>
        <v>55832</v>
      </c>
      <c r="I127" s="86"/>
      <c r="J127" s="223">
        <f>ROUND(AC347+(AC347*$AG$1),2)</f>
        <v>17.149999999999999</v>
      </c>
      <c r="K127" s="485"/>
      <c r="L127" s="5">
        <f t="shared" si="22"/>
        <v>5865</v>
      </c>
      <c r="M127" s="5"/>
      <c r="N127" s="6">
        <f t="shared" si="29"/>
        <v>0.3</v>
      </c>
      <c r="O127" s="6"/>
      <c r="P127" s="5">
        <f>ROUND($P$209/$H$209*H127,0)</f>
        <v>38</v>
      </c>
      <c r="Q127" s="5"/>
      <c r="R127" s="5">
        <f t="shared" si="32"/>
        <v>5903</v>
      </c>
      <c r="S127" s="84"/>
      <c r="V127" s="413"/>
      <c r="Y127" s="514"/>
      <c r="AA127" s="391"/>
      <c r="AC127" s="380">
        <v>1959</v>
      </c>
    </row>
    <row r="128" spans="1:29" x14ac:dyDescent="0.25">
      <c r="A128" s="366">
        <v>85</v>
      </c>
      <c r="B128" s="378"/>
      <c r="C128" s="195" t="s">
        <v>331</v>
      </c>
      <c r="D128" s="378"/>
      <c r="E128" s="378"/>
      <c r="F128" s="391">
        <v>72</v>
      </c>
      <c r="G128" s="131"/>
      <c r="H128" s="391">
        <f t="shared" si="28"/>
        <v>11754</v>
      </c>
      <c r="I128" s="86"/>
      <c r="J128" s="223">
        <f>$J$127+$AG$10</f>
        <v>25.11</v>
      </c>
      <c r="K128" s="485"/>
      <c r="L128" s="5">
        <f t="shared" si="22"/>
        <v>1808</v>
      </c>
      <c r="M128" s="5"/>
      <c r="N128" s="6">
        <f t="shared" si="29"/>
        <v>0.1</v>
      </c>
      <c r="O128" s="6"/>
      <c r="P128" s="5">
        <f>ROUND($P$209/$H$209*H128,0)</f>
        <v>8</v>
      </c>
      <c r="Q128" s="5"/>
      <c r="R128" s="5">
        <f>L128+P128</f>
        <v>1816</v>
      </c>
      <c r="S128" s="84"/>
      <c r="V128" s="413"/>
      <c r="Y128" s="514"/>
      <c r="AA128" s="391"/>
      <c r="AC128" s="380">
        <v>1959</v>
      </c>
    </row>
    <row r="129" spans="1:46" x14ac:dyDescent="0.25">
      <c r="A129" s="366">
        <v>86</v>
      </c>
      <c r="B129" s="378"/>
      <c r="C129" s="195" t="s">
        <v>332</v>
      </c>
      <c r="D129" s="378"/>
      <c r="E129" s="378"/>
      <c r="F129" s="391">
        <v>132</v>
      </c>
      <c r="G129" s="131"/>
      <c r="H129" s="391">
        <f t="shared" si="28"/>
        <v>21549</v>
      </c>
      <c r="I129" s="86"/>
      <c r="J129" s="223">
        <f>$J$127+$AG$12</f>
        <v>33.049999999999997</v>
      </c>
      <c r="K129" s="485"/>
      <c r="L129" s="5">
        <f t="shared" si="22"/>
        <v>4363</v>
      </c>
      <c r="M129" s="5"/>
      <c r="N129" s="6">
        <f t="shared" si="29"/>
        <v>0.3</v>
      </c>
      <c r="O129" s="6"/>
      <c r="P129" s="5">
        <f>ROUND($P$209/$H$209*H129,0)</f>
        <v>15</v>
      </c>
      <c r="Q129" s="5"/>
      <c r="R129" s="5">
        <f>L129+P129</f>
        <v>4378</v>
      </c>
      <c r="S129" s="84"/>
      <c r="V129" s="413"/>
      <c r="Y129" s="514"/>
      <c r="AA129" s="391"/>
      <c r="AC129" s="380">
        <v>1959</v>
      </c>
    </row>
    <row r="130" spans="1:46" x14ac:dyDescent="0.25">
      <c r="A130" s="366">
        <v>87</v>
      </c>
      <c r="B130" s="378"/>
      <c r="C130" s="518" t="s">
        <v>317</v>
      </c>
      <c r="D130" s="378"/>
      <c r="E130" s="378"/>
      <c r="F130" s="194"/>
      <c r="G130" s="131"/>
      <c r="H130" s="131"/>
      <c r="I130" s="2"/>
      <c r="J130" s="7"/>
      <c r="K130" s="7"/>
      <c r="L130" s="5"/>
      <c r="M130" s="2"/>
      <c r="N130" s="2"/>
      <c r="O130" s="2"/>
      <c r="P130" s="2"/>
      <c r="Q130" s="2"/>
      <c r="R130" s="2"/>
      <c r="T130" s="210"/>
      <c r="U130" s="57"/>
      <c r="V130" s="413"/>
      <c r="W130" s="57"/>
      <c r="X130" s="57"/>
      <c r="Y130" s="514"/>
      <c r="Z130" s="57"/>
      <c r="AA130" s="131"/>
      <c r="AB130" s="57"/>
      <c r="AC130" s="57"/>
      <c r="AD130" s="57"/>
      <c r="AE130" s="57"/>
      <c r="AF130" s="57"/>
      <c r="AG130" s="158"/>
      <c r="AH130" s="57"/>
      <c r="AI130" s="57"/>
      <c r="AJ130" s="57"/>
      <c r="AK130" s="158"/>
      <c r="AL130" s="57"/>
      <c r="AM130" s="57"/>
      <c r="AT130" s="379"/>
    </row>
    <row r="131" spans="1:46" x14ac:dyDescent="0.25">
      <c r="A131" s="366">
        <v>88</v>
      </c>
      <c r="B131" s="378"/>
      <c r="C131" s="196" t="s">
        <v>310</v>
      </c>
      <c r="D131" s="378"/>
      <c r="E131" s="378"/>
      <c r="F131" s="391">
        <v>0</v>
      </c>
      <c r="G131" s="131"/>
      <c r="H131" s="391">
        <f t="shared" ref="H131:H139" si="36">ROUND(F131*AC131/12,0)</f>
        <v>0</v>
      </c>
      <c r="I131" s="86"/>
      <c r="J131" s="223">
        <f>ROUND(AC351+(AC351*$AG$1),2)</f>
        <v>8.59</v>
      </c>
      <c r="K131" s="485"/>
      <c r="L131" s="5">
        <f t="shared" si="22"/>
        <v>0</v>
      </c>
      <c r="M131" s="5"/>
      <c r="N131" s="6">
        <f t="shared" ref="N131:N139" si="37">ROUND((L131/L$209)*100,1)</f>
        <v>0</v>
      </c>
      <c r="O131" s="6"/>
      <c r="P131" s="5">
        <f t="shared" ref="P131:P139" si="38">ROUND($P$209/$H$209*H131,0)</f>
        <v>0</v>
      </c>
      <c r="Q131" s="5"/>
      <c r="R131" s="5">
        <f t="shared" ref="R131:R139" si="39">L131+P131</f>
        <v>0</v>
      </c>
      <c r="S131" s="84"/>
      <c r="T131" s="211"/>
      <c r="U131" s="57"/>
      <c r="V131" s="413"/>
      <c r="W131" s="57"/>
      <c r="X131" s="57"/>
      <c r="Y131" s="514"/>
      <c r="Z131" s="57"/>
      <c r="AA131" s="391"/>
      <c r="AB131" s="57"/>
      <c r="AC131" s="211">
        <v>853</v>
      </c>
      <c r="AD131" s="57"/>
      <c r="AE131" s="58"/>
      <c r="AF131" s="58"/>
      <c r="AG131" s="158"/>
      <c r="AH131" s="57"/>
      <c r="AI131" s="57"/>
      <c r="AJ131" s="57"/>
      <c r="AK131" s="158"/>
      <c r="AL131" s="57"/>
      <c r="AM131" s="57"/>
      <c r="AT131" s="449"/>
    </row>
    <row r="132" spans="1:46" x14ac:dyDescent="0.25">
      <c r="A132" s="366">
        <v>89</v>
      </c>
      <c r="B132" s="378"/>
      <c r="C132" s="195" t="s">
        <v>311</v>
      </c>
      <c r="D132" s="378"/>
      <c r="E132" s="378"/>
      <c r="F132" s="391">
        <v>216</v>
      </c>
      <c r="G132" s="131"/>
      <c r="H132" s="391">
        <f t="shared" si="36"/>
        <v>15354</v>
      </c>
      <c r="I132" s="86"/>
      <c r="J132" s="223">
        <f>$J$131+$AG$5</f>
        <v>13.64</v>
      </c>
      <c r="K132" s="485"/>
      <c r="L132" s="5">
        <f t="shared" si="22"/>
        <v>2946</v>
      </c>
      <c r="M132" s="5"/>
      <c r="N132" s="6">
        <f t="shared" si="37"/>
        <v>0.2</v>
      </c>
      <c r="O132" s="6"/>
      <c r="P132" s="5">
        <f t="shared" si="38"/>
        <v>10</v>
      </c>
      <c r="Q132" s="5"/>
      <c r="R132" s="5">
        <f>L132+P132</f>
        <v>2956</v>
      </c>
      <c r="S132" s="84"/>
      <c r="T132" s="211"/>
      <c r="U132" s="57"/>
      <c r="V132" s="413"/>
      <c r="W132" s="57"/>
      <c r="X132" s="57"/>
      <c r="Y132" s="514"/>
      <c r="Z132" s="57"/>
      <c r="AA132" s="391"/>
      <c r="AB132" s="57"/>
      <c r="AC132" s="211">
        <v>853</v>
      </c>
      <c r="AD132" s="57"/>
      <c r="AE132" s="58"/>
      <c r="AF132" s="58"/>
      <c r="AG132" s="158"/>
      <c r="AH132" s="57"/>
      <c r="AI132" s="57"/>
      <c r="AJ132" s="57"/>
      <c r="AK132" s="158"/>
      <c r="AL132" s="57"/>
      <c r="AM132" s="57"/>
      <c r="AT132" s="449"/>
    </row>
    <row r="133" spans="1:46" x14ac:dyDescent="0.25">
      <c r="A133" s="366">
        <v>90</v>
      </c>
      <c r="B133" s="378"/>
      <c r="C133" s="195" t="s">
        <v>312</v>
      </c>
      <c r="D133" s="378"/>
      <c r="E133" s="378"/>
      <c r="F133" s="391">
        <v>5870</v>
      </c>
      <c r="G133" s="131"/>
      <c r="H133" s="391">
        <f t="shared" si="36"/>
        <v>417259</v>
      </c>
      <c r="I133" s="86"/>
      <c r="J133" s="223">
        <f>$J$131+$AG$13</f>
        <v>13.64</v>
      </c>
      <c r="K133" s="485"/>
      <c r="L133" s="5">
        <f t="shared" si="22"/>
        <v>80067</v>
      </c>
      <c r="M133" s="5"/>
      <c r="N133" s="6">
        <f t="shared" si="37"/>
        <v>4.7</v>
      </c>
      <c r="O133" s="6"/>
      <c r="P133" s="5">
        <f t="shared" si="38"/>
        <v>284</v>
      </c>
      <c r="Q133" s="5"/>
      <c r="R133" s="5">
        <f t="shared" si="39"/>
        <v>80351</v>
      </c>
      <c r="S133" s="84"/>
      <c r="T133" s="211"/>
      <c r="U133" s="57"/>
      <c r="V133" s="413"/>
      <c r="W133" s="57"/>
      <c r="X133" s="57"/>
      <c r="Y133" s="514"/>
      <c r="Z133" s="57"/>
      <c r="AA133" s="391"/>
      <c r="AB133" s="57"/>
      <c r="AC133" s="211">
        <v>853</v>
      </c>
      <c r="AD133" s="57"/>
      <c r="AE133" s="57"/>
      <c r="AF133" s="57"/>
      <c r="AG133" s="169"/>
      <c r="AH133" s="58"/>
      <c r="AI133" s="57"/>
      <c r="AJ133" s="57"/>
      <c r="AK133" s="158"/>
      <c r="AL133" s="57"/>
      <c r="AM133" s="57"/>
      <c r="AT133" s="449"/>
    </row>
    <row r="134" spans="1:46" x14ac:dyDescent="0.25">
      <c r="A134" s="366">
        <v>91</v>
      </c>
      <c r="B134" s="378"/>
      <c r="C134" s="196" t="s">
        <v>313</v>
      </c>
      <c r="D134" s="378"/>
      <c r="E134" s="378"/>
      <c r="F134" s="391">
        <v>24</v>
      </c>
      <c r="G134" s="131"/>
      <c r="H134" s="391">
        <f t="shared" si="36"/>
        <v>1748</v>
      </c>
      <c r="I134" s="86"/>
      <c r="J134" s="223">
        <f>ROUND(AC354+(AC354*$AG$1),2)</f>
        <v>10.79</v>
      </c>
      <c r="K134" s="485"/>
      <c r="L134" s="5">
        <f t="shared" si="22"/>
        <v>259</v>
      </c>
      <c r="M134" s="5"/>
      <c r="N134" s="6">
        <f t="shared" si="37"/>
        <v>0</v>
      </c>
      <c r="O134" s="6"/>
      <c r="P134" s="5">
        <f t="shared" si="38"/>
        <v>1</v>
      </c>
      <c r="Q134" s="5"/>
      <c r="R134" s="5">
        <f t="shared" si="39"/>
        <v>260</v>
      </c>
      <c r="S134" s="84"/>
      <c r="T134" s="53"/>
      <c r="V134" s="413"/>
      <c r="Y134" s="514"/>
      <c r="AA134" s="391"/>
      <c r="AC134" s="380">
        <v>874</v>
      </c>
      <c r="AM134" s="54"/>
      <c r="AQ134" s="162"/>
      <c r="AR134" s="54"/>
      <c r="AT134" s="379"/>
    </row>
    <row r="135" spans="1:46" x14ac:dyDescent="0.25">
      <c r="A135" s="366">
        <v>92</v>
      </c>
      <c r="B135" s="378"/>
      <c r="C135" s="195" t="s">
        <v>314</v>
      </c>
      <c r="D135" s="378"/>
      <c r="E135" s="378"/>
      <c r="F135" s="391">
        <v>1908</v>
      </c>
      <c r="G135" s="131"/>
      <c r="H135" s="391">
        <f t="shared" si="36"/>
        <v>138966</v>
      </c>
      <c r="I135" s="86"/>
      <c r="J135" s="223">
        <f>$J$134+$AG$13</f>
        <v>15.84</v>
      </c>
      <c r="K135" s="485"/>
      <c r="L135" s="5">
        <f t="shared" si="22"/>
        <v>30223</v>
      </c>
      <c r="M135" s="5"/>
      <c r="N135" s="6">
        <f t="shared" si="37"/>
        <v>1.8</v>
      </c>
      <c r="O135" s="6"/>
      <c r="P135" s="5">
        <f t="shared" si="38"/>
        <v>95</v>
      </c>
      <c r="Q135" s="5"/>
      <c r="R135" s="5">
        <f t="shared" si="39"/>
        <v>30318</v>
      </c>
      <c r="S135" s="84"/>
      <c r="T135" s="53"/>
      <c r="V135" s="413"/>
      <c r="Y135" s="514"/>
      <c r="AA135" s="391"/>
      <c r="AC135" s="380">
        <v>874</v>
      </c>
      <c r="AM135" s="54"/>
      <c r="AQ135" s="162"/>
      <c r="AR135" s="54"/>
      <c r="AT135" s="379"/>
    </row>
    <row r="136" spans="1:46" x14ac:dyDescent="0.25">
      <c r="A136" s="366">
        <v>93</v>
      </c>
      <c r="B136" s="378"/>
      <c r="C136" s="195" t="s">
        <v>631</v>
      </c>
      <c r="D136" s="378"/>
      <c r="E136" s="378"/>
      <c r="F136" s="519">
        <v>96</v>
      </c>
      <c r="G136" s="131"/>
      <c r="H136" s="391">
        <f t="shared" si="36"/>
        <v>6992</v>
      </c>
      <c r="I136" s="86"/>
      <c r="J136" s="223">
        <f>ROUND(AC356+(AC356*$AG$1),2)</f>
        <v>38.380000000000003</v>
      </c>
      <c r="K136" s="485"/>
      <c r="L136" s="5">
        <f t="shared" si="22"/>
        <v>3684</v>
      </c>
      <c r="M136" s="5"/>
      <c r="N136" s="6">
        <f t="shared" si="37"/>
        <v>0.2</v>
      </c>
      <c r="O136" s="6"/>
      <c r="P136" s="5">
        <f t="shared" si="38"/>
        <v>5</v>
      </c>
      <c r="Q136" s="5"/>
      <c r="R136" s="5">
        <f t="shared" si="39"/>
        <v>3689</v>
      </c>
      <c r="S136" s="84"/>
      <c r="T136" s="53"/>
      <c r="V136" s="413"/>
      <c r="Y136" s="514"/>
      <c r="AA136" s="391"/>
      <c r="AC136" s="380">
        <v>874</v>
      </c>
      <c r="AM136" s="54"/>
      <c r="AQ136" s="162"/>
      <c r="AR136" s="54"/>
      <c r="AT136" s="379"/>
    </row>
    <row r="137" spans="1:46" x14ac:dyDescent="0.25">
      <c r="A137" s="366">
        <v>94</v>
      </c>
      <c r="B137" s="378"/>
      <c r="C137" s="196" t="s">
        <v>465</v>
      </c>
      <c r="D137" s="378"/>
      <c r="E137" s="378"/>
      <c r="F137" s="519">
        <v>0</v>
      </c>
      <c r="G137" s="131"/>
      <c r="H137" s="391">
        <f t="shared" si="36"/>
        <v>0</v>
      </c>
      <c r="I137" s="86"/>
      <c r="J137" s="223">
        <f>ROUND(AC357+(AC357*$AG$1),2)</f>
        <v>8.68</v>
      </c>
      <c r="K137" s="485"/>
      <c r="L137" s="5">
        <f t="shared" si="22"/>
        <v>0</v>
      </c>
      <c r="M137" s="5"/>
      <c r="N137" s="6">
        <f t="shared" si="37"/>
        <v>0</v>
      </c>
      <c r="O137" s="6"/>
      <c r="P137" s="5">
        <f t="shared" si="38"/>
        <v>0</v>
      </c>
      <c r="Q137" s="5"/>
      <c r="R137" s="5">
        <f>L137+P137</f>
        <v>0</v>
      </c>
      <c r="S137" s="84"/>
      <c r="T137" s="53"/>
      <c r="V137" s="413"/>
      <c r="Y137" s="514"/>
      <c r="AA137" s="391"/>
      <c r="AC137" s="380">
        <v>853</v>
      </c>
      <c r="AM137" s="54"/>
      <c r="AQ137" s="162"/>
      <c r="AR137" s="54"/>
      <c r="AT137" s="379"/>
    </row>
    <row r="138" spans="1:46" x14ac:dyDescent="0.25">
      <c r="A138" s="366">
        <v>95</v>
      </c>
      <c r="B138" s="378"/>
      <c r="C138" s="196" t="s">
        <v>316</v>
      </c>
      <c r="D138" s="378"/>
      <c r="E138" s="378"/>
      <c r="F138" s="519">
        <v>0</v>
      </c>
      <c r="G138" s="131"/>
      <c r="H138" s="391">
        <f t="shared" si="36"/>
        <v>0</v>
      </c>
      <c r="I138" s="86"/>
      <c r="J138" s="223">
        <f>$J$137+$AG$9</f>
        <v>22.41</v>
      </c>
      <c r="K138" s="485"/>
      <c r="L138" s="5">
        <f t="shared" si="22"/>
        <v>0</v>
      </c>
      <c r="M138" s="5"/>
      <c r="N138" s="6">
        <f t="shared" si="37"/>
        <v>0</v>
      </c>
      <c r="O138" s="6"/>
      <c r="P138" s="5">
        <f t="shared" si="38"/>
        <v>0</v>
      </c>
      <c r="Q138" s="5"/>
      <c r="R138" s="5">
        <f>L138+P138</f>
        <v>0</v>
      </c>
      <c r="S138" s="84"/>
      <c r="T138" s="53"/>
      <c r="V138" s="413"/>
      <c r="Y138" s="514"/>
      <c r="AA138" s="391"/>
      <c r="AC138" s="380">
        <v>853</v>
      </c>
      <c r="AM138" s="54"/>
      <c r="AQ138" s="162"/>
      <c r="AR138" s="54"/>
      <c r="AT138" s="379"/>
    </row>
    <row r="139" spans="1:46" x14ac:dyDescent="0.25">
      <c r="A139" s="366">
        <v>96</v>
      </c>
      <c r="B139" s="378"/>
      <c r="C139" s="196" t="s">
        <v>315</v>
      </c>
      <c r="D139" s="378"/>
      <c r="E139" s="378"/>
      <c r="F139" s="519">
        <v>24</v>
      </c>
      <c r="G139" s="131"/>
      <c r="H139" s="391">
        <f t="shared" si="36"/>
        <v>1748</v>
      </c>
      <c r="I139" s="86"/>
      <c r="J139" s="223">
        <f>ROUND(AC359+(AC359*$AG$1),2)</f>
        <v>15.62</v>
      </c>
      <c r="K139" s="485"/>
      <c r="L139" s="5">
        <f t="shared" si="22"/>
        <v>375</v>
      </c>
      <c r="M139" s="5"/>
      <c r="N139" s="6">
        <f t="shared" si="37"/>
        <v>0</v>
      </c>
      <c r="O139" s="6"/>
      <c r="P139" s="5">
        <f t="shared" si="38"/>
        <v>1</v>
      </c>
      <c r="Q139" s="5"/>
      <c r="R139" s="5">
        <f t="shared" si="39"/>
        <v>376</v>
      </c>
      <c r="S139" s="84"/>
      <c r="T139" s="53"/>
      <c r="V139" s="413"/>
      <c r="Y139" s="514"/>
      <c r="AA139" s="391"/>
      <c r="AC139" s="380">
        <v>874</v>
      </c>
      <c r="AM139" s="54"/>
      <c r="AQ139" s="162"/>
      <c r="AR139" s="54"/>
      <c r="AT139" s="379"/>
    </row>
    <row r="140" spans="1:46" x14ac:dyDescent="0.25">
      <c r="A140" s="45"/>
      <c r="B140" s="378"/>
      <c r="C140" s="196"/>
      <c r="D140" s="378"/>
      <c r="E140" s="378"/>
      <c r="F140" s="519"/>
      <c r="G140" s="131"/>
      <c r="H140" s="391"/>
      <c r="I140" s="86"/>
      <c r="J140" s="223"/>
      <c r="K140" s="485"/>
      <c r="L140" s="5"/>
      <c r="M140" s="5"/>
      <c r="N140" s="6"/>
      <c r="O140" s="6"/>
      <c r="P140" s="5"/>
      <c r="Q140" s="5"/>
      <c r="R140" s="5"/>
      <c r="S140" s="84"/>
      <c r="T140" s="53"/>
      <c r="V140" s="413"/>
      <c r="Y140" s="77"/>
      <c r="AM140" s="54"/>
      <c r="AQ140" s="162"/>
      <c r="AR140" s="54"/>
      <c r="AT140" s="379"/>
    </row>
    <row r="141" spans="1:46" x14ac:dyDescent="0.25">
      <c r="A141" s="243" t="s">
        <v>78</v>
      </c>
      <c r="B141" s="245"/>
      <c r="C141" s="293"/>
      <c r="D141" s="246"/>
      <c r="E141" s="246"/>
      <c r="F141" s="293"/>
      <c r="G141" s="246"/>
      <c r="H141" s="246"/>
      <c r="I141" s="246"/>
      <c r="J141" s="244" t="s">
        <v>272</v>
      </c>
      <c r="K141" s="246"/>
      <c r="L141" s="247"/>
      <c r="M141" s="246"/>
      <c r="N141" s="245"/>
      <c r="O141" s="246"/>
      <c r="P141" s="248" t="s">
        <v>277</v>
      </c>
      <c r="Q141" s="249"/>
      <c r="R141" s="249"/>
      <c r="T141" s="53"/>
      <c r="V141" s="413"/>
      <c r="AA141" s="379"/>
      <c r="AC141" s="379"/>
      <c r="AD141" s="379"/>
      <c r="AE141" s="59"/>
      <c r="AF141" s="59"/>
      <c r="AG141" s="156"/>
      <c r="AH141" s="379"/>
      <c r="AI141" s="50"/>
      <c r="AJ141" s="50"/>
      <c r="AK141" s="156"/>
      <c r="AL141" s="379"/>
      <c r="AM141" s="60"/>
      <c r="AN141" s="60"/>
      <c r="AO141" s="379"/>
      <c r="AP141" s="379"/>
      <c r="AQ141" s="162"/>
      <c r="AR141" s="379"/>
      <c r="AS141" s="50"/>
    </row>
    <row r="142" spans="1:46" x14ac:dyDescent="0.25">
      <c r="A142" s="243" t="str">
        <f>"(1A) REFLECTS FUEL COST RECOVERY INCLUDED IN BASE RATES OF "&amp;TEXT(CUR_BASE_FUEL,"$0.000000;($0.000000)")&amp;"  PER KWH."</f>
        <v>(1A) REFLECTS FUEL COST RECOVERY INCLUDED IN BASE RATES OF $0.023837  PER KWH.</v>
      </c>
      <c r="B142" s="246"/>
      <c r="C142" s="293"/>
      <c r="D142" s="246"/>
      <c r="E142" s="246"/>
      <c r="F142" s="327"/>
      <c r="G142" s="246"/>
      <c r="H142" s="246"/>
      <c r="I142" s="246"/>
      <c r="J142" s="248" t="s">
        <v>274</v>
      </c>
      <c r="K142" s="246"/>
      <c r="L142" s="247"/>
      <c r="M142" s="246"/>
      <c r="N142" s="245"/>
      <c r="O142" s="246"/>
      <c r="P142" s="244" t="s">
        <v>278</v>
      </c>
      <c r="Q142" s="249"/>
      <c r="R142" s="249"/>
      <c r="V142" s="413"/>
      <c r="AA142" s="379"/>
      <c r="AC142" s="379"/>
      <c r="AD142" s="379"/>
      <c r="AE142" s="59"/>
      <c r="AF142" s="59"/>
      <c r="AG142" s="156"/>
      <c r="AH142" s="379"/>
      <c r="AI142" s="50"/>
      <c r="AJ142" s="50"/>
      <c r="AK142" s="156"/>
      <c r="AL142" s="379"/>
      <c r="AM142" s="60"/>
      <c r="AN142" s="60"/>
      <c r="AO142" s="379"/>
      <c r="AP142" s="379"/>
      <c r="AQ142" s="162"/>
      <c r="AR142" s="379"/>
      <c r="AS142" s="50"/>
    </row>
    <row r="143" spans="1:46" x14ac:dyDescent="0.25">
      <c r="A143" s="243" t="str">
        <f>"(2) REFLECTS FUEL COMPONENT OF "&amp;TEXT(CUR_FAC,"$0.000000;($0.000000)")&amp;"  PER KWH."</f>
        <v>(2) REFLECTS FUEL COMPONENT OF $0.000681  PER KWH.</v>
      </c>
      <c r="B143" s="246"/>
      <c r="C143" s="293"/>
      <c r="D143" s="246"/>
      <c r="E143" s="246"/>
      <c r="F143" s="327"/>
      <c r="G143" s="246"/>
      <c r="H143" s="246"/>
      <c r="I143" s="246"/>
      <c r="J143" s="248" t="s">
        <v>275</v>
      </c>
      <c r="K143" s="246"/>
      <c r="L143" s="247"/>
      <c r="M143" s="246"/>
      <c r="N143" s="245"/>
      <c r="O143" s="246"/>
      <c r="P143" s="244" t="s">
        <v>279</v>
      </c>
      <c r="Q143" s="249"/>
      <c r="R143" s="249"/>
      <c r="V143" s="413"/>
      <c r="AA143" s="379"/>
      <c r="AC143" s="379"/>
      <c r="AD143" s="379"/>
      <c r="AE143" s="59"/>
      <c r="AF143" s="59"/>
      <c r="AG143" s="156"/>
      <c r="AH143" s="379"/>
      <c r="AI143" s="50"/>
      <c r="AJ143" s="50"/>
      <c r="AK143" s="156"/>
      <c r="AL143" s="379"/>
      <c r="AM143" s="60"/>
      <c r="AN143" s="60"/>
      <c r="AO143" s="379"/>
      <c r="AP143" s="379"/>
      <c r="AQ143" s="162"/>
      <c r="AR143" s="379"/>
      <c r="AS143" s="50"/>
    </row>
    <row r="144" spans="1:46" x14ac:dyDescent="0.25">
      <c r="A144" s="244" t="s">
        <v>273</v>
      </c>
      <c r="B144" s="246"/>
      <c r="C144" s="293"/>
      <c r="D144" s="246"/>
      <c r="E144" s="246"/>
      <c r="F144" s="327"/>
      <c r="G144" s="246"/>
      <c r="H144" s="246"/>
      <c r="I144" s="246"/>
      <c r="J144" s="244" t="s">
        <v>276</v>
      </c>
      <c r="K144" s="246"/>
      <c r="L144" s="247"/>
      <c r="M144" s="246"/>
      <c r="N144" s="245"/>
      <c r="O144" s="246"/>
      <c r="P144" s="244" t="s">
        <v>280</v>
      </c>
      <c r="Q144" s="249"/>
      <c r="R144" s="249"/>
      <c r="V144" s="413"/>
      <c r="AA144" s="379"/>
      <c r="AC144" s="379"/>
      <c r="AD144" s="379"/>
      <c r="AE144" s="463"/>
      <c r="AF144" s="463"/>
      <c r="AG144" s="156"/>
      <c r="AH144" s="379"/>
      <c r="AI144" s="50"/>
      <c r="AJ144" s="50"/>
      <c r="AK144" s="156"/>
      <c r="AL144" s="379"/>
      <c r="AM144" s="60"/>
      <c r="AN144" s="60"/>
      <c r="AO144" s="379"/>
      <c r="AP144" s="379"/>
      <c r="AQ144" s="162"/>
      <c r="AR144" s="379"/>
      <c r="AS144" s="50"/>
    </row>
    <row r="145" spans="1:46" x14ac:dyDescent="0.25">
      <c r="A145" s="244" t="s">
        <v>271</v>
      </c>
      <c r="B145" s="246"/>
      <c r="C145" s="293"/>
      <c r="D145" s="246"/>
      <c r="E145" s="246"/>
      <c r="F145" s="327"/>
      <c r="G145" s="246"/>
      <c r="H145" s="246"/>
      <c r="I145" s="246"/>
      <c r="J145" s="244" t="s">
        <v>387</v>
      </c>
      <c r="K145" s="245"/>
      <c r="L145" s="250"/>
      <c r="M145" s="245"/>
      <c r="N145" s="245"/>
      <c r="O145" s="245"/>
      <c r="P145" s="244" t="s">
        <v>281</v>
      </c>
      <c r="Q145" s="249"/>
      <c r="R145" s="249"/>
      <c r="V145" s="413"/>
    </row>
    <row r="146" spans="1:46" x14ac:dyDescent="0.25">
      <c r="A146" s="45"/>
      <c r="B146" s="378"/>
      <c r="C146" s="196"/>
      <c r="D146" s="378"/>
      <c r="E146" s="378"/>
      <c r="F146" s="519"/>
      <c r="G146" s="131"/>
      <c r="H146" s="391"/>
      <c r="I146" s="86"/>
      <c r="J146" s="223"/>
      <c r="K146" s="485"/>
      <c r="L146" s="5"/>
      <c r="M146" s="5"/>
      <c r="N146" s="6"/>
      <c r="O146" s="6"/>
      <c r="P146" s="5"/>
      <c r="Q146" s="5"/>
      <c r="R146" s="5"/>
      <c r="S146" s="84"/>
      <c r="T146" s="53"/>
      <c r="V146" s="413"/>
      <c r="Y146" s="77"/>
      <c r="AM146" s="54"/>
      <c r="AQ146" s="162"/>
      <c r="AR146" s="54"/>
      <c r="AT146" s="379"/>
    </row>
    <row r="147" spans="1:46" x14ac:dyDescent="0.25">
      <c r="A147" s="45"/>
      <c r="B147" s="378"/>
      <c r="C147" s="196"/>
      <c r="D147" s="378"/>
      <c r="E147" s="378"/>
      <c r="F147" s="519"/>
      <c r="G147" s="131"/>
      <c r="H147" s="391"/>
      <c r="I147" s="86"/>
      <c r="J147" s="223"/>
      <c r="K147" s="485"/>
      <c r="L147" s="5"/>
      <c r="M147" s="5"/>
      <c r="N147" s="6"/>
      <c r="O147" s="6"/>
      <c r="P147" s="5"/>
      <c r="Q147" s="5"/>
      <c r="R147" s="5"/>
      <c r="S147" s="84"/>
      <c r="T147" s="53"/>
      <c r="V147" s="413"/>
      <c r="Y147" s="77"/>
      <c r="AM147" s="54"/>
      <c r="AQ147" s="162"/>
      <c r="AR147" s="54"/>
      <c r="AT147" s="379"/>
    </row>
    <row r="148" spans="1:46" x14ac:dyDescent="0.25">
      <c r="A148" s="43" t="str">
        <f>NAME</f>
        <v>DUKE ENERGY KENTUCKY, INC.</v>
      </c>
      <c r="B148" s="43"/>
      <c r="C148" s="297"/>
      <c r="D148" s="43"/>
      <c r="E148" s="43"/>
      <c r="F148" s="297"/>
      <c r="G148" s="43"/>
      <c r="H148" s="43"/>
      <c r="I148" s="43"/>
      <c r="J148" s="44"/>
      <c r="K148" s="44"/>
      <c r="L148" s="43"/>
      <c r="M148" s="43"/>
      <c r="N148" s="43"/>
      <c r="O148" s="43"/>
      <c r="P148" s="43"/>
      <c r="Q148" s="43"/>
      <c r="R148" s="43"/>
      <c r="V148" s="413"/>
      <c r="AA148" s="54"/>
    </row>
    <row r="149" spans="1:46" x14ac:dyDescent="0.25">
      <c r="A149" s="43" t="str">
        <f>CASE_NO</f>
        <v>CASE NO.   2019-000271</v>
      </c>
      <c r="B149" s="43"/>
      <c r="C149" s="297"/>
      <c r="D149" s="43"/>
      <c r="E149" s="43"/>
      <c r="F149" s="297"/>
      <c r="G149" s="43"/>
      <c r="H149" s="43"/>
      <c r="I149" s="43"/>
      <c r="J149" s="44"/>
      <c r="K149" s="44"/>
      <c r="L149" s="43"/>
      <c r="M149" s="43"/>
      <c r="N149" s="43"/>
      <c r="O149" s="43"/>
      <c r="P149" s="43"/>
      <c r="Q149" s="43"/>
      <c r="R149" s="43"/>
      <c r="V149" s="413"/>
      <c r="AA149" s="54"/>
    </row>
    <row r="150" spans="1:46" x14ac:dyDescent="0.25">
      <c r="A150" s="44" t="str">
        <f>TITLE</f>
        <v>ANNUALIZED BASE YEAR REVENUES AT PROPOSED VS. MOST CURRENT RATES</v>
      </c>
      <c r="B150" s="43"/>
      <c r="C150" s="297"/>
      <c r="D150" s="43"/>
      <c r="E150" s="43"/>
      <c r="F150" s="297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V150" s="413"/>
      <c r="AB150" s="53"/>
    </row>
    <row r="151" spans="1:46" x14ac:dyDescent="0.25">
      <c r="A151" s="43" t="str">
        <f>DATE</f>
        <v>FOR THE TWELVE MONTHS ENDED November 30, 2019</v>
      </c>
      <c r="B151" s="43"/>
      <c r="C151" s="297"/>
      <c r="D151" s="43"/>
      <c r="E151" s="43"/>
      <c r="F151" s="297"/>
      <c r="G151" s="43"/>
      <c r="H151" s="43"/>
      <c r="I151" s="43"/>
      <c r="J151" s="44"/>
      <c r="K151" s="44"/>
      <c r="L151" s="43"/>
      <c r="M151" s="43"/>
      <c r="N151" s="43"/>
      <c r="O151" s="43"/>
      <c r="P151" s="43"/>
      <c r="Q151" s="43"/>
      <c r="R151" s="43"/>
      <c r="V151" s="413"/>
      <c r="AC151" s="54"/>
      <c r="AD151" s="54"/>
    </row>
    <row r="152" spans="1:46" x14ac:dyDescent="0.25">
      <c r="A152" s="43" t="str">
        <f>SERVICE</f>
        <v>(ELECTRIC SERVICE)</v>
      </c>
      <c r="B152" s="43"/>
      <c r="C152" s="297"/>
      <c r="D152" s="43"/>
      <c r="E152" s="43"/>
      <c r="F152" s="297"/>
      <c r="G152" s="43"/>
      <c r="H152" s="43"/>
      <c r="I152" s="43"/>
      <c r="J152" s="43"/>
      <c r="K152" s="43"/>
      <c r="L152" s="44"/>
      <c r="M152" s="44"/>
      <c r="N152" s="43"/>
      <c r="O152" s="43"/>
      <c r="P152" s="43"/>
      <c r="Q152" s="43"/>
      <c r="R152" s="43"/>
      <c r="V152" s="413"/>
      <c r="AM152" s="54"/>
      <c r="AN152" s="54"/>
    </row>
    <row r="153" spans="1:46" x14ac:dyDescent="0.25">
      <c r="A153" s="45" t="str">
        <f>DATA_PERIOD</f>
        <v>DATA: __X__ BASE PERIOD   ____FORECASTED PERIOD</v>
      </c>
      <c r="B153" s="378"/>
      <c r="C153" s="194"/>
      <c r="D153" s="378"/>
      <c r="E153" s="378"/>
      <c r="F153" s="194"/>
      <c r="G153" s="378"/>
      <c r="H153" s="378"/>
      <c r="I153" s="378"/>
      <c r="J153" s="378"/>
      <c r="K153" s="378"/>
      <c r="L153" s="378"/>
      <c r="M153" s="378"/>
      <c r="N153" s="378"/>
      <c r="O153" s="378"/>
      <c r="P153" s="378"/>
      <c r="Q153" s="378"/>
      <c r="R153" s="46" t="s">
        <v>163</v>
      </c>
      <c r="V153" s="413"/>
      <c r="AM153" s="54"/>
      <c r="AN153" s="54"/>
    </row>
    <row r="154" spans="1:46" x14ac:dyDescent="0.25">
      <c r="A154" s="45" t="str">
        <f>TYPE</f>
        <v>TYPE OF FILING: _X_ ORIGINAL   ___UPDATED  ___ REVISED</v>
      </c>
      <c r="B154" s="378"/>
      <c r="C154" s="194"/>
      <c r="D154" s="378"/>
      <c r="E154" s="378"/>
      <c r="F154" s="194"/>
      <c r="G154" s="378"/>
      <c r="H154" s="378"/>
      <c r="I154" s="378"/>
      <c r="J154" s="378"/>
      <c r="K154" s="378"/>
      <c r="L154" s="378"/>
      <c r="M154" s="378"/>
      <c r="N154" s="378"/>
      <c r="O154" s="378"/>
      <c r="P154" s="378"/>
      <c r="Q154" s="378"/>
      <c r="R154" s="52" t="str">
        <f>"PAGE 15 OF "&amp;TEXT(Page_Num_2.3,"00")</f>
        <v>PAGE 15 OF 23</v>
      </c>
      <c r="V154" s="413"/>
      <c r="AM154" s="54"/>
      <c r="AN154" s="54"/>
    </row>
    <row r="155" spans="1:46" x14ac:dyDescent="0.25">
      <c r="A155" s="46" t="s">
        <v>177</v>
      </c>
      <c r="B155" s="378"/>
      <c r="C155" s="194"/>
      <c r="D155" s="378"/>
      <c r="E155" s="378"/>
      <c r="F155" s="194"/>
      <c r="G155" s="378"/>
      <c r="H155" s="378"/>
      <c r="I155" s="378"/>
      <c r="J155" s="378"/>
      <c r="K155" s="378"/>
      <c r="L155" s="378"/>
      <c r="M155" s="378"/>
      <c r="N155" s="378"/>
      <c r="O155" s="378"/>
      <c r="P155" s="378"/>
      <c r="Q155" s="378"/>
      <c r="R155" s="46" t="s">
        <v>3</v>
      </c>
      <c r="V155" s="413"/>
      <c r="AM155" s="54"/>
      <c r="AN155" s="54"/>
    </row>
    <row r="156" spans="1:46" x14ac:dyDescent="0.25">
      <c r="A156" s="218" t="str">
        <f>TIME</f>
        <v>6 Months Actual and 6 Months Projected with Riders</v>
      </c>
      <c r="B156" s="378"/>
      <c r="C156" s="194"/>
      <c r="D156" s="378"/>
      <c r="E156" s="378"/>
      <c r="F156" s="194"/>
      <c r="G156" s="378"/>
      <c r="H156" s="378"/>
      <c r="I156" s="378"/>
      <c r="J156" s="378"/>
      <c r="K156" s="378"/>
      <c r="M156" s="46"/>
      <c r="N156" s="378"/>
      <c r="O156" s="378"/>
      <c r="P156" s="378"/>
      <c r="Q156" s="378"/>
      <c r="R156" s="45" t="str">
        <f>WIT</f>
        <v>J. L. Kern</v>
      </c>
      <c r="V156" s="413"/>
      <c r="AC156" s="54"/>
      <c r="AD156" s="54"/>
      <c r="AM156" s="53"/>
      <c r="AN156" s="53"/>
    </row>
    <row r="157" spans="1:46" x14ac:dyDescent="0.25">
      <c r="A157" s="44" t="s">
        <v>136</v>
      </c>
      <c r="B157" s="43"/>
      <c r="C157" s="297"/>
      <c r="D157" s="43"/>
      <c r="E157" s="43"/>
      <c r="F157" s="297"/>
      <c r="G157" s="43"/>
      <c r="H157" s="43"/>
      <c r="I157" s="43"/>
      <c r="J157" s="43"/>
      <c r="K157" s="43"/>
      <c r="L157" s="44"/>
      <c r="M157" s="44"/>
      <c r="N157" s="43"/>
      <c r="O157" s="43"/>
      <c r="P157" s="43"/>
      <c r="Q157" s="43"/>
      <c r="R157" s="44"/>
      <c r="V157" s="413"/>
      <c r="AC157" s="54"/>
      <c r="AD157" s="54"/>
      <c r="AM157" s="53"/>
      <c r="AN157" s="53"/>
    </row>
    <row r="158" spans="1:46" x14ac:dyDescent="0.25">
      <c r="A158" s="72"/>
      <c r="B158" s="72"/>
      <c r="C158" s="298"/>
      <c r="D158" s="72"/>
      <c r="E158" s="72"/>
      <c r="F158" s="194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T158" s="210"/>
      <c r="U158" s="55"/>
      <c r="V158" s="413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154"/>
      <c r="AH158" s="55"/>
      <c r="AI158" s="55"/>
      <c r="AJ158" s="55"/>
      <c r="AK158" s="154"/>
      <c r="AL158" s="55"/>
      <c r="AM158" s="55"/>
      <c r="AN158" s="55"/>
      <c r="AO158" s="55"/>
      <c r="AP158" s="55"/>
    </row>
    <row r="159" spans="1:46" ht="18" customHeight="1" x14ac:dyDescent="0.25">
      <c r="A159" s="73"/>
      <c r="B159" s="73"/>
      <c r="C159" s="299"/>
      <c r="D159" s="73"/>
      <c r="E159" s="73"/>
      <c r="F159" s="299"/>
      <c r="G159" s="73"/>
      <c r="H159" s="73"/>
      <c r="I159" s="73"/>
      <c r="J159" s="73"/>
      <c r="K159" s="73"/>
      <c r="L159" s="74" t="s">
        <v>6</v>
      </c>
      <c r="M159" s="74"/>
      <c r="N159" s="74" t="s">
        <v>7</v>
      </c>
      <c r="O159" s="74"/>
      <c r="P159" s="73"/>
      <c r="Q159" s="73"/>
      <c r="R159" s="74" t="s">
        <v>6</v>
      </c>
      <c r="V159" s="413"/>
      <c r="AC159" s="56"/>
      <c r="AD159" s="56"/>
      <c r="AE159" s="56"/>
      <c r="AF159" s="56"/>
      <c r="AG159" s="155"/>
      <c r="AH159" s="56"/>
      <c r="AI159" s="56"/>
      <c r="AJ159" s="56"/>
      <c r="AM159" s="56"/>
      <c r="AN159" s="56"/>
      <c r="AO159" s="56"/>
      <c r="AP159" s="56"/>
    </row>
    <row r="160" spans="1:46" x14ac:dyDescent="0.25">
      <c r="A160" s="378"/>
      <c r="B160" s="378"/>
      <c r="C160" s="194"/>
      <c r="D160" s="378"/>
      <c r="E160" s="378"/>
      <c r="F160" s="194"/>
      <c r="G160" s="378"/>
      <c r="H160" s="378"/>
      <c r="I160" s="378"/>
      <c r="J160" s="378"/>
      <c r="K160" s="378"/>
      <c r="L160" s="426" t="s">
        <v>12</v>
      </c>
      <c r="M160" s="426"/>
      <c r="N160" s="426" t="s">
        <v>13</v>
      </c>
      <c r="O160" s="426"/>
      <c r="P160" s="378"/>
      <c r="Q160" s="378"/>
      <c r="R160" s="426" t="s">
        <v>11</v>
      </c>
      <c r="V160" s="413"/>
      <c r="AB160" s="56"/>
      <c r="AC160" s="56"/>
      <c r="AD160" s="56"/>
      <c r="AE160" s="56"/>
      <c r="AF160" s="56"/>
      <c r="AG160" s="155"/>
      <c r="AH160" s="56"/>
      <c r="AI160" s="56"/>
      <c r="AJ160" s="56"/>
      <c r="AM160" s="56"/>
      <c r="AN160" s="56"/>
      <c r="AO160" s="56"/>
      <c r="AP160" s="56"/>
    </row>
    <row r="161" spans="1:49" x14ac:dyDescent="0.25">
      <c r="A161" s="426" t="s">
        <v>17</v>
      </c>
      <c r="B161" s="378"/>
      <c r="C161" s="197" t="s">
        <v>18</v>
      </c>
      <c r="D161" s="426" t="s">
        <v>19</v>
      </c>
      <c r="E161" s="426"/>
      <c r="F161" s="197" t="s">
        <v>20</v>
      </c>
      <c r="G161" s="378"/>
      <c r="H161" s="378"/>
      <c r="I161" s="378"/>
      <c r="J161" s="426" t="s">
        <v>6</v>
      </c>
      <c r="K161" s="426"/>
      <c r="L161" s="426" t="s">
        <v>21</v>
      </c>
      <c r="M161" s="426"/>
      <c r="N161" s="426" t="s">
        <v>21</v>
      </c>
      <c r="O161" s="426"/>
      <c r="P161" s="426" t="s">
        <v>21</v>
      </c>
      <c r="Q161" s="426"/>
      <c r="R161" s="426" t="s">
        <v>9</v>
      </c>
      <c r="T161" s="210"/>
      <c r="U161" s="56"/>
      <c r="V161" s="413"/>
      <c r="AB161" s="56"/>
      <c r="AC161" s="56"/>
      <c r="AD161" s="56"/>
      <c r="AE161" s="56"/>
      <c r="AF161" s="56"/>
      <c r="AG161" s="155"/>
      <c r="AH161" s="56"/>
      <c r="AI161" s="56"/>
      <c r="AJ161" s="56"/>
      <c r="AK161" s="155"/>
      <c r="AL161" s="56"/>
      <c r="AM161" s="56"/>
      <c r="AN161" s="56"/>
      <c r="AO161" s="56"/>
      <c r="AP161" s="56"/>
    </row>
    <row r="162" spans="1:49" x14ac:dyDescent="0.25">
      <c r="A162" s="426" t="s">
        <v>24</v>
      </c>
      <c r="B162" s="378"/>
      <c r="C162" s="197" t="s">
        <v>25</v>
      </c>
      <c r="D162" s="426" t="s">
        <v>26</v>
      </c>
      <c r="E162" s="426"/>
      <c r="F162" s="197" t="s">
        <v>27</v>
      </c>
      <c r="G162" s="378"/>
      <c r="H162" s="426" t="s">
        <v>28</v>
      </c>
      <c r="I162" s="426"/>
      <c r="J162" s="70" t="s">
        <v>381</v>
      </c>
      <c r="K162" s="426"/>
      <c r="L162" s="426" t="s">
        <v>9</v>
      </c>
      <c r="M162" s="426"/>
      <c r="N162" s="426" t="s">
        <v>9</v>
      </c>
      <c r="O162" s="426"/>
      <c r="P162" s="426" t="s">
        <v>379</v>
      </c>
      <c r="Q162" s="426"/>
      <c r="R162" s="265" t="s">
        <v>30</v>
      </c>
      <c r="T162" s="210"/>
      <c r="U162" s="56"/>
      <c r="V162" s="413"/>
      <c r="AA162" s="56"/>
      <c r="AB162" s="56"/>
      <c r="AC162" s="56"/>
      <c r="AD162" s="56"/>
      <c r="AE162" s="56"/>
      <c r="AF162" s="56"/>
      <c r="AG162" s="155"/>
      <c r="AH162" s="56"/>
      <c r="AI162" s="56"/>
      <c r="AJ162" s="56"/>
      <c r="AK162" s="155"/>
      <c r="AL162" s="56"/>
      <c r="AM162" s="56"/>
      <c r="AN162" s="56"/>
      <c r="AO162" s="56"/>
      <c r="AP162" s="56"/>
    </row>
    <row r="163" spans="1:49" x14ac:dyDescent="0.25">
      <c r="A163" s="378"/>
      <c r="B163" s="378"/>
      <c r="C163" s="512" t="s">
        <v>35</v>
      </c>
      <c r="D163" s="265" t="s">
        <v>36</v>
      </c>
      <c r="E163" s="265"/>
      <c r="F163" s="512" t="s">
        <v>37</v>
      </c>
      <c r="G163" s="218"/>
      <c r="H163" s="265" t="s">
        <v>38</v>
      </c>
      <c r="I163" s="265"/>
      <c r="J163" s="265" t="s">
        <v>39</v>
      </c>
      <c r="K163" s="265"/>
      <c r="L163" s="265" t="s">
        <v>40</v>
      </c>
      <c r="M163" s="265"/>
      <c r="N163" s="265" t="s">
        <v>41</v>
      </c>
      <c r="O163" s="265"/>
      <c r="P163" s="265" t="s">
        <v>42</v>
      </c>
      <c r="Q163" s="265"/>
      <c r="R163" s="265" t="s">
        <v>43</v>
      </c>
      <c r="T163" s="210"/>
      <c r="U163" s="55"/>
      <c r="V163" s="413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154"/>
      <c r="AH163" s="55"/>
      <c r="AI163" s="55"/>
      <c r="AJ163" s="55"/>
      <c r="AK163" s="154"/>
      <c r="AL163" s="55"/>
      <c r="AM163" s="55"/>
      <c r="AN163" s="55"/>
      <c r="AO163" s="55"/>
      <c r="AP163" s="55"/>
    </row>
    <row r="164" spans="1:49" ht="17.100000000000001" customHeight="1" x14ac:dyDescent="0.25">
      <c r="A164" s="73"/>
      <c r="B164" s="73"/>
      <c r="C164" s="299"/>
      <c r="D164" s="73"/>
      <c r="E164" s="73"/>
      <c r="F164" s="299"/>
      <c r="G164" s="73"/>
      <c r="H164" s="496" t="s">
        <v>51</v>
      </c>
      <c r="I164" s="496"/>
      <c r="J164" s="495" t="s">
        <v>71</v>
      </c>
      <c r="K164" s="496"/>
      <c r="L164" s="496" t="s">
        <v>52</v>
      </c>
      <c r="M164" s="496"/>
      <c r="N164" s="496" t="s">
        <v>53</v>
      </c>
      <c r="O164" s="496"/>
      <c r="P164" s="496" t="s">
        <v>52</v>
      </c>
      <c r="Q164" s="496"/>
      <c r="R164" s="496" t="s">
        <v>52</v>
      </c>
      <c r="V164" s="413"/>
      <c r="AA164" s="56"/>
      <c r="AB164" s="56"/>
      <c r="AC164" s="56"/>
      <c r="AD164" s="56"/>
      <c r="AE164" s="56"/>
      <c r="AF164" s="56"/>
      <c r="AG164" s="155"/>
      <c r="AH164" s="56"/>
      <c r="AI164" s="56"/>
      <c r="AJ164" s="56"/>
      <c r="AK164" s="155"/>
      <c r="AL164" s="56"/>
      <c r="AM164" s="56"/>
      <c r="AN164" s="56"/>
      <c r="AO164" s="56"/>
      <c r="AP164" s="56"/>
    </row>
    <row r="165" spans="1:49" x14ac:dyDescent="0.25">
      <c r="A165" s="368">
        <v>97</v>
      </c>
      <c r="B165" s="378"/>
      <c r="C165" s="520" t="s">
        <v>79</v>
      </c>
      <c r="D165" s="52" t="s">
        <v>303</v>
      </c>
      <c r="E165" s="46"/>
      <c r="F165" s="131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T165" s="210"/>
      <c r="U165" s="54"/>
      <c r="V165" s="413"/>
    </row>
    <row r="166" spans="1:49" x14ac:dyDescent="0.25">
      <c r="A166" s="368">
        <v>98</v>
      </c>
      <c r="B166" s="378"/>
      <c r="C166" s="520" t="s">
        <v>476</v>
      </c>
      <c r="D166" s="378"/>
      <c r="E166" s="378"/>
      <c r="F166" s="131"/>
      <c r="G166" s="2"/>
      <c r="H166" s="2"/>
      <c r="I166" s="2"/>
      <c r="J166" s="7"/>
      <c r="K166" s="7"/>
      <c r="L166" s="2"/>
      <c r="M166" s="2"/>
      <c r="N166" s="2"/>
      <c r="O166" s="2"/>
      <c r="P166" s="2"/>
      <c r="Q166" s="2"/>
      <c r="R166" s="2"/>
      <c r="V166" s="413"/>
      <c r="W166" s="56"/>
      <c r="X166" s="56"/>
      <c r="Y166" s="56"/>
      <c r="Z166" s="56"/>
      <c r="AA166" s="56"/>
      <c r="AC166" s="56"/>
      <c r="AD166" s="56"/>
      <c r="AE166" s="56"/>
      <c r="AF166" s="56"/>
      <c r="AG166" s="155"/>
      <c r="AH166" s="56"/>
      <c r="AI166" s="56"/>
      <c r="AJ166" s="56"/>
      <c r="AK166" s="155"/>
      <c r="AL166" s="56"/>
      <c r="AM166" s="56"/>
      <c r="AN166" s="56"/>
      <c r="AO166" s="56"/>
      <c r="AP166" s="56"/>
      <c r="AQ166" s="162"/>
      <c r="AR166" s="56"/>
      <c r="AS166" s="56"/>
      <c r="AU166" s="379"/>
      <c r="AV166" s="379"/>
      <c r="AW166" s="50"/>
    </row>
    <row r="167" spans="1:49" x14ac:dyDescent="0.25">
      <c r="A167" s="368">
        <v>99</v>
      </c>
      <c r="B167" s="378"/>
      <c r="C167" s="520" t="s">
        <v>325</v>
      </c>
      <c r="D167" s="378"/>
      <c r="E167" s="378"/>
      <c r="F167" s="519"/>
      <c r="G167" s="131"/>
      <c r="H167" s="308"/>
      <c r="I167" s="86"/>
      <c r="J167" s="485"/>
      <c r="K167" s="485"/>
      <c r="L167" s="5"/>
      <c r="M167" s="5"/>
      <c r="N167" s="6"/>
      <c r="O167" s="6"/>
      <c r="P167" s="5"/>
      <c r="Q167" s="5"/>
      <c r="R167" s="5"/>
      <c r="T167" s="53"/>
      <c r="V167" s="413"/>
      <c r="AM167" s="54"/>
      <c r="AQ167" s="162"/>
      <c r="AR167" s="54"/>
      <c r="AT167" s="379"/>
    </row>
    <row r="168" spans="1:49" x14ac:dyDescent="0.25">
      <c r="A168" s="368">
        <v>100</v>
      </c>
      <c r="B168" s="281"/>
      <c r="C168" s="283" t="s">
        <v>466</v>
      </c>
      <c r="D168" s="281"/>
      <c r="E168" s="378"/>
      <c r="F168" s="519">
        <v>0</v>
      </c>
      <c r="G168" s="131"/>
      <c r="H168" s="391">
        <f t="shared" ref="H168:H176" si="40">ROUND(F168*AC168/12,0)</f>
        <v>0</v>
      </c>
      <c r="I168" s="86"/>
      <c r="J168" s="223">
        <f>ROUND(AC388+(AC388*$AG$1),2)</f>
        <v>8.58</v>
      </c>
      <c r="K168" s="485"/>
      <c r="L168" s="5">
        <f t="shared" ref="L168:L176" si="41">ROUND((F168*J168),0)</f>
        <v>0</v>
      </c>
      <c r="M168" s="5"/>
      <c r="N168" s="6">
        <f t="shared" ref="N168:N176" si="42">ROUND((L168/L$209)*100,1)</f>
        <v>0</v>
      </c>
      <c r="O168" s="6"/>
      <c r="P168" s="5">
        <f t="shared" ref="P168:P176" si="43">ROUND($P$209/$H$209*H168,0)</f>
        <v>0</v>
      </c>
      <c r="Q168" s="5"/>
      <c r="R168" s="5">
        <f t="shared" ref="R168:R176" si="44">L168+P168</f>
        <v>0</v>
      </c>
      <c r="S168" s="84"/>
      <c r="T168" s="53"/>
      <c r="V168" s="413"/>
      <c r="Y168" s="514"/>
      <c r="AA168" s="391"/>
      <c r="AC168" s="380">
        <v>853</v>
      </c>
      <c r="AM168" s="54"/>
      <c r="AQ168" s="162"/>
      <c r="AR168" s="54"/>
      <c r="AT168" s="379"/>
    </row>
    <row r="169" spans="1:49" x14ac:dyDescent="0.25">
      <c r="A169" s="368">
        <v>101</v>
      </c>
      <c r="B169" s="281"/>
      <c r="C169" s="283" t="s">
        <v>561</v>
      </c>
      <c r="D169" s="281"/>
      <c r="E169" s="378"/>
      <c r="F169" s="519">
        <v>60</v>
      </c>
      <c r="G169" s="131"/>
      <c r="H169" s="391">
        <f t="shared" si="40"/>
        <v>4265</v>
      </c>
      <c r="I169" s="86"/>
      <c r="J169" s="223">
        <f>$J$168+$AG$9</f>
        <v>22.310000000000002</v>
      </c>
      <c r="K169" s="485"/>
      <c r="L169" s="5">
        <f t="shared" si="41"/>
        <v>1339</v>
      </c>
      <c r="M169" s="5"/>
      <c r="N169" s="6">
        <f t="shared" si="42"/>
        <v>0.1</v>
      </c>
      <c r="O169" s="6"/>
      <c r="P169" s="5">
        <f t="shared" si="43"/>
        <v>3</v>
      </c>
      <c r="Q169" s="5"/>
      <c r="R169" s="5">
        <f t="shared" si="44"/>
        <v>1342</v>
      </c>
      <c r="S169" s="84"/>
      <c r="T169" s="53"/>
      <c r="V169" s="413"/>
      <c r="Y169" s="514"/>
      <c r="AA169" s="391"/>
      <c r="AC169" s="380">
        <v>853</v>
      </c>
      <c r="AM169" s="54"/>
      <c r="AQ169" s="162"/>
      <c r="AR169" s="54"/>
      <c r="AT169" s="379"/>
    </row>
    <row r="170" spans="1:49" x14ac:dyDescent="0.25">
      <c r="A170" s="368">
        <v>102</v>
      </c>
      <c r="B170" s="281"/>
      <c r="C170" s="283" t="s">
        <v>333</v>
      </c>
      <c r="D170" s="281"/>
      <c r="E170" s="378"/>
      <c r="F170" s="519">
        <v>468</v>
      </c>
      <c r="G170" s="131"/>
      <c r="H170" s="391">
        <f t="shared" si="40"/>
        <v>33267</v>
      </c>
      <c r="I170" s="86"/>
      <c r="J170" s="223">
        <f>$J$168+$AG$13</f>
        <v>13.629999999999999</v>
      </c>
      <c r="K170" s="485"/>
      <c r="L170" s="5">
        <f t="shared" si="41"/>
        <v>6379</v>
      </c>
      <c r="M170" s="5"/>
      <c r="N170" s="6">
        <f t="shared" si="42"/>
        <v>0.4</v>
      </c>
      <c r="O170" s="6"/>
      <c r="P170" s="5">
        <f t="shared" si="43"/>
        <v>23</v>
      </c>
      <c r="Q170" s="5"/>
      <c r="R170" s="5">
        <f t="shared" si="44"/>
        <v>6402</v>
      </c>
      <c r="S170" s="84"/>
      <c r="T170" s="53"/>
      <c r="V170" s="413"/>
      <c r="Y170" s="514"/>
      <c r="AA170" s="391"/>
      <c r="AC170" s="380">
        <v>853</v>
      </c>
      <c r="AM170" s="54"/>
      <c r="AQ170" s="162"/>
      <c r="AR170" s="54"/>
      <c r="AT170" s="379"/>
    </row>
    <row r="171" spans="1:49" x14ac:dyDescent="0.25">
      <c r="A171" s="368">
        <v>103</v>
      </c>
      <c r="B171" s="281"/>
      <c r="C171" s="283" t="s">
        <v>326</v>
      </c>
      <c r="D171" s="281"/>
      <c r="E171" s="378"/>
      <c r="F171" s="519">
        <v>0</v>
      </c>
      <c r="G171" s="131"/>
      <c r="H171" s="391">
        <f t="shared" si="40"/>
        <v>0</v>
      </c>
      <c r="I171" s="86"/>
      <c r="J171" s="223">
        <f>ROUND(AC391+(AC391*$AG$1),2)</f>
        <v>15.62</v>
      </c>
      <c r="K171" s="485"/>
      <c r="L171" s="5">
        <f t="shared" si="41"/>
        <v>0</v>
      </c>
      <c r="M171" s="5"/>
      <c r="N171" s="6">
        <f t="shared" si="42"/>
        <v>0</v>
      </c>
      <c r="O171" s="6"/>
      <c r="P171" s="5">
        <f t="shared" si="43"/>
        <v>0</v>
      </c>
      <c r="Q171" s="5"/>
      <c r="R171" s="5">
        <f t="shared" si="44"/>
        <v>0</v>
      </c>
      <c r="S171" s="84"/>
      <c r="T171" s="53"/>
      <c r="V171" s="413"/>
      <c r="Y171" s="514"/>
      <c r="AA171" s="391"/>
      <c r="AC171" s="380">
        <v>874</v>
      </c>
      <c r="AM171" s="54"/>
      <c r="AQ171" s="162"/>
      <c r="AR171" s="54"/>
      <c r="AT171" s="379"/>
    </row>
    <row r="172" spans="1:49" x14ac:dyDescent="0.25">
      <c r="A172" s="368">
        <v>104</v>
      </c>
      <c r="B172" s="281"/>
      <c r="C172" s="283" t="s">
        <v>562</v>
      </c>
      <c r="D172" s="281"/>
      <c r="E172" s="378"/>
      <c r="F172" s="519">
        <v>0</v>
      </c>
      <c r="G172" s="131"/>
      <c r="H172" s="391">
        <f t="shared" si="40"/>
        <v>0</v>
      </c>
      <c r="I172" s="86"/>
      <c r="J172" s="223">
        <f>$J$171+$AG$14</f>
        <v>30.38</v>
      </c>
      <c r="K172" s="485"/>
      <c r="L172" s="5">
        <f t="shared" si="41"/>
        <v>0</v>
      </c>
      <c r="M172" s="5"/>
      <c r="N172" s="6">
        <f t="shared" si="42"/>
        <v>0</v>
      </c>
      <c r="O172" s="6"/>
      <c r="P172" s="5">
        <f t="shared" si="43"/>
        <v>0</v>
      </c>
      <c r="Q172" s="5"/>
      <c r="R172" s="5">
        <f t="shared" si="44"/>
        <v>0</v>
      </c>
      <c r="S172" s="84"/>
      <c r="T172" s="53"/>
      <c r="V172" s="413"/>
      <c r="Y172" s="514"/>
      <c r="AA172" s="391"/>
      <c r="AC172" s="380">
        <v>874</v>
      </c>
      <c r="AM172" s="54"/>
      <c r="AQ172" s="162"/>
      <c r="AR172" s="54"/>
      <c r="AT172" s="379"/>
    </row>
    <row r="173" spans="1:49" x14ac:dyDescent="0.25">
      <c r="A173" s="368">
        <v>105</v>
      </c>
      <c r="B173" s="281"/>
      <c r="C173" s="282" t="s">
        <v>469</v>
      </c>
      <c r="D173" s="281"/>
      <c r="E173" s="378"/>
      <c r="F173" s="519">
        <v>0</v>
      </c>
      <c r="G173" s="131"/>
      <c r="H173" s="391">
        <f t="shared" si="40"/>
        <v>0</v>
      </c>
      <c r="I173" s="86"/>
      <c r="J173" s="223">
        <f>ROUND(AC393+(AC393*$AG$1),2)</f>
        <v>24.74</v>
      </c>
      <c r="K173" s="485"/>
      <c r="L173" s="5">
        <f t="shared" si="41"/>
        <v>0</v>
      </c>
      <c r="M173" s="5"/>
      <c r="N173" s="6">
        <f t="shared" si="42"/>
        <v>0</v>
      </c>
      <c r="O173" s="6"/>
      <c r="P173" s="5">
        <f t="shared" si="43"/>
        <v>0</v>
      </c>
      <c r="Q173" s="5"/>
      <c r="R173" s="5">
        <f t="shared" si="44"/>
        <v>0</v>
      </c>
      <c r="S173" s="84"/>
      <c r="T173" s="53"/>
      <c r="V173" s="413"/>
      <c r="Y173" s="514"/>
      <c r="AA173" s="391"/>
      <c r="AC173" s="380">
        <v>874</v>
      </c>
      <c r="AM173" s="54"/>
      <c r="AQ173" s="162"/>
      <c r="AR173" s="54"/>
      <c r="AT173" s="379"/>
    </row>
    <row r="174" spans="1:49" x14ac:dyDescent="0.25">
      <c r="A174" s="368">
        <v>106</v>
      </c>
      <c r="B174" s="281"/>
      <c r="C174" s="283" t="s">
        <v>563</v>
      </c>
      <c r="D174" s="281"/>
      <c r="E174" s="378"/>
      <c r="F174" s="519">
        <v>0</v>
      </c>
      <c r="G174" s="131"/>
      <c r="H174" s="391">
        <f t="shared" si="40"/>
        <v>0</v>
      </c>
      <c r="I174" s="189"/>
      <c r="J174" s="223">
        <f>ROUND(AC394+(AC394*$AG$1),2)</f>
        <v>24.74</v>
      </c>
      <c r="K174" s="485"/>
      <c r="L174" s="5">
        <f t="shared" si="41"/>
        <v>0</v>
      </c>
      <c r="M174" s="5"/>
      <c r="N174" s="6">
        <f t="shared" si="42"/>
        <v>0</v>
      </c>
      <c r="O174" s="6"/>
      <c r="P174" s="5">
        <f t="shared" si="43"/>
        <v>0</v>
      </c>
      <c r="Q174" s="5"/>
      <c r="R174" s="5">
        <f t="shared" si="44"/>
        <v>0</v>
      </c>
      <c r="S174" s="84"/>
      <c r="T174" s="53"/>
      <c r="V174" s="413"/>
      <c r="Y174" s="514"/>
      <c r="AA174" s="391"/>
      <c r="AC174" s="380">
        <v>874</v>
      </c>
      <c r="AM174" s="54"/>
      <c r="AQ174" s="162"/>
      <c r="AR174" s="54"/>
      <c r="AT174" s="379"/>
    </row>
    <row r="175" spans="1:49" x14ac:dyDescent="0.25">
      <c r="A175" s="368">
        <v>107</v>
      </c>
      <c r="B175" s="281"/>
      <c r="C175" s="283" t="s">
        <v>564</v>
      </c>
      <c r="D175" s="281"/>
      <c r="E175" s="378"/>
      <c r="F175" s="519">
        <v>288</v>
      </c>
      <c r="G175" s="131"/>
      <c r="H175" s="391">
        <f t="shared" si="40"/>
        <v>20976</v>
      </c>
      <c r="I175" s="189"/>
      <c r="J175" s="521">
        <f>$J$174+$AG$9</f>
        <v>38.47</v>
      </c>
      <c r="K175" s="485"/>
      <c r="L175" s="5">
        <f t="shared" si="41"/>
        <v>11079</v>
      </c>
      <c r="M175" s="5"/>
      <c r="N175" s="6">
        <f t="shared" si="42"/>
        <v>0.7</v>
      </c>
      <c r="O175" s="6"/>
      <c r="P175" s="5">
        <f t="shared" si="43"/>
        <v>14</v>
      </c>
      <c r="Q175" s="5"/>
      <c r="R175" s="5">
        <f t="shared" si="44"/>
        <v>11093</v>
      </c>
      <c r="S175" s="84"/>
      <c r="T175" s="53"/>
      <c r="V175" s="413"/>
      <c r="Y175" s="514"/>
      <c r="AA175" s="391"/>
      <c r="AC175" s="380">
        <v>874</v>
      </c>
      <c r="AM175" s="54"/>
      <c r="AQ175" s="162"/>
      <c r="AR175" s="54"/>
      <c r="AT175" s="379"/>
    </row>
    <row r="176" spans="1:49" x14ac:dyDescent="0.25">
      <c r="A176" s="368">
        <v>108</v>
      </c>
      <c r="B176" s="281"/>
      <c r="C176" s="283" t="s">
        <v>565</v>
      </c>
      <c r="D176" s="281"/>
      <c r="E176" s="378"/>
      <c r="F176" s="519">
        <v>60</v>
      </c>
      <c r="G176" s="131"/>
      <c r="H176" s="391">
        <f t="shared" si="40"/>
        <v>4370</v>
      </c>
      <c r="I176" s="189"/>
      <c r="J176" s="521">
        <f>$J$174+$AG$13</f>
        <v>29.79</v>
      </c>
      <c r="K176" s="485"/>
      <c r="L176" s="5">
        <f t="shared" si="41"/>
        <v>1787</v>
      </c>
      <c r="M176" s="5"/>
      <c r="N176" s="6">
        <f t="shared" si="42"/>
        <v>0.1</v>
      </c>
      <c r="O176" s="6"/>
      <c r="P176" s="5">
        <f t="shared" si="43"/>
        <v>3</v>
      </c>
      <c r="Q176" s="5"/>
      <c r="R176" s="5">
        <f t="shared" si="44"/>
        <v>1790</v>
      </c>
      <c r="S176" s="84"/>
      <c r="T176" s="53"/>
      <c r="V176" s="413"/>
      <c r="Y176" s="514"/>
      <c r="AA176" s="391"/>
      <c r="AC176" s="380">
        <v>874</v>
      </c>
      <c r="AM176" s="54"/>
      <c r="AQ176" s="162"/>
      <c r="AR176" s="54"/>
      <c r="AT176" s="379"/>
    </row>
    <row r="177" spans="1:49" x14ac:dyDescent="0.25">
      <c r="A177" s="368"/>
      <c r="B177" s="378"/>
      <c r="C177" s="520"/>
      <c r="D177" s="378"/>
      <c r="E177" s="378"/>
      <c r="F177" s="131"/>
      <c r="G177" s="131"/>
      <c r="H177" s="131"/>
      <c r="I177" s="2"/>
      <c r="J177" s="7"/>
      <c r="K177" s="7"/>
      <c r="L177" s="2"/>
      <c r="M177" s="2"/>
      <c r="N177" s="2"/>
      <c r="O177" s="2"/>
      <c r="P177" s="2"/>
      <c r="Q177" s="2"/>
      <c r="R177" s="2"/>
      <c r="V177" s="413"/>
      <c r="W177" s="56"/>
      <c r="X177" s="56"/>
      <c r="Y177" s="514"/>
      <c r="Z177" s="56"/>
      <c r="AA177" s="131"/>
      <c r="AC177" s="56"/>
      <c r="AD177" s="56"/>
      <c r="AE177" s="56"/>
      <c r="AF177" s="56"/>
      <c r="AG177" s="155"/>
      <c r="AH177" s="56"/>
      <c r="AI177" s="56"/>
      <c r="AJ177" s="56"/>
      <c r="AK177" s="155"/>
      <c r="AL177" s="56"/>
      <c r="AM177" s="56"/>
      <c r="AN177" s="56"/>
      <c r="AO177" s="56"/>
      <c r="AP177" s="56"/>
      <c r="AQ177" s="162"/>
      <c r="AR177" s="56"/>
      <c r="AS177" s="56"/>
      <c r="AU177" s="379"/>
      <c r="AV177" s="379"/>
      <c r="AW177" s="50"/>
    </row>
    <row r="178" spans="1:49" x14ac:dyDescent="0.25">
      <c r="A178" s="368">
        <v>109</v>
      </c>
      <c r="B178" s="378"/>
      <c r="C178" s="518" t="s">
        <v>210</v>
      </c>
      <c r="D178" s="378"/>
      <c r="E178" s="378"/>
      <c r="F178" s="194"/>
      <c r="G178" s="131"/>
      <c r="H178" s="131"/>
      <c r="I178" s="2"/>
      <c r="J178" s="7"/>
      <c r="K178" s="7"/>
      <c r="L178" s="2"/>
      <c r="M178" s="2"/>
      <c r="N178" s="2"/>
      <c r="O178" s="2"/>
      <c r="P178" s="2"/>
      <c r="Q178" s="2"/>
      <c r="R178" s="2"/>
      <c r="T178" s="210"/>
      <c r="V178" s="413"/>
      <c r="Y178" s="514"/>
      <c r="AA178" s="131"/>
      <c r="AQ178" s="162"/>
      <c r="AR178" s="54"/>
    </row>
    <row r="179" spans="1:49" x14ac:dyDescent="0.25">
      <c r="A179" s="368">
        <v>110</v>
      </c>
      <c r="B179" s="378"/>
      <c r="C179" s="196" t="s">
        <v>318</v>
      </c>
      <c r="D179" s="378"/>
      <c r="E179" s="378"/>
      <c r="F179" s="519">
        <v>96</v>
      </c>
      <c r="G179" s="131"/>
      <c r="H179" s="391">
        <f t="shared" ref="H179:H198" si="45">ROUND(F179*AC179/12,0)</f>
        <v>3896</v>
      </c>
      <c r="I179" s="2"/>
      <c r="J179" s="223">
        <f>ROUND(AC399+(AC399*$AG$1),2)</f>
        <v>12.54</v>
      </c>
      <c r="K179" s="7"/>
      <c r="L179" s="5">
        <f t="shared" ref="L179:L198" si="46">ROUND((F179*J179),0)</f>
        <v>1204</v>
      </c>
      <c r="M179" s="2"/>
      <c r="N179" s="6">
        <f t="shared" ref="N179:N199" si="47">ROUND((L179/L$209)*100,1)</f>
        <v>0.1</v>
      </c>
      <c r="O179" s="2"/>
      <c r="P179" s="5">
        <f t="shared" ref="P179:P198" si="48">ROUND($P$209/$H$209*H179,0)</f>
        <v>3</v>
      </c>
      <c r="Q179" s="2"/>
      <c r="R179" s="5">
        <f t="shared" ref="R179:R194" si="49">L179+P179</f>
        <v>1207</v>
      </c>
      <c r="S179" s="84"/>
      <c r="T179" s="210"/>
      <c r="V179" s="413"/>
      <c r="Y179" s="514"/>
      <c r="AA179" s="391"/>
      <c r="AC179" s="380">
        <v>487</v>
      </c>
      <c r="AQ179" s="162"/>
      <c r="AR179" s="54"/>
    </row>
    <row r="180" spans="1:49" x14ac:dyDescent="0.25">
      <c r="A180" s="368">
        <v>111</v>
      </c>
      <c r="B180" s="378"/>
      <c r="C180" s="195" t="s">
        <v>319</v>
      </c>
      <c r="D180" s="378"/>
      <c r="E180" s="378"/>
      <c r="F180" s="519">
        <v>1905</v>
      </c>
      <c r="G180" s="131"/>
      <c r="H180" s="391">
        <f t="shared" si="45"/>
        <v>77311</v>
      </c>
      <c r="I180" s="2"/>
      <c r="J180" s="223">
        <f>$J$179+$AG$13</f>
        <v>17.59</v>
      </c>
      <c r="K180" s="7"/>
      <c r="L180" s="5">
        <f t="shared" si="46"/>
        <v>33509</v>
      </c>
      <c r="M180" s="2"/>
      <c r="N180" s="6">
        <f t="shared" si="47"/>
        <v>2</v>
      </c>
      <c r="O180" s="2"/>
      <c r="P180" s="5">
        <f t="shared" si="48"/>
        <v>53</v>
      </c>
      <c r="Q180" s="2"/>
      <c r="R180" s="5">
        <f>L180+P180</f>
        <v>33562</v>
      </c>
      <c r="S180" s="84"/>
      <c r="T180" s="210"/>
      <c r="V180" s="413"/>
      <c r="Y180" s="514"/>
      <c r="AA180" s="391"/>
      <c r="AC180" s="380">
        <v>487</v>
      </c>
      <c r="AQ180" s="162"/>
      <c r="AR180" s="54"/>
    </row>
    <row r="181" spans="1:49" x14ac:dyDescent="0.25">
      <c r="A181" s="368">
        <v>112</v>
      </c>
      <c r="B181" s="378"/>
      <c r="C181" s="196" t="s">
        <v>320</v>
      </c>
      <c r="D181" s="378"/>
      <c r="E181" s="378"/>
      <c r="F181" s="519">
        <v>576</v>
      </c>
      <c r="G181" s="131"/>
      <c r="H181" s="391">
        <f t="shared" si="45"/>
        <v>25536</v>
      </c>
      <c r="I181" s="2"/>
      <c r="J181" s="223">
        <f>ROUND(AC401+(AC401*$AG$1),2)</f>
        <v>13.58</v>
      </c>
      <c r="K181" s="7"/>
      <c r="L181" s="5">
        <f t="shared" si="46"/>
        <v>7822</v>
      </c>
      <c r="M181" s="2"/>
      <c r="N181" s="6">
        <f t="shared" si="47"/>
        <v>0.5</v>
      </c>
      <c r="O181" s="2"/>
      <c r="P181" s="5">
        <f t="shared" si="48"/>
        <v>17</v>
      </c>
      <c r="Q181" s="2"/>
      <c r="R181" s="5">
        <f>L181+P181</f>
        <v>7839</v>
      </c>
      <c r="S181" s="84"/>
      <c r="T181" s="210"/>
      <c r="V181" s="413"/>
      <c r="Y181" s="514"/>
      <c r="AA181" s="391"/>
      <c r="AC181" s="380">
        <v>532</v>
      </c>
      <c r="AQ181" s="162"/>
      <c r="AR181" s="54"/>
    </row>
    <row r="182" spans="1:49" x14ac:dyDescent="0.25">
      <c r="A182" s="368">
        <v>113</v>
      </c>
      <c r="B182" s="378"/>
      <c r="C182" s="195" t="s">
        <v>321</v>
      </c>
      <c r="D182" s="378"/>
      <c r="E182" s="378"/>
      <c r="F182" s="519">
        <v>312</v>
      </c>
      <c r="G182" s="131"/>
      <c r="H182" s="391">
        <f t="shared" si="45"/>
        <v>13832</v>
      </c>
      <c r="I182" s="2"/>
      <c r="J182" s="223">
        <f>$J$181+$AG$13</f>
        <v>18.63</v>
      </c>
      <c r="K182" s="7"/>
      <c r="L182" s="5">
        <f t="shared" si="46"/>
        <v>5813</v>
      </c>
      <c r="M182" s="2"/>
      <c r="N182" s="6">
        <f t="shared" si="47"/>
        <v>0.3</v>
      </c>
      <c r="O182" s="2"/>
      <c r="P182" s="5">
        <f t="shared" si="48"/>
        <v>9</v>
      </c>
      <c r="Q182" s="2"/>
      <c r="R182" s="5">
        <f t="shared" si="49"/>
        <v>5822</v>
      </c>
      <c r="S182" s="84"/>
      <c r="T182" s="210"/>
      <c r="V182" s="413"/>
      <c r="Y182" s="514"/>
      <c r="AA182" s="391"/>
      <c r="AC182" s="380">
        <v>532</v>
      </c>
      <c r="AQ182" s="162"/>
      <c r="AR182" s="54"/>
    </row>
    <row r="183" spans="1:49" x14ac:dyDescent="0.25">
      <c r="A183" s="368">
        <v>114</v>
      </c>
      <c r="B183" s="378"/>
      <c r="C183" s="195" t="s">
        <v>628</v>
      </c>
      <c r="D183" s="378"/>
      <c r="E183" s="378"/>
      <c r="F183" s="519">
        <v>132</v>
      </c>
      <c r="G183" s="131"/>
      <c r="H183" s="391">
        <f t="shared" si="45"/>
        <v>5852</v>
      </c>
      <c r="I183" s="2"/>
      <c r="J183" s="223">
        <f>ROUND(AC403+(AC403*$AG$1),2)</f>
        <v>39.270000000000003</v>
      </c>
      <c r="K183" s="7"/>
      <c r="L183" s="5">
        <f t="shared" si="46"/>
        <v>5184</v>
      </c>
      <c r="M183" s="2"/>
      <c r="N183" s="6">
        <f t="shared" si="47"/>
        <v>0.3</v>
      </c>
      <c r="O183" s="2"/>
      <c r="P183" s="5">
        <f t="shared" si="48"/>
        <v>4</v>
      </c>
      <c r="Q183" s="2"/>
      <c r="R183" s="5">
        <f t="shared" ref="R183" si="50">L183+P183</f>
        <v>5188</v>
      </c>
      <c r="S183" s="84"/>
      <c r="T183" s="210"/>
      <c r="V183" s="413"/>
      <c r="Y183" s="514"/>
      <c r="AA183" s="391"/>
      <c r="AC183" s="380">
        <v>532</v>
      </c>
      <c r="AQ183" s="162"/>
      <c r="AR183" s="54"/>
    </row>
    <row r="184" spans="1:49" x14ac:dyDescent="0.25">
      <c r="A184" s="368">
        <v>115</v>
      </c>
      <c r="B184" s="378"/>
      <c r="C184" s="195" t="s">
        <v>629</v>
      </c>
      <c r="D184" s="378"/>
      <c r="E184" s="378"/>
      <c r="F184" s="519">
        <v>12</v>
      </c>
      <c r="G184" s="131"/>
      <c r="H184" s="391">
        <f t="shared" si="45"/>
        <v>532</v>
      </c>
      <c r="I184" s="2"/>
      <c r="J184" s="223">
        <f>ROUND(AC404+(AC404*$AG$1),2)</f>
        <v>30.59</v>
      </c>
      <c r="K184" s="7"/>
      <c r="L184" s="5">
        <f t="shared" si="46"/>
        <v>367</v>
      </c>
      <c r="M184" s="2"/>
      <c r="N184" s="6">
        <f t="shared" si="47"/>
        <v>0</v>
      </c>
      <c r="O184" s="2"/>
      <c r="P184" s="5">
        <f t="shared" si="48"/>
        <v>0</v>
      </c>
      <c r="Q184" s="2"/>
      <c r="R184" s="5">
        <f t="shared" ref="R184:R190" si="51">L184+P184</f>
        <v>367</v>
      </c>
      <c r="S184" s="84"/>
      <c r="T184" s="210"/>
      <c r="V184" s="413"/>
      <c r="Y184" s="514"/>
      <c r="AA184" s="391"/>
      <c r="AC184" s="380">
        <v>532</v>
      </c>
      <c r="AQ184" s="162"/>
      <c r="AR184" s="54"/>
    </row>
    <row r="185" spans="1:49" x14ac:dyDescent="0.25">
      <c r="A185" s="368">
        <v>116</v>
      </c>
      <c r="B185" s="378"/>
      <c r="C185" s="195" t="s">
        <v>630</v>
      </c>
      <c r="D185" s="378"/>
      <c r="E185" s="378"/>
      <c r="F185" s="519">
        <v>312</v>
      </c>
      <c r="G185" s="131"/>
      <c r="H185" s="391">
        <f t="shared" si="45"/>
        <v>13832</v>
      </c>
      <c r="I185" s="2"/>
      <c r="J185" s="223">
        <f>ROUND(AC405+(AC405*$AG$1),2)</f>
        <v>40.299999999999997</v>
      </c>
      <c r="K185" s="7"/>
      <c r="L185" s="5">
        <f t="shared" si="46"/>
        <v>12574</v>
      </c>
      <c r="M185" s="2"/>
      <c r="N185" s="6">
        <f t="shared" si="47"/>
        <v>0.7</v>
      </c>
      <c r="O185" s="2"/>
      <c r="P185" s="5">
        <f t="shared" si="48"/>
        <v>9</v>
      </c>
      <c r="Q185" s="2"/>
      <c r="R185" s="5">
        <f t="shared" si="51"/>
        <v>12583</v>
      </c>
      <c r="S185" s="84"/>
      <c r="T185" s="210"/>
      <c r="V185" s="413"/>
      <c r="Y185" s="514"/>
      <c r="AA185" s="391"/>
      <c r="AC185" s="380">
        <v>532</v>
      </c>
      <c r="AQ185" s="162"/>
      <c r="AR185" s="54"/>
    </row>
    <row r="186" spans="1:49" x14ac:dyDescent="0.25">
      <c r="A186" s="368">
        <v>117</v>
      </c>
      <c r="B186" s="378"/>
      <c r="C186" s="196" t="s">
        <v>323</v>
      </c>
      <c r="D186" s="378"/>
      <c r="E186" s="378"/>
      <c r="F186" s="519">
        <v>888</v>
      </c>
      <c r="G186" s="131"/>
      <c r="H186" s="391">
        <f t="shared" si="45"/>
        <v>39368</v>
      </c>
      <c r="I186" s="2"/>
      <c r="J186" s="223">
        <f>ROUND(AC406+(AC406*$AG$1),2)</f>
        <v>15.82</v>
      </c>
      <c r="K186" s="7"/>
      <c r="L186" s="5">
        <f t="shared" si="46"/>
        <v>14048</v>
      </c>
      <c r="M186" s="2"/>
      <c r="N186" s="6">
        <f t="shared" si="47"/>
        <v>0.8</v>
      </c>
      <c r="O186" s="2"/>
      <c r="P186" s="5">
        <f t="shared" si="48"/>
        <v>27</v>
      </c>
      <c r="Q186" s="2"/>
      <c r="R186" s="5">
        <f t="shared" si="51"/>
        <v>14075</v>
      </c>
      <c r="S186" s="84"/>
      <c r="T186" s="210"/>
      <c r="V186" s="413"/>
      <c r="Y186" s="514"/>
      <c r="AA186" s="391"/>
      <c r="AC186" s="380">
        <v>532</v>
      </c>
      <c r="AQ186" s="162"/>
      <c r="AR186" s="54"/>
    </row>
    <row r="187" spans="1:49" x14ac:dyDescent="0.25">
      <c r="A187" s="368">
        <v>118</v>
      </c>
      <c r="B187" s="378"/>
      <c r="C187" s="196" t="s">
        <v>467</v>
      </c>
      <c r="D187" s="378"/>
      <c r="E187" s="378"/>
      <c r="F187" s="519">
        <v>0</v>
      </c>
      <c r="G187" s="131"/>
      <c r="H187" s="391">
        <f t="shared" si="45"/>
        <v>0</v>
      </c>
      <c r="I187" s="2"/>
      <c r="J187" s="223">
        <f>ROUND(AC407+(AC407*$AG$1),2)</f>
        <v>12.54</v>
      </c>
      <c r="K187" s="7"/>
      <c r="L187" s="5">
        <f t="shared" si="46"/>
        <v>0</v>
      </c>
      <c r="M187" s="2"/>
      <c r="N187" s="6">
        <f t="shared" si="47"/>
        <v>0</v>
      </c>
      <c r="O187" s="2"/>
      <c r="P187" s="5">
        <f t="shared" si="48"/>
        <v>0</v>
      </c>
      <c r="Q187" s="2"/>
      <c r="R187" s="5">
        <f t="shared" si="51"/>
        <v>0</v>
      </c>
      <c r="S187" s="84"/>
      <c r="T187" s="210"/>
      <c r="V187" s="413"/>
      <c r="Y187" s="514"/>
      <c r="AA187" s="391"/>
      <c r="AC187" s="380">
        <v>487</v>
      </c>
      <c r="AQ187" s="162"/>
      <c r="AR187" s="54"/>
    </row>
    <row r="188" spans="1:49" x14ac:dyDescent="0.25">
      <c r="A188" s="368">
        <v>119</v>
      </c>
      <c r="B188" s="378"/>
      <c r="C188" s="196" t="s">
        <v>334</v>
      </c>
      <c r="D188" s="378"/>
      <c r="E188" s="378"/>
      <c r="F188" s="519">
        <v>696</v>
      </c>
      <c r="G188" s="131"/>
      <c r="H188" s="391">
        <f t="shared" si="45"/>
        <v>28246</v>
      </c>
      <c r="I188" s="2"/>
      <c r="J188" s="223">
        <f>$J$187+$AG$13</f>
        <v>17.59</v>
      </c>
      <c r="K188" s="7"/>
      <c r="L188" s="5">
        <f t="shared" si="46"/>
        <v>12243</v>
      </c>
      <c r="M188" s="2"/>
      <c r="N188" s="6">
        <f t="shared" si="47"/>
        <v>0.7</v>
      </c>
      <c r="O188" s="2"/>
      <c r="P188" s="5">
        <f t="shared" si="48"/>
        <v>19</v>
      </c>
      <c r="Q188" s="2"/>
      <c r="R188" s="5">
        <f t="shared" si="51"/>
        <v>12262</v>
      </c>
      <c r="S188" s="84"/>
      <c r="T188" s="210"/>
      <c r="V188" s="413"/>
      <c r="Y188" s="514"/>
      <c r="AA188" s="391"/>
      <c r="AC188" s="380">
        <v>487</v>
      </c>
      <c r="AQ188" s="162"/>
      <c r="AR188" s="54"/>
    </row>
    <row r="189" spans="1:49" x14ac:dyDescent="0.25">
      <c r="A189" s="368">
        <v>120</v>
      </c>
      <c r="B189" s="378"/>
      <c r="C189" s="196" t="s">
        <v>468</v>
      </c>
      <c r="D189" s="378"/>
      <c r="E189" s="378"/>
      <c r="F189" s="519">
        <v>0</v>
      </c>
      <c r="G189" s="131"/>
      <c r="H189" s="391">
        <f t="shared" si="45"/>
        <v>0</v>
      </c>
      <c r="I189" s="2"/>
      <c r="J189" s="223">
        <f>ROUND(AC409+(AC409*$AG$1),2)</f>
        <v>15.82</v>
      </c>
      <c r="K189" s="7"/>
      <c r="L189" s="5">
        <f t="shared" si="46"/>
        <v>0</v>
      </c>
      <c r="M189" s="2"/>
      <c r="N189" s="6">
        <f t="shared" si="47"/>
        <v>0</v>
      </c>
      <c r="O189" s="2"/>
      <c r="P189" s="5">
        <f t="shared" si="48"/>
        <v>0</v>
      </c>
      <c r="Q189" s="2"/>
      <c r="R189" s="5">
        <f t="shared" si="51"/>
        <v>0</v>
      </c>
      <c r="S189" s="84"/>
      <c r="T189" s="210"/>
      <c r="V189" s="413"/>
      <c r="Y189" s="514"/>
      <c r="AA189" s="391"/>
      <c r="AC189" s="380">
        <v>532</v>
      </c>
      <c r="AQ189" s="162"/>
      <c r="AR189" s="54"/>
    </row>
    <row r="190" spans="1:49" x14ac:dyDescent="0.25">
      <c r="A190" s="368">
        <v>121</v>
      </c>
      <c r="B190" s="378"/>
      <c r="C190" s="196" t="s">
        <v>322</v>
      </c>
      <c r="D190" s="378"/>
      <c r="E190" s="378"/>
      <c r="F190" s="519">
        <v>0</v>
      </c>
      <c r="G190" s="131"/>
      <c r="H190" s="391">
        <f t="shared" si="45"/>
        <v>0</v>
      </c>
      <c r="I190" s="2"/>
      <c r="J190" s="223">
        <f>$J$189+$AG$9</f>
        <v>29.55</v>
      </c>
      <c r="K190" s="7"/>
      <c r="L190" s="5">
        <f t="shared" si="46"/>
        <v>0</v>
      </c>
      <c r="M190" s="2"/>
      <c r="N190" s="6">
        <f t="shared" si="47"/>
        <v>0</v>
      </c>
      <c r="O190" s="2"/>
      <c r="P190" s="5">
        <f t="shared" si="48"/>
        <v>0</v>
      </c>
      <c r="Q190" s="2"/>
      <c r="R190" s="5">
        <f t="shared" si="51"/>
        <v>0</v>
      </c>
      <c r="S190" s="84"/>
      <c r="T190" s="210"/>
      <c r="V190" s="413"/>
      <c r="Y190" s="514"/>
      <c r="AA190" s="391"/>
      <c r="AC190" s="380">
        <v>532</v>
      </c>
      <c r="AQ190" s="162"/>
      <c r="AR190" s="54"/>
    </row>
    <row r="191" spans="1:49" x14ac:dyDescent="0.25">
      <c r="A191" s="368">
        <v>122</v>
      </c>
      <c r="B191" s="284"/>
      <c r="C191" s="285" t="s">
        <v>566</v>
      </c>
      <c r="D191" s="284"/>
      <c r="E191" s="378"/>
      <c r="F191" s="519">
        <v>0</v>
      </c>
      <c r="G191" s="131"/>
      <c r="H191" s="391">
        <f t="shared" si="45"/>
        <v>0</v>
      </c>
      <c r="I191" s="2"/>
      <c r="J191" s="223">
        <f>$J$189+$AG$13</f>
        <v>20.87</v>
      </c>
      <c r="K191" s="7"/>
      <c r="L191" s="5">
        <f t="shared" si="46"/>
        <v>0</v>
      </c>
      <c r="M191" s="2"/>
      <c r="N191" s="6">
        <f t="shared" si="47"/>
        <v>0</v>
      </c>
      <c r="O191" s="2"/>
      <c r="P191" s="5">
        <f t="shared" si="48"/>
        <v>0</v>
      </c>
      <c r="Q191" s="2"/>
      <c r="R191" s="5">
        <f t="shared" ref="R191:R192" si="52">L191+P191</f>
        <v>0</v>
      </c>
      <c r="S191" s="84"/>
      <c r="T191" s="210"/>
      <c r="V191" s="413"/>
      <c r="Y191" s="514"/>
      <c r="AA191" s="391"/>
      <c r="AC191" s="380">
        <v>532</v>
      </c>
      <c r="AQ191" s="162"/>
      <c r="AR191" s="54"/>
    </row>
    <row r="192" spans="1:49" x14ac:dyDescent="0.25">
      <c r="A192" s="368">
        <v>123</v>
      </c>
      <c r="B192" s="284"/>
      <c r="C192" s="285" t="s">
        <v>567</v>
      </c>
      <c r="D192" s="284"/>
      <c r="E192" s="378"/>
      <c r="F192" s="519">
        <v>0</v>
      </c>
      <c r="G192" s="131"/>
      <c r="H192" s="391">
        <f t="shared" si="45"/>
        <v>0</v>
      </c>
      <c r="I192" s="2"/>
      <c r="J192" s="223">
        <f>$J$189+$AG$14</f>
        <v>30.58</v>
      </c>
      <c r="K192" s="7"/>
      <c r="L192" s="5">
        <f t="shared" si="46"/>
        <v>0</v>
      </c>
      <c r="M192" s="2"/>
      <c r="N192" s="6">
        <f t="shared" si="47"/>
        <v>0</v>
      </c>
      <c r="O192" s="2"/>
      <c r="P192" s="5">
        <f t="shared" si="48"/>
        <v>0</v>
      </c>
      <c r="Q192" s="2"/>
      <c r="R192" s="5">
        <f t="shared" si="52"/>
        <v>0</v>
      </c>
      <c r="S192" s="84"/>
      <c r="T192" s="210"/>
      <c r="V192" s="413"/>
      <c r="Y192" s="514"/>
      <c r="AA192" s="391"/>
      <c r="AC192" s="380">
        <v>532</v>
      </c>
      <c r="AQ192" s="162"/>
      <c r="AR192" s="54"/>
    </row>
    <row r="193" spans="1:53" x14ac:dyDescent="0.25">
      <c r="A193" s="368">
        <v>124</v>
      </c>
      <c r="B193" s="378"/>
      <c r="C193" s="195" t="s">
        <v>458</v>
      </c>
      <c r="D193" s="378"/>
      <c r="E193" s="378"/>
      <c r="F193" s="391">
        <v>0</v>
      </c>
      <c r="G193" s="131"/>
      <c r="H193" s="391">
        <f t="shared" si="45"/>
        <v>0</v>
      </c>
      <c r="I193" s="86"/>
      <c r="J193" s="223">
        <f>ROUND(AC413+(AC413*$AG$1),2)</f>
        <v>13.94</v>
      </c>
      <c r="K193" s="485"/>
      <c r="L193" s="5">
        <f t="shared" si="46"/>
        <v>0</v>
      </c>
      <c r="M193" s="5"/>
      <c r="N193" s="6">
        <f t="shared" si="47"/>
        <v>0</v>
      </c>
      <c r="O193" s="6"/>
      <c r="P193" s="5">
        <f t="shared" si="48"/>
        <v>0</v>
      </c>
      <c r="Q193" s="5"/>
      <c r="R193" s="5">
        <f t="shared" ref="R193" si="53">L193+P193</f>
        <v>0</v>
      </c>
      <c r="S193" s="84"/>
      <c r="V193" s="413"/>
      <c r="Y193" s="514"/>
      <c r="AA193" s="391"/>
      <c r="AC193" s="380">
        <v>1023</v>
      </c>
      <c r="AG193" s="161"/>
      <c r="AH193" s="54"/>
      <c r="AQ193" s="162"/>
      <c r="AR193" s="53"/>
    </row>
    <row r="194" spans="1:53" x14ac:dyDescent="0.25">
      <c r="A194" s="368">
        <v>125</v>
      </c>
      <c r="B194" s="378"/>
      <c r="C194" s="195" t="s">
        <v>461</v>
      </c>
      <c r="D194" s="378"/>
      <c r="E194" s="378"/>
      <c r="F194" s="391">
        <v>176</v>
      </c>
      <c r="G194" s="131"/>
      <c r="H194" s="391">
        <f t="shared" si="45"/>
        <v>15004</v>
      </c>
      <c r="I194" s="86"/>
      <c r="J194" s="223">
        <f>$J$193+$AG$15</f>
        <v>23.55</v>
      </c>
      <c r="K194" s="485"/>
      <c r="L194" s="5">
        <f t="shared" si="46"/>
        <v>4145</v>
      </c>
      <c r="M194" s="5"/>
      <c r="N194" s="6">
        <f t="shared" si="47"/>
        <v>0.2</v>
      </c>
      <c r="O194" s="6"/>
      <c r="P194" s="5">
        <f t="shared" si="48"/>
        <v>10</v>
      </c>
      <c r="Q194" s="5"/>
      <c r="R194" s="5">
        <f t="shared" si="49"/>
        <v>4155</v>
      </c>
      <c r="S194" s="84"/>
      <c r="V194" s="413"/>
      <c r="Y194" s="514"/>
      <c r="AA194" s="391"/>
      <c r="AC194" s="380">
        <v>1023</v>
      </c>
      <c r="AG194" s="161"/>
      <c r="AH194" s="54"/>
      <c r="AQ194" s="162"/>
      <c r="AR194" s="53"/>
    </row>
    <row r="195" spans="1:53" x14ac:dyDescent="0.25">
      <c r="A195" s="369">
        <v>126</v>
      </c>
      <c r="B195" s="378"/>
      <c r="C195" s="195" t="s">
        <v>459</v>
      </c>
      <c r="D195" s="378"/>
      <c r="E195" s="378"/>
      <c r="F195" s="391">
        <v>0</v>
      </c>
      <c r="G195" s="131"/>
      <c r="H195" s="391">
        <f t="shared" si="45"/>
        <v>0</v>
      </c>
      <c r="I195" s="86"/>
      <c r="J195" s="223">
        <f>ROUND(AC415+(AC415*$AG$1),2)</f>
        <v>18.420000000000002</v>
      </c>
      <c r="K195" s="485"/>
      <c r="L195" s="5">
        <f t="shared" si="46"/>
        <v>0</v>
      </c>
      <c r="M195" s="5"/>
      <c r="N195" s="6">
        <f t="shared" si="47"/>
        <v>0</v>
      </c>
      <c r="O195" s="6"/>
      <c r="P195" s="83">
        <f t="shared" si="48"/>
        <v>0</v>
      </c>
      <c r="Q195" s="5"/>
      <c r="R195" s="5">
        <f>L195+P195</f>
        <v>0</v>
      </c>
      <c r="S195" s="84"/>
      <c r="T195" s="210"/>
      <c r="U195" s="55"/>
      <c r="V195" s="413"/>
      <c r="W195" s="55"/>
      <c r="X195" s="55"/>
      <c r="Y195" s="514"/>
      <c r="Z195" s="55"/>
      <c r="AA195" s="391"/>
      <c r="AB195" s="55"/>
      <c r="AC195" s="380">
        <v>1959</v>
      </c>
      <c r="AD195" s="55"/>
      <c r="AE195" s="55"/>
      <c r="AF195" s="55"/>
      <c r="AG195" s="154"/>
      <c r="AH195" s="55"/>
      <c r="AI195" s="55"/>
      <c r="AJ195" s="55"/>
      <c r="AK195" s="154"/>
      <c r="AL195" s="55"/>
      <c r="AM195" s="55"/>
      <c r="AN195" s="55"/>
      <c r="AO195" s="55"/>
      <c r="AP195" s="55"/>
      <c r="AQ195" s="162"/>
      <c r="AR195" s="55"/>
      <c r="AS195" s="55"/>
    </row>
    <row r="196" spans="1:53" x14ac:dyDescent="0.25">
      <c r="A196" s="369">
        <v>127</v>
      </c>
      <c r="B196" s="378"/>
      <c r="C196" s="195" t="s">
        <v>460</v>
      </c>
      <c r="D196" s="378"/>
      <c r="E196" s="378"/>
      <c r="F196" s="391">
        <v>36</v>
      </c>
      <c r="G196" s="131"/>
      <c r="H196" s="391">
        <f t="shared" si="45"/>
        <v>5877</v>
      </c>
      <c r="I196" s="86"/>
      <c r="J196" s="223">
        <f>$J$195+$AG$15</f>
        <v>28.03</v>
      </c>
      <c r="K196" s="485"/>
      <c r="L196" s="5">
        <f t="shared" si="46"/>
        <v>1009</v>
      </c>
      <c r="M196" s="5"/>
      <c r="N196" s="6">
        <f t="shared" si="47"/>
        <v>0.1</v>
      </c>
      <c r="O196" s="6"/>
      <c r="P196" s="83">
        <f t="shared" si="48"/>
        <v>4</v>
      </c>
      <c r="Q196" s="5"/>
      <c r="R196" s="5">
        <f>L196+P196</f>
        <v>1013</v>
      </c>
      <c r="S196" s="84"/>
      <c r="T196" s="210"/>
      <c r="U196" s="55"/>
      <c r="V196" s="413"/>
      <c r="W196" s="55"/>
      <c r="X196" s="55"/>
      <c r="Y196" s="514"/>
      <c r="Z196" s="55"/>
      <c r="AA196" s="391"/>
      <c r="AB196" s="55"/>
      <c r="AC196" s="380">
        <v>1959</v>
      </c>
      <c r="AD196" s="55"/>
      <c r="AE196" s="55"/>
      <c r="AF196" s="55"/>
      <c r="AG196" s="154"/>
      <c r="AH196" s="55"/>
      <c r="AI196" s="55"/>
      <c r="AJ196" s="55"/>
      <c r="AK196" s="154"/>
      <c r="AL196" s="55"/>
      <c r="AM196" s="55"/>
      <c r="AN196" s="55"/>
      <c r="AO196" s="55"/>
      <c r="AP196" s="55"/>
      <c r="AQ196" s="162"/>
      <c r="AR196" s="55"/>
      <c r="AS196" s="55"/>
    </row>
    <row r="197" spans="1:53" x14ac:dyDescent="0.25">
      <c r="A197" s="370">
        <v>128</v>
      </c>
      <c r="B197" s="378"/>
      <c r="C197" s="195" t="s">
        <v>462</v>
      </c>
      <c r="D197" s="378"/>
      <c r="E197" s="378"/>
      <c r="F197" s="391">
        <v>204</v>
      </c>
      <c r="G197" s="131"/>
      <c r="H197" s="391">
        <f t="shared" si="45"/>
        <v>33303</v>
      </c>
      <c r="I197" s="86"/>
      <c r="J197" s="223">
        <f>$J$195+$AG$16</f>
        <v>28.29</v>
      </c>
      <c r="K197" s="485"/>
      <c r="L197" s="5">
        <f t="shared" si="46"/>
        <v>5771</v>
      </c>
      <c r="M197" s="5"/>
      <c r="N197" s="91">
        <f t="shared" si="47"/>
        <v>0.3</v>
      </c>
      <c r="O197" s="91"/>
      <c r="P197" s="83">
        <f t="shared" si="48"/>
        <v>23</v>
      </c>
      <c r="Q197" s="5"/>
      <c r="R197" s="5">
        <f>L197+P197</f>
        <v>5794</v>
      </c>
      <c r="S197" s="84"/>
      <c r="T197" s="210"/>
      <c r="U197" s="55"/>
      <c r="V197" s="413"/>
      <c r="W197" s="55"/>
      <c r="X197" s="55"/>
      <c r="Y197" s="514"/>
      <c r="Z197" s="55"/>
      <c r="AA197" s="391"/>
      <c r="AB197" s="55"/>
      <c r="AC197" s="380">
        <v>1959</v>
      </c>
      <c r="AD197" s="55"/>
      <c r="AE197" s="55"/>
      <c r="AF197" s="55"/>
      <c r="AG197" s="154"/>
      <c r="AH197" s="55"/>
      <c r="AI197" s="55"/>
      <c r="AJ197" s="55"/>
      <c r="AK197" s="154"/>
      <c r="AL197" s="55"/>
      <c r="AM197" s="55"/>
      <c r="AN197" s="55"/>
      <c r="AO197" s="55"/>
      <c r="AP197" s="55"/>
      <c r="AQ197" s="162"/>
      <c r="AR197" s="55"/>
      <c r="AS197" s="55"/>
    </row>
    <row r="198" spans="1:53" x14ac:dyDescent="0.25">
      <c r="A198" s="370">
        <v>129</v>
      </c>
      <c r="B198" s="378"/>
      <c r="C198" s="195" t="s">
        <v>463</v>
      </c>
      <c r="D198" s="378"/>
      <c r="E198" s="378"/>
      <c r="F198" s="391">
        <v>0</v>
      </c>
      <c r="G198" s="131"/>
      <c r="H198" s="391">
        <f t="shared" si="45"/>
        <v>0</v>
      </c>
      <c r="I198" s="86"/>
      <c r="J198" s="223">
        <f>ROUND(AC418+(AC418*$AG$1),2)</f>
        <v>27.29</v>
      </c>
      <c r="K198" s="485"/>
      <c r="L198" s="5">
        <f t="shared" si="46"/>
        <v>0</v>
      </c>
      <c r="M198" s="5"/>
      <c r="N198" s="88">
        <f t="shared" si="47"/>
        <v>0</v>
      </c>
      <c r="O198" s="6"/>
      <c r="P198" s="81">
        <f t="shared" si="48"/>
        <v>0</v>
      </c>
      <c r="Q198" s="5"/>
      <c r="R198" s="5">
        <f>L198+P198</f>
        <v>0</v>
      </c>
      <c r="S198" s="84"/>
      <c r="T198" s="210"/>
      <c r="U198" s="55"/>
      <c r="V198" s="413"/>
      <c r="W198" s="55"/>
      <c r="X198" s="55"/>
      <c r="Y198" s="514"/>
      <c r="Z198" s="55"/>
      <c r="AA198" s="391"/>
      <c r="AB198" s="55"/>
      <c r="AC198" s="380">
        <v>1959</v>
      </c>
      <c r="AD198" s="55"/>
      <c r="AE198" s="55"/>
      <c r="AF198" s="55"/>
      <c r="AG198" s="154"/>
      <c r="AH198" s="55"/>
      <c r="AI198" s="55"/>
      <c r="AJ198" s="55"/>
      <c r="AK198" s="154"/>
      <c r="AL198" s="55"/>
      <c r="AM198" s="55"/>
      <c r="AN198" s="55"/>
      <c r="AO198" s="55"/>
      <c r="AP198" s="55"/>
      <c r="AQ198" s="162"/>
      <c r="AR198" s="55"/>
      <c r="AS198" s="55"/>
    </row>
    <row r="199" spans="1:53" ht="20.100000000000001" customHeight="1" x14ac:dyDescent="0.25">
      <c r="A199" s="370">
        <v>130</v>
      </c>
      <c r="B199" s="378"/>
      <c r="C199" s="518" t="s">
        <v>304</v>
      </c>
      <c r="D199" s="378"/>
      <c r="E199" s="378"/>
      <c r="F199" s="316">
        <f>SUM(F98:F198)</f>
        <v>18141</v>
      </c>
      <c r="G199" s="2"/>
      <c r="H199" s="90">
        <f>SUM(H98:H198)</f>
        <v>1244608</v>
      </c>
      <c r="I199" s="5"/>
      <c r="J199" s="2"/>
      <c r="K199" s="2"/>
      <c r="L199" s="90">
        <f>SUM(L98:L198)</f>
        <v>310033</v>
      </c>
      <c r="M199" s="5"/>
      <c r="N199" s="93">
        <f t="shared" si="47"/>
        <v>18.3</v>
      </c>
      <c r="O199" s="8"/>
      <c r="P199" s="482">
        <f>ROUND(H199*CUR_FAC,0)</f>
        <v>848</v>
      </c>
      <c r="Q199" s="5"/>
      <c r="R199" s="90">
        <f>SUM(R98:R198)</f>
        <v>310881</v>
      </c>
      <c r="V199" s="56"/>
      <c r="W199" s="56"/>
      <c r="X199" s="56"/>
      <c r="Y199" s="56"/>
      <c r="Z199" s="56"/>
      <c r="AA199" s="90"/>
      <c r="AC199" s="56"/>
      <c r="AD199" s="56"/>
      <c r="AE199" s="56"/>
      <c r="AF199" s="56"/>
      <c r="AG199" s="155"/>
      <c r="AH199" s="56"/>
      <c r="AI199" s="56"/>
      <c r="AJ199" s="56"/>
      <c r="AK199" s="155"/>
      <c r="AL199" s="56"/>
      <c r="AM199" s="56"/>
      <c r="AN199" s="56"/>
      <c r="AO199" s="56"/>
      <c r="AP199" s="56"/>
      <c r="AQ199" s="162"/>
      <c r="AR199" s="56"/>
      <c r="AS199" s="56"/>
    </row>
    <row r="200" spans="1:53" ht="20.100000000000001" customHeight="1" x14ac:dyDescent="0.25">
      <c r="A200" s="368">
        <v>131</v>
      </c>
      <c r="B200" s="378"/>
      <c r="C200" s="520" t="s">
        <v>825</v>
      </c>
      <c r="D200" s="378"/>
      <c r="E200" s="378"/>
      <c r="F200" s="310"/>
      <c r="G200" s="2"/>
      <c r="H200" s="83"/>
      <c r="I200" s="5"/>
      <c r="J200" s="2"/>
      <c r="K200" s="2"/>
      <c r="L200" s="83"/>
      <c r="M200" s="5"/>
      <c r="N200" s="91"/>
      <c r="O200" s="8"/>
      <c r="P200" s="379"/>
      <c r="Q200" s="5"/>
      <c r="R200" s="83"/>
      <c r="V200" s="56"/>
      <c r="W200" s="56"/>
      <c r="X200" s="56"/>
      <c r="Y200" s="56"/>
      <c r="Z200" s="56"/>
      <c r="AA200" s="83"/>
      <c r="AC200" s="56"/>
      <c r="AD200" s="56"/>
      <c r="AE200" s="56"/>
      <c r="AF200" s="56"/>
      <c r="AG200" s="155"/>
      <c r="AH200" s="56"/>
      <c r="AI200" s="56"/>
      <c r="AJ200" s="56"/>
      <c r="AK200" s="155"/>
      <c r="AL200" s="56"/>
      <c r="AM200" s="56"/>
      <c r="AN200" s="56"/>
      <c r="AO200" s="56"/>
      <c r="AP200" s="56"/>
      <c r="AQ200" s="162"/>
      <c r="AR200" s="56"/>
      <c r="AS200" s="56"/>
    </row>
    <row r="201" spans="1:53" ht="20.100000000000001" customHeight="1" x14ac:dyDescent="0.25">
      <c r="A201" s="368">
        <v>132</v>
      </c>
      <c r="B201" s="378"/>
      <c r="C201" s="216" t="str">
        <f>ESM_Name</f>
        <v>ENVIRONMENTAL SURCHARGE MECHANISM RIDER (ESM)</v>
      </c>
      <c r="D201" s="378"/>
      <c r="E201" s="378"/>
      <c r="F201" s="310"/>
      <c r="G201" s="2"/>
      <c r="H201" s="83"/>
      <c r="I201" s="5"/>
      <c r="J201" s="522"/>
      <c r="K201" s="2"/>
      <c r="L201" s="83">
        <f>AE421</f>
        <v>195592</v>
      </c>
      <c r="M201" s="5"/>
      <c r="N201" s="91">
        <f>ROUND((L201/L$209)*100,1)</f>
        <v>11.5</v>
      </c>
      <c r="O201" s="8"/>
      <c r="P201" s="379"/>
      <c r="Q201" s="5"/>
      <c r="R201" s="83">
        <f t="shared" ref="R201" si="54">L201+P201</f>
        <v>195592</v>
      </c>
      <c r="V201" s="56"/>
      <c r="W201" s="56"/>
      <c r="X201" s="56"/>
      <c r="Y201" s="56"/>
      <c r="Z201" s="56"/>
      <c r="AA201" s="83"/>
      <c r="AC201" s="56"/>
      <c r="AD201" s="56"/>
      <c r="AE201" s="56"/>
      <c r="AF201" s="56"/>
      <c r="AG201" s="155"/>
      <c r="AH201" s="56"/>
      <c r="AI201" s="56"/>
      <c r="AJ201" s="56"/>
      <c r="AK201" s="155"/>
      <c r="AL201" s="56"/>
      <c r="AM201" s="56"/>
      <c r="AN201" s="56"/>
      <c r="AO201" s="56"/>
      <c r="AP201" s="56"/>
      <c r="AQ201" s="162"/>
      <c r="AR201" s="56"/>
      <c r="AS201" s="56"/>
    </row>
    <row r="202" spans="1:53" ht="15.75" customHeight="1" x14ac:dyDescent="0.25">
      <c r="A202" s="369">
        <v>133</v>
      </c>
      <c r="B202" s="378"/>
      <c r="C202" s="300" t="str">
        <f>PSM_Name</f>
        <v>PROFIT SHARING MECHANISM (PSM)</v>
      </c>
      <c r="D202" s="378"/>
      <c r="E202" s="378"/>
      <c r="F202" s="310"/>
      <c r="G202" s="2"/>
      <c r="H202" s="83"/>
      <c r="I202" s="5"/>
      <c r="J202" s="522">
        <f>PRO_PSM</f>
        <v>-1.63E-4</v>
      </c>
      <c r="K202" s="2"/>
      <c r="L202" s="81">
        <f>ROUND(($H$199+$H$94)*J202,0)</f>
        <v>-1719</v>
      </c>
      <c r="M202" s="5"/>
      <c r="N202" s="148">
        <f>ROUND((L202/L$209)*100,1)</f>
        <v>-0.1</v>
      </c>
      <c r="O202" s="8"/>
      <c r="P202" s="486"/>
      <c r="Q202" s="5"/>
      <c r="R202" s="81">
        <f t="shared" ref="R202" si="55">L202+P202</f>
        <v>-1719</v>
      </c>
      <c r="V202" s="56"/>
      <c r="W202" s="56"/>
      <c r="X202" s="56"/>
      <c r="Y202" s="56"/>
      <c r="Z202" s="56"/>
      <c r="AA202" s="83"/>
      <c r="AC202" s="56"/>
      <c r="AD202" s="56"/>
      <c r="AE202" s="56"/>
      <c r="AF202" s="56"/>
      <c r="AG202" s="155"/>
      <c r="AH202" s="56"/>
      <c r="AI202" s="56"/>
      <c r="AJ202" s="56"/>
      <c r="AK202" s="155"/>
      <c r="AL202" s="56"/>
      <c r="AM202" s="56"/>
      <c r="AN202" s="56"/>
      <c r="AO202" s="56"/>
      <c r="AP202" s="56"/>
      <c r="AQ202" s="162"/>
      <c r="AR202" s="56"/>
      <c r="AS202" s="56"/>
    </row>
    <row r="203" spans="1:53" ht="20.100000000000001" customHeight="1" x14ac:dyDescent="0.25">
      <c r="A203" s="369">
        <v>134</v>
      </c>
      <c r="B203" s="378"/>
      <c r="C203" s="520" t="s">
        <v>538</v>
      </c>
      <c r="D203" s="378"/>
      <c r="E203" s="378"/>
      <c r="F203" s="310"/>
      <c r="G203" s="2"/>
      <c r="H203" s="83"/>
      <c r="I203" s="5"/>
      <c r="J203" s="2"/>
      <c r="K203" s="2"/>
      <c r="L203" s="90">
        <f>SUM(L201:L202)</f>
        <v>193873</v>
      </c>
      <c r="M203" s="5"/>
      <c r="N203" s="150">
        <f>ROUND((L203/L$209)*100,1)</f>
        <v>11.4</v>
      </c>
      <c r="O203" s="8"/>
      <c r="P203" s="482"/>
      <c r="Q203" s="5"/>
      <c r="R203" s="90">
        <f>SUM(R201:R202)</f>
        <v>193873</v>
      </c>
      <c r="V203" s="56"/>
      <c r="W203" s="56"/>
      <c r="X203" s="56"/>
      <c r="Y203" s="56"/>
      <c r="Z203" s="56"/>
      <c r="AA203" s="83"/>
      <c r="AC203" s="56"/>
      <c r="AD203" s="56"/>
      <c r="AE203" s="56"/>
      <c r="AF203" s="56"/>
      <c r="AG203" s="155"/>
      <c r="AH203" s="56"/>
      <c r="AI203" s="56"/>
      <c r="AJ203" s="56"/>
      <c r="AK203" s="155"/>
      <c r="AL203" s="56"/>
      <c r="AM203" s="56"/>
      <c r="AN203" s="56"/>
      <c r="AO203" s="56"/>
      <c r="AP203" s="56"/>
      <c r="AQ203" s="162"/>
      <c r="AR203" s="56"/>
      <c r="AS203" s="56"/>
    </row>
    <row r="204" spans="1:53" ht="15.75" customHeight="1" x14ac:dyDescent="0.25">
      <c r="A204" s="369"/>
      <c r="B204" s="378"/>
      <c r="C204" s="520"/>
      <c r="D204" s="378"/>
      <c r="E204" s="378"/>
      <c r="F204" s="310"/>
      <c r="G204" s="2"/>
      <c r="H204" s="83"/>
      <c r="I204" s="5"/>
      <c r="J204" s="2"/>
      <c r="K204" s="2"/>
      <c r="L204" s="83"/>
      <c r="M204" s="5"/>
      <c r="N204" s="91"/>
      <c r="O204" s="8"/>
      <c r="P204" s="379"/>
      <c r="Q204" s="5"/>
      <c r="R204" s="83"/>
      <c r="V204" s="56"/>
      <c r="W204" s="56"/>
      <c r="X204" s="56"/>
      <c r="Y204" s="56"/>
      <c r="Z204" s="56"/>
      <c r="AA204" s="83"/>
      <c r="AC204" s="56"/>
      <c r="AD204" s="56"/>
      <c r="AE204" s="56"/>
      <c r="AF204" s="56"/>
      <c r="AG204" s="155"/>
      <c r="AH204" s="56"/>
      <c r="AI204" s="56"/>
      <c r="AJ204" s="56"/>
      <c r="AK204" s="155"/>
      <c r="AL204" s="56"/>
      <c r="AM204" s="56"/>
      <c r="AN204" s="56"/>
      <c r="AO204" s="56"/>
      <c r="AP204" s="56"/>
      <c r="AQ204" s="162"/>
      <c r="AR204" s="56"/>
      <c r="AS204" s="56"/>
    </row>
    <row r="205" spans="1:53" ht="20.100000000000001" customHeight="1" x14ac:dyDescent="0.25">
      <c r="A205" s="45">
        <v>135</v>
      </c>
      <c r="C205" s="523" t="s">
        <v>357</v>
      </c>
      <c r="F205" s="310"/>
      <c r="G205" s="84"/>
      <c r="H205" s="379"/>
      <c r="I205" s="83"/>
      <c r="J205" s="84"/>
      <c r="K205" s="84"/>
      <c r="L205" s="84"/>
      <c r="M205" s="84"/>
      <c r="N205" s="206"/>
      <c r="O205" s="84"/>
      <c r="P205" s="83"/>
      <c r="Q205" s="83"/>
      <c r="R205" s="91"/>
      <c r="S205" s="103"/>
      <c r="T205" s="212"/>
      <c r="U205" s="83"/>
      <c r="V205" s="83"/>
      <c r="Z205" s="56"/>
      <c r="AA205" s="379"/>
      <c r="AB205" s="56"/>
      <c r="AC205" s="56"/>
      <c r="AD205" s="56"/>
      <c r="AE205" s="56"/>
      <c r="AG205" s="155"/>
      <c r="AH205" s="56"/>
      <c r="AI205" s="56"/>
      <c r="AJ205" s="56"/>
      <c r="AK205" s="155"/>
      <c r="AL205" s="56"/>
      <c r="AM205" s="56"/>
      <c r="AN205" s="56"/>
      <c r="AO205" s="56"/>
      <c r="AP205" s="56"/>
      <c r="AQ205" s="155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</row>
    <row r="206" spans="1:53" x14ac:dyDescent="0.25">
      <c r="A206" s="380">
        <v>136</v>
      </c>
      <c r="C206" s="301" t="s">
        <v>358</v>
      </c>
      <c r="F206" s="391">
        <v>5025</v>
      </c>
      <c r="G206" s="84"/>
      <c r="H206" s="83"/>
      <c r="I206" s="86"/>
      <c r="J206" s="223">
        <f>ROUND(AC426+(AC426*$AG$1),2)</f>
        <v>0.6</v>
      </c>
      <c r="K206" s="485"/>
      <c r="L206" s="5">
        <f t="shared" ref="L206:L207" si="56">ROUND((F206*J206),0)</f>
        <v>3015</v>
      </c>
      <c r="M206" s="5"/>
      <c r="N206" s="91">
        <f>ROUND((L206/L$209)*100,1)</f>
        <v>0.2</v>
      </c>
      <c r="O206" s="91"/>
      <c r="P206" s="83"/>
      <c r="Q206" s="5"/>
      <c r="R206" s="5">
        <f>L206+P206</f>
        <v>3015</v>
      </c>
      <c r="S206" s="91"/>
      <c r="T206" s="212"/>
      <c r="U206" s="83"/>
      <c r="V206" s="524"/>
      <c r="Y206" s="514"/>
      <c r="Z206" s="56"/>
      <c r="AA206" s="83"/>
      <c r="AB206" s="56"/>
      <c r="AC206" s="56"/>
      <c r="AD206" s="56"/>
      <c r="AE206" s="56"/>
      <c r="AG206" s="155"/>
      <c r="AH206" s="56"/>
      <c r="AI206" s="56"/>
      <c r="AJ206" s="56"/>
      <c r="AK206" s="155"/>
      <c r="AL206" s="56"/>
      <c r="AM206" s="56"/>
      <c r="AN206" s="56"/>
      <c r="AO206" s="56"/>
      <c r="AP206" s="56"/>
      <c r="AQ206" s="155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</row>
    <row r="207" spans="1:53" x14ac:dyDescent="0.25">
      <c r="A207" s="380">
        <v>137</v>
      </c>
      <c r="C207" s="301" t="s">
        <v>359</v>
      </c>
      <c r="F207" s="494">
        <v>20883</v>
      </c>
      <c r="G207" s="2"/>
      <c r="H207" s="94"/>
      <c r="I207" s="86"/>
      <c r="J207" s="223">
        <f>ROUND(AC427+(AC427*$AG$1),2)</f>
        <v>0.86</v>
      </c>
      <c r="K207" s="485"/>
      <c r="L207" s="5">
        <f t="shared" si="56"/>
        <v>17959</v>
      </c>
      <c r="M207" s="5"/>
      <c r="N207" s="88">
        <f>ROUND((L207/L$209)*100,1)</f>
        <v>1.1000000000000001</v>
      </c>
      <c r="O207" s="91"/>
      <c r="P207" s="83"/>
      <c r="Q207" s="5"/>
      <c r="R207" s="81">
        <f>L207+P207</f>
        <v>17959</v>
      </c>
      <c r="S207" s="91"/>
      <c r="T207" s="212"/>
      <c r="U207" s="83"/>
      <c r="V207" s="524"/>
      <c r="Y207" s="514"/>
      <c r="Z207" s="56"/>
      <c r="AA207" s="94"/>
      <c r="AB207" s="56"/>
      <c r="AC207" s="56"/>
      <c r="AD207" s="56"/>
      <c r="AE207" s="56"/>
      <c r="AG207" s="155"/>
      <c r="AH207" s="56"/>
      <c r="AI207" s="56"/>
      <c r="AJ207" s="56"/>
      <c r="AK207" s="155"/>
      <c r="AL207" s="56"/>
      <c r="AM207" s="56"/>
      <c r="AN207" s="56"/>
      <c r="AO207" s="56"/>
      <c r="AP207" s="56"/>
      <c r="AQ207" s="155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</row>
    <row r="208" spans="1:53" ht="20.100000000000001" customHeight="1" x14ac:dyDescent="0.25">
      <c r="A208" s="380">
        <v>138</v>
      </c>
      <c r="C208" s="523" t="s">
        <v>360</v>
      </c>
      <c r="F208" s="264">
        <f>SUM(F206:F207)</f>
        <v>25908</v>
      </c>
      <c r="G208" s="2"/>
      <c r="H208" s="94"/>
      <c r="I208" s="86"/>
      <c r="J208" s="485"/>
      <c r="K208" s="485"/>
      <c r="L208" s="89">
        <f>SUM(L206:L207)</f>
        <v>20974</v>
      </c>
      <c r="M208" s="485"/>
      <c r="N208" s="93">
        <f>ROUND((L208/L$209)*100,1)</f>
        <v>1.2</v>
      </c>
      <c r="O208" s="485"/>
      <c r="P208" s="90">
        <v>0</v>
      </c>
      <c r="Q208" s="5"/>
      <c r="R208" s="81">
        <f>SUM(R206:R207)</f>
        <v>20974</v>
      </c>
      <c r="S208" s="91"/>
      <c r="T208" s="212"/>
      <c r="U208" s="83"/>
      <c r="V208" s="83"/>
      <c r="Z208" s="56"/>
      <c r="AA208" s="94"/>
      <c r="AB208" s="56"/>
      <c r="AC208" s="56"/>
      <c r="AD208" s="56"/>
      <c r="AE208" s="56"/>
      <c r="AG208" s="155"/>
      <c r="AH208" s="56"/>
      <c r="AI208" s="56"/>
      <c r="AJ208" s="56"/>
      <c r="AK208" s="155"/>
      <c r="AL208" s="56"/>
      <c r="AM208" s="56"/>
      <c r="AN208" s="56"/>
      <c r="AO208" s="56"/>
      <c r="AP208" s="56"/>
      <c r="AQ208" s="155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</row>
    <row r="209" spans="1:53" ht="24.75" customHeight="1" thickBot="1" x14ac:dyDescent="0.3">
      <c r="A209" s="380">
        <v>139</v>
      </c>
      <c r="B209" s="378"/>
      <c r="C209" s="520" t="s">
        <v>550</v>
      </c>
      <c r="D209" s="378"/>
      <c r="E209" s="378"/>
      <c r="F209" s="352">
        <f>F94+F199</f>
        <v>135466</v>
      </c>
      <c r="G209" s="2"/>
      <c r="H209" s="110">
        <f>H94+H199</f>
        <v>10548224</v>
      </c>
      <c r="I209" s="5"/>
      <c r="J209" s="2"/>
      <c r="K209" s="2"/>
      <c r="L209" s="110">
        <f>L94+L199+L203+L208</f>
        <v>1698120</v>
      </c>
      <c r="M209" s="5"/>
      <c r="N209" s="111">
        <v>100</v>
      </c>
      <c r="O209" s="6"/>
      <c r="P209" s="525">
        <f>ROUND(H209*CUR_FAC,0)</f>
        <v>7183</v>
      </c>
      <c r="Q209" s="5"/>
      <c r="R209" s="110">
        <f>R94+R199+R203+R208</f>
        <v>1705305</v>
      </c>
      <c r="T209" s="53"/>
      <c r="V209" s="54"/>
      <c r="Y209" s="205"/>
      <c r="AA209" s="110"/>
      <c r="AC209" s="379"/>
      <c r="AD209" s="379"/>
      <c r="AE209" s="461"/>
      <c r="AF209" s="461"/>
      <c r="AG209" s="156"/>
      <c r="AH209" s="379"/>
      <c r="AI209" s="50"/>
      <c r="AJ209" s="50"/>
      <c r="AK209" s="156"/>
      <c r="AL209" s="379"/>
      <c r="AM209" s="60"/>
      <c r="AN209" s="60"/>
      <c r="AO209" s="379"/>
      <c r="AP209" s="379"/>
      <c r="AQ209" s="162"/>
      <c r="AR209" s="379"/>
      <c r="AS209" s="50"/>
    </row>
    <row r="210" spans="1:53" ht="16.5" thickTop="1" x14ac:dyDescent="0.25">
      <c r="A210" s="45"/>
      <c r="B210" s="378"/>
      <c r="C210" s="196"/>
      <c r="D210" s="378"/>
      <c r="E210" s="378"/>
      <c r="F210" s="310"/>
      <c r="G210" s="2"/>
      <c r="H210" s="83"/>
      <c r="I210" s="5"/>
      <c r="J210" s="2"/>
      <c r="K210" s="2"/>
      <c r="L210" s="83"/>
      <c r="M210" s="5"/>
      <c r="N210" s="91"/>
      <c r="O210" s="6"/>
      <c r="P210" s="83"/>
      <c r="Q210" s="5"/>
      <c r="R210" s="83"/>
      <c r="T210" s="53"/>
      <c r="V210" s="54"/>
      <c r="AA210" s="449"/>
      <c r="AC210" s="379"/>
      <c r="AD210" s="379"/>
      <c r="AE210" s="461"/>
      <c r="AF210" s="461"/>
      <c r="AG210" s="156"/>
      <c r="AH210" s="379"/>
      <c r="AI210" s="50"/>
      <c r="AJ210" s="50"/>
      <c r="AK210" s="156"/>
      <c r="AL210" s="379"/>
      <c r="AM210" s="60"/>
      <c r="AN210" s="60"/>
      <c r="AO210" s="379"/>
      <c r="AP210" s="379"/>
      <c r="AQ210" s="162"/>
      <c r="AR210" s="379"/>
      <c r="AS210" s="50"/>
    </row>
    <row r="211" spans="1:53" x14ac:dyDescent="0.25">
      <c r="A211" s="243" t="s">
        <v>78</v>
      </c>
      <c r="B211" s="245"/>
      <c r="C211" s="293"/>
      <c r="D211" s="246"/>
      <c r="E211" s="246"/>
      <c r="F211" s="293"/>
      <c r="G211" s="246"/>
      <c r="H211" s="246"/>
      <c r="I211" s="246"/>
      <c r="J211" s="244" t="s">
        <v>272</v>
      </c>
      <c r="K211" s="246"/>
      <c r="L211" s="247"/>
      <c r="M211" s="246"/>
      <c r="N211" s="245"/>
      <c r="O211" s="246"/>
      <c r="P211" s="248" t="s">
        <v>277</v>
      </c>
      <c r="Q211" s="249"/>
      <c r="R211" s="249"/>
      <c r="S211" s="378"/>
      <c r="T211" s="378"/>
      <c r="U211" s="378"/>
      <c r="V211" s="378"/>
      <c r="AA211" s="379"/>
      <c r="AC211" s="379"/>
      <c r="AD211" s="379"/>
      <c r="AE211" s="59"/>
      <c r="AF211" s="59"/>
      <c r="AG211" s="156"/>
      <c r="AH211" s="379"/>
      <c r="AI211" s="50"/>
      <c r="AJ211" s="50"/>
      <c r="AK211" s="156"/>
      <c r="AL211" s="379"/>
      <c r="AM211" s="60"/>
      <c r="AN211" s="60"/>
      <c r="AO211" s="379"/>
      <c r="AP211" s="379"/>
      <c r="AQ211" s="162"/>
      <c r="AR211" s="379"/>
      <c r="AS211" s="50"/>
    </row>
    <row r="212" spans="1:53" x14ac:dyDescent="0.25">
      <c r="A212" s="243" t="str">
        <f>"(1A) REFLECTS FUEL COST RECOVERY INCLUDED IN BASE RATES OF "&amp;TEXT(CUR_BASE_FUEL,"$0.000000;($0.000000)")&amp;"  PER KWH."</f>
        <v>(1A) REFLECTS FUEL COST RECOVERY INCLUDED IN BASE RATES OF $0.023837  PER KWH.</v>
      </c>
      <c r="B212" s="246"/>
      <c r="C212" s="293"/>
      <c r="D212" s="246"/>
      <c r="E212" s="246"/>
      <c r="F212" s="327"/>
      <c r="G212" s="246"/>
      <c r="H212" s="246"/>
      <c r="I212" s="246"/>
      <c r="J212" s="248" t="s">
        <v>274</v>
      </c>
      <c r="K212" s="246"/>
      <c r="L212" s="247"/>
      <c r="M212" s="246"/>
      <c r="N212" s="245"/>
      <c r="O212" s="246"/>
      <c r="P212" s="244" t="s">
        <v>278</v>
      </c>
      <c r="Q212" s="249"/>
      <c r="R212" s="249"/>
      <c r="S212" s="378"/>
      <c r="T212" s="378"/>
      <c r="U212" s="378"/>
      <c r="V212" s="378"/>
      <c r="AA212" s="379"/>
      <c r="AC212" s="379"/>
      <c r="AD212" s="379"/>
      <c r="AE212" s="59"/>
      <c r="AF212" s="59"/>
      <c r="AG212" s="156"/>
      <c r="AH212" s="379"/>
      <c r="AI212" s="50"/>
      <c r="AJ212" s="50"/>
      <c r="AK212" s="156"/>
      <c r="AL212" s="379"/>
      <c r="AM212" s="60"/>
      <c r="AN212" s="60"/>
      <c r="AO212" s="379"/>
      <c r="AP212" s="379"/>
      <c r="AQ212" s="162"/>
      <c r="AR212" s="379"/>
      <c r="AS212" s="50"/>
    </row>
    <row r="213" spans="1:53" x14ac:dyDescent="0.25">
      <c r="A213" s="243" t="str">
        <f>"(2) REFLECTS FUEL COMPONENT OF "&amp;TEXT(CUR_FAC,"$0.000000;($0.000000)")&amp;"  PER KWH."</f>
        <v>(2) REFLECTS FUEL COMPONENT OF $0.000681  PER KWH.</v>
      </c>
      <c r="B213" s="246"/>
      <c r="C213" s="293"/>
      <c r="D213" s="246"/>
      <c r="E213" s="246"/>
      <c r="F213" s="327"/>
      <c r="G213" s="246"/>
      <c r="H213" s="246"/>
      <c r="I213" s="246"/>
      <c r="J213" s="248" t="s">
        <v>275</v>
      </c>
      <c r="K213" s="246"/>
      <c r="L213" s="247"/>
      <c r="M213" s="246"/>
      <c r="N213" s="245"/>
      <c r="O213" s="246"/>
      <c r="P213" s="244" t="s">
        <v>279</v>
      </c>
      <c r="Q213" s="249"/>
      <c r="R213" s="249"/>
      <c r="S213" s="378"/>
      <c r="T213" s="378"/>
      <c r="U213" s="378"/>
      <c r="V213" s="378"/>
      <c r="AA213" s="379"/>
      <c r="AC213" s="379"/>
      <c r="AD213" s="379"/>
      <c r="AE213" s="59"/>
      <c r="AF213" s="59"/>
      <c r="AG213" s="156"/>
      <c r="AH213" s="379"/>
      <c r="AI213" s="50"/>
      <c r="AJ213" s="50"/>
      <c r="AK213" s="156"/>
      <c r="AL213" s="379"/>
      <c r="AM213" s="60"/>
      <c r="AN213" s="60"/>
      <c r="AO213" s="379"/>
      <c r="AP213" s="379"/>
      <c r="AQ213" s="162"/>
      <c r="AR213" s="379"/>
      <c r="AS213" s="50"/>
    </row>
    <row r="214" spans="1:53" x14ac:dyDescent="0.25">
      <c r="A214" s="244" t="s">
        <v>273</v>
      </c>
      <c r="B214" s="246"/>
      <c r="C214" s="293"/>
      <c r="D214" s="246"/>
      <c r="E214" s="246"/>
      <c r="F214" s="327"/>
      <c r="G214" s="246"/>
      <c r="H214" s="246"/>
      <c r="I214" s="246"/>
      <c r="J214" s="244" t="s">
        <v>276</v>
      </c>
      <c r="K214" s="246"/>
      <c r="L214" s="247"/>
      <c r="M214" s="246"/>
      <c r="N214" s="245"/>
      <c r="O214" s="246"/>
      <c r="P214" s="244" t="s">
        <v>280</v>
      </c>
      <c r="Q214" s="249"/>
      <c r="R214" s="249"/>
      <c r="S214" s="378"/>
      <c r="T214" s="378"/>
      <c r="U214" s="378"/>
      <c r="V214" s="378"/>
      <c r="AA214" s="379"/>
      <c r="AC214" s="379"/>
      <c r="AD214" s="379"/>
      <c r="AE214" s="463"/>
      <c r="AF214" s="463"/>
      <c r="AG214" s="156"/>
      <c r="AH214" s="379"/>
      <c r="AI214" s="50"/>
      <c r="AJ214" s="50"/>
      <c r="AK214" s="156"/>
      <c r="AL214" s="379"/>
      <c r="AM214" s="60"/>
      <c r="AN214" s="60"/>
      <c r="AO214" s="379"/>
      <c r="AP214" s="379"/>
      <c r="AQ214" s="162"/>
      <c r="AR214" s="379"/>
      <c r="AS214" s="50"/>
    </row>
    <row r="215" spans="1:53" x14ac:dyDescent="0.25">
      <c r="A215" s="244" t="s">
        <v>271</v>
      </c>
      <c r="B215" s="246"/>
      <c r="C215" s="293"/>
      <c r="D215" s="246"/>
      <c r="E215" s="246"/>
      <c r="F215" s="327"/>
      <c r="G215" s="246"/>
      <c r="H215" s="246"/>
      <c r="I215" s="246"/>
      <c r="J215" s="244" t="s">
        <v>387</v>
      </c>
      <c r="K215" s="245"/>
      <c r="L215" s="250"/>
      <c r="M215" s="245"/>
      <c r="N215" s="245"/>
      <c r="O215" s="245"/>
      <c r="P215" s="244" t="s">
        <v>281</v>
      </c>
      <c r="Q215" s="249"/>
      <c r="R215" s="249"/>
      <c r="S215" s="378"/>
      <c r="T215" s="378"/>
      <c r="U215" s="378"/>
      <c r="V215" s="378"/>
    </row>
    <row r="216" spans="1:53" ht="18" customHeight="1" x14ac:dyDescent="0.25">
      <c r="A216" s="52"/>
      <c r="B216" s="378"/>
      <c r="C216" s="194"/>
      <c r="D216" s="378"/>
      <c r="E216" s="378"/>
      <c r="F216" s="329"/>
      <c r="G216" s="378"/>
      <c r="H216" s="378"/>
      <c r="I216" s="378"/>
      <c r="J216" s="52"/>
      <c r="V216" s="54"/>
      <c r="AA216" s="379"/>
      <c r="AC216" s="379"/>
      <c r="AD216" s="379"/>
      <c r="AE216" s="464"/>
      <c r="AF216" s="464"/>
      <c r="AG216" s="156"/>
      <c r="AH216" s="379"/>
      <c r="AI216" s="50"/>
      <c r="AJ216" s="50"/>
      <c r="AK216" s="156"/>
      <c r="AL216" s="379"/>
      <c r="AM216" s="50"/>
      <c r="AN216" s="50"/>
      <c r="AO216" s="379"/>
      <c r="AP216" s="379"/>
      <c r="AQ216" s="162"/>
      <c r="AR216" s="379"/>
      <c r="AS216" s="50"/>
    </row>
    <row r="217" spans="1:53" ht="15" customHeight="1" x14ac:dyDescent="0.25">
      <c r="A217" s="52"/>
      <c r="B217" s="378"/>
      <c r="C217" s="194"/>
      <c r="D217" s="378"/>
      <c r="E217" s="378"/>
      <c r="F217" s="398"/>
      <c r="G217" s="378"/>
      <c r="H217" s="200"/>
      <c r="I217" s="378"/>
      <c r="J217" s="52"/>
      <c r="K217" s="378"/>
      <c r="L217" s="378"/>
      <c r="M217" s="378"/>
      <c r="N217" s="76"/>
      <c r="O217" s="378"/>
      <c r="P217" s="69"/>
      <c r="Q217" s="378"/>
      <c r="R217" s="378"/>
      <c r="V217" s="54"/>
      <c r="AA217" s="449"/>
      <c r="AC217" s="449"/>
      <c r="AD217" s="449"/>
      <c r="AE217" s="464"/>
      <c r="AF217" s="464"/>
      <c r="AG217" s="156"/>
      <c r="AH217" s="379"/>
      <c r="AI217" s="50"/>
      <c r="AJ217" s="50"/>
      <c r="AK217" s="156"/>
      <c r="AL217" s="379"/>
      <c r="AO217" s="379"/>
      <c r="AP217" s="379"/>
      <c r="AQ217" s="162"/>
      <c r="AR217" s="379"/>
      <c r="AS217" s="50"/>
    </row>
    <row r="218" spans="1:53" x14ac:dyDescent="0.25">
      <c r="B218" s="378"/>
      <c r="C218" s="194"/>
      <c r="D218" s="378"/>
      <c r="E218" s="378"/>
      <c r="F218" s="194"/>
      <c r="G218" s="378"/>
      <c r="H218" s="378"/>
      <c r="I218" s="378"/>
      <c r="K218" s="378"/>
      <c r="L218" s="378"/>
      <c r="M218" s="378"/>
      <c r="N218" s="378"/>
      <c r="O218" s="378"/>
      <c r="Q218" s="378"/>
      <c r="R218" s="378"/>
    </row>
    <row r="219" spans="1:53" x14ac:dyDescent="0.25">
      <c r="B219" s="378"/>
      <c r="C219" s="194"/>
      <c r="D219" s="378"/>
      <c r="E219" s="378"/>
      <c r="F219" s="194"/>
      <c r="G219" s="378"/>
      <c r="H219" s="378"/>
      <c r="I219" s="378"/>
      <c r="K219" s="378"/>
      <c r="L219" s="378"/>
      <c r="M219" s="378"/>
      <c r="N219" s="378"/>
      <c r="O219" s="378"/>
      <c r="Q219" s="378"/>
      <c r="R219" s="378"/>
      <c r="T219" s="53"/>
      <c r="V219" s="54"/>
      <c r="AA219" s="379"/>
      <c r="AC219" s="449"/>
      <c r="AD219" s="449"/>
      <c r="AE219" s="461"/>
      <c r="AF219" s="461"/>
      <c r="AG219" s="156"/>
      <c r="AH219" s="379"/>
      <c r="AI219" s="50"/>
      <c r="AJ219" s="50"/>
      <c r="AK219" s="156"/>
      <c r="AL219" s="379"/>
      <c r="AM219" s="60"/>
      <c r="AN219" s="60"/>
      <c r="AO219" s="53"/>
      <c r="AP219" s="53"/>
      <c r="AQ219" s="162"/>
      <c r="AR219" s="379"/>
      <c r="AS219" s="50"/>
    </row>
    <row r="220" spans="1:53" x14ac:dyDescent="0.25">
      <c r="A220" s="53"/>
      <c r="C220" s="301"/>
      <c r="F220" s="310"/>
      <c r="G220" s="84"/>
      <c r="H220" s="379"/>
      <c r="I220" s="83"/>
      <c r="J220" s="84"/>
      <c r="K220" s="84"/>
      <c r="L220" s="84"/>
      <c r="M220" s="84"/>
      <c r="N220" s="84"/>
      <c r="O220" s="84"/>
      <c r="P220" s="83"/>
      <c r="Q220" s="83"/>
      <c r="R220" s="91"/>
      <c r="S220" s="103"/>
      <c r="T220" s="83"/>
      <c r="U220" s="83"/>
      <c r="V220" s="83"/>
      <c r="Z220" s="56"/>
      <c r="AA220" s="56"/>
      <c r="AB220" s="56"/>
      <c r="AC220" s="56"/>
      <c r="AD220" s="56"/>
      <c r="AE220" s="56"/>
      <c r="AG220" s="155"/>
      <c r="AH220" s="56"/>
      <c r="AI220" s="56"/>
      <c r="AJ220" s="56"/>
      <c r="AK220" s="155"/>
      <c r="AL220" s="56"/>
      <c r="AM220" s="56"/>
      <c r="AN220" s="56"/>
      <c r="AO220" s="56"/>
      <c r="AP220" s="56"/>
      <c r="AQ220" s="155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</row>
    <row r="221" spans="1:53" x14ac:dyDescent="0.25">
      <c r="A221" s="53"/>
      <c r="C221" s="301"/>
      <c r="F221" s="310"/>
      <c r="G221" s="116"/>
      <c r="H221" s="83"/>
      <c r="I221" s="83"/>
      <c r="J221" s="116"/>
      <c r="K221" s="116"/>
      <c r="L221" s="83"/>
      <c r="M221" s="83"/>
      <c r="N221" s="83"/>
      <c r="O221" s="83"/>
      <c r="P221" s="83"/>
      <c r="Q221" s="83"/>
      <c r="R221" s="83"/>
      <c r="S221" s="91"/>
      <c r="T221" s="588" t="str">
        <f>NAME</f>
        <v>DUKE ENERGY KENTUCKY, INC.</v>
      </c>
      <c r="U221" s="588"/>
      <c r="V221" s="588"/>
      <c r="W221" s="588"/>
      <c r="X221" s="588"/>
      <c r="Y221" s="588"/>
      <c r="Z221" s="588"/>
      <c r="AA221" s="588"/>
      <c r="AB221" s="588"/>
      <c r="AC221" s="588"/>
      <c r="AD221" s="588"/>
      <c r="AE221" s="588"/>
      <c r="AF221" s="588"/>
      <c r="AG221" s="588"/>
      <c r="AH221" s="588"/>
      <c r="AI221" s="588"/>
      <c r="AJ221" s="588"/>
      <c r="AK221" s="588"/>
      <c r="AL221" s="588"/>
      <c r="AM221" s="588"/>
      <c r="AN221" s="588"/>
      <c r="AO221" s="588"/>
      <c r="AP221" s="588"/>
      <c r="AQ221" s="588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</row>
    <row r="222" spans="1:53" x14ac:dyDescent="0.25">
      <c r="A222" s="53"/>
      <c r="C222" s="301"/>
      <c r="F222" s="399"/>
      <c r="G222" s="116"/>
      <c r="H222" s="94"/>
      <c r="I222" s="94"/>
      <c r="J222" s="94"/>
      <c r="K222" s="94"/>
      <c r="L222" s="524"/>
      <c r="M222" s="94"/>
      <c r="N222" s="94"/>
      <c r="O222" s="94"/>
      <c r="P222" s="83"/>
      <c r="Q222" s="83"/>
      <c r="R222" s="83"/>
      <c r="S222" s="91"/>
      <c r="T222" s="43" t="str">
        <f>CASE_NO</f>
        <v>CASE NO.   2019-000271</v>
      </c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</row>
    <row r="223" spans="1:53" x14ac:dyDescent="0.25">
      <c r="A223" s="53"/>
      <c r="C223" s="301"/>
      <c r="F223" s="399"/>
      <c r="G223" s="116"/>
      <c r="H223" s="94"/>
      <c r="I223" s="94"/>
      <c r="J223" s="94"/>
      <c r="K223" s="94"/>
      <c r="L223" s="94"/>
      <c r="M223" s="94"/>
      <c r="N223" s="94"/>
      <c r="O223" s="94"/>
      <c r="P223" s="94"/>
      <c r="Q223" s="83"/>
      <c r="R223" s="94"/>
      <c r="S223" s="91"/>
      <c r="T223" s="44" t="str">
        <f>TITLE</f>
        <v>ANNUALIZED BASE YEAR REVENUES AT PROPOSED VS. MOST CURRENT RATES</v>
      </c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</row>
    <row r="224" spans="1:53" x14ac:dyDescent="0.25">
      <c r="A224" s="53"/>
      <c r="C224" s="301"/>
      <c r="F224" s="447"/>
      <c r="G224" s="382"/>
      <c r="H224" s="449"/>
      <c r="I224" s="449"/>
      <c r="J224" s="449"/>
      <c r="K224" s="449"/>
      <c r="L224" s="379"/>
      <c r="M224" s="379"/>
      <c r="N224" s="379"/>
      <c r="O224" s="379"/>
      <c r="P224" s="379"/>
      <c r="Q224" s="379"/>
      <c r="R224" s="379"/>
      <c r="T224" s="43" t="str">
        <f>DATE</f>
        <v>FOR THE TWELVE MONTHS ENDED November 30, 2019</v>
      </c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379"/>
      <c r="AS224" s="50"/>
    </row>
    <row r="225" spans="1:51" x14ac:dyDescent="0.25">
      <c r="C225" s="229"/>
      <c r="F225" s="358"/>
      <c r="H225" s="379"/>
      <c r="I225" s="379"/>
      <c r="J225" s="464"/>
      <c r="K225" s="464"/>
      <c r="L225" s="381"/>
      <c r="M225" s="381"/>
      <c r="N225" s="381"/>
      <c r="O225" s="381"/>
      <c r="P225" s="381"/>
      <c r="Q225" s="381"/>
      <c r="R225" s="381"/>
      <c r="T225" s="43" t="str">
        <f>SERVICE</f>
        <v>(ELECTRIC SERVICE)</v>
      </c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379"/>
      <c r="AS225" s="50"/>
    </row>
    <row r="226" spans="1:51" x14ac:dyDescent="0.25">
      <c r="C226" s="229"/>
      <c r="F226" s="358"/>
      <c r="H226" s="379"/>
      <c r="I226" s="379"/>
      <c r="J226" s="464"/>
      <c r="K226" s="464"/>
      <c r="L226" s="381"/>
      <c r="M226" s="381"/>
      <c r="N226" s="381"/>
      <c r="O226" s="381"/>
      <c r="P226" s="381"/>
      <c r="Q226" s="381"/>
      <c r="R226" s="381"/>
      <c r="T226" s="45" t="str">
        <f>DATA_PERIOD</f>
        <v>DATA: __X__ BASE PERIOD   ____FORECASTED PERIOD</v>
      </c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6" t="s">
        <v>164</v>
      </c>
      <c r="AP226" s="45"/>
      <c r="AQ226" s="45"/>
    </row>
    <row r="227" spans="1:51" x14ac:dyDescent="0.25">
      <c r="A227" s="53"/>
      <c r="C227" s="301"/>
      <c r="F227" s="447"/>
      <c r="H227" s="449"/>
      <c r="I227" s="449"/>
      <c r="J227" s="477"/>
      <c r="K227" s="477"/>
      <c r="L227" s="379"/>
      <c r="M227" s="379"/>
      <c r="N227" s="50"/>
      <c r="O227" s="50"/>
      <c r="P227" s="379"/>
      <c r="Q227" s="379"/>
      <c r="R227" s="379"/>
      <c r="S227" s="379"/>
      <c r="T227" s="45" t="str">
        <f>TYPE</f>
        <v>TYPE OF FILING: _X_ ORIGINAL   ___UPDATED  ___ REVISED</v>
      </c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52" t="str">
        <f>"PAGE 13 OF "&amp;TEXT(Page_Num_2.2,"00")</f>
        <v>PAGE 13 OF 22</v>
      </c>
      <c r="AP227" s="45"/>
      <c r="AQ227" s="45"/>
      <c r="AR227" s="379"/>
      <c r="AS227" s="50"/>
    </row>
    <row r="228" spans="1:51" x14ac:dyDescent="0.25">
      <c r="A228" s="53"/>
      <c r="C228" s="301"/>
      <c r="F228" s="447"/>
      <c r="H228" s="449"/>
      <c r="I228" s="449"/>
      <c r="J228" s="461"/>
      <c r="K228" s="461"/>
      <c r="L228" s="379"/>
      <c r="M228" s="379"/>
      <c r="N228" s="50"/>
      <c r="O228" s="50"/>
      <c r="P228" s="379"/>
      <c r="Q228" s="379"/>
      <c r="R228" s="379"/>
      <c r="T228" s="46" t="s">
        <v>177</v>
      </c>
      <c r="U228" s="378"/>
      <c r="V228" s="378"/>
      <c r="W228" s="378"/>
      <c r="X228" s="378"/>
      <c r="Y228" s="378"/>
      <c r="Z228" s="378"/>
      <c r="AA228" s="378"/>
      <c r="AB228" s="378"/>
      <c r="AC228" s="378"/>
      <c r="AD228" s="378"/>
      <c r="AE228" s="378"/>
      <c r="AF228" s="378"/>
      <c r="AG228" s="143"/>
      <c r="AH228" s="378"/>
      <c r="AI228" s="378"/>
      <c r="AJ228" s="378"/>
      <c r="AK228" s="143"/>
      <c r="AL228" s="378"/>
      <c r="AM228" s="378"/>
      <c r="AN228" s="378"/>
      <c r="AO228" s="46" t="s">
        <v>4</v>
      </c>
      <c r="AP228" s="46"/>
      <c r="AQ228" s="171"/>
    </row>
    <row r="229" spans="1:51" x14ac:dyDescent="0.25">
      <c r="C229" s="229"/>
      <c r="F229" s="347"/>
      <c r="H229" s="381"/>
      <c r="I229" s="381"/>
      <c r="J229" s="464"/>
      <c r="K229" s="464"/>
      <c r="L229" s="381"/>
      <c r="M229" s="381"/>
      <c r="N229" s="381"/>
      <c r="O229" s="381"/>
      <c r="P229" s="381"/>
      <c r="Q229" s="381"/>
      <c r="R229" s="381"/>
      <c r="T229" s="218" t="str">
        <f>TIME</f>
        <v>6 Months Actual and 6 Months Projected with Riders</v>
      </c>
      <c r="U229" s="378"/>
      <c r="V229" s="378"/>
      <c r="W229" s="378"/>
      <c r="X229" s="378"/>
      <c r="Y229" s="378"/>
      <c r="Z229" s="378"/>
      <c r="AA229" s="378"/>
      <c r="AB229" s="378"/>
      <c r="AC229" s="378"/>
      <c r="AD229" s="378"/>
      <c r="AF229" s="46"/>
      <c r="AG229" s="143"/>
      <c r="AH229" s="378"/>
      <c r="AI229" s="378"/>
      <c r="AJ229" s="378"/>
      <c r="AK229" s="143"/>
      <c r="AL229" s="378"/>
      <c r="AM229" s="378"/>
      <c r="AN229" s="378"/>
      <c r="AO229" s="48" t="str">
        <f>WIT</f>
        <v>J. L. Kern</v>
      </c>
      <c r="AP229" s="45"/>
      <c r="AQ229" s="171"/>
      <c r="AR229" s="379"/>
      <c r="AS229" s="50"/>
    </row>
    <row r="230" spans="1:51" x14ac:dyDescent="0.25">
      <c r="C230" s="229"/>
      <c r="F230" s="347"/>
      <c r="H230" s="381"/>
      <c r="I230" s="381"/>
      <c r="J230" s="464"/>
      <c r="K230" s="464"/>
      <c r="L230" s="381"/>
      <c r="M230" s="381"/>
      <c r="N230" s="381"/>
      <c r="O230" s="381"/>
      <c r="P230" s="381"/>
      <c r="Q230" s="381"/>
      <c r="R230" s="381"/>
      <c r="T230" s="44" t="s">
        <v>137</v>
      </c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4"/>
      <c r="AF230" s="44"/>
      <c r="AG230" s="144"/>
      <c r="AH230" s="43"/>
      <c r="AI230" s="43"/>
      <c r="AJ230" s="43"/>
      <c r="AK230" s="144"/>
      <c r="AL230" s="43"/>
      <c r="AM230" s="43"/>
      <c r="AN230" s="43"/>
      <c r="AO230" s="44"/>
      <c r="AP230" s="44"/>
      <c r="AQ230" s="171"/>
      <c r="AR230" s="379"/>
      <c r="AS230" s="50"/>
    </row>
    <row r="231" spans="1:51" x14ac:dyDescent="0.25">
      <c r="C231" s="229"/>
      <c r="F231" s="347"/>
      <c r="H231" s="381"/>
      <c r="I231" s="381"/>
      <c r="J231" s="464"/>
      <c r="K231" s="464"/>
      <c r="L231" s="381"/>
      <c r="M231" s="381"/>
      <c r="N231" s="381"/>
      <c r="O231" s="381"/>
      <c r="P231" s="381"/>
      <c r="Q231" s="381"/>
      <c r="R231" s="381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159"/>
      <c r="AH231" s="72"/>
      <c r="AI231" s="72"/>
      <c r="AJ231" s="72"/>
      <c r="AK231" s="159"/>
      <c r="AL231" s="72"/>
      <c r="AM231" s="72"/>
      <c r="AN231" s="72"/>
      <c r="AO231" s="72"/>
      <c r="AP231" s="72"/>
      <c r="AQ231" s="172"/>
    </row>
    <row r="232" spans="1:51" ht="18" customHeight="1" x14ac:dyDescent="0.25">
      <c r="A232" s="53"/>
      <c r="C232" s="301"/>
      <c r="F232" s="347"/>
      <c r="H232" s="379"/>
      <c r="I232" s="379"/>
      <c r="J232" s="464"/>
      <c r="K232" s="464"/>
      <c r="L232" s="379"/>
      <c r="M232" s="379"/>
      <c r="N232" s="379"/>
      <c r="O232" s="379"/>
      <c r="P232" s="379"/>
      <c r="Q232" s="379"/>
      <c r="R232" s="379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4" t="s">
        <v>8</v>
      </c>
      <c r="AF232" s="74"/>
      <c r="AG232" s="160" t="s">
        <v>7</v>
      </c>
      <c r="AH232" s="74"/>
      <c r="AI232" s="74" t="s">
        <v>9</v>
      </c>
      <c r="AJ232" s="74"/>
      <c r="AK232" s="160" t="s">
        <v>10</v>
      </c>
      <c r="AL232" s="74"/>
      <c r="AM232" s="73"/>
      <c r="AN232" s="73"/>
      <c r="AO232" s="74" t="s">
        <v>8</v>
      </c>
      <c r="AP232" s="74"/>
      <c r="AQ232" s="160" t="s">
        <v>11</v>
      </c>
      <c r="AR232" s="379"/>
    </row>
    <row r="233" spans="1:51" x14ac:dyDescent="0.25">
      <c r="A233" s="53"/>
      <c r="C233" s="301"/>
      <c r="F233" s="347"/>
      <c r="H233" s="449"/>
      <c r="I233" s="449"/>
      <c r="J233" s="221"/>
      <c r="K233" s="221"/>
      <c r="L233" s="379"/>
      <c r="M233" s="379"/>
      <c r="N233" s="50"/>
      <c r="O233" s="50"/>
      <c r="P233" s="379"/>
      <c r="Q233" s="379"/>
      <c r="R233" s="379"/>
      <c r="T233" s="378"/>
      <c r="U233" s="378"/>
      <c r="V233" s="378"/>
      <c r="W233" s="378"/>
      <c r="X233" s="378"/>
      <c r="Y233" s="378"/>
      <c r="Z233" s="378"/>
      <c r="AA233" s="378"/>
      <c r="AB233" s="378"/>
      <c r="AC233" s="426" t="s">
        <v>14</v>
      </c>
      <c r="AD233" s="426"/>
      <c r="AE233" s="426" t="s">
        <v>12</v>
      </c>
      <c r="AF233" s="426"/>
      <c r="AG233" s="146" t="s">
        <v>13</v>
      </c>
      <c r="AH233" s="426"/>
      <c r="AI233" s="426" t="s">
        <v>15</v>
      </c>
      <c r="AJ233" s="426"/>
      <c r="AK233" s="146" t="s">
        <v>16</v>
      </c>
      <c r="AL233" s="426"/>
      <c r="AM233" s="378"/>
      <c r="AN233" s="378"/>
      <c r="AO233" s="426" t="s">
        <v>11</v>
      </c>
      <c r="AP233" s="426"/>
      <c r="AQ233" s="146" t="s">
        <v>9</v>
      </c>
    </row>
    <row r="234" spans="1:51" x14ac:dyDescent="0.25">
      <c r="A234" s="53"/>
      <c r="C234" s="301"/>
      <c r="F234" s="229"/>
      <c r="H234" s="449"/>
      <c r="I234" s="449"/>
      <c r="J234" s="221"/>
      <c r="K234" s="221"/>
      <c r="L234" s="379"/>
      <c r="M234" s="379"/>
      <c r="N234" s="50"/>
      <c r="O234" s="50"/>
      <c r="P234" s="379"/>
      <c r="Q234" s="379"/>
      <c r="R234" s="379"/>
      <c r="T234" s="426" t="s">
        <v>17</v>
      </c>
      <c r="U234" s="378"/>
      <c r="V234" s="426" t="s">
        <v>18</v>
      </c>
      <c r="W234" s="426" t="s">
        <v>19</v>
      </c>
      <c r="X234" s="426"/>
      <c r="Y234" s="426" t="s">
        <v>20</v>
      </c>
      <c r="Z234" s="378"/>
      <c r="AA234" s="378"/>
      <c r="AB234" s="378"/>
      <c r="AC234" s="426" t="s">
        <v>8</v>
      </c>
      <c r="AD234" s="426"/>
      <c r="AE234" s="426" t="s">
        <v>21</v>
      </c>
      <c r="AF234" s="426"/>
      <c r="AG234" s="146" t="s">
        <v>21</v>
      </c>
      <c r="AH234" s="426"/>
      <c r="AI234" s="426" t="s">
        <v>22</v>
      </c>
      <c r="AJ234" s="426"/>
      <c r="AK234" s="146" t="s">
        <v>22</v>
      </c>
      <c r="AL234" s="426"/>
      <c r="AM234" s="426" t="s">
        <v>21</v>
      </c>
      <c r="AN234" s="426"/>
      <c r="AO234" s="426" t="s">
        <v>9</v>
      </c>
      <c r="AP234" s="426"/>
      <c r="AQ234" s="146" t="s">
        <v>23</v>
      </c>
      <c r="AT234" s="137" t="s">
        <v>470</v>
      </c>
      <c r="AX234" s="380" t="s">
        <v>354</v>
      </c>
      <c r="AY234" s="380" t="s">
        <v>355</v>
      </c>
    </row>
    <row r="235" spans="1:51" x14ac:dyDescent="0.25">
      <c r="C235" s="229"/>
      <c r="F235" s="347"/>
      <c r="H235" s="379"/>
      <c r="I235" s="379"/>
      <c r="J235" s="464"/>
      <c r="K235" s="464"/>
      <c r="L235" s="381"/>
      <c r="M235" s="381"/>
      <c r="N235" s="381"/>
      <c r="O235" s="381"/>
      <c r="P235" s="381"/>
      <c r="Q235" s="381"/>
      <c r="R235" s="381"/>
      <c r="T235" s="426" t="s">
        <v>24</v>
      </c>
      <c r="U235" s="378"/>
      <c r="V235" s="426" t="s">
        <v>25</v>
      </c>
      <c r="W235" s="426" t="s">
        <v>26</v>
      </c>
      <c r="X235" s="426"/>
      <c r="Y235" s="426" t="s">
        <v>27</v>
      </c>
      <c r="Z235" s="378"/>
      <c r="AA235" s="426" t="s">
        <v>28</v>
      </c>
      <c r="AB235" s="426"/>
      <c r="AC235" s="70" t="s">
        <v>381</v>
      </c>
      <c r="AD235" s="426"/>
      <c r="AE235" s="426" t="s">
        <v>9</v>
      </c>
      <c r="AF235" s="426"/>
      <c r="AG235" s="146" t="s">
        <v>9</v>
      </c>
      <c r="AH235" s="426"/>
      <c r="AI235" s="265" t="s">
        <v>31</v>
      </c>
      <c r="AJ235" s="265"/>
      <c r="AK235" s="440" t="s">
        <v>32</v>
      </c>
      <c r="AL235" s="426"/>
      <c r="AM235" s="426" t="s">
        <v>379</v>
      </c>
      <c r="AN235" s="426"/>
      <c r="AO235" s="265" t="s">
        <v>33</v>
      </c>
      <c r="AP235" s="265"/>
      <c r="AQ235" s="440" t="s">
        <v>34</v>
      </c>
      <c r="AT235" s="137" t="s">
        <v>471</v>
      </c>
      <c r="AW235" s="380" t="s">
        <v>353</v>
      </c>
      <c r="AX235" s="380" t="s">
        <v>352</v>
      </c>
      <c r="AY235" s="380" t="s">
        <v>352</v>
      </c>
    </row>
    <row r="236" spans="1:51" x14ac:dyDescent="0.25">
      <c r="A236" s="53"/>
      <c r="C236" s="301"/>
      <c r="F236" s="347"/>
      <c r="H236" s="379"/>
      <c r="I236" s="379"/>
      <c r="J236" s="59"/>
      <c r="K236" s="59"/>
      <c r="L236" s="379"/>
      <c r="M236" s="379"/>
      <c r="N236" s="50"/>
      <c r="O236" s="50"/>
      <c r="P236" s="379"/>
      <c r="Q236" s="379"/>
      <c r="R236" s="379"/>
      <c r="T236" s="378"/>
      <c r="U236" s="378"/>
      <c r="V236" s="265" t="s">
        <v>35</v>
      </c>
      <c r="W236" s="265" t="s">
        <v>36</v>
      </c>
      <c r="X236" s="265"/>
      <c r="Y236" s="265" t="s">
        <v>37</v>
      </c>
      <c r="Z236" s="218"/>
      <c r="AA236" s="265" t="s">
        <v>38</v>
      </c>
      <c r="AB236" s="265"/>
      <c r="AC236" s="265" t="s">
        <v>44</v>
      </c>
      <c r="AD236" s="265"/>
      <c r="AE236" s="265" t="s">
        <v>45</v>
      </c>
      <c r="AF236" s="265"/>
      <c r="AG236" s="440" t="s">
        <v>46</v>
      </c>
      <c r="AH236" s="265"/>
      <c r="AI236" s="265" t="s">
        <v>47</v>
      </c>
      <c r="AJ236" s="265"/>
      <c r="AK236" s="440" t="s">
        <v>48</v>
      </c>
      <c r="AL236" s="265"/>
      <c r="AM236" s="265" t="s">
        <v>42</v>
      </c>
      <c r="AN236" s="265"/>
      <c r="AO236" s="265" t="s">
        <v>49</v>
      </c>
      <c r="AP236" s="265"/>
      <c r="AQ236" s="440" t="s">
        <v>50</v>
      </c>
      <c r="AT236" s="137" t="s">
        <v>472</v>
      </c>
    </row>
    <row r="237" spans="1:51" ht="17.100000000000001" customHeight="1" x14ac:dyDescent="0.25">
      <c r="C237" s="229"/>
      <c r="F237" s="347"/>
      <c r="H237" s="379"/>
      <c r="I237" s="379"/>
      <c r="J237" s="464"/>
      <c r="K237" s="464"/>
      <c r="L237" s="381"/>
      <c r="M237" s="381"/>
      <c r="N237" s="381"/>
      <c r="O237" s="381"/>
      <c r="P237" s="381"/>
      <c r="Q237" s="381"/>
      <c r="R237" s="381"/>
      <c r="T237" s="73"/>
      <c r="U237" s="73"/>
      <c r="V237" s="73"/>
      <c r="W237" s="73"/>
      <c r="X237" s="73"/>
      <c r="Y237" s="73"/>
      <c r="Z237" s="73"/>
      <c r="AA237" s="496" t="s">
        <v>51</v>
      </c>
      <c r="AB237" s="496"/>
      <c r="AC237" s="495" t="s">
        <v>71</v>
      </c>
      <c r="AD237" s="496"/>
      <c r="AE237" s="496" t="s">
        <v>52</v>
      </c>
      <c r="AF237" s="496"/>
      <c r="AG237" s="498" t="s">
        <v>53</v>
      </c>
      <c r="AH237" s="496"/>
      <c r="AI237" s="496" t="s">
        <v>52</v>
      </c>
      <c r="AJ237" s="496"/>
      <c r="AK237" s="498" t="s">
        <v>53</v>
      </c>
      <c r="AL237" s="496"/>
      <c r="AM237" s="496" t="s">
        <v>52</v>
      </c>
      <c r="AN237" s="496"/>
      <c r="AO237" s="496" t="s">
        <v>52</v>
      </c>
      <c r="AP237" s="496"/>
      <c r="AQ237" s="498" t="s">
        <v>53</v>
      </c>
      <c r="AX237" s="380">
        <f>CUR_BASE_FUEL</f>
        <v>2.3837000000000001E-2</v>
      </c>
      <c r="AY237" s="380">
        <f>PRO_BASE_FUEL</f>
        <v>2.3837000000000001E-2</v>
      </c>
    </row>
    <row r="238" spans="1:51" x14ac:dyDescent="0.25">
      <c r="A238" s="53"/>
      <c r="C238" s="301"/>
      <c r="F238" s="447"/>
      <c r="H238" s="449"/>
      <c r="I238" s="449"/>
      <c r="J238" s="472"/>
      <c r="K238" s="472"/>
      <c r="L238" s="379"/>
      <c r="M238" s="379"/>
      <c r="N238" s="50"/>
      <c r="O238" s="50"/>
      <c r="P238" s="379"/>
      <c r="Q238" s="379"/>
      <c r="R238" s="379"/>
      <c r="T238" s="363">
        <v>1</v>
      </c>
      <c r="U238" s="378"/>
      <c r="V238" s="222" t="s">
        <v>79</v>
      </c>
      <c r="W238" s="444" t="s">
        <v>297</v>
      </c>
      <c r="X238" s="46"/>
      <c r="Y238" s="2"/>
      <c r="Z238" s="2"/>
      <c r="AA238" s="2"/>
      <c r="AB238" s="2"/>
      <c r="AC238" s="2"/>
      <c r="AD238" s="2"/>
      <c r="AE238" s="2"/>
      <c r="AF238" s="2"/>
      <c r="AG238" s="147"/>
      <c r="AH238" s="2"/>
      <c r="AI238" s="2"/>
      <c r="AJ238" s="2"/>
      <c r="AK238" s="147"/>
      <c r="AL238" s="2"/>
      <c r="AM238" s="2"/>
      <c r="AN238" s="2"/>
      <c r="AO238" s="2"/>
      <c r="AP238" s="2"/>
      <c r="AQ238" s="173"/>
    </row>
    <row r="239" spans="1:51" x14ac:dyDescent="0.25">
      <c r="A239" s="53"/>
      <c r="C239" s="301"/>
      <c r="F239" s="347"/>
      <c r="H239" s="379"/>
      <c r="I239" s="379"/>
      <c r="J239" s="464"/>
      <c r="K239" s="464"/>
      <c r="L239" s="379"/>
      <c r="M239" s="379"/>
      <c r="N239" s="50"/>
      <c r="O239" s="50"/>
      <c r="P239" s="379"/>
      <c r="Q239" s="379"/>
      <c r="R239" s="379"/>
      <c r="S239" s="379"/>
      <c r="T239" s="363">
        <v>2</v>
      </c>
      <c r="U239" s="378"/>
      <c r="V239" s="222" t="s">
        <v>81</v>
      </c>
      <c r="W239" s="218"/>
      <c r="X239" s="378"/>
      <c r="Y239" s="86"/>
      <c r="Z239" s="2"/>
      <c r="AA239" s="86"/>
      <c r="AB239" s="2"/>
      <c r="AC239" s="2"/>
      <c r="AD239" s="2"/>
      <c r="AE239" s="2"/>
      <c r="AF239" s="2"/>
      <c r="AG239" s="147"/>
      <c r="AH239" s="2"/>
      <c r="AI239" s="2"/>
      <c r="AJ239" s="2"/>
      <c r="AK239" s="147"/>
      <c r="AL239" s="2"/>
      <c r="AM239" s="2"/>
      <c r="AN239" s="2"/>
      <c r="AO239" s="2"/>
      <c r="AP239" s="2"/>
      <c r="AQ239" s="173"/>
    </row>
    <row r="240" spans="1:51" x14ac:dyDescent="0.25">
      <c r="C240" s="229"/>
      <c r="F240" s="358"/>
      <c r="H240" s="381"/>
      <c r="I240" s="381"/>
      <c r="J240" s="464"/>
      <c r="K240" s="464"/>
      <c r="L240" s="381"/>
      <c r="M240" s="381"/>
      <c r="N240" s="381"/>
      <c r="O240" s="381"/>
      <c r="P240" s="381"/>
      <c r="Q240" s="381"/>
      <c r="R240" s="381"/>
      <c r="S240" s="379"/>
      <c r="T240" s="363">
        <v>3</v>
      </c>
      <c r="U240" s="378"/>
      <c r="V240" s="444" t="s">
        <v>208</v>
      </c>
      <c r="W240" s="218"/>
      <c r="X240" s="378"/>
      <c r="Y240" s="2"/>
      <c r="Z240" s="2"/>
      <c r="AA240" s="2"/>
      <c r="AB240" s="86"/>
      <c r="AC240" s="446"/>
      <c r="AD240" s="446"/>
      <c r="AE240" s="5"/>
      <c r="AF240" s="5"/>
      <c r="AG240" s="149"/>
      <c r="AH240" s="6"/>
      <c r="AI240" s="5"/>
      <c r="AJ240" s="5"/>
      <c r="AK240" s="149"/>
      <c r="AL240" s="8"/>
      <c r="AM240" s="5"/>
      <c r="AN240" s="5"/>
      <c r="AO240" s="5"/>
      <c r="AP240" s="5"/>
      <c r="AQ240" s="164"/>
    </row>
    <row r="241" spans="1:58" x14ac:dyDescent="0.25">
      <c r="C241" s="229"/>
      <c r="F241" s="358"/>
      <c r="H241" s="381"/>
      <c r="I241" s="381"/>
      <c r="J241" s="464"/>
      <c r="K241" s="464"/>
      <c r="L241" s="381"/>
      <c r="M241" s="381"/>
      <c r="N241" s="381"/>
      <c r="O241" s="381"/>
      <c r="P241" s="381"/>
      <c r="Q241" s="381"/>
      <c r="R241" s="381"/>
      <c r="T241" s="363">
        <v>4</v>
      </c>
      <c r="U241" s="378"/>
      <c r="V241" s="52" t="str">
        <f t="shared" ref="V241:V251" si="57">C21</f>
        <v xml:space="preserve">     7,000 LUMEN</v>
      </c>
      <c r="W241" s="378"/>
      <c r="X241" s="378"/>
      <c r="Y241" s="86">
        <f t="shared" ref="Y241:Y251" si="58">F21</f>
        <v>66375</v>
      </c>
      <c r="Z241" s="2"/>
      <c r="AA241" s="86">
        <f t="shared" ref="AA241:AA251" si="59">H21</f>
        <v>4441594</v>
      </c>
      <c r="AB241" s="86"/>
      <c r="AC241" s="223">
        <v>7.27</v>
      </c>
      <c r="AD241" s="485"/>
      <c r="AE241" s="5">
        <f>ROUND((Y241*AC241),0)</f>
        <v>482546</v>
      </c>
      <c r="AF241" s="5"/>
      <c r="AG241" s="149">
        <f t="shared" ref="AG241:AG251" si="60">ROUND((AE241/AE$429)*100,1)</f>
        <v>31.5</v>
      </c>
      <c r="AH241" s="6"/>
      <c r="AI241" s="5">
        <f t="shared" ref="AI241:AI251" si="61">L21-AE241</f>
        <v>59074</v>
      </c>
      <c r="AJ241" s="5"/>
      <c r="AK241" s="164">
        <f>IF(AE241=0,"0.0 ",ROUND((AI241/AE241)*100,1))</f>
        <v>12.2</v>
      </c>
      <c r="AL241" s="8"/>
      <c r="AM241" s="5">
        <f t="shared" ref="AM241:AM251" si="62">ROUND($AM$429/$AA$429*AA241,0)</f>
        <v>3025</v>
      </c>
      <c r="AN241" s="5"/>
      <c r="AO241" s="5">
        <f>AE241+AM241</f>
        <v>485571</v>
      </c>
      <c r="AP241" s="5"/>
      <c r="AQ241" s="164">
        <f>IF(AO241=0,"0.0 ",ROUND((AI241/AO241)*100,1))</f>
        <v>12.2</v>
      </c>
      <c r="AS241" s="382"/>
      <c r="AT241" s="77">
        <f>AC241-AX241</f>
        <v>5.67</v>
      </c>
      <c r="AW241" s="392">
        <f>803</f>
        <v>803</v>
      </c>
      <c r="AX241" s="380">
        <f>ROUND((AW241/12)*CUR_BASE_FUEL,2)</f>
        <v>1.6</v>
      </c>
      <c r="AY241" s="380">
        <f>ROUND((AW241/12)*PRO_BASE_FUEL,2)</f>
        <v>1.6</v>
      </c>
    </row>
    <row r="242" spans="1:58" x14ac:dyDescent="0.25">
      <c r="A242" s="53"/>
      <c r="C242" s="301"/>
      <c r="F242" s="229"/>
      <c r="T242" s="363">
        <v>5</v>
      </c>
      <c r="U242" s="378"/>
      <c r="V242" s="52" t="str">
        <f t="shared" si="57"/>
        <v xml:space="preserve">     7,000 LUMEN (OPEN)</v>
      </c>
      <c r="W242" s="378"/>
      <c r="X242" s="378"/>
      <c r="Y242" s="86">
        <f t="shared" si="58"/>
        <v>60</v>
      </c>
      <c r="Z242" s="2"/>
      <c r="AA242" s="86">
        <f t="shared" si="59"/>
        <v>4265</v>
      </c>
      <c r="AB242" s="86"/>
      <c r="AC242" s="223">
        <v>6.07</v>
      </c>
      <c r="AD242" s="2"/>
      <c r="AE242" s="5">
        <f t="shared" ref="AE242:AE250" si="63">ROUND((Y242*AC242),0)</f>
        <v>364</v>
      </c>
      <c r="AF242" s="2"/>
      <c r="AG242" s="149">
        <f t="shared" si="60"/>
        <v>0</v>
      </c>
      <c r="AH242" s="2"/>
      <c r="AI242" s="5">
        <f t="shared" si="61"/>
        <v>45</v>
      </c>
      <c r="AJ242" s="2"/>
      <c r="AK242" s="149">
        <f>IF(AE242=0,"0.0 ",ROUND((AI242/AE242)*100,1))</f>
        <v>12.4</v>
      </c>
      <c r="AL242" s="2"/>
      <c r="AM242" s="5">
        <f t="shared" si="62"/>
        <v>3</v>
      </c>
      <c r="AN242" s="2"/>
      <c r="AO242" s="5">
        <f t="shared" ref="AO242:AO250" si="64">AE242+AM242</f>
        <v>367</v>
      </c>
      <c r="AP242" s="2"/>
      <c r="AQ242" s="164">
        <f t="shared" ref="AQ242:AQ278" si="65">IF(AO242=0,"0.0 ",ROUND((AI242/AO242)*100,1))</f>
        <v>12.3</v>
      </c>
      <c r="AS242" s="382"/>
      <c r="AT242" s="77">
        <f>AC242-AX242</f>
        <v>4.3800000000000008</v>
      </c>
      <c r="AW242" s="392">
        <f>853</f>
        <v>853</v>
      </c>
      <c r="AX242" s="380">
        <f t="shared" ref="AX242:AX250" si="66">ROUND((AW242/12)*CUR_BASE_FUEL,2)</f>
        <v>1.69</v>
      </c>
      <c r="AY242" s="380">
        <f t="shared" ref="AY242:AY250" si="67">ROUND((AW242/12)*PRO_BASE_FUEL,2)</f>
        <v>1.69</v>
      </c>
    </row>
    <row r="243" spans="1:58" x14ac:dyDescent="0.25">
      <c r="A243" s="53"/>
      <c r="C243" s="301"/>
      <c r="F243" s="347"/>
      <c r="H243" s="379"/>
      <c r="I243" s="379"/>
      <c r="L243" s="379"/>
      <c r="M243" s="379"/>
      <c r="N243" s="50"/>
      <c r="O243" s="50"/>
      <c r="P243" s="449"/>
      <c r="Q243" s="449"/>
      <c r="R243" s="379"/>
      <c r="T243" s="363">
        <v>6</v>
      </c>
      <c r="U243" s="378"/>
      <c r="V243" s="52" t="str">
        <f t="shared" si="57"/>
        <v xml:space="preserve">     7,000 LUMEN (4)</v>
      </c>
      <c r="W243" s="378"/>
      <c r="X243" s="378"/>
      <c r="Y243" s="86">
        <f t="shared" si="58"/>
        <v>12</v>
      </c>
      <c r="Z243" s="2"/>
      <c r="AA243" s="86">
        <f t="shared" si="59"/>
        <v>803</v>
      </c>
      <c r="AB243" s="86"/>
      <c r="AC243" s="223">
        <f>AC241+$AC$6</f>
        <v>11.71</v>
      </c>
      <c r="AD243" s="485"/>
      <c r="AE243" s="5">
        <f t="shared" si="63"/>
        <v>141</v>
      </c>
      <c r="AF243" s="5"/>
      <c r="AG243" s="149">
        <f t="shared" si="60"/>
        <v>0</v>
      </c>
      <c r="AH243" s="6"/>
      <c r="AI243" s="5">
        <f t="shared" si="61"/>
        <v>17</v>
      </c>
      <c r="AJ243" s="5"/>
      <c r="AK243" s="164">
        <f>IF(AE243=0,"0.0 ",ROUND((AI243/AE243)*100,1))</f>
        <v>12.1</v>
      </c>
      <c r="AL243" s="8"/>
      <c r="AM243" s="5">
        <f t="shared" si="62"/>
        <v>1</v>
      </c>
      <c r="AN243" s="5"/>
      <c r="AO243" s="5">
        <f t="shared" si="64"/>
        <v>142</v>
      </c>
      <c r="AP243" s="5"/>
      <c r="AQ243" s="164">
        <f t="shared" si="65"/>
        <v>12</v>
      </c>
      <c r="AS243" s="382"/>
      <c r="AW243" s="392"/>
    </row>
    <row r="244" spans="1:58" x14ac:dyDescent="0.25">
      <c r="C244" s="229"/>
      <c r="F244" s="358"/>
      <c r="H244" s="381"/>
      <c r="I244" s="381"/>
      <c r="J244" s="464"/>
      <c r="K244" s="464"/>
      <c r="L244" s="381"/>
      <c r="M244" s="381"/>
      <c r="N244" s="381"/>
      <c r="O244" s="381"/>
      <c r="P244" s="381"/>
      <c r="Q244" s="381"/>
      <c r="R244" s="381"/>
      <c r="T244" s="363">
        <v>7</v>
      </c>
      <c r="U244" s="378"/>
      <c r="V244" s="52" t="str">
        <f t="shared" si="57"/>
        <v xml:space="preserve">     7,000 LUMEN (5)</v>
      </c>
      <c r="W244" s="378"/>
      <c r="X244" s="378"/>
      <c r="Y244" s="86">
        <f t="shared" si="58"/>
        <v>511</v>
      </c>
      <c r="Z244" s="2"/>
      <c r="AA244" s="86">
        <f t="shared" si="59"/>
        <v>34194</v>
      </c>
      <c r="AB244" s="86"/>
      <c r="AC244" s="223">
        <f>AC241+$AC$7</f>
        <v>11.77</v>
      </c>
      <c r="AD244" s="485"/>
      <c r="AE244" s="5">
        <f t="shared" si="63"/>
        <v>6014</v>
      </c>
      <c r="AF244" s="5"/>
      <c r="AG244" s="149">
        <f t="shared" si="60"/>
        <v>0.4</v>
      </c>
      <c r="AH244" s="6"/>
      <c r="AI244" s="5">
        <f t="shared" si="61"/>
        <v>736</v>
      </c>
      <c r="AJ244" s="5"/>
      <c r="AK244" s="164">
        <f t="shared" ref="AK244:AK277" si="68">IF(AE244=0,"0.0 ",ROUND((AI244/AE244)*100,1))</f>
        <v>12.2</v>
      </c>
      <c r="AL244" s="8"/>
      <c r="AM244" s="5">
        <f t="shared" si="62"/>
        <v>23</v>
      </c>
      <c r="AN244" s="5"/>
      <c r="AO244" s="5">
        <f t="shared" si="64"/>
        <v>6037</v>
      </c>
      <c r="AP244" s="5"/>
      <c r="AQ244" s="164">
        <f t="shared" si="65"/>
        <v>12.2</v>
      </c>
      <c r="AS244" s="382"/>
      <c r="AW244" s="392"/>
    </row>
    <row r="245" spans="1:58" x14ac:dyDescent="0.25">
      <c r="C245" s="229"/>
      <c r="F245" s="229"/>
      <c r="T245" s="363">
        <v>8</v>
      </c>
      <c r="U245" s="378"/>
      <c r="V245" s="52" t="str">
        <f t="shared" si="57"/>
        <v xml:space="preserve">     7,000 LUMEN (6)</v>
      </c>
      <c r="W245" s="378"/>
      <c r="X245" s="378"/>
      <c r="Y245" s="86">
        <f t="shared" si="58"/>
        <v>108</v>
      </c>
      <c r="Z245" s="2"/>
      <c r="AA245" s="86">
        <f t="shared" si="59"/>
        <v>7227</v>
      </c>
      <c r="AB245" s="86"/>
      <c r="AC245" s="223">
        <f>AC241+$AC$8</f>
        <v>12.66</v>
      </c>
      <c r="AD245" s="485"/>
      <c r="AE245" s="5">
        <f t="shared" si="63"/>
        <v>1367</v>
      </c>
      <c r="AF245" s="5"/>
      <c r="AG245" s="149">
        <f t="shared" si="60"/>
        <v>0.1</v>
      </c>
      <c r="AH245" s="6"/>
      <c r="AI245" s="5">
        <f t="shared" si="61"/>
        <v>168</v>
      </c>
      <c r="AJ245" s="5"/>
      <c r="AK245" s="164">
        <f t="shared" si="68"/>
        <v>12.3</v>
      </c>
      <c r="AL245" s="8"/>
      <c r="AM245" s="5">
        <f t="shared" si="62"/>
        <v>5</v>
      </c>
      <c r="AN245" s="5"/>
      <c r="AO245" s="5">
        <f t="shared" si="64"/>
        <v>1372</v>
      </c>
      <c r="AP245" s="5"/>
      <c r="AQ245" s="164">
        <f t="shared" si="65"/>
        <v>12.2</v>
      </c>
      <c r="AS245" s="382"/>
      <c r="AW245" s="392"/>
    </row>
    <row r="246" spans="1:58" x14ac:dyDescent="0.25">
      <c r="C246" s="301"/>
      <c r="F246" s="229"/>
      <c r="L246" s="379"/>
      <c r="M246" s="379"/>
      <c r="N246" s="379"/>
      <c r="O246" s="379"/>
      <c r="P246" s="379"/>
      <c r="Q246" s="379"/>
      <c r="R246" s="379"/>
      <c r="S246" s="379"/>
      <c r="T246" s="363">
        <v>9</v>
      </c>
      <c r="U246" s="378"/>
      <c r="V246" s="52" t="str">
        <f t="shared" si="57"/>
        <v xml:space="preserve">     7,000 LUMEN (8A)</v>
      </c>
      <c r="W246" s="378"/>
      <c r="X246" s="378"/>
      <c r="Y246" s="86">
        <f t="shared" si="58"/>
        <v>132</v>
      </c>
      <c r="Z246" s="2"/>
      <c r="AA246" s="86">
        <f t="shared" si="59"/>
        <v>8833</v>
      </c>
      <c r="AB246" s="86"/>
      <c r="AC246" s="223">
        <f>AC241+$AC$11</f>
        <v>14.43</v>
      </c>
      <c r="AD246" s="485"/>
      <c r="AE246" s="5">
        <f t="shared" si="63"/>
        <v>1905</v>
      </c>
      <c r="AF246" s="5"/>
      <c r="AG246" s="149">
        <f t="shared" si="60"/>
        <v>0.1</v>
      </c>
      <c r="AH246" s="6"/>
      <c r="AI246" s="5">
        <f t="shared" si="61"/>
        <v>233</v>
      </c>
      <c r="AJ246" s="5"/>
      <c r="AK246" s="164">
        <f t="shared" si="68"/>
        <v>12.2</v>
      </c>
      <c r="AL246" s="8"/>
      <c r="AM246" s="5">
        <f t="shared" si="62"/>
        <v>6</v>
      </c>
      <c r="AN246" s="5"/>
      <c r="AO246" s="5">
        <f t="shared" si="64"/>
        <v>1911</v>
      </c>
      <c r="AP246" s="5"/>
      <c r="AQ246" s="164">
        <f t="shared" si="65"/>
        <v>12.2</v>
      </c>
      <c r="AS246" s="382"/>
      <c r="AW246" s="392"/>
    </row>
    <row r="247" spans="1:58" x14ac:dyDescent="0.25">
      <c r="C247" s="301"/>
      <c r="L247" s="379"/>
      <c r="M247" s="379"/>
      <c r="N247" s="379"/>
      <c r="O247" s="379"/>
      <c r="P247" s="379"/>
      <c r="Q247" s="379"/>
      <c r="R247" s="379"/>
      <c r="S247" s="379"/>
      <c r="T247" s="363">
        <v>10</v>
      </c>
      <c r="U247" s="378"/>
      <c r="V247" s="52" t="str">
        <f t="shared" si="57"/>
        <v xml:space="preserve">    10,000 LUMEN</v>
      </c>
      <c r="W247" s="378"/>
      <c r="X247" s="378"/>
      <c r="Y247" s="86">
        <f t="shared" si="58"/>
        <v>2104</v>
      </c>
      <c r="Z247" s="2"/>
      <c r="AA247" s="86">
        <f t="shared" si="59"/>
        <v>200581</v>
      </c>
      <c r="AB247" s="86"/>
      <c r="AC247" s="223">
        <v>8.39</v>
      </c>
      <c r="AD247" s="485"/>
      <c r="AE247" s="5">
        <f t="shared" si="63"/>
        <v>17653</v>
      </c>
      <c r="AF247" s="5"/>
      <c r="AG247" s="149">
        <f t="shared" si="60"/>
        <v>1.2</v>
      </c>
      <c r="AH247" s="6"/>
      <c r="AI247" s="5">
        <f t="shared" si="61"/>
        <v>2167</v>
      </c>
      <c r="AJ247" s="5"/>
      <c r="AK247" s="164">
        <f>IF(AE247=0,"0.0 ",ROUND((AI247/AE247)*100,1))</f>
        <v>12.3</v>
      </c>
      <c r="AL247" s="8"/>
      <c r="AM247" s="5">
        <f t="shared" si="62"/>
        <v>137</v>
      </c>
      <c r="AN247" s="5"/>
      <c r="AO247" s="5">
        <f t="shared" si="64"/>
        <v>17790</v>
      </c>
      <c r="AP247" s="5"/>
      <c r="AQ247" s="164">
        <f>IF(AO247=0,"0.0 ",ROUND((AI247/AO247)*100,1))</f>
        <v>12.2</v>
      </c>
      <c r="AS247" s="382"/>
      <c r="AW247" s="392"/>
    </row>
    <row r="248" spans="1:58" x14ac:dyDescent="0.25">
      <c r="C248" s="301"/>
      <c r="L248" s="379"/>
      <c r="M248" s="379"/>
      <c r="N248" s="379"/>
      <c r="O248" s="379"/>
      <c r="P248" s="379"/>
      <c r="Q248" s="379"/>
      <c r="R248" s="379"/>
      <c r="S248" s="379"/>
      <c r="T248" s="363">
        <v>11</v>
      </c>
      <c r="U248" s="378"/>
      <c r="V248" s="52" t="str">
        <f t="shared" si="57"/>
        <v xml:space="preserve">    10,000 LUMEN (5)</v>
      </c>
      <c r="W248" s="378"/>
      <c r="X248" s="378"/>
      <c r="Y248" s="86">
        <f t="shared" si="58"/>
        <v>0</v>
      </c>
      <c r="Z248" s="2"/>
      <c r="AA248" s="86">
        <f t="shared" si="59"/>
        <v>0</v>
      </c>
      <c r="AB248" s="86"/>
      <c r="AC248" s="223">
        <f>AC247+$AC$7</f>
        <v>12.89</v>
      </c>
      <c r="AD248" s="485"/>
      <c r="AE248" s="5">
        <f>ROUND((Y248*AC248),0)</f>
        <v>0</v>
      </c>
      <c r="AF248" s="5"/>
      <c r="AG248" s="149">
        <f t="shared" si="60"/>
        <v>0</v>
      </c>
      <c r="AH248" s="6"/>
      <c r="AI248" s="5">
        <f t="shared" si="61"/>
        <v>0</v>
      </c>
      <c r="AJ248" s="5"/>
      <c r="AK248" s="164" t="str">
        <f t="shared" si="68"/>
        <v xml:space="preserve">0.0 </v>
      </c>
      <c r="AL248" s="8"/>
      <c r="AM248" s="5">
        <f t="shared" si="62"/>
        <v>0</v>
      </c>
      <c r="AN248" s="5"/>
      <c r="AO248" s="5">
        <f t="shared" si="64"/>
        <v>0</v>
      </c>
      <c r="AP248" s="5"/>
      <c r="AQ248" s="164" t="str">
        <f t="shared" si="65"/>
        <v xml:space="preserve">0.0 </v>
      </c>
      <c r="AS248" s="382"/>
      <c r="AT248" s="77">
        <f>AC248-AX248</f>
        <v>10.620000000000001</v>
      </c>
      <c r="AW248" s="392">
        <v>1144</v>
      </c>
      <c r="AX248" s="380">
        <f t="shared" si="66"/>
        <v>2.27</v>
      </c>
      <c r="AY248" s="380">
        <f t="shared" si="67"/>
        <v>2.27</v>
      </c>
      <c r="BA248" s="380">
        <f>AW248*Y249/12</f>
        <v>890032</v>
      </c>
      <c r="BB248" s="380">
        <f>AW248/12</f>
        <v>95.333333333333329</v>
      </c>
      <c r="BC248" s="380">
        <f>BB248*AX237</f>
        <v>2.2724606666666665</v>
      </c>
      <c r="BD248" s="380">
        <f>Y249*AC249</f>
        <v>104843.28</v>
      </c>
      <c r="BE248" s="380">
        <f>Y249*(AC249-BC248)</f>
        <v>83627.587216</v>
      </c>
      <c r="BF248" s="380">
        <f>AX237*AA249</f>
        <v>33177.337754</v>
      </c>
    </row>
    <row r="249" spans="1:58" x14ac:dyDescent="0.25">
      <c r="C249" s="301"/>
      <c r="L249" s="379"/>
      <c r="M249" s="379"/>
      <c r="N249" s="379"/>
      <c r="O249" s="379"/>
      <c r="P249" s="379"/>
      <c r="Q249" s="379"/>
      <c r="R249" s="379"/>
      <c r="S249" s="379"/>
      <c r="T249" s="363">
        <v>12</v>
      </c>
      <c r="U249" s="378"/>
      <c r="V249" s="52" t="str">
        <f t="shared" si="57"/>
        <v xml:space="preserve">    21,000 LUMEN</v>
      </c>
      <c r="W249" s="378"/>
      <c r="X249" s="378"/>
      <c r="Y249" s="86">
        <f t="shared" si="58"/>
        <v>9336</v>
      </c>
      <c r="Z249" s="2"/>
      <c r="AA249" s="86">
        <f t="shared" si="59"/>
        <v>1391842</v>
      </c>
      <c r="AB249" s="86"/>
      <c r="AC249" s="223">
        <v>11.23</v>
      </c>
      <c r="AD249" s="485"/>
      <c r="AE249" s="5">
        <f>ROUND((Y249*AC249),0)</f>
        <v>104843</v>
      </c>
      <c r="AF249" s="5"/>
      <c r="AG249" s="149">
        <f t="shared" si="60"/>
        <v>6.8</v>
      </c>
      <c r="AH249" s="6"/>
      <c r="AI249" s="5">
        <f t="shared" si="61"/>
        <v>12884</v>
      </c>
      <c r="AJ249" s="5"/>
      <c r="AK249" s="164">
        <f>IF(AE249=0,"0.0 ",ROUND((AI249/AE249)*100,1))</f>
        <v>12.3</v>
      </c>
      <c r="AL249" s="8"/>
      <c r="AM249" s="5">
        <f t="shared" si="62"/>
        <v>948</v>
      </c>
      <c r="AN249" s="5"/>
      <c r="AO249" s="5">
        <f t="shared" si="64"/>
        <v>105791</v>
      </c>
      <c r="AP249" s="5"/>
      <c r="AQ249" s="164">
        <f>IF(AO249=0,"0.0 ",ROUND((AI249/AO249)*100,1))</f>
        <v>12.2</v>
      </c>
      <c r="AS249" s="382"/>
      <c r="AW249" s="392"/>
      <c r="AZ249" s="380">
        <f>AM429/AA429</f>
        <v>6.8096771551305699E-4</v>
      </c>
    </row>
    <row r="250" spans="1:58" x14ac:dyDescent="0.25">
      <c r="A250" s="54"/>
      <c r="C250" s="229"/>
      <c r="T250" s="363">
        <v>13</v>
      </c>
      <c r="U250" s="378"/>
      <c r="V250" s="52" t="str">
        <f t="shared" si="57"/>
        <v xml:space="preserve">    21,000 LUMEN (5)</v>
      </c>
      <c r="W250" s="378"/>
      <c r="X250" s="378"/>
      <c r="Y250" s="86">
        <f t="shared" si="58"/>
        <v>132</v>
      </c>
      <c r="Z250" s="2"/>
      <c r="AA250" s="86">
        <f t="shared" si="59"/>
        <v>19679</v>
      </c>
      <c r="AB250" s="86"/>
      <c r="AC250" s="223">
        <f>AC249+$AC$7</f>
        <v>15.73</v>
      </c>
      <c r="AD250" s="7"/>
      <c r="AE250" s="5">
        <f t="shared" si="63"/>
        <v>2076</v>
      </c>
      <c r="AF250" s="2"/>
      <c r="AG250" s="149">
        <f t="shared" si="60"/>
        <v>0.1</v>
      </c>
      <c r="AH250" s="2"/>
      <c r="AI250" s="5">
        <f t="shared" si="61"/>
        <v>255</v>
      </c>
      <c r="AJ250" s="2"/>
      <c r="AK250" s="149">
        <f>IF(AE250=0,"0.0 ",ROUND((AI250/AE250)*100,1))</f>
        <v>12.3</v>
      </c>
      <c r="AL250" s="2"/>
      <c r="AM250" s="5">
        <f t="shared" si="62"/>
        <v>13</v>
      </c>
      <c r="AN250" s="2"/>
      <c r="AO250" s="5">
        <f t="shared" si="64"/>
        <v>2089</v>
      </c>
      <c r="AP250" s="2"/>
      <c r="AQ250" s="164">
        <f t="shared" si="65"/>
        <v>12.2</v>
      </c>
      <c r="AS250" s="382"/>
      <c r="AT250" s="77">
        <f>AC250-AX250</f>
        <v>12.18</v>
      </c>
      <c r="AW250" s="392">
        <v>1789</v>
      </c>
      <c r="AX250" s="380">
        <f t="shared" si="66"/>
        <v>3.55</v>
      </c>
      <c r="AY250" s="380">
        <f t="shared" si="67"/>
        <v>3.55</v>
      </c>
      <c r="AZ250" s="380">
        <f>AZ249*AA249</f>
        <v>947.79946709512433</v>
      </c>
      <c r="BD250" s="380">
        <v>105504</v>
      </c>
    </row>
    <row r="251" spans="1:58" x14ac:dyDescent="0.25">
      <c r="A251" s="54"/>
      <c r="C251" s="229"/>
      <c r="T251" s="363">
        <v>14</v>
      </c>
      <c r="U251" s="378"/>
      <c r="V251" s="52" t="str">
        <f t="shared" si="57"/>
        <v xml:space="preserve">    21,000 LUMEN (6)</v>
      </c>
      <c r="W251" s="378"/>
      <c r="X251" s="378"/>
      <c r="Y251" s="86">
        <f t="shared" si="58"/>
        <v>132</v>
      </c>
      <c r="Z251" s="2"/>
      <c r="AA251" s="86">
        <f t="shared" si="59"/>
        <v>19679</v>
      </c>
      <c r="AB251" s="86"/>
      <c r="AC251" s="223">
        <f>AC249+$AC$8</f>
        <v>16.62</v>
      </c>
      <c r="AD251" s="485"/>
      <c r="AE251" s="5">
        <f t="shared" ref="AE251:AE269" si="69">ROUND((Y251*AC251),0)</f>
        <v>2194</v>
      </c>
      <c r="AF251" s="5"/>
      <c r="AG251" s="149">
        <f t="shared" si="60"/>
        <v>0.1</v>
      </c>
      <c r="AH251" s="6"/>
      <c r="AI251" s="5">
        <f t="shared" si="61"/>
        <v>269</v>
      </c>
      <c r="AJ251" s="5"/>
      <c r="AK251" s="164">
        <f t="shared" si="68"/>
        <v>12.3</v>
      </c>
      <c r="AL251" s="8"/>
      <c r="AM251" s="5">
        <f t="shared" si="62"/>
        <v>13</v>
      </c>
      <c r="AN251" s="5"/>
      <c r="AO251" s="5">
        <f t="shared" ref="AO251:AO269" si="70">AE251+AM251</f>
        <v>2207</v>
      </c>
      <c r="AP251" s="5"/>
      <c r="AQ251" s="164">
        <f t="shared" si="65"/>
        <v>12.2</v>
      </c>
      <c r="AS251" s="382"/>
      <c r="AW251" s="392"/>
      <c r="AZ251" s="380">
        <v>1471.230596179214</v>
      </c>
    </row>
    <row r="252" spans="1:58" x14ac:dyDescent="0.25">
      <c r="A252" s="54"/>
      <c r="C252" s="229"/>
      <c r="T252" s="363">
        <v>15</v>
      </c>
      <c r="U252" s="378"/>
      <c r="V252" s="222" t="s">
        <v>305</v>
      </c>
      <c r="W252" s="378"/>
      <c r="X252" s="378"/>
      <c r="Y252" s="86"/>
      <c r="Z252" s="2"/>
      <c r="AA252" s="86"/>
      <c r="AB252" s="86"/>
      <c r="AC252" s="485"/>
      <c r="AD252" s="485"/>
      <c r="AE252" s="5"/>
      <c r="AF252" s="5"/>
      <c r="AG252" s="149"/>
      <c r="AH252" s="6"/>
      <c r="AI252" s="5"/>
      <c r="AJ252" s="5"/>
      <c r="AK252" s="164"/>
      <c r="AL252" s="8"/>
      <c r="AM252" s="108"/>
      <c r="AN252" s="5"/>
      <c r="AO252" s="5"/>
      <c r="AP252" s="5"/>
      <c r="AQ252" s="164"/>
      <c r="AS252" s="382"/>
      <c r="AW252" s="392"/>
      <c r="BE252" s="380">
        <f>AZ251+BD250</f>
        <v>106975.23059617922</v>
      </c>
      <c r="BF252" s="380">
        <v>34115.5144</v>
      </c>
    </row>
    <row r="253" spans="1:58" x14ac:dyDescent="0.25">
      <c r="A253" s="54"/>
      <c r="C253" s="229"/>
      <c r="T253" s="363">
        <v>16</v>
      </c>
      <c r="U253" s="378"/>
      <c r="V253" s="52" t="str">
        <f t="shared" ref="V253:V259" si="71">C33</f>
        <v xml:space="preserve">    14,000 LUMEN</v>
      </c>
      <c r="W253" s="378"/>
      <c r="X253" s="378"/>
      <c r="Y253" s="86">
        <f t="shared" ref="Y253:Y259" si="72">F33</f>
        <v>328</v>
      </c>
      <c r="Z253" s="2"/>
      <c r="AA253" s="86">
        <f t="shared" ref="AA253:AA259" si="73">H33</f>
        <v>21949</v>
      </c>
      <c r="AB253" s="86"/>
      <c r="AC253" s="223">
        <v>7.27</v>
      </c>
      <c r="AD253" s="485"/>
      <c r="AE253" s="5">
        <f>ROUND((Y253*AC253),0)</f>
        <v>2385</v>
      </c>
      <c r="AF253" s="5"/>
      <c r="AG253" s="149">
        <f t="shared" ref="AG253:AG259" si="74">ROUND((AE253/AE$429)*100,1)</f>
        <v>0.2</v>
      </c>
      <c r="AH253" s="6"/>
      <c r="AI253" s="5">
        <f t="shared" ref="AI253:AI259" si="75">L33-AE253</f>
        <v>291</v>
      </c>
      <c r="AJ253" s="5"/>
      <c r="AK253" s="164">
        <f>IF(AE253=0,"0.0 ",ROUND((AI253/AE253)*100,1))</f>
        <v>12.2</v>
      </c>
      <c r="AL253" s="8"/>
      <c r="AM253" s="5">
        <f t="shared" ref="AM253:AM259" si="76">ROUND($AM$429/$AA$429*AA253,0)</f>
        <v>15</v>
      </c>
      <c r="AN253" s="5"/>
      <c r="AO253" s="5">
        <f>AE253+AM253</f>
        <v>2400</v>
      </c>
      <c r="AP253" s="5"/>
      <c r="AQ253" s="164">
        <f>IF(AO253=0,"0.0 ",ROUND((AI253/AO253)*100,1))</f>
        <v>12.1</v>
      </c>
      <c r="AS253" s="382"/>
      <c r="AT253" s="77">
        <f>AC253-AX253</f>
        <v>5.67</v>
      </c>
      <c r="AW253" s="392">
        <v>803</v>
      </c>
      <c r="AX253" s="380">
        <f>ROUND((AW253/12)*CUR_BASE_FUEL,2)</f>
        <v>1.6</v>
      </c>
      <c r="AY253" s="380">
        <f>ROUND((AW253/12)*PRO_BASE_FUEL,2)</f>
        <v>1.6</v>
      </c>
    </row>
    <row r="254" spans="1:58" x14ac:dyDescent="0.25">
      <c r="A254" s="54"/>
      <c r="C254" s="229"/>
      <c r="T254" s="365">
        <v>17</v>
      </c>
      <c r="U254" s="286"/>
      <c r="V254" s="52" t="str">
        <f t="shared" si="71"/>
        <v xml:space="preserve">    14,000 LUMEN (5)</v>
      </c>
      <c r="W254" s="286"/>
      <c r="X254" s="194"/>
      <c r="Y254" s="189">
        <f t="shared" si="72"/>
        <v>48</v>
      </c>
      <c r="Z254" s="131"/>
      <c r="AA254" s="189">
        <f t="shared" si="73"/>
        <v>3212</v>
      </c>
      <c r="AB254" s="189"/>
      <c r="AC254" s="521">
        <f>$AC$253+$AC$7</f>
        <v>11.77</v>
      </c>
      <c r="AD254" s="526"/>
      <c r="AE254" s="191">
        <f t="shared" ref="AE254:AE256" si="77">ROUND((Y254*AC254),0)</f>
        <v>565</v>
      </c>
      <c r="AF254" s="191"/>
      <c r="AG254" s="302">
        <f t="shared" si="74"/>
        <v>0</v>
      </c>
      <c r="AH254" s="303"/>
      <c r="AI254" s="191">
        <f t="shared" si="75"/>
        <v>69</v>
      </c>
      <c r="AJ254" s="191"/>
      <c r="AK254" s="304">
        <f t="shared" ref="AK254:AK256" si="78">IF(AE254=0,"0.0 ",ROUND((AI254/AE254)*100,1))</f>
        <v>12.2</v>
      </c>
      <c r="AL254" s="305"/>
      <c r="AM254" s="191">
        <f t="shared" si="76"/>
        <v>2</v>
      </c>
      <c r="AN254" s="191"/>
      <c r="AO254" s="191">
        <f t="shared" ref="AO254:AO256" si="79">AE254+AM254</f>
        <v>567</v>
      </c>
      <c r="AP254" s="191"/>
      <c r="AQ254" s="304">
        <f t="shared" ref="AQ254:AQ256" si="80">IF(AO254=0,"0.0 ",ROUND((AI254/AO254)*100,1))</f>
        <v>12.2</v>
      </c>
      <c r="AS254" s="382"/>
      <c r="AT254" s="77"/>
      <c r="AW254" s="392"/>
    </row>
    <row r="255" spans="1:58" x14ac:dyDescent="0.25">
      <c r="A255" s="54"/>
      <c r="C255" s="229"/>
      <c r="T255" s="365">
        <v>18</v>
      </c>
      <c r="U255" s="286"/>
      <c r="V255" s="52" t="str">
        <f t="shared" si="71"/>
        <v xml:space="preserve">    14,000 LUMEN (6)</v>
      </c>
      <c r="W255" s="286"/>
      <c r="X255" s="194"/>
      <c r="Y255" s="189">
        <f t="shared" si="72"/>
        <v>84</v>
      </c>
      <c r="Z255" s="131"/>
      <c r="AA255" s="189">
        <f t="shared" si="73"/>
        <v>5621</v>
      </c>
      <c r="AB255" s="189"/>
      <c r="AC255" s="521">
        <f>$AC$253+$AC$8</f>
        <v>12.66</v>
      </c>
      <c r="AD255" s="526"/>
      <c r="AE255" s="191">
        <f t="shared" si="77"/>
        <v>1063</v>
      </c>
      <c r="AF255" s="191"/>
      <c r="AG255" s="302">
        <f t="shared" si="74"/>
        <v>0.1</v>
      </c>
      <c r="AH255" s="303"/>
      <c r="AI255" s="191">
        <f t="shared" si="75"/>
        <v>131</v>
      </c>
      <c r="AJ255" s="191"/>
      <c r="AK255" s="304">
        <f t="shared" si="78"/>
        <v>12.3</v>
      </c>
      <c r="AL255" s="305"/>
      <c r="AM255" s="191">
        <f t="shared" si="76"/>
        <v>4</v>
      </c>
      <c r="AN255" s="191"/>
      <c r="AO255" s="191">
        <f t="shared" si="79"/>
        <v>1067</v>
      </c>
      <c r="AP255" s="191"/>
      <c r="AQ255" s="304">
        <f t="shared" si="80"/>
        <v>12.3</v>
      </c>
      <c r="AS255" s="382"/>
      <c r="AT255" s="77"/>
      <c r="AW255" s="392"/>
    </row>
    <row r="256" spans="1:58" x14ac:dyDescent="0.25">
      <c r="A256" s="54"/>
      <c r="C256" s="229"/>
      <c r="T256" s="365">
        <v>19</v>
      </c>
      <c r="U256" s="286"/>
      <c r="V256" s="52" t="str">
        <f t="shared" si="71"/>
        <v xml:space="preserve">    14,000 LUMEN (10)</v>
      </c>
      <c r="W256" s="286"/>
      <c r="X256" s="194"/>
      <c r="Y256" s="189">
        <f t="shared" si="72"/>
        <v>12</v>
      </c>
      <c r="Z256" s="131"/>
      <c r="AA256" s="189">
        <f t="shared" si="73"/>
        <v>803</v>
      </c>
      <c r="AB256" s="189"/>
      <c r="AC256" s="521">
        <f>$AC$253+$AC$13</f>
        <v>11.77</v>
      </c>
      <c r="AD256" s="526"/>
      <c r="AE256" s="191">
        <f t="shared" si="77"/>
        <v>141</v>
      </c>
      <c r="AF256" s="191"/>
      <c r="AG256" s="302">
        <f t="shared" si="74"/>
        <v>0</v>
      </c>
      <c r="AH256" s="303"/>
      <c r="AI256" s="191">
        <f t="shared" si="75"/>
        <v>18</v>
      </c>
      <c r="AJ256" s="191"/>
      <c r="AK256" s="304">
        <f t="shared" si="78"/>
        <v>12.8</v>
      </c>
      <c r="AL256" s="305"/>
      <c r="AM256" s="191">
        <f t="shared" si="76"/>
        <v>1</v>
      </c>
      <c r="AN256" s="191"/>
      <c r="AO256" s="191">
        <f t="shared" si="79"/>
        <v>142</v>
      </c>
      <c r="AP256" s="191"/>
      <c r="AQ256" s="304">
        <f t="shared" si="80"/>
        <v>12.7</v>
      </c>
      <c r="AS256" s="382"/>
      <c r="AT256" s="77"/>
      <c r="AW256" s="392"/>
    </row>
    <row r="257" spans="1:51" x14ac:dyDescent="0.25">
      <c r="A257" s="54"/>
      <c r="C257" s="229"/>
      <c r="T257" s="365">
        <v>20</v>
      </c>
      <c r="U257" s="194"/>
      <c r="V257" s="52" t="str">
        <f t="shared" si="71"/>
        <v xml:space="preserve">    20,500 LUMEN</v>
      </c>
      <c r="W257" s="194"/>
      <c r="X257" s="194"/>
      <c r="Y257" s="189">
        <f t="shared" si="72"/>
        <v>168</v>
      </c>
      <c r="Z257" s="131"/>
      <c r="AA257" s="189">
        <f t="shared" si="73"/>
        <v>16016</v>
      </c>
      <c r="AB257" s="189"/>
      <c r="AC257" s="521">
        <v>8.39</v>
      </c>
      <c r="AD257" s="526"/>
      <c r="AE257" s="191">
        <f>ROUND((Y257*AC257),0)</f>
        <v>1410</v>
      </c>
      <c r="AF257" s="191"/>
      <c r="AG257" s="302">
        <f t="shared" si="74"/>
        <v>0.1</v>
      </c>
      <c r="AH257" s="303"/>
      <c r="AI257" s="191">
        <f t="shared" si="75"/>
        <v>173</v>
      </c>
      <c r="AJ257" s="191"/>
      <c r="AK257" s="304">
        <f>IF(AE257=0,"0.0 ",ROUND((AI257/AE257)*100,1))</f>
        <v>12.3</v>
      </c>
      <c r="AL257" s="305"/>
      <c r="AM257" s="191">
        <f t="shared" si="76"/>
        <v>11</v>
      </c>
      <c r="AN257" s="191"/>
      <c r="AO257" s="191">
        <f>AE257+AM257</f>
        <v>1421</v>
      </c>
      <c r="AP257" s="191"/>
      <c r="AQ257" s="304">
        <f>IF(AO257=0,"0.0 ",ROUND((AI257/AO257)*100,1))</f>
        <v>12.2</v>
      </c>
      <c r="AS257" s="382"/>
      <c r="AT257" s="77">
        <f>AC257-AX257</f>
        <v>6.120000000000001</v>
      </c>
      <c r="AW257" s="392">
        <v>1144</v>
      </c>
      <c r="AX257" s="380">
        <f>ROUND((AW257/12)*CUR_BASE_FUEL,2)</f>
        <v>2.27</v>
      </c>
      <c r="AY257" s="380">
        <f>ROUND((AW257/12)*PRO_BASE_FUEL,2)</f>
        <v>2.27</v>
      </c>
    </row>
    <row r="258" spans="1:51" x14ac:dyDescent="0.25">
      <c r="A258" s="54"/>
      <c r="C258" s="229"/>
      <c r="T258" s="365">
        <v>21</v>
      </c>
      <c r="U258" s="287"/>
      <c r="V258" s="52" t="str">
        <f t="shared" si="71"/>
        <v xml:space="preserve">    20,500 LUMEN (6)</v>
      </c>
      <c r="W258" s="287"/>
      <c r="X258" s="194"/>
      <c r="Y258" s="189">
        <f t="shared" si="72"/>
        <v>24</v>
      </c>
      <c r="Z258" s="131"/>
      <c r="AA258" s="189">
        <f t="shared" si="73"/>
        <v>2288</v>
      </c>
      <c r="AB258" s="189"/>
      <c r="AC258" s="521">
        <f>$AC$257+$AC$8</f>
        <v>13.780000000000001</v>
      </c>
      <c r="AD258" s="526"/>
      <c r="AE258" s="191">
        <f>ROUND((Y258*AC258),0)</f>
        <v>331</v>
      </c>
      <c r="AF258" s="191"/>
      <c r="AG258" s="302">
        <f t="shared" si="74"/>
        <v>0</v>
      </c>
      <c r="AH258" s="303"/>
      <c r="AI258" s="191">
        <f t="shared" si="75"/>
        <v>40</v>
      </c>
      <c r="AJ258" s="191"/>
      <c r="AK258" s="304">
        <f>IF(AE258=0,"0.0 ",ROUND((AI258/AE258)*100,1))</f>
        <v>12.1</v>
      </c>
      <c r="AL258" s="305"/>
      <c r="AM258" s="191">
        <f t="shared" si="76"/>
        <v>2</v>
      </c>
      <c r="AN258" s="191"/>
      <c r="AO258" s="191">
        <f>AE258+AM258</f>
        <v>333</v>
      </c>
      <c r="AP258" s="191"/>
      <c r="AQ258" s="304">
        <f>IF(AO258=0,"0.0 ",ROUND((AI258/AO258)*100,1))</f>
        <v>12</v>
      </c>
      <c r="AS258" s="382"/>
      <c r="AT258" s="77"/>
      <c r="AW258" s="392"/>
    </row>
    <row r="259" spans="1:51" x14ac:dyDescent="0.25">
      <c r="A259" s="54"/>
      <c r="C259" s="229"/>
      <c r="T259" s="365">
        <v>22</v>
      </c>
      <c r="U259" s="194"/>
      <c r="V259" s="52" t="str">
        <f t="shared" si="71"/>
        <v xml:space="preserve">    36,000 LUMEN</v>
      </c>
      <c r="W259" s="194"/>
      <c r="X259" s="194"/>
      <c r="Y259" s="189">
        <f t="shared" si="72"/>
        <v>0</v>
      </c>
      <c r="Z259" s="131"/>
      <c r="AA259" s="189">
        <f t="shared" si="73"/>
        <v>0</v>
      </c>
      <c r="AB259" s="189"/>
      <c r="AC259" s="521">
        <v>11.23</v>
      </c>
      <c r="AD259" s="526"/>
      <c r="AE259" s="191">
        <f>ROUND((Y259*AC259),0)</f>
        <v>0</v>
      </c>
      <c r="AF259" s="191"/>
      <c r="AG259" s="302">
        <f t="shared" si="74"/>
        <v>0</v>
      </c>
      <c r="AH259" s="303"/>
      <c r="AI259" s="191">
        <f t="shared" si="75"/>
        <v>0</v>
      </c>
      <c r="AJ259" s="191"/>
      <c r="AK259" s="304" t="str">
        <f>IF(AE259=0,"0.0 ",ROUND((AI259/AE259)*100,1))</f>
        <v xml:space="preserve">0.0 </v>
      </c>
      <c r="AL259" s="305"/>
      <c r="AM259" s="191">
        <f t="shared" si="76"/>
        <v>0</v>
      </c>
      <c r="AN259" s="191"/>
      <c r="AO259" s="191">
        <f>AE259+AM259</f>
        <v>0</v>
      </c>
      <c r="AP259" s="191"/>
      <c r="AQ259" s="304" t="str">
        <f>IF(AO259=0,"0.0 ",ROUND((AI259/AO259)*100,1))</f>
        <v xml:space="preserve">0.0 </v>
      </c>
      <c r="AS259" s="382"/>
      <c r="AT259" s="77">
        <f>AC259-AX259</f>
        <v>7.6800000000000006</v>
      </c>
      <c r="AW259" s="392">
        <v>1789</v>
      </c>
      <c r="AX259" s="380">
        <f>ROUND((AW259/12)*CUR_BASE_FUEL,2)</f>
        <v>3.55</v>
      </c>
      <c r="AY259" s="380">
        <f>ROUND((AW259/12)*PRO_BASE_FUEL,2)</f>
        <v>3.55</v>
      </c>
    </row>
    <row r="260" spans="1:51" x14ac:dyDescent="0.25">
      <c r="C260" s="229"/>
      <c r="J260" s="53"/>
      <c r="K260" s="53"/>
      <c r="T260" s="365">
        <v>23</v>
      </c>
      <c r="U260" s="194"/>
      <c r="V260" s="518" t="s">
        <v>209</v>
      </c>
      <c r="W260" s="194"/>
      <c r="X260" s="194"/>
      <c r="Y260" s="307"/>
      <c r="Z260" s="131"/>
      <c r="AA260" s="308"/>
      <c r="AB260" s="131"/>
      <c r="AC260" s="309"/>
      <c r="AD260" s="526"/>
      <c r="AE260" s="191"/>
      <c r="AF260" s="191"/>
      <c r="AG260" s="302"/>
      <c r="AH260" s="303"/>
      <c r="AI260" s="191"/>
      <c r="AJ260" s="191"/>
      <c r="AK260" s="304"/>
      <c r="AL260" s="305"/>
      <c r="AM260" s="191"/>
      <c r="AN260" s="191"/>
      <c r="AO260" s="191"/>
      <c r="AP260" s="191"/>
      <c r="AQ260" s="304"/>
      <c r="AS260" s="382"/>
      <c r="AW260" s="200"/>
    </row>
    <row r="261" spans="1:51" x14ac:dyDescent="0.25">
      <c r="C261" s="229"/>
      <c r="J261" s="53"/>
      <c r="K261" s="53"/>
      <c r="T261" s="365">
        <v>24</v>
      </c>
      <c r="U261" s="194"/>
      <c r="V261" s="52" t="str">
        <f t="shared" ref="V261:V278" si="81">C41</f>
        <v xml:space="preserve">     9,500 LUMEN</v>
      </c>
      <c r="W261" s="194"/>
      <c r="X261" s="194"/>
      <c r="Y261" s="189">
        <f t="shared" ref="Y261:Y278" si="82">F41</f>
        <v>18953</v>
      </c>
      <c r="Z261" s="131"/>
      <c r="AA261" s="189">
        <f t="shared" ref="AA261:AA278" si="83">H41</f>
        <v>769176</v>
      </c>
      <c r="AB261" s="189"/>
      <c r="AC261" s="521">
        <v>8.0399999999999991</v>
      </c>
      <c r="AD261" s="526"/>
      <c r="AE261" s="191">
        <f>ROUND((Y261*AC261),0)</f>
        <v>152382</v>
      </c>
      <c r="AF261" s="191"/>
      <c r="AG261" s="302">
        <f t="shared" ref="AG261:AG278" si="84">ROUND((AE261/AE$429)*100,1)</f>
        <v>9.9</v>
      </c>
      <c r="AH261" s="303"/>
      <c r="AI261" s="191">
        <f t="shared" ref="AI261:AI278" si="85">L41-AE261</f>
        <v>18764</v>
      </c>
      <c r="AJ261" s="191"/>
      <c r="AK261" s="304">
        <f>IF(AE261=0,"0.0 ",ROUND((AI261/AE261)*100,1))</f>
        <v>12.3</v>
      </c>
      <c r="AL261" s="305"/>
      <c r="AM261" s="191">
        <f t="shared" ref="AM261:AM278" si="86">ROUND($AM$429/$AA$429*AA261,0)</f>
        <v>524</v>
      </c>
      <c r="AN261" s="191"/>
      <c r="AO261" s="191">
        <f>AE261+AM261</f>
        <v>152906</v>
      </c>
      <c r="AP261" s="191"/>
      <c r="AQ261" s="304">
        <f>IF(AO261=0,"0.0 ",ROUND((AI261/AO261)*100,1))</f>
        <v>12.3</v>
      </c>
      <c r="AS261" s="382"/>
      <c r="AT261" s="77">
        <f>AC261-AX261</f>
        <v>7.0699999999999994</v>
      </c>
      <c r="AW261" s="392">
        <v>487</v>
      </c>
      <c r="AX261" s="380">
        <f>ROUND((AW261/12)*CUR_BASE_FUEL,2)</f>
        <v>0.97</v>
      </c>
      <c r="AY261" s="380">
        <f>ROUND((AW261/12)*PRO_BASE_FUEL,2)</f>
        <v>0.97</v>
      </c>
    </row>
    <row r="262" spans="1:51" x14ac:dyDescent="0.25">
      <c r="C262" s="229"/>
      <c r="J262" s="53"/>
      <c r="K262" s="53"/>
      <c r="T262" s="365">
        <v>25</v>
      </c>
      <c r="U262" s="194"/>
      <c r="V262" s="52" t="str">
        <f t="shared" si="81"/>
        <v xml:space="preserve">     9,500 LUMEN (OPEN)</v>
      </c>
      <c r="W262" s="194"/>
      <c r="X262" s="194"/>
      <c r="Y262" s="189">
        <f t="shared" si="82"/>
        <v>120</v>
      </c>
      <c r="Z262" s="131"/>
      <c r="AA262" s="189">
        <f t="shared" si="83"/>
        <v>4870</v>
      </c>
      <c r="AB262" s="189"/>
      <c r="AC262" s="521">
        <v>6.04</v>
      </c>
      <c r="AD262" s="526"/>
      <c r="AE262" s="191">
        <f t="shared" si="69"/>
        <v>725</v>
      </c>
      <c r="AF262" s="191"/>
      <c r="AG262" s="302">
        <f t="shared" si="84"/>
        <v>0</v>
      </c>
      <c r="AH262" s="303"/>
      <c r="AI262" s="191">
        <f t="shared" si="85"/>
        <v>89</v>
      </c>
      <c r="AJ262" s="191"/>
      <c r="AK262" s="304">
        <f t="shared" si="68"/>
        <v>12.3</v>
      </c>
      <c r="AL262" s="305"/>
      <c r="AM262" s="191">
        <f t="shared" si="86"/>
        <v>3</v>
      </c>
      <c r="AN262" s="191"/>
      <c r="AO262" s="191">
        <f t="shared" si="70"/>
        <v>728</v>
      </c>
      <c r="AP262" s="191"/>
      <c r="AQ262" s="304">
        <f t="shared" si="65"/>
        <v>12.2</v>
      </c>
      <c r="AS262" s="382"/>
      <c r="AT262" s="77">
        <f>AC262-AX262</f>
        <v>5.07</v>
      </c>
      <c r="AW262" s="392">
        <v>487</v>
      </c>
      <c r="AX262" s="380">
        <f t="shared" ref="AX262:AX275" si="87">ROUND((AW262/12)*CUR_BASE_FUEL,2)</f>
        <v>0.97</v>
      </c>
      <c r="AY262" s="380">
        <f t="shared" ref="AY262:AY275" si="88">ROUND((AW262/12)*PRO_BASE_FUEL,2)</f>
        <v>0.97</v>
      </c>
    </row>
    <row r="263" spans="1:51" x14ac:dyDescent="0.25">
      <c r="C263" s="229"/>
      <c r="H263" s="54"/>
      <c r="I263" s="54"/>
      <c r="T263" s="365">
        <v>26</v>
      </c>
      <c r="U263" s="194"/>
      <c r="V263" s="52" t="str">
        <f t="shared" si="81"/>
        <v xml:space="preserve">     9,500 LUMEN (4)</v>
      </c>
      <c r="W263" s="194"/>
      <c r="X263" s="194"/>
      <c r="Y263" s="189">
        <f t="shared" si="82"/>
        <v>48</v>
      </c>
      <c r="Z263" s="131"/>
      <c r="AA263" s="189">
        <f t="shared" si="83"/>
        <v>1948</v>
      </c>
      <c r="AB263" s="189"/>
      <c r="AC263" s="521">
        <f>AC261+$AC$6</f>
        <v>12.48</v>
      </c>
      <c r="AD263" s="526"/>
      <c r="AE263" s="191">
        <f t="shared" si="69"/>
        <v>599</v>
      </c>
      <c r="AF263" s="191"/>
      <c r="AG263" s="302">
        <f t="shared" si="84"/>
        <v>0</v>
      </c>
      <c r="AH263" s="303"/>
      <c r="AI263" s="191">
        <f t="shared" si="85"/>
        <v>73</v>
      </c>
      <c r="AJ263" s="191"/>
      <c r="AK263" s="304">
        <f t="shared" si="68"/>
        <v>12.2</v>
      </c>
      <c r="AL263" s="305"/>
      <c r="AM263" s="191">
        <f t="shared" si="86"/>
        <v>1</v>
      </c>
      <c r="AN263" s="191"/>
      <c r="AO263" s="191">
        <f t="shared" si="70"/>
        <v>600</v>
      </c>
      <c r="AP263" s="191"/>
      <c r="AQ263" s="304">
        <f t="shared" si="65"/>
        <v>12.2</v>
      </c>
      <c r="AS263" s="382"/>
      <c r="AW263" s="392"/>
    </row>
    <row r="264" spans="1:51" x14ac:dyDescent="0.25">
      <c r="C264" s="229"/>
      <c r="H264" s="54"/>
      <c r="I264" s="54"/>
      <c r="T264" s="365">
        <v>27</v>
      </c>
      <c r="U264" s="194"/>
      <c r="V264" s="52" t="str">
        <f t="shared" si="81"/>
        <v xml:space="preserve">     9,500 LUMEN (5)</v>
      </c>
      <c r="W264" s="194"/>
      <c r="X264" s="194"/>
      <c r="Y264" s="189">
        <f t="shared" si="82"/>
        <v>674</v>
      </c>
      <c r="Z264" s="131"/>
      <c r="AA264" s="189">
        <f t="shared" si="83"/>
        <v>27353</v>
      </c>
      <c r="AB264" s="189"/>
      <c r="AC264" s="521">
        <f>AC261+$AC$7</f>
        <v>12.54</v>
      </c>
      <c r="AD264" s="526"/>
      <c r="AE264" s="191">
        <f t="shared" si="69"/>
        <v>8452</v>
      </c>
      <c r="AF264" s="191"/>
      <c r="AG264" s="302">
        <f t="shared" si="84"/>
        <v>0.6</v>
      </c>
      <c r="AH264" s="303"/>
      <c r="AI264" s="191">
        <f t="shared" si="85"/>
        <v>1038</v>
      </c>
      <c r="AJ264" s="191"/>
      <c r="AK264" s="304">
        <f t="shared" si="68"/>
        <v>12.3</v>
      </c>
      <c r="AL264" s="305"/>
      <c r="AM264" s="191">
        <f t="shared" si="86"/>
        <v>19</v>
      </c>
      <c r="AN264" s="191"/>
      <c r="AO264" s="191">
        <f t="shared" si="70"/>
        <v>8471</v>
      </c>
      <c r="AP264" s="191"/>
      <c r="AQ264" s="304">
        <f t="shared" si="65"/>
        <v>12.3</v>
      </c>
      <c r="AS264" s="382"/>
      <c r="AW264" s="392"/>
    </row>
    <row r="265" spans="1:51" x14ac:dyDescent="0.25">
      <c r="C265" s="229"/>
      <c r="J265" s="53"/>
      <c r="K265" s="53"/>
      <c r="T265" s="365">
        <v>28</v>
      </c>
      <c r="U265" s="194"/>
      <c r="V265" s="52" t="str">
        <f t="shared" si="81"/>
        <v xml:space="preserve">     9,500 LUMEN (6)</v>
      </c>
      <c r="W265" s="194"/>
      <c r="X265" s="194"/>
      <c r="Y265" s="189">
        <f t="shared" si="82"/>
        <v>612</v>
      </c>
      <c r="Z265" s="131"/>
      <c r="AA265" s="189">
        <f t="shared" si="83"/>
        <v>24837</v>
      </c>
      <c r="AB265" s="189"/>
      <c r="AC265" s="521">
        <f>AC261+$AC$8</f>
        <v>13.43</v>
      </c>
      <c r="AD265" s="526"/>
      <c r="AE265" s="191">
        <f t="shared" si="69"/>
        <v>8219</v>
      </c>
      <c r="AF265" s="191"/>
      <c r="AG265" s="302">
        <f t="shared" si="84"/>
        <v>0.5</v>
      </c>
      <c r="AH265" s="303"/>
      <c r="AI265" s="191">
        <f t="shared" si="85"/>
        <v>1010</v>
      </c>
      <c r="AJ265" s="191"/>
      <c r="AK265" s="304">
        <f t="shared" si="68"/>
        <v>12.3</v>
      </c>
      <c r="AL265" s="305"/>
      <c r="AM265" s="191">
        <f t="shared" si="86"/>
        <v>17</v>
      </c>
      <c r="AN265" s="191"/>
      <c r="AO265" s="191">
        <f t="shared" si="70"/>
        <v>8236</v>
      </c>
      <c r="AP265" s="191"/>
      <c r="AQ265" s="304">
        <f t="shared" si="65"/>
        <v>12.3</v>
      </c>
      <c r="AS265" s="382"/>
      <c r="AW265" s="392"/>
    </row>
    <row r="266" spans="1:51" x14ac:dyDescent="0.25">
      <c r="C266" s="229"/>
      <c r="J266" s="53"/>
      <c r="K266" s="53"/>
      <c r="T266" s="365">
        <v>29</v>
      </c>
      <c r="U266" s="194"/>
      <c r="V266" s="52" t="str">
        <f t="shared" si="81"/>
        <v xml:space="preserve">   16,000 LUMEN</v>
      </c>
      <c r="W266" s="194"/>
      <c r="X266" s="194"/>
      <c r="Y266" s="189">
        <f t="shared" si="82"/>
        <v>372</v>
      </c>
      <c r="Z266" s="131"/>
      <c r="AA266" s="189">
        <f t="shared" si="83"/>
        <v>22041</v>
      </c>
      <c r="AB266" s="189"/>
      <c r="AC266" s="521">
        <v>8.77</v>
      </c>
      <c r="AD266" s="526"/>
      <c r="AE266" s="191">
        <f t="shared" si="69"/>
        <v>3262</v>
      </c>
      <c r="AF266" s="191"/>
      <c r="AG266" s="302">
        <f t="shared" si="84"/>
        <v>0.2</v>
      </c>
      <c r="AH266" s="303"/>
      <c r="AI266" s="191">
        <f t="shared" si="85"/>
        <v>402</v>
      </c>
      <c r="AJ266" s="191"/>
      <c r="AK266" s="304">
        <f t="shared" si="68"/>
        <v>12.3</v>
      </c>
      <c r="AL266" s="305"/>
      <c r="AM266" s="191">
        <f t="shared" si="86"/>
        <v>15</v>
      </c>
      <c r="AN266" s="191"/>
      <c r="AO266" s="191">
        <f t="shared" si="70"/>
        <v>3277</v>
      </c>
      <c r="AP266" s="191"/>
      <c r="AQ266" s="304">
        <f t="shared" si="65"/>
        <v>12.3</v>
      </c>
      <c r="AS266" s="382"/>
      <c r="AT266" s="77">
        <f>AC266-AX266</f>
        <v>7.3599999999999994</v>
      </c>
      <c r="AW266" s="392">
        <v>711</v>
      </c>
      <c r="AX266" s="380">
        <f t="shared" si="87"/>
        <v>1.41</v>
      </c>
      <c r="AY266" s="380">
        <f t="shared" si="88"/>
        <v>1.41</v>
      </c>
    </row>
    <row r="267" spans="1:51" x14ac:dyDescent="0.25">
      <c r="C267" s="229"/>
      <c r="J267" s="53"/>
      <c r="K267" s="53"/>
      <c r="T267" s="365">
        <v>30</v>
      </c>
      <c r="U267" s="194"/>
      <c r="V267" s="52" t="str">
        <f t="shared" si="81"/>
        <v xml:space="preserve">   16,000 LUMEN (5)</v>
      </c>
      <c r="W267" s="194"/>
      <c r="X267" s="194"/>
      <c r="Y267" s="189">
        <f t="shared" si="82"/>
        <v>12</v>
      </c>
      <c r="Z267" s="131"/>
      <c r="AA267" s="189">
        <f t="shared" si="83"/>
        <v>711</v>
      </c>
      <c r="AB267" s="189"/>
      <c r="AC267" s="521">
        <f>$AC$266+$AC$7</f>
        <v>13.27</v>
      </c>
      <c r="AD267" s="526"/>
      <c r="AE267" s="191">
        <f>ROUND((Y267*AC267),0)</f>
        <v>159</v>
      </c>
      <c r="AF267" s="191"/>
      <c r="AG267" s="302">
        <f t="shared" si="84"/>
        <v>0</v>
      </c>
      <c r="AH267" s="303"/>
      <c r="AI267" s="191">
        <f t="shared" si="85"/>
        <v>20</v>
      </c>
      <c r="AJ267" s="191"/>
      <c r="AK267" s="304">
        <f>IF(AE267=0,"0.0 ",ROUND((AI267/AE267)*100,1))</f>
        <v>12.6</v>
      </c>
      <c r="AL267" s="305"/>
      <c r="AM267" s="191">
        <f t="shared" si="86"/>
        <v>0</v>
      </c>
      <c r="AN267" s="191"/>
      <c r="AO267" s="191">
        <f>AE267+AM267</f>
        <v>159</v>
      </c>
      <c r="AP267" s="191"/>
      <c r="AQ267" s="304">
        <f>IF(AO267=0,"0.0 ",ROUND((AI267/AO267)*100,1))</f>
        <v>12.6</v>
      </c>
      <c r="AS267" s="382"/>
      <c r="AW267" s="392"/>
    </row>
    <row r="268" spans="1:51" x14ac:dyDescent="0.25">
      <c r="C268" s="229"/>
      <c r="J268" s="53"/>
      <c r="K268" s="53"/>
      <c r="T268" s="365">
        <v>31</v>
      </c>
      <c r="U268" s="288"/>
      <c r="V268" s="52" t="str">
        <f t="shared" si="81"/>
        <v xml:space="preserve">   16,000 LUMEN (6)</v>
      </c>
      <c r="W268" s="288"/>
      <c r="X268" s="194"/>
      <c r="Y268" s="189">
        <f t="shared" si="82"/>
        <v>108</v>
      </c>
      <c r="Z268" s="131"/>
      <c r="AA268" s="189">
        <f t="shared" si="83"/>
        <v>6399</v>
      </c>
      <c r="AB268" s="189"/>
      <c r="AC268" s="521">
        <f>$AC$266+$AC$8</f>
        <v>14.16</v>
      </c>
      <c r="AD268" s="526"/>
      <c r="AE268" s="191">
        <f>ROUND((Y268*AC268),0)</f>
        <v>1529</v>
      </c>
      <c r="AF268" s="191"/>
      <c r="AG268" s="302">
        <f t="shared" si="84"/>
        <v>0.1</v>
      </c>
      <c r="AH268" s="303"/>
      <c r="AI268" s="191">
        <f t="shared" si="85"/>
        <v>188</v>
      </c>
      <c r="AJ268" s="191"/>
      <c r="AK268" s="304">
        <f>IF(AE268=0,"0.0 ",ROUND((AI268/AE268)*100,1))</f>
        <v>12.3</v>
      </c>
      <c r="AL268" s="305"/>
      <c r="AM268" s="191">
        <f t="shared" si="86"/>
        <v>4</v>
      </c>
      <c r="AN268" s="191"/>
      <c r="AO268" s="191">
        <f>AE268+AM268</f>
        <v>1533</v>
      </c>
      <c r="AP268" s="191"/>
      <c r="AQ268" s="304">
        <f>IF(AO268=0,"0.0 ",ROUND((AI268/AO268)*100,1))</f>
        <v>12.3</v>
      </c>
      <c r="AS268" s="382"/>
      <c r="AW268" s="392"/>
    </row>
    <row r="269" spans="1:51" x14ac:dyDescent="0.25">
      <c r="C269" s="229"/>
      <c r="L269" s="54"/>
      <c r="M269" s="54"/>
      <c r="T269" s="363">
        <v>32</v>
      </c>
      <c r="U269" s="194"/>
      <c r="V269" s="52" t="str">
        <f t="shared" si="81"/>
        <v xml:space="preserve">   22,000 LUMEN</v>
      </c>
      <c r="W269" s="194"/>
      <c r="X269" s="194"/>
      <c r="Y269" s="189">
        <f t="shared" si="82"/>
        <v>5346</v>
      </c>
      <c r="Z269" s="131"/>
      <c r="AA269" s="189">
        <f t="shared" si="83"/>
        <v>422334</v>
      </c>
      <c r="AB269" s="189"/>
      <c r="AC269" s="521">
        <v>11.37</v>
      </c>
      <c r="AD269" s="309"/>
      <c r="AE269" s="191">
        <f t="shared" si="69"/>
        <v>60784</v>
      </c>
      <c r="AF269" s="131"/>
      <c r="AG269" s="302">
        <f t="shared" si="84"/>
        <v>4</v>
      </c>
      <c r="AH269" s="131"/>
      <c r="AI269" s="191">
        <f t="shared" si="85"/>
        <v>7431</v>
      </c>
      <c r="AJ269" s="131"/>
      <c r="AK269" s="302">
        <f>IF(AE269=0,"0.0 ",ROUND((AI269/AE269)*100,1))</f>
        <v>12.2</v>
      </c>
      <c r="AL269" s="131"/>
      <c r="AM269" s="191">
        <f t="shared" si="86"/>
        <v>288</v>
      </c>
      <c r="AN269" s="131"/>
      <c r="AO269" s="191">
        <f t="shared" si="70"/>
        <v>61072</v>
      </c>
      <c r="AP269" s="131"/>
      <c r="AQ269" s="304">
        <f t="shared" si="65"/>
        <v>12.2</v>
      </c>
      <c r="AS269" s="382"/>
      <c r="AT269" s="77">
        <f>AC269-AX269</f>
        <v>9.4899999999999984</v>
      </c>
      <c r="AW269" s="392">
        <v>948</v>
      </c>
      <c r="AX269" s="380">
        <f t="shared" si="87"/>
        <v>1.88</v>
      </c>
      <c r="AY269" s="380">
        <f t="shared" si="88"/>
        <v>1.88</v>
      </c>
    </row>
    <row r="270" spans="1:51" x14ac:dyDescent="0.25">
      <c r="C270" s="229"/>
      <c r="L270" s="54"/>
      <c r="M270" s="54"/>
      <c r="T270" s="364">
        <v>33</v>
      </c>
      <c r="U270" s="194"/>
      <c r="V270" s="52" t="str">
        <f t="shared" si="81"/>
        <v xml:space="preserve">   22,000 LUMEN (4)</v>
      </c>
      <c r="W270" s="194"/>
      <c r="X270" s="194"/>
      <c r="Y270" s="189">
        <f t="shared" si="82"/>
        <v>0</v>
      </c>
      <c r="Z270" s="131"/>
      <c r="AA270" s="189">
        <f t="shared" si="83"/>
        <v>0</v>
      </c>
      <c r="AB270" s="189"/>
      <c r="AC270" s="521">
        <f>AC269+$AC$6</f>
        <v>15.809999999999999</v>
      </c>
      <c r="AD270" s="309"/>
      <c r="AE270" s="191">
        <f t="shared" ref="AE270:AE276" si="89">ROUND((Y270*AC270),0)</f>
        <v>0</v>
      </c>
      <c r="AF270" s="191"/>
      <c r="AG270" s="302">
        <f t="shared" si="84"/>
        <v>0</v>
      </c>
      <c r="AH270" s="131"/>
      <c r="AI270" s="191">
        <f t="shared" si="85"/>
        <v>0</v>
      </c>
      <c r="AJ270" s="131"/>
      <c r="AK270" s="304" t="str">
        <f t="shared" si="68"/>
        <v xml:space="preserve">0.0 </v>
      </c>
      <c r="AL270" s="131"/>
      <c r="AM270" s="191">
        <f t="shared" si="86"/>
        <v>0</v>
      </c>
      <c r="AN270" s="131"/>
      <c r="AO270" s="191">
        <f t="shared" ref="AO270:AO278" si="90">AE270+AM270</f>
        <v>0</v>
      </c>
      <c r="AP270" s="131"/>
      <c r="AQ270" s="304" t="str">
        <f t="shared" si="65"/>
        <v xml:space="preserve">0.0 </v>
      </c>
      <c r="AS270" s="382"/>
      <c r="AW270" s="392"/>
    </row>
    <row r="271" spans="1:51" x14ac:dyDescent="0.25">
      <c r="A271" s="53"/>
      <c r="C271" s="229"/>
      <c r="R271" s="54"/>
      <c r="T271" s="364">
        <v>34</v>
      </c>
      <c r="U271" s="194"/>
      <c r="V271" s="52" t="str">
        <f t="shared" si="81"/>
        <v xml:space="preserve">   22,000 LUMEN (5)</v>
      </c>
      <c r="W271" s="194"/>
      <c r="X271" s="194"/>
      <c r="Y271" s="189">
        <f t="shared" si="82"/>
        <v>204</v>
      </c>
      <c r="Z271" s="131"/>
      <c r="AA271" s="189">
        <f t="shared" si="83"/>
        <v>16116</v>
      </c>
      <c r="AB271" s="189"/>
      <c r="AC271" s="521">
        <f>AC269+$AC$7</f>
        <v>15.87</v>
      </c>
      <c r="AD271" s="526"/>
      <c r="AE271" s="191">
        <f t="shared" si="89"/>
        <v>3237</v>
      </c>
      <c r="AF271" s="191"/>
      <c r="AG271" s="302">
        <f t="shared" si="84"/>
        <v>0.2</v>
      </c>
      <c r="AH271" s="303"/>
      <c r="AI271" s="191">
        <f t="shared" si="85"/>
        <v>396</v>
      </c>
      <c r="AJ271" s="191"/>
      <c r="AK271" s="304">
        <f t="shared" si="68"/>
        <v>12.2</v>
      </c>
      <c r="AL271" s="305"/>
      <c r="AM271" s="191">
        <f t="shared" si="86"/>
        <v>11</v>
      </c>
      <c r="AN271" s="191"/>
      <c r="AO271" s="191">
        <f t="shared" si="90"/>
        <v>3248</v>
      </c>
      <c r="AP271" s="191"/>
      <c r="AQ271" s="304">
        <f t="shared" si="65"/>
        <v>12.2</v>
      </c>
      <c r="AS271" s="382"/>
      <c r="AW271" s="392"/>
    </row>
    <row r="272" spans="1:51" x14ac:dyDescent="0.25">
      <c r="A272" s="53"/>
      <c r="C272" s="229"/>
      <c r="R272" s="54"/>
      <c r="T272" s="364">
        <v>35</v>
      </c>
      <c r="U272" s="194"/>
      <c r="V272" s="52" t="str">
        <f t="shared" si="81"/>
        <v xml:space="preserve">   22,000 LUMEN (6)</v>
      </c>
      <c r="W272" s="194"/>
      <c r="X272" s="194"/>
      <c r="Y272" s="189">
        <f t="shared" si="82"/>
        <v>72</v>
      </c>
      <c r="Z272" s="131"/>
      <c r="AA272" s="189">
        <f t="shared" si="83"/>
        <v>5688</v>
      </c>
      <c r="AB272" s="189"/>
      <c r="AC272" s="521">
        <f>AC269+$AC$8</f>
        <v>16.759999999999998</v>
      </c>
      <c r="AD272" s="526"/>
      <c r="AE272" s="191">
        <f t="shared" si="89"/>
        <v>1207</v>
      </c>
      <c r="AF272" s="191"/>
      <c r="AG272" s="302">
        <f t="shared" si="84"/>
        <v>0.1</v>
      </c>
      <c r="AH272" s="303"/>
      <c r="AI272" s="191">
        <f t="shared" si="85"/>
        <v>147</v>
      </c>
      <c r="AJ272" s="191"/>
      <c r="AK272" s="304">
        <f t="shared" si="68"/>
        <v>12.2</v>
      </c>
      <c r="AL272" s="305"/>
      <c r="AM272" s="191">
        <f t="shared" si="86"/>
        <v>4</v>
      </c>
      <c r="AN272" s="191"/>
      <c r="AO272" s="191">
        <f t="shared" si="90"/>
        <v>1211</v>
      </c>
      <c r="AP272" s="191"/>
      <c r="AQ272" s="304">
        <f t="shared" si="65"/>
        <v>12.1</v>
      </c>
      <c r="AS272" s="382"/>
      <c r="AW272" s="392"/>
    </row>
    <row r="273" spans="1:51" x14ac:dyDescent="0.25">
      <c r="A273" s="53"/>
      <c r="C273" s="229"/>
      <c r="R273" s="54"/>
      <c r="T273" s="363">
        <v>36</v>
      </c>
      <c r="U273" s="194"/>
      <c r="V273" s="52" t="str">
        <f t="shared" si="81"/>
        <v xml:space="preserve">   22,000 LUMEN (8)</v>
      </c>
      <c r="W273" s="194"/>
      <c r="X273" s="194"/>
      <c r="Y273" s="189">
        <f t="shared" si="82"/>
        <v>12</v>
      </c>
      <c r="Z273" s="131"/>
      <c r="AA273" s="189">
        <f t="shared" si="83"/>
        <v>948</v>
      </c>
      <c r="AB273" s="189"/>
      <c r="AC273" s="521">
        <f>AC269+$AC$10</f>
        <v>18.46</v>
      </c>
      <c r="AD273" s="526"/>
      <c r="AE273" s="191">
        <f t="shared" si="89"/>
        <v>222</v>
      </c>
      <c r="AF273" s="191"/>
      <c r="AG273" s="302">
        <f t="shared" si="84"/>
        <v>0</v>
      </c>
      <c r="AH273" s="303"/>
      <c r="AI273" s="191">
        <f t="shared" si="85"/>
        <v>27</v>
      </c>
      <c r="AJ273" s="191"/>
      <c r="AK273" s="304">
        <f>IF(AE273=0,"0.0 ",ROUND((AI273/AE273)*100,1))</f>
        <v>12.2</v>
      </c>
      <c r="AL273" s="305"/>
      <c r="AM273" s="191">
        <f t="shared" si="86"/>
        <v>1</v>
      </c>
      <c r="AN273" s="191"/>
      <c r="AO273" s="191">
        <f>AE273+AM273</f>
        <v>223</v>
      </c>
      <c r="AP273" s="191"/>
      <c r="AQ273" s="304">
        <f>IF(AO273=0,"0.0 ",ROUND((AI273/AO273)*100,1))</f>
        <v>12.1</v>
      </c>
      <c r="AS273" s="382"/>
      <c r="AW273" s="392"/>
    </row>
    <row r="274" spans="1:51" x14ac:dyDescent="0.25">
      <c r="A274" s="53"/>
      <c r="C274" s="229"/>
      <c r="R274" s="54"/>
      <c r="T274" s="363">
        <v>37</v>
      </c>
      <c r="U274" s="194"/>
      <c r="V274" s="52" t="str">
        <f t="shared" si="81"/>
        <v xml:space="preserve">   27,500 LUMEN</v>
      </c>
      <c r="W274" s="194"/>
      <c r="X274" s="194"/>
      <c r="Y274" s="189">
        <f t="shared" si="82"/>
        <v>96</v>
      </c>
      <c r="Z274" s="131"/>
      <c r="AA274" s="189">
        <f t="shared" si="83"/>
        <v>7584</v>
      </c>
      <c r="AB274" s="189"/>
      <c r="AC274" s="521">
        <v>11.37</v>
      </c>
      <c r="AD274" s="526"/>
      <c r="AE274" s="191">
        <f t="shared" si="89"/>
        <v>1092</v>
      </c>
      <c r="AF274" s="191"/>
      <c r="AG274" s="302">
        <f t="shared" si="84"/>
        <v>0.1</v>
      </c>
      <c r="AH274" s="303"/>
      <c r="AI274" s="191">
        <f t="shared" si="85"/>
        <v>133</v>
      </c>
      <c r="AJ274" s="191"/>
      <c r="AK274" s="304">
        <f>IF(AE274=0,"0.0 ",ROUND((AI274/AE274)*100,1))</f>
        <v>12.2</v>
      </c>
      <c r="AL274" s="305"/>
      <c r="AM274" s="191">
        <f t="shared" si="86"/>
        <v>5</v>
      </c>
      <c r="AN274" s="191"/>
      <c r="AO274" s="191">
        <f>AE274+AM274</f>
        <v>1097</v>
      </c>
      <c r="AP274" s="191"/>
      <c r="AQ274" s="304">
        <f>IF(AO274=0,"0.0 ",ROUND((AI274/AO274)*100,1))</f>
        <v>12.1</v>
      </c>
      <c r="AS274" s="382"/>
      <c r="AT274" s="77">
        <f>AC274-AX274</f>
        <v>9.4899999999999984</v>
      </c>
      <c r="AW274" s="392">
        <v>948</v>
      </c>
      <c r="AX274" s="380">
        <f t="shared" si="87"/>
        <v>1.88</v>
      </c>
      <c r="AY274" s="380">
        <f t="shared" si="88"/>
        <v>1.88</v>
      </c>
    </row>
    <row r="275" spans="1:51" x14ac:dyDescent="0.25">
      <c r="A275" s="53"/>
      <c r="C275" s="229"/>
      <c r="R275" s="54"/>
      <c r="T275" s="363">
        <v>38</v>
      </c>
      <c r="U275" s="194"/>
      <c r="V275" s="52" t="str">
        <f t="shared" si="81"/>
        <v xml:space="preserve">   27,500 LUMEN (6)</v>
      </c>
      <c r="W275" s="194"/>
      <c r="X275" s="194"/>
      <c r="Y275" s="189">
        <f t="shared" si="82"/>
        <v>12</v>
      </c>
      <c r="Z275" s="131"/>
      <c r="AA275" s="189">
        <f t="shared" si="83"/>
        <v>948</v>
      </c>
      <c r="AB275" s="189"/>
      <c r="AC275" s="521">
        <f>AC274+$AC$8</f>
        <v>16.759999999999998</v>
      </c>
      <c r="AD275" s="526"/>
      <c r="AE275" s="310">
        <f t="shared" si="89"/>
        <v>201</v>
      </c>
      <c r="AF275" s="191"/>
      <c r="AG275" s="302">
        <f t="shared" si="84"/>
        <v>0</v>
      </c>
      <c r="AH275" s="303"/>
      <c r="AI275" s="191">
        <f t="shared" si="85"/>
        <v>25</v>
      </c>
      <c r="AJ275" s="191"/>
      <c r="AK275" s="304">
        <f t="shared" si="68"/>
        <v>12.4</v>
      </c>
      <c r="AL275" s="305"/>
      <c r="AM275" s="191">
        <f t="shared" si="86"/>
        <v>1</v>
      </c>
      <c r="AN275" s="310"/>
      <c r="AO275" s="191">
        <f t="shared" si="90"/>
        <v>202</v>
      </c>
      <c r="AP275" s="191"/>
      <c r="AQ275" s="304">
        <f t="shared" si="65"/>
        <v>12.4</v>
      </c>
      <c r="AS275" s="382"/>
      <c r="AT275" s="77">
        <f>AC275-AX275</f>
        <v>12.869999999999997</v>
      </c>
      <c r="AW275" s="392">
        <v>1959</v>
      </c>
      <c r="AX275" s="380">
        <f t="shared" si="87"/>
        <v>3.89</v>
      </c>
      <c r="AY275" s="380">
        <f t="shared" si="88"/>
        <v>3.89</v>
      </c>
    </row>
    <row r="276" spans="1:51" x14ac:dyDescent="0.25">
      <c r="A276" s="53"/>
      <c r="C276" s="229"/>
      <c r="R276" s="54"/>
      <c r="T276" s="363">
        <v>39</v>
      </c>
      <c r="U276" s="194"/>
      <c r="V276" s="52" t="str">
        <f t="shared" si="81"/>
        <v xml:space="preserve">   50,000 LUMEN</v>
      </c>
      <c r="W276" s="194"/>
      <c r="X276" s="194"/>
      <c r="Y276" s="189">
        <f t="shared" si="82"/>
        <v>9645</v>
      </c>
      <c r="Z276" s="131"/>
      <c r="AA276" s="189">
        <f t="shared" si="83"/>
        <v>1574546</v>
      </c>
      <c r="AB276" s="189"/>
      <c r="AC276" s="521">
        <v>15.28</v>
      </c>
      <c r="AD276" s="526"/>
      <c r="AE276" s="191">
        <f t="shared" si="89"/>
        <v>147376</v>
      </c>
      <c r="AF276" s="191"/>
      <c r="AG276" s="302">
        <f t="shared" si="84"/>
        <v>9.6</v>
      </c>
      <c r="AH276" s="303"/>
      <c r="AI276" s="191">
        <f t="shared" si="85"/>
        <v>18036</v>
      </c>
      <c r="AJ276" s="191"/>
      <c r="AK276" s="304">
        <f>IF(AE276=0,"0.0 ",ROUND((AI276/AE276)*100,1))</f>
        <v>12.2</v>
      </c>
      <c r="AL276" s="305"/>
      <c r="AM276" s="191">
        <f t="shared" si="86"/>
        <v>1072</v>
      </c>
      <c r="AN276" s="191"/>
      <c r="AO276" s="191">
        <f t="shared" si="90"/>
        <v>148448</v>
      </c>
      <c r="AP276" s="191"/>
      <c r="AQ276" s="304">
        <f>IF(AO276=0,"0.0 ",ROUND((AI276/AO276)*100,1))</f>
        <v>12.1</v>
      </c>
      <c r="AS276" s="382"/>
      <c r="AW276" s="392"/>
    </row>
    <row r="277" spans="1:51" x14ac:dyDescent="0.25">
      <c r="A277" s="56"/>
      <c r="C277" s="231"/>
      <c r="D277" s="56"/>
      <c r="E277" s="56"/>
      <c r="F277" s="56"/>
      <c r="J277" s="56"/>
      <c r="K277" s="56"/>
      <c r="L277" s="56"/>
      <c r="M277" s="56"/>
      <c r="N277" s="56"/>
      <c r="O277" s="56"/>
      <c r="P277" s="56"/>
      <c r="Q277" s="56"/>
      <c r="R277" s="56"/>
      <c r="T277" s="363">
        <v>40</v>
      </c>
      <c r="U277" s="194"/>
      <c r="V277" s="52" t="str">
        <f t="shared" si="81"/>
        <v xml:space="preserve">   50,000 LUMEN (5)</v>
      </c>
      <c r="W277" s="194"/>
      <c r="X277" s="194"/>
      <c r="Y277" s="189">
        <f t="shared" si="82"/>
        <v>264</v>
      </c>
      <c r="Z277" s="131"/>
      <c r="AA277" s="189">
        <f t="shared" si="83"/>
        <v>43098</v>
      </c>
      <c r="AB277" s="189"/>
      <c r="AC277" s="521">
        <f>AC276+$AC$7</f>
        <v>19.78</v>
      </c>
      <c r="AD277" s="309"/>
      <c r="AE277" s="191">
        <f t="shared" ref="AE277:AE278" si="91">ROUND((Y277*AC277),0)</f>
        <v>5222</v>
      </c>
      <c r="AF277" s="191"/>
      <c r="AG277" s="302">
        <f t="shared" si="84"/>
        <v>0.3</v>
      </c>
      <c r="AH277" s="191"/>
      <c r="AI277" s="191">
        <f t="shared" si="85"/>
        <v>639</v>
      </c>
      <c r="AJ277" s="191"/>
      <c r="AK277" s="304">
        <f t="shared" si="68"/>
        <v>12.2</v>
      </c>
      <c r="AL277" s="305"/>
      <c r="AM277" s="191">
        <f t="shared" si="86"/>
        <v>29</v>
      </c>
      <c r="AN277" s="310">
        <f>SUM(AN243:AN275)</f>
        <v>0</v>
      </c>
      <c r="AO277" s="191">
        <f t="shared" si="90"/>
        <v>5251</v>
      </c>
      <c r="AP277" s="191"/>
      <c r="AQ277" s="304">
        <f t="shared" si="65"/>
        <v>12.2</v>
      </c>
      <c r="AS277" s="382"/>
      <c r="AW277" s="392"/>
    </row>
    <row r="278" spans="1:51" x14ac:dyDescent="0.25">
      <c r="C278" s="231"/>
      <c r="D278" s="56"/>
      <c r="E278" s="56"/>
      <c r="F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T278" s="363">
        <v>41</v>
      </c>
      <c r="U278" s="194"/>
      <c r="V278" s="52" t="str">
        <f t="shared" si="81"/>
        <v xml:space="preserve">   50,000 LUMEN (6)</v>
      </c>
      <c r="W278" s="194"/>
      <c r="X278" s="194"/>
      <c r="Y278" s="189">
        <f t="shared" si="82"/>
        <v>633</v>
      </c>
      <c r="Z278" s="131"/>
      <c r="AA278" s="189">
        <f t="shared" si="83"/>
        <v>103337</v>
      </c>
      <c r="AB278" s="189"/>
      <c r="AC278" s="521">
        <f>AC276+$AC$8</f>
        <v>20.669999999999998</v>
      </c>
      <c r="AD278" s="309"/>
      <c r="AE278" s="191">
        <f t="shared" si="91"/>
        <v>13084</v>
      </c>
      <c r="AF278" s="131"/>
      <c r="AG278" s="302">
        <f t="shared" si="84"/>
        <v>0.9</v>
      </c>
      <c r="AH278" s="131"/>
      <c r="AI278" s="191">
        <f t="shared" si="85"/>
        <v>1602</v>
      </c>
      <c r="AJ278" s="131"/>
      <c r="AK278" s="302">
        <f>IF(AE278=0,"0.0 ",ROUND((AI278/AE278)*100,1))</f>
        <v>12.2</v>
      </c>
      <c r="AL278" s="131"/>
      <c r="AM278" s="191">
        <f t="shared" si="86"/>
        <v>70</v>
      </c>
      <c r="AN278" s="198"/>
      <c r="AO278" s="191">
        <f t="shared" si="90"/>
        <v>13154</v>
      </c>
      <c r="AP278" s="131"/>
      <c r="AQ278" s="304">
        <f t="shared" si="65"/>
        <v>12.2</v>
      </c>
      <c r="AS278" s="382"/>
      <c r="AW278" s="392"/>
    </row>
    <row r="279" spans="1:51" x14ac:dyDescent="0.25">
      <c r="AS279" s="382"/>
    </row>
    <row r="280" spans="1:51" x14ac:dyDescent="0.25">
      <c r="A280" s="53"/>
      <c r="C280" s="54"/>
      <c r="D280" s="54"/>
      <c r="E280" s="54"/>
      <c r="T280" s="320" t="s">
        <v>78</v>
      </c>
      <c r="U280" s="321"/>
      <c r="V280" s="293"/>
      <c r="W280" s="293"/>
      <c r="X280" s="293"/>
      <c r="Y280" s="293"/>
      <c r="Z280" s="293"/>
      <c r="AA280" s="293"/>
      <c r="AB280" s="293"/>
      <c r="AC280" s="321"/>
      <c r="AD280" s="293"/>
      <c r="AE280" s="322" t="s">
        <v>272</v>
      </c>
      <c r="AF280" s="293"/>
      <c r="AG280" s="323"/>
      <c r="AH280" s="293"/>
      <c r="AI280" s="321"/>
      <c r="AJ280" s="293"/>
      <c r="AK280" s="324" t="s">
        <v>277</v>
      </c>
      <c r="AL280" s="293"/>
      <c r="AM280" s="293"/>
      <c r="AN280" s="325"/>
      <c r="AO280" s="325"/>
      <c r="AP280" s="325"/>
      <c r="AQ280" s="326"/>
      <c r="AS280" s="382"/>
      <c r="AW280" s="378"/>
    </row>
    <row r="281" spans="1:51" x14ac:dyDescent="0.25">
      <c r="A281" s="53"/>
      <c r="C281" s="54"/>
      <c r="D281" s="54"/>
      <c r="E281" s="54"/>
      <c r="T281" s="320" t="str">
        <f>"(1A) REFLECTS FUEL COST RECOVERY INCLUDED IN BASE RATES OF "&amp;TEXT(CUR_BASE_FUEL,"$0.000000;($0.000000)")&amp;"  PER KWH."</f>
        <v>(1A) REFLECTS FUEL COST RECOVERY INCLUDED IN BASE RATES OF $0.023837  PER KWH.</v>
      </c>
      <c r="U281" s="293"/>
      <c r="V281" s="293"/>
      <c r="W281" s="293"/>
      <c r="X281" s="293"/>
      <c r="Y281" s="327"/>
      <c r="Z281" s="293"/>
      <c r="AA281" s="293"/>
      <c r="AB281" s="293"/>
      <c r="AC281" s="321"/>
      <c r="AD281" s="293"/>
      <c r="AE281" s="324" t="s">
        <v>274</v>
      </c>
      <c r="AF281" s="293"/>
      <c r="AG281" s="323"/>
      <c r="AH281" s="293"/>
      <c r="AI281" s="321"/>
      <c r="AJ281" s="293"/>
      <c r="AK281" s="322" t="s">
        <v>278</v>
      </c>
      <c r="AL281" s="293"/>
      <c r="AM281" s="293"/>
      <c r="AN281" s="325"/>
      <c r="AO281" s="325"/>
      <c r="AP281" s="325"/>
      <c r="AQ281" s="326"/>
      <c r="AS281" s="382"/>
      <c r="AW281" s="378"/>
    </row>
    <row r="282" spans="1:51" x14ac:dyDescent="0.25">
      <c r="A282" s="53"/>
      <c r="C282" s="54"/>
      <c r="D282" s="54"/>
      <c r="E282" s="54"/>
      <c r="T282" s="320" t="str">
        <f>"(2) REFLECTS FUEL COMPONENT OF "&amp;TEXT(CUR_FAC,"$0.000000;($0.000000)")&amp;"  PER KWH."</f>
        <v>(2) REFLECTS FUEL COMPONENT OF $0.000681  PER KWH.</v>
      </c>
      <c r="U282" s="293"/>
      <c r="V282" s="293"/>
      <c r="W282" s="293"/>
      <c r="X282" s="293"/>
      <c r="Y282" s="327"/>
      <c r="Z282" s="293"/>
      <c r="AA282" s="293"/>
      <c r="AB282" s="293"/>
      <c r="AC282" s="321"/>
      <c r="AD282" s="293"/>
      <c r="AE282" s="324" t="s">
        <v>275</v>
      </c>
      <c r="AF282" s="293"/>
      <c r="AG282" s="323"/>
      <c r="AH282" s="293"/>
      <c r="AI282" s="321"/>
      <c r="AJ282" s="293"/>
      <c r="AK282" s="322" t="s">
        <v>279</v>
      </c>
      <c r="AL282" s="293"/>
      <c r="AM282" s="293"/>
      <c r="AN282" s="325"/>
      <c r="AO282" s="325"/>
      <c r="AP282" s="325"/>
      <c r="AQ282" s="326"/>
      <c r="AS282" s="382"/>
      <c r="AW282" s="378"/>
    </row>
    <row r="283" spans="1:51" x14ac:dyDescent="0.25">
      <c r="A283" s="53"/>
      <c r="C283" s="54"/>
      <c r="D283" s="54"/>
      <c r="E283" s="54"/>
      <c r="T283" s="322" t="s">
        <v>273</v>
      </c>
      <c r="U283" s="293"/>
      <c r="V283" s="293"/>
      <c r="W283" s="293"/>
      <c r="X283" s="293"/>
      <c r="Y283" s="327"/>
      <c r="Z283" s="293"/>
      <c r="AA283" s="293"/>
      <c r="AB283" s="293"/>
      <c r="AC283" s="321"/>
      <c r="AD283" s="293"/>
      <c r="AE283" s="322" t="s">
        <v>276</v>
      </c>
      <c r="AF283" s="293"/>
      <c r="AG283" s="323"/>
      <c r="AH283" s="293"/>
      <c r="AI283" s="321"/>
      <c r="AJ283" s="293"/>
      <c r="AK283" s="322" t="s">
        <v>280</v>
      </c>
      <c r="AL283" s="293"/>
      <c r="AM283" s="293"/>
      <c r="AN283" s="325"/>
      <c r="AO283" s="325"/>
      <c r="AP283" s="325"/>
      <c r="AQ283" s="326"/>
      <c r="AS283" s="382"/>
      <c r="AW283" s="378"/>
    </row>
    <row r="284" spans="1:51" x14ac:dyDescent="0.25">
      <c r="A284" s="53"/>
      <c r="C284" s="54"/>
      <c r="D284" s="54"/>
      <c r="E284" s="54"/>
      <c r="T284" s="322" t="s">
        <v>271</v>
      </c>
      <c r="U284" s="293"/>
      <c r="V284" s="293"/>
      <c r="W284" s="293"/>
      <c r="X284" s="293"/>
      <c r="Y284" s="327"/>
      <c r="Z284" s="293"/>
      <c r="AA284" s="293"/>
      <c r="AB284" s="293"/>
      <c r="AC284" s="321"/>
      <c r="AD284" s="321"/>
      <c r="AE284" s="322" t="s">
        <v>387</v>
      </c>
      <c r="AF284" s="321"/>
      <c r="AG284" s="328"/>
      <c r="AH284" s="321"/>
      <c r="AI284" s="321"/>
      <c r="AJ284" s="321"/>
      <c r="AK284" s="322" t="s">
        <v>281</v>
      </c>
      <c r="AL284" s="293"/>
      <c r="AM284" s="293"/>
      <c r="AN284" s="325"/>
      <c r="AO284" s="325"/>
      <c r="AP284" s="325"/>
      <c r="AQ284" s="326"/>
      <c r="AS284" s="382"/>
      <c r="AW284" s="378"/>
    </row>
    <row r="285" spans="1:51" x14ac:dyDescent="0.25">
      <c r="A285" s="53"/>
      <c r="C285" s="54"/>
      <c r="D285" s="54"/>
      <c r="E285" s="54"/>
      <c r="T285" s="195"/>
      <c r="U285" s="194"/>
      <c r="V285" s="194"/>
      <c r="W285" s="194"/>
      <c r="X285" s="194"/>
      <c r="Y285" s="329"/>
      <c r="Z285" s="194"/>
      <c r="AA285" s="194"/>
      <c r="AB285" s="194"/>
      <c r="AC285" s="195"/>
      <c r="AD285" s="229"/>
      <c r="AE285" s="229"/>
      <c r="AF285" s="229"/>
      <c r="AG285" s="330"/>
      <c r="AH285" s="229"/>
      <c r="AI285" s="229"/>
      <c r="AJ285" s="229"/>
      <c r="AK285" s="330"/>
      <c r="AL285" s="229"/>
      <c r="AM285" s="229"/>
      <c r="AN285" s="194"/>
      <c r="AO285" s="194"/>
      <c r="AP285" s="194"/>
      <c r="AQ285" s="331"/>
      <c r="AS285" s="382"/>
      <c r="AW285" s="378"/>
    </row>
    <row r="286" spans="1:51" x14ac:dyDescent="0.25">
      <c r="A286" s="53"/>
      <c r="C286" s="54"/>
      <c r="D286" s="54"/>
      <c r="E286" s="54"/>
      <c r="T286" s="231"/>
      <c r="U286" s="231"/>
      <c r="V286" s="231"/>
      <c r="W286" s="229"/>
      <c r="X286" s="229"/>
      <c r="Y286" s="229"/>
      <c r="Z286" s="229"/>
      <c r="AA286" s="231"/>
      <c r="AB286" s="231"/>
      <c r="AC286" s="231"/>
      <c r="AD286" s="231"/>
      <c r="AE286" s="231"/>
      <c r="AF286" s="231"/>
      <c r="AG286" s="332"/>
      <c r="AH286" s="231"/>
      <c r="AI286" s="231"/>
      <c r="AJ286" s="231"/>
      <c r="AK286" s="332"/>
      <c r="AL286" s="231"/>
      <c r="AM286" s="231"/>
      <c r="AN286" s="231"/>
      <c r="AO286" s="231"/>
      <c r="AP286" s="231"/>
      <c r="AQ286" s="333"/>
      <c r="AS286" s="382"/>
      <c r="AW286" s="378"/>
    </row>
    <row r="287" spans="1:51" x14ac:dyDescent="0.25">
      <c r="A287" s="53"/>
      <c r="C287" s="54"/>
      <c r="D287" s="54"/>
      <c r="E287" s="54"/>
      <c r="T287" s="592" t="str">
        <f>NAME</f>
        <v>DUKE ENERGY KENTUCKY, INC.</v>
      </c>
      <c r="U287" s="592"/>
      <c r="V287" s="592"/>
      <c r="W287" s="592"/>
      <c r="X287" s="592"/>
      <c r="Y287" s="592"/>
      <c r="Z287" s="592"/>
      <c r="AA287" s="592"/>
      <c r="AB287" s="592"/>
      <c r="AC287" s="592"/>
      <c r="AD287" s="592"/>
      <c r="AE287" s="592"/>
      <c r="AF287" s="592"/>
      <c r="AG287" s="592"/>
      <c r="AH287" s="592"/>
      <c r="AI287" s="592"/>
      <c r="AJ287" s="592"/>
      <c r="AK287" s="592"/>
      <c r="AL287" s="592"/>
      <c r="AM287" s="592"/>
      <c r="AN287" s="592"/>
      <c r="AO287" s="592"/>
      <c r="AP287" s="592"/>
      <c r="AQ287" s="592"/>
      <c r="AS287" s="382"/>
      <c r="AW287" s="43"/>
    </row>
    <row r="288" spans="1:51" x14ac:dyDescent="0.25">
      <c r="A288" s="53"/>
      <c r="C288" s="54"/>
      <c r="D288" s="54"/>
      <c r="E288" s="54"/>
      <c r="T288" s="297" t="str">
        <f>CASE_NO</f>
        <v>CASE NO.   2019-000271</v>
      </c>
      <c r="U288" s="297"/>
      <c r="V288" s="297"/>
      <c r="W288" s="297"/>
      <c r="X288" s="297"/>
      <c r="Y288" s="297"/>
      <c r="Z288" s="297"/>
      <c r="AA288" s="297"/>
      <c r="AB288" s="297"/>
      <c r="AC288" s="297"/>
      <c r="AD288" s="297"/>
      <c r="AE288" s="297"/>
      <c r="AF288" s="297"/>
      <c r="AG288" s="297"/>
      <c r="AH288" s="297"/>
      <c r="AI288" s="297"/>
      <c r="AJ288" s="297"/>
      <c r="AK288" s="297"/>
      <c r="AL288" s="297"/>
      <c r="AM288" s="297"/>
      <c r="AN288" s="297"/>
      <c r="AO288" s="297"/>
      <c r="AP288" s="297"/>
      <c r="AQ288" s="297"/>
      <c r="AS288" s="382"/>
      <c r="AW288" s="43"/>
    </row>
    <row r="289" spans="1:51" x14ac:dyDescent="0.25">
      <c r="A289" s="53"/>
      <c r="C289" s="54"/>
      <c r="D289" s="54"/>
      <c r="E289" s="54"/>
      <c r="T289" s="334" t="str">
        <f>TITLE</f>
        <v>ANNUALIZED BASE YEAR REVENUES AT PROPOSED VS. MOST CURRENT RATES</v>
      </c>
      <c r="U289" s="334"/>
      <c r="V289" s="334"/>
      <c r="W289" s="334"/>
      <c r="X289" s="334"/>
      <c r="Y289" s="334"/>
      <c r="Z289" s="334"/>
      <c r="AA289" s="334"/>
      <c r="AB289" s="334"/>
      <c r="AC289" s="334"/>
      <c r="AD289" s="334"/>
      <c r="AE289" s="334"/>
      <c r="AF289" s="334"/>
      <c r="AG289" s="334"/>
      <c r="AH289" s="334"/>
      <c r="AI289" s="334"/>
      <c r="AJ289" s="334"/>
      <c r="AK289" s="334"/>
      <c r="AL289" s="334"/>
      <c r="AM289" s="334"/>
      <c r="AN289" s="334"/>
      <c r="AO289" s="334"/>
      <c r="AP289" s="334"/>
      <c r="AQ289" s="334"/>
      <c r="AS289" s="382"/>
      <c r="AW289" s="43"/>
    </row>
    <row r="290" spans="1:51" x14ac:dyDescent="0.25">
      <c r="A290" s="53"/>
      <c r="C290" s="54"/>
      <c r="D290" s="54"/>
      <c r="E290" s="54"/>
      <c r="T290" s="297" t="str">
        <f>DATE</f>
        <v>FOR THE TWELVE MONTHS ENDED November 30, 2019</v>
      </c>
      <c r="U290" s="297"/>
      <c r="V290" s="297"/>
      <c r="W290" s="297"/>
      <c r="X290" s="297"/>
      <c r="Y290" s="297"/>
      <c r="Z290" s="297"/>
      <c r="AA290" s="297"/>
      <c r="AB290" s="297"/>
      <c r="AC290" s="297"/>
      <c r="AD290" s="297"/>
      <c r="AE290" s="297"/>
      <c r="AF290" s="297"/>
      <c r="AG290" s="297"/>
      <c r="AH290" s="297"/>
      <c r="AI290" s="297"/>
      <c r="AJ290" s="297"/>
      <c r="AK290" s="297"/>
      <c r="AL290" s="297"/>
      <c r="AM290" s="297"/>
      <c r="AN290" s="297"/>
      <c r="AO290" s="297"/>
      <c r="AP290" s="297"/>
      <c r="AQ290" s="297"/>
      <c r="AS290" s="382"/>
      <c r="AW290" s="43"/>
    </row>
    <row r="291" spans="1:51" x14ac:dyDescent="0.25">
      <c r="A291" s="53"/>
      <c r="C291" s="54"/>
      <c r="D291" s="54"/>
      <c r="E291" s="54"/>
      <c r="T291" s="297" t="str">
        <f>SERVICE</f>
        <v>(ELECTRIC SERVICE)</v>
      </c>
      <c r="U291" s="297"/>
      <c r="V291" s="297"/>
      <c r="W291" s="297"/>
      <c r="X291" s="297"/>
      <c r="Y291" s="297"/>
      <c r="Z291" s="297"/>
      <c r="AA291" s="297"/>
      <c r="AB291" s="297"/>
      <c r="AC291" s="297"/>
      <c r="AD291" s="297"/>
      <c r="AE291" s="297"/>
      <c r="AF291" s="297"/>
      <c r="AG291" s="297"/>
      <c r="AH291" s="297"/>
      <c r="AI291" s="297"/>
      <c r="AJ291" s="297"/>
      <c r="AK291" s="297"/>
      <c r="AL291" s="297"/>
      <c r="AM291" s="297"/>
      <c r="AN291" s="297"/>
      <c r="AO291" s="297"/>
      <c r="AP291" s="297"/>
      <c r="AQ291" s="297"/>
      <c r="AS291" s="382"/>
      <c r="AW291" s="43"/>
    </row>
    <row r="292" spans="1:51" x14ac:dyDescent="0.25">
      <c r="A292" s="53"/>
      <c r="C292" s="54"/>
      <c r="D292" s="54"/>
      <c r="E292" s="54"/>
      <c r="T292" s="306" t="str">
        <f>DATA_PERIOD</f>
        <v>DATA: __X__ BASE PERIOD   ____FORECASTED PERIOD</v>
      </c>
      <c r="U292" s="194"/>
      <c r="V292" s="194"/>
      <c r="W292" s="194"/>
      <c r="X292" s="194"/>
      <c r="Y292" s="194"/>
      <c r="Z292" s="194"/>
      <c r="AA292" s="194"/>
      <c r="AB292" s="194"/>
      <c r="AC292" s="194"/>
      <c r="AD292" s="194"/>
      <c r="AE292" s="194"/>
      <c r="AF292" s="229"/>
      <c r="AG292" s="335"/>
      <c r="AH292" s="229"/>
      <c r="AI292" s="194"/>
      <c r="AJ292" s="194"/>
      <c r="AK292" s="335"/>
      <c r="AL292" s="194"/>
      <c r="AM292" s="194"/>
      <c r="AN292" s="229"/>
      <c r="AO292" s="196" t="s">
        <v>164</v>
      </c>
      <c r="AP292" s="196"/>
      <c r="AQ292" s="331"/>
      <c r="AS292" s="382"/>
      <c r="AW292" s="378"/>
    </row>
    <row r="293" spans="1:51" x14ac:dyDescent="0.25">
      <c r="A293" s="53"/>
      <c r="C293" s="54"/>
      <c r="D293" s="54"/>
      <c r="E293" s="54"/>
      <c r="T293" s="306" t="str">
        <f>TYPE</f>
        <v>TYPE OF FILING: _X_ ORIGINAL   ___UPDATED  ___ REVISED</v>
      </c>
      <c r="U293" s="194"/>
      <c r="V293" s="194"/>
      <c r="W293" s="194"/>
      <c r="X293" s="194"/>
      <c r="Y293" s="194"/>
      <c r="Z293" s="194"/>
      <c r="AA293" s="194"/>
      <c r="AB293" s="194"/>
      <c r="AC293" s="194"/>
      <c r="AD293" s="194"/>
      <c r="AE293" s="194"/>
      <c r="AF293" s="229"/>
      <c r="AG293" s="335"/>
      <c r="AH293" s="229"/>
      <c r="AI293" s="194"/>
      <c r="AJ293" s="194"/>
      <c r="AK293" s="335"/>
      <c r="AL293" s="194"/>
      <c r="AM293" s="194"/>
      <c r="AN293" s="229"/>
      <c r="AO293" s="52" t="str">
        <f>"PAGE 14 OF "&amp;TEXT(Page_Num_2.2,"00")</f>
        <v>PAGE 14 OF 22</v>
      </c>
      <c r="AP293" s="196"/>
      <c r="AQ293" s="331"/>
      <c r="AS293" s="382"/>
      <c r="AW293" s="378"/>
    </row>
    <row r="294" spans="1:51" x14ac:dyDescent="0.25">
      <c r="A294" s="53"/>
      <c r="C294" s="54"/>
      <c r="D294" s="54"/>
      <c r="E294" s="54"/>
      <c r="T294" s="196" t="s">
        <v>177</v>
      </c>
      <c r="U294" s="194"/>
      <c r="V294" s="194"/>
      <c r="W294" s="194"/>
      <c r="X294" s="194"/>
      <c r="Y294" s="194"/>
      <c r="Z294" s="194"/>
      <c r="AA294" s="194"/>
      <c r="AB294" s="194"/>
      <c r="AC294" s="194"/>
      <c r="AD294" s="194"/>
      <c r="AE294" s="194"/>
      <c r="AF294" s="194"/>
      <c r="AG294" s="335"/>
      <c r="AH294" s="194"/>
      <c r="AI294" s="194"/>
      <c r="AJ294" s="194"/>
      <c r="AK294" s="335"/>
      <c r="AL294" s="194"/>
      <c r="AM294" s="194"/>
      <c r="AN294" s="194"/>
      <c r="AO294" s="196" t="s">
        <v>4</v>
      </c>
      <c r="AP294" s="196"/>
      <c r="AQ294" s="331"/>
      <c r="AS294" s="382"/>
      <c r="AW294" s="378"/>
    </row>
    <row r="295" spans="1:51" x14ac:dyDescent="0.25">
      <c r="A295" s="53"/>
      <c r="C295" s="54"/>
      <c r="D295" s="54"/>
      <c r="E295" s="54"/>
      <c r="T295" s="527" t="str">
        <f>TIME</f>
        <v>6 Months Actual and 6 Months Projected with Riders</v>
      </c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229"/>
      <c r="AF295" s="196"/>
      <c r="AG295" s="335"/>
      <c r="AH295" s="194"/>
      <c r="AI295" s="194"/>
      <c r="AJ295" s="194"/>
      <c r="AK295" s="335"/>
      <c r="AL295" s="194"/>
      <c r="AM295" s="194"/>
      <c r="AN295" s="194"/>
      <c r="AO295" s="336" t="str">
        <f>WIT</f>
        <v>J. L. Kern</v>
      </c>
      <c r="AP295" s="306"/>
      <c r="AQ295" s="331"/>
      <c r="AS295" s="382"/>
      <c r="AW295" s="378"/>
    </row>
    <row r="296" spans="1:51" x14ac:dyDescent="0.25">
      <c r="A296" s="53"/>
      <c r="C296" s="54"/>
      <c r="D296" s="54"/>
      <c r="E296" s="54"/>
      <c r="T296" s="334" t="s">
        <v>137</v>
      </c>
      <c r="U296" s="297"/>
      <c r="V296" s="297"/>
      <c r="W296" s="297"/>
      <c r="X296" s="297"/>
      <c r="Y296" s="297"/>
      <c r="Z296" s="297"/>
      <c r="AA296" s="297"/>
      <c r="AB296" s="297"/>
      <c r="AC296" s="297"/>
      <c r="AD296" s="297"/>
      <c r="AE296" s="334"/>
      <c r="AF296" s="334"/>
      <c r="AG296" s="337"/>
      <c r="AH296" s="297"/>
      <c r="AI296" s="297"/>
      <c r="AJ296" s="297"/>
      <c r="AK296" s="337"/>
      <c r="AL296" s="297"/>
      <c r="AM296" s="297"/>
      <c r="AN296" s="297"/>
      <c r="AO296" s="334"/>
      <c r="AP296" s="334"/>
      <c r="AQ296" s="331"/>
      <c r="AS296" s="382"/>
      <c r="AW296" s="43"/>
    </row>
    <row r="297" spans="1:51" x14ac:dyDescent="0.25">
      <c r="A297" s="53"/>
      <c r="C297" s="54"/>
      <c r="D297" s="54"/>
      <c r="E297" s="54"/>
      <c r="T297" s="298"/>
      <c r="U297" s="298"/>
      <c r="V297" s="298"/>
      <c r="W297" s="298"/>
      <c r="X297" s="298"/>
      <c r="Y297" s="298"/>
      <c r="Z297" s="298"/>
      <c r="AA297" s="298"/>
      <c r="AB297" s="298"/>
      <c r="AC297" s="298"/>
      <c r="AD297" s="298"/>
      <c r="AE297" s="298"/>
      <c r="AF297" s="298"/>
      <c r="AG297" s="338"/>
      <c r="AH297" s="298"/>
      <c r="AI297" s="298"/>
      <c r="AJ297" s="298"/>
      <c r="AK297" s="338"/>
      <c r="AL297" s="298"/>
      <c r="AM297" s="298"/>
      <c r="AN297" s="298"/>
      <c r="AO297" s="298"/>
      <c r="AP297" s="298"/>
      <c r="AQ297" s="339"/>
      <c r="AS297" s="382"/>
      <c r="AW297" s="55"/>
    </row>
    <row r="298" spans="1:51" ht="18" customHeight="1" x14ac:dyDescent="0.25">
      <c r="A298" s="53"/>
      <c r="C298" s="54"/>
      <c r="D298" s="54"/>
      <c r="E298" s="54"/>
      <c r="T298" s="299"/>
      <c r="U298" s="299"/>
      <c r="V298" s="299"/>
      <c r="W298" s="299"/>
      <c r="X298" s="299"/>
      <c r="Y298" s="299"/>
      <c r="Z298" s="299"/>
      <c r="AA298" s="299"/>
      <c r="AB298" s="299"/>
      <c r="AC298" s="299"/>
      <c r="AD298" s="299"/>
      <c r="AE298" s="340" t="s">
        <v>8</v>
      </c>
      <c r="AF298" s="340"/>
      <c r="AG298" s="341" t="s">
        <v>7</v>
      </c>
      <c r="AH298" s="340"/>
      <c r="AI298" s="340" t="s">
        <v>9</v>
      </c>
      <c r="AJ298" s="340"/>
      <c r="AK298" s="341" t="s">
        <v>10</v>
      </c>
      <c r="AL298" s="340"/>
      <c r="AM298" s="299"/>
      <c r="AN298" s="299"/>
      <c r="AO298" s="340" t="s">
        <v>8</v>
      </c>
      <c r="AP298" s="340"/>
      <c r="AQ298" s="341" t="s">
        <v>11</v>
      </c>
      <c r="AS298" s="382"/>
    </row>
    <row r="299" spans="1:51" x14ac:dyDescent="0.25">
      <c r="A299" s="53"/>
      <c r="C299" s="54"/>
      <c r="D299" s="54"/>
      <c r="E299" s="5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7" t="s">
        <v>14</v>
      </c>
      <c r="AD299" s="197"/>
      <c r="AE299" s="197" t="s">
        <v>12</v>
      </c>
      <c r="AF299" s="197"/>
      <c r="AG299" s="342" t="s">
        <v>13</v>
      </c>
      <c r="AH299" s="197"/>
      <c r="AI299" s="197" t="s">
        <v>15</v>
      </c>
      <c r="AJ299" s="197"/>
      <c r="AK299" s="342" t="s">
        <v>16</v>
      </c>
      <c r="AL299" s="197"/>
      <c r="AM299" s="194"/>
      <c r="AN299" s="194"/>
      <c r="AO299" s="197" t="s">
        <v>11</v>
      </c>
      <c r="AP299" s="197"/>
      <c r="AQ299" s="342" t="s">
        <v>9</v>
      </c>
      <c r="AS299" s="382"/>
      <c r="AT299" s="137" t="s">
        <v>470</v>
      </c>
    </row>
    <row r="300" spans="1:51" x14ac:dyDescent="0.25">
      <c r="A300" s="53"/>
      <c r="C300" s="54"/>
      <c r="D300" s="54"/>
      <c r="E300" s="54"/>
      <c r="T300" s="197" t="s">
        <v>17</v>
      </c>
      <c r="U300" s="194"/>
      <c r="V300" s="197" t="s">
        <v>18</v>
      </c>
      <c r="W300" s="197" t="s">
        <v>19</v>
      </c>
      <c r="X300" s="197"/>
      <c r="Y300" s="197" t="s">
        <v>20</v>
      </c>
      <c r="Z300" s="194"/>
      <c r="AA300" s="194"/>
      <c r="AB300" s="194"/>
      <c r="AC300" s="197" t="s">
        <v>8</v>
      </c>
      <c r="AD300" s="197"/>
      <c r="AE300" s="197" t="s">
        <v>21</v>
      </c>
      <c r="AF300" s="197"/>
      <c r="AG300" s="342" t="s">
        <v>21</v>
      </c>
      <c r="AH300" s="197"/>
      <c r="AI300" s="197" t="s">
        <v>22</v>
      </c>
      <c r="AJ300" s="197"/>
      <c r="AK300" s="342" t="s">
        <v>22</v>
      </c>
      <c r="AL300" s="197"/>
      <c r="AM300" s="197" t="s">
        <v>21</v>
      </c>
      <c r="AN300" s="197"/>
      <c r="AO300" s="197" t="s">
        <v>9</v>
      </c>
      <c r="AP300" s="197"/>
      <c r="AQ300" s="342" t="s">
        <v>23</v>
      </c>
      <c r="AS300" s="382"/>
      <c r="AT300" s="137" t="s">
        <v>471</v>
      </c>
    </row>
    <row r="301" spans="1:51" x14ac:dyDescent="0.25">
      <c r="A301" s="53"/>
      <c r="C301" s="54"/>
      <c r="D301" s="54"/>
      <c r="E301" s="54"/>
      <c r="T301" s="197" t="s">
        <v>24</v>
      </c>
      <c r="U301" s="194"/>
      <c r="V301" s="197" t="s">
        <v>25</v>
      </c>
      <c r="W301" s="197" t="s">
        <v>26</v>
      </c>
      <c r="X301" s="197"/>
      <c r="Y301" s="197" t="s">
        <v>27</v>
      </c>
      <c r="Z301" s="194"/>
      <c r="AA301" s="197" t="s">
        <v>28</v>
      </c>
      <c r="AB301" s="197"/>
      <c r="AC301" s="343" t="s">
        <v>381</v>
      </c>
      <c r="AD301" s="197"/>
      <c r="AE301" s="197" t="s">
        <v>9</v>
      </c>
      <c r="AF301" s="197"/>
      <c r="AG301" s="342" t="s">
        <v>9</v>
      </c>
      <c r="AH301" s="197"/>
      <c r="AI301" s="512" t="s">
        <v>31</v>
      </c>
      <c r="AJ301" s="512"/>
      <c r="AK301" s="528" t="s">
        <v>32</v>
      </c>
      <c r="AL301" s="197"/>
      <c r="AM301" s="197" t="s">
        <v>379</v>
      </c>
      <c r="AN301" s="197"/>
      <c r="AO301" s="512" t="s">
        <v>33</v>
      </c>
      <c r="AP301" s="512"/>
      <c r="AQ301" s="528" t="s">
        <v>34</v>
      </c>
      <c r="AS301" s="382"/>
      <c r="AT301" s="137" t="s">
        <v>472</v>
      </c>
      <c r="AW301" s="56"/>
      <c r="AX301" s="380" t="s">
        <v>354</v>
      </c>
      <c r="AY301" s="380" t="s">
        <v>355</v>
      </c>
    </row>
    <row r="302" spans="1:51" x14ac:dyDescent="0.25">
      <c r="A302" s="53"/>
      <c r="C302" s="54"/>
      <c r="D302" s="54"/>
      <c r="E302" s="54"/>
      <c r="T302" s="194"/>
      <c r="U302" s="194"/>
      <c r="V302" s="512" t="s">
        <v>35</v>
      </c>
      <c r="W302" s="512" t="s">
        <v>36</v>
      </c>
      <c r="X302" s="512"/>
      <c r="Y302" s="512" t="s">
        <v>37</v>
      </c>
      <c r="Z302" s="527"/>
      <c r="AA302" s="512" t="s">
        <v>38</v>
      </c>
      <c r="AB302" s="512"/>
      <c r="AC302" s="512" t="s">
        <v>44</v>
      </c>
      <c r="AD302" s="512"/>
      <c r="AE302" s="512" t="s">
        <v>45</v>
      </c>
      <c r="AF302" s="512"/>
      <c r="AG302" s="528" t="s">
        <v>46</v>
      </c>
      <c r="AH302" s="512"/>
      <c r="AI302" s="512" t="s">
        <v>47</v>
      </c>
      <c r="AJ302" s="512"/>
      <c r="AK302" s="528" t="s">
        <v>48</v>
      </c>
      <c r="AL302" s="512"/>
      <c r="AM302" s="512" t="s">
        <v>42</v>
      </c>
      <c r="AN302" s="512"/>
      <c r="AO302" s="512" t="s">
        <v>49</v>
      </c>
      <c r="AP302" s="512"/>
      <c r="AQ302" s="528" t="s">
        <v>50</v>
      </c>
      <c r="AS302" s="382"/>
      <c r="AW302" s="380" t="s">
        <v>353</v>
      </c>
      <c r="AX302" s="380" t="s">
        <v>352</v>
      </c>
      <c r="AY302" s="380" t="s">
        <v>352</v>
      </c>
    </row>
    <row r="303" spans="1:51" ht="17.100000000000001" customHeight="1" x14ac:dyDescent="0.25">
      <c r="A303" s="53"/>
      <c r="C303" s="54"/>
      <c r="D303" s="54"/>
      <c r="E303" s="54"/>
      <c r="T303" s="299"/>
      <c r="U303" s="299"/>
      <c r="V303" s="299"/>
      <c r="W303" s="299"/>
      <c r="X303" s="299"/>
      <c r="Y303" s="299"/>
      <c r="Z303" s="299"/>
      <c r="AA303" s="529" t="s">
        <v>51</v>
      </c>
      <c r="AB303" s="529"/>
      <c r="AC303" s="530" t="s">
        <v>71</v>
      </c>
      <c r="AD303" s="529"/>
      <c r="AE303" s="529" t="s">
        <v>52</v>
      </c>
      <c r="AF303" s="529"/>
      <c r="AG303" s="531" t="s">
        <v>53</v>
      </c>
      <c r="AH303" s="529"/>
      <c r="AI303" s="529" t="s">
        <v>52</v>
      </c>
      <c r="AJ303" s="529"/>
      <c r="AK303" s="531" t="s">
        <v>53</v>
      </c>
      <c r="AL303" s="529"/>
      <c r="AM303" s="529" t="s">
        <v>52</v>
      </c>
      <c r="AN303" s="529"/>
      <c r="AO303" s="529" t="s">
        <v>52</v>
      </c>
      <c r="AP303" s="529"/>
      <c r="AQ303" s="531" t="s">
        <v>53</v>
      </c>
      <c r="AS303" s="382"/>
      <c r="AW303" s="56"/>
    </row>
    <row r="304" spans="1:51" x14ac:dyDescent="0.25">
      <c r="A304" s="53"/>
      <c r="C304" s="54"/>
      <c r="D304" s="54"/>
      <c r="E304" s="54"/>
      <c r="T304" s="366">
        <v>42</v>
      </c>
      <c r="U304" s="194"/>
      <c r="V304" s="520" t="s">
        <v>79</v>
      </c>
      <c r="W304" s="518" t="s">
        <v>303</v>
      </c>
      <c r="X304" s="196"/>
      <c r="Y304" s="131"/>
      <c r="Z304" s="131"/>
      <c r="AA304" s="131"/>
      <c r="AB304" s="131"/>
      <c r="AC304" s="131"/>
      <c r="AD304" s="131"/>
      <c r="AE304" s="131"/>
      <c r="AF304" s="131"/>
      <c r="AG304" s="311"/>
      <c r="AH304" s="131"/>
      <c r="AI304" s="131"/>
      <c r="AJ304" s="131"/>
      <c r="AK304" s="311"/>
      <c r="AL304" s="131"/>
      <c r="AM304" s="131"/>
      <c r="AN304" s="131"/>
      <c r="AO304" s="131"/>
      <c r="AP304" s="131"/>
      <c r="AQ304" s="312"/>
      <c r="AS304" s="382"/>
      <c r="AW304" s="2"/>
    </row>
    <row r="305" spans="1:51" x14ac:dyDescent="0.25">
      <c r="A305" s="53"/>
      <c r="C305" s="54"/>
      <c r="D305" s="54"/>
      <c r="E305" s="54"/>
      <c r="T305" s="366">
        <v>43</v>
      </c>
      <c r="U305" s="194"/>
      <c r="V305" s="222" t="s">
        <v>568</v>
      </c>
      <c r="W305" s="518"/>
      <c r="X305" s="196"/>
      <c r="Y305" s="131"/>
      <c r="Z305" s="131"/>
      <c r="AA305" s="131"/>
      <c r="AB305" s="131"/>
      <c r="AC305" s="131"/>
      <c r="AD305" s="131"/>
      <c r="AE305" s="131"/>
      <c r="AF305" s="131"/>
      <c r="AG305" s="311"/>
      <c r="AH305" s="131"/>
      <c r="AI305" s="131"/>
      <c r="AJ305" s="131"/>
      <c r="AK305" s="311"/>
      <c r="AL305" s="131"/>
      <c r="AM305" s="131"/>
      <c r="AN305" s="131"/>
      <c r="AO305" s="131"/>
      <c r="AP305" s="131"/>
      <c r="AQ305" s="312"/>
      <c r="AS305" s="382"/>
      <c r="AW305" s="2"/>
    </row>
    <row r="306" spans="1:51" x14ac:dyDescent="0.25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T306" s="366">
        <v>44</v>
      </c>
      <c r="U306" s="194"/>
      <c r="V306" s="520" t="s">
        <v>210</v>
      </c>
      <c r="W306" s="194"/>
      <c r="X306" s="194"/>
      <c r="Y306" s="189"/>
      <c r="Z306" s="131"/>
      <c r="AA306" s="189"/>
      <c r="AB306" s="189"/>
      <c r="AC306" s="526"/>
      <c r="AD306" s="309"/>
      <c r="AE306" s="131"/>
      <c r="AF306" s="131"/>
      <c r="AG306" s="311"/>
      <c r="AH306" s="131"/>
      <c r="AI306" s="131"/>
      <c r="AJ306" s="131"/>
      <c r="AK306" s="311"/>
      <c r="AL306" s="131"/>
      <c r="AM306" s="131"/>
      <c r="AN306" s="131"/>
      <c r="AO306" s="131"/>
      <c r="AP306" s="131"/>
      <c r="AQ306" s="312"/>
      <c r="AS306" s="382"/>
      <c r="AW306" s="392"/>
    </row>
    <row r="307" spans="1:51" x14ac:dyDescent="0.25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T307" s="366">
        <v>45</v>
      </c>
      <c r="U307" s="194"/>
      <c r="V307" s="195" t="str">
        <f t="shared" ref="V307:V313" si="92">C87</f>
        <v xml:space="preserve">     9,500 LUMEN RECTILINEAR</v>
      </c>
      <c r="W307" s="194"/>
      <c r="X307" s="194"/>
      <c r="Y307" s="189">
        <f t="shared" ref="Y307:Y313" si="93">F87</f>
        <v>0</v>
      </c>
      <c r="Z307" s="131"/>
      <c r="AA307" s="189">
        <f t="shared" ref="AA307:AA313" si="94">H87</f>
        <v>0</v>
      </c>
      <c r="AB307" s="189"/>
      <c r="AC307" s="521">
        <v>10</v>
      </c>
      <c r="AD307" s="309"/>
      <c r="AE307" s="191">
        <f t="shared" ref="AE307:AE313" si="95">ROUND((Y307*AC307),0)</f>
        <v>0</v>
      </c>
      <c r="AF307" s="191"/>
      <c r="AG307" s="302">
        <f t="shared" ref="AG307:AG314" si="96">ROUND((AE307/AE$429)*100,1)</f>
        <v>0</v>
      </c>
      <c r="AH307" s="303"/>
      <c r="AI307" s="191">
        <f t="shared" ref="AI307:AI313" si="97">L87-AE307</f>
        <v>0</v>
      </c>
      <c r="AJ307" s="191"/>
      <c r="AK307" s="304" t="str">
        <f t="shared" ref="AK307:AK314" si="98">IF(AE307=0,"0.0 ",ROUND((AI307/AE307)*100,1))</f>
        <v xml:space="preserve">0.0 </v>
      </c>
      <c r="AL307" s="305"/>
      <c r="AM307" s="191">
        <f t="shared" ref="AM307:AM313" si="99">ROUND($AM$429/$AA$429*AA307,0)</f>
        <v>0</v>
      </c>
      <c r="AN307" s="191"/>
      <c r="AO307" s="191">
        <f>AE307+AM307</f>
        <v>0</v>
      </c>
      <c r="AP307" s="191"/>
      <c r="AQ307" s="304" t="str">
        <f t="shared" ref="AQ307:AQ314" si="100">IF(AO307=0,"0.0 ",ROUND((AI307/AO307)*100,1))</f>
        <v xml:space="preserve">0.0 </v>
      </c>
      <c r="AS307" s="382"/>
      <c r="AT307" s="77">
        <f>AC307-AX307</f>
        <v>9.0299999999999994</v>
      </c>
      <c r="AW307" s="392">
        <v>487</v>
      </c>
      <c r="AX307" s="380">
        <f t="shared" ref="AX307:AX312" si="101">ROUND((AW307/12)*CUR_BASE_FUEL,2)</f>
        <v>0.97</v>
      </c>
      <c r="AY307" s="380">
        <f t="shared" ref="AY307:AY312" si="102">ROUND((AW307/12)*PRO_BASE_FUEL,2)</f>
        <v>0.97</v>
      </c>
    </row>
    <row r="308" spans="1:51" x14ac:dyDescent="0.25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T308" s="366">
        <v>46</v>
      </c>
      <c r="U308" s="194"/>
      <c r="V308" s="195" t="str">
        <f t="shared" si="92"/>
        <v xml:space="preserve">   22,000 LUMEN RECTILINEAR</v>
      </c>
      <c r="W308" s="194"/>
      <c r="X308" s="194"/>
      <c r="Y308" s="189">
        <f t="shared" si="93"/>
        <v>12</v>
      </c>
      <c r="Z308" s="131"/>
      <c r="AA308" s="189">
        <f t="shared" si="94"/>
        <v>1023</v>
      </c>
      <c r="AB308" s="189"/>
      <c r="AC308" s="521">
        <v>12.36</v>
      </c>
      <c r="AD308" s="526"/>
      <c r="AE308" s="191">
        <f t="shared" si="95"/>
        <v>148</v>
      </c>
      <c r="AF308" s="191"/>
      <c r="AG308" s="302">
        <f t="shared" si="96"/>
        <v>0</v>
      </c>
      <c r="AH308" s="303"/>
      <c r="AI308" s="191">
        <f t="shared" si="97"/>
        <v>19</v>
      </c>
      <c r="AJ308" s="191"/>
      <c r="AK308" s="304">
        <f t="shared" si="98"/>
        <v>12.8</v>
      </c>
      <c r="AL308" s="305"/>
      <c r="AM308" s="191">
        <f t="shared" si="99"/>
        <v>1</v>
      </c>
      <c r="AN308" s="191"/>
      <c r="AO308" s="191">
        <f t="shared" ref="AO308:AO313" si="103">AE308+AM308</f>
        <v>149</v>
      </c>
      <c r="AP308" s="191"/>
      <c r="AQ308" s="304">
        <f t="shared" si="100"/>
        <v>12.8</v>
      </c>
      <c r="AS308" s="382"/>
      <c r="AT308" s="77">
        <f>AC308-AX308</f>
        <v>10.33</v>
      </c>
      <c r="AW308" s="200">
        <v>1023</v>
      </c>
      <c r="AX308" s="380">
        <f t="shared" si="101"/>
        <v>2.0299999999999998</v>
      </c>
      <c r="AY308" s="380">
        <f t="shared" si="102"/>
        <v>2.0299999999999998</v>
      </c>
    </row>
    <row r="309" spans="1:51" x14ac:dyDescent="0.25"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T309" s="367">
        <v>47</v>
      </c>
      <c r="U309" s="194"/>
      <c r="V309" s="195" t="str">
        <f t="shared" si="92"/>
        <v xml:space="preserve">   50,000 LUMEN RECTILINEAR</v>
      </c>
      <c r="W309" s="194"/>
      <c r="X309" s="194"/>
      <c r="Y309" s="189">
        <f t="shared" si="93"/>
        <v>132</v>
      </c>
      <c r="Z309" s="131"/>
      <c r="AA309" s="189">
        <f t="shared" si="94"/>
        <v>21549</v>
      </c>
      <c r="AB309" s="189"/>
      <c r="AC309" s="521">
        <v>16.350000000000001</v>
      </c>
      <c r="AD309" s="526"/>
      <c r="AE309" s="191">
        <f t="shared" si="95"/>
        <v>2158</v>
      </c>
      <c r="AF309" s="191"/>
      <c r="AG309" s="302">
        <f t="shared" si="96"/>
        <v>0.1</v>
      </c>
      <c r="AH309" s="303"/>
      <c r="AI309" s="191">
        <f t="shared" si="97"/>
        <v>266</v>
      </c>
      <c r="AJ309" s="191"/>
      <c r="AK309" s="304">
        <f t="shared" si="98"/>
        <v>12.3</v>
      </c>
      <c r="AL309" s="305"/>
      <c r="AM309" s="191">
        <f t="shared" si="99"/>
        <v>15</v>
      </c>
      <c r="AN309" s="191"/>
      <c r="AO309" s="191">
        <f t="shared" si="103"/>
        <v>2173</v>
      </c>
      <c r="AP309" s="191"/>
      <c r="AQ309" s="304">
        <f t="shared" si="100"/>
        <v>12.2</v>
      </c>
      <c r="AS309" s="382"/>
      <c r="AT309" s="77">
        <f>AC309-AX309</f>
        <v>12.46</v>
      </c>
      <c r="AW309" s="392">
        <v>1959</v>
      </c>
      <c r="AX309" s="380">
        <f t="shared" si="101"/>
        <v>3.89</v>
      </c>
      <c r="AY309" s="380">
        <f t="shared" si="102"/>
        <v>3.89</v>
      </c>
    </row>
    <row r="310" spans="1:51" x14ac:dyDescent="0.25"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T310" s="367">
        <v>48</v>
      </c>
      <c r="U310" s="194"/>
      <c r="V310" s="195" t="str">
        <f t="shared" si="92"/>
        <v xml:space="preserve">   50,000 LUMEN RECTILINEAR (5)</v>
      </c>
      <c r="W310" s="194"/>
      <c r="X310" s="194"/>
      <c r="Y310" s="189">
        <f t="shared" si="93"/>
        <v>180</v>
      </c>
      <c r="Z310" s="131"/>
      <c r="AA310" s="189">
        <f t="shared" si="94"/>
        <v>29385</v>
      </c>
      <c r="AB310" s="189"/>
      <c r="AC310" s="521">
        <f>AC309+$AC$7</f>
        <v>20.85</v>
      </c>
      <c r="AD310" s="526"/>
      <c r="AE310" s="191">
        <f t="shared" si="95"/>
        <v>3753</v>
      </c>
      <c r="AF310" s="191"/>
      <c r="AG310" s="302">
        <f t="shared" si="96"/>
        <v>0.2</v>
      </c>
      <c r="AH310" s="303"/>
      <c r="AI310" s="191">
        <f t="shared" si="97"/>
        <v>461</v>
      </c>
      <c r="AJ310" s="191"/>
      <c r="AK310" s="304">
        <f t="shared" si="98"/>
        <v>12.3</v>
      </c>
      <c r="AL310" s="305"/>
      <c r="AM310" s="191">
        <f t="shared" si="99"/>
        <v>20</v>
      </c>
      <c r="AN310" s="191"/>
      <c r="AO310" s="191">
        <f t="shared" si="103"/>
        <v>3773</v>
      </c>
      <c r="AP310" s="191"/>
      <c r="AQ310" s="304">
        <f t="shared" si="100"/>
        <v>12.2</v>
      </c>
      <c r="AS310" s="382"/>
      <c r="AW310" s="392"/>
    </row>
    <row r="311" spans="1:51" x14ac:dyDescent="0.25"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T311" s="367">
        <v>49</v>
      </c>
      <c r="U311" s="194"/>
      <c r="V311" s="195" t="str">
        <f t="shared" si="92"/>
        <v xml:space="preserve">   50,000 LUMEN RECTILINEAR (6)</v>
      </c>
      <c r="W311" s="194"/>
      <c r="X311" s="194"/>
      <c r="Y311" s="189">
        <f t="shared" si="93"/>
        <v>0</v>
      </c>
      <c r="Z311" s="131"/>
      <c r="AA311" s="189">
        <f t="shared" si="94"/>
        <v>0</v>
      </c>
      <c r="AB311" s="189"/>
      <c r="AC311" s="521">
        <f>AC309+$AC$8</f>
        <v>21.740000000000002</v>
      </c>
      <c r="AD311" s="526"/>
      <c r="AE311" s="191">
        <f t="shared" si="95"/>
        <v>0</v>
      </c>
      <c r="AF311" s="191"/>
      <c r="AG311" s="302">
        <f t="shared" si="96"/>
        <v>0</v>
      </c>
      <c r="AH311" s="303"/>
      <c r="AI311" s="191">
        <f t="shared" si="97"/>
        <v>0</v>
      </c>
      <c r="AJ311" s="191"/>
      <c r="AK311" s="304" t="str">
        <f t="shared" si="98"/>
        <v xml:space="preserve">0.0 </v>
      </c>
      <c r="AL311" s="305"/>
      <c r="AM311" s="191">
        <f t="shared" si="99"/>
        <v>0</v>
      </c>
      <c r="AN311" s="191"/>
      <c r="AO311" s="191">
        <f t="shared" si="103"/>
        <v>0</v>
      </c>
      <c r="AP311" s="191"/>
      <c r="AQ311" s="304" t="str">
        <f t="shared" si="100"/>
        <v xml:space="preserve">0.0 </v>
      </c>
      <c r="AS311" s="382"/>
      <c r="AW311" s="392"/>
    </row>
    <row r="312" spans="1:51" x14ac:dyDescent="0.25">
      <c r="A312" s="53"/>
      <c r="C312" s="54"/>
      <c r="D312" s="54"/>
      <c r="E312" s="54"/>
      <c r="T312" s="367">
        <v>50</v>
      </c>
      <c r="U312" s="194"/>
      <c r="V312" s="195" t="str">
        <f t="shared" si="92"/>
        <v xml:space="preserve">   50,000 LUMEN SETBACK</v>
      </c>
      <c r="W312" s="194"/>
      <c r="X312" s="194"/>
      <c r="Y312" s="189">
        <f t="shared" si="93"/>
        <v>216</v>
      </c>
      <c r="Z312" s="131"/>
      <c r="AA312" s="189">
        <f t="shared" si="94"/>
        <v>35262</v>
      </c>
      <c r="AB312" s="189"/>
      <c r="AC312" s="521">
        <v>24.31</v>
      </c>
      <c r="AD312" s="526"/>
      <c r="AE312" s="191">
        <f t="shared" si="95"/>
        <v>5251</v>
      </c>
      <c r="AF312" s="191"/>
      <c r="AG312" s="302">
        <f t="shared" si="96"/>
        <v>0.3</v>
      </c>
      <c r="AH312" s="303"/>
      <c r="AI312" s="191">
        <f t="shared" si="97"/>
        <v>644</v>
      </c>
      <c r="AJ312" s="191"/>
      <c r="AK312" s="304">
        <f t="shared" si="98"/>
        <v>12.3</v>
      </c>
      <c r="AL312" s="305"/>
      <c r="AM312" s="191">
        <f t="shared" si="99"/>
        <v>24</v>
      </c>
      <c r="AN312" s="191"/>
      <c r="AO312" s="191">
        <f t="shared" si="103"/>
        <v>5275</v>
      </c>
      <c r="AP312" s="191"/>
      <c r="AQ312" s="304">
        <f t="shared" si="100"/>
        <v>12.2</v>
      </c>
      <c r="AS312" s="382"/>
      <c r="AT312" s="77">
        <f>AC312-AX312</f>
        <v>20.419999999999998</v>
      </c>
      <c r="AW312" s="392">
        <v>1959</v>
      </c>
      <c r="AX312" s="380">
        <f t="shared" si="101"/>
        <v>3.89</v>
      </c>
      <c r="AY312" s="380">
        <f t="shared" si="102"/>
        <v>3.89</v>
      </c>
    </row>
    <row r="313" spans="1:51" x14ac:dyDescent="0.25">
      <c r="A313" s="53"/>
      <c r="C313" s="54"/>
      <c r="D313" s="54"/>
      <c r="E313" s="54"/>
      <c r="T313" s="367">
        <v>51</v>
      </c>
      <c r="U313" s="194"/>
      <c r="V313" s="195" t="str">
        <f t="shared" si="92"/>
        <v xml:space="preserve">   50,000 LUMEN SETBACK (6)</v>
      </c>
      <c r="W313" s="194"/>
      <c r="X313" s="194"/>
      <c r="Y313" s="189">
        <f t="shared" si="93"/>
        <v>36</v>
      </c>
      <c r="Z313" s="131"/>
      <c r="AA313" s="189">
        <f t="shared" si="94"/>
        <v>5877</v>
      </c>
      <c r="AB313" s="189"/>
      <c r="AC313" s="521">
        <f>AC312+$AC$8</f>
        <v>29.7</v>
      </c>
      <c r="AD313" s="526"/>
      <c r="AE313" s="191">
        <f t="shared" si="95"/>
        <v>1069</v>
      </c>
      <c r="AF313" s="191"/>
      <c r="AG313" s="313">
        <f t="shared" si="96"/>
        <v>0.1</v>
      </c>
      <c r="AH313" s="303"/>
      <c r="AI313" s="314">
        <f t="shared" si="97"/>
        <v>131</v>
      </c>
      <c r="AJ313" s="191"/>
      <c r="AK313" s="315">
        <f t="shared" si="98"/>
        <v>12.3</v>
      </c>
      <c r="AL313" s="305"/>
      <c r="AM313" s="191">
        <f t="shared" si="99"/>
        <v>4</v>
      </c>
      <c r="AN313" s="191"/>
      <c r="AO313" s="314">
        <f t="shared" si="103"/>
        <v>1073</v>
      </c>
      <c r="AP313" s="191"/>
      <c r="AQ313" s="304">
        <f t="shared" si="100"/>
        <v>12.2</v>
      </c>
      <c r="AS313" s="382"/>
      <c r="AW313" s="94"/>
      <c r="AX313" s="84"/>
      <c r="AY313" s="84"/>
    </row>
    <row r="314" spans="1:51" ht="20.100000000000001" customHeight="1" x14ac:dyDescent="0.25">
      <c r="A314" s="53"/>
      <c r="C314" s="54"/>
      <c r="D314" s="54"/>
      <c r="E314" s="54"/>
      <c r="T314" s="367">
        <v>52</v>
      </c>
      <c r="U314" s="194"/>
      <c r="V314" s="518" t="s">
        <v>302</v>
      </c>
      <c r="W314" s="194"/>
      <c r="X314" s="194"/>
      <c r="Y314" s="316">
        <f>SUM(Y241:Y313)</f>
        <v>117325</v>
      </c>
      <c r="Z314" s="131"/>
      <c r="AA314" s="316">
        <f>SUM(AA241:AA313)</f>
        <v>9303616</v>
      </c>
      <c r="AB314" s="191"/>
      <c r="AC314" s="309"/>
      <c r="AD314" s="526"/>
      <c r="AE314" s="316">
        <f>SUM(AE241:AE313)</f>
        <v>1045129</v>
      </c>
      <c r="AF314" s="191"/>
      <c r="AG314" s="317">
        <f t="shared" si="96"/>
        <v>68.099999999999994</v>
      </c>
      <c r="AH314" s="303"/>
      <c r="AI314" s="316">
        <f>SUM(AI241:AI313)</f>
        <v>128111</v>
      </c>
      <c r="AJ314" s="191"/>
      <c r="AK314" s="318">
        <f t="shared" si="98"/>
        <v>12.3</v>
      </c>
      <c r="AL314" s="305"/>
      <c r="AM314" s="532">
        <f>ROUND(AA314*CUR_FAC,0)</f>
        <v>6336</v>
      </c>
      <c r="AN314" s="191"/>
      <c r="AO314" s="316">
        <f>SUM(AO241:AO313)</f>
        <v>1051466</v>
      </c>
      <c r="AP314" s="191"/>
      <c r="AQ314" s="304">
        <f t="shared" si="100"/>
        <v>12.2</v>
      </c>
      <c r="AS314" s="382"/>
      <c r="AW314" s="83"/>
    </row>
    <row r="315" spans="1:51" x14ac:dyDescent="0.25">
      <c r="A315" s="53"/>
      <c r="C315" s="54"/>
      <c r="D315" s="54"/>
      <c r="E315" s="54"/>
      <c r="T315" s="366"/>
      <c r="U315" s="194"/>
      <c r="V315" s="520"/>
      <c r="W315" s="518"/>
      <c r="X315" s="196"/>
      <c r="Y315" s="131"/>
      <c r="Z315" s="131"/>
      <c r="AA315" s="131"/>
      <c r="AB315" s="131"/>
      <c r="AC315" s="131"/>
      <c r="AD315" s="131"/>
      <c r="AE315" s="131"/>
      <c r="AF315" s="131"/>
      <c r="AG315" s="311"/>
      <c r="AH315" s="131"/>
      <c r="AI315" s="131"/>
      <c r="AJ315" s="131"/>
      <c r="AK315" s="311"/>
      <c r="AL315" s="131"/>
      <c r="AM315" s="131"/>
      <c r="AN315" s="131"/>
      <c r="AO315" s="131"/>
      <c r="AP315" s="131"/>
      <c r="AQ315" s="312"/>
      <c r="AS315" s="382"/>
      <c r="AW315" s="2"/>
    </row>
    <row r="316" spans="1:51" x14ac:dyDescent="0.25">
      <c r="A316" s="53"/>
      <c r="D316" s="54"/>
      <c r="E316" s="54"/>
      <c r="T316" s="366">
        <v>53</v>
      </c>
      <c r="U316" s="194"/>
      <c r="V316" s="520" t="s">
        <v>82</v>
      </c>
      <c r="W316" s="527"/>
      <c r="X316" s="194"/>
      <c r="Y316" s="131"/>
      <c r="Z316" s="131"/>
      <c r="AA316" s="131"/>
      <c r="AB316" s="131"/>
      <c r="AC316" s="309"/>
      <c r="AD316" s="526"/>
      <c r="AE316" s="191"/>
      <c r="AF316" s="191"/>
      <c r="AG316" s="302"/>
      <c r="AH316" s="303"/>
      <c r="AI316" s="191"/>
      <c r="AJ316" s="191"/>
      <c r="AK316" s="304"/>
      <c r="AL316" s="305"/>
      <c r="AM316" s="191"/>
      <c r="AN316" s="191"/>
      <c r="AO316" s="191"/>
      <c r="AP316" s="191"/>
      <c r="AQ316" s="304"/>
      <c r="AS316" s="382"/>
      <c r="AW316" s="2"/>
    </row>
    <row r="317" spans="1:51" x14ac:dyDescent="0.25">
      <c r="A317" s="53"/>
      <c r="D317" s="54"/>
      <c r="E317" s="54"/>
      <c r="T317" s="366">
        <v>54</v>
      </c>
      <c r="U317" s="194"/>
      <c r="V317" s="518" t="s">
        <v>211</v>
      </c>
      <c r="W317" s="527"/>
      <c r="X317" s="194"/>
      <c r="Y317" s="131"/>
      <c r="Z317" s="131"/>
      <c r="AA317" s="131"/>
      <c r="AB317" s="131"/>
      <c r="AC317" s="309"/>
      <c r="AD317" s="526"/>
      <c r="AE317" s="191"/>
      <c r="AF317" s="191"/>
      <c r="AG317" s="302"/>
      <c r="AH317" s="303"/>
      <c r="AI317" s="191"/>
      <c r="AJ317" s="191"/>
      <c r="AK317" s="302"/>
      <c r="AL317" s="305"/>
      <c r="AM317" s="191"/>
      <c r="AN317" s="191"/>
      <c r="AO317" s="191"/>
      <c r="AP317" s="191"/>
      <c r="AQ317" s="304"/>
      <c r="AS317" s="382"/>
      <c r="AW317" s="2"/>
    </row>
    <row r="318" spans="1:51" x14ac:dyDescent="0.25">
      <c r="T318" s="366">
        <v>55</v>
      </c>
      <c r="U318" s="194"/>
      <c r="V318" s="195" t="str">
        <f t="shared" ref="V318:V327" si="104">C98</f>
        <v xml:space="preserve">     7,000 LUMEN</v>
      </c>
      <c r="W318" s="194"/>
      <c r="X318" s="194"/>
      <c r="Y318" s="189">
        <f t="shared" ref="Y318:Y327" si="105">F98</f>
        <v>60</v>
      </c>
      <c r="Z318" s="131"/>
      <c r="AA318" s="189">
        <f t="shared" ref="AA318:AA327" si="106">H98</f>
        <v>4370</v>
      </c>
      <c r="AB318" s="189"/>
      <c r="AC318" s="521">
        <v>7.4</v>
      </c>
      <c r="AD318" s="526"/>
      <c r="AE318" s="191">
        <f t="shared" ref="AE318:AE327" si="107">ROUND((Y318*AC318),0)</f>
        <v>444</v>
      </c>
      <c r="AF318" s="191"/>
      <c r="AG318" s="302">
        <f t="shared" ref="AG318:AG327" si="108">ROUND((AE318/AE$429)*100,1)</f>
        <v>0</v>
      </c>
      <c r="AH318" s="303"/>
      <c r="AI318" s="191">
        <f t="shared" ref="AI318:AI327" si="109">L98-AE318</f>
        <v>55</v>
      </c>
      <c r="AJ318" s="191"/>
      <c r="AK318" s="304">
        <f t="shared" ref="AK318:AK331" si="110">IF(AE318=0,"0.0 ",ROUND((AI318/AE318)*100,1))</f>
        <v>12.4</v>
      </c>
      <c r="AL318" s="305"/>
      <c r="AM318" s="191">
        <f t="shared" ref="AM318:AM327" si="111">ROUND($AM$429/$AA$429*AA318,0)</f>
        <v>3</v>
      </c>
      <c r="AN318" s="191"/>
      <c r="AO318" s="191">
        <f t="shared" ref="AO318:AO324" si="112">AE318+AM318</f>
        <v>447</v>
      </c>
      <c r="AP318" s="191"/>
      <c r="AQ318" s="304">
        <f t="shared" ref="AQ318:AQ402" si="113">IF(AO318=0,"0.0 ",ROUND((AI318/AO318)*100,1))</f>
        <v>12.3</v>
      </c>
      <c r="AS318" s="382"/>
      <c r="AT318" s="77">
        <f>AC318-AX318</f>
        <v>5.66</v>
      </c>
      <c r="AW318" s="392">
        <v>874</v>
      </c>
      <c r="AX318" s="380">
        <f t="shared" ref="AX318:AX326" si="114">ROUND((AW318/12)*CUR_BASE_FUEL,2)</f>
        <v>1.74</v>
      </c>
      <c r="AY318" s="380">
        <f t="shared" ref="AY318:AY326" si="115">ROUND((AW318/12)*PRO_BASE_FUEL,2)</f>
        <v>1.74</v>
      </c>
    </row>
    <row r="319" spans="1:51" x14ac:dyDescent="0.25">
      <c r="T319" s="366">
        <v>56</v>
      </c>
      <c r="U319" s="194"/>
      <c r="V319" s="195" t="str">
        <f t="shared" si="104"/>
        <v xml:space="preserve">     7,000 LUMEN (OPEN)</v>
      </c>
      <c r="W319" s="194"/>
      <c r="X319" s="194"/>
      <c r="Y319" s="189">
        <f t="shared" si="105"/>
        <v>0</v>
      </c>
      <c r="Z319" s="131"/>
      <c r="AA319" s="189">
        <f t="shared" si="106"/>
        <v>0</v>
      </c>
      <c r="AB319" s="189"/>
      <c r="AC319" s="521">
        <v>6.07</v>
      </c>
      <c r="AD319" s="526"/>
      <c r="AE319" s="191">
        <f t="shared" ref="AE319" si="116">ROUND((Y319*AC319),0)</f>
        <v>0</v>
      </c>
      <c r="AF319" s="191"/>
      <c r="AG319" s="302">
        <f t="shared" si="108"/>
        <v>0</v>
      </c>
      <c r="AH319" s="303"/>
      <c r="AI319" s="191">
        <f t="shared" si="109"/>
        <v>0</v>
      </c>
      <c r="AJ319" s="191"/>
      <c r="AK319" s="304" t="str">
        <f t="shared" ref="AK319" si="117">IF(AE319=0,"0.0 ",ROUND((AI319/AE319)*100,1))</f>
        <v xml:space="preserve">0.0 </v>
      </c>
      <c r="AL319" s="305"/>
      <c r="AM319" s="191">
        <f t="shared" si="111"/>
        <v>0</v>
      </c>
      <c r="AN319" s="191"/>
      <c r="AO319" s="191">
        <f t="shared" ref="AO319" si="118">AE319+AM319</f>
        <v>0</v>
      </c>
      <c r="AP319" s="191"/>
      <c r="AQ319" s="304" t="str">
        <f t="shared" ref="AQ319" si="119">IF(AO319=0,"0.0 ",ROUND((AI319/AO319)*100,1))</f>
        <v xml:space="preserve">0.0 </v>
      </c>
      <c r="AS319" s="382"/>
      <c r="AT319" s="77">
        <f>AC319-AX319</f>
        <v>4.3800000000000008</v>
      </c>
      <c r="AW319" s="392">
        <v>853</v>
      </c>
      <c r="AX319" s="380">
        <f t="shared" ref="AX319" si="120">ROUND((AW319/12)*CUR_BASE_FUEL,2)</f>
        <v>1.69</v>
      </c>
      <c r="AY319" s="380">
        <f t="shared" ref="AY319" si="121">ROUND((AW319/12)*PRO_BASE_FUEL,2)</f>
        <v>1.69</v>
      </c>
    </row>
    <row r="320" spans="1:51" x14ac:dyDescent="0.25">
      <c r="T320" s="367">
        <v>57</v>
      </c>
      <c r="U320" s="194"/>
      <c r="V320" s="195" t="str">
        <f t="shared" si="104"/>
        <v xml:space="preserve">     7,000 LUMEN (4)</v>
      </c>
      <c r="W320" s="194"/>
      <c r="X320" s="194"/>
      <c r="Y320" s="189">
        <f t="shared" si="105"/>
        <v>566</v>
      </c>
      <c r="Z320" s="131"/>
      <c r="AA320" s="189">
        <f t="shared" si="106"/>
        <v>41224</v>
      </c>
      <c r="AB320" s="189"/>
      <c r="AC320" s="521">
        <f>AC318+$AC$6</f>
        <v>11.84</v>
      </c>
      <c r="AD320" s="526"/>
      <c r="AE320" s="191">
        <f t="shared" si="107"/>
        <v>6701</v>
      </c>
      <c r="AF320" s="191"/>
      <c r="AG320" s="302">
        <f t="shared" si="108"/>
        <v>0.4</v>
      </c>
      <c r="AH320" s="303"/>
      <c r="AI320" s="191">
        <f t="shared" si="109"/>
        <v>821</v>
      </c>
      <c r="AJ320" s="191"/>
      <c r="AK320" s="304">
        <f t="shared" si="110"/>
        <v>12.3</v>
      </c>
      <c r="AL320" s="305"/>
      <c r="AM320" s="191">
        <f t="shared" si="111"/>
        <v>28</v>
      </c>
      <c r="AN320" s="191"/>
      <c r="AO320" s="191">
        <f t="shared" si="112"/>
        <v>6729</v>
      </c>
      <c r="AP320" s="191"/>
      <c r="AQ320" s="304">
        <f t="shared" si="113"/>
        <v>12.2</v>
      </c>
      <c r="AS320" s="382"/>
      <c r="AW320" s="392"/>
    </row>
    <row r="321" spans="1:51" x14ac:dyDescent="0.25">
      <c r="A321" s="53"/>
      <c r="C321" s="54"/>
      <c r="F321" s="449"/>
      <c r="H321" s="449"/>
      <c r="I321" s="449"/>
      <c r="J321" s="461"/>
      <c r="K321" s="461"/>
      <c r="L321" s="379"/>
      <c r="M321" s="379"/>
      <c r="N321" s="50"/>
      <c r="O321" s="50"/>
      <c r="R321" s="379"/>
      <c r="T321" s="367">
        <v>58</v>
      </c>
      <c r="U321" s="194"/>
      <c r="V321" s="195" t="str">
        <f t="shared" si="104"/>
        <v xml:space="preserve">     7,000 LUMEN (5)</v>
      </c>
      <c r="W321" s="194"/>
      <c r="X321" s="194"/>
      <c r="Y321" s="189">
        <f t="shared" si="105"/>
        <v>4</v>
      </c>
      <c r="Z321" s="131"/>
      <c r="AA321" s="189">
        <f t="shared" si="106"/>
        <v>291</v>
      </c>
      <c r="AB321" s="189"/>
      <c r="AC321" s="521">
        <f>AC318+$AC$7</f>
        <v>11.9</v>
      </c>
      <c r="AD321" s="526"/>
      <c r="AE321" s="191">
        <f t="shared" si="107"/>
        <v>48</v>
      </c>
      <c r="AF321" s="191"/>
      <c r="AG321" s="302">
        <f t="shared" si="108"/>
        <v>0</v>
      </c>
      <c r="AH321" s="303"/>
      <c r="AI321" s="191">
        <f t="shared" si="109"/>
        <v>5</v>
      </c>
      <c r="AJ321" s="191"/>
      <c r="AK321" s="304">
        <f t="shared" si="110"/>
        <v>10.4</v>
      </c>
      <c r="AL321" s="305"/>
      <c r="AM321" s="191">
        <f t="shared" si="111"/>
        <v>0</v>
      </c>
      <c r="AN321" s="191"/>
      <c r="AO321" s="191">
        <f t="shared" si="112"/>
        <v>48</v>
      </c>
      <c r="AP321" s="191"/>
      <c r="AQ321" s="304">
        <f t="shared" si="113"/>
        <v>10.4</v>
      </c>
      <c r="AS321" s="382"/>
      <c r="AW321" s="392"/>
    </row>
    <row r="322" spans="1:51" x14ac:dyDescent="0.25">
      <c r="A322" s="53"/>
      <c r="C322" s="54"/>
      <c r="F322" s="449"/>
      <c r="H322" s="449"/>
      <c r="I322" s="449"/>
      <c r="J322" s="461"/>
      <c r="K322" s="461"/>
      <c r="L322" s="379"/>
      <c r="M322" s="379"/>
      <c r="N322" s="50"/>
      <c r="O322" s="50"/>
      <c r="P322" s="53"/>
      <c r="Q322" s="53"/>
      <c r="R322" s="379"/>
      <c r="T322" s="366">
        <v>59</v>
      </c>
      <c r="U322" s="194"/>
      <c r="V322" s="195" t="str">
        <f t="shared" si="104"/>
        <v xml:space="preserve">     7,000 LUMEN (8)</v>
      </c>
      <c r="W322" s="194"/>
      <c r="X322" s="194"/>
      <c r="Y322" s="189">
        <f t="shared" si="105"/>
        <v>348</v>
      </c>
      <c r="Z322" s="131"/>
      <c r="AA322" s="189">
        <f t="shared" si="106"/>
        <v>25346</v>
      </c>
      <c r="AB322" s="189"/>
      <c r="AC322" s="521">
        <f>AC318+$AC$10</f>
        <v>14.49</v>
      </c>
      <c r="AD322" s="526"/>
      <c r="AE322" s="191">
        <f t="shared" si="107"/>
        <v>5043</v>
      </c>
      <c r="AF322" s="191"/>
      <c r="AG322" s="302">
        <f t="shared" si="108"/>
        <v>0.3</v>
      </c>
      <c r="AH322" s="303"/>
      <c r="AI322" s="191">
        <f t="shared" si="109"/>
        <v>619</v>
      </c>
      <c r="AJ322" s="191"/>
      <c r="AK322" s="304">
        <f t="shared" si="110"/>
        <v>12.3</v>
      </c>
      <c r="AL322" s="305"/>
      <c r="AM322" s="191">
        <f t="shared" si="111"/>
        <v>17</v>
      </c>
      <c r="AN322" s="191"/>
      <c r="AO322" s="191">
        <f t="shared" si="112"/>
        <v>5060</v>
      </c>
      <c r="AP322" s="191"/>
      <c r="AQ322" s="304">
        <f t="shared" si="113"/>
        <v>12.2</v>
      </c>
      <c r="AS322" s="382"/>
      <c r="AW322" s="392"/>
    </row>
    <row r="323" spans="1:51" x14ac:dyDescent="0.25">
      <c r="F323" s="381"/>
      <c r="H323" s="379"/>
      <c r="I323" s="379"/>
      <c r="J323" s="464"/>
      <c r="K323" s="464"/>
      <c r="L323" s="381"/>
      <c r="M323" s="381"/>
      <c r="N323" s="381"/>
      <c r="O323" s="381"/>
      <c r="P323" s="381"/>
      <c r="Q323" s="381"/>
      <c r="R323" s="381"/>
      <c r="T323" s="366">
        <v>60</v>
      </c>
      <c r="U323" s="194"/>
      <c r="V323" s="195" t="str">
        <f t="shared" si="104"/>
        <v xml:space="preserve">  10,000 LUMEN</v>
      </c>
      <c r="W323" s="194"/>
      <c r="X323" s="194"/>
      <c r="Y323" s="189">
        <f t="shared" si="105"/>
        <v>0</v>
      </c>
      <c r="Z323" s="131"/>
      <c r="AA323" s="189">
        <f t="shared" si="106"/>
        <v>0</v>
      </c>
      <c r="AB323" s="189"/>
      <c r="AC323" s="521">
        <v>8.5399999999999991</v>
      </c>
      <c r="AD323" s="526"/>
      <c r="AE323" s="191">
        <f t="shared" si="107"/>
        <v>0</v>
      </c>
      <c r="AF323" s="191"/>
      <c r="AG323" s="302">
        <f t="shared" si="108"/>
        <v>0</v>
      </c>
      <c r="AH323" s="303"/>
      <c r="AI323" s="191">
        <f t="shared" si="109"/>
        <v>0</v>
      </c>
      <c r="AJ323" s="191"/>
      <c r="AK323" s="304" t="str">
        <f t="shared" si="110"/>
        <v xml:space="preserve">0.0 </v>
      </c>
      <c r="AL323" s="305"/>
      <c r="AM323" s="191">
        <f t="shared" si="111"/>
        <v>0</v>
      </c>
      <c r="AN323" s="191"/>
      <c r="AO323" s="191">
        <f t="shared" si="112"/>
        <v>0</v>
      </c>
      <c r="AP323" s="191"/>
      <c r="AQ323" s="304" t="str">
        <f t="shared" si="113"/>
        <v xml:space="preserve">0.0 </v>
      </c>
      <c r="AS323" s="382"/>
      <c r="AT323" s="77">
        <f>AC323-AX323</f>
        <v>6.129999999999999</v>
      </c>
      <c r="AW323" s="392">
        <v>1215</v>
      </c>
      <c r="AX323" s="380">
        <f t="shared" si="114"/>
        <v>2.41</v>
      </c>
      <c r="AY323" s="380">
        <f t="shared" si="115"/>
        <v>2.41</v>
      </c>
    </row>
    <row r="324" spans="1:51" x14ac:dyDescent="0.25">
      <c r="A324" s="53"/>
      <c r="C324" s="54"/>
      <c r="F324" s="379"/>
      <c r="H324" s="379"/>
      <c r="I324" s="379"/>
      <c r="J324" s="464"/>
      <c r="K324" s="464"/>
      <c r="L324" s="379"/>
      <c r="M324" s="379"/>
      <c r="N324" s="50"/>
      <c r="O324" s="50"/>
      <c r="P324" s="379"/>
      <c r="Q324" s="379"/>
      <c r="R324" s="379"/>
      <c r="T324" s="366">
        <v>61</v>
      </c>
      <c r="U324" s="194"/>
      <c r="V324" s="195" t="str">
        <f t="shared" si="104"/>
        <v xml:space="preserve">  10,000 LUMEN (4)</v>
      </c>
      <c r="W324" s="194"/>
      <c r="X324" s="194"/>
      <c r="Y324" s="189">
        <f t="shared" si="105"/>
        <v>84</v>
      </c>
      <c r="Z324" s="131"/>
      <c r="AA324" s="189">
        <f t="shared" si="106"/>
        <v>8505</v>
      </c>
      <c r="AB324" s="189"/>
      <c r="AC324" s="521">
        <f>AC323+$AC$6</f>
        <v>12.98</v>
      </c>
      <c r="AD324" s="309"/>
      <c r="AE324" s="191">
        <f t="shared" si="107"/>
        <v>1090</v>
      </c>
      <c r="AF324" s="131"/>
      <c r="AG324" s="302">
        <f t="shared" si="108"/>
        <v>0.1</v>
      </c>
      <c r="AH324" s="131"/>
      <c r="AI324" s="191">
        <f t="shared" si="109"/>
        <v>134</v>
      </c>
      <c r="AJ324" s="131"/>
      <c r="AK324" s="304">
        <f t="shared" si="110"/>
        <v>12.3</v>
      </c>
      <c r="AL324" s="131"/>
      <c r="AM324" s="191">
        <f t="shared" si="111"/>
        <v>6</v>
      </c>
      <c r="AN324" s="131"/>
      <c r="AO324" s="191">
        <f t="shared" si="112"/>
        <v>1096</v>
      </c>
      <c r="AP324" s="131"/>
      <c r="AQ324" s="304">
        <f t="shared" si="113"/>
        <v>12.2</v>
      </c>
      <c r="AS324" s="382"/>
      <c r="AW324" s="392"/>
    </row>
    <row r="325" spans="1:51" x14ac:dyDescent="0.25">
      <c r="F325" s="381"/>
      <c r="H325" s="379"/>
      <c r="I325" s="379"/>
      <c r="J325" s="464"/>
      <c r="K325" s="464"/>
      <c r="L325" s="381"/>
      <c r="M325" s="381"/>
      <c r="N325" s="381"/>
      <c r="O325" s="381"/>
      <c r="P325" s="381"/>
      <c r="Q325" s="381"/>
      <c r="R325" s="381"/>
      <c r="T325" s="366">
        <v>62</v>
      </c>
      <c r="U325" s="194"/>
      <c r="V325" s="195" t="str">
        <f t="shared" si="104"/>
        <v xml:space="preserve">  10,000 LUMEN (8)</v>
      </c>
      <c r="W325" s="194"/>
      <c r="X325" s="194"/>
      <c r="Y325" s="189">
        <f t="shared" si="105"/>
        <v>156</v>
      </c>
      <c r="Z325" s="131"/>
      <c r="AA325" s="189">
        <f t="shared" si="106"/>
        <v>15795</v>
      </c>
      <c r="AB325" s="189"/>
      <c r="AC325" s="521">
        <f>AC323+$AC$10</f>
        <v>15.629999999999999</v>
      </c>
      <c r="AD325" s="526"/>
      <c r="AE325" s="191">
        <f t="shared" si="107"/>
        <v>2438</v>
      </c>
      <c r="AF325" s="191"/>
      <c r="AG325" s="302">
        <f t="shared" si="108"/>
        <v>0.2</v>
      </c>
      <c r="AH325" s="303"/>
      <c r="AI325" s="191">
        <f t="shared" si="109"/>
        <v>300</v>
      </c>
      <c r="AJ325" s="191"/>
      <c r="AK325" s="304">
        <f t="shared" si="110"/>
        <v>12.3</v>
      </c>
      <c r="AL325" s="305"/>
      <c r="AM325" s="191">
        <f t="shared" si="111"/>
        <v>11</v>
      </c>
      <c r="AN325" s="191"/>
      <c r="AO325" s="191">
        <f t="shared" ref="AO325:AO342" si="122">AE325+AM325</f>
        <v>2449</v>
      </c>
      <c r="AP325" s="191"/>
      <c r="AQ325" s="304">
        <f t="shared" si="113"/>
        <v>12.2</v>
      </c>
      <c r="AS325" s="382"/>
      <c r="AW325" s="392"/>
    </row>
    <row r="326" spans="1:51" x14ac:dyDescent="0.25">
      <c r="F326" s="379"/>
      <c r="H326" s="379"/>
      <c r="I326" s="379"/>
      <c r="J326" s="464"/>
      <c r="K326" s="464"/>
      <c r="L326" s="379"/>
      <c r="M326" s="379"/>
      <c r="N326" s="50"/>
      <c r="O326" s="50"/>
      <c r="P326" s="379"/>
      <c r="Q326" s="379"/>
      <c r="R326" s="379"/>
      <c r="T326" s="367">
        <v>63</v>
      </c>
      <c r="U326" s="194"/>
      <c r="V326" s="195" t="str">
        <f t="shared" si="104"/>
        <v xml:space="preserve">  21,000 LUMEN</v>
      </c>
      <c r="W326" s="194"/>
      <c r="X326" s="194"/>
      <c r="Y326" s="189">
        <f t="shared" si="105"/>
        <v>96</v>
      </c>
      <c r="Z326" s="131"/>
      <c r="AA326" s="189">
        <f t="shared" si="106"/>
        <v>15312</v>
      </c>
      <c r="AB326" s="189"/>
      <c r="AC326" s="521">
        <v>11.5</v>
      </c>
      <c r="AD326" s="526"/>
      <c r="AE326" s="191">
        <f t="shared" si="107"/>
        <v>1104</v>
      </c>
      <c r="AF326" s="191"/>
      <c r="AG326" s="302">
        <f t="shared" si="108"/>
        <v>0.1</v>
      </c>
      <c r="AH326" s="303"/>
      <c r="AI326" s="191">
        <f t="shared" si="109"/>
        <v>135</v>
      </c>
      <c r="AJ326" s="191"/>
      <c r="AK326" s="304">
        <f t="shared" si="110"/>
        <v>12.2</v>
      </c>
      <c r="AL326" s="305"/>
      <c r="AM326" s="191">
        <f t="shared" si="111"/>
        <v>10</v>
      </c>
      <c r="AN326" s="191"/>
      <c r="AO326" s="191">
        <f t="shared" si="122"/>
        <v>1114</v>
      </c>
      <c r="AP326" s="191"/>
      <c r="AQ326" s="304">
        <f t="shared" si="113"/>
        <v>12.1</v>
      </c>
      <c r="AS326" s="382"/>
      <c r="AT326" s="77">
        <f>AC326-AX326</f>
        <v>7.7</v>
      </c>
      <c r="AW326" s="392">
        <v>1914</v>
      </c>
      <c r="AX326" s="380">
        <f t="shared" si="114"/>
        <v>3.8</v>
      </c>
      <c r="AY326" s="380">
        <f t="shared" si="115"/>
        <v>3.8</v>
      </c>
    </row>
    <row r="327" spans="1:51" x14ac:dyDescent="0.25">
      <c r="A327" s="53"/>
      <c r="C327" s="54"/>
      <c r="F327" s="449"/>
      <c r="H327" s="449"/>
      <c r="I327" s="449"/>
      <c r="J327" s="461"/>
      <c r="K327" s="461"/>
      <c r="L327" s="379"/>
      <c r="M327" s="379"/>
      <c r="N327" s="50"/>
      <c r="O327" s="50"/>
      <c r="P327" s="379"/>
      <c r="Q327" s="379"/>
      <c r="R327" s="379"/>
      <c r="T327" s="367">
        <v>64</v>
      </c>
      <c r="U327" s="194"/>
      <c r="V327" s="195" t="str">
        <f t="shared" si="104"/>
        <v xml:space="preserve">  21,000 LUMEN (8)</v>
      </c>
      <c r="W327" s="194"/>
      <c r="X327" s="194"/>
      <c r="Y327" s="189">
        <f t="shared" si="105"/>
        <v>132</v>
      </c>
      <c r="Z327" s="131"/>
      <c r="AA327" s="189">
        <f t="shared" si="106"/>
        <v>21054</v>
      </c>
      <c r="AB327" s="189"/>
      <c r="AC327" s="521">
        <f>AC326+$AC$10</f>
        <v>18.59</v>
      </c>
      <c r="AD327" s="526"/>
      <c r="AE327" s="191">
        <f t="shared" si="107"/>
        <v>2454</v>
      </c>
      <c r="AF327" s="191"/>
      <c r="AG327" s="302">
        <f t="shared" si="108"/>
        <v>0.2</v>
      </c>
      <c r="AH327" s="303"/>
      <c r="AI327" s="191">
        <f t="shared" si="109"/>
        <v>301</v>
      </c>
      <c r="AJ327" s="191"/>
      <c r="AK327" s="304">
        <f t="shared" si="110"/>
        <v>12.3</v>
      </c>
      <c r="AL327" s="305"/>
      <c r="AM327" s="191">
        <f t="shared" si="111"/>
        <v>14</v>
      </c>
      <c r="AN327" s="191"/>
      <c r="AO327" s="191">
        <f t="shared" si="122"/>
        <v>2468</v>
      </c>
      <c r="AP327" s="191"/>
      <c r="AQ327" s="304">
        <f t="shared" si="113"/>
        <v>12.2</v>
      </c>
      <c r="AS327" s="382"/>
      <c r="AW327" s="392"/>
    </row>
    <row r="328" spans="1:51" x14ac:dyDescent="0.25">
      <c r="A328" s="53"/>
      <c r="C328" s="54"/>
      <c r="F328" s="449"/>
      <c r="H328" s="449"/>
      <c r="I328" s="449"/>
      <c r="J328" s="461"/>
      <c r="K328" s="461"/>
      <c r="L328" s="379"/>
      <c r="M328" s="379"/>
      <c r="N328" s="50"/>
      <c r="O328" s="50"/>
      <c r="P328" s="379"/>
      <c r="Q328" s="379"/>
      <c r="R328" s="379"/>
      <c r="T328" s="367">
        <v>65</v>
      </c>
      <c r="U328" s="194"/>
      <c r="V328" s="520" t="s">
        <v>305</v>
      </c>
      <c r="W328" s="194"/>
      <c r="X328" s="194"/>
      <c r="Y328" s="189"/>
      <c r="Z328" s="131"/>
      <c r="AA328" s="189"/>
      <c r="AB328" s="189"/>
      <c r="AC328" s="526"/>
      <c r="AD328" s="526"/>
      <c r="AE328" s="191"/>
      <c r="AF328" s="191"/>
      <c r="AG328" s="302"/>
      <c r="AH328" s="303"/>
      <c r="AI328" s="191"/>
      <c r="AJ328" s="191"/>
      <c r="AK328" s="304"/>
      <c r="AL328" s="305"/>
      <c r="AM328" s="308"/>
      <c r="AN328" s="191"/>
      <c r="AO328" s="191"/>
      <c r="AP328" s="191"/>
      <c r="AQ328" s="304"/>
      <c r="AS328" s="382"/>
      <c r="AW328" s="392"/>
    </row>
    <row r="329" spans="1:51" x14ac:dyDescent="0.25">
      <c r="A329" s="53"/>
      <c r="C329" s="54"/>
      <c r="F329" s="449"/>
      <c r="H329" s="449"/>
      <c r="I329" s="449"/>
      <c r="J329" s="461"/>
      <c r="K329" s="461"/>
      <c r="L329" s="379"/>
      <c r="M329" s="379"/>
      <c r="N329" s="50"/>
      <c r="O329" s="50"/>
      <c r="P329" s="379"/>
      <c r="Q329" s="379"/>
      <c r="R329" s="379"/>
      <c r="T329" s="367">
        <v>66</v>
      </c>
      <c r="U329" s="194"/>
      <c r="V329" s="195" t="str">
        <f>C109</f>
        <v xml:space="preserve">    14,000 LUMEN</v>
      </c>
      <c r="W329" s="194"/>
      <c r="X329" s="194"/>
      <c r="Y329" s="189">
        <f>F109</f>
        <v>0</v>
      </c>
      <c r="Z329" s="131"/>
      <c r="AA329" s="189">
        <f>H109</f>
        <v>0</v>
      </c>
      <c r="AB329" s="189"/>
      <c r="AC329" s="521">
        <v>7.4</v>
      </c>
      <c r="AD329" s="526"/>
      <c r="AE329" s="191">
        <f>ROUND((Y329*AC329),0)</f>
        <v>0</v>
      </c>
      <c r="AF329" s="191"/>
      <c r="AG329" s="302">
        <f>ROUND((AE329/AE$429)*100,1)</f>
        <v>0</v>
      </c>
      <c r="AH329" s="303"/>
      <c r="AI329" s="191">
        <f>L109-AE329</f>
        <v>0</v>
      </c>
      <c r="AJ329" s="191"/>
      <c r="AK329" s="304" t="str">
        <f t="shared" si="110"/>
        <v xml:space="preserve">0.0 </v>
      </c>
      <c r="AL329" s="305"/>
      <c r="AM329" s="191">
        <f>ROUND($AM$429/$AA$429*AA329,0)</f>
        <v>0</v>
      </c>
      <c r="AN329" s="191"/>
      <c r="AO329" s="191">
        <f>AE329+AM329</f>
        <v>0</v>
      </c>
      <c r="AP329" s="191"/>
      <c r="AQ329" s="304" t="str">
        <f>IF(AO329=0,"0.0 ",ROUND((AI329/AO329)*100,1))</f>
        <v xml:space="preserve">0.0 </v>
      </c>
      <c r="AS329" s="382"/>
      <c r="AT329" s="77">
        <f>AC329-AX329</f>
        <v>5.66</v>
      </c>
      <c r="AW329" s="392">
        <v>874</v>
      </c>
      <c r="AX329" s="380">
        <f>ROUND((AW329/12)*CUR_BASE_FUEL,2)</f>
        <v>1.74</v>
      </c>
      <c r="AY329" s="380">
        <f>ROUND((AW329/12)*PRO_BASE_FUEL,2)</f>
        <v>1.74</v>
      </c>
    </row>
    <row r="330" spans="1:51" x14ac:dyDescent="0.25">
      <c r="A330" s="53"/>
      <c r="C330" s="54"/>
      <c r="F330" s="449"/>
      <c r="H330" s="449"/>
      <c r="I330" s="449"/>
      <c r="J330" s="461"/>
      <c r="K330" s="461"/>
      <c r="L330" s="379"/>
      <c r="M330" s="379"/>
      <c r="N330" s="50"/>
      <c r="O330" s="50"/>
      <c r="P330" s="379"/>
      <c r="Q330" s="379"/>
      <c r="R330" s="379"/>
      <c r="T330" s="367">
        <v>67</v>
      </c>
      <c r="U330" s="194"/>
      <c r="V330" s="195" t="str">
        <f>C110</f>
        <v xml:space="preserve">    20,500 LUMEN</v>
      </c>
      <c r="W330" s="194"/>
      <c r="X330" s="194"/>
      <c r="Y330" s="189">
        <f>F110</f>
        <v>0</v>
      </c>
      <c r="Z330" s="131"/>
      <c r="AA330" s="189">
        <f>H110</f>
        <v>0</v>
      </c>
      <c r="AB330" s="189"/>
      <c r="AC330" s="521">
        <v>8.5399999999999991</v>
      </c>
      <c r="AD330" s="526"/>
      <c r="AE330" s="191">
        <f>ROUND((Y330*AC330),0)</f>
        <v>0</v>
      </c>
      <c r="AF330" s="191"/>
      <c r="AG330" s="302">
        <f>ROUND((AE330/AE$429)*100,1)</f>
        <v>0</v>
      </c>
      <c r="AH330" s="303"/>
      <c r="AI330" s="191">
        <f>L110-AE330</f>
        <v>0</v>
      </c>
      <c r="AJ330" s="191"/>
      <c r="AK330" s="304" t="str">
        <f t="shared" si="110"/>
        <v xml:space="preserve">0.0 </v>
      </c>
      <c r="AL330" s="305"/>
      <c r="AM330" s="191">
        <f>ROUND($AM$429/$AA$429*AA330,0)</f>
        <v>0</v>
      </c>
      <c r="AN330" s="191"/>
      <c r="AO330" s="191">
        <f>AE330+AM330</f>
        <v>0</v>
      </c>
      <c r="AP330" s="191"/>
      <c r="AQ330" s="304" t="str">
        <f>IF(AO330=0,"0.0 ",ROUND((AI330/AO330)*100,1))</f>
        <v xml:space="preserve">0.0 </v>
      </c>
      <c r="AS330" s="382"/>
      <c r="AT330" s="77">
        <f>AC330-AX330</f>
        <v>6.129999999999999</v>
      </c>
      <c r="AW330" s="392">
        <v>1215</v>
      </c>
      <c r="AX330" s="380">
        <f>ROUND((AW330/12)*CUR_BASE_FUEL,2)</f>
        <v>2.41</v>
      </c>
      <c r="AY330" s="380">
        <f>ROUND((AW330/12)*PRO_BASE_FUEL,2)</f>
        <v>2.41</v>
      </c>
    </row>
    <row r="331" spans="1:51" x14ac:dyDescent="0.25">
      <c r="A331" s="53"/>
      <c r="C331" s="54"/>
      <c r="F331" s="449"/>
      <c r="H331" s="449"/>
      <c r="I331" s="449"/>
      <c r="J331" s="461"/>
      <c r="K331" s="461"/>
      <c r="L331" s="379"/>
      <c r="M331" s="379"/>
      <c r="N331" s="50"/>
      <c r="O331" s="50"/>
      <c r="P331" s="379"/>
      <c r="Q331" s="379"/>
      <c r="R331" s="379"/>
      <c r="T331" s="367">
        <v>68</v>
      </c>
      <c r="U331" s="194"/>
      <c r="V331" s="195" t="str">
        <f>C111</f>
        <v xml:space="preserve">    36,000 LUMEN</v>
      </c>
      <c r="W331" s="194"/>
      <c r="X331" s="194"/>
      <c r="Y331" s="189">
        <f>F111</f>
        <v>0</v>
      </c>
      <c r="Z331" s="131"/>
      <c r="AA331" s="189">
        <f>H111</f>
        <v>0</v>
      </c>
      <c r="AB331" s="189"/>
      <c r="AC331" s="521">
        <v>11.5</v>
      </c>
      <c r="AD331" s="526"/>
      <c r="AE331" s="191">
        <f>ROUND((Y331*AC331),0)</f>
        <v>0</v>
      </c>
      <c r="AF331" s="191"/>
      <c r="AG331" s="302">
        <f>ROUND((AE331/AE$429)*100,1)</f>
        <v>0</v>
      </c>
      <c r="AH331" s="303"/>
      <c r="AI331" s="191">
        <f>L111-AE331</f>
        <v>0</v>
      </c>
      <c r="AJ331" s="191"/>
      <c r="AK331" s="304" t="str">
        <f t="shared" si="110"/>
        <v xml:space="preserve">0.0 </v>
      </c>
      <c r="AL331" s="305"/>
      <c r="AM331" s="191">
        <f>ROUND($AM$429/$AA$429*AA331,0)</f>
        <v>0</v>
      </c>
      <c r="AN331" s="191"/>
      <c r="AO331" s="191">
        <f>AE331+AM331</f>
        <v>0</v>
      </c>
      <c r="AP331" s="191"/>
      <c r="AQ331" s="304" t="str">
        <f>IF(AO331=0,"0.0 ",ROUND((AI331/AO331)*100,1))</f>
        <v xml:space="preserve">0.0 </v>
      </c>
      <c r="AS331" s="382"/>
      <c r="AT331" s="77">
        <f>AC331-AX331</f>
        <v>7.7</v>
      </c>
      <c r="AW331" s="392">
        <v>1914</v>
      </c>
      <c r="AX331" s="380">
        <f>ROUND((AW331/12)*CUR_BASE_FUEL,2)</f>
        <v>3.8</v>
      </c>
      <c r="AY331" s="380">
        <f>ROUND((AW331/12)*PRO_BASE_FUEL,2)</f>
        <v>3.8</v>
      </c>
    </row>
    <row r="332" spans="1:51" x14ac:dyDescent="0.25">
      <c r="A332" s="53"/>
      <c r="C332" s="54"/>
      <c r="F332" s="449"/>
      <c r="H332" s="449"/>
      <c r="I332" s="449"/>
      <c r="J332" s="461"/>
      <c r="K332" s="461"/>
      <c r="L332" s="379"/>
      <c r="M332" s="379"/>
      <c r="N332" s="50"/>
      <c r="O332" s="50"/>
      <c r="P332" s="379"/>
      <c r="Q332" s="379"/>
      <c r="R332" s="379"/>
      <c r="T332" s="367">
        <v>69</v>
      </c>
      <c r="U332" s="194"/>
      <c r="V332" s="518" t="s">
        <v>209</v>
      </c>
      <c r="W332" s="194"/>
      <c r="X332" s="194"/>
      <c r="Y332" s="189"/>
      <c r="Z332" s="131"/>
      <c r="AA332" s="189"/>
      <c r="AB332" s="131"/>
      <c r="AC332" s="309"/>
      <c r="AD332" s="526"/>
      <c r="AE332" s="191"/>
      <c r="AF332" s="191"/>
      <c r="AG332" s="302"/>
      <c r="AH332" s="303"/>
      <c r="AI332" s="191"/>
      <c r="AJ332" s="191"/>
      <c r="AK332" s="304"/>
      <c r="AL332" s="305"/>
      <c r="AM332" s="191"/>
      <c r="AN332" s="191"/>
      <c r="AO332" s="191"/>
      <c r="AP332" s="191"/>
      <c r="AQ332" s="304"/>
      <c r="AS332" s="382"/>
      <c r="AW332" s="378"/>
    </row>
    <row r="333" spans="1:51" x14ac:dyDescent="0.25">
      <c r="A333" s="53"/>
      <c r="C333" s="54"/>
      <c r="F333" s="449"/>
      <c r="H333" s="449"/>
      <c r="I333" s="449"/>
      <c r="J333" s="461"/>
      <c r="K333" s="461"/>
      <c r="L333" s="379"/>
      <c r="M333" s="379"/>
      <c r="N333" s="50"/>
      <c r="O333" s="50"/>
      <c r="P333" s="379"/>
      <c r="Q333" s="379"/>
      <c r="R333" s="379"/>
      <c r="T333" s="367">
        <v>70</v>
      </c>
      <c r="U333" s="194"/>
      <c r="V333" s="195" t="str">
        <f t="shared" ref="V333:V349" si="123">C113</f>
        <v xml:space="preserve">     9,500 LUMEN </v>
      </c>
      <c r="W333" s="194"/>
      <c r="X333" s="194"/>
      <c r="Y333" s="189">
        <f t="shared" ref="Y333:Y349" si="124">F113</f>
        <v>0</v>
      </c>
      <c r="Z333" s="131"/>
      <c r="AA333" s="189">
        <f t="shared" ref="AA333:AA349" si="125">H113</f>
        <v>0</v>
      </c>
      <c r="AB333" s="189"/>
      <c r="AC333" s="521">
        <v>8.0399999999999991</v>
      </c>
      <c r="AD333" s="526"/>
      <c r="AE333" s="191">
        <f t="shared" ref="AE333:AE334" si="126">ROUND((Y333*AC333),0)</f>
        <v>0</v>
      </c>
      <c r="AF333" s="191"/>
      <c r="AG333" s="302">
        <f t="shared" ref="AG333:AG349" si="127">ROUND((AE333/AE$429)*100,1)</f>
        <v>0</v>
      </c>
      <c r="AH333" s="303"/>
      <c r="AI333" s="191">
        <f t="shared" ref="AI333:AI349" si="128">L113-AE333</f>
        <v>0</v>
      </c>
      <c r="AJ333" s="191"/>
      <c r="AK333" s="304" t="str">
        <f t="shared" ref="AK333:AK334" si="129">IF(AE333=0,"0.0 ",ROUND((AI333/AE333)*100,1))</f>
        <v xml:space="preserve">0.0 </v>
      </c>
      <c r="AL333" s="305"/>
      <c r="AM333" s="191">
        <f t="shared" ref="AM333:AM349" si="130">ROUND($AM$429/$AA$429*AA333,0)</f>
        <v>0</v>
      </c>
      <c r="AN333" s="191"/>
      <c r="AO333" s="191">
        <f t="shared" ref="AO333:AO334" si="131">AE333+AM333</f>
        <v>0</v>
      </c>
      <c r="AP333" s="191"/>
      <c r="AQ333" s="304" t="str">
        <f t="shared" ref="AQ333:AQ334" si="132">IF(AO333=0,"0.0 ",ROUND((AI333/AO333)*100,1))</f>
        <v xml:space="preserve">0.0 </v>
      </c>
      <c r="AS333" s="382"/>
      <c r="AT333" s="77">
        <f>AC333-AX333</f>
        <v>7.0699999999999994</v>
      </c>
      <c r="AW333" s="392">
        <v>487</v>
      </c>
      <c r="AX333" s="380">
        <f t="shared" ref="AX333" si="133">ROUND((AW333/12)*CUR_BASE_FUEL,2)</f>
        <v>0.97</v>
      </c>
      <c r="AY333" s="380">
        <f t="shared" ref="AY333" si="134">ROUND((AW333/12)*PRO_BASE_FUEL,2)</f>
        <v>0.97</v>
      </c>
    </row>
    <row r="334" spans="1:51" x14ac:dyDescent="0.25">
      <c r="A334" s="53"/>
      <c r="C334" s="54"/>
      <c r="F334" s="449"/>
      <c r="H334" s="449"/>
      <c r="I334" s="449"/>
      <c r="J334" s="461"/>
      <c r="K334" s="461"/>
      <c r="L334" s="379"/>
      <c r="M334" s="379"/>
      <c r="N334" s="50"/>
      <c r="O334" s="50"/>
      <c r="P334" s="379"/>
      <c r="Q334" s="379"/>
      <c r="R334" s="379"/>
      <c r="T334" s="367">
        <v>71</v>
      </c>
      <c r="U334" s="289"/>
      <c r="V334" s="195" t="str">
        <f t="shared" si="123"/>
        <v xml:space="preserve">     9,500 LUMEN (6) </v>
      </c>
      <c r="W334" s="289"/>
      <c r="X334" s="194"/>
      <c r="Y334" s="189">
        <f t="shared" si="124"/>
        <v>24</v>
      </c>
      <c r="Z334" s="131"/>
      <c r="AA334" s="189">
        <f t="shared" si="125"/>
        <v>974</v>
      </c>
      <c r="AB334" s="189"/>
      <c r="AC334" s="521">
        <f>$AC$333+$AC$8</f>
        <v>13.43</v>
      </c>
      <c r="AD334" s="526"/>
      <c r="AE334" s="191">
        <f t="shared" si="126"/>
        <v>322</v>
      </c>
      <c r="AF334" s="191"/>
      <c r="AG334" s="302">
        <f t="shared" si="127"/>
        <v>0</v>
      </c>
      <c r="AH334" s="303"/>
      <c r="AI334" s="191">
        <f t="shared" si="128"/>
        <v>40</v>
      </c>
      <c r="AJ334" s="191"/>
      <c r="AK334" s="304">
        <f t="shared" si="129"/>
        <v>12.4</v>
      </c>
      <c r="AL334" s="305"/>
      <c r="AM334" s="191">
        <f t="shared" si="130"/>
        <v>1</v>
      </c>
      <c r="AN334" s="191"/>
      <c r="AO334" s="191">
        <f t="shared" si="131"/>
        <v>323</v>
      </c>
      <c r="AP334" s="191"/>
      <c r="AQ334" s="304">
        <f t="shared" si="132"/>
        <v>12.4</v>
      </c>
      <c r="AS334" s="382"/>
      <c r="AT334" s="77"/>
      <c r="AW334" s="392"/>
    </row>
    <row r="335" spans="1:51" x14ac:dyDescent="0.25">
      <c r="A335" s="53"/>
      <c r="C335" s="54"/>
      <c r="F335" s="449"/>
      <c r="H335" s="449"/>
      <c r="I335" s="449"/>
      <c r="J335" s="461"/>
      <c r="K335" s="461"/>
      <c r="L335" s="379"/>
      <c r="M335" s="379"/>
      <c r="N335" s="50"/>
      <c r="O335" s="50"/>
      <c r="P335" s="379"/>
      <c r="Q335" s="379"/>
      <c r="R335" s="379"/>
      <c r="T335" s="366">
        <v>72</v>
      </c>
      <c r="U335" s="194"/>
      <c r="V335" s="195" t="str">
        <f t="shared" si="123"/>
        <v xml:space="preserve">     9,500 LUMEN (8)</v>
      </c>
      <c r="W335" s="194"/>
      <c r="X335" s="194"/>
      <c r="Y335" s="189">
        <f t="shared" si="124"/>
        <v>588</v>
      </c>
      <c r="Z335" s="131"/>
      <c r="AA335" s="189">
        <f t="shared" si="125"/>
        <v>23863</v>
      </c>
      <c r="AB335" s="189"/>
      <c r="AC335" s="521">
        <f>$AC$333+$AC$10</f>
        <v>15.129999999999999</v>
      </c>
      <c r="AD335" s="526"/>
      <c r="AE335" s="191">
        <f t="shared" ref="AE335:AE349" si="135">ROUND((Y335*AC335),0)</f>
        <v>8896</v>
      </c>
      <c r="AF335" s="191"/>
      <c r="AG335" s="302">
        <f t="shared" si="127"/>
        <v>0.6</v>
      </c>
      <c r="AH335" s="303"/>
      <c r="AI335" s="191">
        <f t="shared" si="128"/>
        <v>1094</v>
      </c>
      <c r="AJ335" s="191"/>
      <c r="AK335" s="304">
        <f t="shared" ref="AK335:AK349" si="136">IF(AE335=0,"0.0 ",ROUND((AI335/AE335)*100,1))</f>
        <v>12.3</v>
      </c>
      <c r="AL335" s="305"/>
      <c r="AM335" s="191">
        <f t="shared" si="130"/>
        <v>16</v>
      </c>
      <c r="AN335" s="191"/>
      <c r="AO335" s="191">
        <f t="shared" si="122"/>
        <v>8912</v>
      </c>
      <c r="AP335" s="191"/>
      <c r="AQ335" s="304">
        <f t="shared" si="113"/>
        <v>12.3</v>
      </c>
      <c r="AS335" s="382"/>
      <c r="AT335" s="533">
        <f>AC335-AX335</f>
        <v>14.159999999999998</v>
      </c>
      <c r="AU335" s="389"/>
      <c r="AV335" s="389"/>
      <c r="AW335" s="534">
        <v>487</v>
      </c>
      <c r="AX335" s="389">
        <f t="shared" ref="AX335:AX347" si="137">ROUND((AW335/12)*CUR_BASE_FUEL,2)</f>
        <v>0.97</v>
      </c>
      <c r="AY335" s="389">
        <f t="shared" ref="AY335:AY347" si="138">ROUND((AW335/12)*PRO_BASE_FUEL,2)</f>
        <v>0.97</v>
      </c>
    </row>
    <row r="336" spans="1:51" x14ac:dyDescent="0.25">
      <c r="A336" s="53"/>
      <c r="C336" s="54"/>
      <c r="F336" s="449"/>
      <c r="H336" s="449"/>
      <c r="I336" s="449"/>
      <c r="J336" s="461"/>
      <c r="K336" s="461"/>
      <c r="L336" s="379"/>
      <c r="M336" s="379"/>
      <c r="N336" s="50"/>
      <c r="O336" s="50"/>
      <c r="P336" s="379"/>
      <c r="Q336" s="379"/>
      <c r="R336" s="379"/>
      <c r="T336" s="366">
        <v>73</v>
      </c>
      <c r="U336" s="290"/>
      <c r="V336" s="195" t="str">
        <f t="shared" si="123"/>
        <v xml:space="preserve">     9,500 LUMEN (10)</v>
      </c>
      <c r="W336" s="290"/>
      <c r="X336" s="194"/>
      <c r="Y336" s="189">
        <f t="shared" si="124"/>
        <v>24</v>
      </c>
      <c r="Z336" s="131"/>
      <c r="AA336" s="189">
        <f t="shared" si="125"/>
        <v>974</v>
      </c>
      <c r="AB336" s="189"/>
      <c r="AC336" s="521">
        <f>$AC$333+$AC$13</f>
        <v>12.54</v>
      </c>
      <c r="AD336" s="526"/>
      <c r="AE336" s="191">
        <f t="shared" ref="AE336:AE337" si="139">ROUND((Y336*AC336),0)</f>
        <v>301</v>
      </c>
      <c r="AF336" s="191"/>
      <c r="AG336" s="302">
        <f t="shared" si="127"/>
        <v>0</v>
      </c>
      <c r="AH336" s="303"/>
      <c r="AI336" s="191">
        <f t="shared" si="128"/>
        <v>37</v>
      </c>
      <c r="AJ336" s="191"/>
      <c r="AK336" s="304">
        <f t="shared" ref="AK336:AK337" si="140">IF(AE336=0,"0.0 ",ROUND((AI336/AE336)*100,1))</f>
        <v>12.3</v>
      </c>
      <c r="AL336" s="305"/>
      <c r="AM336" s="191">
        <f t="shared" si="130"/>
        <v>1</v>
      </c>
      <c r="AN336" s="191"/>
      <c r="AO336" s="191">
        <f t="shared" ref="AO336:AO337" si="141">AE336+AM336</f>
        <v>302</v>
      </c>
      <c r="AP336" s="191"/>
      <c r="AQ336" s="304">
        <f t="shared" ref="AQ336:AQ337" si="142">IF(AO336=0,"0.0 ",ROUND((AI336/AO336)*100,1))</f>
        <v>12.3</v>
      </c>
      <c r="AS336" s="382"/>
      <c r="AT336" s="77"/>
      <c r="AW336" s="392"/>
    </row>
    <row r="337" spans="1:51" x14ac:dyDescent="0.25">
      <c r="A337" s="53"/>
      <c r="C337" s="54"/>
      <c r="F337" s="449"/>
      <c r="H337" s="449"/>
      <c r="I337" s="449"/>
      <c r="J337" s="461"/>
      <c r="K337" s="461"/>
      <c r="L337" s="379"/>
      <c r="M337" s="379"/>
      <c r="N337" s="50"/>
      <c r="O337" s="50"/>
      <c r="P337" s="379"/>
      <c r="Q337" s="379"/>
      <c r="R337" s="379"/>
      <c r="T337" s="366">
        <v>74</v>
      </c>
      <c r="U337" s="290"/>
      <c r="V337" s="195" t="str">
        <f t="shared" si="123"/>
        <v xml:space="preserve">     9,500 LUMEN (13)</v>
      </c>
      <c r="W337" s="290"/>
      <c r="X337" s="194"/>
      <c r="Y337" s="189">
        <f t="shared" si="124"/>
        <v>12</v>
      </c>
      <c r="Z337" s="131"/>
      <c r="AA337" s="189">
        <f t="shared" si="125"/>
        <v>487</v>
      </c>
      <c r="AB337" s="189"/>
      <c r="AC337" s="521">
        <f>$AC$333+$AC$16</f>
        <v>16.829999999999998</v>
      </c>
      <c r="AD337" s="526"/>
      <c r="AE337" s="191">
        <f t="shared" si="139"/>
        <v>202</v>
      </c>
      <c r="AF337" s="191"/>
      <c r="AG337" s="302">
        <f t="shared" si="127"/>
        <v>0</v>
      </c>
      <c r="AH337" s="303"/>
      <c r="AI337" s="191">
        <f t="shared" si="128"/>
        <v>25</v>
      </c>
      <c r="AJ337" s="191"/>
      <c r="AK337" s="304">
        <f t="shared" si="140"/>
        <v>12.4</v>
      </c>
      <c r="AL337" s="305"/>
      <c r="AM337" s="191">
        <f t="shared" si="130"/>
        <v>0</v>
      </c>
      <c r="AN337" s="191"/>
      <c r="AO337" s="191">
        <f t="shared" si="141"/>
        <v>202</v>
      </c>
      <c r="AP337" s="191"/>
      <c r="AQ337" s="304">
        <f t="shared" si="142"/>
        <v>12.4</v>
      </c>
      <c r="AS337" s="382"/>
      <c r="AT337" s="77"/>
      <c r="AW337" s="392"/>
    </row>
    <row r="338" spans="1:51" x14ac:dyDescent="0.25">
      <c r="A338" s="53"/>
      <c r="C338" s="54"/>
      <c r="F338" s="449"/>
      <c r="H338" s="449"/>
      <c r="I338" s="449"/>
      <c r="J338" s="461"/>
      <c r="K338" s="461"/>
      <c r="L338" s="379"/>
      <c r="M338" s="379"/>
      <c r="N338" s="50"/>
      <c r="O338" s="50"/>
      <c r="P338" s="379"/>
      <c r="Q338" s="379"/>
      <c r="R338" s="379"/>
      <c r="T338" s="366">
        <v>75</v>
      </c>
      <c r="U338" s="194"/>
      <c r="V338" s="195" t="str">
        <f t="shared" si="123"/>
        <v xml:space="preserve">     9,500 LUMEN (OPEN)</v>
      </c>
      <c r="W338" s="194"/>
      <c r="X338" s="194"/>
      <c r="Y338" s="189">
        <f t="shared" si="124"/>
        <v>0</v>
      </c>
      <c r="Z338" s="131"/>
      <c r="AA338" s="189">
        <f t="shared" si="125"/>
        <v>0</v>
      </c>
      <c r="AB338" s="189"/>
      <c r="AC338" s="521">
        <v>6.12</v>
      </c>
      <c r="AD338" s="526"/>
      <c r="AE338" s="191">
        <f t="shared" si="135"/>
        <v>0</v>
      </c>
      <c r="AF338" s="191"/>
      <c r="AG338" s="302">
        <f t="shared" si="127"/>
        <v>0</v>
      </c>
      <c r="AH338" s="303"/>
      <c r="AI338" s="191">
        <f t="shared" si="128"/>
        <v>0</v>
      </c>
      <c r="AJ338" s="191"/>
      <c r="AK338" s="304" t="str">
        <f t="shared" si="136"/>
        <v xml:space="preserve">0.0 </v>
      </c>
      <c r="AL338" s="305"/>
      <c r="AM338" s="191">
        <f t="shared" si="130"/>
        <v>0</v>
      </c>
      <c r="AN338" s="191"/>
      <c r="AO338" s="191">
        <f>AE338+AM338</f>
        <v>0</v>
      </c>
      <c r="AP338" s="191"/>
      <c r="AQ338" s="304" t="str">
        <f>IF(AO338=0,"0.0 ",ROUND((AI338/AO338)*100,1))</f>
        <v xml:space="preserve">0.0 </v>
      </c>
      <c r="AS338" s="382"/>
      <c r="AT338" s="77">
        <f>AC338-AX338</f>
        <v>5.15</v>
      </c>
      <c r="AW338" s="392">
        <v>487</v>
      </c>
      <c r="AX338" s="380">
        <f t="shared" si="137"/>
        <v>0.97</v>
      </c>
      <c r="AY338" s="380">
        <f t="shared" si="138"/>
        <v>0.97</v>
      </c>
    </row>
    <row r="339" spans="1:51" x14ac:dyDescent="0.25">
      <c r="A339" s="53"/>
      <c r="C339" s="54"/>
      <c r="F339" s="449"/>
      <c r="H339" s="449"/>
      <c r="I339" s="449"/>
      <c r="J339" s="461"/>
      <c r="K339" s="461"/>
      <c r="L339" s="379"/>
      <c r="M339" s="379"/>
      <c r="N339" s="50"/>
      <c r="O339" s="50"/>
      <c r="P339" s="379"/>
      <c r="Q339" s="379"/>
      <c r="R339" s="379"/>
      <c r="T339" s="366">
        <v>76</v>
      </c>
      <c r="U339" s="194"/>
      <c r="V339" s="195" t="str">
        <f t="shared" si="123"/>
        <v xml:space="preserve">   16,000 LUMEN</v>
      </c>
      <c r="W339" s="194"/>
      <c r="X339" s="194"/>
      <c r="Y339" s="189">
        <f t="shared" si="124"/>
        <v>0</v>
      </c>
      <c r="Z339" s="131"/>
      <c r="AA339" s="189">
        <f t="shared" si="125"/>
        <v>0</v>
      </c>
      <c r="AB339" s="189"/>
      <c r="AC339" s="521">
        <v>8.74</v>
      </c>
      <c r="AD339" s="526"/>
      <c r="AE339" s="191">
        <f t="shared" si="135"/>
        <v>0</v>
      </c>
      <c r="AF339" s="191"/>
      <c r="AG339" s="302">
        <f t="shared" si="127"/>
        <v>0</v>
      </c>
      <c r="AH339" s="303"/>
      <c r="AI339" s="191">
        <f t="shared" si="128"/>
        <v>0</v>
      </c>
      <c r="AJ339" s="191"/>
      <c r="AK339" s="304" t="str">
        <f t="shared" si="136"/>
        <v xml:space="preserve">0.0 </v>
      </c>
      <c r="AL339" s="305"/>
      <c r="AM339" s="191">
        <f t="shared" si="130"/>
        <v>0</v>
      </c>
      <c r="AN339" s="191"/>
      <c r="AO339" s="191">
        <f>AE339+AM339</f>
        <v>0</v>
      </c>
      <c r="AP339" s="191"/>
      <c r="AQ339" s="304" t="str">
        <f>IF(AO339=0,"0.0 ",ROUND((AI339/AO339)*100,1))</f>
        <v xml:space="preserve">0.0 </v>
      </c>
      <c r="AS339" s="382"/>
      <c r="AT339" s="77">
        <f>AC339-AX339</f>
        <v>7.33</v>
      </c>
      <c r="AW339" s="392">
        <v>711</v>
      </c>
      <c r="AX339" s="380">
        <f t="shared" si="137"/>
        <v>1.41</v>
      </c>
      <c r="AY339" s="380">
        <f t="shared" si="138"/>
        <v>1.41</v>
      </c>
    </row>
    <row r="340" spans="1:51" x14ac:dyDescent="0.25">
      <c r="A340" s="53"/>
      <c r="C340" s="54"/>
      <c r="F340" s="449"/>
      <c r="H340" s="449"/>
      <c r="I340" s="449"/>
      <c r="J340" s="461"/>
      <c r="K340" s="461"/>
      <c r="L340" s="379"/>
      <c r="M340" s="379"/>
      <c r="N340" s="50"/>
      <c r="O340" s="50"/>
      <c r="P340" s="379"/>
      <c r="Q340" s="379"/>
      <c r="R340" s="379"/>
      <c r="T340" s="366">
        <v>77</v>
      </c>
      <c r="U340" s="291"/>
      <c r="V340" s="195" t="str">
        <f t="shared" si="123"/>
        <v xml:space="preserve">   16,000 LUMEN (6)</v>
      </c>
      <c r="W340" s="291"/>
      <c r="X340" s="194"/>
      <c r="Y340" s="189">
        <f t="shared" si="124"/>
        <v>24</v>
      </c>
      <c r="Z340" s="131"/>
      <c r="AA340" s="189">
        <f t="shared" si="125"/>
        <v>1422</v>
      </c>
      <c r="AB340" s="189"/>
      <c r="AC340" s="521">
        <f>$AC$339+$AC$8</f>
        <v>14.129999999999999</v>
      </c>
      <c r="AD340" s="526"/>
      <c r="AE340" s="191">
        <f t="shared" ref="AE340" si="143">ROUND((Y340*AC340),0)</f>
        <v>339</v>
      </c>
      <c r="AF340" s="191"/>
      <c r="AG340" s="302">
        <f t="shared" si="127"/>
        <v>0</v>
      </c>
      <c r="AH340" s="303"/>
      <c r="AI340" s="191">
        <f t="shared" si="128"/>
        <v>42</v>
      </c>
      <c r="AJ340" s="191"/>
      <c r="AK340" s="304">
        <f t="shared" ref="AK340" si="144">IF(AE340=0,"0.0 ",ROUND((AI340/AE340)*100,1))</f>
        <v>12.4</v>
      </c>
      <c r="AL340" s="305"/>
      <c r="AM340" s="191">
        <f t="shared" si="130"/>
        <v>1</v>
      </c>
      <c r="AN340" s="191"/>
      <c r="AO340" s="191">
        <f>AE340+AM340</f>
        <v>340</v>
      </c>
      <c r="AP340" s="191"/>
      <c r="AQ340" s="304">
        <f>IF(AO340=0,"0.0 ",ROUND((AI340/AO340)*100,1))</f>
        <v>12.4</v>
      </c>
      <c r="AS340" s="382"/>
      <c r="AT340" s="77"/>
      <c r="AW340" s="392"/>
    </row>
    <row r="341" spans="1:51" x14ac:dyDescent="0.25">
      <c r="A341" s="53"/>
      <c r="C341" s="54"/>
      <c r="F341" s="449"/>
      <c r="H341" s="449"/>
      <c r="I341" s="449"/>
      <c r="J341" s="461"/>
      <c r="K341" s="461"/>
      <c r="L341" s="379"/>
      <c r="M341" s="379"/>
      <c r="N341" s="50"/>
      <c r="O341" s="50"/>
      <c r="P341" s="379"/>
      <c r="Q341" s="379"/>
      <c r="R341" s="379"/>
      <c r="T341" s="366">
        <v>78</v>
      </c>
      <c r="U341" s="194"/>
      <c r="V341" s="195" t="str">
        <f t="shared" si="123"/>
        <v xml:space="preserve">   22,000 LUMEN</v>
      </c>
      <c r="W341" s="194"/>
      <c r="X341" s="194"/>
      <c r="Y341" s="189">
        <f t="shared" si="124"/>
        <v>228</v>
      </c>
      <c r="Z341" s="131"/>
      <c r="AA341" s="189">
        <f t="shared" si="125"/>
        <v>18012</v>
      </c>
      <c r="AB341" s="189"/>
      <c r="AC341" s="521">
        <v>11.37</v>
      </c>
      <c r="AD341" s="526"/>
      <c r="AE341" s="191">
        <f t="shared" si="135"/>
        <v>2592</v>
      </c>
      <c r="AF341" s="191"/>
      <c r="AG341" s="302">
        <f t="shared" si="127"/>
        <v>0.2</v>
      </c>
      <c r="AH341" s="303"/>
      <c r="AI341" s="191">
        <f t="shared" si="128"/>
        <v>317</v>
      </c>
      <c r="AJ341" s="191"/>
      <c r="AK341" s="304">
        <f t="shared" si="136"/>
        <v>12.2</v>
      </c>
      <c r="AL341" s="305"/>
      <c r="AM341" s="191">
        <f t="shared" si="130"/>
        <v>12</v>
      </c>
      <c r="AN341" s="191"/>
      <c r="AO341" s="191">
        <f t="shared" si="122"/>
        <v>2604</v>
      </c>
      <c r="AP341" s="191"/>
      <c r="AQ341" s="304">
        <f t="shared" si="113"/>
        <v>12.2</v>
      </c>
      <c r="AS341" s="382"/>
      <c r="AT341" s="77">
        <f>AC341-AX341</f>
        <v>9.4899999999999984</v>
      </c>
      <c r="AW341" s="392">
        <v>948</v>
      </c>
      <c r="AX341" s="380">
        <f t="shared" si="137"/>
        <v>1.88</v>
      </c>
      <c r="AY341" s="380">
        <f t="shared" si="138"/>
        <v>1.88</v>
      </c>
    </row>
    <row r="342" spans="1:51" x14ac:dyDescent="0.25">
      <c r="F342" s="379"/>
      <c r="H342" s="381"/>
      <c r="I342" s="381"/>
      <c r="J342" s="464"/>
      <c r="K342" s="464"/>
      <c r="L342" s="381"/>
      <c r="M342" s="381"/>
      <c r="N342" s="381"/>
      <c r="O342" s="381"/>
      <c r="P342" s="381"/>
      <c r="Q342" s="381"/>
      <c r="R342" s="381"/>
      <c r="T342" s="366">
        <v>79</v>
      </c>
      <c r="U342" s="194"/>
      <c r="V342" s="195" t="str">
        <f t="shared" si="123"/>
        <v xml:space="preserve">   22,000 LUMEN (5)</v>
      </c>
      <c r="W342" s="194"/>
      <c r="X342" s="194"/>
      <c r="Y342" s="189">
        <f t="shared" si="124"/>
        <v>60</v>
      </c>
      <c r="Z342" s="131"/>
      <c r="AA342" s="189">
        <f t="shared" si="125"/>
        <v>4740</v>
      </c>
      <c r="AB342" s="189"/>
      <c r="AC342" s="521">
        <f>AC341+$AC$7</f>
        <v>15.87</v>
      </c>
      <c r="AD342" s="309"/>
      <c r="AE342" s="191">
        <f t="shared" si="135"/>
        <v>952</v>
      </c>
      <c r="AF342" s="131"/>
      <c r="AG342" s="302">
        <f t="shared" si="127"/>
        <v>0.1</v>
      </c>
      <c r="AH342" s="131"/>
      <c r="AI342" s="191">
        <f t="shared" si="128"/>
        <v>117</v>
      </c>
      <c r="AJ342" s="131"/>
      <c r="AK342" s="304">
        <f t="shared" si="136"/>
        <v>12.3</v>
      </c>
      <c r="AL342" s="131"/>
      <c r="AM342" s="191">
        <f t="shared" si="130"/>
        <v>3</v>
      </c>
      <c r="AN342" s="131"/>
      <c r="AO342" s="191">
        <f t="shared" si="122"/>
        <v>955</v>
      </c>
      <c r="AP342" s="131"/>
      <c r="AQ342" s="304">
        <f t="shared" si="113"/>
        <v>12.3</v>
      </c>
      <c r="AS342" s="382"/>
      <c r="AW342" s="392"/>
    </row>
    <row r="343" spans="1:51" x14ac:dyDescent="0.25">
      <c r="F343" s="379"/>
      <c r="H343" s="381"/>
      <c r="I343" s="381"/>
      <c r="J343" s="464"/>
      <c r="K343" s="464"/>
      <c r="L343" s="381"/>
      <c r="M343" s="381"/>
      <c r="N343" s="381"/>
      <c r="O343" s="381"/>
      <c r="P343" s="381"/>
      <c r="Q343" s="381"/>
      <c r="R343" s="381"/>
      <c r="T343" s="366">
        <v>80</v>
      </c>
      <c r="U343" s="194"/>
      <c r="V343" s="195" t="str">
        <f t="shared" si="123"/>
        <v xml:space="preserve">   22,000 LUMEN (8)</v>
      </c>
      <c r="W343" s="194"/>
      <c r="X343" s="194"/>
      <c r="Y343" s="189">
        <f t="shared" si="124"/>
        <v>530</v>
      </c>
      <c r="Z343" s="131"/>
      <c r="AA343" s="189">
        <f t="shared" si="125"/>
        <v>41870</v>
      </c>
      <c r="AB343" s="189"/>
      <c r="AC343" s="521">
        <f>AC341+$AC$10</f>
        <v>18.46</v>
      </c>
      <c r="AD343" s="309"/>
      <c r="AE343" s="191">
        <f t="shared" si="135"/>
        <v>9784</v>
      </c>
      <c r="AF343" s="131"/>
      <c r="AG343" s="302">
        <f t="shared" si="127"/>
        <v>0.6</v>
      </c>
      <c r="AH343" s="131"/>
      <c r="AI343" s="191">
        <f t="shared" si="128"/>
        <v>1198</v>
      </c>
      <c r="AJ343" s="131"/>
      <c r="AK343" s="304">
        <f t="shared" si="136"/>
        <v>12.2</v>
      </c>
      <c r="AL343" s="131"/>
      <c r="AM343" s="191">
        <f t="shared" si="130"/>
        <v>29</v>
      </c>
      <c r="AN343" s="131"/>
      <c r="AO343" s="191">
        <f>AE343+AM343</f>
        <v>9813</v>
      </c>
      <c r="AP343" s="131"/>
      <c r="AQ343" s="304">
        <f>IF(AO343=0,"0.0 ",ROUND((AI343/AO343)*100,1))</f>
        <v>12.2</v>
      </c>
      <c r="AS343" s="382"/>
      <c r="AW343" s="392"/>
    </row>
    <row r="344" spans="1:51" x14ac:dyDescent="0.25">
      <c r="F344" s="379"/>
      <c r="H344" s="381"/>
      <c r="I344" s="381"/>
      <c r="J344" s="464"/>
      <c r="K344" s="464"/>
      <c r="L344" s="381"/>
      <c r="M344" s="381"/>
      <c r="N344" s="381"/>
      <c r="O344" s="381"/>
      <c r="P344" s="381"/>
      <c r="Q344" s="381"/>
      <c r="R344" s="381"/>
      <c r="T344" s="366">
        <v>81</v>
      </c>
      <c r="U344" s="194"/>
      <c r="V344" s="195" t="str">
        <f t="shared" si="123"/>
        <v xml:space="preserve">   22,000 LUMEN (8A)</v>
      </c>
      <c r="W344" s="194"/>
      <c r="X344" s="194"/>
      <c r="Y344" s="189">
        <f t="shared" si="124"/>
        <v>48</v>
      </c>
      <c r="Z344" s="131"/>
      <c r="AA344" s="189">
        <f t="shared" si="125"/>
        <v>3792</v>
      </c>
      <c r="AB344" s="189"/>
      <c r="AC344" s="521">
        <f>AC341+$AC$11</f>
        <v>18.53</v>
      </c>
      <c r="AD344" s="309"/>
      <c r="AE344" s="191">
        <f>ROUND((Y344*AC344),0)</f>
        <v>889</v>
      </c>
      <c r="AF344" s="131"/>
      <c r="AG344" s="302">
        <f t="shared" si="127"/>
        <v>0.1</v>
      </c>
      <c r="AH344" s="131"/>
      <c r="AI344" s="191">
        <f t="shared" si="128"/>
        <v>109</v>
      </c>
      <c r="AJ344" s="131"/>
      <c r="AK344" s="304">
        <f>IF(AE344=0,"0.0 ",ROUND((AI344/AE344)*100,1))</f>
        <v>12.3</v>
      </c>
      <c r="AL344" s="131"/>
      <c r="AM344" s="191">
        <f t="shared" si="130"/>
        <v>3</v>
      </c>
      <c r="AN344" s="131"/>
      <c r="AO344" s="191">
        <f>AE344+AM344</f>
        <v>892</v>
      </c>
      <c r="AP344" s="131"/>
      <c r="AQ344" s="304">
        <f>IF(AO344=0,"0.0 ",ROUND((AI344/AO344)*100,1))</f>
        <v>12.2</v>
      </c>
      <c r="AS344" s="382"/>
      <c r="AW344" s="392"/>
    </row>
    <row r="345" spans="1:51" x14ac:dyDescent="0.25">
      <c r="F345" s="379"/>
      <c r="H345" s="381"/>
      <c r="I345" s="381"/>
      <c r="J345" s="464"/>
      <c r="K345" s="464"/>
      <c r="L345" s="381"/>
      <c r="M345" s="381"/>
      <c r="N345" s="381"/>
      <c r="O345" s="381"/>
      <c r="P345" s="381"/>
      <c r="Q345" s="381"/>
      <c r="R345" s="381"/>
      <c r="T345" s="366">
        <v>82</v>
      </c>
      <c r="U345" s="292"/>
      <c r="V345" s="195" t="str">
        <f t="shared" si="123"/>
        <v xml:space="preserve">   27,500 LUMEN</v>
      </c>
      <c r="W345" s="292"/>
      <c r="X345" s="194"/>
      <c r="Y345" s="189">
        <f t="shared" si="124"/>
        <v>0</v>
      </c>
      <c r="Z345" s="131"/>
      <c r="AA345" s="189">
        <f t="shared" si="125"/>
        <v>0</v>
      </c>
      <c r="AB345" s="189"/>
      <c r="AC345" s="521">
        <v>11.37</v>
      </c>
      <c r="AD345" s="309"/>
      <c r="AE345" s="191">
        <f t="shared" ref="AE345" si="145">ROUND((Y345*AC345),0)</f>
        <v>0</v>
      </c>
      <c r="AF345" s="191"/>
      <c r="AG345" s="302">
        <f t="shared" si="127"/>
        <v>0</v>
      </c>
      <c r="AH345" s="303"/>
      <c r="AI345" s="191">
        <f t="shared" si="128"/>
        <v>0</v>
      </c>
      <c r="AJ345" s="191"/>
      <c r="AK345" s="304" t="str">
        <f t="shared" ref="AK345" si="146">IF(AE345=0,"0.0 ",ROUND((AI345/AE345)*100,1))</f>
        <v xml:space="preserve">0.0 </v>
      </c>
      <c r="AL345" s="305"/>
      <c r="AM345" s="191">
        <f t="shared" si="130"/>
        <v>0</v>
      </c>
      <c r="AN345" s="191"/>
      <c r="AO345" s="191">
        <f t="shared" ref="AO345" si="147">AE345+AM345</f>
        <v>0</v>
      </c>
      <c r="AP345" s="191"/>
      <c r="AQ345" s="304" t="str">
        <f t="shared" ref="AQ345" si="148">IF(AO345=0,"0.0 ",ROUND((AI345/AO345)*100,1))</f>
        <v xml:space="preserve">0.0 </v>
      </c>
      <c r="AS345" s="382"/>
      <c r="AW345" s="392"/>
    </row>
    <row r="346" spans="1:51" x14ac:dyDescent="0.25">
      <c r="F346" s="379"/>
      <c r="H346" s="381"/>
      <c r="I346" s="381"/>
      <c r="J346" s="464"/>
      <c r="K346" s="464"/>
      <c r="L346" s="381"/>
      <c r="M346" s="381"/>
      <c r="N346" s="381"/>
      <c r="O346" s="381"/>
      <c r="P346" s="381"/>
      <c r="Q346" s="381"/>
      <c r="R346" s="381"/>
      <c r="T346" s="366">
        <v>83</v>
      </c>
      <c r="U346" s="292"/>
      <c r="V346" s="195" t="str">
        <f t="shared" si="123"/>
        <v xml:space="preserve">   27,500 LUMEN (9)</v>
      </c>
      <c r="W346" s="292"/>
      <c r="X346" s="194"/>
      <c r="Y346" s="189">
        <f t="shared" si="124"/>
        <v>252</v>
      </c>
      <c r="Z346" s="131"/>
      <c r="AA346" s="189">
        <f t="shared" si="125"/>
        <v>19908</v>
      </c>
      <c r="AB346" s="189"/>
      <c r="AC346" s="521">
        <f>$AC$345+$AC$12</f>
        <v>25.53</v>
      </c>
      <c r="AD346" s="309"/>
      <c r="AE346" s="191">
        <f>ROUND((Y346*AC346),0)</f>
        <v>6434</v>
      </c>
      <c r="AF346" s="131"/>
      <c r="AG346" s="302">
        <f t="shared" si="127"/>
        <v>0.4</v>
      </c>
      <c r="AH346" s="131"/>
      <c r="AI346" s="191">
        <f t="shared" si="128"/>
        <v>788</v>
      </c>
      <c r="AJ346" s="131"/>
      <c r="AK346" s="304">
        <f>IF(AE346=0,"0.0 ",ROUND((AI346/AE346)*100,1))</f>
        <v>12.2</v>
      </c>
      <c r="AL346" s="131"/>
      <c r="AM346" s="191">
        <f t="shared" si="130"/>
        <v>14</v>
      </c>
      <c r="AN346" s="131"/>
      <c r="AO346" s="191">
        <f>AE346+AM346</f>
        <v>6448</v>
      </c>
      <c r="AP346" s="131"/>
      <c r="AQ346" s="304">
        <f>IF(AO346=0,"0.0 ",ROUND((AI346/AO346)*100,1))</f>
        <v>12.2</v>
      </c>
      <c r="AS346" s="382"/>
      <c r="AW346" s="392"/>
    </row>
    <row r="347" spans="1:51" x14ac:dyDescent="0.25">
      <c r="A347" s="53"/>
      <c r="C347" s="54"/>
      <c r="F347" s="379"/>
      <c r="H347" s="379"/>
      <c r="I347" s="379"/>
      <c r="J347" s="464"/>
      <c r="K347" s="464"/>
      <c r="L347" s="379"/>
      <c r="M347" s="379"/>
      <c r="N347" s="50"/>
      <c r="O347" s="50"/>
      <c r="P347" s="379"/>
      <c r="Q347" s="379"/>
      <c r="R347" s="379"/>
      <c r="T347" s="366">
        <v>84</v>
      </c>
      <c r="U347" s="194"/>
      <c r="V347" s="195" t="str">
        <f t="shared" si="123"/>
        <v xml:space="preserve">   50,000 LUMEN</v>
      </c>
      <c r="W347" s="194"/>
      <c r="X347" s="194"/>
      <c r="Y347" s="189">
        <f t="shared" si="124"/>
        <v>342</v>
      </c>
      <c r="Z347" s="131"/>
      <c r="AA347" s="189">
        <f t="shared" si="125"/>
        <v>55832</v>
      </c>
      <c r="AB347" s="189"/>
      <c r="AC347" s="521">
        <v>15.28</v>
      </c>
      <c r="AD347" s="526"/>
      <c r="AE347" s="191">
        <f t="shared" si="135"/>
        <v>5226</v>
      </c>
      <c r="AF347" s="131"/>
      <c r="AG347" s="302">
        <f t="shared" si="127"/>
        <v>0.3</v>
      </c>
      <c r="AH347" s="131"/>
      <c r="AI347" s="191">
        <f t="shared" si="128"/>
        <v>639</v>
      </c>
      <c r="AJ347" s="131"/>
      <c r="AK347" s="304">
        <f t="shared" si="136"/>
        <v>12.2</v>
      </c>
      <c r="AL347" s="131"/>
      <c r="AM347" s="191">
        <f t="shared" si="130"/>
        <v>38</v>
      </c>
      <c r="AN347" s="131"/>
      <c r="AO347" s="191">
        <f>AE347+AM347</f>
        <v>5264</v>
      </c>
      <c r="AP347" s="131"/>
      <c r="AQ347" s="304">
        <f>IF(AO347=0,"0.0 ",ROUND((AI347/AO347)*100,1))</f>
        <v>12.1</v>
      </c>
      <c r="AS347" s="382"/>
      <c r="AT347" s="77">
        <f>AC347-AX347</f>
        <v>11.389999999999999</v>
      </c>
      <c r="AW347" s="392">
        <v>1959</v>
      </c>
      <c r="AX347" s="380">
        <f t="shared" si="137"/>
        <v>3.89</v>
      </c>
      <c r="AY347" s="380">
        <f t="shared" si="138"/>
        <v>3.89</v>
      </c>
    </row>
    <row r="348" spans="1:51" x14ac:dyDescent="0.25">
      <c r="A348" s="53"/>
      <c r="C348" s="54"/>
      <c r="F348" s="379"/>
      <c r="H348" s="379"/>
      <c r="I348" s="379"/>
      <c r="J348" s="464"/>
      <c r="K348" s="464"/>
      <c r="L348" s="379"/>
      <c r="M348" s="379"/>
      <c r="N348" s="50"/>
      <c r="O348" s="50"/>
      <c r="P348" s="379"/>
      <c r="Q348" s="379"/>
      <c r="R348" s="379"/>
      <c r="T348" s="366">
        <v>85</v>
      </c>
      <c r="U348" s="194"/>
      <c r="V348" s="195" t="str">
        <f t="shared" si="123"/>
        <v xml:space="preserve">   50,000 LUMEN (8)</v>
      </c>
      <c r="W348" s="194"/>
      <c r="X348" s="194"/>
      <c r="Y348" s="189">
        <f t="shared" si="124"/>
        <v>72</v>
      </c>
      <c r="Z348" s="131"/>
      <c r="AA348" s="189">
        <f t="shared" si="125"/>
        <v>11754</v>
      </c>
      <c r="AB348" s="189"/>
      <c r="AC348" s="521">
        <f>AC347+$AC$10</f>
        <v>22.369999999999997</v>
      </c>
      <c r="AD348" s="526"/>
      <c r="AE348" s="191">
        <f t="shared" si="135"/>
        <v>1611</v>
      </c>
      <c r="AF348" s="131"/>
      <c r="AG348" s="302">
        <f t="shared" si="127"/>
        <v>0.1</v>
      </c>
      <c r="AH348" s="131"/>
      <c r="AI348" s="191">
        <f t="shared" si="128"/>
        <v>197</v>
      </c>
      <c r="AJ348" s="131"/>
      <c r="AK348" s="304">
        <f t="shared" si="136"/>
        <v>12.2</v>
      </c>
      <c r="AL348" s="131"/>
      <c r="AM348" s="191">
        <f t="shared" si="130"/>
        <v>8</v>
      </c>
      <c r="AN348" s="131"/>
      <c r="AO348" s="191">
        <f>AE348+AM348</f>
        <v>1619</v>
      </c>
      <c r="AP348" s="131"/>
      <c r="AQ348" s="304">
        <f>IF(AO348=0,"0.0 ",ROUND((AI348/AO348)*100,1))</f>
        <v>12.2</v>
      </c>
      <c r="AS348" s="382"/>
      <c r="AW348" s="392"/>
    </row>
    <row r="349" spans="1:51" x14ac:dyDescent="0.25">
      <c r="A349" s="53"/>
      <c r="C349" s="54"/>
      <c r="F349" s="379"/>
      <c r="H349" s="379"/>
      <c r="I349" s="379"/>
      <c r="J349" s="464"/>
      <c r="K349" s="464"/>
      <c r="L349" s="379"/>
      <c r="M349" s="379"/>
      <c r="N349" s="50"/>
      <c r="O349" s="50"/>
      <c r="P349" s="379"/>
      <c r="Q349" s="379"/>
      <c r="R349" s="379"/>
      <c r="T349" s="366">
        <v>86</v>
      </c>
      <c r="U349" s="194"/>
      <c r="V349" s="195" t="str">
        <f t="shared" si="123"/>
        <v xml:space="preserve">   50,000 LUMEN (9)</v>
      </c>
      <c r="W349" s="194"/>
      <c r="X349" s="194"/>
      <c r="Y349" s="189">
        <f t="shared" si="124"/>
        <v>132</v>
      </c>
      <c r="Z349" s="131"/>
      <c r="AA349" s="189">
        <f t="shared" si="125"/>
        <v>21549</v>
      </c>
      <c r="AB349" s="189"/>
      <c r="AC349" s="521">
        <f>AC347+$AC$12</f>
        <v>29.439999999999998</v>
      </c>
      <c r="AD349" s="526"/>
      <c r="AE349" s="191">
        <f t="shared" si="135"/>
        <v>3886</v>
      </c>
      <c r="AF349" s="131"/>
      <c r="AG349" s="302">
        <f t="shared" si="127"/>
        <v>0.3</v>
      </c>
      <c r="AH349" s="131"/>
      <c r="AI349" s="191">
        <f t="shared" si="128"/>
        <v>477</v>
      </c>
      <c r="AJ349" s="131"/>
      <c r="AK349" s="304">
        <f t="shared" si="136"/>
        <v>12.3</v>
      </c>
      <c r="AL349" s="131"/>
      <c r="AM349" s="191">
        <f t="shared" si="130"/>
        <v>15</v>
      </c>
      <c r="AN349" s="131"/>
      <c r="AO349" s="191">
        <f>AE349+AM349</f>
        <v>3901</v>
      </c>
      <c r="AP349" s="131"/>
      <c r="AQ349" s="304">
        <f>IF(AO349=0,"0.0 ",ROUND((AI349/AO349)*100,1))</f>
        <v>12.2</v>
      </c>
      <c r="AS349" s="382"/>
      <c r="AW349" s="392"/>
    </row>
    <row r="350" spans="1:51" x14ac:dyDescent="0.25">
      <c r="F350" s="379"/>
      <c r="H350" s="381"/>
      <c r="I350" s="381"/>
      <c r="J350" s="464"/>
      <c r="K350" s="464"/>
      <c r="L350" s="381"/>
      <c r="M350" s="381"/>
      <c r="N350" s="381"/>
      <c r="O350" s="381"/>
      <c r="P350" s="381"/>
      <c r="Q350" s="381"/>
      <c r="R350" s="381"/>
      <c r="T350" s="366">
        <v>87</v>
      </c>
      <c r="U350" s="194"/>
      <c r="V350" s="518" t="s">
        <v>317</v>
      </c>
      <c r="W350" s="194"/>
      <c r="X350" s="194"/>
      <c r="Y350" s="189"/>
      <c r="Z350" s="131"/>
      <c r="AA350" s="189"/>
      <c r="AB350" s="131"/>
      <c r="AC350" s="309"/>
      <c r="AD350" s="526"/>
      <c r="AE350" s="191"/>
      <c r="AF350" s="191"/>
      <c r="AG350" s="302"/>
      <c r="AH350" s="303"/>
      <c r="AI350" s="191"/>
      <c r="AJ350" s="191"/>
      <c r="AK350" s="304"/>
      <c r="AL350" s="305"/>
      <c r="AM350" s="191"/>
      <c r="AN350" s="191"/>
      <c r="AO350" s="191"/>
      <c r="AP350" s="191"/>
      <c r="AQ350" s="304"/>
      <c r="AS350" s="382"/>
      <c r="AW350" s="378"/>
    </row>
    <row r="351" spans="1:51" x14ac:dyDescent="0.25">
      <c r="F351" s="379"/>
      <c r="H351" s="379"/>
      <c r="I351" s="379"/>
      <c r="J351" s="464"/>
      <c r="K351" s="464"/>
      <c r="L351" s="379"/>
      <c r="M351" s="379"/>
      <c r="N351" s="379"/>
      <c r="O351" s="379"/>
      <c r="P351" s="379"/>
      <c r="Q351" s="379"/>
      <c r="R351" s="379"/>
      <c r="T351" s="366">
        <v>88</v>
      </c>
      <c r="U351" s="194"/>
      <c r="V351" s="195" t="str">
        <f t="shared" ref="V351:V359" si="149">C131</f>
        <v xml:space="preserve">  7,000 LUMEN  TOWN &amp; COUNTRY</v>
      </c>
      <c r="W351" s="194"/>
      <c r="X351" s="194"/>
      <c r="Y351" s="189">
        <f t="shared" ref="Y351:Y359" si="150">F131</f>
        <v>0</v>
      </c>
      <c r="Z351" s="131"/>
      <c r="AA351" s="189">
        <f t="shared" ref="AA351:AA359" si="151">H131</f>
        <v>0</v>
      </c>
      <c r="AB351" s="189"/>
      <c r="AC351" s="521">
        <v>7.65</v>
      </c>
      <c r="AD351" s="526"/>
      <c r="AE351" s="191">
        <f t="shared" ref="AE351:AE359" si="152">ROUND((Y351*AC351),0)</f>
        <v>0</v>
      </c>
      <c r="AF351" s="191"/>
      <c r="AG351" s="302">
        <f t="shared" ref="AG351:AG359" si="153">ROUND((AE351/AE$429)*100,1)</f>
        <v>0</v>
      </c>
      <c r="AH351" s="303"/>
      <c r="AI351" s="191">
        <f t="shared" ref="AI351:AI359" si="154">L131-AE351</f>
        <v>0</v>
      </c>
      <c r="AJ351" s="191"/>
      <c r="AK351" s="304" t="str">
        <f t="shared" ref="AK351:AK359" si="155">IF(AE351=0,"0.0 ",ROUND((AI351/AE351)*100,1))</f>
        <v xml:space="preserve">0.0 </v>
      </c>
      <c r="AL351" s="305"/>
      <c r="AM351" s="191">
        <f t="shared" ref="AM351:AM359" si="156">ROUND($AM$429/$AA$429*AA351,0)</f>
        <v>0</v>
      </c>
      <c r="AN351" s="191"/>
      <c r="AO351" s="191">
        <f t="shared" ref="AO351:AO359" si="157">AE351+AM351</f>
        <v>0</v>
      </c>
      <c r="AP351" s="191"/>
      <c r="AQ351" s="304" t="str">
        <f t="shared" si="113"/>
        <v xml:space="preserve">0.0 </v>
      </c>
      <c r="AS351" s="382"/>
      <c r="AT351" s="77">
        <f>AC351-AX351</f>
        <v>5.9600000000000009</v>
      </c>
      <c r="AW351" s="392">
        <v>853</v>
      </c>
      <c r="AX351" s="380">
        <f t="shared" ref="AX351:AX359" si="158">ROUND((AW351/12)*CUR_BASE_FUEL,2)</f>
        <v>1.69</v>
      </c>
      <c r="AY351" s="380">
        <f t="shared" ref="AY351:AY359" si="159">ROUND((AW351/12)*PRO_BASE_FUEL,2)</f>
        <v>1.69</v>
      </c>
    </row>
    <row r="352" spans="1:51" x14ac:dyDescent="0.25">
      <c r="F352" s="379"/>
      <c r="H352" s="379"/>
      <c r="I352" s="379"/>
      <c r="J352" s="464"/>
      <c r="K352" s="464"/>
      <c r="L352" s="379"/>
      <c r="M352" s="379"/>
      <c r="N352" s="379"/>
      <c r="O352" s="379"/>
      <c r="P352" s="379"/>
      <c r="Q352" s="379"/>
      <c r="R352" s="379"/>
      <c r="T352" s="366">
        <v>89</v>
      </c>
      <c r="U352" s="194"/>
      <c r="V352" s="195" t="str">
        <f t="shared" si="149"/>
        <v xml:space="preserve">  7,000 LUMEN TOWN &amp; COUNTRY (3)</v>
      </c>
      <c r="W352" s="194"/>
      <c r="X352" s="194"/>
      <c r="Y352" s="189">
        <f t="shared" si="150"/>
        <v>216</v>
      </c>
      <c r="Z352" s="131"/>
      <c r="AA352" s="189">
        <f t="shared" si="151"/>
        <v>15354</v>
      </c>
      <c r="AB352" s="189"/>
      <c r="AC352" s="521">
        <f>AC351+$AC$5</f>
        <v>12.15</v>
      </c>
      <c r="AD352" s="526"/>
      <c r="AE352" s="191">
        <f t="shared" si="152"/>
        <v>2624</v>
      </c>
      <c r="AF352" s="191"/>
      <c r="AG352" s="302">
        <f t="shared" si="153"/>
        <v>0.2</v>
      </c>
      <c r="AH352" s="303"/>
      <c r="AI352" s="191">
        <f t="shared" si="154"/>
        <v>322</v>
      </c>
      <c r="AJ352" s="191"/>
      <c r="AK352" s="304">
        <f t="shared" si="155"/>
        <v>12.3</v>
      </c>
      <c r="AL352" s="305"/>
      <c r="AM352" s="191">
        <f t="shared" si="156"/>
        <v>10</v>
      </c>
      <c r="AN352" s="191"/>
      <c r="AO352" s="191">
        <f t="shared" si="157"/>
        <v>2634</v>
      </c>
      <c r="AP352" s="191"/>
      <c r="AQ352" s="304">
        <f t="shared" si="113"/>
        <v>12.2</v>
      </c>
      <c r="AS352" s="382"/>
      <c r="AW352" s="392"/>
    </row>
    <row r="353" spans="1:51" x14ac:dyDescent="0.25">
      <c r="F353" s="379"/>
      <c r="H353" s="379"/>
      <c r="I353" s="379"/>
      <c r="J353" s="464"/>
      <c r="K353" s="464"/>
      <c r="L353" s="379"/>
      <c r="M353" s="379"/>
      <c r="N353" s="379"/>
      <c r="O353" s="379"/>
      <c r="P353" s="379"/>
      <c r="Q353" s="379"/>
      <c r="R353" s="379"/>
      <c r="T353" s="366">
        <v>90</v>
      </c>
      <c r="U353" s="194"/>
      <c r="V353" s="195" t="str">
        <f t="shared" si="149"/>
        <v xml:space="preserve">  7,000 LUMEN TOWN &amp; COUNTRY (10)</v>
      </c>
      <c r="W353" s="194"/>
      <c r="X353" s="194"/>
      <c r="Y353" s="189">
        <f t="shared" si="150"/>
        <v>5870</v>
      </c>
      <c r="Z353" s="131"/>
      <c r="AA353" s="189">
        <f t="shared" si="151"/>
        <v>417259</v>
      </c>
      <c r="AB353" s="189"/>
      <c r="AC353" s="521">
        <f>AC351+$AC$13</f>
        <v>12.15</v>
      </c>
      <c r="AD353" s="526"/>
      <c r="AE353" s="191">
        <f t="shared" si="152"/>
        <v>71321</v>
      </c>
      <c r="AF353" s="191"/>
      <c r="AG353" s="302">
        <f t="shared" si="153"/>
        <v>4.5999999999999996</v>
      </c>
      <c r="AH353" s="303"/>
      <c r="AI353" s="191">
        <f t="shared" si="154"/>
        <v>8746</v>
      </c>
      <c r="AJ353" s="191"/>
      <c r="AK353" s="304">
        <f t="shared" si="155"/>
        <v>12.3</v>
      </c>
      <c r="AL353" s="305"/>
      <c r="AM353" s="191">
        <f t="shared" si="156"/>
        <v>284</v>
      </c>
      <c r="AN353" s="191"/>
      <c r="AO353" s="191">
        <f t="shared" si="157"/>
        <v>71605</v>
      </c>
      <c r="AP353" s="191"/>
      <c r="AQ353" s="304">
        <f t="shared" si="113"/>
        <v>12.2</v>
      </c>
      <c r="AS353" s="382"/>
      <c r="AW353" s="392"/>
    </row>
    <row r="354" spans="1:51" x14ac:dyDescent="0.25">
      <c r="F354" s="379"/>
      <c r="H354" s="379"/>
      <c r="I354" s="379"/>
      <c r="J354" s="464"/>
      <c r="K354" s="464"/>
      <c r="L354" s="379"/>
      <c r="M354" s="379"/>
      <c r="N354" s="379"/>
      <c r="O354" s="379"/>
      <c r="P354" s="379"/>
      <c r="Q354" s="379"/>
      <c r="R354" s="379"/>
      <c r="T354" s="366">
        <v>91</v>
      </c>
      <c r="U354" s="194"/>
      <c r="V354" s="195" t="str">
        <f t="shared" si="149"/>
        <v xml:space="preserve">  7,000 LUMEN HOLOPHANE</v>
      </c>
      <c r="W354" s="194"/>
      <c r="X354" s="194"/>
      <c r="Y354" s="189">
        <f t="shared" si="150"/>
        <v>24</v>
      </c>
      <c r="Z354" s="131"/>
      <c r="AA354" s="189">
        <f t="shared" si="151"/>
        <v>1748</v>
      </c>
      <c r="AB354" s="189"/>
      <c r="AC354" s="521">
        <v>9.61</v>
      </c>
      <c r="AD354" s="526"/>
      <c r="AE354" s="191">
        <f t="shared" si="152"/>
        <v>231</v>
      </c>
      <c r="AF354" s="191"/>
      <c r="AG354" s="302">
        <f t="shared" si="153"/>
        <v>0</v>
      </c>
      <c r="AH354" s="303"/>
      <c r="AI354" s="191">
        <f t="shared" si="154"/>
        <v>28</v>
      </c>
      <c r="AJ354" s="191"/>
      <c r="AK354" s="304">
        <f t="shared" si="155"/>
        <v>12.1</v>
      </c>
      <c r="AL354" s="305"/>
      <c r="AM354" s="191">
        <f t="shared" si="156"/>
        <v>1</v>
      </c>
      <c r="AN354" s="191"/>
      <c r="AO354" s="191">
        <f t="shared" si="157"/>
        <v>232</v>
      </c>
      <c r="AP354" s="191"/>
      <c r="AQ354" s="304">
        <f t="shared" si="113"/>
        <v>12.1</v>
      </c>
      <c r="AS354" s="382"/>
      <c r="AT354" s="77">
        <f>AC354-AX354</f>
        <v>7.8699999999999992</v>
      </c>
      <c r="AW354" s="392">
        <v>874</v>
      </c>
      <c r="AX354" s="380">
        <f t="shared" si="158"/>
        <v>1.74</v>
      </c>
      <c r="AY354" s="380">
        <f t="shared" si="159"/>
        <v>1.74</v>
      </c>
    </row>
    <row r="355" spans="1:51" x14ac:dyDescent="0.25">
      <c r="F355" s="379"/>
      <c r="H355" s="379"/>
      <c r="I355" s="379"/>
      <c r="J355" s="464"/>
      <c r="K355" s="464"/>
      <c r="L355" s="379"/>
      <c r="M355" s="379"/>
      <c r="N355" s="379"/>
      <c r="O355" s="379"/>
      <c r="P355" s="379"/>
      <c r="Q355" s="379"/>
      <c r="R355" s="379"/>
      <c r="T355" s="366">
        <v>92</v>
      </c>
      <c r="U355" s="194"/>
      <c r="V355" s="195" t="str">
        <f t="shared" si="149"/>
        <v xml:space="preserve">  7,000 LUMEN HOLOPHANE (10)</v>
      </c>
      <c r="W355" s="194"/>
      <c r="X355" s="194"/>
      <c r="Y355" s="189">
        <f t="shared" si="150"/>
        <v>1908</v>
      </c>
      <c r="Z355" s="131"/>
      <c r="AA355" s="189">
        <f t="shared" si="151"/>
        <v>138966</v>
      </c>
      <c r="AB355" s="189"/>
      <c r="AC355" s="521">
        <f>AC354+$AC$13</f>
        <v>14.11</v>
      </c>
      <c r="AD355" s="526"/>
      <c r="AE355" s="191">
        <f t="shared" si="152"/>
        <v>26922</v>
      </c>
      <c r="AF355" s="191"/>
      <c r="AG355" s="302">
        <f t="shared" si="153"/>
        <v>1.8</v>
      </c>
      <c r="AH355" s="303"/>
      <c r="AI355" s="191">
        <f t="shared" si="154"/>
        <v>3301</v>
      </c>
      <c r="AJ355" s="191"/>
      <c r="AK355" s="304">
        <f t="shared" si="155"/>
        <v>12.3</v>
      </c>
      <c r="AL355" s="305"/>
      <c r="AM355" s="191">
        <f t="shared" si="156"/>
        <v>95</v>
      </c>
      <c r="AN355" s="191"/>
      <c r="AO355" s="191">
        <f t="shared" si="157"/>
        <v>27017</v>
      </c>
      <c r="AP355" s="191"/>
      <c r="AQ355" s="304">
        <f t="shared" si="113"/>
        <v>12.2</v>
      </c>
      <c r="AS355" s="382"/>
      <c r="AW355" s="392"/>
    </row>
    <row r="356" spans="1:51" x14ac:dyDescent="0.25">
      <c r="F356" s="379"/>
      <c r="H356" s="379"/>
      <c r="I356" s="379"/>
      <c r="J356" s="464"/>
      <c r="K356" s="464"/>
      <c r="L356" s="379"/>
      <c r="M356" s="379"/>
      <c r="N356" s="379"/>
      <c r="O356" s="379"/>
      <c r="P356" s="379"/>
      <c r="Q356" s="379"/>
      <c r="R356" s="379"/>
      <c r="T356" s="366">
        <v>93</v>
      </c>
      <c r="U356" s="194"/>
      <c r="V356" s="195" t="str">
        <f t="shared" si="149"/>
        <v xml:space="preserve">  7,000 LUMEN GAS REPLICA (7)</v>
      </c>
      <c r="W356" s="194"/>
      <c r="X356" s="194"/>
      <c r="Y356" s="189">
        <f t="shared" si="150"/>
        <v>96</v>
      </c>
      <c r="Z356" s="131"/>
      <c r="AA356" s="189">
        <f t="shared" si="151"/>
        <v>6992</v>
      </c>
      <c r="AB356" s="189"/>
      <c r="AC356" s="521">
        <f>21.96+AC9</f>
        <v>34.19</v>
      </c>
      <c r="AD356" s="526"/>
      <c r="AE356" s="191">
        <f t="shared" si="152"/>
        <v>3282</v>
      </c>
      <c r="AF356" s="191"/>
      <c r="AG356" s="302">
        <f t="shared" si="153"/>
        <v>0.2</v>
      </c>
      <c r="AH356" s="303"/>
      <c r="AI356" s="191">
        <f t="shared" si="154"/>
        <v>402</v>
      </c>
      <c r="AJ356" s="191"/>
      <c r="AK356" s="304">
        <f t="shared" si="155"/>
        <v>12.2</v>
      </c>
      <c r="AL356" s="305"/>
      <c r="AM356" s="191">
        <f t="shared" si="156"/>
        <v>5</v>
      </c>
      <c r="AN356" s="191"/>
      <c r="AO356" s="191">
        <f t="shared" si="157"/>
        <v>3287</v>
      </c>
      <c r="AP356" s="191"/>
      <c r="AQ356" s="304">
        <f t="shared" si="113"/>
        <v>12.2</v>
      </c>
      <c r="AS356" s="382"/>
      <c r="AT356" s="77">
        <f>AC356-AX356</f>
        <v>32.449999999999996</v>
      </c>
      <c r="AW356" s="392">
        <v>874</v>
      </c>
      <c r="AX356" s="380">
        <f t="shared" si="158"/>
        <v>1.74</v>
      </c>
      <c r="AY356" s="380">
        <f t="shared" si="159"/>
        <v>1.74</v>
      </c>
    </row>
    <row r="357" spans="1:51" x14ac:dyDescent="0.25">
      <c r="F357" s="379"/>
      <c r="H357" s="379"/>
      <c r="I357" s="379"/>
      <c r="J357" s="464"/>
      <c r="K357" s="464"/>
      <c r="L357" s="379"/>
      <c r="M357" s="379"/>
      <c r="N357" s="379"/>
      <c r="O357" s="379"/>
      <c r="P357" s="379"/>
      <c r="Q357" s="379"/>
      <c r="R357" s="379"/>
      <c r="T357" s="366">
        <v>94</v>
      </c>
      <c r="U357" s="194"/>
      <c r="V357" s="195" t="str">
        <f t="shared" si="149"/>
        <v xml:space="preserve">  7,000 LUMEN GRANVILLE </v>
      </c>
      <c r="W357" s="194"/>
      <c r="X357" s="194"/>
      <c r="Y357" s="189">
        <f t="shared" si="150"/>
        <v>0</v>
      </c>
      <c r="Z357" s="131"/>
      <c r="AA357" s="189">
        <f t="shared" si="151"/>
        <v>0</v>
      </c>
      <c r="AB357" s="189"/>
      <c r="AC357" s="521">
        <v>7.73</v>
      </c>
      <c r="AD357" s="526"/>
      <c r="AE357" s="191">
        <f>ROUND((Y357*AC357),0)</f>
        <v>0</v>
      </c>
      <c r="AF357" s="191"/>
      <c r="AG357" s="302">
        <f t="shared" si="153"/>
        <v>0</v>
      </c>
      <c r="AH357" s="303"/>
      <c r="AI357" s="191">
        <f t="shared" si="154"/>
        <v>0</v>
      </c>
      <c r="AJ357" s="191"/>
      <c r="AK357" s="304" t="str">
        <f t="shared" ref="AK357" si="160">IF(AE357=0,"0.0 ",ROUND((AI357/AE357)*100,1))</f>
        <v xml:space="preserve">0.0 </v>
      </c>
      <c r="AL357" s="305"/>
      <c r="AM357" s="191">
        <f t="shared" si="156"/>
        <v>0</v>
      </c>
      <c r="AN357" s="191"/>
      <c r="AO357" s="191">
        <f>AE357+AM357</f>
        <v>0</v>
      </c>
      <c r="AP357" s="191"/>
      <c r="AQ357" s="304" t="str">
        <f>IF(AO357=0,"0.0 ",ROUND((AI357/AO357)*100,1))</f>
        <v xml:space="preserve">0.0 </v>
      </c>
      <c r="AS357" s="382"/>
      <c r="AT357" s="77">
        <f>AC357-AX357</f>
        <v>6.0400000000000009</v>
      </c>
      <c r="AW357" s="392">
        <v>853</v>
      </c>
      <c r="AX357" s="380">
        <f t="shared" ref="AX357" si="161">ROUND((AW357/12)*CUR_BASE_FUEL,2)</f>
        <v>1.69</v>
      </c>
      <c r="AY357" s="380">
        <f t="shared" ref="AY357" si="162">ROUND((AW357/12)*PRO_BASE_FUEL,2)</f>
        <v>1.69</v>
      </c>
    </row>
    <row r="358" spans="1:51" x14ac:dyDescent="0.25">
      <c r="F358" s="379"/>
      <c r="H358" s="379"/>
      <c r="I358" s="379"/>
      <c r="J358" s="464"/>
      <c r="K358" s="464"/>
      <c r="L358" s="379"/>
      <c r="M358" s="379"/>
      <c r="N358" s="379"/>
      <c r="O358" s="379"/>
      <c r="P358" s="379"/>
      <c r="Q358" s="379"/>
      <c r="R358" s="379"/>
      <c r="T358" s="366">
        <v>95</v>
      </c>
      <c r="U358" s="194"/>
      <c r="V358" s="195" t="str">
        <f t="shared" si="149"/>
        <v xml:space="preserve">  7,000 LUMEN GRANVILLE (7)</v>
      </c>
      <c r="W358" s="194"/>
      <c r="X358" s="194"/>
      <c r="Y358" s="189">
        <f t="shared" si="150"/>
        <v>0</v>
      </c>
      <c r="Z358" s="131"/>
      <c r="AA358" s="189">
        <f t="shared" si="151"/>
        <v>0</v>
      </c>
      <c r="AB358" s="189"/>
      <c r="AC358" s="521">
        <f>AC357+$AC$9</f>
        <v>19.96</v>
      </c>
      <c r="AD358" s="526"/>
      <c r="AE358" s="191">
        <f>ROUND((Y358*AC358),0)</f>
        <v>0</v>
      </c>
      <c r="AF358" s="191"/>
      <c r="AG358" s="302">
        <f t="shared" si="153"/>
        <v>0</v>
      </c>
      <c r="AH358" s="303"/>
      <c r="AI358" s="191">
        <f t="shared" si="154"/>
        <v>0</v>
      </c>
      <c r="AJ358" s="191"/>
      <c r="AK358" s="304" t="str">
        <f t="shared" si="155"/>
        <v xml:space="preserve">0.0 </v>
      </c>
      <c r="AL358" s="305"/>
      <c r="AM358" s="191">
        <f t="shared" si="156"/>
        <v>0</v>
      </c>
      <c r="AN358" s="191"/>
      <c r="AO358" s="191">
        <f>AE358+AM358</f>
        <v>0</v>
      </c>
      <c r="AP358" s="191"/>
      <c r="AQ358" s="304" t="str">
        <f>IF(AO358=0,"0.0 ",ROUND((AI358/AO358)*100,1))</f>
        <v xml:space="preserve">0.0 </v>
      </c>
      <c r="AS358" s="382"/>
      <c r="AT358" s="77"/>
      <c r="AW358" s="392"/>
    </row>
    <row r="359" spans="1:51" x14ac:dyDescent="0.25">
      <c r="A359" s="53"/>
      <c r="C359" s="54"/>
      <c r="F359" s="449"/>
      <c r="H359" s="449"/>
      <c r="I359" s="449"/>
      <c r="J359" s="472"/>
      <c r="K359" s="472"/>
      <c r="L359" s="379"/>
      <c r="M359" s="379"/>
      <c r="N359" s="50"/>
      <c r="O359" s="50"/>
      <c r="P359" s="449"/>
      <c r="Q359" s="449"/>
      <c r="R359" s="379"/>
      <c r="T359" s="366">
        <v>96</v>
      </c>
      <c r="U359" s="194"/>
      <c r="V359" s="195" t="str">
        <f t="shared" si="149"/>
        <v xml:space="preserve">  7,000 LUMEN ASPEN</v>
      </c>
      <c r="W359" s="194"/>
      <c r="X359" s="194"/>
      <c r="Y359" s="189">
        <f t="shared" si="150"/>
        <v>24</v>
      </c>
      <c r="Z359" s="131"/>
      <c r="AA359" s="189">
        <f t="shared" si="151"/>
        <v>1748</v>
      </c>
      <c r="AB359" s="189"/>
      <c r="AC359" s="521">
        <v>13.91</v>
      </c>
      <c r="AD359" s="526"/>
      <c r="AE359" s="191">
        <f t="shared" si="152"/>
        <v>334</v>
      </c>
      <c r="AF359" s="191"/>
      <c r="AG359" s="302">
        <f t="shared" si="153"/>
        <v>0</v>
      </c>
      <c r="AH359" s="303"/>
      <c r="AI359" s="191">
        <f t="shared" si="154"/>
        <v>41</v>
      </c>
      <c r="AJ359" s="191"/>
      <c r="AK359" s="304">
        <f t="shared" si="155"/>
        <v>12.3</v>
      </c>
      <c r="AL359" s="305"/>
      <c r="AM359" s="191">
        <f t="shared" si="156"/>
        <v>1</v>
      </c>
      <c r="AN359" s="191"/>
      <c r="AO359" s="191">
        <f t="shared" si="157"/>
        <v>335</v>
      </c>
      <c r="AP359" s="191"/>
      <c r="AQ359" s="304">
        <f t="shared" si="113"/>
        <v>12.2</v>
      </c>
      <c r="AS359" s="382"/>
      <c r="AT359" s="77">
        <f>AC359-AX359</f>
        <v>12.17</v>
      </c>
      <c r="AW359" s="392">
        <v>874</v>
      </c>
      <c r="AX359" s="380">
        <f t="shared" si="158"/>
        <v>1.74</v>
      </c>
      <c r="AY359" s="380">
        <f t="shared" si="159"/>
        <v>1.74</v>
      </c>
    </row>
    <row r="360" spans="1:51" x14ac:dyDescent="0.25">
      <c r="A360" s="53"/>
      <c r="C360" s="54"/>
      <c r="F360" s="449"/>
      <c r="H360" s="449"/>
      <c r="I360" s="449"/>
      <c r="J360" s="472"/>
      <c r="K360" s="472"/>
      <c r="L360" s="379"/>
      <c r="M360" s="379"/>
      <c r="N360" s="50"/>
      <c r="O360" s="50"/>
      <c r="P360" s="449"/>
      <c r="Q360" s="449"/>
      <c r="R360" s="379"/>
      <c r="T360" s="306"/>
      <c r="U360" s="194"/>
      <c r="V360" s="196"/>
      <c r="W360" s="194"/>
      <c r="X360" s="194"/>
      <c r="Y360" s="189"/>
      <c r="Z360" s="131"/>
      <c r="AA360" s="189"/>
      <c r="AB360" s="189"/>
      <c r="AC360" s="521"/>
      <c r="AD360" s="526"/>
      <c r="AE360" s="191"/>
      <c r="AF360" s="191"/>
      <c r="AG360" s="302"/>
      <c r="AH360" s="303"/>
      <c r="AI360" s="191"/>
      <c r="AJ360" s="191"/>
      <c r="AK360" s="304"/>
      <c r="AL360" s="305"/>
      <c r="AM360" s="191"/>
      <c r="AN360" s="191"/>
      <c r="AO360" s="191"/>
      <c r="AP360" s="191"/>
      <c r="AQ360" s="304"/>
      <c r="AS360" s="382"/>
      <c r="AT360" s="77"/>
      <c r="AW360" s="86"/>
      <c r="AX360" s="84"/>
      <c r="AY360" s="84"/>
    </row>
    <row r="361" spans="1:51" x14ac:dyDescent="0.25">
      <c r="A361" s="53"/>
      <c r="C361" s="54"/>
      <c r="F361" s="449"/>
      <c r="H361" s="449"/>
      <c r="I361" s="449"/>
      <c r="J361" s="472"/>
      <c r="K361" s="472"/>
      <c r="L361" s="379"/>
      <c r="M361" s="379"/>
      <c r="N361" s="50"/>
      <c r="O361" s="50"/>
      <c r="P361" s="449"/>
      <c r="Q361" s="449"/>
      <c r="R361" s="379"/>
      <c r="T361" s="320" t="s">
        <v>78</v>
      </c>
      <c r="U361" s="321"/>
      <c r="V361" s="293"/>
      <c r="W361" s="293"/>
      <c r="X361" s="293"/>
      <c r="Y361" s="293"/>
      <c r="Z361" s="293"/>
      <c r="AA361" s="293"/>
      <c r="AB361" s="293"/>
      <c r="AC361" s="321"/>
      <c r="AD361" s="293"/>
      <c r="AE361" s="322" t="s">
        <v>272</v>
      </c>
      <c r="AF361" s="293"/>
      <c r="AG361" s="323"/>
      <c r="AH361" s="293"/>
      <c r="AI361" s="321"/>
      <c r="AJ361" s="293"/>
      <c r="AK361" s="324" t="s">
        <v>277</v>
      </c>
      <c r="AL361" s="293"/>
      <c r="AM361" s="293"/>
      <c r="AN361" s="293"/>
      <c r="AO361" s="293"/>
      <c r="AP361" s="325"/>
      <c r="AQ361" s="326"/>
      <c r="AS361" s="382"/>
      <c r="AT361" s="77"/>
      <c r="AW361" s="86"/>
      <c r="AX361" s="84"/>
      <c r="AY361" s="84"/>
    </row>
    <row r="362" spans="1:51" x14ac:dyDescent="0.25">
      <c r="A362" s="53"/>
      <c r="C362" s="54"/>
      <c r="F362" s="449"/>
      <c r="H362" s="449"/>
      <c r="I362" s="449"/>
      <c r="J362" s="472"/>
      <c r="K362" s="472"/>
      <c r="L362" s="379"/>
      <c r="M362" s="379"/>
      <c r="N362" s="50"/>
      <c r="O362" s="50"/>
      <c r="P362" s="449"/>
      <c r="Q362" s="449"/>
      <c r="R362" s="379"/>
      <c r="T362" s="320" t="str">
        <f>"(1A) REFLECTS FUEL COST RECOVERY INCLUDED IN BASE RATES OF "&amp;TEXT(CUR_BASE_FUEL,"$0.000000;($0.000000)")&amp;"  PER KWH."</f>
        <v>(1A) REFLECTS FUEL COST RECOVERY INCLUDED IN BASE RATES OF $0.023837  PER KWH.</v>
      </c>
      <c r="U362" s="293"/>
      <c r="V362" s="293"/>
      <c r="W362" s="293"/>
      <c r="X362" s="293"/>
      <c r="Y362" s="327"/>
      <c r="Z362" s="293"/>
      <c r="AA362" s="293"/>
      <c r="AB362" s="293"/>
      <c r="AC362" s="321"/>
      <c r="AD362" s="293"/>
      <c r="AE362" s="324" t="s">
        <v>274</v>
      </c>
      <c r="AF362" s="293"/>
      <c r="AG362" s="323"/>
      <c r="AH362" s="293"/>
      <c r="AI362" s="321"/>
      <c r="AJ362" s="293"/>
      <c r="AK362" s="322" t="s">
        <v>278</v>
      </c>
      <c r="AL362" s="293"/>
      <c r="AM362" s="293"/>
      <c r="AN362" s="293"/>
      <c r="AO362" s="293"/>
      <c r="AP362" s="325"/>
      <c r="AQ362" s="326"/>
      <c r="AS362" s="382"/>
      <c r="AT362" s="77"/>
      <c r="AW362" s="86"/>
      <c r="AX362" s="84"/>
      <c r="AY362" s="84"/>
    </row>
    <row r="363" spans="1:51" x14ac:dyDescent="0.25">
      <c r="A363" s="53"/>
      <c r="C363" s="54"/>
      <c r="F363" s="449"/>
      <c r="H363" s="449"/>
      <c r="I363" s="449"/>
      <c r="J363" s="472"/>
      <c r="K363" s="472"/>
      <c r="L363" s="379"/>
      <c r="M363" s="379"/>
      <c r="N363" s="50"/>
      <c r="O363" s="50"/>
      <c r="P363" s="449"/>
      <c r="Q363" s="449"/>
      <c r="R363" s="379"/>
      <c r="T363" s="320" t="str">
        <f>"(2) REFLECTS FUEL COMPONENT OF "&amp;TEXT(CUR_FAC,"$0.000000;($0.000000)")&amp;"  PER KWH."</f>
        <v>(2) REFLECTS FUEL COMPONENT OF $0.000681  PER KWH.</v>
      </c>
      <c r="U363" s="293"/>
      <c r="V363" s="293"/>
      <c r="W363" s="293"/>
      <c r="X363" s="293"/>
      <c r="Y363" s="327"/>
      <c r="Z363" s="293"/>
      <c r="AA363" s="293"/>
      <c r="AB363" s="293"/>
      <c r="AC363" s="321"/>
      <c r="AD363" s="293"/>
      <c r="AE363" s="324" t="s">
        <v>275</v>
      </c>
      <c r="AF363" s="293"/>
      <c r="AG363" s="323"/>
      <c r="AH363" s="293"/>
      <c r="AI363" s="321"/>
      <c r="AJ363" s="293"/>
      <c r="AK363" s="322" t="s">
        <v>279</v>
      </c>
      <c r="AL363" s="293"/>
      <c r="AM363" s="293"/>
      <c r="AN363" s="293"/>
      <c r="AO363" s="293"/>
      <c r="AP363" s="325"/>
      <c r="AQ363" s="326"/>
      <c r="AS363" s="382"/>
      <c r="AT363" s="77"/>
      <c r="AW363" s="86"/>
      <c r="AX363" s="84"/>
      <c r="AY363" s="84"/>
    </row>
    <row r="364" spans="1:51" x14ac:dyDescent="0.25">
      <c r="A364" s="53"/>
      <c r="C364" s="54"/>
      <c r="F364" s="449"/>
      <c r="H364" s="449"/>
      <c r="I364" s="449"/>
      <c r="J364" s="472"/>
      <c r="K364" s="472"/>
      <c r="L364" s="379"/>
      <c r="M364" s="379"/>
      <c r="N364" s="50"/>
      <c r="O364" s="50"/>
      <c r="P364" s="449"/>
      <c r="Q364" s="449"/>
      <c r="R364" s="379"/>
      <c r="T364" s="322" t="s">
        <v>273</v>
      </c>
      <c r="U364" s="293"/>
      <c r="V364" s="293"/>
      <c r="W364" s="293"/>
      <c r="X364" s="293"/>
      <c r="Y364" s="327"/>
      <c r="Z364" s="293"/>
      <c r="AA364" s="293"/>
      <c r="AB364" s="293"/>
      <c r="AC364" s="321"/>
      <c r="AD364" s="293"/>
      <c r="AE364" s="322" t="s">
        <v>276</v>
      </c>
      <c r="AF364" s="293"/>
      <c r="AG364" s="323"/>
      <c r="AH364" s="293"/>
      <c r="AI364" s="321"/>
      <c r="AJ364" s="293"/>
      <c r="AK364" s="322" t="s">
        <v>280</v>
      </c>
      <c r="AL364" s="293"/>
      <c r="AM364" s="293"/>
      <c r="AN364" s="293"/>
      <c r="AO364" s="293"/>
      <c r="AP364" s="325"/>
      <c r="AQ364" s="326"/>
      <c r="AS364" s="382"/>
      <c r="AT364" s="77"/>
      <c r="AW364" s="86"/>
      <c r="AX364" s="84"/>
      <c r="AY364" s="84"/>
    </row>
    <row r="365" spans="1:51" x14ac:dyDescent="0.25">
      <c r="A365" s="53"/>
      <c r="C365" s="54"/>
      <c r="F365" s="449"/>
      <c r="H365" s="449"/>
      <c r="I365" s="449"/>
      <c r="J365" s="472"/>
      <c r="K365" s="472"/>
      <c r="L365" s="379"/>
      <c r="M365" s="379"/>
      <c r="N365" s="50"/>
      <c r="O365" s="50"/>
      <c r="P365" s="449"/>
      <c r="Q365" s="449"/>
      <c r="R365" s="379"/>
      <c r="T365" s="322" t="s">
        <v>271</v>
      </c>
      <c r="U365" s="293"/>
      <c r="V365" s="293"/>
      <c r="W365" s="293"/>
      <c r="X365" s="293"/>
      <c r="Y365" s="327"/>
      <c r="Z365" s="293"/>
      <c r="AA365" s="293"/>
      <c r="AB365" s="293"/>
      <c r="AC365" s="321"/>
      <c r="AD365" s="321"/>
      <c r="AE365" s="322" t="s">
        <v>387</v>
      </c>
      <c r="AF365" s="321"/>
      <c r="AG365" s="328"/>
      <c r="AH365" s="321"/>
      <c r="AI365" s="321"/>
      <c r="AJ365" s="321"/>
      <c r="AK365" s="322" t="s">
        <v>281</v>
      </c>
      <c r="AL365" s="293"/>
      <c r="AM365" s="293"/>
      <c r="AN365" s="293"/>
      <c r="AO365" s="293"/>
      <c r="AP365" s="325"/>
      <c r="AQ365" s="326"/>
      <c r="AS365" s="382"/>
      <c r="AT365" s="77"/>
      <c r="AW365" s="86"/>
      <c r="AX365" s="84"/>
      <c r="AY365" s="84"/>
    </row>
    <row r="366" spans="1:51" x14ac:dyDescent="0.25">
      <c r="A366" s="53"/>
      <c r="C366" s="54"/>
      <c r="F366" s="449"/>
      <c r="H366" s="449"/>
      <c r="I366" s="449"/>
      <c r="J366" s="472"/>
      <c r="K366" s="472"/>
      <c r="L366" s="379"/>
      <c r="M366" s="379"/>
      <c r="N366" s="50"/>
      <c r="O366" s="50"/>
      <c r="P366" s="449"/>
      <c r="Q366" s="449"/>
      <c r="R366" s="379"/>
      <c r="T366" s="195"/>
      <c r="U366" s="194"/>
      <c r="V366" s="194"/>
      <c r="W366" s="194"/>
      <c r="X366" s="194"/>
      <c r="Y366" s="329"/>
      <c r="Z366" s="194"/>
      <c r="AA366" s="194"/>
      <c r="AB366" s="194"/>
      <c r="AC366" s="195"/>
      <c r="AD366" s="229"/>
      <c r="AE366" s="229"/>
      <c r="AF366" s="229"/>
      <c r="AG366" s="330"/>
      <c r="AH366" s="229"/>
      <c r="AI366" s="229"/>
      <c r="AJ366" s="229"/>
      <c r="AK366" s="330"/>
      <c r="AL366" s="229"/>
      <c r="AM366" s="229"/>
      <c r="AN366" s="194"/>
      <c r="AO366" s="194"/>
      <c r="AP366" s="194"/>
      <c r="AQ366" s="331"/>
      <c r="AS366" s="382"/>
      <c r="AT366" s="77"/>
      <c r="AW366" s="86"/>
      <c r="AX366" s="84"/>
      <c r="AY366" s="84"/>
    </row>
    <row r="367" spans="1:51" x14ac:dyDescent="0.25">
      <c r="A367" s="53"/>
      <c r="C367" s="54"/>
      <c r="F367" s="449"/>
      <c r="H367" s="449"/>
      <c r="I367" s="449"/>
      <c r="J367" s="472"/>
      <c r="K367" s="472"/>
      <c r="L367" s="379"/>
      <c r="M367" s="379"/>
      <c r="N367" s="50"/>
      <c r="O367" s="50"/>
      <c r="P367" s="449"/>
      <c r="Q367" s="449"/>
      <c r="R367" s="379"/>
      <c r="T367" s="306"/>
      <c r="U367" s="194"/>
      <c r="V367" s="196"/>
      <c r="W367" s="194"/>
      <c r="X367" s="194"/>
      <c r="Y367" s="189"/>
      <c r="Z367" s="131"/>
      <c r="AA367" s="189"/>
      <c r="AB367" s="189"/>
      <c r="AC367" s="521"/>
      <c r="AD367" s="526"/>
      <c r="AE367" s="191"/>
      <c r="AF367" s="191"/>
      <c r="AG367" s="302"/>
      <c r="AH367" s="303"/>
      <c r="AI367" s="191"/>
      <c r="AJ367" s="191"/>
      <c r="AK367" s="304"/>
      <c r="AL367" s="305"/>
      <c r="AM367" s="191"/>
      <c r="AN367" s="191"/>
      <c r="AO367" s="191"/>
      <c r="AP367" s="191"/>
      <c r="AQ367" s="304"/>
      <c r="AS367" s="382"/>
      <c r="AT367" s="77"/>
      <c r="AW367" s="86"/>
      <c r="AX367" s="84"/>
      <c r="AY367" s="84"/>
    </row>
    <row r="368" spans="1:51" x14ac:dyDescent="0.25">
      <c r="A368" s="53"/>
      <c r="C368" s="54"/>
      <c r="F368" s="449"/>
      <c r="H368" s="449"/>
      <c r="I368" s="449"/>
      <c r="J368" s="472"/>
      <c r="K368" s="472"/>
      <c r="L368" s="379"/>
      <c r="M368" s="379"/>
      <c r="N368" s="50"/>
      <c r="O368" s="50"/>
      <c r="P368" s="449"/>
      <c r="Q368" s="449"/>
      <c r="R368" s="379"/>
      <c r="T368" s="592" t="str">
        <f>NAME</f>
        <v>DUKE ENERGY KENTUCKY, INC.</v>
      </c>
      <c r="U368" s="592"/>
      <c r="V368" s="592"/>
      <c r="W368" s="592"/>
      <c r="X368" s="592"/>
      <c r="Y368" s="592"/>
      <c r="Z368" s="592"/>
      <c r="AA368" s="592"/>
      <c r="AB368" s="592"/>
      <c r="AC368" s="592"/>
      <c r="AD368" s="592"/>
      <c r="AE368" s="592"/>
      <c r="AF368" s="592"/>
      <c r="AG368" s="592"/>
      <c r="AH368" s="592"/>
      <c r="AI368" s="592"/>
      <c r="AJ368" s="592"/>
      <c r="AK368" s="592"/>
      <c r="AL368" s="592"/>
      <c r="AM368" s="592"/>
      <c r="AN368" s="592"/>
      <c r="AO368" s="592"/>
      <c r="AP368" s="592"/>
      <c r="AQ368" s="592"/>
      <c r="AS368" s="382"/>
      <c r="AW368" s="43"/>
    </row>
    <row r="369" spans="1:51" x14ac:dyDescent="0.25">
      <c r="A369" s="53"/>
      <c r="C369" s="54"/>
      <c r="F369" s="449"/>
      <c r="H369" s="449"/>
      <c r="I369" s="449"/>
      <c r="J369" s="472"/>
      <c r="K369" s="472"/>
      <c r="L369" s="379"/>
      <c r="M369" s="379"/>
      <c r="N369" s="50"/>
      <c r="O369" s="50"/>
      <c r="P369" s="449"/>
      <c r="Q369" s="449"/>
      <c r="R369" s="379"/>
      <c r="T369" s="297" t="str">
        <f>CASE_NO</f>
        <v>CASE NO.   2019-000271</v>
      </c>
      <c r="U369" s="297"/>
      <c r="V369" s="297"/>
      <c r="W369" s="297"/>
      <c r="X369" s="297"/>
      <c r="Y369" s="297"/>
      <c r="Z369" s="297"/>
      <c r="AA369" s="297"/>
      <c r="AB369" s="297"/>
      <c r="AC369" s="297"/>
      <c r="AD369" s="297"/>
      <c r="AE369" s="297"/>
      <c r="AF369" s="297"/>
      <c r="AG369" s="297"/>
      <c r="AH369" s="297"/>
      <c r="AI369" s="297"/>
      <c r="AJ369" s="297"/>
      <c r="AK369" s="297"/>
      <c r="AL369" s="297"/>
      <c r="AM369" s="297"/>
      <c r="AN369" s="297"/>
      <c r="AO369" s="297"/>
      <c r="AP369" s="297"/>
      <c r="AQ369" s="297"/>
      <c r="AS369" s="382"/>
      <c r="AW369" s="43"/>
    </row>
    <row r="370" spans="1:51" x14ac:dyDescent="0.25">
      <c r="A370" s="53"/>
      <c r="C370" s="54"/>
      <c r="F370" s="449"/>
      <c r="H370" s="449"/>
      <c r="I370" s="449"/>
      <c r="J370" s="472"/>
      <c r="K370" s="472"/>
      <c r="L370" s="379"/>
      <c r="M370" s="379"/>
      <c r="N370" s="50"/>
      <c r="O370" s="50"/>
      <c r="P370" s="449"/>
      <c r="Q370" s="449"/>
      <c r="R370" s="379"/>
      <c r="T370" s="334" t="str">
        <f>TITLE</f>
        <v>ANNUALIZED BASE YEAR REVENUES AT PROPOSED VS. MOST CURRENT RATES</v>
      </c>
      <c r="U370" s="334"/>
      <c r="V370" s="334"/>
      <c r="W370" s="334"/>
      <c r="X370" s="334"/>
      <c r="Y370" s="334"/>
      <c r="Z370" s="334"/>
      <c r="AA370" s="334"/>
      <c r="AB370" s="334"/>
      <c r="AC370" s="334"/>
      <c r="AD370" s="334"/>
      <c r="AE370" s="334"/>
      <c r="AF370" s="334"/>
      <c r="AG370" s="334"/>
      <c r="AH370" s="334"/>
      <c r="AI370" s="334"/>
      <c r="AJ370" s="334"/>
      <c r="AK370" s="334"/>
      <c r="AL370" s="334"/>
      <c r="AM370" s="334"/>
      <c r="AN370" s="334"/>
      <c r="AO370" s="334"/>
      <c r="AP370" s="334"/>
      <c r="AQ370" s="334"/>
      <c r="AS370" s="382"/>
      <c r="AW370" s="43"/>
    </row>
    <row r="371" spans="1:51" x14ac:dyDescent="0.25">
      <c r="A371" s="53"/>
      <c r="C371" s="54"/>
      <c r="F371" s="449"/>
      <c r="H371" s="449"/>
      <c r="I371" s="449"/>
      <c r="J371" s="472"/>
      <c r="K371" s="472"/>
      <c r="L371" s="379"/>
      <c r="M371" s="379"/>
      <c r="N371" s="50"/>
      <c r="O371" s="50"/>
      <c r="P371" s="449"/>
      <c r="Q371" s="449"/>
      <c r="R371" s="379"/>
      <c r="T371" s="297" t="str">
        <f>DATE</f>
        <v>FOR THE TWELVE MONTHS ENDED November 30, 2019</v>
      </c>
      <c r="U371" s="297"/>
      <c r="V371" s="297"/>
      <c r="W371" s="297"/>
      <c r="X371" s="297"/>
      <c r="Y371" s="297"/>
      <c r="Z371" s="297"/>
      <c r="AA371" s="297"/>
      <c r="AB371" s="297"/>
      <c r="AC371" s="297"/>
      <c r="AD371" s="297"/>
      <c r="AE371" s="297"/>
      <c r="AF371" s="297"/>
      <c r="AG371" s="297"/>
      <c r="AH371" s="297"/>
      <c r="AI371" s="297"/>
      <c r="AJ371" s="297"/>
      <c r="AK371" s="297"/>
      <c r="AL371" s="297"/>
      <c r="AM371" s="297"/>
      <c r="AN371" s="297"/>
      <c r="AO371" s="297"/>
      <c r="AP371" s="297"/>
      <c r="AQ371" s="297"/>
      <c r="AS371" s="382"/>
      <c r="AW371" s="43"/>
    </row>
    <row r="372" spans="1:51" x14ac:dyDescent="0.25">
      <c r="A372" s="53"/>
      <c r="C372" s="54"/>
      <c r="F372" s="449"/>
      <c r="H372" s="449"/>
      <c r="I372" s="449"/>
      <c r="J372" s="472"/>
      <c r="K372" s="472"/>
      <c r="L372" s="379"/>
      <c r="M372" s="379"/>
      <c r="N372" s="50"/>
      <c r="O372" s="50"/>
      <c r="P372" s="449"/>
      <c r="Q372" s="449"/>
      <c r="R372" s="379"/>
      <c r="T372" s="297" t="str">
        <f>SERVICE</f>
        <v>(ELECTRIC SERVICE)</v>
      </c>
      <c r="U372" s="297"/>
      <c r="V372" s="297"/>
      <c r="W372" s="297"/>
      <c r="X372" s="297"/>
      <c r="Y372" s="297"/>
      <c r="Z372" s="297"/>
      <c r="AA372" s="297"/>
      <c r="AB372" s="297"/>
      <c r="AC372" s="297"/>
      <c r="AD372" s="297"/>
      <c r="AE372" s="297"/>
      <c r="AF372" s="297"/>
      <c r="AG372" s="297"/>
      <c r="AH372" s="297"/>
      <c r="AI372" s="297"/>
      <c r="AJ372" s="297"/>
      <c r="AK372" s="297"/>
      <c r="AL372" s="297"/>
      <c r="AM372" s="297"/>
      <c r="AN372" s="297"/>
      <c r="AO372" s="297"/>
      <c r="AP372" s="297"/>
      <c r="AQ372" s="297"/>
      <c r="AS372" s="382"/>
      <c r="AW372" s="43"/>
    </row>
    <row r="373" spans="1:51" x14ac:dyDescent="0.25">
      <c r="A373" s="53"/>
      <c r="C373" s="54"/>
      <c r="F373" s="449"/>
      <c r="H373" s="449"/>
      <c r="I373" s="449"/>
      <c r="J373" s="472"/>
      <c r="K373" s="472"/>
      <c r="L373" s="379"/>
      <c r="M373" s="379"/>
      <c r="N373" s="50"/>
      <c r="O373" s="50"/>
      <c r="P373" s="449"/>
      <c r="Q373" s="449"/>
      <c r="R373" s="379"/>
      <c r="T373" s="306" t="str">
        <f>DATA_PERIOD</f>
        <v>DATA: __X__ BASE PERIOD   ____FORECASTED PERIOD</v>
      </c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  <c r="AF373" s="229"/>
      <c r="AG373" s="335"/>
      <c r="AH373" s="229"/>
      <c r="AI373" s="194"/>
      <c r="AJ373" s="194"/>
      <c r="AK373" s="335"/>
      <c r="AL373" s="194"/>
      <c r="AM373" s="194"/>
      <c r="AN373" s="229"/>
      <c r="AO373" s="196" t="s">
        <v>164</v>
      </c>
      <c r="AP373" s="196"/>
      <c r="AQ373" s="331"/>
      <c r="AS373" s="382"/>
      <c r="AW373" s="378"/>
    </row>
    <row r="374" spans="1:51" x14ac:dyDescent="0.25">
      <c r="A374" s="53"/>
      <c r="C374" s="54"/>
      <c r="F374" s="449"/>
      <c r="H374" s="449"/>
      <c r="I374" s="449"/>
      <c r="J374" s="472"/>
      <c r="K374" s="472"/>
      <c r="L374" s="379"/>
      <c r="M374" s="379"/>
      <c r="N374" s="50"/>
      <c r="O374" s="50"/>
      <c r="P374" s="449"/>
      <c r="Q374" s="449"/>
      <c r="R374" s="379"/>
      <c r="T374" s="306" t="str">
        <f>TYPE</f>
        <v>TYPE OF FILING: _X_ ORIGINAL   ___UPDATED  ___ REVISED</v>
      </c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  <c r="AF374" s="229"/>
      <c r="AG374" s="335"/>
      <c r="AH374" s="229"/>
      <c r="AI374" s="194"/>
      <c r="AJ374" s="194"/>
      <c r="AK374" s="335"/>
      <c r="AL374" s="194"/>
      <c r="AM374" s="194"/>
      <c r="AN374" s="229"/>
      <c r="AO374" s="52" t="str">
        <f>"PAGE 15 OF "&amp;TEXT(Page_Num_2.2,"00")</f>
        <v>PAGE 15 OF 22</v>
      </c>
      <c r="AP374" s="196"/>
      <c r="AQ374" s="331"/>
      <c r="AS374" s="382"/>
      <c r="AW374" s="378"/>
    </row>
    <row r="375" spans="1:51" x14ac:dyDescent="0.25">
      <c r="A375" s="53"/>
      <c r="C375" s="54"/>
      <c r="F375" s="449"/>
      <c r="H375" s="449"/>
      <c r="I375" s="449"/>
      <c r="J375" s="472"/>
      <c r="K375" s="472"/>
      <c r="L375" s="379"/>
      <c r="M375" s="379"/>
      <c r="N375" s="50"/>
      <c r="O375" s="50"/>
      <c r="P375" s="449"/>
      <c r="Q375" s="449"/>
      <c r="R375" s="379"/>
      <c r="T375" s="196" t="s">
        <v>177</v>
      </c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  <c r="AF375" s="194"/>
      <c r="AG375" s="335"/>
      <c r="AH375" s="194"/>
      <c r="AI375" s="194"/>
      <c r="AJ375" s="194"/>
      <c r="AK375" s="335"/>
      <c r="AL375" s="194"/>
      <c r="AM375" s="194"/>
      <c r="AN375" s="194"/>
      <c r="AO375" s="196" t="s">
        <v>4</v>
      </c>
      <c r="AP375" s="196"/>
      <c r="AQ375" s="331"/>
      <c r="AS375" s="382"/>
      <c r="AW375" s="378"/>
    </row>
    <row r="376" spans="1:51" x14ac:dyDescent="0.25">
      <c r="A376" s="53"/>
      <c r="C376" s="54"/>
      <c r="F376" s="449"/>
      <c r="H376" s="449"/>
      <c r="I376" s="449"/>
      <c r="J376" s="472"/>
      <c r="K376" s="472"/>
      <c r="L376" s="379"/>
      <c r="M376" s="379"/>
      <c r="N376" s="50"/>
      <c r="O376" s="50"/>
      <c r="P376" s="449"/>
      <c r="Q376" s="449"/>
      <c r="R376" s="379"/>
      <c r="T376" s="527" t="str">
        <f>TIME</f>
        <v>6 Months Actual and 6 Months Projected with Riders</v>
      </c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229"/>
      <c r="AF376" s="196"/>
      <c r="AG376" s="335"/>
      <c r="AH376" s="194"/>
      <c r="AI376" s="194"/>
      <c r="AJ376" s="194"/>
      <c r="AK376" s="335"/>
      <c r="AL376" s="194"/>
      <c r="AM376" s="194"/>
      <c r="AN376" s="194"/>
      <c r="AO376" s="336" t="str">
        <f>WIT</f>
        <v>J. L. Kern</v>
      </c>
      <c r="AP376" s="306"/>
      <c r="AQ376" s="331"/>
      <c r="AS376" s="382"/>
      <c r="AW376" s="378"/>
    </row>
    <row r="377" spans="1:51" x14ac:dyDescent="0.25">
      <c r="A377" s="53"/>
      <c r="C377" s="54"/>
      <c r="F377" s="449"/>
      <c r="H377" s="449"/>
      <c r="I377" s="449"/>
      <c r="J377" s="472"/>
      <c r="K377" s="472"/>
      <c r="L377" s="379"/>
      <c r="M377" s="379"/>
      <c r="N377" s="50"/>
      <c r="O377" s="50"/>
      <c r="P377" s="449"/>
      <c r="Q377" s="449"/>
      <c r="R377" s="379"/>
      <c r="T377" s="334" t="s">
        <v>137</v>
      </c>
      <c r="U377" s="297"/>
      <c r="V377" s="297"/>
      <c r="W377" s="297"/>
      <c r="X377" s="297"/>
      <c r="Y377" s="297"/>
      <c r="Z377" s="297"/>
      <c r="AA377" s="297"/>
      <c r="AB377" s="297"/>
      <c r="AC377" s="297"/>
      <c r="AD377" s="297"/>
      <c r="AE377" s="334"/>
      <c r="AF377" s="334"/>
      <c r="AG377" s="337"/>
      <c r="AH377" s="297"/>
      <c r="AI377" s="297"/>
      <c r="AJ377" s="297"/>
      <c r="AK377" s="337"/>
      <c r="AL377" s="297"/>
      <c r="AM377" s="297"/>
      <c r="AN377" s="297"/>
      <c r="AO377" s="334"/>
      <c r="AP377" s="334"/>
      <c r="AQ377" s="331"/>
      <c r="AS377" s="382"/>
      <c r="AW377" s="43"/>
    </row>
    <row r="378" spans="1:51" x14ac:dyDescent="0.25">
      <c r="A378" s="53"/>
      <c r="C378" s="54"/>
      <c r="F378" s="449"/>
      <c r="H378" s="449"/>
      <c r="I378" s="449"/>
      <c r="J378" s="472"/>
      <c r="K378" s="472"/>
      <c r="L378" s="379"/>
      <c r="M378" s="379"/>
      <c r="N378" s="50"/>
      <c r="O378" s="50"/>
      <c r="P378" s="449"/>
      <c r="Q378" s="449"/>
      <c r="R378" s="379"/>
      <c r="T378" s="298"/>
      <c r="U378" s="298"/>
      <c r="V378" s="298"/>
      <c r="W378" s="298"/>
      <c r="X378" s="298"/>
      <c r="Y378" s="298"/>
      <c r="Z378" s="298"/>
      <c r="AA378" s="298"/>
      <c r="AB378" s="298"/>
      <c r="AC378" s="298"/>
      <c r="AD378" s="298"/>
      <c r="AE378" s="298"/>
      <c r="AF378" s="298"/>
      <c r="AG378" s="338"/>
      <c r="AH378" s="298"/>
      <c r="AI378" s="298"/>
      <c r="AJ378" s="298"/>
      <c r="AK378" s="338"/>
      <c r="AL378" s="298"/>
      <c r="AM378" s="298"/>
      <c r="AN378" s="298"/>
      <c r="AO378" s="298"/>
      <c r="AP378" s="298"/>
      <c r="AQ378" s="339"/>
      <c r="AS378" s="382"/>
      <c r="AW378" s="55"/>
    </row>
    <row r="379" spans="1:51" ht="18" customHeight="1" x14ac:dyDescent="0.25">
      <c r="A379" s="53"/>
      <c r="C379" s="54"/>
      <c r="F379" s="449"/>
      <c r="H379" s="449"/>
      <c r="I379" s="449"/>
      <c r="J379" s="472"/>
      <c r="K379" s="472"/>
      <c r="L379" s="379"/>
      <c r="M379" s="379"/>
      <c r="N379" s="50"/>
      <c r="O379" s="50"/>
      <c r="P379" s="449"/>
      <c r="Q379" s="449"/>
      <c r="R379" s="379"/>
      <c r="T379" s="299"/>
      <c r="U379" s="299"/>
      <c r="V379" s="299"/>
      <c r="W379" s="299"/>
      <c r="X379" s="299"/>
      <c r="Y379" s="299"/>
      <c r="Z379" s="299"/>
      <c r="AA379" s="299"/>
      <c r="AB379" s="299"/>
      <c r="AC379" s="299"/>
      <c r="AD379" s="299"/>
      <c r="AE379" s="340" t="s">
        <v>8</v>
      </c>
      <c r="AF379" s="340"/>
      <c r="AG379" s="341" t="s">
        <v>7</v>
      </c>
      <c r="AH379" s="340"/>
      <c r="AI379" s="340" t="s">
        <v>9</v>
      </c>
      <c r="AJ379" s="340"/>
      <c r="AK379" s="341" t="s">
        <v>10</v>
      </c>
      <c r="AL379" s="340"/>
      <c r="AM379" s="299"/>
      <c r="AN379" s="299"/>
      <c r="AO379" s="340" t="s">
        <v>8</v>
      </c>
      <c r="AP379" s="340"/>
      <c r="AQ379" s="341" t="s">
        <v>11</v>
      </c>
      <c r="AS379" s="382"/>
    </row>
    <row r="380" spans="1:51" x14ac:dyDescent="0.25">
      <c r="A380" s="53"/>
      <c r="C380" s="54"/>
      <c r="F380" s="449"/>
      <c r="H380" s="449"/>
      <c r="I380" s="449"/>
      <c r="J380" s="472"/>
      <c r="K380" s="472"/>
      <c r="L380" s="379"/>
      <c r="M380" s="379"/>
      <c r="N380" s="50"/>
      <c r="O380" s="50"/>
      <c r="P380" s="449"/>
      <c r="Q380" s="449"/>
      <c r="R380" s="379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7" t="s">
        <v>14</v>
      </c>
      <c r="AD380" s="197"/>
      <c r="AE380" s="197" t="s">
        <v>12</v>
      </c>
      <c r="AF380" s="197"/>
      <c r="AG380" s="342" t="s">
        <v>13</v>
      </c>
      <c r="AH380" s="197"/>
      <c r="AI380" s="197" t="s">
        <v>15</v>
      </c>
      <c r="AJ380" s="197"/>
      <c r="AK380" s="342" t="s">
        <v>16</v>
      </c>
      <c r="AL380" s="197"/>
      <c r="AM380" s="194"/>
      <c r="AN380" s="194"/>
      <c r="AO380" s="197" t="s">
        <v>11</v>
      </c>
      <c r="AP380" s="197"/>
      <c r="AQ380" s="342" t="s">
        <v>9</v>
      </c>
      <c r="AS380" s="382"/>
      <c r="AT380" s="137" t="s">
        <v>470</v>
      </c>
    </row>
    <row r="381" spans="1:51" x14ac:dyDescent="0.25">
      <c r="A381" s="53"/>
      <c r="C381" s="54"/>
      <c r="F381" s="449"/>
      <c r="H381" s="449"/>
      <c r="I381" s="449"/>
      <c r="J381" s="472"/>
      <c r="K381" s="472"/>
      <c r="L381" s="379"/>
      <c r="M381" s="379"/>
      <c r="N381" s="50"/>
      <c r="O381" s="50"/>
      <c r="P381" s="449"/>
      <c r="Q381" s="449"/>
      <c r="R381" s="379"/>
      <c r="T381" s="197" t="s">
        <v>17</v>
      </c>
      <c r="U381" s="194"/>
      <c r="V381" s="197" t="s">
        <v>18</v>
      </c>
      <c r="W381" s="197" t="s">
        <v>19</v>
      </c>
      <c r="X381" s="197"/>
      <c r="Y381" s="197" t="s">
        <v>20</v>
      </c>
      <c r="Z381" s="194"/>
      <c r="AA381" s="194"/>
      <c r="AB381" s="194"/>
      <c r="AC381" s="197" t="s">
        <v>8</v>
      </c>
      <c r="AD381" s="197"/>
      <c r="AE381" s="197" t="s">
        <v>21</v>
      </c>
      <c r="AF381" s="197"/>
      <c r="AG381" s="342" t="s">
        <v>21</v>
      </c>
      <c r="AH381" s="197"/>
      <c r="AI381" s="197" t="s">
        <v>22</v>
      </c>
      <c r="AJ381" s="197"/>
      <c r="AK381" s="342" t="s">
        <v>22</v>
      </c>
      <c r="AL381" s="197"/>
      <c r="AM381" s="197" t="s">
        <v>21</v>
      </c>
      <c r="AN381" s="197"/>
      <c r="AO381" s="197" t="s">
        <v>9</v>
      </c>
      <c r="AP381" s="197"/>
      <c r="AQ381" s="342" t="s">
        <v>23</v>
      </c>
      <c r="AS381" s="382"/>
      <c r="AT381" s="137" t="s">
        <v>471</v>
      </c>
    </row>
    <row r="382" spans="1:51" x14ac:dyDescent="0.25">
      <c r="A382" s="53"/>
      <c r="C382" s="54"/>
      <c r="F382" s="449"/>
      <c r="H382" s="449"/>
      <c r="I382" s="449"/>
      <c r="J382" s="472"/>
      <c r="K382" s="472"/>
      <c r="L382" s="379"/>
      <c r="M382" s="379"/>
      <c r="N382" s="50"/>
      <c r="O382" s="50"/>
      <c r="P382" s="449"/>
      <c r="Q382" s="449"/>
      <c r="R382" s="379"/>
      <c r="T382" s="197" t="s">
        <v>24</v>
      </c>
      <c r="U382" s="194"/>
      <c r="V382" s="197" t="s">
        <v>25</v>
      </c>
      <c r="W382" s="197" t="s">
        <v>26</v>
      </c>
      <c r="X382" s="197"/>
      <c r="Y382" s="197" t="s">
        <v>27</v>
      </c>
      <c r="Z382" s="194"/>
      <c r="AA382" s="197" t="s">
        <v>28</v>
      </c>
      <c r="AB382" s="197"/>
      <c r="AC382" s="343" t="s">
        <v>381</v>
      </c>
      <c r="AD382" s="197"/>
      <c r="AE382" s="197" t="s">
        <v>9</v>
      </c>
      <c r="AF382" s="197"/>
      <c r="AG382" s="342" t="s">
        <v>9</v>
      </c>
      <c r="AH382" s="197"/>
      <c r="AI382" s="512" t="s">
        <v>31</v>
      </c>
      <c r="AJ382" s="512"/>
      <c r="AK382" s="528" t="s">
        <v>32</v>
      </c>
      <c r="AL382" s="197"/>
      <c r="AM382" s="197" t="s">
        <v>379</v>
      </c>
      <c r="AN382" s="197"/>
      <c r="AO382" s="512" t="s">
        <v>33</v>
      </c>
      <c r="AP382" s="512"/>
      <c r="AQ382" s="528" t="s">
        <v>34</v>
      </c>
      <c r="AS382" s="382"/>
      <c r="AT382" s="137" t="s">
        <v>472</v>
      </c>
      <c r="AW382" s="56"/>
      <c r="AX382" s="380" t="s">
        <v>354</v>
      </c>
      <c r="AY382" s="380" t="s">
        <v>355</v>
      </c>
    </row>
    <row r="383" spans="1:51" x14ac:dyDescent="0.25">
      <c r="A383" s="53"/>
      <c r="C383" s="54"/>
      <c r="F383" s="449"/>
      <c r="H383" s="449"/>
      <c r="I383" s="449"/>
      <c r="J383" s="472"/>
      <c r="K383" s="472"/>
      <c r="L383" s="379"/>
      <c r="M383" s="379"/>
      <c r="N383" s="50"/>
      <c r="O383" s="50"/>
      <c r="P383" s="449"/>
      <c r="Q383" s="449"/>
      <c r="R383" s="379"/>
      <c r="T383" s="194"/>
      <c r="U383" s="194"/>
      <c r="V383" s="512" t="s">
        <v>35</v>
      </c>
      <c r="W383" s="512" t="s">
        <v>36</v>
      </c>
      <c r="X383" s="512"/>
      <c r="Y383" s="512" t="s">
        <v>37</v>
      </c>
      <c r="Z383" s="527"/>
      <c r="AA383" s="512" t="s">
        <v>38</v>
      </c>
      <c r="AB383" s="512"/>
      <c r="AC383" s="512" t="s">
        <v>44</v>
      </c>
      <c r="AD383" s="512"/>
      <c r="AE383" s="512" t="s">
        <v>45</v>
      </c>
      <c r="AF383" s="512"/>
      <c r="AG383" s="528" t="s">
        <v>46</v>
      </c>
      <c r="AH383" s="512"/>
      <c r="AI383" s="512" t="s">
        <v>47</v>
      </c>
      <c r="AJ383" s="512"/>
      <c r="AK383" s="528" t="s">
        <v>48</v>
      </c>
      <c r="AL383" s="512"/>
      <c r="AM383" s="512" t="s">
        <v>42</v>
      </c>
      <c r="AN383" s="512"/>
      <c r="AO383" s="512" t="s">
        <v>49</v>
      </c>
      <c r="AP383" s="512"/>
      <c r="AQ383" s="528" t="s">
        <v>50</v>
      </c>
      <c r="AS383" s="382"/>
      <c r="AW383" s="380" t="s">
        <v>353</v>
      </c>
      <c r="AX383" s="380" t="s">
        <v>352</v>
      </c>
      <c r="AY383" s="380" t="s">
        <v>352</v>
      </c>
    </row>
    <row r="384" spans="1:51" ht="17.100000000000001" customHeight="1" x14ac:dyDescent="0.25">
      <c r="A384" s="53"/>
      <c r="C384" s="54"/>
      <c r="F384" s="449"/>
      <c r="H384" s="449"/>
      <c r="I384" s="449"/>
      <c r="J384" s="472"/>
      <c r="K384" s="472"/>
      <c r="L384" s="379"/>
      <c r="M384" s="379"/>
      <c r="N384" s="50"/>
      <c r="O384" s="50"/>
      <c r="P384" s="449"/>
      <c r="Q384" s="449"/>
      <c r="R384" s="379"/>
      <c r="T384" s="299"/>
      <c r="U384" s="299"/>
      <c r="V384" s="299"/>
      <c r="W384" s="299"/>
      <c r="X384" s="299"/>
      <c r="Y384" s="299"/>
      <c r="Z384" s="299"/>
      <c r="AA384" s="529" t="s">
        <v>51</v>
      </c>
      <c r="AB384" s="529"/>
      <c r="AC384" s="530" t="s">
        <v>71</v>
      </c>
      <c r="AD384" s="529"/>
      <c r="AE384" s="529" t="s">
        <v>52</v>
      </c>
      <c r="AF384" s="529"/>
      <c r="AG384" s="531" t="s">
        <v>53</v>
      </c>
      <c r="AH384" s="529"/>
      <c r="AI384" s="529" t="s">
        <v>52</v>
      </c>
      <c r="AJ384" s="529"/>
      <c r="AK384" s="531" t="s">
        <v>53</v>
      </c>
      <c r="AL384" s="529"/>
      <c r="AM384" s="529" t="s">
        <v>52</v>
      </c>
      <c r="AN384" s="529"/>
      <c r="AO384" s="529" t="s">
        <v>52</v>
      </c>
      <c r="AP384" s="529"/>
      <c r="AQ384" s="531" t="s">
        <v>53</v>
      </c>
      <c r="AS384" s="382"/>
      <c r="AW384" s="56"/>
    </row>
    <row r="385" spans="1:51" x14ac:dyDescent="0.25">
      <c r="A385" s="53"/>
      <c r="C385" s="54"/>
      <c r="F385" s="449"/>
      <c r="H385" s="449"/>
      <c r="I385" s="449"/>
      <c r="J385" s="472"/>
      <c r="K385" s="472"/>
      <c r="L385" s="379"/>
      <c r="M385" s="379"/>
      <c r="N385" s="50"/>
      <c r="O385" s="50"/>
      <c r="P385" s="449"/>
      <c r="Q385" s="449"/>
      <c r="R385" s="379"/>
      <c r="T385" s="368">
        <v>97</v>
      </c>
      <c r="U385" s="194"/>
      <c r="V385" s="520" t="s">
        <v>79</v>
      </c>
      <c r="W385" s="518" t="s">
        <v>303</v>
      </c>
      <c r="X385" s="196"/>
      <c r="Y385" s="131"/>
      <c r="Z385" s="131"/>
      <c r="AA385" s="131"/>
      <c r="AB385" s="131"/>
      <c r="AC385" s="131"/>
      <c r="AD385" s="131"/>
      <c r="AE385" s="131"/>
      <c r="AF385" s="131"/>
      <c r="AG385" s="311"/>
      <c r="AH385" s="131"/>
      <c r="AI385" s="131"/>
      <c r="AJ385" s="131"/>
      <c r="AK385" s="311"/>
      <c r="AL385" s="131"/>
      <c r="AM385" s="131"/>
      <c r="AN385" s="131"/>
      <c r="AO385" s="131"/>
      <c r="AP385" s="131"/>
      <c r="AQ385" s="312"/>
      <c r="AS385" s="382"/>
      <c r="AW385" s="2"/>
    </row>
    <row r="386" spans="1:51" x14ac:dyDescent="0.25">
      <c r="A386" s="53"/>
      <c r="C386" s="54"/>
      <c r="F386" s="449"/>
      <c r="H386" s="449"/>
      <c r="I386" s="449"/>
      <c r="J386" s="472"/>
      <c r="K386" s="472"/>
      <c r="L386" s="379"/>
      <c r="M386" s="379"/>
      <c r="N386" s="50"/>
      <c r="O386" s="50"/>
      <c r="P386" s="449"/>
      <c r="Q386" s="449"/>
      <c r="R386" s="379"/>
      <c r="T386" s="368">
        <v>98</v>
      </c>
      <c r="U386" s="194"/>
      <c r="V386" s="520" t="s">
        <v>476</v>
      </c>
      <c r="W386" s="527"/>
      <c r="X386" s="194"/>
      <c r="Y386" s="131"/>
      <c r="Z386" s="131"/>
      <c r="AA386" s="131"/>
      <c r="AB386" s="131"/>
      <c r="AC386" s="309"/>
      <c r="AD386" s="526"/>
      <c r="AE386" s="191"/>
      <c r="AF386" s="191"/>
      <c r="AG386" s="302"/>
      <c r="AH386" s="303"/>
      <c r="AI386" s="191"/>
      <c r="AJ386" s="191"/>
      <c r="AK386" s="304"/>
      <c r="AL386" s="305"/>
      <c r="AM386" s="191"/>
      <c r="AN386" s="191"/>
      <c r="AO386" s="191"/>
      <c r="AP386" s="191"/>
      <c r="AQ386" s="304"/>
      <c r="AS386" s="382"/>
      <c r="AW386" s="2"/>
    </row>
    <row r="387" spans="1:51" x14ac:dyDescent="0.25">
      <c r="A387" s="53"/>
      <c r="C387" s="54"/>
      <c r="F387" s="449"/>
      <c r="H387" s="449"/>
      <c r="I387" s="449"/>
      <c r="J387" s="472"/>
      <c r="K387" s="472"/>
      <c r="L387" s="379"/>
      <c r="M387" s="379"/>
      <c r="N387" s="50"/>
      <c r="O387" s="50"/>
      <c r="P387" s="449"/>
      <c r="Q387" s="449"/>
      <c r="R387" s="379"/>
      <c r="T387" s="368">
        <v>99</v>
      </c>
      <c r="U387" s="194"/>
      <c r="V387" s="520" t="s">
        <v>325</v>
      </c>
      <c r="W387" s="194"/>
      <c r="X387" s="194"/>
      <c r="Y387" s="189"/>
      <c r="Z387" s="131"/>
      <c r="AA387" s="189"/>
      <c r="AB387" s="189"/>
      <c r="AC387" s="526"/>
      <c r="AD387" s="526"/>
      <c r="AE387" s="191"/>
      <c r="AF387" s="191"/>
      <c r="AG387" s="302"/>
      <c r="AH387" s="303"/>
      <c r="AI387" s="191"/>
      <c r="AJ387" s="191"/>
      <c r="AK387" s="304"/>
      <c r="AL387" s="305"/>
      <c r="AM387" s="308"/>
      <c r="AN387" s="191"/>
      <c r="AO387" s="191"/>
      <c r="AP387" s="191"/>
      <c r="AQ387" s="304"/>
      <c r="AS387" s="382"/>
      <c r="AW387" s="200"/>
    </row>
    <row r="388" spans="1:51" x14ac:dyDescent="0.25">
      <c r="A388" s="53"/>
      <c r="C388" s="54"/>
      <c r="F388" s="449"/>
      <c r="H388" s="449"/>
      <c r="I388" s="449"/>
      <c r="J388" s="472"/>
      <c r="K388" s="472"/>
      <c r="L388" s="379"/>
      <c r="M388" s="379"/>
      <c r="N388" s="50"/>
      <c r="O388" s="50"/>
      <c r="P388" s="449"/>
      <c r="Q388" s="449"/>
      <c r="R388" s="379"/>
      <c r="T388" s="368">
        <v>100</v>
      </c>
      <c r="U388" s="294"/>
      <c r="V388" s="295" t="str">
        <f t="shared" ref="V388:V396" si="163">C168</f>
        <v xml:space="preserve"> 14,000 LUMEN TRADITIONAIRE</v>
      </c>
      <c r="W388" s="294"/>
      <c r="X388" s="194"/>
      <c r="Y388" s="189">
        <f t="shared" ref="Y388:Y396" si="164">F168</f>
        <v>0</v>
      </c>
      <c r="Z388" s="131"/>
      <c r="AA388" s="189">
        <f t="shared" ref="AA388:AA396" si="165">H168</f>
        <v>0</v>
      </c>
      <c r="AB388" s="189"/>
      <c r="AC388" s="521">
        <v>7.64</v>
      </c>
      <c r="AD388" s="526"/>
      <c r="AE388" s="191">
        <f t="shared" ref="AE388:AE396" si="166">ROUND((Y388*AC388),0)</f>
        <v>0</v>
      </c>
      <c r="AF388" s="191"/>
      <c r="AG388" s="302">
        <f t="shared" ref="AG388:AG396" si="167">ROUND((AE388/AE$429)*100,1)</f>
        <v>0</v>
      </c>
      <c r="AH388" s="303"/>
      <c r="AI388" s="191">
        <f t="shared" ref="AI388:AI396" si="168">L168-AE388</f>
        <v>0</v>
      </c>
      <c r="AJ388" s="191"/>
      <c r="AK388" s="304" t="str">
        <f t="shared" ref="AK388:AK396" si="169">IF(AE388=0,"0.0 ",ROUND((AI388/AE388)*100,1))</f>
        <v xml:space="preserve">0.0 </v>
      </c>
      <c r="AL388" s="305"/>
      <c r="AM388" s="191">
        <f t="shared" ref="AM388:AM396" si="170">ROUND($AM$429/$AA$429*AA388,0)</f>
        <v>0</v>
      </c>
      <c r="AN388" s="191"/>
      <c r="AO388" s="191">
        <f t="shared" ref="AO388:AO396" si="171">AE388+AM388</f>
        <v>0</v>
      </c>
      <c r="AP388" s="191"/>
      <c r="AQ388" s="304" t="str">
        <f t="shared" ref="AQ388:AQ396" si="172">IF(AO388=0,"0.0 ",ROUND((AI388/AO388)*100,1))</f>
        <v xml:space="preserve">0.0 </v>
      </c>
      <c r="AS388" s="382"/>
      <c r="AT388" s="77">
        <f>AC388-AX388</f>
        <v>5.9499999999999993</v>
      </c>
      <c r="AW388" s="392">
        <v>853</v>
      </c>
      <c r="AX388" s="380">
        <f>ROUND((AW388/12)*CUR_BASE_FUEL,2)</f>
        <v>1.69</v>
      </c>
      <c r="AY388" s="380">
        <f>ROUND((AW388/12)*PRO_BASE_FUEL,2)</f>
        <v>1.69</v>
      </c>
    </row>
    <row r="389" spans="1:51" x14ac:dyDescent="0.25">
      <c r="A389" s="53"/>
      <c r="C389" s="54"/>
      <c r="F389" s="449"/>
      <c r="H389" s="449"/>
      <c r="I389" s="449"/>
      <c r="J389" s="472"/>
      <c r="K389" s="472"/>
      <c r="L389" s="379"/>
      <c r="M389" s="379"/>
      <c r="N389" s="50"/>
      <c r="O389" s="50"/>
      <c r="P389" s="449"/>
      <c r="Q389" s="449"/>
      <c r="R389" s="379"/>
      <c r="T389" s="368">
        <v>101</v>
      </c>
      <c r="U389" s="294"/>
      <c r="V389" s="295" t="str">
        <f t="shared" si="163"/>
        <v xml:space="preserve"> 14,000 LUMEN TRADITIONAIRE (7)</v>
      </c>
      <c r="W389" s="294"/>
      <c r="X389" s="194"/>
      <c r="Y389" s="189">
        <f t="shared" si="164"/>
        <v>60</v>
      </c>
      <c r="Z389" s="131"/>
      <c r="AA389" s="189">
        <f t="shared" si="165"/>
        <v>4265</v>
      </c>
      <c r="AB389" s="189"/>
      <c r="AC389" s="521">
        <f>$AC$388+$AC$9</f>
        <v>19.87</v>
      </c>
      <c r="AD389" s="526"/>
      <c r="AE389" s="191">
        <f t="shared" si="166"/>
        <v>1192</v>
      </c>
      <c r="AF389" s="191"/>
      <c r="AG389" s="302">
        <f t="shared" si="167"/>
        <v>0.1</v>
      </c>
      <c r="AH389" s="303"/>
      <c r="AI389" s="191">
        <f t="shared" si="168"/>
        <v>147</v>
      </c>
      <c r="AJ389" s="191"/>
      <c r="AK389" s="304">
        <f t="shared" si="169"/>
        <v>12.3</v>
      </c>
      <c r="AL389" s="305"/>
      <c r="AM389" s="191">
        <f t="shared" si="170"/>
        <v>3</v>
      </c>
      <c r="AN389" s="191"/>
      <c r="AO389" s="191">
        <f t="shared" si="171"/>
        <v>1195</v>
      </c>
      <c r="AP389" s="191"/>
      <c r="AQ389" s="304">
        <f t="shared" si="172"/>
        <v>12.3</v>
      </c>
      <c r="AS389" s="382"/>
      <c r="AT389" s="77"/>
      <c r="AW389" s="392"/>
    </row>
    <row r="390" spans="1:51" x14ac:dyDescent="0.25">
      <c r="A390" s="53"/>
      <c r="C390" s="54"/>
      <c r="F390" s="449"/>
      <c r="H390" s="449"/>
      <c r="I390" s="449"/>
      <c r="J390" s="472"/>
      <c r="K390" s="472"/>
      <c r="L390" s="379"/>
      <c r="M390" s="379"/>
      <c r="N390" s="50"/>
      <c r="O390" s="50"/>
      <c r="P390" s="449"/>
      <c r="Q390" s="449"/>
      <c r="R390" s="379"/>
      <c r="T390" s="368">
        <v>102</v>
      </c>
      <c r="U390" s="294"/>
      <c r="V390" s="295" t="str">
        <f t="shared" si="163"/>
        <v xml:space="preserve"> 14,000 LUMEN TRADITIONAIRE (10)</v>
      </c>
      <c r="W390" s="294"/>
      <c r="X390" s="194"/>
      <c r="Y390" s="189">
        <f t="shared" si="164"/>
        <v>468</v>
      </c>
      <c r="Z390" s="131"/>
      <c r="AA390" s="189">
        <f t="shared" si="165"/>
        <v>33267</v>
      </c>
      <c r="AB390" s="189"/>
      <c r="AC390" s="521">
        <f>AC388+$AC$13</f>
        <v>12.14</v>
      </c>
      <c r="AD390" s="526"/>
      <c r="AE390" s="191">
        <f t="shared" si="166"/>
        <v>5682</v>
      </c>
      <c r="AF390" s="191"/>
      <c r="AG390" s="302">
        <f t="shared" si="167"/>
        <v>0.4</v>
      </c>
      <c r="AH390" s="303"/>
      <c r="AI390" s="191">
        <f t="shared" si="168"/>
        <v>697</v>
      </c>
      <c r="AJ390" s="191"/>
      <c r="AK390" s="304">
        <f t="shared" si="169"/>
        <v>12.3</v>
      </c>
      <c r="AL390" s="305"/>
      <c r="AM390" s="191">
        <f t="shared" si="170"/>
        <v>23</v>
      </c>
      <c r="AN390" s="191"/>
      <c r="AO390" s="191">
        <f t="shared" si="171"/>
        <v>5705</v>
      </c>
      <c r="AP390" s="191"/>
      <c r="AQ390" s="304">
        <f t="shared" si="172"/>
        <v>12.2</v>
      </c>
      <c r="AS390" s="382"/>
      <c r="AT390" s="77"/>
      <c r="AW390" s="392"/>
    </row>
    <row r="391" spans="1:51" x14ac:dyDescent="0.25">
      <c r="A391" s="53"/>
      <c r="C391" s="54"/>
      <c r="F391" s="449"/>
      <c r="H391" s="449"/>
      <c r="I391" s="449"/>
      <c r="J391" s="472"/>
      <c r="K391" s="472"/>
      <c r="L391" s="379"/>
      <c r="M391" s="379"/>
      <c r="N391" s="50"/>
      <c r="O391" s="50"/>
      <c r="P391" s="449"/>
      <c r="Q391" s="449"/>
      <c r="R391" s="379"/>
      <c r="T391" s="368">
        <v>103</v>
      </c>
      <c r="U391" s="294"/>
      <c r="V391" s="295" t="str">
        <f t="shared" si="163"/>
        <v xml:space="preserve"> 14,000 LUMEN GRANVILLE</v>
      </c>
      <c r="W391" s="294"/>
      <c r="X391" s="194"/>
      <c r="Y391" s="189">
        <f t="shared" si="164"/>
        <v>0</v>
      </c>
      <c r="Z391" s="131"/>
      <c r="AA391" s="189">
        <f t="shared" si="165"/>
        <v>0</v>
      </c>
      <c r="AB391" s="189"/>
      <c r="AC391" s="521">
        <v>13.91</v>
      </c>
      <c r="AD391" s="526"/>
      <c r="AE391" s="191">
        <f t="shared" si="166"/>
        <v>0</v>
      </c>
      <c r="AF391" s="191"/>
      <c r="AG391" s="302">
        <f t="shared" si="167"/>
        <v>0</v>
      </c>
      <c r="AH391" s="303"/>
      <c r="AI391" s="191">
        <f t="shared" si="168"/>
        <v>0</v>
      </c>
      <c r="AJ391" s="191"/>
      <c r="AK391" s="304" t="str">
        <f t="shared" si="169"/>
        <v xml:space="preserve">0.0 </v>
      </c>
      <c r="AL391" s="305"/>
      <c r="AM391" s="191">
        <f t="shared" si="170"/>
        <v>0</v>
      </c>
      <c r="AN391" s="191"/>
      <c r="AO391" s="191">
        <f t="shared" si="171"/>
        <v>0</v>
      </c>
      <c r="AP391" s="191"/>
      <c r="AQ391" s="304" t="str">
        <f t="shared" si="172"/>
        <v xml:space="preserve">0.0 </v>
      </c>
      <c r="AS391" s="382"/>
      <c r="AT391" s="77">
        <f>AC391-AX391</f>
        <v>12.17</v>
      </c>
      <c r="AW391" s="392">
        <v>874</v>
      </c>
      <c r="AX391" s="380">
        <f>ROUND((AW391/12)*CUR_BASE_FUEL,2)</f>
        <v>1.74</v>
      </c>
      <c r="AY391" s="380">
        <f>ROUND((AW391/12)*PRO_BASE_FUEL,2)</f>
        <v>1.74</v>
      </c>
    </row>
    <row r="392" spans="1:51" x14ac:dyDescent="0.25">
      <c r="A392" s="53"/>
      <c r="C392" s="54"/>
      <c r="F392" s="449"/>
      <c r="H392" s="449"/>
      <c r="I392" s="449"/>
      <c r="J392" s="472"/>
      <c r="K392" s="472"/>
      <c r="L392" s="379"/>
      <c r="M392" s="379"/>
      <c r="N392" s="50"/>
      <c r="O392" s="50"/>
      <c r="P392" s="449"/>
      <c r="Q392" s="449"/>
      <c r="R392" s="379"/>
      <c r="T392" s="368">
        <v>104</v>
      </c>
      <c r="U392" s="294"/>
      <c r="V392" s="295" t="str">
        <f t="shared" si="163"/>
        <v xml:space="preserve"> 14,000 LUMEN GRANVILLE (11)</v>
      </c>
      <c r="W392" s="294"/>
      <c r="X392" s="194"/>
      <c r="Y392" s="189">
        <f t="shared" si="164"/>
        <v>0</v>
      </c>
      <c r="Z392" s="131"/>
      <c r="AA392" s="189">
        <f t="shared" si="165"/>
        <v>0</v>
      </c>
      <c r="AB392" s="189"/>
      <c r="AC392" s="521">
        <f>$AC$391+$AC$14</f>
        <v>27.060000000000002</v>
      </c>
      <c r="AD392" s="526"/>
      <c r="AE392" s="191">
        <f t="shared" si="166"/>
        <v>0</v>
      </c>
      <c r="AF392" s="191"/>
      <c r="AG392" s="302">
        <f t="shared" si="167"/>
        <v>0</v>
      </c>
      <c r="AH392" s="303"/>
      <c r="AI392" s="191">
        <f t="shared" si="168"/>
        <v>0</v>
      </c>
      <c r="AJ392" s="191"/>
      <c r="AK392" s="304" t="str">
        <f t="shared" si="169"/>
        <v xml:space="preserve">0.0 </v>
      </c>
      <c r="AL392" s="305"/>
      <c r="AM392" s="191">
        <f t="shared" si="170"/>
        <v>0</v>
      </c>
      <c r="AN392" s="191"/>
      <c r="AO392" s="191">
        <f t="shared" si="171"/>
        <v>0</v>
      </c>
      <c r="AP392" s="191"/>
      <c r="AQ392" s="304" t="str">
        <f t="shared" si="172"/>
        <v xml:space="preserve">0.0 </v>
      </c>
      <c r="AS392" s="382"/>
      <c r="AT392" s="77"/>
      <c r="AW392" s="392"/>
    </row>
    <row r="393" spans="1:51" x14ac:dyDescent="0.25">
      <c r="A393" s="53"/>
      <c r="C393" s="54"/>
      <c r="F393" s="449"/>
      <c r="H393" s="449"/>
      <c r="I393" s="449"/>
      <c r="J393" s="472"/>
      <c r="K393" s="472"/>
      <c r="L393" s="379"/>
      <c r="M393" s="379"/>
      <c r="N393" s="50"/>
      <c r="O393" s="50"/>
      <c r="P393" s="449"/>
      <c r="Q393" s="449"/>
      <c r="R393" s="379"/>
      <c r="T393" s="368">
        <v>105</v>
      </c>
      <c r="U393" s="294"/>
      <c r="V393" s="295" t="str">
        <f t="shared" si="163"/>
        <v xml:space="preserve"> 14,000 LUMEN GAS REPLICA</v>
      </c>
      <c r="W393" s="294"/>
      <c r="X393" s="194"/>
      <c r="Y393" s="189">
        <f t="shared" si="164"/>
        <v>0</v>
      </c>
      <c r="Z393" s="131"/>
      <c r="AA393" s="189">
        <f t="shared" si="165"/>
        <v>0</v>
      </c>
      <c r="AB393" s="189"/>
      <c r="AC393" s="521">
        <v>22.04</v>
      </c>
      <c r="AD393" s="526"/>
      <c r="AE393" s="191">
        <f t="shared" si="166"/>
        <v>0</v>
      </c>
      <c r="AF393" s="191"/>
      <c r="AG393" s="302">
        <f t="shared" si="167"/>
        <v>0</v>
      </c>
      <c r="AH393" s="303"/>
      <c r="AI393" s="191">
        <f t="shared" si="168"/>
        <v>0</v>
      </c>
      <c r="AJ393" s="191"/>
      <c r="AK393" s="304" t="str">
        <f t="shared" si="169"/>
        <v xml:space="preserve">0.0 </v>
      </c>
      <c r="AL393" s="305"/>
      <c r="AM393" s="191">
        <f t="shared" si="170"/>
        <v>0</v>
      </c>
      <c r="AN393" s="191"/>
      <c r="AO393" s="191">
        <f t="shared" si="171"/>
        <v>0</v>
      </c>
      <c r="AP393" s="191"/>
      <c r="AQ393" s="304" t="str">
        <f t="shared" si="172"/>
        <v xml:space="preserve">0.0 </v>
      </c>
      <c r="AS393" s="382"/>
      <c r="AT393" s="77">
        <f>AC393-AX393</f>
        <v>20.3</v>
      </c>
      <c r="AW393" s="392">
        <v>874</v>
      </c>
      <c r="AX393" s="380">
        <f>ROUND((AW393/12)*CUR_BASE_FUEL,2)</f>
        <v>1.74</v>
      </c>
      <c r="AY393" s="380">
        <f>ROUND((AW393/12)*PRO_BASE_FUEL,2)</f>
        <v>1.74</v>
      </c>
    </row>
    <row r="394" spans="1:51" x14ac:dyDescent="0.25">
      <c r="A394" s="53"/>
      <c r="C394" s="54"/>
      <c r="F394" s="449"/>
      <c r="H394" s="449"/>
      <c r="I394" s="449"/>
      <c r="J394" s="472"/>
      <c r="K394" s="472"/>
      <c r="L394" s="379"/>
      <c r="M394" s="379"/>
      <c r="N394" s="50"/>
      <c r="O394" s="50"/>
      <c r="P394" s="449"/>
      <c r="Q394" s="449"/>
      <c r="R394" s="379"/>
      <c r="T394" s="368">
        <v>106</v>
      </c>
      <c r="U394" s="294"/>
      <c r="V394" s="295" t="str">
        <f t="shared" si="163"/>
        <v xml:space="preserve"> 14,500 LUMEN GAS REPLICA </v>
      </c>
      <c r="W394" s="294"/>
      <c r="X394" s="194"/>
      <c r="Y394" s="189">
        <f t="shared" si="164"/>
        <v>0</v>
      </c>
      <c r="Z394" s="131"/>
      <c r="AA394" s="189">
        <f t="shared" si="165"/>
        <v>0</v>
      </c>
      <c r="AB394" s="189"/>
      <c r="AC394" s="521">
        <v>22.04</v>
      </c>
      <c r="AD394" s="526"/>
      <c r="AE394" s="191">
        <f t="shared" si="166"/>
        <v>0</v>
      </c>
      <c r="AF394" s="191"/>
      <c r="AG394" s="302">
        <f t="shared" si="167"/>
        <v>0</v>
      </c>
      <c r="AH394" s="303"/>
      <c r="AI394" s="191">
        <f t="shared" si="168"/>
        <v>0</v>
      </c>
      <c r="AJ394" s="191"/>
      <c r="AK394" s="304" t="str">
        <f t="shared" si="169"/>
        <v xml:space="preserve">0.0 </v>
      </c>
      <c r="AL394" s="305"/>
      <c r="AM394" s="191">
        <f t="shared" si="170"/>
        <v>0</v>
      </c>
      <c r="AN394" s="191"/>
      <c r="AO394" s="191">
        <f t="shared" si="171"/>
        <v>0</v>
      </c>
      <c r="AP394" s="191"/>
      <c r="AQ394" s="304" t="str">
        <f t="shared" si="172"/>
        <v xml:space="preserve">0.0 </v>
      </c>
      <c r="AS394" s="382"/>
      <c r="AT394" s="77"/>
      <c r="AW394" s="392"/>
    </row>
    <row r="395" spans="1:51" x14ac:dyDescent="0.25">
      <c r="A395" s="53"/>
      <c r="C395" s="54"/>
      <c r="F395" s="449"/>
      <c r="H395" s="449"/>
      <c r="I395" s="449"/>
      <c r="J395" s="472"/>
      <c r="K395" s="472"/>
      <c r="L395" s="379"/>
      <c r="M395" s="379"/>
      <c r="N395" s="50"/>
      <c r="O395" s="50"/>
      <c r="P395" s="449"/>
      <c r="Q395" s="449"/>
      <c r="R395" s="379"/>
      <c r="T395" s="368">
        <v>107</v>
      </c>
      <c r="U395" s="294"/>
      <c r="V395" s="295" t="str">
        <f t="shared" si="163"/>
        <v xml:space="preserve"> 14,500 LUMEN GAS REPLICA (7)</v>
      </c>
      <c r="W395" s="294"/>
      <c r="X395" s="194"/>
      <c r="Y395" s="189">
        <f t="shared" si="164"/>
        <v>288</v>
      </c>
      <c r="Z395" s="131"/>
      <c r="AA395" s="189">
        <f t="shared" si="165"/>
        <v>20976</v>
      </c>
      <c r="AB395" s="189"/>
      <c r="AC395" s="521">
        <f>$AC$394+$AC$9</f>
        <v>34.269999999999996</v>
      </c>
      <c r="AD395" s="526"/>
      <c r="AE395" s="191">
        <f t="shared" si="166"/>
        <v>9870</v>
      </c>
      <c r="AF395" s="191"/>
      <c r="AG395" s="302">
        <f t="shared" si="167"/>
        <v>0.6</v>
      </c>
      <c r="AH395" s="303"/>
      <c r="AI395" s="191">
        <f t="shared" si="168"/>
        <v>1209</v>
      </c>
      <c r="AJ395" s="191"/>
      <c r="AK395" s="304">
        <f t="shared" si="169"/>
        <v>12.2</v>
      </c>
      <c r="AL395" s="305"/>
      <c r="AM395" s="191">
        <f t="shared" si="170"/>
        <v>14</v>
      </c>
      <c r="AN395" s="191"/>
      <c r="AO395" s="191">
        <f t="shared" si="171"/>
        <v>9884</v>
      </c>
      <c r="AP395" s="191"/>
      <c r="AQ395" s="304">
        <f t="shared" si="172"/>
        <v>12.2</v>
      </c>
      <c r="AS395" s="382"/>
      <c r="AT395" s="77"/>
      <c r="AW395" s="86"/>
      <c r="AX395" s="84"/>
      <c r="AY395" s="84"/>
    </row>
    <row r="396" spans="1:51" x14ac:dyDescent="0.25">
      <c r="A396" s="53"/>
      <c r="C396" s="54"/>
      <c r="F396" s="449"/>
      <c r="H396" s="449"/>
      <c r="I396" s="449"/>
      <c r="J396" s="472"/>
      <c r="K396" s="472"/>
      <c r="L396" s="379"/>
      <c r="M396" s="379"/>
      <c r="N396" s="50"/>
      <c r="O396" s="50"/>
      <c r="P396" s="449"/>
      <c r="Q396" s="449"/>
      <c r="R396" s="379"/>
      <c r="T396" s="368">
        <v>108</v>
      </c>
      <c r="U396" s="294"/>
      <c r="V396" s="295" t="str">
        <f t="shared" si="163"/>
        <v xml:space="preserve"> 14,500 LUMEN GAS REPLICA (10)</v>
      </c>
      <c r="W396" s="294"/>
      <c r="X396" s="194"/>
      <c r="Y396" s="189">
        <f t="shared" si="164"/>
        <v>60</v>
      </c>
      <c r="Z396" s="131"/>
      <c r="AA396" s="189">
        <f t="shared" si="165"/>
        <v>4370</v>
      </c>
      <c r="AB396" s="189"/>
      <c r="AC396" s="521">
        <f>$AC$394+$AC$13</f>
        <v>26.54</v>
      </c>
      <c r="AD396" s="526"/>
      <c r="AE396" s="191">
        <f t="shared" si="166"/>
        <v>1592</v>
      </c>
      <c r="AF396" s="191"/>
      <c r="AG396" s="302">
        <f t="shared" si="167"/>
        <v>0.1</v>
      </c>
      <c r="AH396" s="303"/>
      <c r="AI396" s="191">
        <f t="shared" si="168"/>
        <v>195</v>
      </c>
      <c r="AJ396" s="191"/>
      <c r="AK396" s="304">
        <f t="shared" si="169"/>
        <v>12.2</v>
      </c>
      <c r="AL396" s="305"/>
      <c r="AM396" s="191">
        <f t="shared" si="170"/>
        <v>3</v>
      </c>
      <c r="AN396" s="191"/>
      <c r="AO396" s="191">
        <f t="shared" si="171"/>
        <v>1595</v>
      </c>
      <c r="AP396" s="191"/>
      <c r="AQ396" s="304">
        <f t="shared" si="172"/>
        <v>12.2</v>
      </c>
      <c r="AS396" s="382"/>
      <c r="AT396" s="77"/>
      <c r="AW396" s="86"/>
      <c r="AX396" s="84"/>
      <c r="AY396" s="84"/>
    </row>
    <row r="397" spans="1:51" x14ac:dyDescent="0.25">
      <c r="T397" s="368"/>
      <c r="V397" s="295"/>
      <c r="AS397" s="382"/>
    </row>
    <row r="398" spans="1:51" x14ac:dyDescent="0.25">
      <c r="A398" s="53"/>
      <c r="C398" s="54"/>
      <c r="F398" s="449"/>
      <c r="H398" s="449"/>
      <c r="I398" s="449"/>
      <c r="J398" s="472"/>
      <c r="K398" s="472"/>
      <c r="L398" s="379"/>
      <c r="M398" s="379"/>
      <c r="N398" s="50"/>
      <c r="O398" s="50"/>
      <c r="P398" s="449"/>
      <c r="Q398" s="449"/>
      <c r="R398" s="379"/>
      <c r="T398" s="368">
        <v>109</v>
      </c>
      <c r="U398" s="194"/>
      <c r="V398" s="518" t="s">
        <v>210</v>
      </c>
      <c r="W398" s="194"/>
      <c r="X398" s="194"/>
      <c r="Y398" s="189"/>
      <c r="Z398" s="131"/>
      <c r="AA398" s="189"/>
      <c r="AB398" s="131"/>
      <c r="AC398" s="309"/>
      <c r="AD398" s="526"/>
      <c r="AE398" s="191"/>
      <c r="AF398" s="191"/>
      <c r="AG398" s="344"/>
      <c r="AH398" s="345"/>
      <c r="AI398" s="310"/>
      <c r="AJ398" s="310"/>
      <c r="AK398" s="319"/>
      <c r="AL398" s="346"/>
      <c r="AM398" s="310"/>
      <c r="AN398" s="310"/>
      <c r="AO398" s="310"/>
      <c r="AP398" s="310"/>
      <c r="AQ398" s="319"/>
      <c r="AS398" s="382"/>
      <c r="AW398" s="2"/>
    </row>
    <row r="399" spans="1:51" x14ac:dyDescent="0.25">
      <c r="F399" s="381"/>
      <c r="H399" s="381"/>
      <c r="I399" s="381"/>
      <c r="J399" s="464"/>
      <c r="K399" s="464"/>
      <c r="L399" s="381"/>
      <c r="M399" s="381"/>
      <c r="N399" s="381"/>
      <c r="O399" s="381"/>
      <c r="P399" s="381"/>
      <c r="Q399" s="381"/>
      <c r="R399" s="381"/>
      <c r="T399" s="368">
        <v>110</v>
      </c>
      <c r="U399" s="194"/>
      <c r="V399" s="295" t="str">
        <f t="shared" ref="V399:V418" si="173">C179</f>
        <v xml:space="preserve">  9,500 LUMEN TOWN &amp; COUNTRY</v>
      </c>
      <c r="W399" s="194"/>
      <c r="X399" s="194"/>
      <c r="Y399" s="189">
        <f t="shared" ref="Y399:Y418" si="174">F179</f>
        <v>96</v>
      </c>
      <c r="Z399" s="131"/>
      <c r="AA399" s="189">
        <f t="shared" ref="AA399:AA418" si="175">H179</f>
        <v>3896</v>
      </c>
      <c r="AB399" s="131"/>
      <c r="AC399" s="535">
        <v>11.17</v>
      </c>
      <c r="AD399" s="131"/>
      <c r="AE399" s="191">
        <f t="shared" ref="AE399:AE402" si="176">ROUND((Y399*AC399),0)</f>
        <v>1072</v>
      </c>
      <c r="AF399" s="191"/>
      <c r="AG399" s="302">
        <f t="shared" ref="AG399:AG418" si="177">ROUND((AE399/AE$429)*100,1)</f>
        <v>0.1</v>
      </c>
      <c r="AH399" s="345"/>
      <c r="AI399" s="191">
        <f t="shared" ref="AI399:AI418" si="178">L179-AE399</f>
        <v>132</v>
      </c>
      <c r="AJ399" s="310"/>
      <c r="AK399" s="304">
        <f t="shared" ref="AK399:AK429" si="179">IF(AE399=0,"0.0 ",ROUND((AI399/AE399)*100,1))</f>
        <v>12.3</v>
      </c>
      <c r="AL399" s="346"/>
      <c r="AM399" s="191">
        <f t="shared" ref="AM399:AM418" si="180">ROUND($AM$429/$AA$429*AA399,0)</f>
        <v>3</v>
      </c>
      <c r="AN399" s="310"/>
      <c r="AO399" s="191">
        <f t="shared" ref="AO399:AO402" si="181">AE399+AM399</f>
        <v>1075</v>
      </c>
      <c r="AP399" s="310"/>
      <c r="AQ399" s="304">
        <f t="shared" si="113"/>
        <v>12.3</v>
      </c>
      <c r="AS399" s="382"/>
      <c r="AT399" s="77">
        <f>AC399-AX399</f>
        <v>10.199999999999999</v>
      </c>
      <c r="AW399" s="392">
        <v>487</v>
      </c>
      <c r="AX399" s="380">
        <f t="shared" ref="AX399:AX418" si="182">ROUND((AW399/12)*CUR_BASE_FUEL,2)</f>
        <v>0.97</v>
      </c>
      <c r="AY399" s="380">
        <f t="shared" ref="AY399:AY418" si="183">ROUND((AW399/12)*PRO_BASE_FUEL,2)</f>
        <v>0.97</v>
      </c>
    </row>
    <row r="400" spans="1:51" x14ac:dyDescent="0.25">
      <c r="F400" s="381"/>
      <c r="H400" s="381"/>
      <c r="I400" s="381"/>
      <c r="J400" s="464"/>
      <c r="K400" s="464"/>
      <c r="L400" s="381"/>
      <c r="M400" s="381"/>
      <c r="N400" s="381"/>
      <c r="O400" s="381"/>
      <c r="P400" s="381"/>
      <c r="Q400" s="381"/>
      <c r="R400" s="381"/>
      <c r="T400" s="368">
        <v>111</v>
      </c>
      <c r="U400" s="194"/>
      <c r="V400" s="295" t="str">
        <f t="shared" si="173"/>
        <v xml:space="preserve">  9,500 LUMEN TOWN &amp; COUNTRY (10)</v>
      </c>
      <c r="W400" s="194"/>
      <c r="X400" s="194"/>
      <c r="Y400" s="189">
        <f t="shared" si="174"/>
        <v>1905</v>
      </c>
      <c r="Z400" s="131"/>
      <c r="AA400" s="189">
        <f t="shared" si="175"/>
        <v>77311</v>
      </c>
      <c r="AB400" s="131"/>
      <c r="AC400" s="535">
        <f>AC399+$AC$13</f>
        <v>15.67</v>
      </c>
      <c r="AD400" s="131"/>
      <c r="AE400" s="191">
        <f t="shared" si="176"/>
        <v>29851</v>
      </c>
      <c r="AF400" s="131"/>
      <c r="AG400" s="302">
        <f t="shared" si="177"/>
        <v>1.9</v>
      </c>
      <c r="AH400" s="198"/>
      <c r="AI400" s="191">
        <f t="shared" si="178"/>
        <v>3658</v>
      </c>
      <c r="AJ400" s="198"/>
      <c r="AK400" s="304">
        <f t="shared" si="179"/>
        <v>12.3</v>
      </c>
      <c r="AL400" s="198"/>
      <c r="AM400" s="191">
        <f t="shared" si="180"/>
        <v>53</v>
      </c>
      <c r="AN400" s="198"/>
      <c r="AO400" s="191">
        <f t="shared" si="181"/>
        <v>29904</v>
      </c>
      <c r="AP400" s="198"/>
      <c r="AQ400" s="304">
        <f t="shared" si="113"/>
        <v>12.2</v>
      </c>
      <c r="AS400" s="382"/>
      <c r="AW400" s="392"/>
    </row>
    <row r="401" spans="1:51" x14ac:dyDescent="0.25">
      <c r="A401" s="53"/>
      <c r="C401" s="54"/>
      <c r="F401" s="379"/>
      <c r="H401" s="379"/>
      <c r="I401" s="379"/>
      <c r="J401" s="59"/>
      <c r="K401" s="59"/>
      <c r="L401" s="379"/>
      <c r="M401" s="379"/>
      <c r="N401" s="50"/>
      <c r="O401" s="50"/>
      <c r="P401" s="379"/>
      <c r="Q401" s="379"/>
      <c r="R401" s="379"/>
      <c r="T401" s="368">
        <v>112</v>
      </c>
      <c r="U401" s="194"/>
      <c r="V401" s="295" t="str">
        <f t="shared" si="173"/>
        <v xml:space="preserve">  9,500 LUMEN HOLOPHANE</v>
      </c>
      <c r="W401" s="194"/>
      <c r="X401" s="194"/>
      <c r="Y401" s="189">
        <f t="shared" si="174"/>
        <v>576</v>
      </c>
      <c r="Z401" s="131"/>
      <c r="AA401" s="189">
        <f t="shared" si="175"/>
        <v>25536</v>
      </c>
      <c r="AB401" s="131"/>
      <c r="AC401" s="535">
        <v>12.1</v>
      </c>
      <c r="AD401" s="536"/>
      <c r="AE401" s="191">
        <f t="shared" si="176"/>
        <v>6970</v>
      </c>
      <c r="AF401" s="191"/>
      <c r="AG401" s="302">
        <f t="shared" si="177"/>
        <v>0.5</v>
      </c>
      <c r="AH401" s="345"/>
      <c r="AI401" s="191">
        <f t="shared" si="178"/>
        <v>852</v>
      </c>
      <c r="AJ401" s="310"/>
      <c r="AK401" s="304">
        <f t="shared" si="179"/>
        <v>12.2</v>
      </c>
      <c r="AL401" s="346"/>
      <c r="AM401" s="191">
        <f t="shared" si="180"/>
        <v>17</v>
      </c>
      <c r="AN401" s="310"/>
      <c r="AO401" s="191">
        <f t="shared" si="181"/>
        <v>6987</v>
      </c>
      <c r="AP401" s="310"/>
      <c r="AQ401" s="304">
        <f t="shared" si="113"/>
        <v>12.2</v>
      </c>
      <c r="AS401" s="382"/>
      <c r="AT401" s="77">
        <f>AC401-AX401</f>
        <v>11.04</v>
      </c>
      <c r="AW401" s="392">
        <v>532</v>
      </c>
      <c r="AX401" s="380">
        <f t="shared" si="182"/>
        <v>1.06</v>
      </c>
      <c r="AY401" s="380">
        <f t="shared" si="183"/>
        <v>1.06</v>
      </c>
    </row>
    <row r="402" spans="1:51" x14ac:dyDescent="0.25">
      <c r="A402" s="53"/>
      <c r="C402" s="54"/>
      <c r="F402" s="379"/>
      <c r="H402" s="379"/>
      <c r="I402" s="379"/>
      <c r="J402" s="59"/>
      <c r="K402" s="59"/>
      <c r="L402" s="379"/>
      <c r="M402" s="379"/>
      <c r="N402" s="50"/>
      <c r="O402" s="50"/>
      <c r="P402" s="379"/>
      <c r="Q402" s="379"/>
      <c r="R402" s="379"/>
      <c r="T402" s="368">
        <v>113</v>
      </c>
      <c r="U402" s="194"/>
      <c r="V402" s="295" t="str">
        <f t="shared" si="173"/>
        <v xml:space="preserve">  9,500 LUMEN HOLOPHANE (10)</v>
      </c>
      <c r="W402" s="194"/>
      <c r="X402" s="194"/>
      <c r="Y402" s="189">
        <f t="shared" si="174"/>
        <v>312</v>
      </c>
      <c r="Z402" s="131"/>
      <c r="AA402" s="189">
        <f t="shared" si="175"/>
        <v>13832</v>
      </c>
      <c r="AB402" s="131"/>
      <c r="AC402" s="535">
        <f>AC401+$AC$13</f>
        <v>16.600000000000001</v>
      </c>
      <c r="AD402" s="536"/>
      <c r="AE402" s="191">
        <f t="shared" si="176"/>
        <v>5179</v>
      </c>
      <c r="AF402" s="191"/>
      <c r="AG402" s="302">
        <f t="shared" si="177"/>
        <v>0.3</v>
      </c>
      <c r="AH402" s="345"/>
      <c r="AI402" s="191">
        <f t="shared" si="178"/>
        <v>634</v>
      </c>
      <c r="AJ402" s="310"/>
      <c r="AK402" s="304">
        <f t="shared" si="179"/>
        <v>12.2</v>
      </c>
      <c r="AL402" s="346"/>
      <c r="AM402" s="191">
        <f t="shared" si="180"/>
        <v>9</v>
      </c>
      <c r="AN402" s="310"/>
      <c r="AO402" s="191">
        <f t="shared" si="181"/>
        <v>5188</v>
      </c>
      <c r="AP402" s="310"/>
      <c r="AQ402" s="304">
        <f t="shared" si="113"/>
        <v>12.2</v>
      </c>
      <c r="AS402" s="382"/>
      <c r="AW402" s="392"/>
    </row>
    <row r="403" spans="1:51" x14ac:dyDescent="0.25">
      <c r="A403" s="53"/>
      <c r="C403" s="54"/>
      <c r="F403" s="379"/>
      <c r="H403" s="379"/>
      <c r="I403" s="379"/>
      <c r="J403" s="59"/>
      <c r="K403" s="59"/>
      <c r="L403" s="379"/>
      <c r="M403" s="379"/>
      <c r="N403" s="50"/>
      <c r="O403" s="50"/>
      <c r="P403" s="379"/>
      <c r="Q403" s="379"/>
      <c r="R403" s="379"/>
      <c r="T403" s="368">
        <v>114</v>
      </c>
      <c r="U403" s="194"/>
      <c r="V403" s="295" t="str">
        <f t="shared" si="173"/>
        <v xml:space="preserve">  9,500 LUMEN GAS REPLICA (7)</v>
      </c>
      <c r="W403" s="194"/>
      <c r="X403" s="194"/>
      <c r="Y403" s="189">
        <f t="shared" si="174"/>
        <v>132</v>
      </c>
      <c r="Z403" s="131"/>
      <c r="AA403" s="189">
        <f t="shared" si="175"/>
        <v>5852</v>
      </c>
      <c r="AB403" s="131"/>
      <c r="AC403" s="535">
        <f>22.75+AC9</f>
        <v>34.980000000000004</v>
      </c>
      <c r="AD403" s="536"/>
      <c r="AE403" s="191">
        <f t="shared" ref="AE403" si="184">ROUND((Y403*AC403),0)</f>
        <v>4617</v>
      </c>
      <c r="AF403" s="191"/>
      <c r="AG403" s="302">
        <f t="shared" si="177"/>
        <v>0.3</v>
      </c>
      <c r="AH403" s="345"/>
      <c r="AI403" s="191">
        <f t="shared" si="178"/>
        <v>567</v>
      </c>
      <c r="AJ403" s="310"/>
      <c r="AK403" s="304">
        <f t="shared" ref="AK403" si="185">IF(AE403=0,"0.0 ",ROUND((AI403/AE403)*100,1))</f>
        <v>12.3</v>
      </c>
      <c r="AL403" s="346"/>
      <c r="AM403" s="191">
        <f t="shared" si="180"/>
        <v>4</v>
      </c>
      <c r="AN403" s="310"/>
      <c r="AO403" s="191">
        <f t="shared" ref="AO403" si="186">AE403+AM403</f>
        <v>4621</v>
      </c>
      <c r="AP403" s="310"/>
      <c r="AQ403" s="304">
        <f t="shared" ref="AQ403" si="187">IF(AO403=0,"0.0 ",ROUND((AI403/AO403)*100,1))</f>
        <v>12.3</v>
      </c>
      <c r="AS403" s="382"/>
      <c r="AT403" s="77">
        <f>AC403-AX403</f>
        <v>34.010000000000005</v>
      </c>
      <c r="AW403" s="392">
        <v>487</v>
      </c>
      <c r="AX403" s="380">
        <f t="shared" ref="AX403" si="188">ROUND((AW403/12)*CUR_BASE_FUEL,2)</f>
        <v>0.97</v>
      </c>
      <c r="AY403" s="380">
        <f t="shared" ref="AY403" si="189">ROUND((AW403/12)*PRO_BASE_FUEL,2)</f>
        <v>0.97</v>
      </c>
    </row>
    <row r="404" spans="1:51" x14ac:dyDescent="0.25">
      <c r="A404" s="53"/>
      <c r="C404" s="54"/>
      <c r="F404" s="379"/>
      <c r="H404" s="379"/>
      <c r="I404" s="379"/>
      <c r="J404" s="59"/>
      <c r="K404" s="59"/>
      <c r="L404" s="379"/>
      <c r="M404" s="379"/>
      <c r="N404" s="50"/>
      <c r="O404" s="50"/>
      <c r="P404" s="379"/>
      <c r="Q404" s="379"/>
      <c r="R404" s="379"/>
      <c r="T404" s="368">
        <v>115</v>
      </c>
      <c r="U404" s="194"/>
      <c r="V404" s="295" t="str">
        <f t="shared" si="173"/>
        <v xml:space="preserve">  9,500 LUMEN GAS REPLICA (10)</v>
      </c>
      <c r="W404" s="194"/>
      <c r="X404" s="194"/>
      <c r="Y404" s="189">
        <f t="shared" si="174"/>
        <v>12</v>
      </c>
      <c r="Z404" s="131"/>
      <c r="AA404" s="189">
        <f t="shared" si="175"/>
        <v>532</v>
      </c>
      <c r="AB404" s="131"/>
      <c r="AC404" s="535">
        <f>22.75+AC13</f>
        <v>27.25</v>
      </c>
      <c r="AD404" s="536"/>
      <c r="AE404" s="191">
        <f t="shared" ref="AE404:AE418" si="190">ROUND((Y404*AC404),0)</f>
        <v>327</v>
      </c>
      <c r="AF404" s="191"/>
      <c r="AG404" s="302">
        <f t="shared" si="177"/>
        <v>0</v>
      </c>
      <c r="AH404" s="345"/>
      <c r="AI404" s="191">
        <f t="shared" si="178"/>
        <v>40</v>
      </c>
      <c r="AJ404" s="310"/>
      <c r="AK404" s="304">
        <f t="shared" si="179"/>
        <v>12.2</v>
      </c>
      <c r="AL404" s="346"/>
      <c r="AM404" s="191">
        <f t="shared" si="180"/>
        <v>0</v>
      </c>
      <c r="AN404" s="310"/>
      <c r="AO404" s="191">
        <f t="shared" ref="AO404:AO418" si="191">AE404+AM404</f>
        <v>327</v>
      </c>
      <c r="AP404" s="310"/>
      <c r="AQ404" s="304">
        <f t="shared" ref="AQ404:AQ410" si="192">IF(AO404=0,"0.0 ",ROUND((AI404/AO404)*100,1))</f>
        <v>12.2</v>
      </c>
      <c r="AS404" s="382"/>
      <c r="AT404" s="77">
        <f t="shared" ref="AT404:AT418" si="193">AC404-AX404</f>
        <v>26.19</v>
      </c>
      <c r="AW404" s="392">
        <v>532</v>
      </c>
      <c r="AX404" s="380">
        <f t="shared" si="182"/>
        <v>1.06</v>
      </c>
      <c r="AY404" s="380">
        <f t="shared" si="183"/>
        <v>1.06</v>
      </c>
    </row>
    <row r="405" spans="1:51" x14ac:dyDescent="0.25">
      <c r="C405" s="54"/>
      <c r="F405" s="379"/>
      <c r="H405" s="379"/>
      <c r="I405" s="379"/>
      <c r="J405" s="59"/>
      <c r="K405" s="59"/>
      <c r="L405" s="379"/>
      <c r="M405" s="379"/>
      <c r="N405" s="379"/>
      <c r="O405" s="379"/>
      <c r="P405" s="379"/>
      <c r="Q405" s="379"/>
      <c r="R405" s="379"/>
      <c r="T405" s="368">
        <v>116</v>
      </c>
      <c r="U405" s="194"/>
      <c r="V405" s="295" t="str">
        <f t="shared" si="173"/>
        <v xml:space="preserve">  9,500 LUMEN GAS REPLICA (11)</v>
      </c>
      <c r="W405" s="194"/>
      <c r="X405" s="194"/>
      <c r="Y405" s="189">
        <f t="shared" si="174"/>
        <v>312</v>
      </c>
      <c r="Z405" s="131"/>
      <c r="AA405" s="189">
        <f t="shared" si="175"/>
        <v>13832</v>
      </c>
      <c r="AB405" s="189"/>
      <c r="AC405" s="535">
        <f>22.75+AC14</f>
        <v>35.9</v>
      </c>
      <c r="AD405" s="131"/>
      <c r="AE405" s="191">
        <f t="shared" si="190"/>
        <v>11201</v>
      </c>
      <c r="AF405" s="191"/>
      <c r="AG405" s="302">
        <f t="shared" si="177"/>
        <v>0.7</v>
      </c>
      <c r="AH405" s="345"/>
      <c r="AI405" s="191">
        <f t="shared" si="178"/>
        <v>1373</v>
      </c>
      <c r="AJ405" s="310"/>
      <c r="AK405" s="304">
        <f>IF(AE405=0,"0.0 ",ROUND((AI405/AE405)*100,1))</f>
        <v>12.3</v>
      </c>
      <c r="AL405" s="346"/>
      <c r="AM405" s="191">
        <f t="shared" si="180"/>
        <v>9</v>
      </c>
      <c r="AN405" s="399"/>
      <c r="AO405" s="191">
        <f t="shared" si="191"/>
        <v>11210</v>
      </c>
      <c r="AP405" s="310"/>
      <c r="AQ405" s="304">
        <f t="shared" si="192"/>
        <v>12.2</v>
      </c>
      <c r="AS405" s="382"/>
      <c r="AT405" s="77">
        <f>AC405-AX405</f>
        <v>34.839999999999996</v>
      </c>
      <c r="AW405" s="392">
        <v>532</v>
      </c>
      <c r="AX405" s="380">
        <f>ROUND((AW405/12)*CUR_BASE_FUEL,2)</f>
        <v>1.06</v>
      </c>
      <c r="AY405" s="380">
        <f>ROUND((AW405/12)*PRO_BASE_FUEL,2)</f>
        <v>1.06</v>
      </c>
    </row>
    <row r="406" spans="1:51" x14ac:dyDescent="0.25">
      <c r="C406" s="54"/>
      <c r="F406" s="379"/>
      <c r="H406" s="379"/>
      <c r="I406" s="379"/>
      <c r="J406" s="59"/>
      <c r="K406" s="59"/>
      <c r="L406" s="379"/>
      <c r="M406" s="379"/>
      <c r="N406" s="379"/>
      <c r="O406" s="379"/>
      <c r="P406" s="379"/>
      <c r="Q406" s="379"/>
      <c r="R406" s="379"/>
      <c r="T406" s="368">
        <v>117</v>
      </c>
      <c r="U406" s="194"/>
      <c r="V406" s="295" t="str">
        <f t="shared" si="173"/>
        <v xml:space="preserve">  9,500 LUMEN ASPEN (7)</v>
      </c>
      <c r="W406" s="194"/>
      <c r="X406" s="194"/>
      <c r="Y406" s="189">
        <f t="shared" si="174"/>
        <v>888</v>
      </c>
      <c r="Z406" s="131"/>
      <c r="AA406" s="189">
        <f t="shared" si="175"/>
        <v>39368</v>
      </c>
      <c r="AB406" s="189"/>
      <c r="AC406" s="535">
        <v>14.09</v>
      </c>
      <c r="AD406" s="131"/>
      <c r="AE406" s="191">
        <f t="shared" si="190"/>
        <v>12512</v>
      </c>
      <c r="AF406" s="191"/>
      <c r="AG406" s="302">
        <f t="shared" si="177"/>
        <v>0.8</v>
      </c>
      <c r="AH406" s="345"/>
      <c r="AI406" s="191">
        <f t="shared" si="178"/>
        <v>1536</v>
      </c>
      <c r="AJ406" s="310"/>
      <c r="AK406" s="304">
        <f>IF(AE406=0,"0.0 ",ROUND((AI406/AE406)*100,1))</f>
        <v>12.3</v>
      </c>
      <c r="AL406" s="346"/>
      <c r="AM406" s="191">
        <f t="shared" si="180"/>
        <v>27</v>
      </c>
      <c r="AN406" s="399"/>
      <c r="AO406" s="191">
        <f t="shared" si="191"/>
        <v>12539</v>
      </c>
      <c r="AP406" s="310"/>
      <c r="AQ406" s="304">
        <f t="shared" si="192"/>
        <v>12.2</v>
      </c>
      <c r="AS406" s="382"/>
      <c r="AT406" s="77"/>
      <c r="AW406" s="392"/>
    </row>
    <row r="407" spans="1:51" x14ac:dyDescent="0.25">
      <c r="J407" s="53"/>
      <c r="K407" s="53"/>
      <c r="T407" s="368">
        <v>118</v>
      </c>
      <c r="U407" s="194"/>
      <c r="V407" s="295" t="str">
        <f t="shared" si="173"/>
        <v xml:space="preserve">  9,500 LUMEN TRADITIONAIRE</v>
      </c>
      <c r="W407" s="194"/>
      <c r="X407" s="194"/>
      <c r="Y407" s="189">
        <f t="shared" si="174"/>
        <v>0</v>
      </c>
      <c r="Z407" s="131"/>
      <c r="AA407" s="189">
        <f t="shared" si="175"/>
        <v>0</v>
      </c>
      <c r="AB407" s="189"/>
      <c r="AC407" s="535">
        <v>11.17</v>
      </c>
      <c r="AD407" s="131"/>
      <c r="AE407" s="191">
        <f t="shared" si="190"/>
        <v>0</v>
      </c>
      <c r="AF407" s="131"/>
      <c r="AG407" s="302">
        <f t="shared" si="177"/>
        <v>0</v>
      </c>
      <c r="AH407" s="131"/>
      <c r="AI407" s="191">
        <f t="shared" si="178"/>
        <v>0</v>
      </c>
      <c r="AJ407" s="131"/>
      <c r="AK407" s="304" t="str">
        <f>IF(AE407=0,"0.0 ",ROUND((AI407/AE407)*100,1))</f>
        <v xml:space="preserve">0.0 </v>
      </c>
      <c r="AL407" s="131"/>
      <c r="AM407" s="191">
        <f t="shared" si="180"/>
        <v>0</v>
      </c>
      <c r="AN407" s="131"/>
      <c r="AO407" s="191">
        <f t="shared" si="191"/>
        <v>0</v>
      </c>
      <c r="AP407" s="131"/>
      <c r="AQ407" s="304" t="str">
        <f t="shared" si="192"/>
        <v xml:space="preserve">0.0 </v>
      </c>
      <c r="AS407" s="382"/>
      <c r="AT407" s="77">
        <f>AC407-AX407</f>
        <v>10.199999999999999</v>
      </c>
      <c r="AW407" s="392">
        <v>487</v>
      </c>
      <c r="AX407" s="380">
        <f>ROUND((AW407/12)*CUR_BASE_FUEL,2)</f>
        <v>0.97</v>
      </c>
      <c r="AY407" s="380">
        <f>ROUND((AW407/12)*PRO_BASE_FUEL,2)</f>
        <v>0.97</v>
      </c>
    </row>
    <row r="408" spans="1:51" x14ac:dyDescent="0.25">
      <c r="J408" s="53"/>
      <c r="K408" s="53"/>
      <c r="T408" s="368">
        <v>119</v>
      </c>
      <c r="U408" s="194"/>
      <c r="V408" s="295" t="str">
        <f t="shared" si="173"/>
        <v xml:space="preserve">  9,500 LUMEN TRADITIONAIRE (10)</v>
      </c>
      <c r="W408" s="194"/>
      <c r="X408" s="194"/>
      <c r="Y408" s="189">
        <f t="shared" si="174"/>
        <v>696</v>
      </c>
      <c r="Z408" s="131"/>
      <c r="AA408" s="189">
        <f t="shared" si="175"/>
        <v>28246</v>
      </c>
      <c r="AB408" s="189"/>
      <c r="AC408" s="535">
        <f>AC407+$AC$13</f>
        <v>15.67</v>
      </c>
      <c r="AD408" s="131"/>
      <c r="AE408" s="191">
        <f t="shared" si="190"/>
        <v>10906</v>
      </c>
      <c r="AF408" s="131"/>
      <c r="AG408" s="302">
        <f t="shared" si="177"/>
        <v>0.7</v>
      </c>
      <c r="AH408" s="131"/>
      <c r="AI408" s="191">
        <f t="shared" si="178"/>
        <v>1337</v>
      </c>
      <c r="AJ408" s="131"/>
      <c r="AK408" s="304">
        <f>IF(AE408=0,"0.0 ",ROUND((AI408/AE408)*100,1))</f>
        <v>12.3</v>
      </c>
      <c r="AL408" s="131"/>
      <c r="AM408" s="191">
        <f t="shared" si="180"/>
        <v>19</v>
      </c>
      <c r="AN408" s="131"/>
      <c r="AO408" s="191">
        <f t="shared" si="191"/>
        <v>10925</v>
      </c>
      <c r="AP408" s="131"/>
      <c r="AQ408" s="304">
        <f t="shared" si="192"/>
        <v>12.2</v>
      </c>
      <c r="AS408" s="382"/>
      <c r="AT408" s="77"/>
      <c r="AW408" s="392"/>
    </row>
    <row r="409" spans="1:51" x14ac:dyDescent="0.25">
      <c r="A409" s="53"/>
      <c r="C409" s="54"/>
      <c r="F409" s="379"/>
      <c r="H409" s="379"/>
      <c r="I409" s="379"/>
      <c r="J409" s="59"/>
      <c r="K409" s="59"/>
      <c r="L409" s="379"/>
      <c r="M409" s="379"/>
      <c r="N409" s="50"/>
      <c r="O409" s="50"/>
      <c r="P409" s="379"/>
      <c r="Q409" s="379"/>
      <c r="R409" s="379"/>
      <c r="T409" s="368">
        <v>120</v>
      </c>
      <c r="U409" s="194"/>
      <c r="V409" s="295" t="str">
        <f t="shared" si="173"/>
        <v xml:space="preserve">  9,500 LUMEN GRANVILLE </v>
      </c>
      <c r="W409" s="194"/>
      <c r="X409" s="194"/>
      <c r="Y409" s="189">
        <f t="shared" si="174"/>
        <v>0</v>
      </c>
      <c r="Z409" s="131"/>
      <c r="AA409" s="189">
        <f t="shared" si="175"/>
        <v>0</v>
      </c>
      <c r="AB409" s="131"/>
      <c r="AC409" s="535">
        <v>14.09</v>
      </c>
      <c r="AD409" s="536"/>
      <c r="AE409" s="191">
        <f t="shared" si="190"/>
        <v>0</v>
      </c>
      <c r="AF409" s="191"/>
      <c r="AG409" s="302">
        <f t="shared" si="177"/>
        <v>0</v>
      </c>
      <c r="AH409" s="345"/>
      <c r="AI409" s="191">
        <f t="shared" si="178"/>
        <v>0</v>
      </c>
      <c r="AJ409" s="310"/>
      <c r="AK409" s="304" t="str">
        <f t="shared" ref="AK409" si="194">IF(AE409=0,"0.0 ",ROUND((AI409/AE409)*100,1))</f>
        <v xml:space="preserve">0.0 </v>
      </c>
      <c r="AL409" s="346"/>
      <c r="AM409" s="191">
        <f t="shared" si="180"/>
        <v>0</v>
      </c>
      <c r="AN409" s="310"/>
      <c r="AO409" s="191">
        <f t="shared" si="191"/>
        <v>0</v>
      </c>
      <c r="AP409" s="310"/>
      <c r="AQ409" s="304" t="str">
        <f t="shared" si="192"/>
        <v xml:space="preserve">0.0 </v>
      </c>
      <c r="AS409" s="382"/>
      <c r="AT409" s="77">
        <f t="shared" ref="AT409" si="195">AC409-AX409</f>
        <v>13.03</v>
      </c>
      <c r="AW409" s="392">
        <v>532</v>
      </c>
      <c r="AX409" s="380">
        <f t="shared" ref="AX409" si="196">ROUND((AW409/12)*CUR_BASE_FUEL,2)</f>
        <v>1.06</v>
      </c>
      <c r="AY409" s="380">
        <f t="shared" ref="AY409" si="197">ROUND((AW409/12)*PRO_BASE_FUEL,2)</f>
        <v>1.06</v>
      </c>
    </row>
    <row r="410" spans="1:51" x14ac:dyDescent="0.25">
      <c r="A410" s="53"/>
      <c r="C410" s="54"/>
      <c r="F410" s="379"/>
      <c r="H410" s="379"/>
      <c r="I410" s="379"/>
      <c r="J410" s="59"/>
      <c r="K410" s="59"/>
      <c r="L410" s="379"/>
      <c r="M410" s="379"/>
      <c r="N410" s="50"/>
      <c r="O410" s="50"/>
      <c r="P410" s="379"/>
      <c r="Q410" s="379"/>
      <c r="R410" s="379"/>
      <c r="T410" s="368">
        <v>121</v>
      </c>
      <c r="U410" s="194"/>
      <c r="V410" s="295" t="str">
        <f t="shared" si="173"/>
        <v xml:space="preserve">  9,500 LUMEN GRANVILLE (7)</v>
      </c>
      <c r="W410" s="194"/>
      <c r="X410" s="194"/>
      <c r="Y410" s="189">
        <f t="shared" si="174"/>
        <v>0</v>
      </c>
      <c r="Z410" s="131"/>
      <c r="AA410" s="189">
        <f t="shared" si="175"/>
        <v>0</v>
      </c>
      <c r="AB410" s="131"/>
      <c r="AC410" s="535">
        <f>$AC$409+$AC$9</f>
        <v>26.32</v>
      </c>
      <c r="AD410" s="536"/>
      <c r="AE410" s="191">
        <f t="shared" si="190"/>
        <v>0</v>
      </c>
      <c r="AF410" s="191"/>
      <c r="AG410" s="302">
        <f t="shared" si="177"/>
        <v>0</v>
      </c>
      <c r="AH410" s="345"/>
      <c r="AI410" s="191">
        <f t="shared" si="178"/>
        <v>0</v>
      </c>
      <c r="AJ410" s="310"/>
      <c r="AK410" s="304" t="str">
        <f t="shared" si="179"/>
        <v xml:space="preserve">0.0 </v>
      </c>
      <c r="AL410" s="346"/>
      <c r="AM410" s="191">
        <f t="shared" si="180"/>
        <v>0</v>
      </c>
      <c r="AN410" s="310"/>
      <c r="AO410" s="191">
        <f t="shared" si="191"/>
        <v>0</v>
      </c>
      <c r="AP410" s="310"/>
      <c r="AQ410" s="304" t="str">
        <f t="shared" si="192"/>
        <v xml:space="preserve">0.0 </v>
      </c>
      <c r="AS410" s="382"/>
      <c r="AT410" s="77"/>
      <c r="AW410" s="392"/>
    </row>
    <row r="411" spans="1:51" x14ac:dyDescent="0.25">
      <c r="A411" s="53"/>
      <c r="C411" s="54"/>
      <c r="F411" s="379"/>
      <c r="H411" s="379"/>
      <c r="I411" s="379"/>
      <c r="J411" s="59"/>
      <c r="K411" s="59"/>
      <c r="L411" s="379"/>
      <c r="M411" s="379"/>
      <c r="N411" s="50"/>
      <c r="O411" s="50"/>
      <c r="P411" s="379"/>
      <c r="Q411" s="379"/>
      <c r="R411" s="379"/>
      <c r="T411" s="368">
        <v>122</v>
      </c>
      <c r="U411" s="296"/>
      <c r="V411" s="295" t="str">
        <f t="shared" si="173"/>
        <v xml:space="preserve">  9,500 LUMEN GRANVILLE (10)</v>
      </c>
      <c r="W411" s="296"/>
      <c r="X411" s="194"/>
      <c r="Y411" s="189">
        <f t="shared" si="174"/>
        <v>0</v>
      </c>
      <c r="Z411" s="131"/>
      <c r="AA411" s="189">
        <f t="shared" si="175"/>
        <v>0</v>
      </c>
      <c r="AB411" s="131"/>
      <c r="AC411" s="535">
        <f>$AC$409+$AC$13</f>
        <v>18.59</v>
      </c>
      <c r="AD411" s="536"/>
      <c r="AE411" s="191">
        <f t="shared" ref="AE411:AE412" si="198">ROUND((Y411*AC411),0)</f>
        <v>0</v>
      </c>
      <c r="AF411" s="191"/>
      <c r="AG411" s="302">
        <f t="shared" si="177"/>
        <v>0</v>
      </c>
      <c r="AH411" s="345"/>
      <c r="AI411" s="191">
        <f t="shared" si="178"/>
        <v>0</v>
      </c>
      <c r="AJ411" s="310"/>
      <c r="AK411" s="304" t="str">
        <f t="shared" ref="AK411:AK412" si="199">IF(AE411=0,"0.0 ",ROUND((AI411/AE411)*100,1))</f>
        <v xml:space="preserve">0.0 </v>
      </c>
      <c r="AL411" s="346"/>
      <c r="AM411" s="191">
        <f t="shared" si="180"/>
        <v>0</v>
      </c>
      <c r="AN411" s="310"/>
      <c r="AO411" s="191">
        <f t="shared" ref="AO411:AO412" si="200">AE411+AM411</f>
        <v>0</v>
      </c>
      <c r="AP411" s="310"/>
      <c r="AQ411" s="304" t="str">
        <f t="shared" ref="AQ411:AQ412" si="201">IF(AO411=0,"0.0 ",ROUND((AI411/AO411)*100,1))</f>
        <v xml:space="preserve">0.0 </v>
      </c>
      <c r="AS411" s="382"/>
      <c r="AT411" s="77"/>
      <c r="AW411" s="392"/>
    </row>
    <row r="412" spans="1:51" x14ac:dyDescent="0.25">
      <c r="A412" s="53"/>
      <c r="C412" s="54"/>
      <c r="F412" s="379"/>
      <c r="H412" s="379"/>
      <c r="I412" s="379"/>
      <c r="J412" s="59"/>
      <c r="K412" s="59"/>
      <c r="L412" s="379"/>
      <c r="M412" s="379"/>
      <c r="N412" s="50"/>
      <c r="O412" s="50"/>
      <c r="P412" s="379"/>
      <c r="Q412" s="379"/>
      <c r="R412" s="379"/>
      <c r="T412" s="368">
        <v>123</v>
      </c>
      <c r="U412" s="296"/>
      <c r="V412" s="295" t="str">
        <f t="shared" si="173"/>
        <v xml:space="preserve">  9,500 LUMEN GRANVILLE (11)</v>
      </c>
      <c r="W412" s="296"/>
      <c r="X412" s="194"/>
      <c r="Y412" s="189">
        <f t="shared" si="174"/>
        <v>0</v>
      </c>
      <c r="Z412" s="131"/>
      <c r="AA412" s="189">
        <f t="shared" si="175"/>
        <v>0</v>
      </c>
      <c r="AB412" s="131"/>
      <c r="AC412" s="535">
        <f>$AC$409+$AC$14</f>
        <v>27.240000000000002</v>
      </c>
      <c r="AD412" s="536"/>
      <c r="AE412" s="191">
        <f t="shared" si="198"/>
        <v>0</v>
      </c>
      <c r="AF412" s="191"/>
      <c r="AG412" s="302">
        <f t="shared" si="177"/>
        <v>0</v>
      </c>
      <c r="AH412" s="345"/>
      <c r="AI412" s="191">
        <f t="shared" si="178"/>
        <v>0</v>
      </c>
      <c r="AJ412" s="310"/>
      <c r="AK412" s="304" t="str">
        <f t="shared" si="199"/>
        <v xml:space="preserve">0.0 </v>
      </c>
      <c r="AL412" s="346"/>
      <c r="AM412" s="191">
        <f t="shared" si="180"/>
        <v>0</v>
      </c>
      <c r="AN412" s="310"/>
      <c r="AO412" s="191">
        <f t="shared" si="200"/>
        <v>0</v>
      </c>
      <c r="AP412" s="310"/>
      <c r="AQ412" s="304" t="str">
        <f t="shared" si="201"/>
        <v xml:space="preserve">0.0 </v>
      </c>
      <c r="AS412" s="382"/>
      <c r="AT412" s="77"/>
      <c r="AW412" s="392"/>
    </row>
    <row r="413" spans="1:51" x14ac:dyDescent="0.25">
      <c r="J413" s="53"/>
      <c r="K413" s="53"/>
      <c r="T413" s="368">
        <v>124</v>
      </c>
      <c r="U413" s="194"/>
      <c r="V413" s="295" t="str">
        <f t="shared" si="173"/>
        <v xml:space="preserve">  22,000 LUMEN RECTILINEAR</v>
      </c>
      <c r="W413" s="194"/>
      <c r="X413" s="194"/>
      <c r="Y413" s="189">
        <f t="shared" si="174"/>
        <v>0</v>
      </c>
      <c r="Z413" s="131"/>
      <c r="AA413" s="189">
        <f t="shared" si="175"/>
        <v>0</v>
      </c>
      <c r="AB413" s="189"/>
      <c r="AC413" s="521">
        <v>12.42</v>
      </c>
      <c r="AD413" s="131"/>
      <c r="AE413" s="191">
        <f t="shared" si="190"/>
        <v>0</v>
      </c>
      <c r="AF413" s="131"/>
      <c r="AG413" s="302">
        <f t="shared" si="177"/>
        <v>0</v>
      </c>
      <c r="AH413" s="131"/>
      <c r="AI413" s="191">
        <f t="shared" si="178"/>
        <v>0</v>
      </c>
      <c r="AJ413" s="131"/>
      <c r="AK413" s="304" t="str">
        <f>IF(AE413=0,"0.0 ",ROUND((AI413/AE413)*100,1))</f>
        <v xml:space="preserve">0.0 </v>
      </c>
      <c r="AL413" s="131"/>
      <c r="AM413" s="191">
        <f t="shared" si="180"/>
        <v>0</v>
      </c>
      <c r="AN413" s="131"/>
      <c r="AO413" s="191">
        <f t="shared" si="191"/>
        <v>0</v>
      </c>
      <c r="AP413" s="131"/>
      <c r="AQ413" s="304" t="str">
        <f t="shared" ref="AQ413" si="202">IF(AO413=0,"0.0 ",ROUND((AI413/AO413)*100,1))</f>
        <v xml:space="preserve">0.0 </v>
      </c>
      <c r="AS413" s="382"/>
      <c r="AT413" s="77">
        <f t="shared" ref="AT413" si="203">AC413-AX413</f>
        <v>10.39</v>
      </c>
      <c r="AW413" s="392">
        <v>1023</v>
      </c>
      <c r="AX413" s="380">
        <f t="shared" ref="AX413" si="204">ROUND((AW413/12)*CUR_BASE_FUEL,2)</f>
        <v>2.0299999999999998</v>
      </c>
      <c r="AY413" s="380">
        <f t="shared" ref="AY413" si="205">ROUND((AW413/12)*PRO_BASE_FUEL,2)</f>
        <v>2.0299999999999998</v>
      </c>
    </row>
    <row r="414" spans="1:51" x14ac:dyDescent="0.25">
      <c r="J414" s="53"/>
      <c r="K414" s="53"/>
      <c r="T414" s="368">
        <v>125</v>
      </c>
      <c r="U414" s="194"/>
      <c r="V414" s="295" t="str">
        <f t="shared" si="173"/>
        <v xml:space="preserve">  22,000 LUMEN RECTILINEAR (12)</v>
      </c>
      <c r="W414" s="194"/>
      <c r="X414" s="194"/>
      <c r="Y414" s="189">
        <f t="shared" si="174"/>
        <v>176</v>
      </c>
      <c r="Z414" s="131"/>
      <c r="AA414" s="189">
        <f t="shared" si="175"/>
        <v>15004</v>
      </c>
      <c r="AB414" s="189"/>
      <c r="AC414" s="521">
        <f>AC413+$AC$15</f>
        <v>20.98</v>
      </c>
      <c r="AD414" s="131"/>
      <c r="AE414" s="191">
        <f t="shared" si="190"/>
        <v>3692</v>
      </c>
      <c r="AF414" s="131"/>
      <c r="AG414" s="302">
        <f t="shared" si="177"/>
        <v>0.2</v>
      </c>
      <c r="AH414" s="131"/>
      <c r="AI414" s="191">
        <f t="shared" si="178"/>
        <v>453</v>
      </c>
      <c r="AJ414" s="131"/>
      <c r="AK414" s="304">
        <f>IF(AE414=0,"0.0 ",ROUND((AI414/AE414)*100,1))</f>
        <v>12.3</v>
      </c>
      <c r="AL414" s="131"/>
      <c r="AM414" s="191">
        <f t="shared" si="180"/>
        <v>10</v>
      </c>
      <c r="AN414" s="131"/>
      <c r="AO414" s="191">
        <f t="shared" si="191"/>
        <v>3702</v>
      </c>
      <c r="AP414" s="131"/>
      <c r="AQ414" s="304">
        <f t="shared" ref="AQ414:AQ429" si="206">IF(AO414=0,"0.0 ",ROUND((AI414/AO414)*100,1))</f>
        <v>12.2</v>
      </c>
      <c r="AS414" s="382"/>
      <c r="AT414" s="77"/>
      <c r="AW414" s="392"/>
    </row>
    <row r="415" spans="1:51" x14ac:dyDescent="0.25">
      <c r="J415" s="53"/>
      <c r="K415" s="53"/>
      <c r="T415" s="369">
        <v>126</v>
      </c>
      <c r="U415" s="194"/>
      <c r="V415" s="295" t="str">
        <f t="shared" si="173"/>
        <v xml:space="preserve">  50,000 LUMEN RECTILINEAR</v>
      </c>
      <c r="W415" s="194"/>
      <c r="X415" s="194"/>
      <c r="Y415" s="189">
        <f t="shared" si="174"/>
        <v>0</v>
      </c>
      <c r="Z415" s="131"/>
      <c r="AA415" s="189">
        <f t="shared" si="175"/>
        <v>0</v>
      </c>
      <c r="AB415" s="189"/>
      <c r="AC415" s="521">
        <v>16.41</v>
      </c>
      <c r="AD415" s="194"/>
      <c r="AE415" s="310">
        <f t="shared" si="190"/>
        <v>0</v>
      </c>
      <c r="AF415" s="194"/>
      <c r="AG415" s="344">
        <f t="shared" si="177"/>
        <v>0</v>
      </c>
      <c r="AH415" s="194"/>
      <c r="AI415" s="191">
        <f t="shared" si="178"/>
        <v>0</v>
      </c>
      <c r="AJ415" s="194"/>
      <c r="AK415" s="319" t="str">
        <f t="shared" ref="AK415" si="207">IF(AE415=0,"0.0 ",ROUND((AI415/AE415)*100,1))</f>
        <v xml:space="preserve">0.0 </v>
      </c>
      <c r="AL415" s="347"/>
      <c r="AM415" s="191">
        <f t="shared" si="180"/>
        <v>0</v>
      </c>
      <c r="AN415" s="348"/>
      <c r="AO415" s="191">
        <f t="shared" si="191"/>
        <v>0</v>
      </c>
      <c r="AP415" s="347"/>
      <c r="AQ415" s="304" t="str">
        <f t="shared" ref="AQ415" si="208">IF(AO415=0,"0.0 ",ROUND((AI415/AO415)*100,1))</f>
        <v xml:space="preserve">0.0 </v>
      </c>
      <c r="AS415" s="382"/>
      <c r="AT415" s="77">
        <f t="shared" ref="AT415" si="209">AC415-AX415</f>
        <v>12.52</v>
      </c>
      <c r="AW415" s="392">
        <v>1959</v>
      </c>
      <c r="AX415" s="380">
        <f t="shared" ref="AX415" si="210">ROUND((AW415/12)*CUR_BASE_FUEL,2)</f>
        <v>3.89</v>
      </c>
      <c r="AY415" s="380">
        <f t="shared" ref="AY415" si="211">ROUND((AW415/12)*PRO_BASE_FUEL,2)</f>
        <v>3.89</v>
      </c>
    </row>
    <row r="416" spans="1:51" x14ac:dyDescent="0.25">
      <c r="J416" s="53"/>
      <c r="K416" s="53"/>
      <c r="T416" s="369">
        <v>127</v>
      </c>
      <c r="U416" s="194"/>
      <c r="V416" s="295" t="str">
        <f t="shared" si="173"/>
        <v xml:space="preserve">  50,000 LUMEN RECTILINEAR (12)</v>
      </c>
      <c r="W416" s="194"/>
      <c r="X416" s="194"/>
      <c r="Y416" s="189">
        <f t="shared" si="174"/>
        <v>36</v>
      </c>
      <c r="Z416" s="131"/>
      <c r="AA416" s="189">
        <f t="shared" si="175"/>
        <v>5877</v>
      </c>
      <c r="AB416" s="189"/>
      <c r="AC416" s="521">
        <f>AC415+$AC$15</f>
        <v>24.97</v>
      </c>
      <c r="AD416" s="194"/>
      <c r="AE416" s="310">
        <f t="shared" si="190"/>
        <v>899</v>
      </c>
      <c r="AF416" s="194"/>
      <c r="AG416" s="344">
        <f t="shared" si="177"/>
        <v>0.1</v>
      </c>
      <c r="AH416" s="194"/>
      <c r="AI416" s="191">
        <f t="shared" si="178"/>
        <v>110</v>
      </c>
      <c r="AJ416" s="194"/>
      <c r="AK416" s="319">
        <f t="shared" si="179"/>
        <v>12.2</v>
      </c>
      <c r="AL416" s="347"/>
      <c r="AM416" s="191">
        <f t="shared" si="180"/>
        <v>4</v>
      </c>
      <c r="AN416" s="348"/>
      <c r="AO416" s="191">
        <f t="shared" si="191"/>
        <v>903</v>
      </c>
      <c r="AP416" s="347"/>
      <c r="AQ416" s="304">
        <f t="shared" si="206"/>
        <v>12.2</v>
      </c>
      <c r="AS416" s="382"/>
      <c r="AT416" s="77"/>
      <c r="AW416" s="392"/>
    </row>
    <row r="417" spans="1:51" x14ac:dyDescent="0.25">
      <c r="J417" s="53"/>
      <c r="K417" s="53"/>
      <c r="T417" s="370">
        <v>128</v>
      </c>
      <c r="U417" s="194"/>
      <c r="V417" s="295" t="str">
        <f t="shared" si="173"/>
        <v xml:space="preserve">  50,000 LUMEN RECTILINEAR (13)</v>
      </c>
      <c r="W417" s="194"/>
      <c r="X417" s="194"/>
      <c r="Y417" s="189">
        <f t="shared" si="174"/>
        <v>204</v>
      </c>
      <c r="Z417" s="131"/>
      <c r="AA417" s="189">
        <f t="shared" si="175"/>
        <v>33303</v>
      </c>
      <c r="AB417" s="189"/>
      <c r="AC417" s="521">
        <f>AC415+$AC$16</f>
        <v>25.2</v>
      </c>
      <c r="AD417" s="194"/>
      <c r="AE417" s="310">
        <f t="shared" si="190"/>
        <v>5141</v>
      </c>
      <c r="AF417" s="194"/>
      <c r="AG417" s="344">
        <f t="shared" si="177"/>
        <v>0.3</v>
      </c>
      <c r="AH417" s="194"/>
      <c r="AI417" s="191">
        <f t="shared" si="178"/>
        <v>630</v>
      </c>
      <c r="AJ417" s="194"/>
      <c r="AK417" s="319">
        <f t="shared" si="179"/>
        <v>12.3</v>
      </c>
      <c r="AL417" s="347"/>
      <c r="AM417" s="191">
        <f t="shared" si="180"/>
        <v>23</v>
      </c>
      <c r="AN417" s="348"/>
      <c r="AO417" s="191">
        <f t="shared" si="191"/>
        <v>5164</v>
      </c>
      <c r="AP417" s="347"/>
      <c r="AQ417" s="304">
        <f t="shared" si="206"/>
        <v>12.2</v>
      </c>
      <c r="AS417" s="382"/>
      <c r="AT417" s="77"/>
      <c r="AW417" s="392"/>
    </row>
    <row r="418" spans="1:51" x14ac:dyDescent="0.25">
      <c r="T418" s="370">
        <v>129</v>
      </c>
      <c r="U418" s="194"/>
      <c r="V418" s="295" t="str">
        <f t="shared" si="173"/>
        <v xml:space="preserve">  50,000 LUMEN SETBACK</v>
      </c>
      <c r="W418" s="194"/>
      <c r="X418" s="194"/>
      <c r="Y418" s="189">
        <f t="shared" si="174"/>
        <v>0</v>
      </c>
      <c r="Z418" s="131"/>
      <c r="AA418" s="189">
        <f t="shared" si="175"/>
        <v>0</v>
      </c>
      <c r="AB418" s="229"/>
      <c r="AC418" s="521">
        <v>24.31</v>
      </c>
      <c r="AD418" s="229"/>
      <c r="AE418" s="314">
        <f t="shared" si="190"/>
        <v>0</v>
      </c>
      <c r="AF418" s="229"/>
      <c r="AG418" s="313">
        <f t="shared" si="177"/>
        <v>0</v>
      </c>
      <c r="AH418" s="229"/>
      <c r="AI418" s="314">
        <f t="shared" si="178"/>
        <v>0</v>
      </c>
      <c r="AJ418" s="229"/>
      <c r="AK418" s="315" t="str">
        <f t="shared" si="179"/>
        <v xml:space="preserve">0.0 </v>
      </c>
      <c r="AL418" s="347"/>
      <c r="AM418" s="314">
        <f t="shared" si="180"/>
        <v>0</v>
      </c>
      <c r="AN418" s="348"/>
      <c r="AO418" s="314">
        <f t="shared" si="191"/>
        <v>0</v>
      </c>
      <c r="AP418" s="347"/>
      <c r="AQ418" s="319" t="str">
        <f t="shared" si="206"/>
        <v xml:space="preserve">0.0 </v>
      </c>
      <c r="AR418" s="379"/>
      <c r="AS418" s="382"/>
      <c r="AT418" s="77">
        <f t="shared" si="193"/>
        <v>20.419999999999998</v>
      </c>
      <c r="AW418" s="392">
        <v>1959</v>
      </c>
      <c r="AX418" s="380">
        <f t="shared" si="182"/>
        <v>3.89</v>
      </c>
      <c r="AY418" s="380">
        <f t="shared" si="183"/>
        <v>3.89</v>
      </c>
    </row>
    <row r="419" spans="1:51" ht="20.100000000000001" customHeight="1" x14ac:dyDescent="0.25">
      <c r="A419" s="54"/>
      <c r="R419" s="54"/>
      <c r="T419" s="370">
        <v>130</v>
      </c>
      <c r="U419" s="194"/>
      <c r="V419" s="518" t="s">
        <v>304</v>
      </c>
      <c r="W419" s="194"/>
      <c r="X419" s="194"/>
      <c r="Y419" s="316">
        <f>SUM(Y318:Y418)</f>
        <v>18141</v>
      </c>
      <c r="Z419" s="131"/>
      <c r="AA419" s="316">
        <f>SUM(AA318:AA418)</f>
        <v>1244608</v>
      </c>
      <c r="AB419" s="191"/>
      <c r="AC419" s="229"/>
      <c r="AD419" s="194"/>
      <c r="AE419" s="314">
        <f>SUM(AE318:AE418)</f>
        <v>276173</v>
      </c>
      <c r="AF419" s="194"/>
      <c r="AG419" s="313">
        <f>ROUND((AE419/AE$429)*100,1)</f>
        <v>18</v>
      </c>
      <c r="AH419" s="194"/>
      <c r="AI419" s="314">
        <f>SUM(AI318:AI418)</f>
        <v>33860</v>
      </c>
      <c r="AJ419" s="194"/>
      <c r="AK419" s="315">
        <f t="shared" si="179"/>
        <v>12.3</v>
      </c>
      <c r="AL419" s="347"/>
      <c r="AM419" s="537">
        <f>ROUND(AA419*CUR_FAC,0)</f>
        <v>848</v>
      </c>
      <c r="AN419" s="348"/>
      <c r="AO419" s="314">
        <f>SUM(AO318:AO418)</f>
        <v>277020</v>
      </c>
      <c r="AP419" s="347"/>
      <c r="AQ419" s="304">
        <f t="shared" si="206"/>
        <v>12.2</v>
      </c>
      <c r="AS419" s="382"/>
    </row>
    <row r="420" spans="1:51" ht="20.100000000000001" customHeight="1" x14ac:dyDescent="0.25">
      <c r="A420" s="54"/>
      <c r="R420" s="54"/>
      <c r="T420" s="368">
        <f>A200</f>
        <v>131</v>
      </c>
      <c r="U420" s="194"/>
      <c r="V420" s="520" t="s">
        <v>825</v>
      </c>
      <c r="W420" s="194"/>
      <c r="X420" s="194"/>
      <c r="Y420" s="310"/>
      <c r="Z420" s="131"/>
      <c r="AA420" s="310"/>
      <c r="AB420" s="191"/>
      <c r="AC420" s="229"/>
      <c r="AD420" s="194"/>
      <c r="AE420" s="310"/>
      <c r="AF420" s="194"/>
      <c r="AG420" s="344"/>
      <c r="AH420" s="194"/>
      <c r="AI420" s="310"/>
      <c r="AJ420" s="194"/>
      <c r="AK420" s="319"/>
      <c r="AL420" s="347"/>
      <c r="AM420" s="237"/>
      <c r="AN420" s="348"/>
      <c r="AO420" s="310"/>
      <c r="AP420" s="347"/>
      <c r="AQ420" s="304"/>
      <c r="AS420" s="382"/>
    </row>
    <row r="421" spans="1:51" ht="20.100000000000001" customHeight="1" x14ac:dyDescent="0.25">
      <c r="A421" s="54"/>
      <c r="R421" s="54"/>
      <c r="T421" s="368">
        <f>A201</f>
        <v>132</v>
      </c>
      <c r="U421" s="194"/>
      <c r="V421" s="300" t="str">
        <f>C201</f>
        <v>ENVIRONMENTAL SURCHARGE MECHANISM RIDER (ESM)</v>
      </c>
      <c r="W421" s="194"/>
      <c r="X421" s="194"/>
      <c r="Y421" s="310"/>
      <c r="Z421" s="131"/>
      <c r="AA421" s="310"/>
      <c r="AB421" s="191"/>
      <c r="AC421" s="538">
        <f>CUR_ESM_NONRES</f>
        <v>0.18160000000000001</v>
      </c>
      <c r="AD421" s="194"/>
      <c r="AE421" s="310">
        <f>ROUND(($AO$419+$AO$314-CUR_BASE_FUEL*AA429)*AC421,0)</f>
        <v>195592</v>
      </c>
      <c r="AF421" s="194"/>
      <c r="AG421" s="344">
        <f>ROUND((AE421/AE$429)*100,1)</f>
        <v>12.8</v>
      </c>
      <c r="AH421" s="194"/>
      <c r="AI421" s="310">
        <f>L201-AE421</f>
        <v>0</v>
      </c>
      <c r="AJ421" s="194"/>
      <c r="AK421" s="319">
        <f t="shared" ref="AK421" si="212">IF(AE421=0,"0.0 ",ROUND((AI421/AE421)*100,1))</f>
        <v>0</v>
      </c>
      <c r="AL421" s="347"/>
      <c r="AM421" s="237"/>
      <c r="AN421" s="348"/>
      <c r="AO421" s="310">
        <f t="shared" ref="AO421" si="213">AE421+AM421</f>
        <v>195592</v>
      </c>
      <c r="AP421" s="347"/>
      <c r="AQ421" s="304">
        <f t="shared" ref="AQ421" si="214">IF(AO421=0,"0.0 ",ROUND((AI421/AO421)*100,1))</f>
        <v>0</v>
      </c>
      <c r="AS421" s="382"/>
    </row>
    <row r="422" spans="1:51" ht="15.75" customHeight="1" x14ac:dyDescent="0.25">
      <c r="A422" s="54"/>
      <c r="R422" s="54"/>
      <c r="T422" s="368">
        <f>A202</f>
        <v>133</v>
      </c>
      <c r="U422" s="194"/>
      <c r="V422" s="300" t="str">
        <f>C202</f>
        <v>PROFIT SHARING MECHANISM (PSM)</v>
      </c>
      <c r="W422" s="194"/>
      <c r="X422" s="194"/>
      <c r="Y422" s="310"/>
      <c r="Z422" s="131"/>
      <c r="AA422" s="310"/>
      <c r="AB422" s="191"/>
      <c r="AC422" s="539">
        <f>RS_PSM</f>
        <v>-1.63E-4</v>
      </c>
      <c r="AD422" s="194"/>
      <c r="AE422" s="314">
        <f>ROUND(($AA$419+$AA$314)*AC422,0)</f>
        <v>-1719</v>
      </c>
      <c r="AF422" s="194"/>
      <c r="AG422" s="313">
        <f t="shared" ref="AG422:AG423" si="215">ROUND((AE422/AE$429)*100,1)</f>
        <v>-0.1</v>
      </c>
      <c r="AH422" s="194"/>
      <c r="AI422" s="314">
        <f>L202-AE422</f>
        <v>0</v>
      </c>
      <c r="AJ422" s="194"/>
      <c r="AK422" s="315">
        <f t="shared" ref="AK422" si="216">IF(AE422=0,"0.0 ",ROUND((AI422/AE422)*100,1))</f>
        <v>0</v>
      </c>
      <c r="AL422" s="347"/>
      <c r="AM422" s="537"/>
      <c r="AN422" s="348"/>
      <c r="AO422" s="314">
        <f t="shared" ref="AO422" si="217">AE422+AM422</f>
        <v>-1719</v>
      </c>
      <c r="AP422" s="131"/>
      <c r="AQ422" s="304">
        <f t="shared" ref="AQ422" si="218">IF(AO422=0,"0.0 ",ROUND((AI422/AO422)*100,1))</f>
        <v>0</v>
      </c>
      <c r="AS422" s="382"/>
    </row>
    <row r="423" spans="1:51" ht="20.100000000000001" customHeight="1" x14ac:dyDescent="0.25">
      <c r="A423" s="54"/>
      <c r="R423" s="54"/>
      <c r="T423" s="368">
        <f>A203</f>
        <v>134</v>
      </c>
      <c r="U423" s="194"/>
      <c r="V423" s="520" t="s">
        <v>538</v>
      </c>
      <c r="W423" s="194"/>
      <c r="X423" s="194"/>
      <c r="Y423" s="310"/>
      <c r="Z423" s="131"/>
      <c r="AA423" s="310"/>
      <c r="AB423" s="191"/>
      <c r="AC423" s="229"/>
      <c r="AD423" s="194"/>
      <c r="AE423" s="316">
        <f>SUM(AE421:AE422)</f>
        <v>193873</v>
      </c>
      <c r="AF423" s="194"/>
      <c r="AG423" s="317">
        <f t="shared" si="215"/>
        <v>12.6</v>
      </c>
      <c r="AH423" s="194"/>
      <c r="AI423" s="316">
        <f>SUM(AI421:AI422)</f>
        <v>0</v>
      </c>
      <c r="AJ423" s="194"/>
      <c r="AK423" s="318">
        <f>IF(AE423=0,"0.0 ",ROUND((AI423/AE423)*100,1))</f>
        <v>0</v>
      </c>
      <c r="AL423" s="347"/>
      <c r="AM423" s="532"/>
      <c r="AN423" s="348"/>
      <c r="AO423" s="316">
        <f>SUM(AO421:AO422)</f>
        <v>193873</v>
      </c>
      <c r="AP423" s="347"/>
      <c r="AQ423" s="304">
        <f t="shared" si="206"/>
        <v>0</v>
      </c>
      <c r="AS423" s="382"/>
    </row>
    <row r="424" spans="1:51" ht="15.75" customHeight="1" x14ac:dyDescent="0.25">
      <c r="A424" s="54"/>
      <c r="R424" s="54"/>
      <c r="T424" s="368"/>
      <c r="U424" s="194"/>
      <c r="V424" s="518"/>
      <c r="W424" s="194"/>
      <c r="X424" s="194"/>
      <c r="Y424" s="310"/>
      <c r="Z424" s="131"/>
      <c r="AA424" s="310"/>
      <c r="AB424" s="191"/>
      <c r="AC424" s="229"/>
      <c r="AD424" s="194"/>
      <c r="AE424" s="310"/>
      <c r="AF424" s="194"/>
      <c r="AG424" s="344"/>
      <c r="AH424" s="194"/>
      <c r="AI424" s="310"/>
      <c r="AJ424" s="194"/>
      <c r="AK424" s="319"/>
      <c r="AL424" s="347"/>
      <c r="AM424" s="237"/>
      <c r="AN424" s="348"/>
      <c r="AO424" s="310"/>
      <c r="AP424" s="347"/>
      <c r="AQ424" s="304"/>
      <c r="AS424" s="382"/>
    </row>
    <row r="425" spans="1:51" ht="21" customHeight="1" x14ac:dyDescent="0.25">
      <c r="A425" s="54"/>
      <c r="R425" s="54"/>
      <c r="T425" s="368">
        <f>A205</f>
        <v>135</v>
      </c>
      <c r="U425" s="229"/>
      <c r="V425" s="523" t="s">
        <v>357</v>
      </c>
      <c r="W425" s="229"/>
      <c r="X425" s="194"/>
      <c r="Y425" s="310"/>
      <c r="Z425" s="198"/>
      <c r="AA425" s="310"/>
      <c r="AB425" s="191"/>
      <c r="AC425" s="229"/>
      <c r="AD425" s="194"/>
      <c r="AE425" s="310"/>
      <c r="AF425" s="194"/>
      <c r="AG425" s="344"/>
      <c r="AH425" s="194"/>
      <c r="AI425" s="310"/>
      <c r="AJ425" s="194"/>
      <c r="AK425" s="319"/>
      <c r="AL425" s="347"/>
      <c r="AM425" s="238"/>
      <c r="AN425" s="348"/>
      <c r="AO425" s="310"/>
      <c r="AP425" s="347"/>
      <c r="AQ425" s="304"/>
      <c r="AS425" s="382"/>
    </row>
    <row r="426" spans="1:51" x14ac:dyDescent="0.25">
      <c r="A426" s="54"/>
      <c r="R426" s="54"/>
      <c r="T426" s="368">
        <f>A206</f>
        <v>136</v>
      </c>
      <c r="U426" s="229"/>
      <c r="V426" s="301" t="s">
        <v>358</v>
      </c>
      <c r="W426" s="229"/>
      <c r="X426" s="194"/>
      <c r="Y426" s="189">
        <f>F206</f>
        <v>5025</v>
      </c>
      <c r="Z426" s="198"/>
      <c r="AA426" s="310"/>
      <c r="AB426" s="191"/>
      <c r="AC426" s="540">
        <v>0.53</v>
      </c>
      <c r="AD426" s="194"/>
      <c r="AE426" s="310">
        <f>ROUND((Y426*AC426),0)</f>
        <v>2663</v>
      </c>
      <c r="AF426" s="194"/>
      <c r="AG426" s="344">
        <f>ROUND((AE426/AE$429)*100,1)</f>
        <v>0.2</v>
      </c>
      <c r="AH426" s="194"/>
      <c r="AI426" s="191">
        <f>L206-AE426</f>
        <v>352</v>
      </c>
      <c r="AJ426" s="194"/>
      <c r="AK426" s="319">
        <f>IF(AE426=0,"0.0 ",ROUND((AI426/AE426)*100,1))</f>
        <v>13.2</v>
      </c>
      <c r="AL426" s="347"/>
      <c r="AM426" s="308"/>
      <c r="AN426" s="348"/>
      <c r="AO426" s="191">
        <f>AE426+AM426</f>
        <v>2663</v>
      </c>
      <c r="AP426" s="347"/>
      <c r="AQ426" s="304">
        <f>IF(AO426=0,"0.0 ",ROUND((AI426/AO426)*100,1))</f>
        <v>13.2</v>
      </c>
      <c r="AS426" s="382"/>
    </row>
    <row r="427" spans="1:51" x14ac:dyDescent="0.25">
      <c r="A427" s="54"/>
      <c r="R427" s="54"/>
      <c r="T427" s="368">
        <f>A207</f>
        <v>137</v>
      </c>
      <c r="U427" s="229"/>
      <c r="V427" s="301" t="s">
        <v>359</v>
      </c>
      <c r="W427" s="229"/>
      <c r="X427" s="194"/>
      <c r="Y427" s="189">
        <f>F207</f>
        <v>20883</v>
      </c>
      <c r="Z427" s="131"/>
      <c r="AA427" s="310"/>
      <c r="AB427" s="191"/>
      <c r="AC427" s="540">
        <v>0.77</v>
      </c>
      <c r="AD427" s="194"/>
      <c r="AE427" s="314">
        <f>ROUND((Y427*AC427),0)</f>
        <v>16080</v>
      </c>
      <c r="AF427" s="194"/>
      <c r="AG427" s="313">
        <f>ROUND((AE427/AE$429)*100,1)</f>
        <v>1</v>
      </c>
      <c r="AH427" s="194"/>
      <c r="AI427" s="314">
        <f>L207-AE427</f>
        <v>1879</v>
      </c>
      <c r="AJ427" s="194"/>
      <c r="AK427" s="315">
        <f>IF(AE427=0,"0.0 ",ROUND((AI427/AE427)*100,1))</f>
        <v>11.7</v>
      </c>
      <c r="AL427" s="347"/>
      <c r="AM427" s="350"/>
      <c r="AN427" s="348"/>
      <c r="AO427" s="314">
        <f>AE427+AM427</f>
        <v>16080</v>
      </c>
      <c r="AP427" s="347"/>
      <c r="AQ427" s="304">
        <f>IF(AO427=0,"0.0 ",ROUND((AI427/AO427)*100,1))</f>
        <v>11.7</v>
      </c>
      <c r="AS427" s="382"/>
    </row>
    <row r="428" spans="1:51" ht="20.100000000000001" customHeight="1" x14ac:dyDescent="0.25">
      <c r="A428" s="54"/>
      <c r="R428" s="54"/>
      <c r="T428" s="368">
        <f>A208</f>
        <v>138</v>
      </c>
      <c r="U428" s="229"/>
      <c r="V428" s="523" t="s">
        <v>360</v>
      </c>
      <c r="W428" s="229"/>
      <c r="X428" s="194"/>
      <c r="Y428" s="351">
        <f>SUM(Y426:Y427)</f>
        <v>25908</v>
      </c>
      <c r="Z428" s="131"/>
      <c r="AA428" s="310"/>
      <c r="AB428" s="191"/>
      <c r="AC428" s="229"/>
      <c r="AD428" s="194"/>
      <c r="AE428" s="310">
        <f>SUM(AE426:AE427)</f>
        <v>18743</v>
      </c>
      <c r="AF428" s="194"/>
      <c r="AG428" s="313">
        <f>ROUND((AE428/AE$429)*100,1)</f>
        <v>1.2</v>
      </c>
      <c r="AH428" s="194"/>
      <c r="AI428" s="310">
        <f>SUM(AI426:AI427)</f>
        <v>2231</v>
      </c>
      <c r="AJ428" s="194"/>
      <c r="AK428" s="315">
        <f t="shared" si="179"/>
        <v>11.9</v>
      </c>
      <c r="AL428" s="347"/>
      <c r="AM428" s="350">
        <v>0</v>
      </c>
      <c r="AN428" s="348"/>
      <c r="AO428" s="310">
        <f>SUM(AO426:AO427)</f>
        <v>18743</v>
      </c>
      <c r="AP428" s="347"/>
      <c r="AQ428" s="304">
        <f>IF(AO428=0,"0.0 ",ROUND((AI428/AO428)*100,1))</f>
        <v>11.9</v>
      </c>
      <c r="AS428" s="382"/>
    </row>
    <row r="429" spans="1:51" ht="25.5" customHeight="1" thickBot="1" x14ac:dyDescent="0.3">
      <c r="L429" s="54"/>
      <c r="M429" s="54"/>
      <c r="R429" s="53"/>
      <c r="T429" s="368">
        <f>A209</f>
        <v>139</v>
      </c>
      <c r="U429" s="194"/>
      <c r="V429" s="520" t="s">
        <v>549</v>
      </c>
      <c r="W429" s="194"/>
      <c r="X429" s="194"/>
      <c r="Y429" s="352">
        <f>Y314+Y419</f>
        <v>135466</v>
      </c>
      <c r="Z429" s="131"/>
      <c r="AA429" s="352">
        <f>AA314+AA419</f>
        <v>10548224</v>
      </c>
      <c r="AB429" s="191"/>
      <c r="AC429" s="229"/>
      <c r="AD429" s="194"/>
      <c r="AE429" s="352">
        <f>AE314+AE419+AE423+AE428</f>
        <v>1533918</v>
      </c>
      <c r="AF429" s="194"/>
      <c r="AG429" s="353">
        <v>100</v>
      </c>
      <c r="AH429" s="194"/>
      <c r="AI429" s="352">
        <f>AI314+AI419+AI423+AI428</f>
        <v>164202</v>
      </c>
      <c r="AJ429" s="194"/>
      <c r="AK429" s="354">
        <f t="shared" si="179"/>
        <v>10.7</v>
      </c>
      <c r="AL429" s="194"/>
      <c r="AM429" s="541">
        <f>ROUND(AA429*CUR_FAC,0)</f>
        <v>7183</v>
      </c>
      <c r="AN429" s="194"/>
      <c r="AO429" s="352">
        <f>AO314+AO419+AO423+AO428</f>
        <v>1541102</v>
      </c>
      <c r="AP429" s="194"/>
      <c r="AQ429" s="304">
        <f t="shared" si="206"/>
        <v>10.7</v>
      </c>
      <c r="AS429" s="382"/>
    </row>
    <row r="430" spans="1:51" ht="16.5" thickTop="1" x14ac:dyDescent="0.25">
      <c r="L430" s="54"/>
      <c r="M430" s="54"/>
      <c r="R430" s="53"/>
      <c r="T430" s="229"/>
      <c r="U430" s="194"/>
      <c r="V430" s="196"/>
      <c r="W430" s="194"/>
      <c r="X430" s="194"/>
      <c r="Y430" s="310"/>
      <c r="Z430" s="131"/>
      <c r="AA430" s="310"/>
      <c r="AB430" s="191"/>
      <c r="AC430" s="229"/>
      <c r="AD430" s="194"/>
      <c r="AE430" s="310"/>
      <c r="AF430" s="194"/>
      <c r="AG430" s="344"/>
      <c r="AH430" s="194"/>
      <c r="AI430" s="310"/>
      <c r="AJ430" s="194"/>
      <c r="AK430" s="319"/>
      <c r="AL430" s="194"/>
      <c r="AM430" s="238"/>
      <c r="AN430" s="194"/>
      <c r="AO430" s="310"/>
      <c r="AP430" s="194"/>
      <c r="AQ430" s="304"/>
    </row>
    <row r="431" spans="1:51" x14ac:dyDescent="0.25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T431" s="320" t="s">
        <v>78</v>
      </c>
      <c r="U431" s="321"/>
      <c r="V431" s="293"/>
      <c r="W431" s="293"/>
      <c r="X431" s="293"/>
      <c r="Y431" s="293"/>
      <c r="Z431" s="293"/>
      <c r="AA431" s="293"/>
      <c r="AB431" s="293"/>
      <c r="AC431" s="321"/>
      <c r="AD431" s="293"/>
      <c r="AE431" s="322" t="s">
        <v>272</v>
      </c>
      <c r="AF431" s="293"/>
      <c r="AG431" s="323"/>
      <c r="AH431" s="293"/>
      <c r="AI431" s="321"/>
      <c r="AJ431" s="293"/>
      <c r="AK431" s="324" t="s">
        <v>277</v>
      </c>
      <c r="AL431" s="293"/>
      <c r="AM431" s="293"/>
      <c r="AN431" s="293"/>
      <c r="AO431" s="293"/>
      <c r="AP431" s="194"/>
      <c r="AQ431" s="331"/>
    </row>
    <row r="432" spans="1:51" x14ac:dyDescent="0.25">
      <c r="L432" s="56"/>
      <c r="M432" s="56"/>
      <c r="N432" s="56"/>
      <c r="O432" s="56"/>
      <c r="R432" s="56"/>
      <c r="T432" s="320" t="str">
        <f>"(1A) REFLECTS FUEL COST RECOVERY INCLUDED IN BASE RATES OF "&amp;TEXT(CUR_BASE_FUEL,"$0.000000;($0.000000)")&amp;"  PER KWH."</f>
        <v>(1A) REFLECTS FUEL COST RECOVERY INCLUDED IN BASE RATES OF $0.023837  PER KWH.</v>
      </c>
      <c r="U432" s="293"/>
      <c r="V432" s="293"/>
      <c r="W432" s="293"/>
      <c r="X432" s="293"/>
      <c r="Y432" s="327"/>
      <c r="Z432" s="293"/>
      <c r="AA432" s="293"/>
      <c r="AB432" s="293"/>
      <c r="AC432" s="321"/>
      <c r="AD432" s="293"/>
      <c r="AE432" s="324" t="s">
        <v>274</v>
      </c>
      <c r="AF432" s="293"/>
      <c r="AG432" s="323"/>
      <c r="AH432" s="293"/>
      <c r="AI432" s="321"/>
      <c r="AJ432" s="293"/>
      <c r="AK432" s="322" t="s">
        <v>278</v>
      </c>
      <c r="AL432" s="293"/>
      <c r="AM432" s="293"/>
      <c r="AN432" s="293"/>
      <c r="AO432" s="293"/>
      <c r="AP432" s="194"/>
      <c r="AQ432" s="331"/>
    </row>
    <row r="433" spans="1:43" x14ac:dyDescent="0.25">
      <c r="L433" s="56"/>
      <c r="M433" s="56"/>
      <c r="N433" s="56"/>
      <c r="O433" s="56"/>
      <c r="R433" s="56"/>
      <c r="T433" s="320" t="str">
        <f>"(2) REFLECTS FUEL COMPONENT OF "&amp;TEXT(CUR_FAC,"$0.000000;($0.000000)")&amp;"  PER KWH."</f>
        <v>(2) REFLECTS FUEL COMPONENT OF $0.000681  PER KWH.</v>
      </c>
      <c r="U433" s="293"/>
      <c r="V433" s="293"/>
      <c r="W433" s="293"/>
      <c r="X433" s="293"/>
      <c r="Y433" s="327"/>
      <c r="Z433" s="293"/>
      <c r="AA433" s="293"/>
      <c r="AB433" s="293"/>
      <c r="AC433" s="321"/>
      <c r="AD433" s="293"/>
      <c r="AE433" s="324" t="s">
        <v>275</v>
      </c>
      <c r="AF433" s="293"/>
      <c r="AG433" s="323"/>
      <c r="AH433" s="293"/>
      <c r="AI433" s="321"/>
      <c r="AJ433" s="293"/>
      <c r="AK433" s="322" t="s">
        <v>279</v>
      </c>
      <c r="AL433" s="293"/>
      <c r="AM433" s="293"/>
      <c r="AN433" s="293"/>
      <c r="AO433" s="293"/>
      <c r="AP433" s="194"/>
      <c r="AQ433" s="331"/>
    </row>
    <row r="434" spans="1:43" x14ac:dyDescent="0.25">
      <c r="L434" s="56"/>
      <c r="M434" s="56"/>
      <c r="N434" s="56"/>
      <c r="O434" s="56"/>
      <c r="R434" s="56"/>
      <c r="T434" s="322" t="s">
        <v>273</v>
      </c>
      <c r="U434" s="293"/>
      <c r="V434" s="293"/>
      <c r="W434" s="293"/>
      <c r="X434" s="293"/>
      <c r="Y434" s="327"/>
      <c r="Z434" s="293"/>
      <c r="AA434" s="293"/>
      <c r="AB434" s="293"/>
      <c r="AC434" s="321"/>
      <c r="AD434" s="293"/>
      <c r="AE434" s="322" t="s">
        <v>276</v>
      </c>
      <c r="AF434" s="293"/>
      <c r="AG434" s="323"/>
      <c r="AH434" s="293"/>
      <c r="AI434" s="321"/>
      <c r="AJ434" s="293"/>
      <c r="AK434" s="322" t="s">
        <v>280</v>
      </c>
      <c r="AL434" s="293"/>
      <c r="AM434" s="293"/>
      <c r="AN434" s="293"/>
      <c r="AO434" s="293"/>
      <c r="AP434" s="194"/>
      <c r="AQ434" s="331"/>
    </row>
    <row r="435" spans="1:43" x14ac:dyDescent="0.25">
      <c r="A435" s="56"/>
      <c r="C435" s="56"/>
      <c r="D435" s="56"/>
      <c r="E435" s="56"/>
      <c r="F435" s="56"/>
      <c r="J435" s="56"/>
      <c r="K435" s="56"/>
      <c r="L435" s="56"/>
      <c r="M435" s="56"/>
      <c r="N435" s="56"/>
      <c r="O435" s="56"/>
      <c r="P435" s="56"/>
      <c r="Q435" s="56"/>
      <c r="R435" s="56"/>
      <c r="T435" s="322" t="s">
        <v>271</v>
      </c>
      <c r="U435" s="293"/>
      <c r="V435" s="293"/>
      <c r="W435" s="293"/>
      <c r="X435" s="293"/>
      <c r="Y435" s="327"/>
      <c r="Z435" s="293"/>
      <c r="AA435" s="293"/>
      <c r="AB435" s="293"/>
      <c r="AC435" s="321"/>
      <c r="AD435" s="321"/>
      <c r="AE435" s="322" t="s">
        <v>387</v>
      </c>
      <c r="AF435" s="321"/>
      <c r="AG435" s="328"/>
      <c r="AH435" s="321"/>
      <c r="AI435" s="321"/>
      <c r="AJ435" s="321"/>
      <c r="AK435" s="322" t="s">
        <v>281</v>
      </c>
      <c r="AL435" s="293"/>
      <c r="AM435" s="293"/>
      <c r="AN435" s="293"/>
      <c r="AO435" s="293"/>
      <c r="AP435" s="194"/>
      <c r="AQ435" s="331"/>
    </row>
    <row r="436" spans="1:43" x14ac:dyDescent="0.25">
      <c r="A436" s="56"/>
      <c r="C436" s="56"/>
      <c r="D436" s="56"/>
      <c r="E436" s="56"/>
      <c r="F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T436" s="229"/>
      <c r="U436" s="231"/>
      <c r="V436" s="231"/>
      <c r="W436" s="229"/>
      <c r="X436" s="229"/>
      <c r="Y436" s="229"/>
      <c r="Z436" s="229"/>
      <c r="AA436" s="231"/>
      <c r="AB436" s="231"/>
      <c r="AC436" s="229"/>
      <c r="AD436" s="231"/>
      <c r="AE436" s="231"/>
      <c r="AF436" s="231"/>
      <c r="AG436" s="332"/>
      <c r="AH436" s="231"/>
      <c r="AI436" s="231"/>
      <c r="AJ436" s="231"/>
      <c r="AK436" s="332"/>
      <c r="AL436" s="231"/>
      <c r="AM436" s="231"/>
      <c r="AN436" s="231"/>
      <c r="AO436" s="231"/>
      <c r="AP436" s="231"/>
      <c r="AQ436" s="333"/>
    </row>
    <row r="437" spans="1:43" x14ac:dyDescent="0.25">
      <c r="C437" s="56"/>
      <c r="D437" s="56"/>
      <c r="E437" s="56"/>
      <c r="F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T437" s="231"/>
      <c r="U437" s="231"/>
      <c r="V437" s="231"/>
      <c r="W437" s="229"/>
      <c r="X437" s="229"/>
      <c r="Y437" s="229"/>
      <c r="Z437" s="229"/>
      <c r="AA437" s="231"/>
      <c r="AB437" s="231"/>
      <c r="AC437" s="231"/>
      <c r="AD437" s="231"/>
      <c r="AE437" s="231"/>
      <c r="AF437" s="231"/>
      <c r="AG437" s="332"/>
      <c r="AH437" s="231"/>
      <c r="AI437" s="231"/>
      <c r="AJ437" s="231"/>
      <c r="AK437" s="332"/>
      <c r="AL437" s="231"/>
      <c r="AM437" s="231"/>
      <c r="AN437" s="231"/>
      <c r="AO437" s="231"/>
      <c r="AP437" s="231"/>
      <c r="AQ437" s="333"/>
    </row>
    <row r="438" spans="1:43" x14ac:dyDescent="0.25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T438" s="230"/>
      <c r="U438" s="230"/>
      <c r="V438" s="230"/>
      <c r="W438" s="230"/>
      <c r="X438" s="230"/>
      <c r="Y438" s="230"/>
      <c r="Z438" s="230"/>
      <c r="AA438" s="230"/>
      <c r="AB438" s="230"/>
      <c r="AC438" s="230"/>
      <c r="AD438" s="230"/>
      <c r="AE438" s="230"/>
      <c r="AF438" s="230"/>
      <c r="AG438" s="355"/>
      <c r="AH438" s="230"/>
      <c r="AI438" s="230"/>
      <c r="AJ438" s="230"/>
      <c r="AK438" s="355"/>
      <c r="AL438" s="230"/>
      <c r="AM438" s="230"/>
      <c r="AN438" s="230"/>
      <c r="AO438" s="230"/>
      <c r="AP438" s="230"/>
      <c r="AQ438" s="333"/>
    </row>
    <row r="439" spans="1:43" x14ac:dyDescent="0.25"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T439" s="229"/>
      <c r="U439" s="229"/>
      <c r="V439" s="229"/>
      <c r="W439" s="229"/>
      <c r="X439" s="229"/>
      <c r="Y439" s="229"/>
      <c r="Z439" s="229"/>
      <c r="AA439" s="231"/>
      <c r="AB439" s="231"/>
      <c r="AC439" s="231"/>
      <c r="AD439" s="231"/>
      <c r="AE439" s="231"/>
      <c r="AF439" s="231"/>
      <c r="AG439" s="332"/>
      <c r="AH439" s="231"/>
      <c r="AI439" s="231"/>
      <c r="AJ439" s="231"/>
      <c r="AK439" s="332"/>
      <c r="AL439" s="231"/>
      <c r="AM439" s="231"/>
      <c r="AN439" s="231"/>
      <c r="AO439" s="231"/>
      <c r="AP439" s="231"/>
      <c r="AQ439" s="333"/>
    </row>
    <row r="440" spans="1:43" x14ac:dyDescent="0.25">
      <c r="A440" s="53"/>
      <c r="C440" s="54"/>
      <c r="D440" s="54"/>
      <c r="E440" s="54"/>
      <c r="T440" s="301"/>
      <c r="U440" s="301"/>
      <c r="V440" s="229"/>
      <c r="W440" s="229"/>
      <c r="X440" s="229"/>
      <c r="Y440" s="229"/>
      <c r="Z440" s="229"/>
      <c r="AA440" s="229"/>
      <c r="AB440" s="229"/>
      <c r="AC440" s="229"/>
      <c r="AD440" s="229"/>
      <c r="AE440" s="229"/>
      <c r="AF440" s="229"/>
      <c r="AG440" s="330"/>
      <c r="AH440" s="229"/>
      <c r="AI440" s="229"/>
      <c r="AJ440" s="229"/>
      <c r="AK440" s="330"/>
      <c r="AL440" s="229"/>
      <c r="AM440" s="229"/>
      <c r="AN440" s="229"/>
      <c r="AO440" s="229"/>
      <c r="AP440" s="229"/>
      <c r="AQ440" s="333"/>
    </row>
    <row r="441" spans="1:43" x14ac:dyDescent="0.25">
      <c r="T441" s="229"/>
      <c r="U441" s="229"/>
      <c r="V441" s="229"/>
      <c r="W441" s="229"/>
      <c r="X441" s="229"/>
      <c r="Y441" s="229"/>
      <c r="Z441" s="229"/>
      <c r="AA441" s="229"/>
      <c r="AB441" s="229"/>
      <c r="AC441" s="229"/>
      <c r="AD441" s="229"/>
      <c r="AE441" s="229"/>
      <c r="AF441" s="229"/>
      <c r="AG441" s="330"/>
      <c r="AH441" s="229"/>
      <c r="AI441" s="229"/>
      <c r="AJ441" s="229"/>
      <c r="AK441" s="330"/>
      <c r="AL441" s="229"/>
      <c r="AM441" s="229"/>
      <c r="AN441" s="229"/>
      <c r="AO441" s="229"/>
      <c r="AP441" s="229"/>
      <c r="AQ441" s="333"/>
    </row>
    <row r="442" spans="1:43" x14ac:dyDescent="0.25">
      <c r="A442" s="53"/>
      <c r="C442" s="54"/>
      <c r="F442" s="449"/>
      <c r="H442" s="470"/>
      <c r="I442" s="470"/>
      <c r="J442" s="461"/>
      <c r="K442" s="461"/>
      <c r="L442" s="379"/>
      <c r="M442" s="379"/>
      <c r="N442" s="53"/>
      <c r="O442" s="53"/>
      <c r="P442" s="53"/>
      <c r="Q442" s="53"/>
      <c r="R442" s="379"/>
      <c r="T442" s="301"/>
      <c r="U442" s="229"/>
      <c r="V442" s="347"/>
      <c r="W442" s="229"/>
      <c r="X442" s="229"/>
      <c r="Y442" s="229"/>
      <c r="Z442" s="229"/>
      <c r="AA442" s="349"/>
      <c r="AB442" s="542"/>
      <c r="AC442" s="347"/>
      <c r="AD442" s="347"/>
      <c r="AE442" s="349"/>
      <c r="AF442" s="349"/>
      <c r="AG442" s="356"/>
      <c r="AH442" s="347"/>
      <c r="AI442" s="543"/>
      <c r="AJ442" s="543"/>
      <c r="AK442" s="356"/>
      <c r="AL442" s="347"/>
      <c r="AM442" s="347"/>
      <c r="AN442" s="347"/>
      <c r="AO442" s="544"/>
      <c r="AP442" s="544"/>
      <c r="AQ442" s="333"/>
    </row>
    <row r="443" spans="1:43" x14ac:dyDescent="0.25">
      <c r="F443" s="449"/>
      <c r="H443" s="470"/>
      <c r="I443" s="470"/>
      <c r="J443" s="470"/>
      <c r="K443" s="470"/>
      <c r="R443" s="379"/>
      <c r="T443" s="229"/>
      <c r="U443" s="229"/>
      <c r="V443" s="347"/>
      <c r="W443" s="229"/>
      <c r="X443" s="229"/>
      <c r="Y443" s="229"/>
      <c r="Z443" s="229"/>
      <c r="AA443" s="229"/>
      <c r="AB443" s="545"/>
      <c r="AC443" s="229"/>
      <c r="AD443" s="229"/>
      <c r="AE443" s="229"/>
      <c r="AF443" s="229"/>
      <c r="AG443" s="330"/>
      <c r="AH443" s="229"/>
      <c r="AI443" s="229"/>
      <c r="AJ443" s="229"/>
      <c r="AK443" s="330"/>
      <c r="AL443" s="229"/>
      <c r="AM443" s="229"/>
      <c r="AN443" s="229"/>
      <c r="AO443" s="229"/>
      <c r="AP443" s="229"/>
      <c r="AQ443" s="333"/>
    </row>
    <row r="444" spans="1:43" x14ac:dyDescent="0.25">
      <c r="A444" s="53"/>
      <c r="C444" s="54"/>
      <c r="F444" s="449"/>
      <c r="H444" s="449"/>
      <c r="I444" s="449"/>
      <c r="J444" s="472"/>
      <c r="K444" s="472"/>
      <c r="L444" s="379"/>
      <c r="M444" s="379"/>
      <c r="N444" s="50"/>
      <c r="O444" s="50"/>
      <c r="P444" s="449"/>
      <c r="Q444" s="449"/>
      <c r="R444" s="379"/>
      <c r="T444" s="301"/>
      <c r="U444" s="229"/>
      <c r="V444" s="347"/>
      <c r="W444" s="229"/>
      <c r="X444" s="229"/>
      <c r="Y444" s="229"/>
      <c r="Z444" s="229"/>
      <c r="AA444" s="347"/>
      <c r="AB444" s="546"/>
      <c r="AC444" s="347"/>
      <c r="AD444" s="347"/>
      <c r="AE444" s="357"/>
      <c r="AF444" s="357"/>
      <c r="AG444" s="356"/>
      <c r="AH444" s="347"/>
      <c r="AI444" s="348"/>
      <c r="AJ444" s="348"/>
      <c r="AK444" s="547"/>
      <c r="AL444" s="447"/>
      <c r="AM444" s="347"/>
      <c r="AN444" s="347"/>
      <c r="AO444" s="357"/>
      <c r="AP444" s="357"/>
      <c r="AQ444" s="333"/>
    </row>
    <row r="445" spans="1:43" x14ac:dyDescent="0.25">
      <c r="F445" s="381"/>
      <c r="H445" s="381"/>
      <c r="I445" s="381"/>
      <c r="J445" s="464"/>
      <c r="K445" s="464"/>
      <c r="L445" s="381"/>
      <c r="M445" s="381"/>
      <c r="N445" s="381"/>
      <c r="O445" s="381"/>
      <c r="P445" s="381"/>
      <c r="Q445" s="381"/>
      <c r="R445" s="381"/>
      <c r="T445" s="229"/>
      <c r="U445" s="229"/>
      <c r="V445" s="358"/>
      <c r="W445" s="229"/>
      <c r="X445" s="229"/>
      <c r="Y445" s="229"/>
      <c r="Z445" s="229"/>
      <c r="AA445" s="358"/>
      <c r="AB445" s="548"/>
      <c r="AC445" s="358"/>
      <c r="AD445" s="358"/>
      <c r="AE445" s="358"/>
      <c r="AF445" s="358"/>
      <c r="AG445" s="359"/>
      <c r="AH445" s="358"/>
      <c r="AI445" s="229"/>
      <c r="AJ445" s="229"/>
      <c r="AK445" s="359"/>
      <c r="AL445" s="358"/>
      <c r="AM445" s="358"/>
      <c r="AN445" s="358"/>
      <c r="AO445" s="229"/>
      <c r="AP445" s="229"/>
      <c r="AQ445" s="333"/>
    </row>
    <row r="446" spans="1:43" x14ac:dyDescent="0.25">
      <c r="A446" s="53"/>
      <c r="D446" s="54"/>
      <c r="E446" s="54"/>
      <c r="F446" s="379"/>
      <c r="H446" s="379"/>
      <c r="I446" s="379"/>
      <c r="J446" s="59"/>
      <c r="K446" s="59"/>
      <c r="L446" s="379"/>
      <c r="M446" s="379"/>
      <c r="N446" s="50"/>
      <c r="O446" s="50"/>
      <c r="P446" s="379"/>
      <c r="Q446" s="379"/>
      <c r="R446" s="379"/>
      <c r="T446" s="229"/>
      <c r="U446" s="301"/>
      <c r="V446" s="347"/>
      <c r="W446" s="229"/>
      <c r="X446" s="229"/>
      <c r="Y446" s="229"/>
      <c r="Z446" s="229"/>
      <c r="AA446" s="347"/>
      <c r="AB446" s="360"/>
      <c r="AC446" s="347"/>
      <c r="AD446" s="347"/>
      <c r="AE446" s="357"/>
      <c r="AF446" s="357"/>
      <c r="AG446" s="356"/>
      <c r="AH446" s="347"/>
      <c r="AI446" s="348"/>
      <c r="AJ446" s="348"/>
      <c r="AK446" s="356"/>
      <c r="AL446" s="347"/>
      <c r="AM446" s="347"/>
      <c r="AN446" s="347"/>
      <c r="AO446" s="357"/>
      <c r="AP446" s="357"/>
      <c r="AQ446" s="333"/>
    </row>
    <row r="447" spans="1:43" x14ac:dyDescent="0.25">
      <c r="F447" s="381"/>
      <c r="H447" s="381"/>
      <c r="I447" s="381"/>
      <c r="J447" s="464"/>
      <c r="K447" s="464"/>
      <c r="L447" s="381"/>
      <c r="M447" s="381"/>
      <c r="N447" s="381"/>
      <c r="O447" s="381"/>
      <c r="P447" s="381"/>
      <c r="Q447" s="381"/>
      <c r="R447" s="381"/>
      <c r="T447" s="229"/>
      <c r="U447" s="229"/>
      <c r="V447" s="358"/>
      <c r="W447" s="229"/>
      <c r="X447" s="229"/>
      <c r="Y447" s="229"/>
      <c r="Z447" s="229"/>
      <c r="AA447" s="358"/>
      <c r="AB447" s="548"/>
      <c r="AC447" s="358"/>
      <c r="AD447" s="358"/>
      <c r="AE447" s="358"/>
      <c r="AF447" s="358"/>
      <c r="AG447" s="359"/>
      <c r="AH447" s="358"/>
      <c r="AI447" s="229"/>
      <c r="AJ447" s="229"/>
      <c r="AK447" s="359"/>
      <c r="AL447" s="358"/>
      <c r="AM447" s="358"/>
      <c r="AN447" s="358"/>
      <c r="AO447" s="229"/>
      <c r="AP447" s="229"/>
      <c r="AQ447" s="333"/>
    </row>
    <row r="448" spans="1:43" x14ac:dyDescent="0.25">
      <c r="R448" s="379"/>
      <c r="T448" s="229"/>
      <c r="U448" s="229"/>
      <c r="V448" s="229"/>
      <c r="W448" s="229"/>
      <c r="X448" s="229"/>
      <c r="Y448" s="229"/>
      <c r="Z448" s="229"/>
      <c r="AA448" s="229"/>
      <c r="AB448" s="229"/>
      <c r="AC448" s="229"/>
      <c r="AD448" s="229"/>
      <c r="AE448" s="229"/>
      <c r="AF448" s="229"/>
      <c r="AG448" s="330"/>
      <c r="AH448" s="229"/>
      <c r="AI448" s="229"/>
      <c r="AJ448" s="229"/>
      <c r="AK448" s="330"/>
      <c r="AL448" s="229"/>
      <c r="AM448" s="229"/>
      <c r="AN448" s="229"/>
      <c r="AO448" s="229"/>
      <c r="AP448" s="229"/>
      <c r="AQ448" s="333"/>
    </row>
    <row r="449" spans="1:43" x14ac:dyDescent="0.25">
      <c r="R449" s="379"/>
      <c r="T449" s="229"/>
      <c r="U449" s="229"/>
      <c r="V449" s="229"/>
      <c r="W449" s="229"/>
      <c r="X449" s="229"/>
      <c r="Y449" s="229"/>
      <c r="Z449" s="229"/>
      <c r="AA449" s="229"/>
      <c r="AB449" s="229"/>
      <c r="AC449" s="229"/>
      <c r="AD449" s="229"/>
      <c r="AE449" s="229"/>
      <c r="AF449" s="229"/>
      <c r="AG449" s="330"/>
      <c r="AH449" s="229"/>
      <c r="AI449" s="229"/>
      <c r="AJ449" s="229"/>
      <c r="AK449" s="330"/>
      <c r="AL449" s="229"/>
      <c r="AM449" s="229"/>
      <c r="AN449" s="229"/>
      <c r="AO449" s="229"/>
      <c r="AP449" s="229"/>
      <c r="AQ449" s="333"/>
    </row>
    <row r="450" spans="1:43" x14ac:dyDescent="0.25">
      <c r="R450" s="379"/>
      <c r="T450" s="229"/>
      <c r="U450" s="229"/>
      <c r="V450" s="229"/>
      <c r="W450" s="229"/>
      <c r="X450" s="229"/>
      <c r="Y450" s="229"/>
      <c r="Z450" s="229"/>
      <c r="AA450" s="229"/>
      <c r="AB450" s="229"/>
      <c r="AC450" s="229"/>
      <c r="AD450" s="229"/>
      <c r="AE450" s="229"/>
      <c r="AF450" s="229"/>
      <c r="AG450" s="330"/>
      <c r="AH450" s="229"/>
      <c r="AI450" s="229"/>
      <c r="AJ450" s="229"/>
      <c r="AK450" s="330"/>
      <c r="AL450" s="229"/>
      <c r="AM450" s="229"/>
      <c r="AN450" s="229"/>
      <c r="AO450" s="229"/>
      <c r="AP450" s="229"/>
      <c r="AQ450" s="333"/>
    </row>
    <row r="451" spans="1:43" x14ac:dyDescent="0.25">
      <c r="A451" s="53"/>
      <c r="C451" s="54"/>
      <c r="D451" s="54"/>
      <c r="E451" s="54"/>
      <c r="H451" s="379"/>
      <c r="I451" s="379"/>
      <c r="J451" s="59"/>
      <c r="K451" s="59"/>
      <c r="L451" s="379"/>
      <c r="M451" s="379"/>
      <c r="N451" s="50"/>
      <c r="O451" s="50"/>
      <c r="P451" s="379"/>
      <c r="Q451" s="379"/>
      <c r="R451" s="379"/>
      <c r="T451" s="301"/>
      <c r="U451" s="301"/>
      <c r="V451" s="229"/>
      <c r="W451" s="229"/>
      <c r="X451" s="229"/>
      <c r="Y451" s="229"/>
      <c r="Z451" s="229"/>
      <c r="AA451" s="347"/>
      <c r="AB451" s="360"/>
      <c r="AC451" s="347"/>
      <c r="AD451" s="347"/>
      <c r="AE451" s="357"/>
      <c r="AF451" s="357"/>
      <c r="AG451" s="330"/>
      <c r="AH451" s="229"/>
      <c r="AI451" s="229"/>
      <c r="AJ451" s="229"/>
      <c r="AK451" s="330"/>
      <c r="AL451" s="229"/>
      <c r="AM451" s="229"/>
      <c r="AN451" s="229"/>
      <c r="AO451" s="229"/>
      <c r="AP451" s="229"/>
      <c r="AQ451" s="333"/>
    </row>
    <row r="452" spans="1:43" x14ac:dyDescent="0.25">
      <c r="H452" s="379"/>
      <c r="I452" s="379"/>
      <c r="J452" s="59"/>
      <c r="K452" s="59"/>
      <c r="L452" s="379"/>
      <c r="M452" s="379"/>
      <c r="N452" s="50"/>
      <c r="O452" s="50"/>
      <c r="P452" s="379"/>
      <c r="Q452" s="379"/>
      <c r="R452" s="379"/>
      <c r="T452" s="229"/>
      <c r="U452" s="229"/>
      <c r="V452" s="229"/>
      <c r="W452" s="229"/>
      <c r="X452" s="229"/>
      <c r="Y452" s="229"/>
      <c r="Z452" s="229"/>
      <c r="AA452" s="347"/>
      <c r="AB452" s="360"/>
      <c r="AC452" s="347"/>
      <c r="AD452" s="347"/>
      <c r="AE452" s="357"/>
      <c r="AF452" s="357"/>
      <c r="AG452" s="330"/>
      <c r="AH452" s="229"/>
      <c r="AI452" s="229"/>
      <c r="AJ452" s="229"/>
      <c r="AK452" s="330"/>
      <c r="AL452" s="229"/>
      <c r="AM452" s="229"/>
      <c r="AN452" s="229"/>
      <c r="AO452" s="229"/>
      <c r="AP452" s="229"/>
      <c r="AQ452" s="333"/>
    </row>
    <row r="453" spans="1:43" x14ac:dyDescent="0.25">
      <c r="A453" s="53"/>
      <c r="C453" s="54"/>
      <c r="F453" s="449"/>
      <c r="H453" s="449"/>
      <c r="I453" s="449"/>
      <c r="J453" s="61"/>
      <c r="K453" s="61"/>
      <c r="L453" s="449"/>
      <c r="M453" s="449"/>
      <c r="N453" s="50"/>
      <c r="O453" s="50"/>
      <c r="P453" s="379"/>
      <c r="Q453" s="379"/>
      <c r="R453" s="379"/>
      <c r="T453" s="301"/>
      <c r="U453" s="229"/>
      <c r="V453" s="347"/>
      <c r="W453" s="229"/>
      <c r="X453" s="229"/>
      <c r="Y453" s="229"/>
      <c r="Z453" s="229"/>
      <c r="AA453" s="347"/>
      <c r="AB453" s="361"/>
      <c r="AC453" s="347"/>
      <c r="AD453" s="347"/>
      <c r="AE453" s="357"/>
      <c r="AF453" s="357"/>
      <c r="AG453" s="356"/>
      <c r="AH453" s="347"/>
      <c r="AI453" s="348"/>
      <c r="AJ453" s="348"/>
      <c r="AK453" s="356"/>
      <c r="AL453" s="347"/>
      <c r="AM453" s="347"/>
      <c r="AN453" s="347"/>
      <c r="AO453" s="357"/>
      <c r="AP453" s="357"/>
      <c r="AQ453" s="333"/>
    </row>
    <row r="454" spans="1:43" x14ac:dyDescent="0.25">
      <c r="F454" s="449"/>
      <c r="H454" s="470"/>
      <c r="I454" s="470"/>
      <c r="J454" s="470"/>
      <c r="K454" s="470"/>
      <c r="R454" s="379"/>
      <c r="T454" s="229"/>
      <c r="U454" s="229"/>
      <c r="V454" s="347"/>
      <c r="W454" s="229"/>
      <c r="X454" s="229"/>
      <c r="Y454" s="229"/>
      <c r="Z454" s="229"/>
      <c r="AA454" s="229"/>
      <c r="AB454" s="545"/>
      <c r="AC454" s="229"/>
      <c r="AD454" s="229"/>
      <c r="AE454" s="229"/>
      <c r="AF454" s="229"/>
      <c r="AG454" s="330"/>
      <c r="AH454" s="229"/>
      <c r="AI454" s="229"/>
      <c r="AJ454" s="229"/>
      <c r="AK454" s="330"/>
      <c r="AL454" s="229"/>
      <c r="AM454" s="229"/>
      <c r="AN454" s="229"/>
      <c r="AO454" s="229"/>
      <c r="AP454" s="229"/>
      <c r="AQ454" s="333"/>
    </row>
    <row r="455" spans="1:43" x14ac:dyDescent="0.25">
      <c r="A455" s="53"/>
      <c r="C455" s="54"/>
      <c r="F455" s="449"/>
      <c r="H455" s="449"/>
      <c r="I455" s="449"/>
      <c r="J455" s="461"/>
      <c r="K455" s="461"/>
      <c r="L455" s="379"/>
      <c r="M455" s="379"/>
      <c r="N455" s="50"/>
      <c r="O455" s="50"/>
      <c r="P455" s="379"/>
      <c r="Q455" s="379"/>
      <c r="R455" s="379"/>
      <c r="T455" s="301"/>
      <c r="U455" s="229"/>
      <c r="V455" s="347"/>
      <c r="W455" s="229"/>
      <c r="X455" s="229"/>
      <c r="Y455" s="229"/>
      <c r="Z455" s="229"/>
      <c r="AA455" s="347"/>
      <c r="AB455" s="542"/>
      <c r="AC455" s="347"/>
      <c r="AD455" s="347"/>
      <c r="AE455" s="357"/>
      <c r="AF455" s="357"/>
      <c r="AG455" s="356"/>
      <c r="AH455" s="347"/>
      <c r="AI455" s="348"/>
      <c r="AJ455" s="348"/>
      <c r="AK455" s="356"/>
      <c r="AL455" s="347"/>
      <c r="AM455" s="347"/>
      <c r="AN455" s="347"/>
      <c r="AO455" s="357"/>
      <c r="AP455" s="357"/>
      <c r="AQ455" s="333"/>
    </row>
    <row r="456" spans="1:43" x14ac:dyDescent="0.25">
      <c r="F456" s="449"/>
      <c r="H456" s="470"/>
      <c r="I456" s="470"/>
      <c r="J456" s="470"/>
      <c r="K456" s="470"/>
      <c r="R456" s="379"/>
      <c r="T456" s="229"/>
      <c r="U456" s="229"/>
      <c r="V456" s="347"/>
      <c r="W456" s="229"/>
      <c r="X456" s="229"/>
      <c r="Y456" s="229"/>
      <c r="Z456" s="229"/>
      <c r="AA456" s="229"/>
      <c r="AB456" s="545"/>
      <c r="AC456" s="229"/>
      <c r="AD456" s="229"/>
      <c r="AE456" s="229"/>
      <c r="AF456" s="229"/>
      <c r="AG456" s="330"/>
      <c r="AH456" s="229"/>
      <c r="AI456" s="229"/>
      <c r="AJ456" s="229"/>
      <c r="AK456" s="330"/>
      <c r="AL456" s="229"/>
      <c r="AM456" s="229"/>
      <c r="AN456" s="229"/>
      <c r="AO456" s="229"/>
      <c r="AP456" s="229"/>
      <c r="AQ456" s="333"/>
    </row>
    <row r="457" spans="1:43" x14ac:dyDescent="0.25">
      <c r="A457" s="53"/>
      <c r="C457" s="54"/>
      <c r="F457" s="449"/>
      <c r="H457" s="449"/>
      <c r="I457" s="449"/>
      <c r="J457" s="472"/>
      <c r="K457" s="472"/>
      <c r="L457" s="379"/>
      <c r="M457" s="379"/>
      <c r="N457" s="50"/>
      <c r="O457" s="50"/>
      <c r="P457" s="379"/>
      <c r="Q457" s="379"/>
      <c r="R457" s="379"/>
      <c r="T457" s="301"/>
      <c r="U457" s="229"/>
      <c r="V457" s="347"/>
      <c r="W457" s="229"/>
      <c r="X457" s="229"/>
      <c r="Y457" s="229"/>
      <c r="Z457" s="229"/>
      <c r="AA457" s="347"/>
      <c r="AB457" s="546"/>
      <c r="AC457" s="347"/>
      <c r="AD457" s="347"/>
      <c r="AE457" s="357"/>
      <c r="AF457" s="357"/>
      <c r="AG457" s="356"/>
      <c r="AH457" s="347"/>
      <c r="AI457" s="348"/>
      <c r="AJ457" s="348"/>
      <c r="AK457" s="356"/>
      <c r="AL457" s="347"/>
      <c r="AM457" s="347"/>
      <c r="AN457" s="347"/>
      <c r="AO457" s="357"/>
      <c r="AP457" s="357"/>
      <c r="AQ457" s="333"/>
    </row>
    <row r="458" spans="1:43" x14ac:dyDescent="0.25">
      <c r="F458" s="381"/>
      <c r="H458" s="381"/>
      <c r="I458" s="381"/>
      <c r="J458" s="464"/>
      <c r="K458" s="464"/>
      <c r="L458" s="381"/>
      <c r="M458" s="381"/>
      <c r="N458" s="381"/>
      <c r="O458" s="381"/>
      <c r="P458" s="381"/>
      <c r="Q458" s="381"/>
      <c r="R458" s="381"/>
      <c r="S458" s="379"/>
      <c r="T458" s="229"/>
      <c r="U458" s="229"/>
      <c r="V458" s="358"/>
      <c r="W458" s="229"/>
      <c r="X458" s="229"/>
      <c r="Y458" s="229"/>
      <c r="Z458" s="229"/>
      <c r="AA458" s="358"/>
      <c r="AB458" s="548"/>
      <c r="AC458" s="358"/>
      <c r="AD458" s="358"/>
      <c r="AE458" s="358"/>
      <c r="AF458" s="358"/>
      <c r="AG458" s="359"/>
      <c r="AH458" s="358"/>
      <c r="AI458" s="229"/>
      <c r="AJ458" s="229"/>
      <c r="AK458" s="359"/>
      <c r="AL458" s="358"/>
      <c r="AM458" s="358"/>
      <c r="AN458" s="358"/>
      <c r="AO458" s="229"/>
      <c r="AP458" s="229"/>
      <c r="AQ458" s="333"/>
    </row>
    <row r="459" spans="1:43" x14ac:dyDescent="0.25">
      <c r="A459" s="53"/>
      <c r="D459" s="54"/>
      <c r="E459" s="54"/>
      <c r="F459" s="379"/>
      <c r="H459" s="379"/>
      <c r="I459" s="379"/>
      <c r="J459" s="59"/>
      <c r="K459" s="59"/>
      <c r="L459" s="379"/>
      <c r="M459" s="379"/>
      <c r="N459" s="50"/>
      <c r="O459" s="50"/>
      <c r="P459" s="449"/>
      <c r="Q459" s="449"/>
      <c r="R459" s="379"/>
      <c r="S459" s="379"/>
      <c r="T459" s="229"/>
      <c r="U459" s="301"/>
      <c r="V459" s="347"/>
      <c r="W459" s="229"/>
      <c r="X459" s="229"/>
      <c r="Y459" s="229"/>
      <c r="Z459" s="229"/>
      <c r="AA459" s="347"/>
      <c r="AB459" s="360"/>
      <c r="AC459" s="347"/>
      <c r="AD459" s="347"/>
      <c r="AE459" s="357"/>
      <c r="AF459" s="357"/>
      <c r="AG459" s="356"/>
      <c r="AH459" s="347"/>
      <c r="AI459" s="348"/>
      <c r="AJ459" s="348"/>
      <c r="AK459" s="547"/>
      <c r="AL459" s="447"/>
      <c r="AM459" s="347"/>
      <c r="AN459" s="347"/>
      <c r="AO459" s="357"/>
      <c r="AP459" s="357"/>
      <c r="AQ459" s="333"/>
    </row>
    <row r="460" spans="1:43" x14ac:dyDescent="0.25">
      <c r="F460" s="381"/>
      <c r="H460" s="381"/>
      <c r="I460" s="381"/>
      <c r="J460" s="464"/>
      <c r="K460" s="464"/>
      <c r="L460" s="381"/>
      <c r="M460" s="381"/>
      <c r="N460" s="381"/>
      <c r="O460" s="381"/>
      <c r="P460" s="381"/>
      <c r="Q460" s="381"/>
      <c r="R460" s="381"/>
      <c r="S460" s="379"/>
      <c r="T460" s="229"/>
      <c r="U460" s="229"/>
      <c r="V460" s="358"/>
      <c r="W460" s="229"/>
      <c r="X460" s="229"/>
      <c r="Y460" s="229"/>
      <c r="Z460" s="229"/>
      <c r="AA460" s="358"/>
      <c r="AB460" s="548"/>
      <c r="AC460" s="358"/>
      <c r="AD460" s="358"/>
      <c r="AE460" s="358"/>
      <c r="AF460" s="358"/>
      <c r="AG460" s="359"/>
      <c r="AH460" s="358"/>
      <c r="AI460" s="229"/>
      <c r="AJ460" s="229"/>
      <c r="AK460" s="359"/>
      <c r="AL460" s="358"/>
      <c r="AM460" s="358"/>
      <c r="AN460" s="358"/>
      <c r="AO460" s="229"/>
      <c r="AP460" s="229"/>
      <c r="AQ460" s="333"/>
    </row>
    <row r="461" spans="1:43" x14ac:dyDescent="0.25">
      <c r="R461" s="379"/>
      <c r="T461" s="229"/>
      <c r="U461" s="229"/>
      <c r="V461" s="229"/>
      <c r="W461" s="229"/>
      <c r="X461" s="229"/>
      <c r="Y461" s="229"/>
      <c r="Z461" s="229"/>
      <c r="AA461" s="229"/>
      <c r="AB461" s="229"/>
      <c r="AC461" s="229"/>
      <c r="AD461" s="229"/>
      <c r="AE461" s="229"/>
      <c r="AF461" s="229"/>
      <c r="AG461" s="330"/>
      <c r="AH461" s="229"/>
      <c r="AI461" s="229"/>
      <c r="AJ461" s="229"/>
      <c r="AK461" s="330"/>
      <c r="AL461" s="229"/>
      <c r="AM461" s="229"/>
      <c r="AN461" s="229"/>
      <c r="AO461" s="229"/>
      <c r="AP461" s="229"/>
      <c r="AQ461" s="333"/>
    </row>
    <row r="462" spans="1:43" x14ac:dyDescent="0.25">
      <c r="F462" s="379"/>
      <c r="H462" s="379"/>
      <c r="I462" s="379"/>
      <c r="J462" s="59"/>
      <c r="K462" s="59"/>
      <c r="L462" s="379"/>
      <c r="M462" s="379"/>
      <c r="N462" s="379"/>
      <c r="O462" s="379"/>
      <c r="P462" s="379"/>
      <c r="Q462" s="379"/>
      <c r="R462" s="379"/>
      <c r="T462" s="229"/>
      <c r="U462" s="229"/>
      <c r="V462" s="347"/>
      <c r="W462" s="229"/>
      <c r="X462" s="229"/>
      <c r="Y462" s="229"/>
      <c r="Z462" s="229"/>
      <c r="AA462" s="347"/>
      <c r="AB462" s="360"/>
      <c r="AC462" s="347"/>
      <c r="AD462" s="347"/>
      <c r="AE462" s="347"/>
      <c r="AF462" s="347"/>
      <c r="AG462" s="330"/>
      <c r="AH462" s="229"/>
      <c r="AI462" s="229"/>
      <c r="AJ462" s="229"/>
      <c r="AK462" s="330"/>
      <c r="AL462" s="229"/>
      <c r="AM462" s="229"/>
      <c r="AN462" s="229"/>
      <c r="AO462" s="229"/>
      <c r="AP462" s="229"/>
      <c r="AQ462" s="333"/>
    </row>
    <row r="463" spans="1:43" x14ac:dyDescent="0.25">
      <c r="C463" s="54"/>
      <c r="F463" s="379"/>
      <c r="H463" s="379"/>
      <c r="I463" s="379"/>
      <c r="J463" s="59"/>
      <c r="K463" s="59"/>
      <c r="L463" s="379"/>
      <c r="M463" s="379"/>
      <c r="N463" s="379"/>
      <c r="O463" s="379"/>
      <c r="P463" s="379"/>
      <c r="Q463" s="379"/>
      <c r="R463" s="379"/>
      <c r="T463" s="301"/>
      <c r="U463" s="229"/>
      <c r="V463" s="347"/>
      <c r="W463" s="229"/>
      <c r="X463" s="229"/>
      <c r="Y463" s="229"/>
      <c r="Z463" s="229"/>
      <c r="AA463" s="347"/>
      <c r="AB463" s="360"/>
      <c r="AC463" s="347"/>
      <c r="AD463" s="347"/>
      <c r="AE463" s="347"/>
      <c r="AF463" s="347"/>
      <c r="AG463" s="330"/>
      <c r="AH463" s="229"/>
      <c r="AI463" s="229"/>
      <c r="AJ463" s="229"/>
      <c r="AK463" s="330"/>
      <c r="AL463" s="229"/>
      <c r="AM463" s="229"/>
      <c r="AN463" s="229"/>
      <c r="AO463" s="229"/>
      <c r="AP463" s="229"/>
      <c r="AQ463" s="333"/>
    </row>
    <row r="464" spans="1:43" x14ac:dyDescent="0.25">
      <c r="C464" s="54"/>
      <c r="T464" s="301"/>
      <c r="U464" s="229"/>
      <c r="V464" s="229"/>
      <c r="W464" s="229"/>
      <c r="X464" s="229"/>
      <c r="Y464" s="229"/>
      <c r="Z464" s="229"/>
      <c r="AA464" s="229"/>
      <c r="AB464" s="229"/>
      <c r="AC464" s="229"/>
      <c r="AD464" s="229"/>
      <c r="AE464" s="229"/>
      <c r="AF464" s="229"/>
      <c r="AG464" s="330"/>
      <c r="AH464" s="229"/>
      <c r="AI464" s="229"/>
      <c r="AJ464" s="229"/>
      <c r="AK464" s="330"/>
      <c r="AL464" s="229"/>
      <c r="AM464" s="229"/>
      <c r="AN464" s="229"/>
      <c r="AO464" s="229"/>
      <c r="AP464" s="229"/>
      <c r="AQ464" s="333"/>
    </row>
    <row r="465" spans="1:43" x14ac:dyDescent="0.25">
      <c r="A465" s="54"/>
      <c r="T465" s="229"/>
      <c r="U465" s="229"/>
      <c r="V465" s="229"/>
      <c r="W465" s="229"/>
      <c r="X465" s="229"/>
      <c r="Y465" s="229"/>
      <c r="Z465" s="229"/>
      <c r="AA465" s="229"/>
      <c r="AB465" s="229"/>
      <c r="AC465" s="229"/>
      <c r="AD465" s="229"/>
      <c r="AE465" s="229"/>
      <c r="AF465" s="229"/>
      <c r="AG465" s="330"/>
      <c r="AH465" s="229"/>
      <c r="AI465" s="229"/>
      <c r="AJ465" s="229"/>
      <c r="AK465" s="330"/>
      <c r="AL465" s="229"/>
      <c r="AM465" s="229"/>
      <c r="AN465" s="229"/>
      <c r="AO465" s="229"/>
      <c r="AP465" s="229"/>
      <c r="AQ465" s="333"/>
    </row>
    <row r="466" spans="1:43" x14ac:dyDescent="0.25">
      <c r="T466" s="229"/>
      <c r="U466" s="229"/>
      <c r="V466" s="229"/>
      <c r="W466" s="229"/>
      <c r="X466" s="229"/>
      <c r="Y466" s="229"/>
      <c r="Z466" s="229"/>
      <c r="AA466" s="229"/>
      <c r="AB466" s="229"/>
      <c r="AC466" s="229"/>
      <c r="AD466" s="229"/>
      <c r="AE466" s="229"/>
      <c r="AF466" s="229"/>
      <c r="AG466" s="330"/>
      <c r="AH466" s="229"/>
      <c r="AI466" s="229"/>
      <c r="AJ466" s="229"/>
      <c r="AK466" s="330"/>
      <c r="AL466" s="229"/>
      <c r="AM466" s="229"/>
      <c r="AN466" s="229"/>
      <c r="AO466" s="229"/>
      <c r="AP466" s="229"/>
      <c r="AQ466" s="333"/>
    </row>
    <row r="467" spans="1:43" x14ac:dyDescent="0.25">
      <c r="J467" s="53"/>
      <c r="K467" s="53"/>
      <c r="T467" s="229"/>
      <c r="U467" s="229"/>
      <c r="V467" s="229"/>
      <c r="W467" s="229"/>
      <c r="X467" s="229"/>
      <c r="Y467" s="229"/>
      <c r="Z467" s="229"/>
      <c r="AA467" s="229"/>
      <c r="AB467" s="349"/>
      <c r="AC467" s="229"/>
      <c r="AD467" s="229"/>
      <c r="AE467" s="229"/>
      <c r="AF467" s="229"/>
      <c r="AG467" s="330"/>
      <c r="AH467" s="229"/>
      <c r="AI467" s="229"/>
      <c r="AJ467" s="229"/>
      <c r="AK467" s="330"/>
      <c r="AL467" s="229"/>
      <c r="AM467" s="229"/>
      <c r="AN467" s="229"/>
      <c r="AO467" s="229"/>
      <c r="AP467" s="229"/>
      <c r="AQ467" s="333"/>
    </row>
    <row r="468" spans="1:43" x14ac:dyDescent="0.25">
      <c r="H468" s="54"/>
      <c r="I468" s="54"/>
      <c r="T468" s="229"/>
      <c r="U468" s="229"/>
      <c r="V468" s="229"/>
      <c r="W468" s="229"/>
      <c r="X468" s="229"/>
      <c r="Y468" s="229"/>
      <c r="Z468" s="229"/>
      <c r="AA468" s="301"/>
      <c r="AB468" s="229"/>
      <c r="AC468" s="229"/>
      <c r="AD468" s="229"/>
      <c r="AE468" s="229"/>
      <c r="AF468" s="229"/>
      <c r="AG468" s="330"/>
      <c r="AH468" s="229"/>
      <c r="AI468" s="229"/>
      <c r="AJ468" s="229"/>
      <c r="AK468" s="330"/>
      <c r="AL468" s="229"/>
      <c r="AM468" s="229"/>
      <c r="AN468" s="229"/>
      <c r="AO468" s="229"/>
      <c r="AP468" s="229"/>
      <c r="AQ468" s="333"/>
    </row>
    <row r="469" spans="1:43" x14ac:dyDescent="0.25">
      <c r="J469" s="53"/>
      <c r="K469" s="53"/>
      <c r="T469" s="229"/>
      <c r="U469" s="229"/>
      <c r="V469" s="229"/>
      <c r="W469" s="229"/>
      <c r="X469" s="229"/>
      <c r="Y469" s="229"/>
      <c r="Z469" s="229"/>
      <c r="AA469" s="229"/>
      <c r="AB469" s="349"/>
      <c r="AC469" s="229"/>
      <c r="AD469" s="229"/>
      <c r="AE469" s="229"/>
      <c r="AF469" s="229"/>
      <c r="AG469" s="330"/>
      <c r="AH469" s="229"/>
      <c r="AI469" s="229"/>
      <c r="AJ469" s="229"/>
      <c r="AK469" s="330"/>
      <c r="AL469" s="229"/>
      <c r="AM469" s="229"/>
      <c r="AN469" s="229"/>
      <c r="AO469" s="229"/>
      <c r="AP469" s="229"/>
      <c r="AQ469" s="333"/>
    </row>
    <row r="470" spans="1:43" x14ac:dyDescent="0.25">
      <c r="L470" s="54"/>
      <c r="M470" s="54"/>
      <c r="T470" s="229"/>
      <c r="U470" s="229"/>
      <c r="V470" s="229"/>
      <c r="W470" s="229"/>
      <c r="X470" s="229"/>
      <c r="Y470" s="229"/>
      <c r="Z470" s="229"/>
      <c r="AA470" s="229"/>
      <c r="AB470" s="229"/>
      <c r="AC470" s="301"/>
      <c r="AD470" s="301"/>
      <c r="AE470" s="229"/>
      <c r="AF470" s="229"/>
      <c r="AG470" s="330"/>
      <c r="AH470" s="229"/>
      <c r="AI470" s="229"/>
      <c r="AJ470" s="229"/>
      <c r="AK470" s="330"/>
      <c r="AL470" s="229"/>
      <c r="AM470" s="229"/>
      <c r="AN470" s="229"/>
      <c r="AO470" s="229"/>
      <c r="AP470" s="229"/>
      <c r="AQ470" s="333"/>
    </row>
    <row r="471" spans="1:43" x14ac:dyDescent="0.25">
      <c r="A471" s="53"/>
      <c r="R471" s="54"/>
      <c r="T471" s="229"/>
      <c r="U471" s="229"/>
      <c r="V471" s="229"/>
      <c r="W471" s="229"/>
      <c r="X471" s="229"/>
      <c r="Y471" s="229"/>
      <c r="Z471" s="229"/>
      <c r="AA471" s="229"/>
      <c r="AB471" s="229"/>
      <c r="AC471" s="229"/>
      <c r="AD471" s="229"/>
      <c r="AE471" s="229"/>
      <c r="AF471" s="229"/>
      <c r="AG471" s="330"/>
      <c r="AH471" s="229"/>
      <c r="AI471" s="229"/>
      <c r="AJ471" s="229"/>
      <c r="AK471" s="330"/>
      <c r="AL471" s="229"/>
      <c r="AM471" s="301"/>
      <c r="AN471" s="301"/>
      <c r="AO471" s="229"/>
      <c r="AP471" s="229"/>
      <c r="AQ471" s="333"/>
    </row>
    <row r="472" spans="1:43" x14ac:dyDescent="0.25">
      <c r="A472" s="53"/>
      <c r="R472" s="54"/>
      <c r="T472" s="229"/>
      <c r="U472" s="229"/>
      <c r="V472" s="229"/>
      <c r="W472" s="229"/>
      <c r="X472" s="229"/>
      <c r="Y472" s="229"/>
      <c r="Z472" s="229"/>
      <c r="AA472" s="229"/>
      <c r="AB472" s="229"/>
      <c r="AC472" s="229"/>
      <c r="AD472" s="229"/>
      <c r="AE472" s="229"/>
      <c r="AF472" s="229"/>
      <c r="AG472" s="330"/>
      <c r="AH472" s="229"/>
      <c r="AI472" s="229"/>
      <c r="AJ472" s="229"/>
      <c r="AK472" s="330"/>
      <c r="AL472" s="229"/>
      <c r="AM472" s="301"/>
      <c r="AN472" s="301"/>
      <c r="AO472" s="229"/>
      <c r="AP472" s="229"/>
      <c r="AQ472" s="333"/>
    </row>
    <row r="473" spans="1:43" x14ac:dyDescent="0.25">
      <c r="A473" s="54"/>
      <c r="R473" s="54"/>
      <c r="T473" s="229"/>
      <c r="U473" s="229"/>
      <c r="V473" s="229"/>
      <c r="W473" s="229"/>
      <c r="X473" s="229"/>
      <c r="Y473" s="229"/>
      <c r="Z473" s="229"/>
      <c r="AA473" s="229"/>
      <c r="AB473" s="229"/>
      <c r="AC473" s="229"/>
      <c r="AD473" s="229"/>
      <c r="AE473" s="229"/>
      <c r="AF473" s="229"/>
      <c r="AG473" s="330"/>
      <c r="AH473" s="229"/>
      <c r="AI473" s="229"/>
      <c r="AJ473" s="229"/>
      <c r="AK473" s="330"/>
      <c r="AL473" s="229"/>
      <c r="AM473" s="301"/>
      <c r="AN473" s="301"/>
      <c r="AO473" s="229"/>
      <c r="AP473" s="229"/>
      <c r="AQ473" s="333"/>
    </row>
    <row r="474" spans="1:43" x14ac:dyDescent="0.25">
      <c r="L474" s="54"/>
      <c r="M474" s="54"/>
      <c r="R474" s="53"/>
      <c r="T474" s="229"/>
      <c r="U474" s="229"/>
      <c r="V474" s="229"/>
      <c r="W474" s="229"/>
      <c r="X474" s="229"/>
      <c r="Y474" s="229"/>
      <c r="Z474" s="229"/>
      <c r="AA474" s="229"/>
      <c r="AB474" s="229"/>
      <c r="AC474" s="301"/>
      <c r="AD474" s="301"/>
      <c r="AE474" s="229"/>
      <c r="AF474" s="229"/>
      <c r="AG474" s="330"/>
      <c r="AH474" s="229"/>
      <c r="AI474" s="229"/>
      <c r="AJ474" s="229"/>
      <c r="AK474" s="330"/>
      <c r="AL474" s="229"/>
      <c r="AM474" s="349"/>
      <c r="AN474" s="349"/>
      <c r="AO474" s="229"/>
      <c r="AP474" s="229"/>
      <c r="AQ474" s="333"/>
    </row>
    <row r="475" spans="1:43" x14ac:dyDescent="0.25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T475" s="230"/>
      <c r="U475" s="230"/>
      <c r="V475" s="230"/>
      <c r="W475" s="230"/>
      <c r="X475" s="230"/>
      <c r="Y475" s="230"/>
      <c r="Z475" s="230"/>
      <c r="AA475" s="230"/>
      <c r="AB475" s="230"/>
      <c r="AC475" s="230"/>
      <c r="AD475" s="230"/>
      <c r="AE475" s="230"/>
      <c r="AF475" s="230"/>
      <c r="AG475" s="355"/>
      <c r="AH475" s="230"/>
      <c r="AI475" s="230"/>
      <c r="AJ475" s="230"/>
      <c r="AK475" s="355"/>
      <c r="AL475" s="230"/>
      <c r="AM475" s="230"/>
      <c r="AN475" s="230"/>
      <c r="AO475" s="230"/>
      <c r="AP475" s="230"/>
      <c r="AQ475" s="333"/>
    </row>
    <row r="476" spans="1:43" x14ac:dyDescent="0.25">
      <c r="L476" s="56"/>
      <c r="M476" s="56"/>
      <c r="N476" s="56"/>
      <c r="O476" s="56"/>
      <c r="R476" s="56"/>
      <c r="T476" s="229"/>
      <c r="U476" s="229"/>
      <c r="V476" s="229"/>
      <c r="W476" s="229"/>
      <c r="X476" s="229"/>
      <c r="Y476" s="229"/>
      <c r="Z476" s="229"/>
      <c r="AA476" s="229"/>
      <c r="AB476" s="229"/>
      <c r="AC476" s="231"/>
      <c r="AD476" s="231"/>
      <c r="AE476" s="231"/>
      <c r="AF476" s="231"/>
      <c r="AG476" s="332"/>
      <c r="AH476" s="231"/>
      <c r="AI476" s="231"/>
      <c r="AJ476" s="231"/>
      <c r="AK476" s="330"/>
      <c r="AL476" s="229"/>
      <c r="AM476" s="231"/>
      <c r="AN476" s="231"/>
      <c r="AO476" s="231"/>
      <c r="AP476" s="231"/>
      <c r="AQ476" s="333"/>
    </row>
    <row r="477" spans="1:43" x14ac:dyDescent="0.25">
      <c r="L477" s="56"/>
      <c r="M477" s="56"/>
      <c r="N477" s="56"/>
      <c r="O477" s="56"/>
      <c r="R477" s="56"/>
      <c r="T477" s="229"/>
      <c r="U477" s="229"/>
      <c r="V477" s="229"/>
      <c r="W477" s="229"/>
      <c r="X477" s="229"/>
      <c r="Y477" s="229"/>
      <c r="Z477" s="229"/>
      <c r="AA477" s="229"/>
      <c r="AB477" s="231"/>
      <c r="AC477" s="231"/>
      <c r="AD477" s="231"/>
      <c r="AE477" s="231"/>
      <c r="AF477" s="231"/>
      <c r="AG477" s="332"/>
      <c r="AH477" s="231"/>
      <c r="AI477" s="231"/>
      <c r="AJ477" s="231"/>
      <c r="AK477" s="330"/>
      <c r="AL477" s="229"/>
      <c r="AM477" s="231"/>
      <c r="AN477" s="231"/>
      <c r="AO477" s="231"/>
      <c r="AP477" s="231"/>
      <c r="AQ477" s="333"/>
    </row>
    <row r="478" spans="1:43" x14ac:dyDescent="0.25">
      <c r="A478" s="56"/>
      <c r="C478" s="56"/>
      <c r="D478" s="56"/>
      <c r="E478" s="56"/>
      <c r="F478" s="56"/>
      <c r="J478" s="56"/>
      <c r="K478" s="56"/>
      <c r="L478" s="56"/>
      <c r="M478" s="56"/>
      <c r="N478" s="56"/>
      <c r="O478" s="56"/>
      <c r="P478" s="56"/>
      <c r="Q478" s="56"/>
      <c r="R478" s="56"/>
      <c r="T478" s="231"/>
      <c r="U478" s="231"/>
      <c r="V478" s="231"/>
      <c r="W478" s="229"/>
      <c r="X478" s="229"/>
      <c r="Y478" s="229"/>
      <c r="Z478" s="229"/>
      <c r="AA478" s="229"/>
      <c r="AB478" s="231"/>
      <c r="AC478" s="231"/>
      <c r="AD478" s="231"/>
      <c r="AE478" s="231"/>
      <c r="AF478" s="231"/>
      <c r="AG478" s="332"/>
      <c r="AH478" s="231"/>
      <c r="AI478" s="231"/>
      <c r="AJ478" s="231"/>
      <c r="AK478" s="332"/>
      <c r="AL478" s="231"/>
      <c r="AM478" s="231"/>
      <c r="AN478" s="231"/>
      <c r="AO478" s="231"/>
      <c r="AP478" s="231"/>
      <c r="AQ478" s="333"/>
    </row>
    <row r="479" spans="1:43" x14ac:dyDescent="0.25">
      <c r="A479" s="56"/>
      <c r="C479" s="56"/>
      <c r="D479" s="56"/>
      <c r="E479" s="56"/>
      <c r="F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T479" s="231"/>
      <c r="U479" s="231"/>
      <c r="V479" s="231"/>
      <c r="W479" s="229"/>
      <c r="X479" s="229"/>
      <c r="Y479" s="229"/>
      <c r="Z479" s="229"/>
      <c r="AA479" s="231"/>
      <c r="AB479" s="231"/>
      <c r="AC479" s="231"/>
      <c r="AD479" s="231"/>
      <c r="AE479" s="231"/>
      <c r="AF479" s="231"/>
      <c r="AG479" s="332"/>
      <c r="AH479" s="231"/>
      <c r="AI479" s="231"/>
      <c r="AJ479" s="231"/>
      <c r="AK479" s="332"/>
      <c r="AL479" s="231"/>
      <c r="AM479" s="231"/>
      <c r="AN479" s="231"/>
      <c r="AO479" s="231"/>
      <c r="AP479" s="231"/>
      <c r="AQ479" s="333"/>
    </row>
    <row r="480" spans="1:43" x14ac:dyDescent="0.25">
      <c r="C480" s="56"/>
      <c r="D480" s="56"/>
      <c r="E480" s="56"/>
      <c r="F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T480" s="231"/>
      <c r="U480" s="231"/>
      <c r="V480" s="231"/>
      <c r="W480" s="229"/>
      <c r="X480" s="229"/>
      <c r="Y480" s="229"/>
      <c r="Z480" s="229"/>
      <c r="AA480" s="231"/>
      <c r="AB480" s="231"/>
      <c r="AC480" s="231"/>
      <c r="AD480" s="231"/>
      <c r="AE480" s="231"/>
      <c r="AF480" s="231"/>
      <c r="AG480" s="332"/>
      <c r="AH480" s="231"/>
      <c r="AI480" s="231"/>
      <c r="AJ480" s="231"/>
      <c r="AK480" s="332"/>
      <c r="AL480" s="231"/>
      <c r="AM480" s="231"/>
      <c r="AN480" s="231"/>
      <c r="AO480" s="231"/>
      <c r="AP480" s="231"/>
      <c r="AQ480" s="333"/>
    </row>
    <row r="481" spans="1:43" x14ac:dyDescent="0.25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T481" s="230"/>
      <c r="U481" s="230"/>
      <c r="V481" s="230"/>
      <c r="W481" s="230"/>
      <c r="X481" s="230"/>
      <c r="Y481" s="230"/>
      <c r="Z481" s="230"/>
      <c r="AA481" s="230"/>
      <c r="AB481" s="230"/>
      <c r="AC481" s="230"/>
      <c r="AD481" s="230"/>
      <c r="AE481" s="230"/>
      <c r="AF481" s="230"/>
      <c r="AG481" s="355"/>
      <c r="AH481" s="230"/>
      <c r="AI481" s="230"/>
      <c r="AJ481" s="230"/>
      <c r="AK481" s="355"/>
      <c r="AL481" s="230"/>
      <c r="AM481" s="230"/>
      <c r="AN481" s="230"/>
      <c r="AO481" s="230"/>
      <c r="AP481" s="230"/>
      <c r="AQ481" s="333"/>
    </row>
    <row r="482" spans="1:43" x14ac:dyDescent="0.25"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T482" s="229"/>
      <c r="U482" s="229"/>
      <c r="V482" s="229"/>
      <c r="W482" s="229"/>
      <c r="X482" s="229"/>
      <c r="Y482" s="229"/>
      <c r="Z482" s="229"/>
      <c r="AA482" s="231"/>
      <c r="AB482" s="231"/>
      <c r="AC482" s="231"/>
      <c r="AD482" s="231"/>
      <c r="AE482" s="231"/>
      <c r="AF482" s="231"/>
      <c r="AG482" s="332"/>
      <c r="AH482" s="231"/>
      <c r="AI482" s="231"/>
      <c r="AJ482" s="231"/>
      <c r="AK482" s="332"/>
      <c r="AL482" s="231"/>
      <c r="AM482" s="231"/>
      <c r="AN482" s="231"/>
      <c r="AO482" s="231"/>
      <c r="AP482" s="231"/>
      <c r="AQ482" s="333"/>
    </row>
    <row r="483" spans="1:43" x14ac:dyDescent="0.25">
      <c r="A483" s="53"/>
      <c r="C483" s="54"/>
      <c r="D483" s="54"/>
      <c r="E483" s="54"/>
      <c r="T483" s="301"/>
      <c r="U483" s="301"/>
      <c r="V483" s="229"/>
      <c r="W483" s="229"/>
      <c r="X483" s="229"/>
      <c r="Y483" s="229"/>
      <c r="Z483" s="229"/>
      <c r="AA483" s="229"/>
      <c r="AB483" s="229"/>
      <c r="AC483" s="229"/>
      <c r="AD483" s="229"/>
      <c r="AE483" s="229"/>
      <c r="AF483" s="229"/>
      <c r="AG483" s="330"/>
      <c r="AH483" s="229"/>
      <c r="AI483" s="229"/>
      <c r="AJ483" s="229"/>
      <c r="AK483" s="330"/>
      <c r="AL483" s="229"/>
      <c r="AM483" s="229"/>
      <c r="AN483" s="229"/>
      <c r="AO483" s="229"/>
      <c r="AP483" s="229"/>
      <c r="AQ483" s="333"/>
    </row>
    <row r="484" spans="1:43" x14ac:dyDescent="0.25">
      <c r="A484" s="53"/>
      <c r="D484" s="54"/>
      <c r="E484" s="54"/>
      <c r="T484" s="229"/>
      <c r="U484" s="301"/>
      <c r="V484" s="229"/>
      <c r="W484" s="229"/>
      <c r="X484" s="229"/>
      <c r="Y484" s="229"/>
      <c r="Z484" s="229"/>
      <c r="AA484" s="229"/>
      <c r="AB484" s="229"/>
      <c r="AC484" s="229"/>
      <c r="AD484" s="229"/>
      <c r="AE484" s="229"/>
      <c r="AF484" s="229"/>
      <c r="AG484" s="330"/>
      <c r="AH484" s="229"/>
      <c r="AI484" s="229"/>
      <c r="AJ484" s="229"/>
      <c r="AK484" s="330"/>
      <c r="AL484" s="229"/>
      <c r="AM484" s="229"/>
      <c r="AN484" s="229"/>
      <c r="AO484" s="229"/>
      <c r="AP484" s="229"/>
      <c r="AQ484" s="333"/>
    </row>
    <row r="485" spans="1:43" x14ac:dyDescent="0.25">
      <c r="T485" s="229"/>
      <c r="U485" s="229"/>
      <c r="V485" s="229"/>
      <c r="W485" s="229"/>
      <c r="X485" s="229"/>
      <c r="Y485" s="229"/>
      <c r="Z485" s="229"/>
      <c r="AA485" s="229"/>
      <c r="AB485" s="229"/>
      <c r="AC485" s="229"/>
      <c r="AD485" s="229"/>
      <c r="AE485" s="229"/>
      <c r="AF485" s="229"/>
      <c r="AG485" s="330"/>
      <c r="AH485" s="229"/>
      <c r="AI485" s="229"/>
      <c r="AJ485" s="229"/>
      <c r="AK485" s="330"/>
      <c r="AL485" s="229"/>
      <c r="AM485" s="229"/>
      <c r="AN485" s="229"/>
      <c r="AO485" s="229"/>
      <c r="AP485" s="229"/>
      <c r="AQ485" s="333"/>
    </row>
    <row r="486" spans="1:43" x14ac:dyDescent="0.25">
      <c r="A486" s="53"/>
      <c r="C486" s="54"/>
      <c r="F486" s="379"/>
      <c r="J486" s="62"/>
      <c r="K486" s="62"/>
      <c r="L486" s="379"/>
      <c r="M486" s="379"/>
      <c r="R486" s="379"/>
      <c r="T486" s="301"/>
      <c r="U486" s="229"/>
      <c r="V486" s="347"/>
      <c r="W486" s="229"/>
      <c r="X486" s="229"/>
      <c r="Y486" s="229"/>
      <c r="Z486" s="229"/>
      <c r="AA486" s="229"/>
      <c r="AB486" s="362"/>
      <c r="AC486" s="347"/>
      <c r="AD486" s="347"/>
      <c r="AE486" s="229"/>
      <c r="AF486" s="229"/>
      <c r="AG486" s="330"/>
      <c r="AH486" s="229"/>
      <c r="AI486" s="229"/>
      <c r="AJ486" s="229"/>
      <c r="AK486" s="330"/>
      <c r="AL486" s="229"/>
      <c r="AM486" s="347"/>
      <c r="AN486" s="347"/>
      <c r="AO486" s="229"/>
      <c r="AP486" s="229"/>
      <c r="AQ486" s="333"/>
    </row>
    <row r="487" spans="1:43" x14ac:dyDescent="0.25">
      <c r="F487" s="379"/>
      <c r="R487" s="379"/>
      <c r="T487" s="229"/>
      <c r="U487" s="229"/>
      <c r="V487" s="347"/>
      <c r="W487" s="229"/>
      <c r="X487" s="229"/>
      <c r="Y487" s="229"/>
      <c r="Z487" s="229"/>
      <c r="AA487" s="229"/>
      <c r="AB487" s="229"/>
      <c r="AC487" s="229"/>
      <c r="AD487" s="229"/>
      <c r="AE487" s="229"/>
      <c r="AF487" s="229"/>
      <c r="AG487" s="330"/>
      <c r="AH487" s="229"/>
      <c r="AI487" s="229"/>
      <c r="AJ487" s="229"/>
      <c r="AK487" s="330"/>
      <c r="AL487" s="229"/>
      <c r="AM487" s="347"/>
      <c r="AN487" s="347"/>
      <c r="AO487" s="229"/>
      <c r="AP487" s="229"/>
      <c r="AQ487" s="333"/>
    </row>
    <row r="488" spans="1:43" x14ac:dyDescent="0.25">
      <c r="A488" s="53"/>
      <c r="C488" s="54"/>
      <c r="F488" s="449"/>
      <c r="H488" s="449"/>
      <c r="I488" s="449"/>
      <c r="J488" s="461"/>
      <c r="K488" s="461"/>
      <c r="L488" s="379"/>
      <c r="M488" s="379"/>
      <c r="N488" s="50"/>
      <c r="O488" s="50"/>
      <c r="P488" s="379"/>
      <c r="Q488" s="379"/>
      <c r="R488" s="379"/>
      <c r="T488" s="301"/>
      <c r="U488" s="229"/>
      <c r="V488" s="347"/>
      <c r="W488" s="229"/>
      <c r="X488" s="229"/>
      <c r="Y488" s="229"/>
      <c r="Z488" s="229"/>
      <c r="AA488" s="347"/>
      <c r="AB488" s="542"/>
      <c r="AC488" s="347"/>
      <c r="AD488" s="347"/>
      <c r="AE488" s="357"/>
      <c r="AF488" s="357"/>
      <c r="AG488" s="356"/>
      <c r="AH488" s="347"/>
      <c r="AI488" s="348"/>
      <c r="AJ488" s="348"/>
      <c r="AK488" s="356"/>
      <c r="AL488" s="347"/>
      <c r="AM488" s="347"/>
      <c r="AN488" s="347"/>
      <c r="AO488" s="357"/>
      <c r="AP488" s="357"/>
      <c r="AQ488" s="333"/>
    </row>
    <row r="489" spans="1:43" x14ac:dyDescent="0.25">
      <c r="A489" s="53"/>
      <c r="C489" s="54"/>
      <c r="F489" s="449"/>
      <c r="H489" s="470"/>
      <c r="I489" s="470"/>
      <c r="J489" s="461"/>
      <c r="K489" s="461"/>
      <c r="L489" s="379"/>
      <c r="M489" s="379"/>
      <c r="N489" s="50"/>
      <c r="O489" s="50"/>
      <c r="P489" s="379"/>
      <c r="Q489" s="379"/>
      <c r="R489" s="379"/>
      <c r="T489" s="301"/>
      <c r="U489" s="229"/>
      <c r="V489" s="347"/>
      <c r="W489" s="229"/>
      <c r="X489" s="229"/>
      <c r="Y489" s="229"/>
      <c r="Z489" s="229"/>
      <c r="AA489" s="347"/>
      <c r="AB489" s="542"/>
      <c r="AC489" s="347"/>
      <c r="AD489" s="347"/>
      <c r="AE489" s="357"/>
      <c r="AF489" s="357"/>
      <c r="AG489" s="356"/>
      <c r="AH489" s="347"/>
      <c r="AI489" s="348"/>
      <c r="AJ489" s="348"/>
      <c r="AK489" s="356"/>
      <c r="AL489" s="347"/>
      <c r="AM489" s="347"/>
      <c r="AN489" s="347"/>
      <c r="AO489" s="357"/>
      <c r="AP489" s="357"/>
      <c r="AQ489" s="333"/>
    </row>
    <row r="490" spans="1:43" x14ac:dyDescent="0.25">
      <c r="F490" s="381"/>
      <c r="H490" s="379"/>
      <c r="I490" s="379"/>
      <c r="J490" s="464"/>
      <c r="K490" s="464"/>
      <c r="L490" s="381"/>
      <c r="M490" s="381"/>
      <c r="N490" s="381"/>
      <c r="O490" s="381"/>
      <c r="P490" s="381"/>
      <c r="Q490" s="381"/>
      <c r="R490" s="381"/>
      <c r="T490" s="229"/>
      <c r="U490" s="229"/>
      <c r="V490" s="358"/>
      <c r="W490" s="229"/>
      <c r="X490" s="229"/>
      <c r="Y490" s="229"/>
      <c r="Z490" s="229"/>
      <c r="AA490" s="347"/>
      <c r="AB490" s="548"/>
      <c r="AC490" s="358"/>
      <c r="AD490" s="358"/>
      <c r="AE490" s="358"/>
      <c r="AF490" s="358"/>
      <c r="AG490" s="359"/>
      <c r="AH490" s="358"/>
      <c r="AI490" s="229"/>
      <c r="AJ490" s="229"/>
      <c r="AK490" s="359"/>
      <c r="AL490" s="358"/>
      <c r="AM490" s="358"/>
      <c r="AN490" s="358"/>
      <c r="AO490" s="229"/>
      <c r="AP490" s="229"/>
      <c r="AQ490" s="333"/>
    </row>
    <row r="491" spans="1:43" x14ac:dyDescent="0.25">
      <c r="A491" s="53"/>
      <c r="C491" s="54"/>
      <c r="F491" s="379"/>
      <c r="H491" s="379"/>
      <c r="I491" s="379"/>
      <c r="J491" s="59"/>
      <c r="K491" s="59"/>
      <c r="L491" s="379"/>
      <c r="M491" s="379"/>
      <c r="N491" s="50"/>
      <c r="O491" s="50"/>
      <c r="P491" s="379"/>
      <c r="Q491" s="379"/>
      <c r="R491" s="379"/>
      <c r="T491" s="301"/>
      <c r="U491" s="229"/>
      <c r="V491" s="347"/>
      <c r="W491" s="229"/>
      <c r="X491" s="229"/>
      <c r="Y491" s="229"/>
      <c r="Z491" s="229"/>
      <c r="AA491" s="347"/>
      <c r="AB491" s="360"/>
      <c r="AC491" s="347"/>
      <c r="AD491" s="347"/>
      <c r="AE491" s="357"/>
      <c r="AF491" s="357"/>
      <c r="AG491" s="356"/>
      <c r="AH491" s="347"/>
      <c r="AI491" s="348"/>
      <c r="AJ491" s="348"/>
      <c r="AK491" s="356"/>
      <c r="AL491" s="347"/>
      <c r="AM491" s="347"/>
      <c r="AN491" s="347"/>
      <c r="AO491" s="357"/>
      <c r="AP491" s="357"/>
      <c r="AQ491" s="333"/>
    </row>
    <row r="492" spans="1:43" x14ac:dyDescent="0.25">
      <c r="F492" s="381"/>
      <c r="H492" s="379"/>
      <c r="I492" s="379"/>
      <c r="J492" s="464"/>
      <c r="K492" s="464"/>
      <c r="L492" s="381"/>
      <c r="M492" s="381"/>
      <c r="N492" s="381"/>
      <c r="O492" s="381"/>
      <c r="P492" s="381"/>
      <c r="Q492" s="381"/>
      <c r="R492" s="381"/>
      <c r="T492" s="229"/>
      <c r="U492" s="229"/>
      <c r="V492" s="358"/>
      <c r="W492" s="229"/>
      <c r="X492" s="229"/>
      <c r="Y492" s="229"/>
      <c r="Z492" s="229"/>
      <c r="AA492" s="347"/>
      <c r="AB492" s="548"/>
      <c r="AC492" s="358"/>
      <c r="AD492" s="358"/>
      <c r="AE492" s="358"/>
      <c r="AF492" s="358"/>
      <c r="AG492" s="359"/>
      <c r="AH492" s="358"/>
      <c r="AI492" s="229"/>
      <c r="AJ492" s="229"/>
      <c r="AK492" s="359"/>
      <c r="AL492" s="358"/>
      <c r="AM492" s="358"/>
      <c r="AN492" s="358"/>
      <c r="AO492" s="229"/>
      <c r="AP492" s="229"/>
      <c r="AQ492" s="333"/>
    </row>
    <row r="493" spans="1:43" x14ac:dyDescent="0.25">
      <c r="F493" s="379"/>
      <c r="R493" s="379"/>
      <c r="T493" s="229"/>
      <c r="U493" s="229"/>
      <c r="V493" s="347"/>
      <c r="W493" s="229"/>
      <c r="X493" s="229"/>
      <c r="Y493" s="229"/>
      <c r="Z493" s="229"/>
      <c r="AA493" s="229"/>
      <c r="AB493" s="229"/>
      <c r="AC493" s="229"/>
      <c r="AD493" s="229"/>
      <c r="AE493" s="229"/>
      <c r="AF493" s="229"/>
      <c r="AG493" s="330"/>
      <c r="AH493" s="229"/>
      <c r="AI493" s="229"/>
      <c r="AJ493" s="229"/>
      <c r="AK493" s="330"/>
      <c r="AL493" s="229"/>
      <c r="AM493" s="347"/>
      <c r="AN493" s="347"/>
      <c r="AO493" s="229"/>
      <c r="AP493" s="229"/>
      <c r="AQ493" s="333"/>
    </row>
    <row r="494" spans="1:43" x14ac:dyDescent="0.25">
      <c r="A494" s="53"/>
      <c r="C494" s="54"/>
      <c r="F494" s="379"/>
      <c r="R494" s="379"/>
      <c r="T494" s="301"/>
      <c r="U494" s="229"/>
      <c r="V494" s="347"/>
      <c r="W494" s="229"/>
      <c r="X494" s="229"/>
      <c r="Y494" s="229"/>
      <c r="Z494" s="229"/>
      <c r="AA494" s="229"/>
      <c r="AB494" s="229"/>
      <c r="AC494" s="229"/>
      <c r="AD494" s="229"/>
      <c r="AE494" s="229"/>
      <c r="AF494" s="229"/>
      <c r="AG494" s="330"/>
      <c r="AH494" s="229"/>
      <c r="AI494" s="229"/>
      <c r="AJ494" s="229"/>
      <c r="AK494" s="330"/>
      <c r="AL494" s="229"/>
      <c r="AM494" s="347"/>
      <c r="AN494" s="347"/>
      <c r="AO494" s="229"/>
      <c r="AP494" s="229"/>
      <c r="AQ494" s="333"/>
    </row>
    <row r="495" spans="1:43" x14ac:dyDescent="0.25">
      <c r="F495" s="379"/>
      <c r="R495" s="379"/>
      <c r="T495" s="229"/>
      <c r="U495" s="229"/>
      <c r="V495" s="347"/>
      <c r="W495" s="229"/>
      <c r="X495" s="229"/>
      <c r="Y495" s="229"/>
      <c r="Z495" s="229"/>
      <c r="AA495" s="229"/>
      <c r="AB495" s="229"/>
      <c r="AC495" s="229"/>
      <c r="AD495" s="229"/>
      <c r="AE495" s="229"/>
      <c r="AF495" s="229"/>
      <c r="AG495" s="330"/>
      <c r="AH495" s="229"/>
      <c r="AI495" s="229"/>
      <c r="AJ495" s="229"/>
      <c r="AK495" s="330"/>
      <c r="AL495" s="229"/>
      <c r="AM495" s="347"/>
      <c r="AN495" s="347"/>
      <c r="AO495" s="229"/>
      <c r="AP495" s="229"/>
      <c r="AQ495" s="333"/>
    </row>
    <row r="496" spans="1:43" x14ac:dyDescent="0.25">
      <c r="A496" s="53"/>
      <c r="C496" s="54"/>
      <c r="F496" s="379"/>
      <c r="H496" s="449"/>
      <c r="I496" s="449"/>
      <c r="J496" s="472"/>
      <c r="K496" s="472"/>
      <c r="L496" s="379"/>
      <c r="M496" s="379"/>
      <c r="N496" s="50"/>
      <c r="O496" s="50"/>
      <c r="P496" s="449"/>
      <c r="Q496" s="449"/>
      <c r="R496" s="379"/>
      <c r="T496" s="301"/>
      <c r="U496" s="229"/>
      <c r="V496" s="347"/>
      <c r="W496" s="229"/>
      <c r="X496" s="229"/>
      <c r="Y496" s="229"/>
      <c r="Z496" s="229"/>
      <c r="AA496" s="347"/>
      <c r="AB496" s="546"/>
      <c r="AC496" s="347"/>
      <c r="AD496" s="347"/>
      <c r="AE496" s="357"/>
      <c r="AF496" s="357"/>
      <c r="AG496" s="356"/>
      <c r="AH496" s="347"/>
      <c r="AI496" s="348"/>
      <c r="AJ496" s="348"/>
      <c r="AK496" s="547"/>
      <c r="AL496" s="447"/>
      <c r="AM496" s="347"/>
      <c r="AN496" s="347"/>
      <c r="AO496" s="357"/>
      <c r="AP496" s="357"/>
      <c r="AQ496" s="333"/>
    </row>
    <row r="497" spans="1:43" x14ac:dyDescent="0.25">
      <c r="H497" s="381"/>
      <c r="I497" s="381"/>
      <c r="J497" s="464"/>
      <c r="K497" s="464"/>
      <c r="L497" s="381"/>
      <c r="M497" s="381"/>
      <c r="N497" s="381"/>
      <c r="O497" s="381"/>
      <c r="P497" s="381"/>
      <c r="Q497" s="381"/>
      <c r="R497" s="381"/>
      <c r="T497" s="229"/>
      <c r="U497" s="229"/>
      <c r="V497" s="358"/>
      <c r="W497" s="229"/>
      <c r="X497" s="229"/>
      <c r="Y497" s="229"/>
      <c r="Z497" s="229"/>
      <c r="AA497" s="358"/>
      <c r="AB497" s="548"/>
      <c r="AC497" s="358"/>
      <c r="AD497" s="358"/>
      <c r="AE497" s="358"/>
      <c r="AF497" s="358"/>
      <c r="AG497" s="359"/>
      <c r="AH497" s="358"/>
      <c r="AI497" s="229"/>
      <c r="AJ497" s="229"/>
      <c r="AK497" s="359"/>
      <c r="AL497" s="358"/>
      <c r="AM497" s="358"/>
      <c r="AN497" s="358"/>
      <c r="AO497" s="229"/>
      <c r="AP497" s="229"/>
      <c r="AQ497" s="333"/>
    </row>
    <row r="498" spans="1:43" x14ac:dyDescent="0.25">
      <c r="F498" s="381"/>
      <c r="T498" s="229"/>
      <c r="U498" s="229"/>
      <c r="V498" s="229"/>
      <c r="W498" s="229"/>
      <c r="X498" s="229"/>
      <c r="Y498" s="229"/>
      <c r="Z498" s="229"/>
      <c r="AA498" s="229"/>
      <c r="AB498" s="229"/>
      <c r="AC498" s="229"/>
      <c r="AD498" s="229"/>
      <c r="AE498" s="229"/>
      <c r="AF498" s="229"/>
      <c r="AG498" s="330"/>
      <c r="AH498" s="229"/>
      <c r="AI498" s="229"/>
      <c r="AJ498" s="229"/>
      <c r="AK498" s="330"/>
      <c r="AL498" s="229"/>
      <c r="AM498" s="229"/>
      <c r="AN498" s="229"/>
      <c r="AO498" s="229"/>
      <c r="AP498" s="229"/>
      <c r="AQ498" s="333"/>
    </row>
    <row r="499" spans="1:43" x14ac:dyDescent="0.25">
      <c r="A499" s="53"/>
      <c r="C499" s="54"/>
      <c r="F499" s="379"/>
      <c r="H499" s="379"/>
      <c r="I499" s="379"/>
      <c r="J499" s="62"/>
      <c r="K499" s="62"/>
      <c r="L499" s="379"/>
      <c r="M499" s="379"/>
      <c r="N499" s="50"/>
      <c r="O499" s="50"/>
      <c r="P499" s="379"/>
      <c r="Q499" s="379"/>
      <c r="R499" s="379"/>
      <c r="T499" s="301"/>
      <c r="U499" s="229"/>
      <c r="V499" s="347"/>
      <c r="W499" s="229"/>
      <c r="X499" s="229"/>
      <c r="Y499" s="229"/>
      <c r="Z499" s="229"/>
      <c r="AA499" s="347"/>
      <c r="AB499" s="362"/>
      <c r="AC499" s="347"/>
      <c r="AD499" s="347"/>
      <c r="AE499" s="357"/>
      <c r="AF499" s="357"/>
      <c r="AG499" s="356"/>
      <c r="AH499" s="347"/>
      <c r="AI499" s="348"/>
      <c r="AJ499" s="348"/>
      <c r="AK499" s="356"/>
      <c r="AL499" s="347"/>
      <c r="AM499" s="347"/>
      <c r="AN499" s="347"/>
      <c r="AO499" s="357"/>
      <c r="AP499" s="357"/>
      <c r="AQ499" s="333"/>
    </row>
    <row r="500" spans="1:43" x14ac:dyDescent="0.25">
      <c r="F500" s="381"/>
      <c r="H500" s="381"/>
      <c r="I500" s="381"/>
      <c r="J500" s="464"/>
      <c r="K500" s="464"/>
      <c r="L500" s="381"/>
      <c r="M500" s="381"/>
      <c r="N500" s="381"/>
      <c r="O500" s="381"/>
      <c r="P500" s="381"/>
      <c r="Q500" s="381"/>
      <c r="R500" s="381"/>
      <c r="T500" s="229"/>
      <c r="U500" s="229"/>
      <c r="V500" s="358"/>
      <c r="W500" s="229"/>
      <c r="X500" s="229"/>
      <c r="Y500" s="229"/>
      <c r="Z500" s="229"/>
      <c r="AA500" s="358"/>
      <c r="AB500" s="548"/>
      <c r="AC500" s="358"/>
      <c r="AD500" s="358"/>
      <c r="AE500" s="358"/>
      <c r="AF500" s="358"/>
      <c r="AG500" s="359"/>
      <c r="AH500" s="358"/>
      <c r="AI500" s="229"/>
      <c r="AJ500" s="229"/>
      <c r="AK500" s="359"/>
      <c r="AL500" s="358"/>
      <c r="AM500" s="358"/>
      <c r="AN500" s="358"/>
      <c r="AO500" s="229"/>
      <c r="AP500" s="229"/>
      <c r="AQ500" s="333"/>
    </row>
    <row r="501" spans="1:43" x14ac:dyDescent="0.25">
      <c r="R501" s="379"/>
      <c r="T501" s="229"/>
      <c r="U501" s="229"/>
      <c r="V501" s="229"/>
      <c r="W501" s="229"/>
      <c r="X501" s="229"/>
      <c r="Y501" s="229"/>
      <c r="Z501" s="229"/>
      <c r="AA501" s="229"/>
      <c r="AB501" s="229"/>
      <c r="AC501" s="229"/>
      <c r="AD501" s="229"/>
      <c r="AE501" s="229"/>
      <c r="AF501" s="229"/>
      <c r="AG501" s="330"/>
      <c r="AH501" s="229"/>
      <c r="AI501" s="347"/>
      <c r="AJ501" s="347"/>
      <c r="AK501" s="330"/>
      <c r="AL501" s="229"/>
      <c r="AM501" s="229"/>
      <c r="AN501" s="229"/>
      <c r="AO501" s="229"/>
      <c r="AP501" s="229"/>
      <c r="AQ501" s="333"/>
    </row>
    <row r="502" spans="1:43" x14ac:dyDescent="0.25">
      <c r="F502" s="379"/>
      <c r="H502" s="379"/>
      <c r="I502" s="379"/>
      <c r="J502" s="59"/>
      <c r="K502" s="59"/>
      <c r="L502" s="379"/>
      <c r="M502" s="379"/>
      <c r="N502" s="379"/>
      <c r="O502" s="379"/>
      <c r="P502" s="379"/>
      <c r="Q502" s="379"/>
      <c r="R502" s="379"/>
      <c r="T502" s="229"/>
      <c r="U502" s="229"/>
      <c r="V502" s="347"/>
      <c r="W502" s="229"/>
      <c r="X502" s="229"/>
      <c r="Y502" s="229"/>
      <c r="Z502" s="229"/>
      <c r="AA502" s="347"/>
      <c r="AB502" s="360"/>
      <c r="AC502" s="347"/>
      <c r="AD502" s="347"/>
      <c r="AE502" s="347"/>
      <c r="AF502" s="347"/>
      <c r="AG502" s="356"/>
      <c r="AH502" s="347"/>
      <c r="AI502" s="347"/>
      <c r="AJ502" s="347"/>
      <c r="AK502" s="330"/>
      <c r="AL502" s="229"/>
      <c r="AM502" s="229"/>
      <c r="AN502" s="229"/>
      <c r="AO502" s="229"/>
      <c r="AP502" s="229"/>
      <c r="AQ502" s="333"/>
    </row>
    <row r="503" spans="1:43" x14ac:dyDescent="0.25">
      <c r="C503" s="54"/>
      <c r="F503" s="379"/>
      <c r="H503" s="379"/>
      <c r="I503" s="379"/>
      <c r="J503" s="59"/>
      <c r="K503" s="59"/>
      <c r="L503" s="379"/>
      <c r="M503" s="379"/>
      <c r="N503" s="379"/>
      <c r="O503" s="379"/>
      <c r="P503" s="379"/>
      <c r="Q503" s="379"/>
      <c r="R503" s="379"/>
      <c r="T503" s="301"/>
      <c r="U503" s="229"/>
      <c r="V503" s="347"/>
      <c r="W503" s="229"/>
      <c r="X503" s="229"/>
      <c r="Y503" s="229"/>
      <c r="Z503" s="229"/>
      <c r="AA503" s="347"/>
      <c r="AB503" s="360"/>
      <c r="AC503" s="347"/>
      <c r="AD503" s="347"/>
      <c r="AE503" s="347"/>
      <c r="AF503" s="347"/>
      <c r="AG503" s="356"/>
      <c r="AH503" s="347"/>
      <c r="AI503" s="347"/>
      <c r="AJ503" s="347"/>
      <c r="AK503" s="330"/>
      <c r="AL503" s="229"/>
      <c r="AM503" s="229"/>
      <c r="AN503" s="229"/>
      <c r="AO503" s="229"/>
      <c r="AP503" s="229"/>
      <c r="AQ503" s="333"/>
    </row>
    <row r="504" spans="1:43" x14ac:dyDescent="0.25">
      <c r="A504" s="54"/>
      <c r="T504" s="229"/>
      <c r="U504" s="229"/>
      <c r="V504" s="229"/>
      <c r="W504" s="229"/>
      <c r="X504" s="229"/>
      <c r="Y504" s="229"/>
      <c r="Z504" s="229"/>
      <c r="AA504" s="229"/>
      <c r="AB504" s="229"/>
      <c r="AC504" s="229"/>
      <c r="AD504" s="229"/>
      <c r="AE504" s="229"/>
      <c r="AF504" s="229"/>
      <c r="AG504" s="330"/>
      <c r="AH504" s="229"/>
      <c r="AI504" s="229"/>
      <c r="AJ504" s="229"/>
      <c r="AK504" s="330"/>
      <c r="AL504" s="229"/>
      <c r="AM504" s="229"/>
      <c r="AN504" s="229"/>
      <c r="AO504" s="229"/>
      <c r="AP504" s="229"/>
      <c r="AQ504" s="333"/>
    </row>
    <row r="505" spans="1:43" x14ac:dyDescent="0.25">
      <c r="T505" s="229"/>
      <c r="U505" s="229"/>
      <c r="V505" s="229"/>
      <c r="W505" s="229"/>
      <c r="X505" s="229"/>
      <c r="Y505" s="229"/>
      <c r="Z505" s="229"/>
      <c r="AA505" s="229"/>
      <c r="AB505" s="229"/>
      <c r="AC505" s="229"/>
      <c r="AD505" s="229"/>
      <c r="AE505" s="229"/>
      <c r="AF505" s="229"/>
      <c r="AG505" s="330"/>
      <c r="AH505" s="229"/>
      <c r="AI505" s="229"/>
      <c r="AJ505" s="229"/>
      <c r="AK505" s="330"/>
      <c r="AL505" s="229"/>
      <c r="AM505" s="229"/>
      <c r="AN505" s="229"/>
      <c r="AO505" s="229"/>
      <c r="AP505" s="229"/>
      <c r="AQ505" s="333"/>
    </row>
    <row r="506" spans="1:43" x14ac:dyDescent="0.25">
      <c r="J506" s="53"/>
      <c r="K506" s="53"/>
      <c r="T506" s="229"/>
      <c r="U506" s="229"/>
      <c r="V506" s="229"/>
      <c r="W506" s="229"/>
      <c r="X506" s="229"/>
      <c r="Y506" s="229"/>
      <c r="Z506" s="229"/>
      <c r="AA506" s="229"/>
      <c r="AB506" s="349"/>
      <c r="AC506" s="229"/>
      <c r="AD506" s="229"/>
      <c r="AE506" s="229"/>
      <c r="AF506" s="229"/>
      <c r="AG506" s="330"/>
      <c r="AH506" s="229"/>
      <c r="AI506" s="229"/>
      <c r="AJ506" s="229"/>
      <c r="AK506" s="330"/>
      <c r="AL506" s="229"/>
      <c r="AM506" s="229"/>
      <c r="AN506" s="229"/>
      <c r="AO506" s="229"/>
      <c r="AP506" s="229"/>
      <c r="AQ506" s="333"/>
    </row>
    <row r="507" spans="1:43" x14ac:dyDescent="0.25">
      <c r="H507" s="54"/>
      <c r="I507" s="54"/>
      <c r="T507" s="229"/>
      <c r="U507" s="229"/>
      <c r="V507" s="229"/>
      <c r="W507" s="229"/>
      <c r="X507" s="229"/>
      <c r="Y507" s="229"/>
      <c r="Z507" s="229"/>
      <c r="AA507" s="301"/>
      <c r="AB507" s="229"/>
      <c r="AC507" s="229"/>
      <c r="AD507" s="229"/>
      <c r="AE507" s="229"/>
      <c r="AF507" s="229"/>
      <c r="AG507" s="330"/>
      <c r="AH507" s="229"/>
      <c r="AI507" s="229"/>
      <c r="AJ507" s="229"/>
      <c r="AK507" s="330"/>
      <c r="AL507" s="229"/>
      <c r="AM507" s="229"/>
      <c r="AN507" s="229"/>
      <c r="AO507" s="229"/>
      <c r="AP507" s="229"/>
      <c r="AQ507" s="333"/>
    </row>
    <row r="508" spans="1:43" x14ac:dyDescent="0.25">
      <c r="J508" s="53"/>
      <c r="K508" s="53"/>
      <c r="T508" s="229"/>
      <c r="U508" s="229"/>
      <c r="V508" s="229"/>
      <c r="W508" s="229"/>
      <c r="X508" s="229"/>
      <c r="Y508" s="229"/>
      <c r="Z508" s="229"/>
      <c r="AA508" s="229"/>
      <c r="AB508" s="349"/>
      <c r="AC508" s="229"/>
      <c r="AD508" s="229"/>
      <c r="AE508" s="229"/>
      <c r="AF508" s="229"/>
      <c r="AG508" s="330"/>
      <c r="AH508" s="229"/>
      <c r="AI508" s="229"/>
      <c r="AJ508" s="229"/>
      <c r="AK508" s="330"/>
      <c r="AL508" s="229"/>
      <c r="AM508" s="229"/>
      <c r="AN508" s="229"/>
      <c r="AO508" s="229"/>
      <c r="AP508" s="229"/>
      <c r="AQ508" s="333"/>
    </row>
    <row r="509" spans="1:43" x14ac:dyDescent="0.25">
      <c r="L509" s="54"/>
      <c r="M509" s="54"/>
      <c r="T509" s="229"/>
      <c r="U509" s="229"/>
      <c r="V509" s="229"/>
      <c r="W509" s="229"/>
      <c r="X509" s="229"/>
      <c r="Y509" s="229"/>
      <c r="Z509" s="229"/>
      <c r="AA509" s="229"/>
      <c r="AB509" s="229"/>
      <c r="AC509" s="301"/>
      <c r="AD509" s="301"/>
      <c r="AE509" s="229"/>
      <c r="AF509" s="229"/>
      <c r="AG509" s="330"/>
      <c r="AH509" s="229"/>
      <c r="AI509" s="229"/>
      <c r="AJ509" s="229"/>
      <c r="AK509" s="330"/>
      <c r="AL509" s="229"/>
      <c r="AM509" s="229"/>
      <c r="AN509" s="229"/>
      <c r="AO509" s="229"/>
      <c r="AP509" s="229"/>
      <c r="AQ509" s="333"/>
    </row>
    <row r="510" spans="1:43" x14ac:dyDescent="0.25">
      <c r="A510" s="53"/>
      <c r="R510" s="54"/>
      <c r="T510" s="229"/>
      <c r="U510" s="229"/>
      <c r="V510" s="229"/>
      <c r="W510" s="229"/>
      <c r="X510" s="229"/>
      <c r="Y510" s="229"/>
      <c r="Z510" s="229"/>
      <c r="AA510" s="229"/>
      <c r="AB510" s="229"/>
      <c r="AC510" s="229"/>
      <c r="AD510" s="229"/>
      <c r="AE510" s="229"/>
      <c r="AF510" s="229"/>
      <c r="AG510" s="330"/>
      <c r="AH510" s="229"/>
      <c r="AI510" s="229"/>
      <c r="AJ510" s="229"/>
      <c r="AK510" s="330"/>
      <c r="AL510" s="229"/>
      <c r="AM510" s="301"/>
      <c r="AN510" s="301"/>
      <c r="AO510" s="229"/>
      <c r="AP510" s="229"/>
      <c r="AQ510" s="333"/>
    </row>
    <row r="511" spans="1:43" x14ac:dyDescent="0.25">
      <c r="A511" s="53"/>
      <c r="R511" s="54"/>
      <c r="T511" s="229"/>
      <c r="U511" s="229"/>
      <c r="V511" s="229"/>
      <c r="W511" s="229"/>
      <c r="X511" s="229"/>
      <c r="Y511" s="229"/>
      <c r="Z511" s="229"/>
      <c r="AA511" s="229"/>
      <c r="AB511" s="229"/>
      <c r="AC511" s="229"/>
      <c r="AD511" s="229"/>
      <c r="AE511" s="229"/>
      <c r="AF511" s="229"/>
      <c r="AG511" s="330"/>
      <c r="AH511" s="229"/>
      <c r="AI511" s="229"/>
      <c r="AJ511" s="229"/>
      <c r="AK511" s="330"/>
      <c r="AL511" s="229"/>
      <c r="AM511" s="301"/>
      <c r="AN511" s="301"/>
      <c r="AO511" s="229"/>
      <c r="AP511" s="229"/>
      <c r="AQ511" s="333"/>
    </row>
    <row r="512" spans="1:43" x14ac:dyDescent="0.25">
      <c r="A512" s="54"/>
      <c r="R512" s="54"/>
      <c r="T512" s="229"/>
      <c r="U512" s="229"/>
      <c r="V512" s="229"/>
      <c r="W512" s="229"/>
      <c r="X512" s="229"/>
      <c r="Y512" s="229"/>
      <c r="Z512" s="229"/>
      <c r="AA512" s="229"/>
      <c r="AB512" s="229"/>
      <c r="AC512" s="229"/>
      <c r="AD512" s="229"/>
      <c r="AE512" s="229"/>
      <c r="AF512" s="229"/>
      <c r="AG512" s="330"/>
      <c r="AH512" s="229"/>
      <c r="AI512" s="229"/>
      <c r="AJ512" s="229"/>
      <c r="AK512" s="330"/>
      <c r="AL512" s="229"/>
      <c r="AM512" s="301"/>
      <c r="AN512" s="301"/>
      <c r="AO512" s="229"/>
      <c r="AP512" s="229"/>
      <c r="AQ512" s="333"/>
    </row>
    <row r="513" spans="1:43" x14ac:dyDescent="0.25">
      <c r="L513" s="54"/>
      <c r="M513" s="54"/>
      <c r="R513" s="53"/>
      <c r="T513" s="229"/>
      <c r="U513" s="229"/>
      <c r="V513" s="229"/>
      <c r="W513" s="229"/>
      <c r="X513" s="229"/>
      <c r="Y513" s="229"/>
      <c r="Z513" s="229"/>
      <c r="AA513" s="229"/>
      <c r="AB513" s="229"/>
      <c r="AC513" s="301"/>
      <c r="AD513" s="301"/>
      <c r="AE513" s="229"/>
      <c r="AF513" s="229"/>
      <c r="AG513" s="330"/>
      <c r="AH513" s="229"/>
      <c r="AI513" s="229"/>
      <c r="AJ513" s="229"/>
      <c r="AK513" s="330"/>
      <c r="AL513" s="229"/>
      <c r="AM513" s="349"/>
      <c r="AN513" s="349"/>
      <c r="AO513" s="229"/>
      <c r="AP513" s="229"/>
      <c r="AQ513" s="333"/>
    </row>
    <row r="514" spans="1:43" x14ac:dyDescent="0.25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T514" s="230"/>
      <c r="U514" s="230"/>
      <c r="V514" s="230"/>
      <c r="W514" s="230"/>
      <c r="X514" s="230"/>
      <c r="Y514" s="230"/>
      <c r="Z514" s="230"/>
      <c r="AA514" s="230"/>
      <c r="AB514" s="230"/>
      <c r="AC514" s="230"/>
      <c r="AD514" s="230"/>
      <c r="AE514" s="230"/>
      <c r="AF514" s="230"/>
      <c r="AG514" s="355"/>
      <c r="AH514" s="230"/>
      <c r="AI514" s="230"/>
      <c r="AJ514" s="230"/>
      <c r="AK514" s="355"/>
      <c r="AL514" s="230"/>
      <c r="AM514" s="230"/>
      <c r="AN514" s="230"/>
      <c r="AO514" s="230"/>
      <c r="AP514" s="230"/>
      <c r="AQ514" s="333"/>
    </row>
    <row r="515" spans="1:43" x14ac:dyDescent="0.25">
      <c r="L515" s="56"/>
      <c r="M515" s="56"/>
      <c r="N515" s="56"/>
      <c r="O515" s="56"/>
      <c r="R515" s="56"/>
      <c r="T515" s="229"/>
      <c r="U515" s="229"/>
      <c r="V515" s="229"/>
      <c r="W515" s="229"/>
      <c r="X515" s="229"/>
      <c r="Y515" s="229"/>
      <c r="Z515" s="229"/>
      <c r="AA515" s="229"/>
      <c r="AB515" s="229"/>
      <c r="AC515" s="231"/>
      <c r="AD515" s="231"/>
      <c r="AE515" s="231"/>
      <c r="AF515" s="231"/>
      <c r="AG515" s="332"/>
      <c r="AH515" s="231"/>
      <c r="AI515" s="231"/>
      <c r="AJ515" s="231"/>
      <c r="AK515" s="330"/>
      <c r="AL515" s="229"/>
      <c r="AM515" s="231"/>
      <c r="AN515" s="231"/>
      <c r="AO515" s="231"/>
      <c r="AP515" s="231"/>
      <c r="AQ515" s="333"/>
    </row>
    <row r="516" spans="1:43" x14ac:dyDescent="0.25">
      <c r="L516" s="56"/>
      <c r="M516" s="56"/>
      <c r="N516" s="56"/>
      <c r="O516" s="56"/>
      <c r="R516" s="56"/>
      <c r="T516" s="229"/>
      <c r="U516" s="229"/>
      <c r="V516" s="229"/>
      <c r="W516" s="229"/>
      <c r="X516" s="229"/>
      <c r="Y516" s="229"/>
      <c r="Z516" s="229"/>
      <c r="AA516" s="229"/>
      <c r="AB516" s="231"/>
      <c r="AC516" s="231"/>
      <c r="AD516" s="231"/>
      <c r="AE516" s="231"/>
      <c r="AF516" s="231"/>
      <c r="AG516" s="332"/>
      <c r="AH516" s="231"/>
      <c r="AI516" s="231"/>
      <c r="AJ516" s="231"/>
      <c r="AK516" s="330"/>
      <c r="AL516" s="229"/>
      <c r="AM516" s="231"/>
      <c r="AN516" s="231"/>
      <c r="AO516" s="231"/>
      <c r="AP516" s="231"/>
      <c r="AQ516" s="333"/>
    </row>
    <row r="517" spans="1:43" x14ac:dyDescent="0.25">
      <c r="A517" s="56"/>
      <c r="C517" s="56"/>
      <c r="D517" s="56"/>
      <c r="E517" s="56"/>
      <c r="F517" s="56"/>
      <c r="J517" s="56"/>
      <c r="K517" s="56"/>
      <c r="L517" s="56"/>
      <c r="M517" s="56"/>
      <c r="N517" s="56"/>
      <c r="O517" s="56"/>
      <c r="P517" s="56"/>
      <c r="Q517" s="56"/>
      <c r="R517" s="56"/>
      <c r="T517" s="231"/>
      <c r="U517" s="231"/>
      <c r="V517" s="231"/>
      <c r="W517" s="229"/>
      <c r="X517" s="229"/>
      <c r="Y517" s="229"/>
      <c r="Z517" s="229"/>
      <c r="AA517" s="229"/>
      <c r="AB517" s="231"/>
      <c r="AC517" s="231"/>
      <c r="AD517" s="231"/>
      <c r="AE517" s="231"/>
      <c r="AF517" s="231"/>
      <c r="AG517" s="332"/>
      <c r="AH517" s="231"/>
      <c r="AI517" s="231"/>
      <c r="AJ517" s="231"/>
      <c r="AK517" s="332"/>
      <c r="AL517" s="231"/>
      <c r="AM517" s="231"/>
      <c r="AN517" s="231"/>
      <c r="AO517" s="231"/>
      <c r="AP517" s="231"/>
      <c r="AQ517" s="333"/>
    </row>
    <row r="518" spans="1:43" x14ac:dyDescent="0.25">
      <c r="A518" s="56"/>
      <c r="C518" s="56"/>
      <c r="D518" s="56"/>
      <c r="E518" s="56"/>
      <c r="F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T518" s="231"/>
      <c r="U518" s="231"/>
      <c r="V518" s="231"/>
      <c r="W518" s="229"/>
      <c r="X518" s="229"/>
      <c r="Y518" s="229"/>
      <c r="Z518" s="229"/>
      <c r="AA518" s="231"/>
      <c r="AB518" s="231"/>
      <c r="AC518" s="231"/>
      <c r="AD518" s="231"/>
      <c r="AE518" s="231"/>
      <c r="AF518" s="231"/>
      <c r="AG518" s="332"/>
      <c r="AH518" s="231"/>
      <c r="AI518" s="231"/>
      <c r="AJ518" s="231"/>
      <c r="AK518" s="332"/>
      <c r="AL518" s="231"/>
      <c r="AM518" s="231"/>
      <c r="AN518" s="231"/>
      <c r="AO518" s="231"/>
      <c r="AP518" s="231"/>
      <c r="AQ518" s="333"/>
    </row>
    <row r="519" spans="1:43" x14ac:dyDescent="0.25">
      <c r="C519" s="56"/>
      <c r="D519" s="56"/>
      <c r="E519" s="56"/>
      <c r="F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T519" s="231"/>
      <c r="U519" s="231"/>
      <c r="V519" s="231"/>
      <c r="W519" s="229"/>
      <c r="X519" s="229"/>
      <c r="Y519" s="229"/>
      <c r="Z519" s="229"/>
      <c r="AA519" s="231"/>
      <c r="AB519" s="231"/>
      <c r="AC519" s="231"/>
      <c r="AD519" s="231"/>
      <c r="AE519" s="231"/>
      <c r="AF519" s="231"/>
      <c r="AG519" s="332"/>
      <c r="AH519" s="231"/>
      <c r="AI519" s="231"/>
      <c r="AJ519" s="231"/>
      <c r="AK519" s="332"/>
      <c r="AL519" s="231"/>
      <c r="AM519" s="231"/>
      <c r="AN519" s="231"/>
      <c r="AO519" s="231"/>
      <c r="AP519" s="231"/>
      <c r="AQ519" s="333"/>
    </row>
    <row r="520" spans="1:43" x14ac:dyDescent="0.25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T520" s="230"/>
      <c r="U520" s="230"/>
      <c r="V520" s="230"/>
      <c r="W520" s="230"/>
      <c r="X520" s="230"/>
      <c r="Y520" s="230"/>
      <c r="Z520" s="230"/>
      <c r="AA520" s="230"/>
      <c r="AB520" s="230"/>
      <c r="AC520" s="230"/>
      <c r="AD520" s="230"/>
      <c r="AE520" s="230"/>
      <c r="AF520" s="230"/>
      <c r="AG520" s="355"/>
      <c r="AH520" s="230"/>
      <c r="AI520" s="230"/>
      <c r="AJ520" s="230"/>
      <c r="AK520" s="355"/>
      <c r="AL520" s="230"/>
      <c r="AM520" s="230"/>
      <c r="AN520" s="230"/>
      <c r="AO520" s="230"/>
      <c r="AP520" s="230"/>
      <c r="AQ520" s="333"/>
    </row>
    <row r="521" spans="1:43" x14ac:dyDescent="0.25"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T521" s="229"/>
      <c r="U521" s="229"/>
      <c r="V521" s="229"/>
      <c r="W521" s="229"/>
      <c r="X521" s="229"/>
      <c r="Y521" s="229"/>
      <c r="Z521" s="229"/>
      <c r="AA521" s="231"/>
      <c r="AB521" s="231"/>
      <c r="AC521" s="231"/>
      <c r="AD521" s="231"/>
      <c r="AE521" s="231"/>
      <c r="AF521" s="231"/>
      <c r="AG521" s="332"/>
      <c r="AH521" s="231"/>
      <c r="AI521" s="231"/>
      <c r="AJ521" s="231"/>
      <c r="AK521" s="332"/>
      <c r="AL521" s="231"/>
      <c r="AM521" s="231"/>
      <c r="AN521" s="231"/>
      <c r="AO521" s="231"/>
      <c r="AP521" s="231"/>
      <c r="AQ521" s="333"/>
    </row>
    <row r="522" spans="1:43" x14ac:dyDescent="0.25">
      <c r="A522" s="53"/>
      <c r="C522" s="54"/>
      <c r="D522" s="54"/>
      <c r="E522" s="54"/>
      <c r="T522" s="301"/>
      <c r="U522" s="301"/>
      <c r="V522" s="229"/>
      <c r="W522" s="229"/>
      <c r="X522" s="229"/>
      <c r="Y522" s="229"/>
      <c r="Z522" s="229"/>
      <c r="AA522" s="229"/>
      <c r="AB522" s="229"/>
      <c r="AC522" s="229"/>
      <c r="AD522" s="229"/>
      <c r="AE522" s="229"/>
      <c r="AF522" s="229"/>
      <c r="AG522" s="330"/>
      <c r="AH522" s="229"/>
      <c r="AI522" s="229"/>
      <c r="AJ522" s="229"/>
      <c r="AK522" s="330"/>
      <c r="AL522" s="229"/>
      <c r="AM522" s="229"/>
      <c r="AN522" s="229"/>
      <c r="AO522" s="229"/>
      <c r="AP522" s="229"/>
      <c r="AQ522" s="333"/>
    </row>
    <row r="523" spans="1:43" x14ac:dyDescent="0.25">
      <c r="A523" s="53"/>
      <c r="C523" s="54"/>
      <c r="T523" s="301"/>
      <c r="U523" s="229"/>
      <c r="V523" s="229"/>
      <c r="W523" s="229"/>
      <c r="X523" s="229"/>
      <c r="Y523" s="229"/>
      <c r="Z523" s="229"/>
      <c r="AA523" s="229"/>
      <c r="AB523" s="229"/>
      <c r="AC523" s="229"/>
      <c r="AD523" s="229"/>
      <c r="AE523" s="229"/>
      <c r="AF523" s="229"/>
      <c r="AG523" s="330"/>
      <c r="AH523" s="229"/>
      <c r="AI523" s="229"/>
      <c r="AJ523" s="229"/>
      <c r="AK523" s="330"/>
      <c r="AL523" s="229"/>
      <c r="AM523" s="229"/>
      <c r="AN523" s="229"/>
      <c r="AO523" s="229"/>
      <c r="AP523" s="229"/>
      <c r="AQ523" s="333"/>
    </row>
    <row r="524" spans="1:43" x14ac:dyDescent="0.25">
      <c r="T524" s="229"/>
      <c r="U524" s="229"/>
      <c r="V524" s="229"/>
      <c r="W524" s="229"/>
      <c r="X524" s="229"/>
      <c r="Y524" s="229"/>
      <c r="Z524" s="229"/>
      <c r="AA524" s="229"/>
      <c r="AB524" s="229"/>
      <c r="AC524" s="229"/>
      <c r="AD524" s="229"/>
      <c r="AE524" s="229"/>
      <c r="AF524" s="229"/>
      <c r="AG524" s="330"/>
      <c r="AH524" s="229"/>
      <c r="AI524" s="229"/>
      <c r="AJ524" s="229"/>
      <c r="AK524" s="330"/>
      <c r="AL524" s="229"/>
      <c r="AM524" s="229"/>
      <c r="AN524" s="229"/>
      <c r="AO524" s="229"/>
      <c r="AP524" s="229"/>
      <c r="AQ524" s="333"/>
    </row>
    <row r="525" spans="1:43" x14ac:dyDescent="0.25">
      <c r="A525" s="53"/>
      <c r="C525" s="54"/>
      <c r="F525" s="449"/>
      <c r="H525" s="449"/>
      <c r="I525" s="449"/>
      <c r="J525" s="461"/>
      <c r="K525" s="461"/>
      <c r="L525" s="379"/>
      <c r="M525" s="379"/>
      <c r="N525" s="50"/>
      <c r="O525" s="50"/>
      <c r="P525" s="53"/>
      <c r="Q525" s="53"/>
      <c r="R525" s="379"/>
      <c r="T525" s="301"/>
      <c r="U525" s="229"/>
      <c r="V525" s="347"/>
      <c r="W525" s="229"/>
      <c r="X525" s="229"/>
      <c r="Y525" s="229"/>
      <c r="Z525" s="229"/>
      <c r="AA525" s="447"/>
      <c r="AB525" s="542"/>
      <c r="AC525" s="347"/>
      <c r="AD525" s="347"/>
      <c r="AE525" s="357"/>
      <c r="AF525" s="357"/>
      <c r="AG525" s="356"/>
      <c r="AH525" s="347"/>
      <c r="AI525" s="348"/>
      <c r="AJ525" s="348"/>
      <c r="AK525" s="356"/>
      <c r="AL525" s="349"/>
      <c r="AM525" s="347"/>
      <c r="AN525" s="347"/>
      <c r="AO525" s="357"/>
      <c r="AP525" s="357"/>
      <c r="AQ525" s="333"/>
    </row>
    <row r="526" spans="1:43" x14ac:dyDescent="0.25">
      <c r="F526" s="381"/>
      <c r="H526" s="379"/>
      <c r="I526" s="379"/>
      <c r="J526" s="464"/>
      <c r="K526" s="464"/>
      <c r="L526" s="381"/>
      <c r="M526" s="381"/>
      <c r="N526" s="381"/>
      <c r="O526" s="381"/>
      <c r="P526" s="381"/>
      <c r="Q526" s="381"/>
      <c r="R526" s="381"/>
      <c r="T526" s="229"/>
      <c r="U526" s="229"/>
      <c r="V526" s="358"/>
      <c r="W526" s="229"/>
      <c r="X526" s="229"/>
      <c r="Y526" s="229"/>
      <c r="Z526" s="229"/>
      <c r="AA526" s="347"/>
      <c r="AB526" s="548"/>
      <c r="AC526" s="358"/>
      <c r="AD526" s="358"/>
      <c r="AE526" s="358"/>
      <c r="AF526" s="358"/>
      <c r="AG526" s="359"/>
      <c r="AH526" s="358"/>
      <c r="AI526" s="229"/>
      <c r="AJ526" s="229"/>
      <c r="AK526" s="359"/>
      <c r="AL526" s="358"/>
      <c r="AM526" s="358"/>
      <c r="AN526" s="358"/>
      <c r="AO526" s="357"/>
      <c r="AP526" s="357"/>
      <c r="AQ526" s="333"/>
    </row>
    <row r="527" spans="1:43" x14ac:dyDescent="0.25">
      <c r="A527" s="53"/>
      <c r="C527" s="54"/>
      <c r="F527" s="449"/>
      <c r="H527" s="449"/>
      <c r="I527" s="449"/>
      <c r="J527" s="477"/>
      <c r="K527" s="477"/>
      <c r="L527" s="379"/>
      <c r="M527" s="379"/>
      <c r="N527" s="50"/>
      <c r="O527" s="50"/>
      <c r="P527" s="379"/>
      <c r="Q527" s="379"/>
      <c r="R527" s="379"/>
      <c r="S527" s="379"/>
      <c r="T527" s="301"/>
      <c r="U527" s="229"/>
      <c r="V527" s="447"/>
      <c r="W527" s="229"/>
      <c r="X527" s="229"/>
      <c r="Y527" s="229"/>
      <c r="Z527" s="229"/>
      <c r="AA527" s="447"/>
      <c r="AB527" s="549"/>
      <c r="AC527" s="347"/>
      <c r="AD527" s="347"/>
      <c r="AE527" s="357"/>
      <c r="AF527" s="357"/>
      <c r="AG527" s="356"/>
      <c r="AH527" s="347"/>
      <c r="AI527" s="357"/>
      <c r="AJ527" s="357"/>
      <c r="AK527" s="356"/>
      <c r="AL527" s="347"/>
      <c r="AM527" s="347"/>
      <c r="AN527" s="347"/>
      <c r="AO527" s="357"/>
      <c r="AP527" s="357"/>
      <c r="AQ527" s="333"/>
    </row>
    <row r="528" spans="1:43" x14ac:dyDescent="0.25">
      <c r="A528" s="53"/>
      <c r="C528" s="54"/>
      <c r="F528" s="449"/>
      <c r="H528" s="449"/>
      <c r="I528" s="449"/>
      <c r="J528" s="461"/>
      <c r="K528" s="461"/>
      <c r="L528" s="379"/>
      <c r="M528" s="379"/>
      <c r="N528" s="50"/>
      <c r="O528" s="50"/>
      <c r="P528" s="379"/>
      <c r="Q528" s="379"/>
      <c r="R528" s="379"/>
      <c r="T528" s="301"/>
      <c r="U528" s="229"/>
      <c r="V528" s="447"/>
      <c r="W528" s="229"/>
      <c r="X528" s="229"/>
      <c r="Y528" s="229"/>
      <c r="Z528" s="229"/>
      <c r="AA528" s="347"/>
      <c r="AB528" s="542"/>
      <c r="AC528" s="347"/>
      <c r="AD528" s="347"/>
      <c r="AE528" s="357"/>
      <c r="AF528" s="357"/>
      <c r="AG528" s="356"/>
      <c r="AH528" s="347"/>
      <c r="AI528" s="348"/>
      <c r="AJ528" s="348"/>
      <c r="AK528" s="356"/>
      <c r="AL528" s="347"/>
      <c r="AM528" s="347"/>
      <c r="AN528" s="347"/>
      <c r="AO528" s="357"/>
      <c r="AP528" s="357"/>
      <c r="AQ528" s="333"/>
    </row>
    <row r="529" spans="1:43" x14ac:dyDescent="0.25">
      <c r="A529" s="53"/>
      <c r="C529" s="54"/>
      <c r="F529" s="449"/>
      <c r="H529" s="449"/>
      <c r="I529" s="449"/>
      <c r="J529" s="461"/>
      <c r="K529" s="461"/>
      <c r="L529" s="379"/>
      <c r="M529" s="379"/>
      <c r="N529" s="50"/>
      <c r="O529" s="50"/>
      <c r="P529" s="379"/>
      <c r="Q529" s="379"/>
      <c r="R529" s="379"/>
      <c r="T529" s="301"/>
      <c r="U529" s="229"/>
      <c r="V529" s="447"/>
      <c r="W529" s="229"/>
      <c r="X529" s="229"/>
      <c r="Y529" s="229"/>
      <c r="Z529" s="229"/>
      <c r="AA529" s="347"/>
      <c r="AB529" s="542"/>
      <c r="AC529" s="347"/>
      <c r="AD529" s="347"/>
      <c r="AE529" s="357"/>
      <c r="AF529" s="357"/>
      <c r="AG529" s="356"/>
      <c r="AH529" s="347"/>
      <c r="AI529" s="348"/>
      <c r="AJ529" s="348"/>
      <c r="AK529" s="356"/>
      <c r="AL529" s="347"/>
      <c r="AM529" s="347"/>
      <c r="AN529" s="347"/>
      <c r="AO529" s="357"/>
      <c r="AP529" s="357"/>
      <c r="AQ529" s="333"/>
    </row>
    <row r="530" spans="1:43" x14ac:dyDescent="0.25">
      <c r="F530" s="381"/>
      <c r="H530" s="381"/>
      <c r="I530" s="381"/>
      <c r="J530" s="464"/>
      <c r="K530" s="464"/>
      <c r="L530" s="381"/>
      <c r="M530" s="381"/>
      <c r="N530" s="381"/>
      <c r="O530" s="381"/>
      <c r="P530" s="381"/>
      <c r="Q530" s="381"/>
      <c r="R530" s="381"/>
      <c r="T530" s="229"/>
      <c r="U530" s="229"/>
      <c r="V530" s="358"/>
      <c r="W530" s="229"/>
      <c r="X530" s="229"/>
      <c r="Y530" s="229"/>
      <c r="Z530" s="229"/>
      <c r="AA530" s="358"/>
      <c r="AB530" s="548"/>
      <c r="AC530" s="358"/>
      <c r="AD530" s="358"/>
      <c r="AE530" s="358"/>
      <c r="AF530" s="358"/>
      <c r="AG530" s="359"/>
      <c r="AH530" s="358"/>
      <c r="AI530" s="229"/>
      <c r="AJ530" s="229"/>
      <c r="AK530" s="359"/>
      <c r="AL530" s="358"/>
      <c r="AM530" s="358"/>
      <c r="AN530" s="358"/>
      <c r="AO530" s="357"/>
      <c r="AP530" s="357"/>
      <c r="AQ530" s="333"/>
    </row>
    <row r="531" spans="1:43" x14ac:dyDescent="0.25">
      <c r="A531" s="53"/>
      <c r="C531" s="54"/>
      <c r="F531" s="379"/>
      <c r="H531" s="379"/>
      <c r="I531" s="379"/>
      <c r="J531" s="59"/>
      <c r="K531" s="59"/>
      <c r="L531" s="379"/>
      <c r="M531" s="379"/>
      <c r="N531" s="50"/>
      <c r="O531" s="50"/>
      <c r="P531" s="379"/>
      <c r="Q531" s="379"/>
      <c r="R531" s="379"/>
      <c r="T531" s="301"/>
      <c r="U531" s="229"/>
      <c r="V531" s="347"/>
      <c r="W531" s="229"/>
      <c r="X531" s="229"/>
      <c r="Y531" s="229"/>
      <c r="Z531" s="229"/>
      <c r="AA531" s="347"/>
      <c r="AB531" s="360"/>
      <c r="AC531" s="347"/>
      <c r="AD531" s="347"/>
      <c r="AE531" s="357"/>
      <c r="AF531" s="357"/>
      <c r="AG531" s="356"/>
      <c r="AH531" s="347"/>
      <c r="AI531" s="348"/>
      <c r="AJ531" s="348"/>
      <c r="AK531" s="356"/>
      <c r="AL531" s="347"/>
      <c r="AM531" s="347"/>
      <c r="AN531" s="347"/>
      <c r="AO531" s="357"/>
      <c r="AP531" s="357"/>
      <c r="AQ531" s="333"/>
    </row>
    <row r="532" spans="1:43" x14ac:dyDescent="0.25">
      <c r="F532" s="381"/>
      <c r="H532" s="381"/>
      <c r="I532" s="381"/>
      <c r="J532" s="464"/>
      <c r="K532" s="464"/>
      <c r="L532" s="381"/>
      <c r="M532" s="381"/>
      <c r="N532" s="381"/>
      <c r="O532" s="381"/>
      <c r="P532" s="381"/>
      <c r="Q532" s="381"/>
      <c r="R532" s="381"/>
      <c r="T532" s="229"/>
      <c r="U532" s="229"/>
      <c r="V532" s="358"/>
      <c r="W532" s="229"/>
      <c r="X532" s="229"/>
      <c r="Y532" s="229"/>
      <c r="Z532" s="229"/>
      <c r="AA532" s="358"/>
      <c r="AB532" s="548"/>
      <c r="AC532" s="358"/>
      <c r="AD532" s="358"/>
      <c r="AE532" s="358"/>
      <c r="AF532" s="358"/>
      <c r="AG532" s="359"/>
      <c r="AH532" s="358"/>
      <c r="AI532" s="229"/>
      <c r="AJ532" s="229"/>
      <c r="AK532" s="359"/>
      <c r="AL532" s="358"/>
      <c r="AM532" s="358"/>
      <c r="AN532" s="358"/>
      <c r="AO532" s="357"/>
      <c r="AP532" s="357"/>
      <c r="AQ532" s="333"/>
    </row>
    <row r="533" spans="1:43" x14ac:dyDescent="0.25">
      <c r="A533" s="53"/>
      <c r="C533" s="54"/>
      <c r="F533" s="379"/>
      <c r="H533" s="379"/>
      <c r="I533" s="379"/>
      <c r="J533" s="59"/>
      <c r="K533" s="59"/>
      <c r="L533" s="379"/>
      <c r="M533" s="379"/>
      <c r="N533" s="50"/>
      <c r="O533" s="50"/>
      <c r="P533" s="379"/>
      <c r="Q533" s="379"/>
      <c r="R533" s="379"/>
      <c r="T533" s="301"/>
      <c r="U533" s="229"/>
      <c r="V533" s="347"/>
      <c r="W533" s="229"/>
      <c r="X533" s="229"/>
      <c r="Y533" s="229"/>
      <c r="Z533" s="229"/>
      <c r="AA533" s="347"/>
      <c r="AB533" s="360"/>
      <c r="AC533" s="347"/>
      <c r="AD533" s="347"/>
      <c r="AE533" s="357"/>
      <c r="AF533" s="357"/>
      <c r="AG533" s="356"/>
      <c r="AH533" s="347"/>
      <c r="AI533" s="348"/>
      <c r="AJ533" s="348"/>
      <c r="AK533" s="356"/>
      <c r="AL533" s="347"/>
      <c r="AM533" s="347"/>
      <c r="AN533" s="347"/>
      <c r="AO533" s="357"/>
      <c r="AP533" s="357"/>
      <c r="AQ533" s="333"/>
    </row>
    <row r="534" spans="1:43" x14ac:dyDescent="0.25">
      <c r="A534" s="53"/>
      <c r="C534" s="54"/>
      <c r="F534" s="379"/>
      <c r="H534" s="449"/>
      <c r="I534" s="449"/>
      <c r="J534" s="472"/>
      <c r="K534" s="472"/>
      <c r="L534" s="379"/>
      <c r="M534" s="379"/>
      <c r="N534" s="50"/>
      <c r="O534" s="50"/>
      <c r="P534" s="379"/>
      <c r="Q534" s="379"/>
      <c r="R534" s="379"/>
      <c r="T534" s="301"/>
      <c r="U534" s="229"/>
      <c r="V534" s="347"/>
      <c r="W534" s="229"/>
      <c r="X534" s="229"/>
      <c r="Y534" s="229"/>
      <c r="Z534" s="229"/>
      <c r="AA534" s="347"/>
      <c r="AB534" s="546"/>
      <c r="AC534" s="347"/>
      <c r="AD534" s="347"/>
      <c r="AE534" s="357"/>
      <c r="AF534" s="357"/>
      <c r="AG534" s="356"/>
      <c r="AH534" s="347"/>
      <c r="AI534" s="348"/>
      <c r="AJ534" s="348"/>
      <c r="AK534" s="356"/>
      <c r="AL534" s="347"/>
      <c r="AM534" s="347"/>
      <c r="AN534" s="347"/>
      <c r="AO534" s="357"/>
      <c r="AP534" s="357"/>
      <c r="AQ534" s="333"/>
    </row>
    <row r="535" spans="1:43" x14ac:dyDescent="0.25">
      <c r="H535" s="381"/>
      <c r="I535" s="381"/>
      <c r="J535" s="464"/>
      <c r="K535" s="464"/>
      <c r="L535" s="381"/>
      <c r="M535" s="381"/>
      <c r="N535" s="381"/>
      <c r="O535" s="381"/>
      <c r="P535" s="381"/>
      <c r="Q535" s="381"/>
      <c r="R535" s="381"/>
      <c r="T535" s="229"/>
      <c r="U535" s="229"/>
      <c r="V535" s="358"/>
      <c r="W535" s="229"/>
      <c r="X535" s="229"/>
      <c r="Y535" s="229"/>
      <c r="Z535" s="229"/>
      <c r="AA535" s="358"/>
      <c r="AB535" s="548"/>
      <c r="AC535" s="358"/>
      <c r="AD535" s="358"/>
      <c r="AE535" s="358"/>
      <c r="AF535" s="358"/>
      <c r="AG535" s="359"/>
      <c r="AH535" s="358"/>
      <c r="AI535" s="229"/>
      <c r="AJ535" s="229"/>
      <c r="AK535" s="359"/>
      <c r="AL535" s="358"/>
      <c r="AM535" s="358"/>
      <c r="AN535" s="358"/>
      <c r="AO535" s="357"/>
      <c r="AP535" s="357"/>
      <c r="AQ535" s="333"/>
    </row>
    <row r="536" spans="1:43" x14ac:dyDescent="0.25">
      <c r="F536" s="381"/>
      <c r="T536" s="229"/>
      <c r="U536" s="229"/>
      <c r="V536" s="229"/>
      <c r="W536" s="229"/>
      <c r="X536" s="229"/>
      <c r="Y536" s="229"/>
      <c r="Z536" s="229"/>
      <c r="AA536" s="229"/>
      <c r="AB536" s="229"/>
      <c r="AC536" s="229"/>
      <c r="AD536" s="229"/>
      <c r="AE536" s="229"/>
      <c r="AF536" s="229"/>
      <c r="AG536" s="330"/>
      <c r="AH536" s="229"/>
      <c r="AI536" s="229"/>
      <c r="AJ536" s="229"/>
      <c r="AK536" s="330"/>
      <c r="AL536" s="229"/>
      <c r="AM536" s="229"/>
      <c r="AN536" s="229"/>
      <c r="AO536" s="229"/>
      <c r="AP536" s="229"/>
      <c r="AQ536" s="333"/>
    </row>
    <row r="537" spans="1:43" x14ac:dyDescent="0.25">
      <c r="A537" s="53"/>
      <c r="C537" s="54"/>
      <c r="F537" s="379"/>
      <c r="H537" s="379"/>
      <c r="I537" s="379"/>
      <c r="J537" s="464"/>
      <c r="K537" s="464"/>
      <c r="L537" s="379"/>
      <c r="M537" s="379"/>
      <c r="N537" s="50"/>
      <c r="O537" s="50"/>
      <c r="P537" s="379"/>
      <c r="Q537" s="379"/>
      <c r="R537" s="379"/>
      <c r="S537" s="379"/>
      <c r="T537" s="301"/>
      <c r="U537" s="229"/>
      <c r="V537" s="347"/>
      <c r="W537" s="229"/>
      <c r="X537" s="229"/>
      <c r="Y537" s="229"/>
      <c r="Z537" s="229"/>
      <c r="AA537" s="347"/>
      <c r="AB537" s="548"/>
      <c r="AC537" s="347"/>
      <c r="AD537" s="347"/>
      <c r="AE537" s="357"/>
      <c r="AF537" s="357"/>
      <c r="AG537" s="356"/>
      <c r="AH537" s="347"/>
      <c r="AI537" s="357"/>
      <c r="AJ537" s="357"/>
      <c r="AK537" s="356"/>
      <c r="AL537" s="347"/>
      <c r="AM537" s="347"/>
      <c r="AN537" s="347"/>
      <c r="AO537" s="357"/>
      <c r="AP537" s="357"/>
      <c r="AQ537" s="333"/>
    </row>
    <row r="538" spans="1:43" x14ac:dyDescent="0.25">
      <c r="F538" s="381"/>
      <c r="H538" s="381"/>
      <c r="I538" s="381"/>
      <c r="J538" s="464"/>
      <c r="K538" s="464"/>
      <c r="L538" s="381"/>
      <c r="M538" s="381"/>
      <c r="N538" s="381"/>
      <c r="O538" s="381"/>
      <c r="P538" s="381"/>
      <c r="Q538" s="381"/>
      <c r="R538" s="381"/>
      <c r="S538" s="379"/>
      <c r="T538" s="229"/>
      <c r="U538" s="229"/>
      <c r="V538" s="358"/>
      <c r="W538" s="229"/>
      <c r="X538" s="229"/>
      <c r="Y538" s="229"/>
      <c r="Z538" s="229"/>
      <c r="AA538" s="358"/>
      <c r="AB538" s="548"/>
      <c r="AC538" s="358"/>
      <c r="AD538" s="358"/>
      <c r="AE538" s="358"/>
      <c r="AF538" s="358"/>
      <c r="AG538" s="359"/>
      <c r="AH538" s="358"/>
      <c r="AI538" s="229"/>
      <c r="AJ538" s="229"/>
      <c r="AK538" s="359"/>
      <c r="AL538" s="358"/>
      <c r="AM538" s="358"/>
      <c r="AN538" s="358"/>
      <c r="AO538" s="357"/>
      <c r="AP538" s="357"/>
      <c r="AQ538" s="333"/>
    </row>
    <row r="539" spans="1:43" x14ac:dyDescent="0.25">
      <c r="A539" s="53"/>
      <c r="C539" s="54"/>
      <c r="H539" s="449"/>
      <c r="I539" s="449"/>
      <c r="J539" s="464"/>
      <c r="K539" s="464"/>
      <c r="L539" s="379"/>
      <c r="M539" s="379"/>
      <c r="N539" s="50"/>
      <c r="O539" s="50"/>
      <c r="P539" s="379"/>
      <c r="Q539" s="379"/>
      <c r="R539" s="379"/>
      <c r="S539" s="379"/>
      <c r="T539" s="301"/>
      <c r="U539" s="229"/>
      <c r="V539" s="447"/>
      <c r="W539" s="229"/>
      <c r="X539" s="229"/>
      <c r="Y539" s="229"/>
      <c r="Z539" s="229"/>
      <c r="AA539" s="447"/>
      <c r="AB539" s="548"/>
      <c r="AC539" s="347"/>
      <c r="AD539" s="347"/>
      <c r="AE539" s="357"/>
      <c r="AF539" s="357"/>
      <c r="AG539" s="356"/>
      <c r="AH539" s="347"/>
      <c r="AI539" s="229"/>
      <c r="AJ539" s="229"/>
      <c r="AK539" s="356"/>
      <c r="AL539" s="347"/>
      <c r="AM539" s="347"/>
      <c r="AN539" s="347"/>
      <c r="AO539" s="357"/>
      <c r="AP539" s="357"/>
      <c r="AQ539" s="333"/>
    </row>
    <row r="540" spans="1:43" x14ac:dyDescent="0.25">
      <c r="F540" s="449"/>
      <c r="T540" s="229"/>
      <c r="U540" s="229"/>
      <c r="V540" s="229"/>
      <c r="W540" s="229"/>
      <c r="X540" s="229"/>
      <c r="Y540" s="229"/>
      <c r="Z540" s="229"/>
      <c r="AA540" s="229"/>
      <c r="AB540" s="229"/>
      <c r="AC540" s="229"/>
      <c r="AD540" s="229"/>
      <c r="AE540" s="229"/>
      <c r="AF540" s="229"/>
      <c r="AG540" s="330"/>
      <c r="AH540" s="229"/>
      <c r="AI540" s="229"/>
      <c r="AJ540" s="229"/>
      <c r="AK540" s="330"/>
      <c r="AL540" s="229"/>
      <c r="AM540" s="229"/>
      <c r="AN540" s="229"/>
      <c r="AO540" s="229"/>
      <c r="AP540" s="229"/>
      <c r="AQ540" s="333"/>
    </row>
    <row r="541" spans="1:43" x14ac:dyDescent="0.25">
      <c r="A541" s="53"/>
      <c r="C541" s="54"/>
      <c r="F541" s="449"/>
      <c r="H541" s="449"/>
      <c r="I541" s="449"/>
      <c r="J541" s="461"/>
      <c r="K541" s="461"/>
      <c r="L541" s="379"/>
      <c r="M541" s="379"/>
      <c r="N541" s="50"/>
      <c r="O541" s="50"/>
      <c r="P541" s="53"/>
      <c r="Q541" s="53"/>
      <c r="R541" s="379"/>
      <c r="T541" s="301"/>
      <c r="U541" s="229"/>
      <c r="V541" s="347"/>
      <c r="W541" s="229"/>
      <c r="X541" s="229"/>
      <c r="Y541" s="229"/>
      <c r="Z541" s="229"/>
      <c r="AA541" s="447"/>
      <c r="AB541" s="542"/>
      <c r="AC541" s="347"/>
      <c r="AD541" s="347"/>
      <c r="AE541" s="357"/>
      <c r="AF541" s="357"/>
      <c r="AG541" s="356"/>
      <c r="AH541" s="347"/>
      <c r="AI541" s="348"/>
      <c r="AJ541" s="348"/>
      <c r="AK541" s="356"/>
      <c r="AL541" s="349"/>
      <c r="AM541" s="347"/>
      <c r="AN541" s="347"/>
      <c r="AO541" s="357"/>
      <c r="AP541" s="357"/>
      <c r="AQ541" s="333"/>
    </row>
    <row r="542" spans="1:43" x14ac:dyDescent="0.25">
      <c r="F542" s="381"/>
      <c r="H542" s="379"/>
      <c r="I542" s="379"/>
      <c r="J542" s="464"/>
      <c r="K542" s="464"/>
      <c r="L542" s="381"/>
      <c r="M542" s="381"/>
      <c r="N542" s="381"/>
      <c r="O542" s="381"/>
      <c r="P542" s="381"/>
      <c r="Q542" s="381"/>
      <c r="R542" s="381"/>
      <c r="T542" s="229"/>
      <c r="U542" s="229"/>
      <c r="V542" s="358"/>
      <c r="W542" s="229"/>
      <c r="X542" s="229"/>
      <c r="Y542" s="229"/>
      <c r="Z542" s="229"/>
      <c r="AA542" s="347"/>
      <c r="AB542" s="548"/>
      <c r="AC542" s="358"/>
      <c r="AD542" s="358"/>
      <c r="AE542" s="358"/>
      <c r="AF542" s="358"/>
      <c r="AG542" s="359"/>
      <c r="AH542" s="358"/>
      <c r="AI542" s="229"/>
      <c r="AJ542" s="229"/>
      <c r="AK542" s="359"/>
      <c r="AL542" s="358"/>
      <c r="AM542" s="358"/>
      <c r="AN542" s="358"/>
      <c r="AO542" s="357"/>
      <c r="AP542" s="357"/>
      <c r="AQ542" s="333"/>
    </row>
    <row r="543" spans="1:43" x14ac:dyDescent="0.25">
      <c r="A543" s="53"/>
      <c r="C543" s="54"/>
      <c r="F543" s="449"/>
      <c r="H543" s="449"/>
      <c r="I543" s="449"/>
      <c r="J543" s="477"/>
      <c r="K543" s="477"/>
      <c r="L543" s="379"/>
      <c r="M543" s="379"/>
      <c r="N543" s="50"/>
      <c r="O543" s="50"/>
      <c r="P543" s="379"/>
      <c r="Q543" s="379"/>
      <c r="R543" s="379"/>
      <c r="S543" s="379"/>
      <c r="T543" s="301"/>
      <c r="U543" s="229"/>
      <c r="V543" s="447"/>
      <c r="W543" s="229"/>
      <c r="X543" s="229"/>
      <c r="Y543" s="229"/>
      <c r="Z543" s="229"/>
      <c r="AA543" s="447"/>
      <c r="AB543" s="549"/>
      <c r="AC543" s="347"/>
      <c r="AD543" s="347"/>
      <c r="AE543" s="357"/>
      <c r="AF543" s="357"/>
      <c r="AG543" s="356"/>
      <c r="AH543" s="347"/>
      <c r="AI543" s="357"/>
      <c r="AJ543" s="357"/>
      <c r="AK543" s="356"/>
      <c r="AL543" s="347"/>
      <c r="AM543" s="347"/>
      <c r="AN543" s="347"/>
      <c r="AO543" s="357"/>
      <c r="AP543" s="357"/>
      <c r="AQ543" s="333"/>
    </row>
    <row r="544" spans="1:43" x14ac:dyDescent="0.25">
      <c r="A544" s="53"/>
      <c r="C544" s="54"/>
      <c r="F544" s="449"/>
      <c r="H544" s="449"/>
      <c r="I544" s="449"/>
      <c r="J544" s="461"/>
      <c r="K544" s="461"/>
      <c r="L544" s="379"/>
      <c r="M544" s="379"/>
      <c r="N544" s="50"/>
      <c r="O544" s="50"/>
      <c r="P544" s="379"/>
      <c r="Q544" s="379"/>
      <c r="R544" s="379"/>
      <c r="T544" s="301"/>
      <c r="U544" s="229"/>
      <c r="V544" s="447"/>
      <c r="W544" s="229"/>
      <c r="X544" s="229"/>
      <c r="Y544" s="229"/>
      <c r="Z544" s="229"/>
      <c r="AA544" s="347"/>
      <c r="AB544" s="542"/>
      <c r="AC544" s="347"/>
      <c r="AD544" s="347"/>
      <c r="AE544" s="357"/>
      <c r="AF544" s="357"/>
      <c r="AG544" s="356"/>
      <c r="AH544" s="347"/>
      <c r="AI544" s="348"/>
      <c r="AJ544" s="348"/>
      <c r="AK544" s="356"/>
      <c r="AL544" s="347"/>
      <c r="AM544" s="347"/>
      <c r="AN544" s="347"/>
      <c r="AO544" s="357"/>
      <c r="AP544" s="357"/>
      <c r="AQ544" s="333"/>
    </row>
    <row r="545" spans="1:43" x14ac:dyDescent="0.25">
      <c r="A545" s="53"/>
      <c r="C545" s="54"/>
      <c r="F545" s="449"/>
      <c r="H545" s="449"/>
      <c r="I545" s="449"/>
      <c r="J545" s="461"/>
      <c r="K545" s="461"/>
      <c r="L545" s="379"/>
      <c r="M545" s="379"/>
      <c r="N545" s="50"/>
      <c r="O545" s="50"/>
      <c r="P545" s="379"/>
      <c r="Q545" s="379"/>
      <c r="R545" s="379"/>
      <c r="T545" s="301"/>
      <c r="U545" s="229"/>
      <c r="V545" s="447"/>
      <c r="W545" s="229"/>
      <c r="X545" s="229"/>
      <c r="Y545" s="229"/>
      <c r="Z545" s="229"/>
      <c r="AA545" s="347"/>
      <c r="AB545" s="542"/>
      <c r="AC545" s="347"/>
      <c r="AD545" s="347"/>
      <c r="AE545" s="357"/>
      <c r="AF545" s="357"/>
      <c r="AG545" s="356"/>
      <c r="AH545" s="347"/>
      <c r="AI545" s="348"/>
      <c r="AJ545" s="348"/>
      <c r="AK545" s="356"/>
      <c r="AL545" s="347"/>
      <c r="AM545" s="347"/>
      <c r="AN545" s="347"/>
      <c r="AO545" s="357"/>
      <c r="AP545" s="357"/>
      <c r="AQ545" s="333"/>
    </row>
    <row r="546" spans="1:43" x14ac:dyDescent="0.25">
      <c r="F546" s="381"/>
      <c r="H546" s="381"/>
      <c r="I546" s="381"/>
      <c r="J546" s="464"/>
      <c r="K546" s="464"/>
      <c r="L546" s="381"/>
      <c r="M546" s="381"/>
      <c r="N546" s="381"/>
      <c r="O546" s="381"/>
      <c r="P546" s="381"/>
      <c r="Q546" s="381"/>
      <c r="R546" s="381"/>
      <c r="T546" s="229"/>
      <c r="U546" s="229"/>
      <c r="V546" s="358"/>
      <c r="W546" s="229"/>
      <c r="X546" s="229"/>
      <c r="Y546" s="229"/>
      <c r="Z546" s="229"/>
      <c r="AA546" s="358"/>
      <c r="AB546" s="548"/>
      <c r="AC546" s="358"/>
      <c r="AD546" s="358"/>
      <c r="AE546" s="358"/>
      <c r="AF546" s="358"/>
      <c r="AG546" s="359"/>
      <c r="AH546" s="358"/>
      <c r="AI546" s="229"/>
      <c r="AJ546" s="229"/>
      <c r="AK546" s="359"/>
      <c r="AL546" s="358"/>
      <c r="AM546" s="358"/>
      <c r="AN546" s="358"/>
      <c r="AO546" s="357"/>
      <c r="AP546" s="357"/>
      <c r="AQ546" s="333"/>
    </row>
    <row r="547" spans="1:43" x14ac:dyDescent="0.25">
      <c r="A547" s="53"/>
      <c r="C547" s="54"/>
      <c r="F547" s="379"/>
      <c r="H547" s="379"/>
      <c r="I547" s="379"/>
      <c r="J547" s="59"/>
      <c r="K547" s="59"/>
      <c r="L547" s="379"/>
      <c r="M547" s="379"/>
      <c r="N547" s="50"/>
      <c r="O547" s="50"/>
      <c r="P547" s="379"/>
      <c r="Q547" s="379"/>
      <c r="R547" s="379"/>
      <c r="T547" s="301"/>
      <c r="U547" s="229"/>
      <c r="V547" s="347"/>
      <c r="W547" s="229"/>
      <c r="X547" s="229"/>
      <c r="Y547" s="229"/>
      <c r="Z547" s="229"/>
      <c r="AA547" s="347"/>
      <c r="AB547" s="360"/>
      <c r="AC547" s="347"/>
      <c r="AD547" s="347"/>
      <c r="AE547" s="357"/>
      <c r="AF547" s="357"/>
      <c r="AG547" s="356"/>
      <c r="AH547" s="347"/>
      <c r="AI547" s="348"/>
      <c r="AJ547" s="348"/>
      <c r="AK547" s="356"/>
      <c r="AL547" s="347"/>
      <c r="AM547" s="347"/>
      <c r="AN547" s="347"/>
      <c r="AO547" s="357"/>
      <c r="AP547" s="357"/>
      <c r="AQ547" s="333"/>
    </row>
    <row r="548" spans="1:43" x14ac:dyDescent="0.25">
      <c r="F548" s="381"/>
      <c r="H548" s="381"/>
      <c r="I548" s="381"/>
      <c r="J548" s="464"/>
      <c r="K548" s="464"/>
      <c r="L548" s="381"/>
      <c r="M548" s="381"/>
      <c r="N548" s="381"/>
      <c r="O548" s="381"/>
      <c r="P548" s="381"/>
      <c r="Q548" s="381"/>
      <c r="R548" s="381"/>
      <c r="T548" s="229"/>
      <c r="U548" s="229"/>
      <c r="V548" s="358"/>
      <c r="W548" s="229"/>
      <c r="X548" s="229"/>
      <c r="Y548" s="229"/>
      <c r="Z548" s="229"/>
      <c r="AA548" s="358"/>
      <c r="AB548" s="548"/>
      <c r="AC548" s="358"/>
      <c r="AD548" s="358"/>
      <c r="AE548" s="358"/>
      <c r="AF548" s="358"/>
      <c r="AG548" s="359"/>
      <c r="AH548" s="358"/>
      <c r="AI548" s="229"/>
      <c r="AJ548" s="229"/>
      <c r="AK548" s="359"/>
      <c r="AL548" s="358"/>
      <c r="AM548" s="358"/>
      <c r="AN548" s="358"/>
      <c r="AO548" s="357"/>
      <c r="AP548" s="357"/>
      <c r="AQ548" s="333"/>
    </row>
    <row r="549" spans="1:43" x14ac:dyDescent="0.25">
      <c r="A549" s="53"/>
      <c r="C549" s="54"/>
      <c r="F549" s="379"/>
      <c r="H549" s="379"/>
      <c r="I549" s="379"/>
      <c r="J549" s="59"/>
      <c r="K549" s="59"/>
      <c r="L549" s="379"/>
      <c r="M549" s="379"/>
      <c r="N549" s="50"/>
      <c r="O549" s="50"/>
      <c r="P549" s="379"/>
      <c r="Q549" s="379"/>
      <c r="R549" s="379"/>
      <c r="T549" s="301"/>
      <c r="U549" s="229"/>
      <c r="V549" s="347"/>
      <c r="W549" s="229"/>
      <c r="X549" s="229"/>
      <c r="Y549" s="229"/>
      <c r="Z549" s="229"/>
      <c r="AA549" s="347"/>
      <c r="AB549" s="360"/>
      <c r="AC549" s="347"/>
      <c r="AD549" s="347"/>
      <c r="AE549" s="357"/>
      <c r="AF549" s="357"/>
      <c r="AG549" s="356"/>
      <c r="AH549" s="347"/>
      <c r="AI549" s="348"/>
      <c r="AJ549" s="348"/>
      <c r="AK549" s="356"/>
      <c r="AL549" s="347"/>
      <c r="AM549" s="347"/>
      <c r="AN549" s="347"/>
      <c r="AO549" s="357"/>
      <c r="AP549" s="357"/>
      <c r="AQ549" s="333"/>
    </row>
    <row r="550" spans="1:43" x14ac:dyDescent="0.25">
      <c r="A550" s="53"/>
      <c r="C550" s="54"/>
      <c r="F550" s="379"/>
      <c r="H550" s="449"/>
      <c r="I550" s="449"/>
      <c r="J550" s="472"/>
      <c r="K550" s="472"/>
      <c r="L550" s="379"/>
      <c r="M550" s="379"/>
      <c r="N550" s="50"/>
      <c r="O550" s="50"/>
      <c r="P550" s="379"/>
      <c r="Q550" s="379"/>
      <c r="R550" s="379"/>
      <c r="T550" s="301"/>
      <c r="U550" s="229"/>
      <c r="V550" s="347"/>
      <c r="W550" s="229"/>
      <c r="X550" s="229"/>
      <c r="Y550" s="229"/>
      <c r="Z550" s="229"/>
      <c r="AA550" s="347"/>
      <c r="AB550" s="546"/>
      <c r="AC550" s="347"/>
      <c r="AD550" s="347"/>
      <c r="AE550" s="357"/>
      <c r="AF550" s="357"/>
      <c r="AG550" s="356"/>
      <c r="AH550" s="347"/>
      <c r="AI550" s="348"/>
      <c r="AJ550" s="348"/>
      <c r="AK550" s="356"/>
      <c r="AL550" s="347"/>
      <c r="AM550" s="347"/>
      <c r="AN550" s="347"/>
      <c r="AO550" s="357"/>
      <c r="AP550" s="357"/>
      <c r="AQ550" s="333"/>
    </row>
    <row r="551" spans="1:43" x14ac:dyDescent="0.25">
      <c r="H551" s="381"/>
      <c r="I551" s="381"/>
      <c r="J551" s="464"/>
      <c r="K551" s="464"/>
      <c r="L551" s="381"/>
      <c r="M551" s="381"/>
      <c r="N551" s="381"/>
      <c r="O551" s="381"/>
      <c r="P551" s="381"/>
      <c r="Q551" s="381"/>
      <c r="R551" s="381"/>
      <c r="T551" s="229"/>
      <c r="U551" s="229"/>
      <c r="V551" s="358"/>
      <c r="W551" s="229"/>
      <c r="X551" s="229"/>
      <c r="Y551" s="229"/>
      <c r="Z551" s="229"/>
      <c r="AA551" s="358"/>
      <c r="AB551" s="548"/>
      <c r="AC551" s="358"/>
      <c r="AD551" s="358"/>
      <c r="AE551" s="358"/>
      <c r="AF551" s="358"/>
      <c r="AG551" s="359"/>
      <c r="AH551" s="358"/>
      <c r="AI551" s="229"/>
      <c r="AJ551" s="229"/>
      <c r="AK551" s="359"/>
      <c r="AL551" s="358"/>
      <c r="AM551" s="358"/>
      <c r="AN551" s="358"/>
      <c r="AO551" s="357"/>
      <c r="AP551" s="357"/>
      <c r="AQ551" s="333"/>
    </row>
    <row r="552" spans="1:43" x14ac:dyDescent="0.25">
      <c r="F552" s="381"/>
      <c r="T552" s="229"/>
      <c r="U552" s="229"/>
      <c r="V552" s="229"/>
      <c r="W552" s="229"/>
      <c r="X552" s="229"/>
      <c r="Y552" s="229"/>
      <c r="Z552" s="229"/>
      <c r="AA552" s="229"/>
      <c r="AB552" s="229"/>
      <c r="AC552" s="229"/>
      <c r="AD552" s="229"/>
      <c r="AE552" s="229"/>
      <c r="AF552" s="229"/>
      <c r="AG552" s="330"/>
      <c r="AH552" s="229"/>
      <c r="AI552" s="229"/>
      <c r="AJ552" s="229"/>
      <c r="AK552" s="330"/>
      <c r="AL552" s="229"/>
      <c r="AM552" s="229"/>
      <c r="AN552" s="229"/>
      <c r="AO552" s="229"/>
      <c r="AP552" s="229"/>
      <c r="AQ552" s="333"/>
    </row>
    <row r="553" spans="1:43" x14ac:dyDescent="0.25">
      <c r="A553" s="53"/>
      <c r="C553" s="54"/>
      <c r="F553" s="379"/>
      <c r="H553" s="379"/>
      <c r="I553" s="379"/>
      <c r="J553" s="464"/>
      <c r="K553" s="464"/>
      <c r="L553" s="379"/>
      <c r="M553" s="379"/>
      <c r="N553" s="50"/>
      <c r="O553" s="50"/>
      <c r="P553" s="379"/>
      <c r="Q553" s="379"/>
      <c r="R553" s="379"/>
      <c r="S553" s="379"/>
      <c r="T553" s="301"/>
      <c r="U553" s="229"/>
      <c r="V553" s="347"/>
      <c r="W553" s="229"/>
      <c r="X553" s="229"/>
      <c r="Y553" s="229"/>
      <c r="Z553" s="229"/>
      <c r="AA553" s="347"/>
      <c r="AB553" s="548"/>
      <c r="AC553" s="347"/>
      <c r="AD553" s="347"/>
      <c r="AE553" s="357"/>
      <c r="AF553" s="357"/>
      <c r="AG553" s="356"/>
      <c r="AH553" s="347"/>
      <c r="AI553" s="357"/>
      <c r="AJ553" s="357"/>
      <c r="AK553" s="356"/>
      <c r="AL553" s="347"/>
      <c r="AM553" s="347"/>
      <c r="AN553" s="347"/>
      <c r="AO553" s="357"/>
      <c r="AP553" s="357"/>
      <c r="AQ553" s="333"/>
    </row>
    <row r="554" spans="1:43" x14ac:dyDescent="0.25">
      <c r="F554" s="381"/>
      <c r="H554" s="381"/>
      <c r="I554" s="381"/>
      <c r="J554" s="464"/>
      <c r="K554" s="464"/>
      <c r="L554" s="381"/>
      <c r="M554" s="381"/>
      <c r="N554" s="381"/>
      <c r="O554" s="381"/>
      <c r="P554" s="381"/>
      <c r="Q554" s="381"/>
      <c r="R554" s="381"/>
      <c r="S554" s="379"/>
      <c r="T554" s="229"/>
      <c r="U554" s="229"/>
      <c r="V554" s="358"/>
      <c r="W554" s="229"/>
      <c r="X554" s="229"/>
      <c r="Y554" s="229"/>
      <c r="Z554" s="229"/>
      <c r="AA554" s="358"/>
      <c r="AB554" s="548"/>
      <c r="AC554" s="358"/>
      <c r="AD554" s="358"/>
      <c r="AE554" s="358"/>
      <c r="AF554" s="358"/>
      <c r="AG554" s="359"/>
      <c r="AH554" s="358"/>
      <c r="AI554" s="229"/>
      <c r="AJ554" s="229"/>
      <c r="AK554" s="359"/>
      <c r="AL554" s="358"/>
      <c r="AM554" s="358"/>
      <c r="AN554" s="358"/>
      <c r="AO554" s="357"/>
      <c r="AP554" s="357"/>
      <c r="AQ554" s="333"/>
    </row>
    <row r="555" spans="1:43" x14ac:dyDescent="0.25">
      <c r="A555" s="53"/>
      <c r="C555" s="54"/>
      <c r="T555" s="301"/>
      <c r="U555" s="229"/>
      <c r="V555" s="229"/>
      <c r="W555" s="229"/>
      <c r="X555" s="229"/>
      <c r="Y555" s="229"/>
      <c r="Z555" s="229"/>
      <c r="AA555" s="229"/>
      <c r="AB555" s="229"/>
      <c r="AC555" s="229"/>
      <c r="AD555" s="229"/>
      <c r="AE555" s="229"/>
      <c r="AF555" s="229"/>
      <c r="AG555" s="330"/>
      <c r="AH555" s="229"/>
      <c r="AI555" s="229"/>
      <c r="AJ555" s="229"/>
      <c r="AK555" s="330"/>
      <c r="AL555" s="229"/>
      <c r="AM555" s="229"/>
      <c r="AN555" s="229"/>
      <c r="AO555" s="229"/>
      <c r="AP555" s="229"/>
      <c r="AQ555" s="333"/>
    </row>
    <row r="556" spans="1:43" x14ac:dyDescent="0.25">
      <c r="A556" s="53"/>
      <c r="C556" s="54"/>
      <c r="F556" s="379"/>
      <c r="H556" s="379"/>
      <c r="I556" s="379"/>
      <c r="L556" s="379"/>
      <c r="M556" s="379"/>
      <c r="N556" s="50"/>
      <c r="O556" s="50"/>
      <c r="P556" s="449"/>
      <c r="Q556" s="449"/>
      <c r="R556" s="379"/>
      <c r="T556" s="301"/>
      <c r="U556" s="229"/>
      <c r="V556" s="347"/>
      <c r="W556" s="229"/>
      <c r="X556" s="229"/>
      <c r="Y556" s="229"/>
      <c r="Z556" s="229"/>
      <c r="AA556" s="347"/>
      <c r="AB556" s="229"/>
      <c r="AC556" s="347"/>
      <c r="AD556" s="347"/>
      <c r="AE556" s="357"/>
      <c r="AF556" s="357"/>
      <c r="AG556" s="356"/>
      <c r="AH556" s="347"/>
      <c r="AI556" s="357"/>
      <c r="AJ556" s="357"/>
      <c r="AK556" s="547"/>
      <c r="AL556" s="447"/>
      <c r="AM556" s="347"/>
      <c r="AN556" s="347"/>
      <c r="AO556" s="357"/>
      <c r="AP556" s="357"/>
      <c r="AQ556" s="333"/>
    </row>
    <row r="557" spans="1:43" x14ac:dyDescent="0.25">
      <c r="H557" s="381"/>
      <c r="I557" s="381"/>
      <c r="J557" s="464"/>
      <c r="K557" s="464"/>
      <c r="L557" s="381"/>
      <c r="M557" s="381"/>
      <c r="N557" s="381"/>
      <c r="O557" s="381"/>
      <c r="P557" s="381"/>
      <c r="Q557" s="381"/>
      <c r="R557" s="381"/>
      <c r="T557" s="229"/>
      <c r="U557" s="229"/>
      <c r="V557" s="358"/>
      <c r="W557" s="229"/>
      <c r="X557" s="229"/>
      <c r="Y557" s="229"/>
      <c r="Z557" s="229"/>
      <c r="AA557" s="358"/>
      <c r="AB557" s="548"/>
      <c r="AC557" s="358"/>
      <c r="AD557" s="358"/>
      <c r="AE557" s="358"/>
      <c r="AF557" s="358"/>
      <c r="AG557" s="359"/>
      <c r="AH557" s="358"/>
      <c r="AI557" s="229"/>
      <c r="AJ557" s="229"/>
      <c r="AK557" s="359"/>
      <c r="AL557" s="358"/>
      <c r="AM557" s="358"/>
      <c r="AN557" s="358"/>
      <c r="AO557" s="229"/>
      <c r="AP557" s="229"/>
      <c r="AQ557" s="333"/>
    </row>
    <row r="558" spans="1:43" x14ac:dyDescent="0.25">
      <c r="F558" s="381"/>
      <c r="T558" s="229"/>
      <c r="U558" s="229"/>
      <c r="V558" s="229"/>
      <c r="W558" s="229"/>
      <c r="X558" s="229"/>
      <c r="Y558" s="229"/>
      <c r="Z558" s="229"/>
      <c r="AA558" s="229"/>
      <c r="AB558" s="229"/>
      <c r="AC558" s="229"/>
      <c r="AD558" s="229"/>
      <c r="AE558" s="229"/>
      <c r="AF558" s="229"/>
      <c r="AG558" s="330"/>
      <c r="AH558" s="229"/>
      <c r="AI558" s="229"/>
      <c r="AJ558" s="229"/>
      <c r="AK558" s="330"/>
      <c r="AL558" s="229"/>
      <c r="AM558" s="229"/>
      <c r="AN558" s="229"/>
      <c r="AO558" s="229"/>
      <c r="AP558" s="229"/>
      <c r="AQ558" s="333"/>
    </row>
    <row r="559" spans="1:43" x14ac:dyDescent="0.25">
      <c r="C559" s="54"/>
      <c r="L559" s="379"/>
      <c r="M559" s="379"/>
      <c r="N559" s="379"/>
      <c r="O559" s="379"/>
      <c r="P559" s="379"/>
      <c r="Q559" s="379"/>
      <c r="R559" s="379"/>
      <c r="S559" s="379"/>
      <c r="T559" s="301"/>
      <c r="U559" s="229"/>
      <c r="V559" s="229"/>
      <c r="W559" s="229"/>
      <c r="X559" s="229"/>
      <c r="Y559" s="229"/>
      <c r="Z559" s="229"/>
      <c r="AA559" s="229"/>
      <c r="AB559" s="229"/>
      <c r="AC559" s="347"/>
      <c r="AD559" s="347"/>
      <c r="AE559" s="347"/>
      <c r="AF559" s="347"/>
      <c r="AG559" s="330"/>
      <c r="AH559" s="229"/>
      <c r="AI559" s="229"/>
      <c r="AJ559" s="229"/>
      <c r="AK559" s="356"/>
      <c r="AL559" s="347"/>
      <c r="AM559" s="347"/>
      <c r="AN559" s="347"/>
      <c r="AO559" s="229"/>
      <c r="AP559" s="229"/>
      <c r="AQ559" s="333"/>
    </row>
    <row r="560" spans="1:43" x14ac:dyDescent="0.25">
      <c r="A560" s="54"/>
      <c r="T560" s="229"/>
      <c r="U560" s="229"/>
      <c r="V560" s="229"/>
      <c r="W560" s="229"/>
      <c r="X560" s="229"/>
      <c r="Y560" s="229"/>
      <c r="Z560" s="229"/>
      <c r="AA560" s="229"/>
      <c r="AB560" s="229"/>
      <c r="AC560" s="229"/>
      <c r="AD560" s="229"/>
      <c r="AE560" s="229"/>
      <c r="AF560" s="229"/>
      <c r="AG560" s="330"/>
      <c r="AH560" s="229"/>
      <c r="AI560" s="229"/>
      <c r="AJ560" s="229"/>
      <c r="AK560" s="330"/>
      <c r="AL560" s="229"/>
      <c r="AM560" s="229"/>
      <c r="AN560" s="229"/>
      <c r="AO560" s="229"/>
      <c r="AP560" s="229"/>
      <c r="AQ560" s="333"/>
    </row>
    <row r="561" spans="1:42" x14ac:dyDescent="0.25">
      <c r="J561" s="53"/>
      <c r="K561" s="53"/>
      <c r="AB561" s="53"/>
    </row>
    <row r="562" spans="1:42" x14ac:dyDescent="0.25">
      <c r="H562" s="54"/>
      <c r="I562" s="54"/>
      <c r="AA562" s="54"/>
    </row>
    <row r="563" spans="1:42" x14ac:dyDescent="0.25">
      <c r="J563" s="53"/>
      <c r="K563" s="53"/>
      <c r="AB563" s="53"/>
    </row>
    <row r="564" spans="1:42" x14ac:dyDescent="0.25">
      <c r="L564" s="54"/>
      <c r="M564" s="54"/>
      <c r="AC564" s="54"/>
      <c r="AD564" s="54"/>
    </row>
    <row r="565" spans="1:42" x14ac:dyDescent="0.25">
      <c r="A565" s="53"/>
      <c r="R565" s="54"/>
      <c r="AM565" s="54"/>
      <c r="AN565" s="54"/>
    </row>
    <row r="566" spans="1:42" x14ac:dyDescent="0.25">
      <c r="A566" s="53"/>
      <c r="R566" s="54"/>
      <c r="AM566" s="54"/>
      <c r="AN566" s="54"/>
    </row>
    <row r="567" spans="1:42" x14ac:dyDescent="0.25">
      <c r="A567" s="54"/>
      <c r="R567" s="54"/>
      <c r="AM567" s="54"/>
      <c r="AN567" s="54"/>
    </row>
    <row r="568" spans="1:42" x14ac:dyDescent="0.25">
      <c r="L568" s="54"/>
      <c r="M568" s="54"/>
      <c r="R568" s="53"/>
      <c r="AC568" s="54"/>
      <c r="AD568" s="54"/>
      <c r="AM568" s="53"/>
      <c r="AN568" s="53"/>
    </row>
    <row r="569" spans="1:42" x14ac:dyDescent="0.25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154"/>
      <c r="AH569" s="55"/>
      <c r="AI569" s="55"/>
      <c r="AJ569" s="55"/>
      <c r="AK569" s="154"/>
      <c r="AL569" s="55"/>
      <c r="AM569" s="55"/>
      <c r="AN569" s="55"/>
      <c r="AO569" s="55"/>
      <c r="AP569" s="55"/>
    </row>
    <row r="570" spans="1:42" x14ac:dyDescent="0.25">
      <c r="L570" s="56"/>
      <c r="M570" s="56"/>
      <c r="N570" s="56"/>
      <c r="O570" s="56"/>
      <c r="R570" s="56"/>
      <c r="AC570" s="56"/>
      <c r="AD570" s="56"/>
      <c r="AE570" s="56"/>
      <c r="AF570" s="56"/>
      <c r="AG570" s="155"/>
      <c r="AH570" s="56"/>
      <c r="AI570" s="56"/>
      <c r="AJ570" s="56"/>
      <c r="AM570" s="56"/>
      <c r="AN570" s="56"/>
      <c r="AO570" s="56"/>
      <c r="AP570" s="56"/>
    </row>
    <row r="571" spans="1:42" x14ac:dyDescent="0.25">
      <c r="L571" s="56"/>
      <c r="M571" s="56"/>
      <c r="N571" s="56"/>
      <c r="O571" s="56"/>
      <c r="R571" s="56"/>
      <c r="AB571" s="56"/>
      <c r="AC571" s="56"/>
      <c r="AD571" s="56"/>
      <c r="AE571" s="56"/>
      <c r="AF571" s="56"/>
      <c r="AG571" s="155"/>
      <c r="AH571" s="56"/>
      <c r="AI571" s="56"/>
      <c r="AJ571" s="56"/>
      <c r="AM571" s="56"/>
      <c r="AN571" s="56"/>
      <c r="AO571" s="56"/>
      <c r="AP571" s="56"/>
    </row>
    <row r="572" spans="1:42" x14ac:dyDescent="0.25">
      <c r="A572" s="56"/>
      <c r="C572" s="56"/>
      <c r="D572" s="56"/>
      <c r="E572" s="56"/>
      <c r="F572" s="56"/>
      <c r="J572" s="56"/>
      <c r="K572" s="56"/>
      <c r="L572" s="56"/>
      <c r="M572" s="56"/>
      <c r="N572" s="56"/>
      <c r="O572" s="56"/>
      <c r="P572" s="56"/>
      <c r="Q572" s="56"/>
      <c r="R572" s="56"/>
      <c r="T572" s="56"/>
      <c r="U572" s="56"/>
      <c r="V572" s="56"/>
      <c r="AB572" s="56"/>
      <c r="AC572" s="56"/>
      <c r="AD572" s="56"/>
      <c r="AE572" s="56"/>
      <c r="AF572" s="56"/>
      <c r="AG572" s="155"/>
      <c r="AH572" s="56"/>
      <c r="AI572" s="56"/>
      <c r="AJ572" s="56"/>
      <c r="AK572" s="155"/>
      <c r="AL572" s="56"/>
      <c r="AM572" s="56"/>
      <c r="AN572" s="56"/>
      <c r="AO572" s="56"/>
      <c r="AP572" s="56"/>
    </row>
    <row r="573" spans="1:42" x14ac:dyDescent="0.25">
      <c r="A573" s="56"/>
      <c r="C573" s="56"/>
      <c r="D573" s="56"/>
      <c r="E573" s="56"/>
      <c r="F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T573" s="56"/>
      <c r="U573" s="56"/>
      <c r="V573" s="56"/>
      <c r="AA573" s="56"/>
      <c r="AB573" s="56"/>
      <c r="AC573" s="56"/>
      <c r="AD573" s="56"/>
      <c r="AE573" s="56"/>
      <c r="AF573" s="56"/>
      <c r="AG573" s="155"/>
      <c r="AH573" s="56"/>
      <c r="AI573" s="56"/>
      <c r="AJ573" s="56"/>
      <c r="AK573" s="155"/>
      <c r="AL573" s="56"/>
      <c r="AM573" s="56"/>
      <c r="AN573" s="56"/>
      <c r="AO573" s="56"/>
      <c r="AP573" s="56"/>
    </row>
    <row r="574" spans="1:42" x14ac:dyDescent="0.25">
      <c r="C574" s="56"/>
      <c r="D574" s="56"/>
      <c r="E574" s="56"/>
      <c r="F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T574" s="56"/>
      <c r="U574" s="56"/>
      <c r="V574" s="56"/>
      <c r="AA574" s="56"/>
      <c r="AB574" s="56"/>
      <c r="AC574" s="56"/>
      <c r="AD574" s="56"/>
      <c r="AE574" s="56"/>
      <c r="AF574" s="56"/>
      <c r="AG574" s="155"/>
      <c r="AH574" s="56"/>
      <c r="AI574" s="56"/>
      <c r="AJ574" s="56"/>
      <c r="AK574" s="155"/>
      <c r="AL574" s="56"/>
      <c r="AM574" s="56"/>
      <c r="AN574" s="56"/>
      <c r="AO574" s="56"/>
      <c r="AP574" s="56"/>
    </row>
    <row r="575" spans="1:42" x14ac:dyDescent="0.25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154"/>
      <c r="AH575" s="55"/>
      <c r="AI575" s="55"/>
      <c r="AJ575" s="55"/>
      <c r="AK575" s="154"/>
      <c r="AL575" s="55"/>
      <c r="AM575" s="55"/>
      <c r="AN575" s="55"/>
      <c r="AO575" s="55"/>
      <c r="AP575" s="55"/>
    </row>
    <row r="576" spans="1:42" x14ac:dyDescent="0.25"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AA576" s="56"/>
      <c r="AB576" s="56"/>
      <c r="AC576" s="56"/>
      <c r="AD576" s="56"/>
      <c r="AE576" s="56"/>
      <c r="AF576" s="56"/>
      <c r="AG576" s="155"/>
      <c r="AH576" s="56"/>
      <c r="AI576" s="56"/>
      <c r="AJ576" s="56"/>
      <c r="AK576" s="155"/>
      <c r="AL576" s="56"/>
      <c r="AM576" s="56"/>
      <c r="AN576" s="56"/>
      <c r="AO576" s="56"/>
      <c r="AP576" s="56"/>
    </row>
    <row r="577" spans="1:42" x14ac:dyDescent="0.25">
      <c r="A577" s="53"/>
      <c r="C577" s="54"/>
      <c r="D577" s="54"/>
      <c r="E577" s="54"/>
      <c r="T577" s="54"/>
      <c r="U577" s="54"/>
    </row>
    <row r="578" spans="1:42" x14ac:dyDescent="0.25">
      <c r="D578" s="54"/>
      <c r="E578" s="54"/>
      <c r="U578" s="54"/>
    </row>
    <row r="580" spans="1:42" x14ac:dyDescent="0.25">
      <c r="A580" s="53"/>
      <c r="C580" s="54"/>
      <c r="T580" s="54"/>
    </row>
    <row r="581" spans="1:42" x14ac:dyDescent="0.25">
      <c r="A581" s="53"/>
      <c r="C581" s="54"/>
      <c r="F581" s="449"/>
      <c r="H581" s="449"/>
      <c r="I581" s="449"/>
      <c r="J581" s="221"/>
      <c r="K581" s="221"/>
      <c r="L581" s="379"/>
      <c r="M581" s="379"/>
      <c r="N581" s="50"/>
      <c r="O581" s="50"/>
      <c r="P581" s="379"/>
      <c r="Q581" s="379"/>
      <c r="R581" s="379"/>
      <c r="T581" s="54"/>
      <c r="V581" s="449"/>
      <c r="W581" s="379"/>
      <c r="X581" s="379"/>
      <c r="Y581" s="379"/>
      <c r="Z581" s="379"/>
      <c r="AA581" s="449"/>
      <c r="AB581" s="221"/>
      <c r="AC581" s="379"/>
      <c r="AD581" s="379"/>
      <c r="AE581" s="50"/>
      <c r="AF581" s="50"/>
      <c r="AG581" s="156"/>
      <c r="AH581" s="379"/>
      <c r="AI581" s="60"/>
      <c r="AJ581" s="60"/>
      <c r="AK581" s="156"/>
      <c r="AL581" s="379"/>
      <c r="AM581" s="379"/>
      <c r="AN581" s="379"/>
      <c r="AO581" s="50"/>
      <c r="AP581" s="50"/>
    </row>
    <row r="582" spans="1:42" x14ac:dyDescent="0.25">
      <c r="A582" s="53"/>
      <c r="C582" s="54"/>
      <c r="F582" s="379"/>
      <c r="H582" s="379"/>
      <c r="I582" s="379"/>
      <c r="J582" s="464"/>
      <c r="K582" s="464"/>
      <c r="L582" s="379"/>
      <c r="M582" s="379"/>
      <c r="N582" s="50"/>
      <c r="O582" s="50"/>
      <c r="P582" s="379"/>
      <c r="Q582" s="379"/>
      <c r="R582" s="379"/>
      <c r="T582" s="54"/>
      <c r="V582" s="449"/>
      <c r="W582" s="379"/>
      <c r="X582" s="379"/>
      <c r="Y582" s="379"/>
      <c r="Z582" s="379"/>
      <c r="AA582" s="449"/>
      <c r="AB582" s="464"/>
      <c r="AC582" s="379"/>
      <c r="AD582" s="379"/>
      <c r="AE582" s="50"/>
      <c r="AF582" s="50"/>
      <c r="AG582" s="156"/>
      <c r="AH582" s="379"/>
      <c r="AI582" s="60"/>
      <c r="AJ582" s="60"/>
      <c r="AK582" s="156"/>
      <c r="AL582" s="379"/>
      <c r="AM582" s="379"/>
      <c r="AN582" s="379"/>
      <c r="AO582" s="50"/>
      <c r="AP582" s="50"/>
    </row>
    <row r="583" spans="1:42" x14ac:dyDescent="0.25">
      <c r="A583" s="53"/>
      <c r="C583" s="54"/>
      <c r="F583" s="449"/>
      <c r="H583" s="449"/>
      <c r="I583" s="449"/>
      <c r="J583" s="221"/>
      <c r="K583" s="221"/>
      <c r="L583" s="379"/>
      <c r="M583" s="379"/>
      <c r="N583" s="50"/>
      <c r="O583" s="50"/>
      <c r="P583" s="379"/>
      <c r="Q583" s="379"/>
      <c r="R583" s="379"/>
      <c r="T583" s="54"/>
      <c r="V583" s="449"/>
      <c r="W583" s="379"/>
      <c r="X583" s="379"/>
      <c r="Y583" s="379"/>
      <c r="Z583" s="379"/>
      <c r="AA583" s="449"/>
      <c r="AB583" s="221"/>
      <c r="AC583" s="379"/>
      <c r="AD583" s="379"/>
      <c r="AE583" s="50"/>
      <c r="AF583" s="50"/>
      <c r="AG583" s="156"/>
      <c r="AH583" s="379"/>
      <c r="AI583" s="60"/>
      <c r="AJ583" s="60"/>
      <c r="AK583" s="156"/>
      <c r="AL583" s="379"/>
      <c r="AM583" s="379"/>
      <c r="AN583" s="379"/>
      <c r="AO583" s="50"/>
      <c r="AP583" s="50"/>
    </row>
    <row r="584" spans="1:42" x14ac:dyDescent="0.25">
      <c r="A584" s="53"/>
      <c r="C584" s="54"/>
      <c r="F584" s="449"/>
      <c r="H584" s="449"/>
      <c r="I584" s="449"/>
      <c r="J584" s="221"/>
      <c r="K584" s="221"/>
      <c r="L584" s="379"/>
      <c r="M584" s="379"/>
      <c r="N584" s="50"/>
      <c r="O584" s="50"/>
      <c r="P584" s="379"/>
      <c r="Q584" s="379"/>
      <c r="R584" s="379"/>
      <c r="T584" s="54"/>
      <c r="V584" s="449"/>
      <c r="W584" s="379"/>
      <c r="X584" s="379"/>
      <c r="Y584" s="379"/>
      <c r="Z584" s="379"/>
      <c r="AA584" s="449"/>
      <c r="AB584" s="221"/>
      <c r="AC584" s="379"/>
      <c r="AD584" s="379"/>
      <c r="AE584" s="50"/>
      <c r="AF584" s="50"/>
      <c r="AG584" s="156"/>
      <c r="AH584" s="379"/>
      <c r="AI584" s="60"/>
      <c r="AJ584" s="60"/>
      <c r="AK584" s="156"/>
      <c r="AL584" s="379"/>
      <c r="AM584" s="379"/>
      <c r="AN584" s="379"/>
      <c r="AO584" s="50"/>
      <c r="AP584" s="50"/>
    </row>
    <row r="585" spans="1:42" x14ac:dyDescent="0.25">
      <c r="A585" s="53"/>
      <c r="C585" s="54"/>
      <c r="F585" s="449"/>
      <c r="H585" s="449"/>
      <c r="I585" s="449"/>
      <c r="J585" s="221"/>
      <c r="K585" s="221"/>
      <c r="L585" s="379"/>
      <c r="M585" s="379"/>
      <c r="N585" s="50"/>
      <c r="O585" s="50"/>
      <c r="P585" s="379"/>
      <c r="Q585" s="379"/>
      <c r="R585" s="379"/>
      <c r="T585" s="54"/>
      <c r="V585" s="449"/>
      <c r="W585" s="379"/>
      <c r="X585" s="379"/>
      <c r="Y585" s="379"/>
      <c r="Z585" s="379"/>
      <c r="AA585" s="449"/>
      <c r="AB585" s="221"/>
      <c r="AC585" s="379"/>
      <c r="AD585" s="379"/>
      <c r="AE585" s="50"/>
      <c r="AF585" s="50"/>
      <c r="AG585" s="156"/>
      <c r="AH585" s="379"/>
      <c r="AI585" s="60"/>
      <c r="AJ585" s="60"/>
      <c r="AK585" s="156"/>
      <c r="AL585" s="379"/>
      <c r="AM585" s="379"/>
      <c r="AN585" s="379"/>
      <c r="AO585" s="50"/>
      <c r="AP585" s="50"/>
    </row>
    <row r="586" spans="1:42" x14ac:dyDescent="0.25">
      <c r="A586" s="53"/>
      <c r="C586" s="54"/>
      <c r="F586" s="379"/>
      <c r="H586" s="379"/>
      <c r="I586" s="379"/>
      <c r="J586" s="221"/>
      <c r="K586" s="221"/>
      <c r="L586" s="379"/>
      <c r="M586" s="379"/>
      <c r="N586" s="50"/>
      <c r="O586" s="50"/>
      <c r="P586" s="379"/>
      <c r="Q586" s="379"/>
      <c r="R586" s="379"/>
      <c r="T586" s="54"/>
      <c r="V586" s="449"/>
      <c r="W586" s="379"/>
      <c r="X586" s="379"/>
      <c r="Y586" s="379"/>
      <c r="Z586" s="379"/>
      <c r="AA586" s="449"/>
      <c r="AB586" s="221"/>
      <c r="AC586" s="379"/>
      <c r="AD586" s="379"/>
      <c r="AE586" s="50"/>
      <c r="AF586" s="50"/>
      <c r="AG586" s="156"/>
      <c r="AH586" s="379"/>
      <c r="AI586" s="60"/>
      <c r="AJ586" s="60"/>
      <c r="AK586" s="156"/>
      <c r="AL586" s="379"/>
      <c r="AM586" s="379"/>
      <c r="AN586" s="379"/>
      <c r="AO586" s="50"/>
      <c r="AP586" s="50"/>
    </row>
    <row r="587" spans="1:42" x14ac:dyDescent="0.25">
      <c r="A587" s="53"/>
      <c r="C587" s="54"/>
      <c r="F587" s="379"/>
      <c r="H587" s="379"/>
      <c r="I587" s="379"/>
      <c r="J587" s="221"/>
      <c r="K587" s="221"/>
      <c r="L587" s="379"/>
      <c r="M587" s="379"/>
      <c r="N587" s="50"/>
      <c r="O587" s="50"/>
      <c r="P587" s="379"/>
      <c r="Q587" s="379"/>
      <c r="R587" s="379"/>
      <c r="T587" s="54"/>
      <c r="V587" s="449"/>
      <c r="W587" s="379"/>
      <c r="X587" s="379"/>
      <c r="Y587" s="379"/>
      <c r="Z587" s="379"/>
      <c r="AA587" s="449"/>
      <c r="AB587" s="221"/>
      <c r="AC587" s="379"/>
      <c r="AD587" s="379"/>
      <c r="AE587" s="50"/>
      <c r="AF587" s="50"/>
      <c r="AG587" s="156"/>
      <c r="AH587" s="379"/>
      <c r="AI587" s="60"/>
      <c r="AJ587" s="60"/>
      <c r="AK587" s="156"/>
      <c r="AL587" s="379"/>
      <c r="AM587" s="379"/>
      <c r="AN587" s="379"/>
      <c r="AO587" s="50"/>
      <c r="AP587" s="50"/>
    </row>
    <row r="588" spans="1:42" x14ac:dyDescent="0.25">
      <c r="F588" s="63"/>
      <c r="H588" s="479"/>
      <c r="I588" s="479"/>
      <c r="J588" s="221"/>
      <c r="K588" s="221"/>
      <c r="L588" s="63"/>
      <c r="M588" s="63"/>
      <c r="N588" s="381"/>
      <c r="O588" s="381"/>
      <c r="P588" s="63"/>
      <c r="Q588" s="63"/>
      <c r="R588" s="63"/>
      <c r="V588" s="63"/>
      <c r="W588" s="379"/>
      <c r="X588" s="379"/>
      <c r="Y588" s="379"/>
      <c r="Z588" s="379"/>
      <c r="AA588" s="63"/>
      <c r="AB588" s="221"/>
      <c r="AC588" s="63"/>
      <c r="AD588" s="63"/>
      <c r="AE588" s="64"/>
      <c r="AF588" s="64"/>
      <c r="AG588" s="154"/>
      <c r="AH588" s="63"/>
      <c r="AI588" s="60"/>
      <c r="AJ588" s="60"/>
      <c r="AK588" s="154"/>
      <c r="AL588" s="63"/>
      <c r="AM588" s="63"/>
      <c r="AN588" s="63"/>
      <c r="AO588" s="50"/>
      <c r="AP588" s="50"/>
    </row>
    <row r="589" spans="1:42" x14ac:dyDescent="0.25">
      <c r="A589" s="53"/>
      <c r="C589" s="54"/>
      <c r="F589" s="379"/>
      <c r="H589" s="379"/>
      <c r="I589" s="379"/>
      <c r="J589" s="221"/>
      <c r="K589" s="221"/>
      <c r="L589" s="379"/>
      <c r="M589" s="379"/>
      <c r="N589" s="60"/>
      <c r="O589" s="60"/>
      <c r="P589" s="379"/>
      <c r="Q589" s="379"/>
      <c r="R589" s="379"/>
      <c r="T589" s="56"/>
      <c r="V589" s="379"/>
      <c r="W589" s="379"/>
      <c r="X589" s="379"/>
      <c r="Y589" s="379"/>
      <c r="Z589" s="379"/>
      <c r="AA589" s="379"/>
      <c r="AB589" s="221"/>
      <c r="AC589" s="379"/>
      <c r="AD589" s="379"/>
      <c r="AE589" s="60"/>
      <c r="AF589" s="60"/>
      <c r="AG589" s="156"/>
      <c r="AH589" s="379"/>
      <c r="AI589" s="60"/>
      <c r="AJ589" s="60"/>
      <c r="AK589" s="156"/>
      <c r="AL589" s="379"/>
      <c r="AM589" s="379"/>
      <c r="AN589" s="379"/>
      <c r="AO589" s="50"/>
      <c r="AP589" s="50"/>
    </row>
    <row r="590" spans="1:42" x14ac:dyDescent="0.25">
      <c r="F590" s="55"/>
      <c r="H590" s="55"/>
      <c r="I590" s="55"/>
      <c r="L590" s="55"/>
      <c r="M590" s="55"/>
      <c r="N590" s="64"/>
      <c r="O590" s="64"/>
      <c r="P590" s="63"/>
      <c r="Q590" s="63"/>
      <c r="R590" s="63"/>
      <c r="V590" s="63"/>
      <c r="AA590" s="63"/>
      <c r="AB590" s="464"/>
      <c r="AC590" s="63"/>
      <c r="AD590" s="63"/>
      <c r="AE590" s="63"/>
      <c r="AF590" s="63"/>
      <c r="AG590" s="154"/>
      <c r="AH590" s="63"/>
      <c r="AK590" s="154"/>
      <c r="AL590" s="63"/>
      <c r="AM590" s="63"/>
      <c r="AN590" s="63"/>
      <c r="AO590" s="64"/>
      <c r="AP590" s="64"/>
    </row>
    <row r="591" spans="1:42" x14ac:dyDescent="0.25">
      <c r="AK591" s="156"/>
      <c r="AL591" s="53"/>
    </row>
    <row r="595" spans="1:42" x14ac:dyDescent="0.25">
      <c r="N595" s="379"/>
      <c r="O595" s="379"/>
      <c r="P595" s="379"/>
      <c r="Q595" s="379"/>
      <c r="R595" s="379"/>
      <c r="V595" s="379"/>
      <c r="AA595" s="379"/>
      <c r="AB595" s="59"/>
      <c r="AC595" s="379"/>
      <c r="AD595" s="379"/>
      <c r="AE595" s="50"/>
      <c r="AF595" s="50"/>
      <c r="AG595" s="156"/>
      <c r="AH595" s="379"/>
      <c r="AI595" s="60"/>
      <c r="AJ595" s="60"/>
      <c r="AK595" s="156"/>
      <c r="AL595" s="379"/>
      <c r="AM595" s="379"/>
      <c r="AN595" s="379"/>
      <c r="AO595" s="50"/>
      <c r="AP595" s="50"/>
    </row>
    <row r="596" spans="1:42" x14ac:dyDescent="0.25">
      <c r="A596" s="53"/>
      <c r="C596" s="54"/>
      <c r="D596" s="54"/>
      <c r="E596" s="54"/>
      <c r="J596" s="65"/>
      <c r="K596" s="65"/>
      <c r="T596" s="54"/>
      <c r="U596" s="54"/>
      <c r="AB596" s="65"/>
      <c r="AG596" s="156"/>
      <c r="AH596" s="379"/>
      <c r="AK596" s="156"/>
      <c r="AL596" s="379"/>
      <c r="AM596" s="379"/>
      <c r="AN596" s="379"/>
      <c r="AO596" s="50"/>
      <c r="AP596" s="50"/>
    </row>
    <row r="597" spans="1:42" x14ac:dyDescent="0.25">
      <c r="D597" s="54"/>
      <c r="E597" s="54"/>
      <c r="F597" s="379"/>
      <c r="H597" s="379"/>
      <c r="I597" s="379"/>
      <c r="J597" s="221"/>
      <c r="K597" s="221"/>
      <c r="L597" s="379"/>
      <c r="M597" s="379"/>
      <c r="N597" s="50"/>
      <c r="O597" s="50"/>
      <c r="P597" s="379"/>
      <c r="Q597" s="379"/>
      <c r="R597" s="379"/>
      <c r="U597" s="54"/>
      <c r="V597" s="379"/>
      <c r="AA597" s="379"/>
      <c r="AB597" s="221"/>
      <c r="AC597" s="379"/>
      <c r="AD597" s="379"/>
      <c r="AE597" s="50"/>
      <c r="AF597" s="50"/>
      <c r="AG597" s="156"/>
      <c r="AH597" s="379"/>
      <c r="AI597" s="60"/>
      <c r="AJ597" s="60"/>
      <c r="AK597" s="156"/>
      <c r="AL597" s="379"/>
      <c r="AM597" s="379"/>
      <c r="AN597" s="379"/>
      <c r="AO597" s="50"/>
      <c r="AP597" s="50"/>
    </row>
    <row r="598" spans="1:42" x14ac:dyDescent="0.25">
      <c r="F598" s="379"/>
      <c r="H598" s="379"/>
      <c r="I598" s="379"/>
      <c r="J598" s="464"/>
      <c r="K598" s="464"/>
      <c r="L598" s="379"/>
      <c r="M598" s="379"/>
      <c r="N598" s="379"/>
      <c r="O598" s="379"/>
      <c r="P598" s="379"/>
      <c r="Q598" s="379"/>
      <c r="R598" s="379"/>
      <c r="V598" s="379"/>
      <c r="AA598" s="379"/>
      <c r="AB598" s="464"/>
      <c r="AC598" s="379"/>
      <c r="AD598" s="379"/>
      <c r="AE598" s="379"/>
      <c r="AF598" s="379"/>
      <c r="AG598" s="156"/>
      <c r="AH598" s="379"/>
      <c r="AI598" s="60"/>
      <c r="AJ598" s="60"/>
      <c r="AK598" s="474"/>
      <c r="AL598" s="449"/>
      <c r="AM598" s="379"/>
      <c r="AN598" s="379"/>
      <c r="AO598" s="50"/>
      <c r="AP598" s="50"/>
    </row>
    <row r="599" spans="1:42" x14ac:dyDescent="0.25">
      <c r="A599" s="53"/>
      <c r="C599" s="54"/>
      <c r="F599" s="449"/>
      <c r="H599" s="449"/>
      <c r="I599" s="449"/>
      <c r="J599" s="463"/>
      <c r="K599" s="463"/>
      <c r="L599" s="379"/>
      <c r="M599" s="379"/>
      <c r="N599" s="50"/>
      <c r="O599" s="50"/>
      <c r="P599" s="379"/>
      <c r="Q599" s="379"/>
      <c r="R599" s="379"/>
      <c r="T599" s="54"/>
      <c r="V599" s="449"/>
      <c r="AA599" s="449"/>
      <c r="AB599" s="463"/>
      <c r="AC599" s="379"/>
      <c r="AD599" s="379"/>
      <c r="AE599" s="50"/>
      <c r="AF599" s="50"/>
      <c r="AG599" s="156"/>
      <c r="AH599" s="379"/>
      <c r="AI599" s="60"/>
      <c r="AJ599" s="60"/>
      <c r="AK599" s="156"/>
      <c r="AL599" s="379"/>
      <c r="AM599" s="379"/>
      <c r="AN599" s="379"/>
      <c r="AO599" s="50"/>
      <c r="AP599" s="50"/>
    </row>
    <row r="600" spans="1:42" x14ac:dyDescent="0.25">
      <c r="F600" s="55"/>
      <c r="H600" s="55"/>
      <c r="I600" s="55"/>
      <c r="L600" s="55"/>
      <c r="M600" s="55"/>
      <c r="N600" s="55"/>
      <c r="O600" s="55"/>
      <c r="P600" s="55"/>
      <c r="Q600" s="55"/>
      <c r="R600" s="55"/>
      <c r="V600" s="55"/>
      <c r="AA600" s="55"/>
      <c r="AC600" s="55"/>
      <c r="AD600" s="55"/>
      <c r="AE600" s="55"/>
      <c r="AF600" s="55"/>
      <c r="AG600" s="154"/>
      <c r="AH600" s="55"/>
      <c r="AI600" s="55"/>
      <c r="AJ600" s="55"/>
      <c r="AK600" s="154"/>
      <c r="AL600" s="55"/>
      <c r="AM600" s="55"/>
      <c r="AN600" s="55"/>
      <c r="AO600" s="55"/>
      <c r="AP600" s="55"/>
    </row>
    <row r="601" spans="1:42" x14ac:dyDescent="0.25">
      <c r="A601" s="53"/>
      <c r="C601" s="56"/>
      <c r="F601" s="449"/>
      <c r="H601" s="449"/>
      <c r="I601" s="449"/>
      <c r="J601" s="461"/>
      <c r="K601" s="461"/>
      <c r="L601" s="449"/>
      <c r="M601" s="449"/>
      <c r="N601" s="50"/>
      <c r="O601" s="50"/>
      <c r="P601" s="449"/>
      <c r="Q601" s="449"/>
      <c r="R601" s="449"/>
      <c r="T601" s="56"/>
      <c r="V601" s="379"/>
      <c r="AA601" s="379"/>
      <c r="AB601" s="59"/>
      <c r="AC601" s="379"/>
      <c r="AD601" s="379"/>
      <c r="AE601" s="50"/>
      <c r="AF601" s="50"/>
      <c r="AG601" s="156"/>
      <c r="AH601" s="53"/>
      <c r="AI601" s="60"/>
      <c r="AJ601" s="60"/>
      <c r="AK601" s="156"/>
      <c r="AL601" s="379"/>
      <c r="AM601" s="379"/>
      <c r="AN601" s="379"/>
      <c r="AO601" s="50"/>
      <c r="AP601" s="50"/>
    </row>
    <row r="602" spans="1:42" x14ac:dyDescent="0.25">
      <c r="F602" s="63"/>
      <c r="H602" s="63"/>
      <c r="I602" s="63"/>
      <c r="J602" s="464"/>
      <c r="K602" s="464"/>
      <c r="L602" s="63"/>
      <c r="M602" s="63"/>
      <c r="N602" s="63"/>
      <c r="O602" s="63"/>
      <c r="P602" s="63"/>
      <c r="Q602" s="63"/>
      <c r="R602" s="63"/>
      <c r="V602" s="55"/>
      <c r="AA602" s="55"/>
      <c r="AC602" s="55"/>
      <c r="AD602" s="55"/>
      <c r="AE602" s="55"/>
      <c r="AF602" s="55"/>
      <c r="AG602" s="154"/>
      <c r="AH602" s="55"/>
      <c r="AI602" s="55"/>
      <c r="AJ602" s="55"/>
      <c r="AK602" s="154"/>
      <c r="AL602" s="55"/>
      <c r="AM602" s="55"/>
      <c r="AN602" s="55"/>
      <c r="AO602" s="55"/>
      <c r="AP602" s="55"/>
    </row>
    <row r="603" spans="1:42" x14ac:dyDescent="0.25">
      <c r="F603" s="449"/>
      <c r="H603" s="449"/>
      <c r="I603" s="449"/>
      <c r="J603" s="477"/>
      <c r="K603" s="477"/>
      <c r="L603" s="379"/>
      <c r="M603" s="379"/>
      <c r="N603" s="50"/>
      <c r="O603" s="50"/>
      <c r="P603" s="379"/>
      <c r="Q603" s="379"/>
      <c r="R603" s="379"/>
    </row>
    <row r="604" spans="1:42" x14ac:dyDescent="0.25">
      <c r="A604" s="54"/>
      <c r="F604" s="449"/>
      <c r="H604" s="449"/>
      <c r="I604" s="449"/>
      <c r="J604" s="461"/>
      <c r="K604" s="461"/>
      <c r="L604" s="379"/>
      <c r="M604" s="379"/>
      <c r="N604" s="50"/>
      <c r="O604" s="50"/>
      <c r="P604" s="379"/>
      <c r="Q604" s="379"/>
      <c r="R604" s="379"/>
    </row>
    <row r="605" spans="1:42" x14ac:dyDescent="0.25">
      <c r="F605" s="449"/>
      <c r="H605" s="449"/>
      <c r="I605" s="449"/>
      <c r="J605" s="461"/>
      <c r="K605" s="461"/>
      <c r="L605" s="379"/>
      <c r="M605" s="379"/>
      <c r="N605" s="50"/>
      <c r="O605" s="50"/>
      <c r="P605" s="379"/>
      <c r="Q605" s="379"/>
      <c r="R605" s="379"/>
    </row>
    <row r="606" spans="1:42" x14ac:dyDescent="0.25">
      <c r="A606" s="54"/>
    </row>
    <row r="608" spans="1:42" x14ac:dyDescent="0.25">
      <c r="J608" s="53"/>
      <c r="K608" s="53"/>
      <c r="AB608" s="53"/>
    </row>
    <row r="609" spans="1:42" x14ac:dyDescent="0.25">
      <c r="H609" s="54"/>
      <c r="I609" s="54"/>
      <c r="AA609" s="54"/>
    </row>
    <row r="610" spans="1:42" x14ac:dyDescent="0.25">
      <c r="J610" s="53"/>
      <c r="K610" s="53"/>
      <c r="AB610" s="53"/>
    </row>
    <row r="611" spans="1:42" x14ac:dyDescent="0.25">
      <c r="L611" s="54"/>
      <c r="M611" s="54"/>
      <c r="AC611" s="54"/>
      <c r="AD611" s="54"/>
    </row>
    <row r="612" spans="1:42" x14ac:dyDescent="0.25">
      <c r="A612" s="53"/>
      <c r="R612" s="54"/>
      <c r="AM612" s="54"/>
      <c r="AN612" s="54"/>
    </row>
    <row r="613" spans="1:42" x14ac:dyDescent="0.25">
      <c r="A613" s="53"/>
      <c r="R613" s="54"/>
      <c r="AM613" s="54"/>
      <c r="AN613" s="54"/>
    </row>
    <row r="614" spans="1:42" x14ac:dyDescent="0.25">
      <c r="A614" s="54"/>
      <c r="R614" s="54"/>
      <c r="AM614" s="54"/>
      <c r="AN614" s="54"/>
    </row>
    <row r="615" spans="1:42" x14ac:dyDescent="0.25">
      <c r="L615" s="54"/>
      <c r="M615" s="54"/>
      <c r="R615" s="53"/>
      <c r="AC615" s="54"/>
      <c r="AD615" s="54"/>
      <c r="AM615" s="53"/>
      <c r="AN615" s="53"/>
    </row>
    <row r="616" spans="1:42" x14ac:dyDescent="0.25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154"/>
      <c r="AH616" s="55"/>
      <c r="AI616" s="55"/>
      <c r="AJ616" s="55"/>
      <c r="AK616" s="154"/>
      <c r="AL616" s="55"/>
      <c r="AM616" s="55"/>
      <c r="AN616" s="55"/>
      <c r="AO616" s="55"/>
      <c r="AP616" s="55"/>
    </row>
    <row r="617" spans="1:42" x14ac:dyDescent="0.25">
      <c r="L617" s="56"/>
      <c r="M617" s="56"/>
      <c r="N617" s="56"/>
      <c r="O617" s="56"/>
      <c r="R617" s="56"/>
      <c r="AC617" s="56"/>
      <c r="AD617" s="56"/>
      <c r="AE617" s="56"/>
      <c r="AF617" s="56"/>
      <c r="AG617" s="155"/>
      <c r="AH617" s="56"/>
      <c r="AI617" s="56"/>
      <c r="AJ617" s="56"/>
      <c r="AM617" s="56"/>
      <c r="AN617" s="56"/>
      <c r="AO617" s="56"/>
      <c r="AP617" s="56"/>
    </row>
    <row r="618" spans="1:42" x14ac:dyDescent="0.25">
      <c r="L618" s="56"/>
      <c r="M618" s="56"/>
      <c r="N618" s="56"/>
      <c r="O618" s="56"/>
      <c r="R618" s="56"/>
      <c r="AB618" s="56"/>
      <c r="AC618" s="56"/>
      <c r="AD618" s="56"/>
      <c r="AE618" s="56"/>
      <c r="AF618" s="56"/>
      <c r="AG618" s="155"/>
      <c r="AH618" s="56"/>
      <c r="AI618" s="56"/>
      <c r="AJ618" s="56"/>
      <c r="AM618" s="56"/>
      <c r="AN618" s="56"/>
      <c r="AO618" s="56"/>
      <c r="AP618" s="56"/>
    </row>
    <row r="619" spans="1:42" x14ac:dyDescent="0.25">
      <c r="A619" s="56"/>
      <c r="C619" s="56"/>
      <c r="D619" s="56"/>
      <c r="E619" s="56"/>
      <c r="F619" s="56"/>
      <c r="J619" s="56"/>
      <c r="K619" s="56"/>
      <c r="L619" s="56"/>
      <c r="M619" s="56"/>
      <c r="N619" s="56"/>
      <c r="O619" s="56"/>
      <c r="P619" s="56"/>
      <c r="Q619" s="56"/>
      <c r="R619" s="56"/>
      <c r="T619" s="56"/>
      <c r="U619" s="56"/>
      <c r="V619" s="56"/>
      <c r="AB619" s="56"/>
      <c r="AC619" s="56"/>
      <c r="AD619" s="56"/>
      <c r="AE619" s="56"/>
      <c r="AF619" s="56"/>
      <c r="AG619" s="155"/>
      <c r="AH619" s="56"/>
      <c r="AI619" s="56"/>
      <c r="AJ619" s="56"/>
      <c r="AK619" s="155"/>
      <c r="AL619" s="56"/>
      <c r="AM619" s="56"/>
      <c r="AN619" s="56"/>
      <c r="AO619" s="56"/>
      <c r="AP619" s="56"/>
    </row>
    <row r="620" spans="1:42" x14ac:dyDescent="0.25">
      <c r="A620" s="56"/>
      <c r="C620" s="56"/>
      <c r="D620" s="56"/>
      <c r="E620" s="56"/>
      <c r="F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T620" s="56"/>
      <c r="U620" s="56"/>
      <c r="V620" s="56"/>
      <c r="AA620" s="56"/>
      <c r="AB620" s="56"/>
      <c r="AC620" s="56"/>
      <c r="AD620" s="56"/>
      <c r="AE620" s="56"/>
      <c r="AF620" s="56"/>
      <c r="AG620" s="155"/>
      <c r="AH620" s="56"/>
      <c r="AI620" s="56"/>
      <c r="AJ620" s="56"/>
      <c r="AK620" s="155"/>
      <c r="AL620" s="56"/>
      <c r="AM620" s="56"/>
      <c r="AN620" s="56"/>
      <c r="AO620" s="56"/>
      <c r="AP620" s="56"/>
    </row>
    <row r="621" spans="1:42" x14ac:dyDescent="0.25">
      <c r="C621" s="56"/>
      <c r="D621" s="56"/>
      <c r="E621" s="56"/>
      <c r="F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T621" s="56"/>
      <c r="U621" s="56"/>
      <c r="V621" s="56"/>
      <c r="AA621" s="56"/>
      <c r="AB621" s="56"/>
      <c r="AC621" s="56"/>
      <c r="AD621" s="56"/>
      <c r="AE621" s="56"/>
      <c r="AF621" s="56"/>
      <c r="AG621" s="155"/>
      <c r="AH621" s="56"/>
      <c r="AI621" s="56"/>
      <c r="AJ621" s="56"/>
      <c r="AK621" s="155"/>
      <c r="AL621" s="56"/>
      <c r="AM621" s="56"/>
      <c r="AN621" s="56"/>
      <c r="AO621" s="56"/>
      <c r="AP621" s="56"/>
    </row>
    <row r="622" spans="1:42" x14ac:dyDescent="0.25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154"/>
      <c r="AH622" s="55"/>
      <c r="AI622" s="55"/>
      <c r="AJ622" s="55"/>
      <c r="AK622" s="154"/>
      <c r="AL622" s="55"/>
      <c r="AM622" s="55"/>
      <c r="AN622" s="55"/>
      <c r="AO622" s="55"/>
      <c r="AP622" s="55"/>
    </row>
    <row r="623" spans="1:42" x14ac:dyDescent="0.25"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AA623" s="56"/>
      <c r="AB623" s="56"/>
      <c r="AC623" s="56"/>
      <c r="AD623" s="56"/>
      <c r="AE623" s="56"/>
      <c r="AF623" s="56"/>
      <c r="AG623" s="155"/>
      <c r="AH623" s="56"/>
      <c r="AI623" s="56"/>
      <c r="AJ623" s="56"/>
      <c r="AK623" s="155"/>
      <c r="AL623" s="56"/>
      <c r="AM623" s="56"/>
      <c r="AN623" s="56"/>
      <c r="AO623" s="56"/>
      <c r="AP623" s="56"/>
    </row>
    <row r="624" spans="1:42" x14ac:dyDescent="0.25">
      <c r="A624" s="53"/>
      <c r="C624" s="54"/>
      <c r="D624" s="54"/>
      <c r="E624" s="54"/>
      <c r="T624" s="54"/>
      <c r="U624" s="54"/>
    </row>
    <row r="626" spans="1:42" x14ac:dyDescent="0.25">
      <c r="A626" s="53"/>
      <c r="C626" s="54"/>
      <c r="T626" s="54"/>
    </row>
    <row r="627" spans="1:42" x14ac:dyDescent="0.25">
      <c r="A627" s="53"/>
      <c r="C627" s="54"/>
      <c r="F627" s="449"/>
      <c r="H627" s="449"/>
      <c r="I627" s="449"/>
      <c r="J627" s="464"/>
      <c r="K627" s="464"/>
      <c r="L627" s="379"/>
      <c r="M627" s="379"/>
      <c r="N627" s="50"/>
      <c r="O627" s="50"/>
      <c r="P627" s="379"/>
      <c r="Q627" s="379"/>
      <c r="R627" s="379"/>
      <c r="T627" s="54"/>
      <c r="V627" s="449"/>
      <c r="AA627" s="449"/>
      <c r="AB627" s="464"/>
      <c r="AC627" s="379"/>
      <c r="AD627" s="379"/>
      <c r="AE627" s="50"/>
      <c r="AF627" s="50"/>
      <c r="AG627" s="156"/>
      <c r="AH627" s="379"/>
      <c r="AI627" s="60"/>
      <c r="AJ627" s="60"/>
      <c r="AK627" s="156"/>
      <c r="AL627" s="379"/>
      <c r="AM627" s="379"/>
      <c r="AN627" s="379"/>
      <c r="AO627" s="50"/>
      <c r="AP627" s="50"/>
    </row>
    <row r="628" spans="1:42" x14ac:dyDescent="0.25">
      <c r="A628" s="53"/>
      <c r="C628" s="54"/>
      <c r="T628" s="54"/>
    </row>
    <row r="629" spans="1:42" x14ac:dyDescent="0.25">
      <c r="A629" s="53"/>
      <c r="C629" s="54"/>
      <c r="F629" s="449"/>
      <c r="H629" s="449"/>
      <c r="I629" s="449"/>
      <c r="J629" s="221"/>
      <c r="K629" s="221"/>
      <c r="L629" s="379"/>
      <c r="M629" s="379"/>
      <c r="N629" s="50"/>
      <c r="O629" s="50"/>
      <c r="P629" s="379"/>
      <c r="Q629" s="379"/>
      <c r="R629" s="379"/>
      <c r="T629" s="54"/>
      <c r="V629" s="379"/>
      <c r="AA629" s="379"/>
      <c r="AB629" s="221"/>
      <c r="AC629" s="379"/>
      <c r="AD629" s="379"/>
      <c r="AE629" s="50"/>
      <c r="AF629" s="50"/>
      <c r="AG629" s="156"/>
      <c r="AH629" s="379"/>
      <c r="AI629" s="60"/>
      <c r="AJ629" s="60"/>
      <c r="AK629" s="156"/>
      <c r="AL629" s="379"/>
      <c r="AM629" s="379"/>
      <c r="AN629" s="379"/>
      <c r="AO629" s="50"/>
      <c r="AP629" s="50"/>
    </row>
    <row r="630" spans="1:42" x14ac:dyDescent="0.25">
      <c r="A630" s="53"/>
      <c r="C630" s="54"/>
      <c r="F630" s="449"/>
      <c r="H630" s="449"/>
      <c r="I630" s="449"/>
      <c r="J630" s="221"/>
      <c r="K630" s="221"/>
      <c r="L630" s="379"/>
      <c r="M630" s="379"/>
      <c r="N630" s="50"/>
      <c r="O630" s="50"/>
      <c r="P630" s="379"/>
      <c r="Q630" s="379"/>
      <c r="R630" s="379"/>
      <c r="T630" s="54"/>
      <c r="V630" s="379"/>
      <c r="AA630" s="379"/>
      <c r="AB630" s="221"/>
      <c r="AC630" s="379"/>
      <c r="AD630" s="379"/>
      <c r="AE630" s="50"/>
      <c r="AF630" s="50"/>
      <c r="AG630" s="156"/>
      <c r="AH630" s="379"/>
      <c r="AI630" s="60"/>
      <c r="AJ630" s="60"/>
      <c r="AK630" s="156"/>
      <c r="AL630" s="379"/>
      <c r="AM630" s="379"/>
      <c r="AN630" s="379"/>
      <c r="AO630" s="50"/>
      <c r="AP630" s="50"/>
    </row>
    <row r="631" spans="1:42" x14ac:dyDescent="0.25">
      <c r="A631" s="53"/>
      <c r="C631" s="54"/>
      <c r="F631" s="449"/>
      <c r="H631" s="449"/>
      <c r="I631" s="449"/>
      <c r="J631" s="221"/>
      <c r="K631" s="221"/>
      <c r="L631" s="379"/>
      <c r="M631" s="379"/>
      <c r="N631" s="50"/>
      <c r="O631" s="50"/>
      <c r="P631" s="379"/>
      <c r="Q631" s="379"/>
      <c r="R631" s="379"/>
      <c r="T631" s="54"/>
      <c r="V631" s="379"/>
      <c r="AA631" s="379"/>
      <c r="AB631" s="221"/>
      <c r="AC631" s="379"/>
      <c r="AD631" s="379"/>
      <c r="AE631" s="50"/>
      <c r="AF631" s="50"/>
      <c r="AG631" s="156"/>
      <c r="AH631" s="379"/>
      <c r="AI631" s="60"/>
      <c r="AJ631" s="60"/>
      <c r="AK631" s="156"/>
      <c r="AL631" s="379"/>
      <c r="AM631" s="379"/>
      <c r="AN631" s="379"/>
      <c r="AO631" s="50"/>
      <c r="AP631" s="50"/>
    </row>
    <row r="632" spans="1:42" x14ac:dyDescent="0.25">
      <c r="A632" s="53"/>
      <c r="C632" s="54"/>
      <c r="F632" s="449"/>
      <c r="H632" s="449"/>
      <c r="I632" s="449"/>
      <c r="J632" s="221"/>
      <c r="K632" s="221"/>
      <c r="L632" s="379"/>
      <c r="M632" s="379"/>
      <c r="N632" s="50"/>
      <c r="O632" s="50"/>
      <c r="P632" s="379"/>
      <c r="Q632" s="379"/>
      <c r="R632" s="379"/>
      <c r="T632" s="54"/>
      <c r="V632" s="379"/>
      <c r="AA632" s="379"/>
      <c r="AB632" s="221"/>
      <c r="AC632" s="379"/>
      <c r="AD632" s="379"/>
      <c r="AE632" s="50"/>
      <c r="AF632" s="50"/>
      <c r="AG632" s="156"/>
      <c r="AH632" s="379"/>
      <c r="AI632" s="60"/>
      <c r="AJ632" s="60"/>
      <c r="AK632" s="156"/>
      <c r="AL632" s="379"/>
      <c r="AM632" s="379"/>
      <c r="AN632" s="379"/>
      <c r="AO632" s="50"/>
      <c r="AP632" s="50"/>
    </row>
    <row r="633" spans="1:42" x14ac:dyDescent="0.25">
      <c r="A633" s="53"/>
      <c r="C633" s="54"/>
      <c r="J633" s="65"/>
      <c r="K633" s="65"/>
      <c r="T633" s="54"/>
      <c r="AB633" s="65"/>
    </row>
    <row r="634" spans="1:42" x14ac:dyDescent="0.25">
      <c r="A634" s="53"/>
      <c r="C634" s="54"/>
      <c r="F634" s="449"/>
      <c r="H634" s="449"/>
      <c r="I634" s="449"/>
      <c r="J634" s="221"/>
      <c r="K634" s="221"/>
      <c r="L634" s="379"/>
      <c r="M634" s="379"/>
      <c r="N634" s="50"/>
      <c r="O634" s="50"/>
      <c r="P634" s="379"/>
      <c r="Q634" s="379"/>
      <c r="R634" s="379"/>
      <c r="T634" s="54"/>
      <c r="V634" s="379"/>
      <c r="AA634" s="379"/>
      <c r="AB634" s="221"/>
      <c r="AC634" s="379"/>
      <c r="AD634" s="379"/>
      <c r="AE634" s="50"/>
      <c r="AF634" s="50"/>
      <c r="AG634" s="156"/>
      <c r="AH634" s="379"/>
      <c r="AI634" s="60"/>
      <c r="AJ634" s="60"/>
      <c r="AK634" s="156"/>
      <c r="AL634" s="379"/>
      <c r="AM634" s="379"/>
      <c r="AN634" s="379"/>
      <c r="AO634" s="50"/>
      <c r="AP634" s="50"/>
    </row>
    <row r="635" spans="1:42" x14ac:dyDescent="0.25">
      <c r="A635" s="53"/>
      <c r="C635" s="54"/>
      <c r="F635" s="449"/>
      <c r="H635" s="449"/>
      <c r="I635" s="449"/>
      <c r="J635" s="221"/>
      <c r="K635" s="221"/>
      <c r="L635" s="379"/>
      <c r="M635" s="379"/>
      <c r="N635" s="50"/>
      <c r="O635" s="50"/>
      <c r="P635" s="379"/>
      <c r="Q635" s="379"/>
      <c r="R635" s="379"/>
      <c r="T635" s="54"/>
      <c r="V635" s="379"/>
      <c r="AA635" s="379"/>
      <c r="AB635" s="221"/>
      <c r="AC635" s="379"/>
      <c r="AD635" s="379"/>
      <c r="AE635" s="50"/>
      <c r="AF635" s="50"/>
      <c r="AG635" s="156"/>
      <c r="AH635" s="379"/>
      <c r="AI635" s="60"/>
      <c r="AJ635" s="60"/>
      <c r="AK635" s="156"/>
      <c r="AL635" s="379"/>
      <c r="AM635" s="379"/>
      <c r="AN635" s="379"/>
      <c r="AO635" s="50"/>
      <c r="AP635" s="50"/>
    </row>
    <row r="636" spans="1:42" x14ac:dyDescent="0.25">
      <c r="A636" s="53"/>
      <c r="C636" s="54"/>
      <c r="F636" s="449"/>
      <c r="H636" s="449"/>
      <c r="I636" s="449"/>
      <c r="J636" s="221"/>
      <c r="K636" s="221"/>
      <c r="L636" s="379"/>
      <c r="M636" s="379"/>
      <c r="N636" s="50"/>
      <c r="O636" s="50"/>
      <c r="P636" s="379"/>
      <c r="Q636" s="379"/>
      <c r="R636" s="379"/>
      <c r="T636" s="54"/>
      <c r="V636" s="379"/>
      <c r="AA636" s="379"/>
      <c r="AB636" s="221"/>
      <c r="AC636" s="379"/>
      <c r="AD636" s="379"/>
      <c r="AE636" s="50"/>
      <c r="AF636" s="50"/>
      <c r="AG636" s="156"/>
      <c r="AH636" s="379"/>
      <c r="AI636" s="60"/>
      <c r="AJ636" s="60"/>
      <c r="AK636" s="156"/>
      <c r="AL636" s="379"/>
      <c r="AM636" s="379"/>
      <c r="AN636" s="379"/>
      <c r="AO636" s="50"/>
      <c r="AP636" s="50"/>
    </row>
    <row r="637" spans="1:42" x14ac:dyDescent="0.25">
      <c r="A637" s="53"/>
      <c r="C637" s="54"/>
      <c r="J637" s="65"/>
      <c r="K637" s="65"/>
      <c r="T637" s="54"/>
      <c r="AB637" s="65"/>
    </row>
    <row r="638" spans="1:42" x14ac:dyDescent="0.25">
      <c r="A638" s="53"/>
      <c r="C638" s="54"/>
      <c r="F638" s="449"/>
      <c r="H638" s="449"/>
      <c r="I638" s="449"/>
      <c r="J638" s="221"/>
      <c r="K638" s="221"/>
      <c r="L638" s="379"/>
      <c r="M638" s="379"/>
      <c r="N638" s="50"/>
      <c r="O638" s="50"/>
      <c r="P638" s="379"/>
      <c r="Q638" s="379"/>
      <c r="R638" s="379"/>
      <c r="T638" s="54"/>
      <c r="V638" s="379"/>
      <c r="AA638" s="379"/>
      <c r="AB638" s="221"/>
      <c r="AC638" s="379"/>
      <c r="AD638" s="379"/>
      <c r="AE638" s="50"/>
      <c r="AF638" s="50"/>
      <c r="AG638" s="156"/>
      <c r="AH638" s="379"/>
      <c r="AI638" s="60"/>
      <c r="AJ638" s="60"/>
      <c r="AK638" s="156"/>
      <c r="AL638" s="379"/>
      <c r="AM638" s="379"/>
      <c r="AN638" s="379"/>
      <c r="AO638" s="50"/>
      <c r="AP638" s="50"/>
    </row>
    <row r="639" spans="1:42" x14ac:dyDescent="0.25">
      <c r="A639" s="53"/>
      <c r="C639" s="54"/>
      <c r="F639" s="449"/>
      <c r="H639" s="449"/>
      <c r="I639" s="449"/>
      <c r="J639" s="221"/>
      <c r="K639" s="221"/>
      <c r="L639" s="379"/>
      <c r="M639" s="379"/>
      <c r="N639" s="50"/>
      <c r="O639" s="50"/>
      <c r="P639" s="379"/>
      <c r="Q639" s="379"/>
      <c r="R639" s="379"/>
      <c r="T639" s="54"/>
      <c r="V639" s="379"/>
      <c r="AA639" s="379"/>
      <c r="AB639" s="221"/>
      <c r="AC639" s="379"/>
      <c r="AD639" s="379"/>
      <c r="AE639" s="50"/>
      <c r="AF639" s="50"/>
      <c r="AG639" s="156"/>
      <c r="AH639" s="379"/>
      <c r="AI639" s="60"/>
      <c r="AJ639" s="60"/>
      <c r="AK639" s="156"/>
      <c r="AL639" s="379"/>
      <c r="AM639" s="379"/>
      <c r="AN639" s="379"/>
      <c r="AO639" s="50"/>
      <c r="AP639" s="50"/>
    </row>
    <row r="640" spans="1:42" x14ac:dyDescent="0.25">
      <c r="A640" s="53"/>
      <c r="C640" s="54"/>
      <c r="J640" s="65"/>
      <c r="K640" s="65"/>
      <c r="T640" s="54"/>
      <c r="AB640" s="65"/>
    </row>
    <row r="641" spans="1:42" x14ac:dyDescent="0.25">
      <c r="A641" s="53"/>
      <c r="C641" s="54"/>
      <c r="F641" s="449"/>
      <c r="H641" s="449"/>
      <c r="I641" s="449"/>
      <c r="J641" s="221"/>
      <c r="K641" s="221"/>
      <c r="L641" s="379"/>
      <c r="M641" s="379"/>
      <c r="N641" s="50"/>
      <c r="O641" s="50"/>
      <c r="P641" s="379"/>
      <c r="Q641" s="379"/>
      <c r="R641" s="379"/>
      <c r="T641" s="54"/>
      <c r="V641" s="379"/>
      <c r="AA641" s="379"/>
      <c r="AB641" s="221"/>
      <c r="AC641" s="379"/>
      <c r="AD641" s="379"/>
      <c r="AE641" s="50"/>
      <c r="AF641" s="50"/>
      <c r="AG641" s="156"/>
      <c r="AH641" s="379"/>
      <c r="AI641" s="60"/>
      <c r="AJ641" s="60"/>
      <c r="AK641" s="156"/>
      <c r="AL641" s="379"/>
      <c r="AM641" s="379"/>
      <c r="AN641" s="379"/>
      <c r="AO641" s="50"/>
      <c r="AP641" s="50"/>
    </row>
    <row r="642" spans="1:42" x14ac:dyDescent="0.25">
      <c r="A642" s="53"/>
      <c r="C642" s="54"/>
      <c r="F642" s="449"/>
      <c r="H642" s="449"/>
      <c r="I642" s="449"/>
      <c r="J642" s="221"/>
      <c r="K642" s="221"/>
      <c r="L642" s="379"/>
      <c r="M642" s="379"/>
      <c r="N642" s="50"/>
      <c r="O642" s="50"/>
      <c r="P642" s="379"/>
      <c r="Q642" s="379"/>
      <c r="R642" s="379"/>
      <c r="T642" s="54"/>
      <c r="V642" s="379"/>
      <c r="AA642" s="379"/>
      <c r="AB642" s="221"/>
      <c r="AC642" s="379"/>
      <c r="AD642" s="379"/>
      <c r="AE642" s="50"/>
      <c r="AF642" s="50"/>
      <c r="AG642" s="156"/>
      <c r="AH642" s="379"/>
      <c r="AI642" s="60"/>
      <c r="AJ642" s="60"/>
      <c r="AK642" s="156"/>
      <c r="AL642" s="379"/>
      <c r="AM642" s="379"/>
      <c r="AN642" s="379"/>
      <c r="AO642" s="50"/>
      <c r="AP642" s="50"/>
    </row>
    <row r="643" spans="1:42" x14ac:dyDescent="0.25">
      <c r="A643" s="53"/>
      <c r="C643" s="54"/>
      <c r="F643" s="449"/>
      <c r="H643" s="449"/>
      <c r="I643" s="449"/>
      <c r="J643" s="221"/>
      <c r="K643" s="221"/>
      <c r="L643" s="379"/>
      <c r="M643" s="379"/>
      <c r="N643" s="50"/>
      <c r="O643" s="50"/>
      <c r="P643" s="379"/>
      <c r="Q643" s="379"/>
      <c r="R643" s="379"/>
      <c r="T643" s="54"/>
      <c r="V643" s="379"/>
      <c r="AA643" s="379"/>
      <c r="AB643" s="221"/>
      <c r="AC643" s="379"/>
      <c r="AD643" s="379"/>
      <c r="AE643" s="50"/>
      <c r="AF643" s="50"/>
      <c r="AG643" s="156"/>
      <c r="AH643" s="379"/>
      <c r="AI643" s="60"/>
      <c r="AJ643" s="60"/>
      <c r="AK643" s="156"/>
      <c r="AL643" s="379"/>
      <c r="AM643" s="379"/>
      <c r="AN643" s="379"/>
      <c r="AO643" s="50"/>
      <c r="AP643" s="50"/>
    </row>
    <row r="644" spans="1:42" x14ac:dyDescent="0.25">
      <c r="F644" s="381"/>
      <c r="H644" s="381"/>
      <c r="I644" s="381"/>
      <c r="J644" s="221"/>
      <c r="K644" s="221"/>
      <c r="L644" s="381"/>
      <c r="M644" s="381"/>
      <c r="N644" s="381"/>
      <c r="O644" s="381"/>
      <c r="P644" s="381"/>
      <c r="Q644" s="381"/>
      <c r="R644" s="381"/>
      <c r="V644" s="381"/>
      <c r="AA644" s="381"/>
      <c r="AB644" s="221"/>
      <c r="AC644" s="381"/>
      <c r="AD644" s="381"/>
      <c r="AE644" s="381"/>
      <c r="AF644" s="381"/>
      <c r="AG644" s="162"/>
      <c r="AH644" s="381"/>
      <c r="AK644" s="162"/>
      <c r="AL644" s="381"/>
      <c r="AM644" s="381"/>
      <c r="AN644" s="381"/>
    </row>
    <row r="645" spans="1:42" x14ac:dyDescent="0.25">
      <c r="A645" s="53"/>
      <c r="C645" s="56"/>
      <c r="F645" s="379"/>
      <c r="H645" s="379"/>
      <c r="I645" s="379"/>
      <c r="J645" s="65"/>
      <c r="K645" s="65"/>
      <c r="L645" s="379"/>
      <c r="M645" s="379"/>
      <c r="N645" s="60"/>
      <c r="O645" s="60"/>
      <c r="P645" s="379"/>
      <c r="Q645" s="379"/>
      <c r="R645" s="379"/>
      <c r="T645" s="56"/>
      <c r="V645" s="379"/>
      <c r="AA645" s="379"/>
      <c r="AB645" s="65"/>
      <c r="AC645" s="379"/>
      <c r="AD645" s="379"/>
      <c r="AE645" s="379"/>
      <c r="AF645" s="379"/>
      <c r="AG645" s="156"/>
      <c r="AH645" s="379"/>
      <c r="AI645" s="60"/>
      <c r="AJ645" s="60"/>
      <c r="AK645" s="156"/>
      <c r="AL645" s="379"/>
      <c r="AM645" s="379"/>
      <c r="AN645" s="379"/>
      <c r="AO645" s="50"/>
      <c r="AP645" s="50"/>
    </row>
    <row r="646" spans="1:42" x14ac:dyDescent="0.25">
      <c r="F646" s="381"/>
      <c r="H646" s="381"/>
      <c r="I646" s="381"/>
      <c r="J646" s="221"/>
      <c r="K646" s="221"/>
      <c r="L646" s="381"/>
      <c r="M646" s="381"/>
      <c r="N646" s="381"/>
      <c r="O646" s="381"/>
      <c r="P646" s="381"/>
      <c r="Q646" s="381"/>
      <c r="R646" s="381"/>
      <c r="V646" s="381"/>
      <c r="AA646" s="381"/>
      <c r="AB646" s="221"/>
      <c r="AC646" s="381"/>
      <c r="AD646" s="381"/>
      <c r="AE646" s="381"/>
      <c r="AF646" s="381"/>
      <c r="AG646" s="162"/>
      <c r="AH646" s="381"/>
      <c r="AK646" s="162"/>
      <c r="AL646" s="381"/>
      <c r="AM646" s="381"/>
      <c r="AN646" s="381"/>
    </row>
    <row r="647" spans="1:42" x14ac:dyDescent="0.25">
      <c r="A647" s="53"/>
      <c r="C647" s="54"/>
      <c r="J647" s="65"/>
      <c r="K647" s="65"/>
      <c r="T647" s="54"/>
      <c r="AB647" s="65"/>
    </row>
    <row r="648" spans="1:42" x14ac:dyDescent="0.25">
      <c r="A648" s="53"/>
      <c r="C648" s="54"/>
      <c r="J648" s="65"/>
      <c r="K648" s="65"/>
      <c r="T648" s="54"/>
      <c r="AB648" s="65"/>
    </row>
    <row r="649" spans="1:42" x14ac:dyDescent="0.25">
      <c r="A649" s="53"/>
      <c r="C649" s="54"/>
      <c r="F649" s="449"/>
      <c r="H649" s="449"/>
      <c r="I649" s="449"/>
      <c r="J649" s="221"/>
      <c r="K649" s="221"/>
      <c r="L649" s="379"/>
      <c r="M649" s="379"/>
      <c r="N649" s="50"/>
      <c r="O649" s="50"/>
      <c r="P649" s="379"/>
      <c r="Q649" s="379"/>
      <c r="R649" s="379"/>
      <c r="T649" s="54"/>
      <c r="V649" s="379"/>
      <c r="AA649" s="379"/>
      <c r="AB649" s="221"/>
      <c r="AC649" s="379"/>
      <c r="AD649" s="379"/>
      <c r="AE649" s="50"/>
      <c r="AF649" s="50"/>
      <c r="AG649" s="156"/>
      <c r="AH649" s="379"/>
      <c r="AI649" s="60"/>
      <c r="AJ649" s="60"/>
      <c r="AK649" s="156"/>
      <c r="AL649" s="379"/>
      <c r="AM649" s="379"/>
      <c r="AN649" s="379"/>
      <c r="AO649" s="50"/>
      <c r="AP649" s="50"/>
    </row>
    <row r="650" spans="1:42" x14ac:dyDescent="0.25">
      <c r="A650" s="53"/>
      <c r="C650" s="54"/>
      <c r="F650" s="449"/>
      <c r="H650" s="449"/>
      <c r="I650" s="449"/>
      <c r="J650" s="221"/>
      <c r="K650" s="221"/>
      <c r="L650" s="379"/>
      <c r="M650" s="379"/>
      <c r="N650" s="50"/>
      <c r="O650" s="50"/>
      <c r="P650" s="379"/>
      <c r="Q650" s="379"/>
      <c r="R650" s="379"/>
      <c r="T650" s="54"/>
      <c r="V650" s="379"/>
      <c r="AA650" s="379"/>
      <c r="AB650" s="221"/>
      <c r="AC650" s="379"/>
      <c r="AD650" s="379"/>
      <c r="AE650" s="50"/>
      <c r="AF650" s="50"/>
      <c r="AG650" s="156"/>
      <c r="AH650" s="379"/>
      <c r="AI650" s="60"/>
      <c r="AJ650" s="60"/>
      <c r="AK650" s="156"/>
      <c r="AL650" s="379"/>
      <c r="AM650" s="379"/>
      <c r="AN650" s="379"/>
      <c r="AO650" s="50"/>
      <c r="AP650" s="50"/>
    </row>
    <row r="651" spans="1:42" x14ac:dyDescent="0.25">
      <c r="A651" s="53"/>
      <c r="C651" s="54"/>
      <c r="F651" s="449"/>
      <c r="H651" s="449"/>
      <c r="I651" s="449"/>
      <c r="J651" s="221"/>
      <c r="K651" s="221"/>
      <c r="L651" s="379"/>
      <c r="M651" s="379"/>
      <c r="N651" s="50"/>
      <c r="O651" s="50"/>
      <c r="P651" s="379"/>
      <c r="Q651" s="379"/>
      <c r="R651" s="379"/>
      <c r="T651" s="54"/>
      <c r="V651" s="379"/>
      <c r="AA651" s="379"/>
      <c r="AB651" s="221"/>
      <c r="AC651" s="379"/>
      <c r="AD651" s="379"/>
      <c r="AE651" s="50"/>
      <c r="AF651" s="50"/>
      <c r="AG651" s="156"/>
      <c r="AH651" s="379"/>
      <c r="AI651" s="60"/>
      <c r="AJ651" s="60"/>
      <c r="AK651" s="156"/>
      <c r="AL651" s="379"/>
      <c r="AM651" s="379"/>
      <c r="AN651" s="379"/>
      <c r="AO651" s="50"/>
      <c r="AP651" s="50"/>
    </row>
    <row r="652" spans="1:42" x14ac:dyDescent="0.25">
      <c r="A652" s="53"/>
      <c r="C652" s="54"/>
      <c r="F652" s="449"/>
      <c r="H652" s="449"/>
      <c r="I652" s="449"/>
      <c r="J652" s="221"/>
      <c r="K652" s="221"/>
      <c r="L652" s="379"/>
      <c r="M652" s="379"/>
      <c r="N652" s="50"/>
      <c r="O652" s="50"/>
      <c r="P652" s="379"/>
      <c r="Q652" s="379"/>
      <c r="R652" s="379"/>
      <c r="T652" s="54"/>
      <c r="V652" s="379"/>
      <c r="AA652" s="379"/>
      <c r="AB652" s="221"/>
      <c r="AC652" s="379"/>
      <c r="AD652" s="379"/>
      <c r="AE652" s="50"/>
      <c r="AF652" s="50"/>
      <c r="AG652" s="156"/>
      <c r="AH652" s="379"/>
      <c r="AI652" s="60"/>
      <c r="AJ652" s="60"/>
      <c r="AK652" s="156"/>
      <c r="AL652" s="379"/>
      <c r="AM652" s="379"/>
      <c r="AN652" s="379"/>
      <c r="AO652" s="50"/>
      <c r="AP652" s="50"/>
    </row>
    <row r="653" spans="1:42" x14ac:dyDescent="0.25">
      <c r="A653" s="53"/>
      <c r="C653" s="54"/>
      <c r="F653" s="449"/>
      <c r="H653" s="449"/>
      <c r="I653" s="449"/>
      <c r="J653" s="221"/>
      <c r="K653" s="221"/>
      <c r="L653" s="379"/>
      <c r="M653" s="379"/>
      <c r="N653" s="50"/>
      <c r="O653" s="50"/>
      <c r="P653" s="379"/>
      <c r="Q653" s="379"/>
      <c r="R653" s="379"/>
      <c r="T653" s="54"/>
      <c r="V653" s="379"/>
      <c r="AA653" s="379"/>
      <c r="AB653" s="221"/>
      <c r="AC653" s="379"/>
      <c r="AD653" s="379"/>
      <c r="AE653" s="50"/>
      <c r="AF653" s="50"/>
      <c r="AG653" s="156"/>
      <c r="AH653" s="379"/>
      <c r="AI653" s="60"/>
      <c r="AJ653" s="60"/>
      <c r="AK653" s="156"/>
      <c r="AL653" s="379"/>
      <c r="AM653" s="379"/>
      <c r="AN653" s="379"/>
      <c r="AO653" s="50"/>
      <c r="AP653" s="50"/>
    </row>
    <row r="654" spans="1:42" x14ac:dyDescent="0.25">
      <c r="A654" s="53"/>
      <c r="C654" s="54"/>
      <c r="F654" s="449"/>
      <c r="H654" s="449"/>
      <c r="I654" s="449"/>
      <c r="J654" s="221"/>
      <c r="K654" s="221"/>
      <c r="L654" s="379"/>
      <c r="M654" s="379"/>
      <c r="N654" s="50"/>
      <c r="O654" s="50"/>
      <c r="P654" s="379"/>
      <c r="Q654" s="379"/>
      <c r="R654" s="379"/>
      <c r="T654" s="54"/>
      <c r="V654" s="379"/>
      <c r="AA654" s="379"/>
      <c r="AB654" s="221"/>
      <c r="AC654" s="379"/>
      <c r="AD654" s="379"/>
      <c r="AE654" s="50"/>
      <c r="AF654" s="50"/>
      <c r="AG654" s="156"/>
      <c r="AH654" s="379"/>
      <c r="AI654" s="60"/>
      <c r="AJ654" s="60"/>
      <c r="AK654" s="156"/>
      <c r="AL654" s="379"/>
      <c r="AM654" s="379"/>
      <c r="AN654" s="379"/>
      <c r="AO654" s="50"/>
      <c r="AP654" s="50"/>
    </row>
    <row r="655" spans="1:42" x14ac:dyDescent="0.25">
      <c r="A655" s="53"/>
      <c r="C655" s="54"/>
      <c r="F655" s="449"/>
      <c r="H655" s="449"/>
      <c r="I655" s="449"/>
      <c r="J655" s="221"/>
      <c r="K655" s="221"/>
      <c r="L655" s="379"/>
      <c r="M655" s="379"/>
      <c r="N655" s="50"/>
      <c r="O655" s="50"/>
      <c r="P655" s="379"/>
      <c r="Q655" s="379"/>
      <c r="R655" s="379"/>
      <c r="T655" s="54"/>
      <c r="V655" s="379"/>
      <c r="AA655" s="379"/>
      <c r="AB655" s="221"/>
      <c r="AC655" s="379"/>
      <c r="AD655" s="379"/>
      <c r="AE655" s="50"/>
      <c r="AF655" s="50"/>
      <c r="AG655" s="156"/>
      <c r="AH655" s="379"/>
      <c r="AI655" s="60"/>
      <c r="AJ655" s="60"/>
      <c r="AK655" s="156"/>
      <c r="AL655" s="379"/>
      <c r="AM655" s="379"/>
      <c r="AN655" s="379"/>
      <c r="AO655" s="50"/>
      <c r="AP655" s="50"/>
    </row>
    <row r="656" spans="1:42" x14ac:dyDescent="0.25">
      <c r="A656" s="53"/>
      <c r="C656" s="54"/>
      <c r="J656" s="65"/>
      <c r="K656" s="65"/>
      <c r="T656" s="54"/>
      <c r="AB656" s="65"/>
    </row>
    <row r="657" spans="1:42" x14ac:dyDescent="0.25">
      <c r="A657" s="53"/>
      <c r="C657" s="54"/>
      <c r="F657" s="449"/>
      <c r="H657" s="449"/>
      <c r="I657" s="449"/>
      <c r="J657" s="221"/>
      <c r="K657" s="221"/>
      <c r="L657" s="379"/>
      <c r="M657" s="379"/>
      <c r="N657" s="50"/>
      <c r="O657" s="50"/>
      <c r="P657" s="379"/>
      <c r="Q657" s="379"/>
      <c r="R657" s="379"/>
      <c r="T657" s="54"/>
      <c r="V657" s="379"/>
      <c r="AA657" s="379"/>
      <c r="AB657" s="221"/>
      <c r="AC657" s="379"/>
      <c r="AD657" s="379"/>
      <c r="AE657" s="50"/>
      <c r="AF657" s="50"/>
      <c r="AG657" s="156"/>
      <c r="AH657" s="379"/>
      <c r="AI657" s="60"/>
      <c r="AJ657" s="60"/>
      <c r="AK657" s="156"/>
      <c r="AL657" s="379"/>
      <c r="AM657" s="379"/>
      <c r="AN657" s="379"/>
      <c r="AO657" s="50"/>
      <c r="AP657" s="50"/>
    </row>
    <row r="658" spans="1:42" x14ac:dyDescent="0.25">
      <c r="A658" s="53"/>
      <c r="C658" s="54"/>
      <c r="F658" s="449"/>
      <c r="H658" s="449"/>
      <c r="I658" s="449"/>
      <c r="J658" s="221"/>
      <c r="K658" s="221"/>
      <c r="L658" s="379"/>
      <c r="M658" s="379"/>
      <c r="N658" s="50"/>
      <c r="O658" s="50"/>
      <c r="P658" s="379"/>
      <c r="Q658" s="379"/>
      <c r="R658" s="379"/>
      <c r="T658" s="54"/>
      <c r="V658" s="379"/>
      <c r="AA658" s="379"/>
      <c r="AB658" s="221"/>
      <c r="AC658" s="379"/>
      <c r="AD658" s="379"/>
      <c r="AE658" s="50"/>
      <c r="AF658" s="50"/>
      <c r="AG658" s="156"/>
      <c r="AH658" s="379"/>
      <c r="AI658" s="60"/>
      <c r="AJ658" s="60"/>
      <c r="AK658" s="156"/>
      <c r="AL658" s="379"/>
      <c r="AM658" s="379"/>
      <c r="AN658" s="379"/>
      <c r="AO658" s="50"/>
      <c r="AP658" s="50"/>
    </row>
    <row r="659" spans="1:42" x14ac:dyDescent="0.25">
      <c r="A659" s="53"/>
      <c r="C659" s="54"/>
      <c r="F659" s="449"/>
      <c r="H659" s="449"/>
      <c r="I659" s="449"/>
      <c r="J659" s="221"/>
      <c r="K659" s="221"/>
      <c r="L659" s="379"/>
      <c r="M659" s="379"/>
      <c r="N659" s="50"/>
      <c r="O659" s="50"/>
      <c r="P659" s="379"/>
      <c r="Q659" s="379"/>
      <c r="R659" s="379"/>
      <c r="T659" s="54"/>
      <c r="V659" s="379"/>
      <c r="AA659" s="379"/>
      <c r="AB659" s="221"/>
      <c r="AC659" s="379"/>
      <c r="AD659" s="379"/>
      <c r="AE659" s="50"/>
      <c r="AF659" s="50"/>
      <c r="AG659" s="156"/>
      <c r="AH659" s="379"/>
      <c r="AI659" s="60"/>
      <c r="AJ659" s="60"/>
      <c r="AK659" s="156"/>
      <c r="AL659" s="379"/>
      <c r="AM659" s="379"/>
      <c r="AN659" s="379"/>
      <c r="AO659" s="50"/>
      <c r="AP659" s="50"/>
    </row>
    <row r="660" spans="1:42" x14ac:dyDescent="0.25">
      <c r="A660" s="53"/>
      <c r="C660" s="54"/>
      <c r="F660" s="449"/>
      <c r="H660" s="449"/>
      <c r="I660" s="449"/>
      <c r="J660" s="221"/>
      <c r="K660" s="221"/>
      <c r="L660" s="379"/>
      <c r="M660" s="379"/>
      <c r="N660" s="50"/>
      <c r="O660" s="50"/>
      <c r="P660" s="379"/>
      <c r="Q660" s="379"/>
      <c r="R660" s="379"/>
      <c r="T660" s="54"/>
      <c r="V660" s="379"/>
      <c r="AA660" s="379"/>
      <c r="AB660" s="221"/>
      <c r="AC660" s="379"/>
      <c r="AD660" s="379"/>
      <c r="AE660" s="50"/>
      <c r="AF660" s="50"/>
      <c r="AG660" s="156"/>
      <c r="AH660" s="379"/>
      <c r="AI660" s="60"/>
      <c r="AJ660" s="60"/>
      <c r="AK660" s="156"/>
      <c r="AL660" s="379"/>
      <c r="AM660" s="379"/>
      <c r="AN660" s="379"/>
      <c r="AO660" s="50"/>
      <c r="AP660" s="50"/>
    </row>
    <row r="661" spans="1:42" x14ac:dyDescent="0.25">
      <c r="A661" s="53"/>
      <c r="C661" s="54"/>
      <c r="J661" s="65"/>
      <c r="K661" s="65"/>
      <c r="T661" s="54"/>
      <c r="AB661" s="65"/>
    </row>
    <row r="662" spans="1:42" x14ac:dyDescent="0.25">
      <c r="A662" s="53"/>
      <c r="C662" s="54"/>
      <c r="F662" s="449"/>
      <c r="H662" s="449"/>
      <c r="I662" s="449"/>
      <c r="J662" s="221"/>
      <c r="K662" s="221"/>
      <c r="L662" s="379"/>
      <c r="M662" s="379"/>
      <c r="N662" s="50"/>
      <c r="O662" s="50"/>
      <c r="P662" s="379"/>
      <c r="Q662" s="379"/>
      <c r="R662" s="379"/>
      <c r="T662" s="54"/>
      <c r="V662" s="379"/>
      <c r="AA662" s="379"/>
      <c r="AB662" s="221"/>
      <c r="AC662" s="379"/>
      <c r="AD662" s="379"/>
      <c r="AE662" s="50"/>
      <c r="AF662" s="50"/>
      <c r="AG662" s="156"/>
      <c r="AH662" s="379"/>
      <c r="AI662" s="60"/>
      <c r="AJ662" s="60"/>
      <c r="AK662" s="156"/>
      <c r="AL662" s="379"/>
      <c r="AM662" s="379"/>
      <c r="AN662" s="379"/>
      <c r="AO662" s="50"/>
      <c r="AP662" s="50"/>
    </row>
    <row r="663" spans="1:42" x14ac:dyDescent="0.25">
      <c r="A663" s="53"/>
      <c r="C663" s="54"/>
      <c r="F663" s="449"/>
      <c r="H663" s="449"/>
      <c r="I663" s="449"/>
      <c r="J663" s="221"/>
      <c r="K663" s="221"/>
      <c r="L663" s="379"/>
      <c r="M663" s="379"/>
      <c r="N663" s="50"/>
      <c r="O663" s="50"/>
      <c r="P663" s="379"/>
      <c r="Q663" s="379"/>
      <c r="R663" s="379"/>
      <c r="T663" s="54"/>
      <c r="V663" s="379"/>
      <c r="AA663" s="379"/>
      <c r="AB663" s="221"/>
      <c r="AC663" s="379"/>
      <c r="AD663" s="379"/>
      <c r="AE663" s="50"/>
      <c r="AF663" s="50"/>
      <c r="AG663" s="156"/>
      <c r="AH663" s="379"/>
      <c r="AI663" s="60"/>
      <c r="AJ663" s="60"/>
      <c r="AK663" s="156"/>
      <c r="AL663" s="379"/>
      <c r="AM663" s="379"/>
      <c r="AN663" s="379"/>
      <c r="AO663" s="50"/>
      <c r="AP663" s="50"/>
    </row>
    <row r="664" spans="1:42" x14ac:dyDescent="0.25">
      <c r="A664" s="53"/>
      <c r="C664" s="54"/>
      <c r="F664" s="449"/>
      <c r="H664" s="449"/>
      <c r="I664" s="449"/>
      <c r="J664" s="221"/>
      <c r="K664" s="221"/>
      <c r="L664" s="379"/>
      <c r="M664" s="379"/>
      <c r="N664" s="50"/>
      <c r="O664" s="50"/>
      <c r="P664" s="379"/>
      <c r="Q664" s="379"/>
      <c r="R664" s="379"/>
      <c r="T664" s="54"/>
      <c r="V664" s="379"/>
      <c r="AA664" s="379"/>
      <c r="AB664" s="221"/>
      <c r="AC664" s="379"/>
      <c r="AD664" s="379"/>
      <c r="AE664" s="50"/>
      <c r="AF664" s="50"/>
      <c r="AG664" s="156"/>
      <c r="AH664" s="379"/>
      <c r="AI664" s="60"/>
      <c r="AJ664" s="60"/>
      <c r="AK664" s="156"/>
      <c r="AL664" s="379"/>
      <c r="AM664" s="379"/>
      <c r="AN664" s="379"/>
      <c r="AO664" s="50"/>
      <c r="AP664" s="50"/>
    </row>
    <row r="665" spans="1:42" x14ac:dyDescent="0.25">
      <c r="A665" s="53"/>
      <c r="C665" s="54"/>
      <c r="F665" s="449"/>
      <c r="H665" s="449"/>
      <c r="I665" s="449"/>
      <c r="J665" s="221"/>
      <c r="K665" s="221"/>
      <c r="L665" s="379"/>
      <c r="M665" s="379"/>
      <c r="N665" s="50"/>
      <c r="O665" s="50"/>
      <c r="P665" s="379"/>
      <c r="Q665" s="379"/>
      <c r="R665" s="379"/>
      <c r="T665" s="54"/>
      <c r="V665" s="379"/>
      <c r="AA665" s="379"/>
      <c r="AB665" s="221"/>
      <c r="AC665" s="379"/>
      <c r="AD665" s="379"/>
      <c r="AE665" s="50"/>
      <c r="AF665" s="50"/>
      <c r="AG665" s="156"/>
      <c r="AH665" s="379"/>
      <c r="AI665" s="60"/>
      <c r="AJ665" s="60"/>
      <c r="AK665" s="156"/>
      <c r="AL665" s="379"/>
      <c r="AM665" s="379"/>
      <c r="AN665" s="379"/>
      <c r="AO665" s="50"/>
      <c r="AP665" s="50"/>
    </row>
    <row r="666" spans="1:42" x14ac:dyDescent="0.25">
      <c r="A666" s="53"/>
      <c r="C666" s="54"/>
      <c r="F666" s="449"/>
      <c r="H666" s="449"/>
      <c r="I666" s="449"/>
      <c r="J666" s="221"/>
      <c r="K666" s="221"/>
      <c r="L666" s="379"/>
      <c r="M666" s="379"/>
      <c r="N666" s="50"/>
      <c r="O666" s="50"/>
      <c r="P666" s="379"/>
      <c r="Q666" s="379"/>
      <c r="R666" s="379"/>
      <c r="T666" s="54"/>
      <c r="V666" s="379"/>
      <c r="AA666" s="379"/>
      <c r="AB666" s="221"/>
      <c r="AC666" s="379"/>
      <c r="AD666" s="379"/>
      <c r="AE666" s="50"/>
      <c r="AF666" s="50"/>
      <c r="AG666" s="156"/>
      <c r="AH666" s="379"/>
      <c r="AI666" s="60"/>
      <c r="AJ666" s="60"/>
      <c r="AK666" s="156"/>
      <c r="AL666" s="379"/>
      <c r="AM666" s="379"/>
      <c r="AN666" s="379"/>
      <c r="AO666" s="50"/>
      <c r="AP666" s="50"/>
    </row>
    <row r="667" spans="1:42" x14ac:dyDescent="0.25">
      <c r="F667" s="381"/>
      <c r="H667" s="381"/>
      <c r="I667" s="381"/>
      <c r="J667" s="464"/>
      <c r="K667" s="464"/>
      <c r="L667" s="381"/>
      <c r="M667" s="381"/>
      <c r="N667" s="381"/>
      <c r="O667" s="381"/>
      <c r="P667" s="381"/>
      <c r="Q667" s="381"/>
      <c r="R667" s="381"/>
      <c r="V667" s="381"/>
      <c r="AA667" s="381"/>
      <c r="AB667" s="221"/>
      <c r="AC667" s="381"/>
      <c r="AD667" s="381"/>
      <c r="AE667" s="381"/>
      <c r="AF667" s="381"/>
      <c r="AG667" s="162"/>
      <c r="AH667" s="381"/>
      <c r="AK667" s="162"/>
      <c r="AL667" s="381"/>
      <c r="AM667" s="381"/>
      <c r="AN667" s="381"/>
    </row>
    <row r="668" spans="1:42" x14ac:dyDescent="0.25">
      <c r="A668" s="53"/>
      <c r="C668" s="54"/>
      <c r="F668" s="379"/>
      <c r="H668" s="379"/>
      <c r="I668" s="379"/>
      <c r="L668" s="379"/>
      <c r="M668" s="379"/>
      <c r="N668" s="60"/>
      <c r="O668" s="60"/>
      <c r="P668" s="379"/>
      <c r="Q668" s="379"/>
      <c r="R668" s="379"/>
      <c r="T668" s="54"/>
      <c r="V668" s="379"/>
      <c r="AA668" s="379"/>
      <c r="AC668" s="379"/>
      <c r="AD668" s="379"/>
      <c r="AE668" s="50"/>
      <c r="AF668" s="50"/>
      <c r="AG668" s="156"/>
      <c r="AH668" s="379"/>
      <c r="AI668" s="60"/>
      <c r="AJ668" s="60"/>
      <c r="AK668" s="156"/>
      <c r="AL668" s="379"/>
      <c r="AM668" s="379"/>
      <c r="AN668" s="379"/>
      <c r="AO668" s="50"/>
      <c r="AP668" s="50"/>
    </row>
    <row r="669" spans="1:42" x14ac:dyDescent="0.25">
      <c r="F669" s="381"/>
      <c r="H669" s="381"/>
      <c r="I669" s="381"/>
      <c r="J669" s="464"/>
      <c r="K669" s="464"/>
      <c r="L669" s="381"/>
      <c r="M669" s="381"/>
      <c r="N669" s="381"/>
      <c r="O669" s="381"/>
      <c r="P669" s="381"/>
      <c r="Q669" s="381"/>
      <c r="R669" s="381"/>
      <c r="V669" s="381"/>
      <c r="AA669" s="381"/>
      <c r="AB669" s="464"/>
      <c r="AC669" s="381"/>
      <c r="AD669" s="381"/>
      <c r="AE669" s="381"/>
      <c r="AF669" s="381"/>
      <c r="AG669" s="162"/>
      <c r="AH669" s="381"/>
      <c r="AK669" s="162"/>
      <c r="AL669" s="381"/>
      <c r="AM669" s="381"/>
      <c r="AN669" s="381"/>
    </row>
    <row r="670" spans="1:42" x14ac:dyDescent="0.25">
      <c r="A670" s="53"/>
      <c r="C670" s="54"/>
      <c r="T670" s="54"/>
    </row>
    <row r="671" spans="1:42" x14ac:dyDescent="0.25">
      <c r="A671" s="53"/>
      <c r="C671" s="54"/>
      <c r="F671" s="449"/>
      <c r="H671" s="449"/>
      <c r="I671" s="449"/>
      <c r="J671" s="461"/>
      <c r="K671" s="461"/>
      <c r="L671" s="379"/>
      <c r="M671" s="379"/>
      <c r="N671" s="50"/>
      <c r="O671" s="50"/>
      <c r="P671" s="379"/>
      <c r="Q671" s="379"/>
      <c r="R671" s="379"/>
      <c r="T671" s="54"/>
      <c r="V671" s="379"/>
      <c r="AA671" s="379"/>
      <c r="AB671" s="461"/>
      <c r="AC671" s="379"/>
      <c r="AD671" s="379"/>
      <c r="AE671" s="50"/>
      <c r="AF671" s="50"/>
      <c r="AG671" s="156"/>
      <c r="AH671" s="379"/>
      <c r="AI671" s="60"/>
      <c r="AJ671" s="60"/>
      <c r="AK671" s="156"/>
      <c r="AL671" s="379"/>
      <c r="AM671" s="379"/>
      <c r="AN671" s="379"/>
      <c r="AO671" s="50"/>
      <c r="AP671" s="50"/>
    </row>
    <row r="672" spans="1:42" x14ac:dyDescent="0.25">
      <c r="A672" s="53"/>
      <c r="C672" s="54"/>
      <c r="F672" s="449"/>
      <c r="H672" s="449"/>
      <c r="I672" s="449"/>
      <c r="J672" s="461"/>
      <c r="K672" s="461"/>
      <c r="L672" s="379"/>
      <c r="M672" s="379"/>
      <c r="N672" s="50"/>
      <c r="O672" s="50"/>
      <c r="P672" s="379"/>
      <c r="Q672" s="379"/>
      <c r="R672" s="379"/>
      <c r="T672" s="54"/>
      <c r="V672" s="379"/>
      <c r="AA672" s="379"/>
      <c r="AB672" s="461"/>
      <c r="AC672" s="379"/>
      <c r="AD672" s="379"/>
      <c r="AE672" s="50"/>
      <c r="AF672" s="50"/>
      <c r="AG672" s="156"/>
      <c r="AH672" s="379"/>
      <c r="AI672" s="60"/>
      <c r="AJ672" s="60"/>
      <c r="AK672" s="156"/>
      <c r="AL672" s="379"/>
      <c r="AM672" s="379"/>
      <c r="AN672" s="379"/>
      <c r="AO672" s="50"/>
      <c r="AP672" s="50"/>
    </row>
    <row r="673" spans="1:42" x14ac:dyDescent="0.25">
      <c r="F673" s="381"/>
      <c r="H673" s="379"/>
      <c r="I673" s="379"/>
      <c r="J673" s="464"/>
      <c r="K673" s="464"/>
      <c r="L673" s="381"/>
      <c r="M673" s="381"/>
      <c r="N673" s="381"/>
      <c r="O673" s="381"/>
      <c r="P673" s="381"/>
      <c r="Q673" s="381"/>
      <c r="R673" s="381"/>
      <c r="V673" s="381"/>
      <c r="AA673" s="379"/>
      <c r="AB673" s="464"/>
      <c r="AC673" s="381"/>
      <c r="AD673" s="381"/>
      <c r="AE673" s="381"/>
      <c r="AF673" s="381"/>
      <c r="AG673" s="162"/>
      <c r="AH673" s="381"/>
      <c r="AK673" s="162"/>
      <c r="AL673" s="381"/>
      <c r="AM673" s="381"/>
      <c r="AN673" s="381"/>
    </row>
    <row r="674" spans="1:42" x14ac:dyDescent="0.25">
      <c r="F674" s="379"/>
      <c r="H674" s="379"/>
      <c r="I674" s="379"/>
      <c r="J674" s="464"/>
      <c r="K674" s="464"/>
      <c r="L674" s="379"/>
      <c r="M674" s="379"/>
      <c r="N674" s="379"/>
      <c r="O674" s="379"/>
      <c r="P674" s="379"/>
      <c r="Q674" s="379"/>
      <c r="R674" s="379"/>
      <c r="V674" s="379"/>
      <c r="AA674" s="379"/>
      <c r="AB674" s="464"/>
      <c r="AC674" s="379"/>
      <c r="AD674" s="379"/>
      <c r="AE674" s="379"/>
      <c r="AF674" s="379"/>
      <c r="AG674" s="156"/>
      <c r="AH674" s="379"/>
      <c r="AK674" s="156"/>
      <c r="AL674" s="379"/>
      <c r="AM674" s="379"/>
      <c r="AN674" s="379"/>
    </row>
    <row r="675" spans="1:42" x14ac:dyDescent="0.25">
      <c r="A675" s="53"/>
      <c r="C675" s="54"/>
      <c r="F675" s="379"/>
      <c r="H675" s="379"/>
      <c r="I675" s="379"/>
      <c r="L675" s="379"/>
      <c r="M675" s="379"/>
      <c r="N675" s="50"/>
      <c r="O675" s="50"/>
      <c r="P675" s="379"/>
      <c r="Q675" s="379"/>
      <c r="R675" s="379"/>
      <c r="T675" s="54"/>
      <c r="V675" s="379"/>
      <c r="AA675" s="379"/>
      <c r="AC675" s="379"/>
      <c r="AD675" s="379"/>
      <c r="AE675" s="50"/>
      <c r="AF675" s="50"/>
      <c r="AG675" s="156"/>
      <c r="AH675" s="379"/>
      <c r="AI675" s="60"/>
      <c r="AJ675" s="60"/>
      <c r="AK675" s="474"/>
      <c r="AL675" s="449"/>
      <c r="AM675" s="379"/>
      <c r="AN675" s="379"/>
      <c r="AO675" s="50"/>
      <c r="AP675" s="50"/>
    </row>
    <row r="676" spans="1:42" x14ac:dyDescent="0.25">
      <c r="H676" s="381"/>
      <c r="I676" s="381"/>
      <c r="J676" s="464"/>
      <c r="K676" s="464"/>
      <c r="L676" s="381"/>
      <c r="M676" s="381"/>
      <c r="N676" s="381"/>
      <c r="O676" s="381"/>
      <c r="P676" s="381"/>
      <c r="Q676" s="381"/>
      <c r="R676" s="381"/>
      <c r="V676" s="381"/>
      <c r="AA676" s="381"/>
      <c r="AB676" s="464"/>
      <c r="AC676" s="381"/>
      <c r="AD676" s="381"/>
      <c r="AE676" s="381"/>
      <c r="AF676" s="381"/>
      <c r="AG676" s="162"/>
      <c r="AH676" s="381"/>
      <c r="AK676" s="162"/>
      <c r="AL676" s="381"/>
      <c r="AM676" s="381"/>
      <c r="AN676" s="381"/>
    </row>
    <row r="677" spans="1:42" x14ac:dyDescent="0.25">
      <c r="F677" s="381"/>
    </row>
    <row r="678" spans="1:42" x14ac:dyDescent="0.25">
      <c r="A678" s="54"/>
      <c r="T678" s="54"/>
    </row>
    <row r="679" spans="1:42" x14ac:dyDescent="0.25">
      <c r="A679" s="54"/>
      <c r="T679" s="54"/>
    </row>
    <row r="680" spans="1:42" x14ac:dyDescent="0.25">
      <c r="A680" s="54"/>
      <c r="T680" s="54"/>
    </row>
    <row r="681" spans="1:42" x14ac:dyDescent="0.25">
      <c r="A681" s="54"/>
      <c r="T681" s="54"/>
    </row>
    <row r="682" spans="1:42" x14ac:dyDescent="0.25">
      <c r="A682" s="54"/>
      <c r="T682" s="54"/>
    </row>
    <row r="683" spans="1:42" x14ac:dyDescent="0.25">
      <c r="A683" s="54"/>
      <c r="T683" s="54"/>
    </row>
    <row r="684" spans="1:42" x14ac:dyDescent="0.25">
      <c r="A684" s="54"/>
      <c r="T684" s="54"/>
    </row>
    <row r="685" spans="1:42" x14ac:dyDescent="0.25">
      <c r="A685" s="54"/>
      <c r="T685" s="54"/>
    </row>
    <row r="686" spans="1:42" x14ac:dyDescent="0.25">
      <c r="A686" s="54"/>
      <c r="T686" s="54"/>
    </row>
    <row r="688" spans="1:42" x14ac:dyDescent="0.25">
      <c r="A688" s="54"/>
    </row>
    <row r="689" spans="1:42" x14ac:dyDescent="0.25">
      <c r="J689" s="53"/>
      <c r="K689" s="53"/>
      <c r="AB689" s="53"/>
    </row>
    <row r="690" spans="1:42" x14ac:dyDescent="0.25">
      <c r="H690" s="54"/>
      <c r="I690" s="54"/>
      <c r="AA690" s="54"/>
    </row>
    <row r="691" spans="1:42" x14ac:dyDescent="0.25">
      <c r="J691" s="53"/>
      <c r="K691" s="53"/>
      <c r="AB691" s="53"/>
    </row>
    <row r="692" spans="1:42" x14ac:dyDescent="0.25">
      <c r="L692" s="54"/>
      <c r="M692" s="54"/>
      <c r="AC692" s="54"/>
      <c r="AD692" s="54"/>
    </row>
    <row r="693" spans="1:42" x14ac:dyDescent="0.25">
      <c r="A693" s="53"/>
      <c r="R693" s="54"/>
      <c r="AM693" s="54"/>
      <c r="AN693" s="54"/>
    </row>
    <row r="694" spans="1:42" x14ac:dyDescent="0.25">
      <c r="A694" s="53"/>
      <c r="R694" s="54"/>
      <c r="AM694" s="54"/>
      <c r="AN694" s="54"/>
    </row>
    <row r="695" spans="1:42" x14ac:dyDescent="0.25">
      <c r="A695" s="54"/>
      <c r="R695" s="54"/>
      <c r="AM695" s="54"/>
      <c r="AN695" s="54"/>
    </row>
    <row r="696" spans="1:42" x14ac:dyDescent="0.25">
      <c r="L696" s="54"/>
      <c r="M696" s="54"/>
      <c r="R696" s="53"/>
      <c r="AC696" s="54"/>
      <c r="AD696" s="54"/>
      <c r="AM696" s="53"/>
      <c r="AN696" s="53"/>
    </row>
    <row r="697" spans="1:42" x14ac:dyDescent="0.25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154"/>
      <c r="AH697" s="55"/>
      <c r="AI697" s="55"/>
      <c r="AJ697" s="55"/>
      <c r="AK697" s="154"/>
      <c r="AL697" s="55"/>
      <c r="AM697" s="55"/>
      <c r="AN697" s="55"/>
      <c r="AO697" s="55"/>
      <c r="AP697" s="55"/>
    </row>
    <row r="698" spans="1:42" x14ac:dyDescent="0.25">
      <c r="L698" s="56"/>
      <c r="M698" s="56"/>
      <c r="N698" s="56"/>
      <c r="O698" s="56"/>
      <c r="R698" s="56"/>
      <c r="AC698" s="56"/>
      <c r="AD698" s="56"/>
      <c r="AE698" s="56"/>
      <c r="AF698" s="56"/>
      <c r="AG698" s="155"/>
      <c r="AH698" s="56"/>
      <c r="AI698" s="56"/>
      <c r="AJ698" s="56"/>
      <c r="AM698" s="56"/>
      <c r="AN698" s="56"/>
      <c r="AO698" s="56"/>
      <c r="AP698" s="56"/>
    </row>
    <row r="699" spans="1:42" x14ac:dyDescent="0.25">
      <c r="L699" s="56"/>
      <c r="M699" s="56"/>
      <c r="N699" s="56"/>
      <c r="O699" s="56"/>
      <c r="R699" s="56"/>
      <c r="AB699" s="56"/>
      <c r="AC699" s="56"/>
      <c r="AD699" s="56"/>
      <c r="AE699" s="56"/>
      <c r="AF699" s="56"/>
      <c r="AG699" s="155"/>
      <c r="AH699" s="56"/>
      <c r="AI699" s="56"/>
      <c r="AJ699" s="56"/>
      <c r="AM699" s="56"/>
      <c r="AN699" s="56"/>
      <c r="AO699" s="56"/>
      <c r="AP699" s="56"/>
    </row>
    <row r="700" spans="1:42" x14ac:dyDescent="0.25">
      <c r="A700" s="56"/>
      <c r="C700" s="56"/>
      <c r="D700" s="56"/>
      <c r="E700" s="56"/>
      <c r="F700" s="56"/>
      <c r="J700" s="56"/>
      <c r="K700" s="56"/>
      <c r="L700" s="56"/>
      <c r="M700" s="56"/>
      <c r="N700" s="56"/>
      <c r="O700" s="56"/>
      <c r="P700" s="56"/>
      <c r="Q700" s="56"/>
      <c r="R700" s="56"/>
      <c r="T700" s="56"/>
      <c r="U700" s="56"/>
      <c r="V700" s="56"/>
      <c r="AB700" s="56"/>
      <c r="AC700" s="56"/>
      <c r="AD700" s="56"/>
      <c r="AE700" s="56"/>
      <c r="AF700" s="56"/>
      <c r="AG700" s="155"/>
      <c r="AH700" s="56"/>
      <c r="AI700" s="56"/>
      <c r="AJ700" s="56"/>
      <c r="AK700" s="155"/>
      <c r="AL700" s="56"/>
      <c r="AM700" s="56"/>
      <c r="AN700" s="56"/>
      <c r="AO700" s="56"/>
      <c r="AP700" s="56"/>
    </row>
    <row r="701" spans="1:42" x14ac:dyDescent="0.25">
      <c r="A701" s="56"/>
      <c r="C701" s="56"/>
      <c r="D701" s="56"/>
      <c r="E701" s="56"/>
      <c r="F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T701" s="56"/>
      <c r="U701" s="56"/>
      <c r="V701" s="56"/>
      <c r="AA701" s="56"/>
      <c r="AB701" s="56"/>
      <c r="AC701" s="56"/>
      <c r="AD701" s="56"/>
      <c r="AE701" s="56"/>
      <c r="AF701" s="56"/>
      <c r="AG701" s="155"/>
      <c r="AH701" s="56"/>
      <c r="AI701" s="56"/>
      <c r="AJ701" s="56"/>
      <c r="AK701" s="155"/>
      <c r="AL701" s="56"/>
      <c r="AM701" s="56"/>
      <c r="AN701" s="56"/>
      <c r="AO701" s="56"/>
      <c r="AP701" s="56"/>
    </row>
    <row r="702" spans="1:42" x14ac:dyDescent="0.25">
      <c r="C702" s="56"/>
      <c r="D702" s="56"/>
      <c r="E702" s="56"/>
      <c r="F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T702" s="56"/>
      <c r="U702" s="56"/>
      <c r="V702" s="56"/>
      <c r="AA702" s="56"/>
      <c r="AB702" s="56"/>
      <c r="AC702" s="56"/>
      <c r="AD702" s="56"/>
      <c r="AE702" s="56"/>
      <c r="AF702" s="56"/>
      <c r="AG702" s="155"/>
      <c r="AH702" s="56"/>
      <c r="AI702" s="56"/>
      <c r="AJ702" s="56"/>
      <c r="AK702" s="155"/>
      <c r="AL702" s="56"/>
      <c r="AM702" s="56"/>
      <c r="AN702" s="56"/>
      <c r="AO702" s="56"/>
      <c r="AP702" s="56"/>
    </row>
    <row r="703" spans="1:42" x14ac:dyDescent="0.25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154"/>
      <c r="AH703" s="55"/>
      <c r="AI703" s="55"/>
      <c r="AJ703" s="55"/>
      <c r="AK703" s="154"/>
      <c r="AL703" s="55"/>
      <c r="AM703" s="55"/>
      <c r="AN703" s="55"/>
      <c r="AO703" s="55"/>
      <c r="AP703" s="55"/>
    </row>
    <row r="704" spans="1:42" x14ac:dyDescent="0.25"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AA704" s="56"/>
      <c r="AB704" s="56"/>
      <c r="AC704" s="56"/>
      <c r="AD704" s="56"/>
      <c r="AE704" s="56"/>
      <c r="AF704" s="56"/>
      <c r="AG704" s="155"/>
      <c r="AH704" s="56"/>
      <c r="AI704" s="56"/>
      <c r="AJ704" s="56"/>
      <c r="AK704" s="155"/>
      <c r="AL704" s="56"/>
      <c r="AM704" s="56"/>
      <c r="AN704" s="56"/>
      <c r="AO704" s="56"/>
      <c r="AP704" s="56"/>
    </row>
    <row r="705" spans="1:42" x14ac:dyDescent="0.25">
      <c r="A705" s="53"/>
      <c r="C705" s="54"/>
      <c r="D705" s="54"/>
      <c r="E705" s="54"/>
      <c r="T705" s="54"/>
      <c r="U705" s="54"/>
    </row>
    <row r="706" spans="1:42" x14ac:dyDescent="0.25">
      <c r="A706" s="53"/>
      <c r="D706" s="54"/>
      <c r="E706" s="54"/>
      <c r="U706" s="54"/>
    </row>
    <row r="708" spans="1:42" x14ac:dyDescent="0.25">
      <c r="A708" s="53"/>
      <c r="C708" s="54"/>
      <c r="F708" s="379"/>
      <c r="J708" s="62"/>
      <c r="K708" s="62"/>
      <c r="L708" s="379"/>
      <c r="M708" s="379"/>
      <c r="R708" s="379"/>
      <c r="T708" s="54"/>
      <c r="V708" s="379"/>
      <c r="AB708" s="62"/>
      <c r="AC708" s="379"/>
      <c r="AD708" s="379"/>
      <c r="AI708" s="379"/>
      <c r="AJ708" s="379"/>
      <c r="AM708" s="379"/>
      <c r="AN708" s="379"/>
    </row>
    <row r="709" spans="1:42" x14ac:dyDescent="0.25">
      <c r="A709" s="53"/>
      <c r="C709" s="54"/>
      <c r="F709" s="379"/>
      <c r="R709" s="379"/>
      <c r="T709" s="54"/>
      <c r="V709" s="379"/>
      <c r="AI709" s="379"/>
      <c r="AJ709" s="379"/>
      <c r="AM709" s="379"/>
      <c r="AN709" s="379"/>
    </row>
    <row r="710" spans="1:42" x14ac:dyDescent="0.25">
      <c r="AK710" s="156"/>
      <c r="AL710" s="379"/>
      <c r="AM710" s="379"/>
      <c r="AN710" s="379"/>
      <c r="AO710" s="50"/>
      <c r="AP710" s="50"/>
    </row>
    <row r="711" spans="1:42" x14ac:dyDescent="0.25">
      <c r="A711" s="53"/>
      <c r="C711" s="54"/>
      <c r="F711" s="449"/>
      <c r="H711" s="449"/>
      <c r="I711" s="449"/>
      <c r="J711" s="477"/>
      <c r="K711" s="477"/>
      <c r="L711" s="379"/>
      <c r="M711" s="379"/>
      <c r="N711" s="50"/>
      <c r="O711" s="50"/>
      <c r="P711" s="379"/>
      <c r="Q711" s="379"/>
      <c r="R711" s="379"/>
      <c r="T711" s="54"/>
      <c r="V711" s="379"/>
      <c r="AA711" s="379"/>
      <c r="AB711" s="477"/>
      <c r="AC711" s="379"/>
      <c r="AD711" s="379"/>
      <c r="AE711" s="50"/>
      <c r="AF711" s="50"/>
      <c r="AG711" s="156"/>
      <c r="AH711" s="379"/>
      <c r="AI711" s="60"/>
      <c r="AJ711" s="60"/>
      <c r="AK711" s="156"/>
      <c r="AL711" s="379"/>
      <c r="AM711" s="379"/>
      <c r="AN711" s="379"/>
      <c r="AO711" s="50"/>
      <c r="AP711" s="50"/>
    </row>
    <row r="712" spans="1:42" x14ac:dyDescent="0.25">
      <c r="F712" s="379"/>
      <c r="H712" s="379"/>
      <c r="I712" s="379"/>
      <c r="J712" s="59"/>
      <c r="K712" s="59"/>
      <c r="L712" s="379"/>
      <c r="M712" s="379"/>
      <c r="P712" s="379"/>
      <c r="Q712" s="379"/>
      <c r="R712" s="379"/>
      <c r="V712" s="379"/>
      <c r="AA712" s="379"/>
      <c r="AB712" s="59"/>
      <c r="AC712" s="379"/>
      <c r="AD712" s="379"/>
      <c r="AK712" s="156"/>
      <c r="AL712" s="379"/>
      <c r="AM712" s="379"/>
      <c r="AN712" s="379"/>
      <c r="AO712" s="50"/>
      <c r="AP712" s="50"/>
    </row>
    <row r="713" spans="1:42" x14ac:dyDescent="0.25">
      <c r="F713" s="379"/>
      <c r="R713" s="379"/>
      <c r="V713" s="379"/>
      <c r="AM713" s="379"/>
      <c r="AN713" s="379"/>
      <c r="AO713" s="50"/>
      <c r="AP713" s="50"/>
    </row>
    <row r="714" spans="1:42" x14ac:dyDescent="0.25">
      <c r="A714" s="53"/>
      <c r="C714" s="54"/>
      <c r="F714" s="379"/>
      <c r="J714" s="62"/>
      <c r="K714" s="62"/>
      <c r="L714" s="379"/>
      <c r="M714" s="379"/>
      <c r="N714" s="50"/>
      <c r="O714" s="50"/>
      <c r="R714" s="379"/>
      <c r="T714" s="54"/>
      <c r="V714" s="379"/>
      <c r="AB714" s="62"/>
      <c r="AC714" s="379"/>
      <c r="AD714" s="379"/>
      <c r="AE714" s="50"/>
      <c r="AF714" s="50"/>
      <c r="AM714" s="379"/>
      <c r="AN714" s="379"/>
      <c r="AO714" s="50"/>
      <c r="AP714" s="50"/>
    </row>
    <row r="715" spans="1:42" x14ac:dyDescent="0.25">
      <c r="A715" s="53"/>
      <c r="C715" s="54"/>
      <c r="F715" s="379"/>
      <c r="H715" s="379"/>
      <c r="I715" s="379"/>
      <c r="J715" s="62"/>
      <c r="K715" s="62"/>
      <c r="L715" s="379"/>
      <c r="M715" s="379"/>
      <c r="N715" s="50"/>
      <c r="O715" s="50"/>
      <c r="P715" s="379"/>
      <c r="Q715" s="379"/>
      <c r="R715" s="379"/>
      <c r="T715" s="54"/>
      <c r="V715" s="379"/>
      <c r="AA715" s="379"/>
      <c r="AB715" s="62"/>
      <c r="AC715" s="379"/>
      <c r="AD715" s="379"/>
      <c r="AE715" s="50"/>
      <c r="AF715" s="50"/>
      <c r="AK715" s="156"/>
      <c r="AL715" s="379"/>
      <c r="AM715" s="379"/>
      <c r="AN715" s="379"/>
      <c r="AO715" s="50"/>
      <c r="AP715" s="50"/>
    </row>
    <row r="716" spans="1:42" x14ac:dyDescent="0.25">
      <c r="A716" s="53"/>
      <c r="C716" s="54"/>
      <c r="T716" s="54"/>
      <c r="AO716" s="50"/>
      <c r="AP716" s="50"/>
    </row>
    <row r="717" spans="1:42" x14ac:dyDescent="0.25">
      <c r="A717" s="53"/>
      <c r="C717" s="54"/>
      <c r="T717" s="54"/>
      <c r="AO717" s="50"/>
      <c r="AP717" s="50"/>
    </row>
    <row r="718" spans="1:42" x14ac:dyDescent="0.25">
      <c r="AO718" s="50"/>
      <c r="AP718" s="50"/>
    </row>
    <row r="719" spans="1:42" x14ac:dyDescent="0.25">
      <c r="A719" s="53"/>
      <c r="C719" s="54"/>
      <c r="F719" s="449"/>
      <c r="H719" s="449"/>
      <c r="I719" s="449"/>
      <c r="J719" s="477"/>
      <c r="K719" s="477"/>
      <c r="L719" s="379"/>
      <c r="M719" s="379"/>
      <c r="N719" s="50"/>
      <c r="O719" s="50"/>
      <c r="P719" s="379"/>
      <c r="Q719" s="379"/>
      <c r="R719" s="379"/>
      <c r="T719" s="54"/>
      <c r="V719" s="379"/>
      <c r="AA719" s="379"/>
      <c r="AB719" s="477"/>
      <c r="AC719" s="379"/>
      <c r="AD719" s="379"/>
      <c r="AE719" s="50"/>
      <c r="AF719" s="50"/>
      <c r="AG719" s="156"/>
      <c r="AH719" s="379"/>
      <c r="AI719" s="60"/>
      <c r="AJ719" s="60"/>
      <c r="AK719" s="156"/>
      <c r="AL719" s="379"/>
      <c r="AM719" s="379"/>
      <c r="AN719" s="379"/>
      <c r="AO719" s="50"/>
      <c r="AP719" s="50"/>
    </row>
    <row r="720" spans="1:42" x14ac:dyDescent="0.25">
      <c r="F720" s="381"/>
      <c r="H720" s="381"/>
      <c r="I720" s="381"/>
      <c r="J720" s="464"/>
      <c r="K720" s="464"/>
      <c r="L720" s="381"/>
      <c r="M720" s="381"/>
      <c r="N720" s="381"/>
      <c r="O720" s="381"/>
      <c r="P720" s="381"/>
      <c r="Q720" s="381"/>
      <c r="R720" s="381"/>
      <c r="V720" s="381"/>
      <c r="AA720" s="381"/>
      <c r="AB720" s="464"/>
      <c r="AC720" s="381"/>
      <c r="AD720" s="381"/>
      <c r="AE720" s="381"/>
      <c r="AF720" s="381"/>
      <c r="AG720" s="162"/>
      <c r="AH720" s="381"/>
      <c r="AK720" s="162"/>
      <c r="AL720" s="381"/>
      <c r="AM720" s="381"/>
      <c r="AN720" s="381"/>
      <c r="AO720" s="50"/>
      <c r="AP720" s="50"/>
    </row>
    <row r="721" spans="1:42" x14ac:dyDescent="0.25">
      <c r="H721" s="379"/>
      <c r="I721" s="379"/>
      <c r="AA721" s="379"/>
      <c r="AO721" s="50"/>
      <c r="AP721" s="50"/>
    </row>
    <row r="722" spans="1:42" x14ac:dyDescent="0.25">
      <c r="A722" s="53"/>
      <c r="C722" s="54"/>
      <c r="F722" s="379"/>
      <c r="H722" s="379"/>
      <c r="I722" s="379"/>
      <c r="L722" s="379"/>
      <c r="M722" s="379"/>
      <c r="N722" s="50"/>
      <c r="O722" s="50"/>
      <c r="P722" s="449"/>
      <c r="Q722" s="449"/>
      <c r="R722" s="379"/>
      <c r="T722" s="54"/>
      <c r="V722" s="379"/>
      <c r="AA722" s="379"/>
      <c r="AC722" s="379"/>
      <c r="AD722" s="379"/>
      <c r="AE722" s="50"/>
      <c r="AF722" s="50"/>
      <c r="AG722" s="156"/>
      <c r="AH722" s="379"/>
      <c r="AI722" s="60"/>
      <c r="AJ722" s="60"/>
      <c r="AK722" s="474"/>
      <c r="AL722" s="449"/>
      <c r="AM722" s="379"/>
      <c r="AN722" s="379"/>
      <c r="AO722" s="50"/>
      <c r="AP722" s="50"/>
    </row>
    <row r="723" spans="1:42" x14ac:dyDescent="0.25">
      <c r="H723" s="381"/>
      <c r="I723" s="381"/>
      <c r="J723" s="464"/>
      <c r="K723" s="464"/>
      <c r="L723" s="381"/>
      <c r="M723" s="381"/>
      <c r="N723" s="381"/>
      <c r="O723" s="381"/>
      <c r="P723" s="381"/>
      <c r="Q723" s="381"/>
      <c r="R723" s="381"/>
      <c r="V723" s="381"/>
      <c r="AA723" s="381"/>
      <c r="AB723" s="464"/>
      <c r="AC723" s="381"/>
      <c r="AD723" s="381"/>
      <c r="AE723" s="381"/>
      <c r="AF723" s="381"/>
      <c r="AG723" s="162"/>
      <c r="AH723" s="381"/>
      <c r="AK723" s="162"/>
      <c r="AL723" s="381"/>
      <c r="AM723" s="381"/>
      <c r="AN723" s="381"/>
      <c r="AO723" s="50"/>
      <c r="AP723" s="50"/>
    </row>
    <row r="724" spans="1:42" x14ac:dyDescent="0.25">
      <c r="F724" s="381"/>
    </row>
    <row r="725" spans="1:42" x14ac:dyDescent="0.25">
      <c r="F725" s="379"/>
      <c r="H725" s="379"/>
      <c r="I725" s="379"/>
      <c r="J725" s="59"/>
      <c r="K725" s="59"/>
      <c r="L725" s="379"/>
      <c r="M725" s="379"/>
      <c r="N725" s="379"/>
      <c r="O725" s="379"/>
      <c r="P725" s="379"/>
      <c r="Q725" s="379"/>
      <c r="R725" s="379"/>
      <c r="V725" s="379"/>
      <c r="AA725" s="379"/>
      <c r="AB725" s="59"/>
      <c r="AC725" s="379"/>
      <c r="AD725" s="379"/>
      <c r="AE725" s="379"/>
      <c r="AF725" s="379"/>
      <c r="AG725" s="156"/>
      <c r="AH725" s="379"/>
      <c r="AI725" s="379"/>
      <c r="AJ725" s="379"/>
      <c r="AK725" s="156"/>
      <c r="AL725" s="379"/>
      <c r="AM725" s="379"/>
      <c r="AN725" s="379"/>
    </row>
    <row r="726" spans="1:42" x14ac:dyDescent="0.25">
      <c r="A726" s="54"/>
    </row>
    <row r="727" spans="1:42" x14ac:dyDescent="0.25">
      <c r="J727" s="53"/>
      <c r="K727" s="53"/>
      <c r="AB727" s="53"/>
    </row>
    <row r="728" spans="1:42" x14ac:dyDescent="0.25">
      <c r="H728" s="54"/>
      <c r="I728" s="54"/>
      <c r="AA728" s="54"/>
    </row>
    <row r="729" spans="1:42" x14ac:dyDescent="0.25">
      <c r="J729" s="53"/>
      <c r="K729" s="53"/>
      <c r="AB729" s="53"/>
    </row>
    <row r="730" spans="1:42" x14ac:dyDescent="0.25">
      <c r="L730" s="54"/>
      <c r="M730" s="54"/>
      <c r="AC730" s="54"/>
      <c r="AD730" s="54"/>
    </row>
    <row r="731" spans="1:42" x14ac:dyDescent="0.25">
      <c r="A731" s="53"/>
      <c r="R731" s="54"/>
      <c r="AM731" s="54"/>
      <c r="AN731" s="54"/>
    </row>
    <row r="732" spans="1:42" x14ac:dyDescent="0.25">
      <c r="A732" s="53"/>
      <c r="R732" s="54"/>
      <c r="AM732" s="54"/>
      <c r="AN732" s="54"/>
    </row>
    <row r="733" spans="1:42" x14ac:dyDescent="0.25">
      <c r="A733" s="54"/>
      <c r="R733" s="54"/>
      <c r="AM733" s="54"/>
      <c r="AN733" s="54"/>
    </row>
    <row r="734" spans="1:42" x14ac:dyDescent="0.25">
      <c r="L734" s="54"/>
      <c r="M734" s="54"/>
      <c r="R734" s="53"/>
      <c r="AC734" s="54"/>
      <c r="AD734" s="54"/>
      <c r="AM734" s="53"/>
      <c r="AN734" s="53"/>
    </row>
    <row r="735" spans="1:42" x14ac:dyDescent="0.25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154"/>
      <c r="AH735" s="55"/>
      <c r="AI735" s="55"/>
      <c r="AJ735" s="55"/>
      <c r="AK735" s="154"/>
      <c r="AL735" s="55"/>
      <c r="AM735" s="55"/>
      <c r="AN735" s="55"/>
      <c r="AO735" s="55"/>
      <c r="AP735" s="55"/>
    </row>
    <row r="736" spans="1:42" x14ac:dyDescent="0.25">
      <c r="L736" s="56"/>
      <c r="M736" s="56"/>
      <c r="N736" s="56"/>
      <c r="O736" s="56"/>
      <c r="R736" s="56"/>
      <c r="AC736" s="56"/>
      <c r="AD736" s="56"/>
      <c r="AE736" s="56"/>
      <c r="AF736" s="56"/>
      <c r="AG736" s="155"/>
      <c r="AH736" s="56"/>
      <c r="AI736" s="56"/>
      <c r="AJ736" s="56"/>
      <c r="AM736" s="56"/>
      <c r="AN736" s="56"/>
      <c r="AO736" s="56"/>
      <c r="AP736" s="56"/>
    </row>
    <row r="737" spans="1:42" x14ac:dyDescent="0.25">
      <c r="L737" s="56"/>
      <c r="M737" s="56"/>
      <c r="N737" s="56"/>
      <c r="O737" s="56"/>
      <c r="R737" s="56"/>
      <c r="AB737" s="56"/>
      <c r="AC737" s="56"/>
      <c r="AD737" s="56"/>
      <c r="AE737" s="56"/>
      <c r="AF737" s="56"/>
      <c r="AG737" s="155"/>
      <c r="AH737" s="56"/>
      <c r="AI737" s="56"/>
      <c r="AJ737" s="56"/>
      <c r="AM737" s="56"/>
      <c r="AN737" s="56"/>
      <c r="AO737" s="56"/>
      <c r="AP737" s="56"/>
    </row>
    <row r="738" spans="1:42" x14ac:dyDescent="0.25">
      <c r="A738" s="56"/>
      <c r="C738" s="56"/>
      <c r="D738" s="56"/>
      <c r="E738" s="56"/>
      <c r="F738" s="56"/>
      <c r="J738" s="56"/>
      <c r="K738" s="56"/>
      <c r="L738" s="56"/>
      <c r="M738" s="56"/>
      <c r="N738" s="56"/>
      <c r="O738" s="56"/>
      <c r="P738" s="56"/>
      <c r="Q738" s="56"/>
      <c r="R738" s="56"/>
      <c r="T738" s="56"/>
      <c r="U738" s="56"/>
      <c r="V738" s="56"/>
      <c r="AB738" s="56"/>
      <c r="AC738" s="56"/>
      <c r="AD738" s="56"/>
      <c r="AE738" s="56"/>
      <c r="AF738" s="56"/>
      <c r="AG738" s="155"/>
      <c r="AH738" s="56"/>
      <c r="AI738" s="56"/>
      <c r="AJ738" s="56"/>
      <c r="AK738" s="155"/>
      <c r="AL738" s="56"/>
      <c r="AM738" s="56"/>
      <c r="AN738" s="56"/>
      <c r="AO738" s="56"/>
      <c r="AP738" s="56"/>
    </row>
    <row r="739" spans="1:42" x14ac:dyDescent="0.25">
      <c r="A739" s="56"/>
      <c r="C739" s="56"/>
      <c r="D739" s="56"/>
      <c r="E739" s="56"/>
      <c r="F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T739" s="56"/>
      <c r="U739" s="56"/>
      <c r="V739" s="56"/>
      <c r="AA739" s="56"/>
      <c r="AB739" s="56"/>
      <c r="AC739" s="56"/>
      <c r="AD739" s="56"/>
      <c r="AE739" s="56"/>
      <c r="AF739" s="56"/>
      <c r="AG739" s="155"/>
      <c r="AH739" s="56"/>
      <c r="AI739" s="56"/>
      <c r="AJ739" s="56"/>
      <c r="AK739" s="155"/>
      <c r="AL739" s="56"/>
      <c r="AM739" s="56"/>
      <c r="AN739" s="56"/>
      <c r="AO739" s="56"/>
      <c r="AP739" s="56"/>
    </row>
    <row r="740" spans="1:42" x14ac:dyDescent="0.25">
      <c r="C740" s="56"/>
      <c r="D740" s="56"/>
      <c r="E740" s="56"/>
      <c r="F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T740" s="56"/>
      <c r="U740" s="56"/>
      <c r="V740" s="56"/>
      <c r="AA740" s="56"/>
      <c r="AB740" s="56"/>
      <c r="AC740" s="56"/>
      <c r="AD740" s="56"/>
      <c r="AE740" s="56"/>
      <c r="AF740" s="56"/>
      <c r="AG740" s="155"/>
      <c r="AH740" s="56"/>
      <c r="AI740" s="56"/>
      <c r="AJ740" s="56"/>
      <c r="AK740" s="155"/>
      <c r="AL740" s="56"/>
      <c r="AM740" s="56"/>
      <c r="AN740" s="56"/>
      <c r="AO740" s="56"/>
      <c r="AP740" s="56"/>
    </row>
    <row r="741" spans="1:42" x14ac:dyDescent="0.25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154"/>
      <c r="AH741" s="55"/>
      <c r="AI741" s="55"/>
      <c r="AJ741" s="55"/>
      <c r="AK741" s="154"/>
      <c r="AL741" s="55"/>
      <c r="AM741" s="55"/>
      <c r="AN741" s="55"/>
      <c r="AO741" s="55"/>
      <c r="AP741" s="55"/>
    </row>
    <row r="742" spans="1:42" x14ac:dyDescent="0.25"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AA742" s="56"/>
      <c r="AB742" s="56"/>
      <c r="AC742" s="56"/>
      <c r="AD742" s="56"/>
      <c r="AE742" s="56"/>
      <c r="AF742" s="56"/>
      <c r="AG742" s="155"/>
      <c r="AH742" s="56"/>
      <c r="AI742" s="56"/>
      <c r="AJ742" s="56"/>
      <c r="AK742" s="155"/>
      <c r="AL742" s="56"/>
      <c r="AM742" s="56"/>
      <c r="AN742" s="56"/>
      <c r="AO742" s="56"/>
      <c r="AP742" s="56"/>
    </row>
    <row r="743" spans="1:42" x14ac:dyDescent="0.25">
      <c r="A743" s="53"/>
      <c r="C743" s="54"/>
      <c r="D743" s="54"/>
      <c r="E743" s="54"/>
      <c r="T743" s="54"/>
      <c r="U743" s="54"/>
      <c r="V743" s="379"/>
      <c r="W743" s="379"/>
      <c r="X743" s="379"/>
      <c r="Y743" s="379"/>
      <c r="Z743" s="379"/>
      <c r="AA743" s="379"/>
      <c r="AB743" s="477"/>
    </row>
    <row r="745" spans="1:42" x14ac:dyDescent="0.25">
      <c r="A745" s="53"/>
      <c r="C745" s="54"/>
      <c r="T745" s="54"/>
      <c r="V745" s="379"/>
      <c r="W745" s="379"/>
      <c r="X745" s="379"/>
      <c r="Y745" s="379"/>
      <c r="Z745" s="379"/>
      <c r="AA745" s="379"/>
      <c r="AB745" s="477"/>
    </row>
    <row r="746" spans="1:42" x14ac:dyDescent="0.25">
      <c r="A746" s="53"/>
      <c r="C746" s="54"/>
      <c r="F746" s="449"/>
      <c r="H746" s="449"/>
      <c r="I746" s="449"/>
      <c r="J746" s="221"/>
      <c r="K746" s="221"/>
      <c r="L746" s="379"/>
      <c r="M746" s="379"/>
      <c r="N746" s="50"/>
      <c r="O746" s="50"/>
      <c r="P746" s="379"/>
      <c r="Q746" s="379"/>
      <c r="R746" s="379"/>
      <c r="T746" s="54"/>
      <c r="V746" s="379"/>
      <c r="W746" s="379"/>
      <c r="X746" s="379"/>
      <c r="Y746" s="379"/>
      <c r="Z746" s="379"/>
      <c r="AA746" s="379"/>
      <c r="AB746" s="221"/>
      <c r="AC746" s="379"/>
      <c r="AD746" s="379"/>
      <c r="AE746" s="50"/>
      <c r="AF746" s="50"/>
      <c r="AG746" s="156"/>
      <c r="AH746" s="379"/>
      <c r="AI746" s="60"/>
      <c r="AJ746" s="60"/>
      <c r="AK746" s="156"/>
      <c r="AL746" s="379"/>
      <c r="AM746" s="379"/>
      <c r="AN746" s="379"/>
      <c r="AO746" s="50"/>
      <c r="AP746" s="50"/>
    </row>
    <row r="747" spans="1:42" x14ac:dyDescent="0.25">
      <c r="A747" s="53"/>
      <c r="C747" s="54"/>
      <c r="F747" s="449"/>
      <c r="H747" s="449"/>
      <c r="I747" s="449"/>
      <c r="J747" s="221"/>
      <c r="K747" s="221"/>
      <c r="L747" s="379"/>
      <c r="M747" s="379"/>
      <c r="N747" s="50"/>
      <c r="O747" s="50"/>
      <c r="P747" s="379"/>
      <c r="Q747" s="379"/>
      <c r="R747" s="379"/>
      <c r="T747" s="54"/>
      <c r="V747" s="379"/>
      <c r="W747" s="379"/>
      <c r="X747" s="379"/>
      <c r="Y747" s="379"/>
      <c r="Z747" s="379"/>
      <c r="AA747" s="379"/>
      <c r="AB747" s="221"/>
      <c r="AC747" s="379"/>
      <c r="AD747" s="379"/>
      <c r="AE747" s="50"/>
      <c r="AF747" s="50"/>
      <c r="AG747" s="156"/>
      <c r="AH747" s="379"/>
      <c r="AI747" s="60"/>
      <c r="AJ747" s="60"/>
      <c r="AK747" s="156"/>
      <c r="AL747" s="379"/>
      <c r="AM747" s="379"/>
      <c r="AN747" s="379"/>
      <c r="AO747" s="50"/>
      <c r="AP747" s="50"/>
    </row>
    <row r="748" spans="1:42" x14ac:dyDescent="0.25">
      <c r="A748" s="53"/>
      <c r="C748" s="54"/>
      <c r="F748" s="449"/>
      <c r="H748" s="449"/>
      <c r="I748" s="449"/>
      <c r="J748" s="221"/>
      <c r="K748" s="221"/>
      <c r="L748" s="379"/>
      <c r="M748" s="379"/>
      <c r="N748" s="50"/>
      <c r="O748" s="50"/>
      <c r="P748" s="379"/>
      <c r="Q748" s="379"/>
      <c r="R748" s="379"/>
      <c r="T748" s="54"/>
      <c r="V748" s="379"/>
      <c r="W748" s="379"/>
      <c r="X748" s="379"/>
      <c r="Y748" s="379"/>
      <c r="Z748" s="379"/>
      <c r="AA748" s="379"/>
      <c r="AB748" s="221"/>
      <c r="AC748" s="379"/>
      <c r="AD748" s="379"/>
      <c r="AE748" s="50"/>
      <c r="AF748" s="50"/>
      <c r="AG748" s="156"/>
      <c r="AH748" s="379"/>
      <c r="AI748" s="60"/>
      <c r="AJ748" s="60"/>
      <c r="AK748" s="156"/>
      <c r="AL748" s="379"/>
      <c r="AM748" s="379"/>
      <c r="AN748" s="379"/>
      <c r="AO748" s="50"/>
      <c r="AP748" s="50"/>
    </row>
    <row r="749" spans="1:42" x14ac:dyDescent="0.25">
      <c r="A749" s="53"/>
      <c r="C749" s="54"/>
      <c r="F749" s="449"/>
      <c r="H749" s="449"/>
      <c r="I749" s="449"/>
      <c r="J749" s="221"/>
      <c r="K749" s="221"/>
      <c r="L749" s="379"/>
      <c r="M749" s="379"/>
      <c r="N749" s="50"/>
      <c r="O749" s="50"/>
      <c r="P749" s="379"/>
      <c r="Q749" s="379"/>
      <c r="R749" s="379"/>
      <c r="T749" s="54"/>
      <c r="V749" s="379"/>
      <c r="W749" s="379"/>
      <c r="X749" s="379"/>
      <c r="Y749" s="379"/>
      <c r="Z749" s="379"/>
      <c r="AA749" s="379"/>
      <c r="AB749" s="221"/>
      <c r="AC749" s="379"/>
      <c r="AD749" s="379"/>
      <c r="AE749" s="50"/>
      <c r="AF749" s="50"/>
      <c r="AG749" s="156"/>
      <c r="AH749" s="379"/>
      <c r="AI749" s="60"/>
      <c r="AJ749" s="60"/>
      <c r="AK749" s="156"/>
      <c r="AL749" s="379"/>
      <c r="AM749" s="379"/>
      <c r="AN749" s="379"/>
      <c r="AO749" s="50"/>
      <c r="AP749" s="50"/>
    </row>
    <row r="750" spans="1:42" x14ac:dyDescent="0.25">
      <c r="J750" s="65"/>
      <c r="K750" s="65"/>
      <c r="V750" s="379"/>
      <c r="W750" s="379"/>
      <c r="X750" s="379"/>
      <c r="Y750" s="379"/>
      <c r="Z750" s="379"/>
      <c r="AA750" s="379"/>
      <c r="AB750" s="221"/>
    </row>
    <row r="751" spans="1:42" x14ac:dyDescent="0.25">
      <c r="A751" s="53"/>
      <c r="C751" s="54"/>
      <c r="F751" s="449"/>
      <c r="H751" s="449"/>
      <c r="I751" s="449"/>
      <c r="J751" s="221"/>
      <c r="K751" s="221"/>
      <c r="L751" s="379"/>
      <c r="M751" s="379"/>
      <c r="N751" s="50"/>
      <c r="O751" s="50"/>
      <c r="P751" s="379"/>
      <c r="Q751" s="379"/>
      <c r="R751" s="379"/>
      <c r="T751" s="54"/>
      <c r="V751" s="379"/>
      <c r="W751" s="379"/>
      <c r="X751" s="379"/>
      <c r="Y751" s="379"/>
      <c r="Z751" s="379"/>
      <c r="AA751" s="379"/>
      <c r="AB751" s="221"/>
      <c r="AC751" s="379"/>
      <c r="AD751" s="379"/>
      <c r="AE751" s="50"/>
      <c r="AF751" s="50"/>
      <c r="AG751" s="156"/>
      <c r="AH751" s="379"/>
      <c r="AI751" s="60"/>
      <c r="AJ751" s="60"/>
      <c r="AK751" s="156"/>
      <c r="AL751" s="379"/>
      <c r="AM751" s="379"/>
      <c r="AN751" s="379"/>
      <c r="AO751" s="60"/>
      <c r="AP751" s="60"/>
    </row>
    <row r="752" spans="1:42" x14ac:dyDescent="0.25">
      <c r="A752" s="53"/>
      <c r="C752" s="54"/>
      <c r="J752" s="65"/>
      <c r="K752" s="65"/>
      <c r="T752" s="54"/>
      <c r="V752" s="379"/>
      <c r="W752" s="379"/>
      <c r="X752" s="379"/>
      <c r="Y752" s="379"/>
      <c r="Z752" s="379"/>
      <c r="AA752" s="379"/>
      <c r="AB752" s="221"/>
    </row>
    <row r="753" spans="1:42" x14ac:dyDescent="0.25">
      <c r="A753" s="53"/>
      <c r="C753" s="54"/>
      <c r="F753" s="449"/>
      <c r="H753" s="449"/>
      <c r="I753" s="449"/>
      <c r="J753" s="221"/>
      <c r="K753" s="221"/>
      <c r="L753" s="379"/>
      <c r="M753" s="379"/>
      <c r="N753" s="50"/>
      <c r="O753" s="50"/>
      <c r="P753" s="379"/>
      <c r="Q753" s="379"/>
      <c r="R753" s="379"/>
      <c r="T753" s="54"/>
      <c r="V753" s="379"/>
      <c r="W753" s="379"/>
      <c r="X753" s="379"/>
      <c r="Y753" s="379"/>
      <c r="Z753" s="379"/>
      <c r="AA753" s="379"/>
      <c r="AB753" s="221"/>
      <c r="AC753" s="379"/>
      <c r="AD753" s="379"/>
      <c r="AE753" s="50"/>
      <c r="AF753" s="50"/>
      <c r="AG753" s="156"/>
      <c r="AH753" s="379"/>
      <c r="AI753" s="60"/>
      <c r="AJ753" s="60"/>
      <c r="AK753" s="156"/>
      <c r="AL753" s="379"/>
      <c r="AM753" s="379"/>
      <c r="AN753" s="379"/>
      <c r="AO753" s="60"/>
      <c r="AP753" s="60"/>
    </row>
    <row r="754" spans="1:42" x14ac:dyDescent="0.25">
      <c r="J754" s="65"/>
      <c r="K754" s="65"/>
      <c r="AB754" s="65"/>
    </row>
    <row r="755" spans="1:42" x14ac:dyDescent="0.25">
      <c r="A755" s="53"/>
      <c r="C755" s="54"/>
      <c r="J755" s="65"/>
      <c r="K755" s="65"/>
      <c r="T755" s="54"/>
      <c r="V755" s="379"/>
      <c r="W755" s="379"/>
      <c r="X755" s="379"/>
      <c r="Y755" s="379"/>
      <c r="Z755" s="379"/>
      <c r="AA755" s="379"/>
      <c r="AB755" s="221"/>
    </row>
    <row r="756" spans="1:42" x14ac:dyDescent="0.25">
      <c r="A756" s="53"/>
      <c r="C756" s="54"/>
      <c r="F756" s="449"/>
      <c r="H756" s="449"/>
      <c r="I756" s="449"/>
      <c r="J756" s="221"/>
      <c r="K756" s="221"/>
      <c r="L756" s="379"/>
      <c r="M756" s="379"/>
      <c r="N756" s="50"/>
      <c r="O756" s="50"/>
      <c r="P756" s="379"/>
      <c r="Q756" s="379"/>
      <c r="R756" s="379"/>
      <c r="T756" s="54"/>
      <c r="V756" s="379"/>
      <c r="W756" s="379"/>
      <c r="X756" s="379"/>
      <c r="Y756" s="379"/>
      <c r="Z756" s="379"/>
      <c r="AA756" s="379"/>
      <c r="AB756" s="221"/>
      <c r="AC756" s="379"/>
      <c r="AD756" s="379"/>
      <c r="AE756" s="50"/>
      <c r="AF756" s="50"/>
      <c r="AG756" s="156"/>
      <c r="AH756" s="379"/>
      <c r="AI756" s="60"/>
      <c r="AJ756" s="60"/>
      <c r="AK756" s="156"/>
      <c r="AL756" s="379"/>
      <c r="AM756" s="379"/>
      <c r="AN756" s="379"/>
      <c r="AO756" s="60"/>
      <c r="AP756" s="60"/>
    </row>
    <row r="757" spans="1:42" x14ac:dyDescent="0.25">
      <c r="A757" s="53"/>
      <c r="C757" s="54"/>
      <c r="F757" s="449"/>
      <c r="H757" s="449"/>
      <c r="I757" s="449"/>
      <c r="J757" s="221"/>
      <c r="K757" s="221"/>
      <c r="L757" s="379"/>
      <c r="M757" s="379"/>
      <c r="N757" s="50"/>
      <c r="O757" s="50"/>
      <c r="P757" s="379"/>
      <c r="Q757" s="379"/>
      <c r="R757" s="379"/>
      <c r="T757" s="54"/>
      <c r="V757" s="379"/>
      <c r="W757" s="379"/>
      <c r="X757" s="379"/>
      <c r="Y757" s="379"/>
      <c r="Z757" s="379"/>
      <c r="AA757" s="379"/>
      <c r="AB757" s="221"/>
      <c r="AC757" s="379"/>
      <c r="AD757" s="379"/>
      <c r="AE757" s="50"/>
      <c r="AF757" s="50"/>
      <c r="AG757" s="156"/>
      <c r="AH757" s="379"/>
      <c r="AI757" s="60"/>
      <c r="AJ757" s="60"/>
      <c r="AK757" s="156"/>
      <c r="AL757" s="379"/>
      <c r="AM757" s="379"/>
      <c r="AN757" s="379"/>
      <c r="AO757" s="60"/>
      <c r="AP757" s="60"/>
    </row>
    <row r="758" spans="1:42" x14ac:dyDescent="0.25">
      <c r="F758" s="381"/>
      <c r="H758" s="381"/>
      <c r="I758" s="381"/>
      <c r="J758" s="221"/>
      <c r="K758" s="221"/>
      <c r="L758" s="381"/>
      <c r="M758" s="381"/>
      <c r="N758" s="381"/>
      <c r="O758" s="381"/>
      <c r="P758" s="381"/>
      <c r="Q758" s="381"/>
      <c r="R758" s="381"/>
      <c r="V758" s="381"/>
      <c r="AA758" s="381"/>
      <c r="AB758" s="464"/>
      <c r="AC758" s="381"/>
      <c r="AD758" s="381"/>
      <c r="AE758" s="381"/>
      <c r="AF758" s="381"/>
      <c r="AG758" s="162"/>
      <c r="AH758" s="381"/>
      <c r="AK758" s="162"/>
      <c r="AL758" s="381"/>
      <c r="AM758" s="381"/>
      <c r="AN758" s="381"/>
    </row>
    <row r="759" spans="1:42" x14ac:dyDescent="0.25">
      <c r="A759" s="53"/>
      <c r="C759" s="54"/>
      <c r="F759" s="379"/>
      <c r="H759" s="379"/>
      <c r="I759" s="379"/>
      <c r="L759" s="379"/>
      <c r="M759" s="379"/>
      <c r="N759" s="50"/>
      <c r="O759" s="50"/>
      <c r="P759" s="449"/>
      <c r="Q759" s="449"/>
      <c r="R759" s="379"/>
      <c r="T759" s="54"/>
      <c r="V759" s="379"/>
      <c r="W759" s="379"/>
      <c r="X759" s="379"/>
      <c r="Y759" s="379"/>
      <c r="Z759" s="379"/>
      <c r="AA759" s="379"/>
      <c r="AB759" s="477"/>
      <c r="AC759" s="379"/>
      <c r="AD759" s="379"/>
      <c r="AE759" s="50"/>
      <c r="AF759" s="50"/>
      <c r="AG759" s="156"/>
      <c r="AH759" s="379"/>
      <c r="AI759" s="60"/>
      <c r="AJ759" s="60"/>
      <c r="AK759" s="474"/>
      <c r="AL759" s="449"/>
      <c r="AM759" s="379"/>
      <c r="AN759" s="379"/>
      <c r="AO759" s="60"/>
      <c r="AP759" s="60"/>
    </row>
    <row r="760" spans="1:42" x14ac:dyDescent="0.25">
      <c r="H760" s="381"/>
      <c r="I760" s="381"/>
      <c r="J760" s="464"/>
      <c r="K760" s="464"/>
      <c r="L760" s="381"/>
      <c r="M760" s="381"/>
      <c r="N760" s="381"/>
      <c r="O760" s="381"/>
      <c r="P760" s="381"/>
      <c r="Q760" s="381"/>
      <c r="R760" s="381"/>
      <c r="V760" s="381"/>
      <c r="AA760" s="381"/>
      <c r="AB760" s="464"/>
      <c r="AC760" s="381"/>
      <c r="AD760" s="381"/>
      <c r="AE760" s="381"/>
      <c r="AF760" s="381"/>
      <c r="AG760" s="162"/>
      <c r="AH760" s="381"/>
      <c r="AK760" s="162"/>
      <c r="AL760" s="381"/>
      <c r="AM760" s="381"/>
      <c r="AN760" s="381"/>
    </row>
    <row r="761" spans="1:42" x14ac:dyDescent="0.25">
      <c r="F761" s="381"/>
    </row>
    <row r="762" spans="1:42" x14ac:dyDescent="0.25">
      <c r="C762" s="53"/>
      <c r="T762" s="53"/>
    </row>
    <row r="763" spans="1:42" x14ac:dyDescent="0.25">
      <c r="A763" s="54"/>
    </row>
    <row r="764" spans="1:42" x14ac:dyDescent="0.25">
      <c r="J764" s="53"/>
      <c r="K764" s="53"/>
      <c r="AB764" s="53"/>
    </row>
    <row r="765" spans="1:42" x14ac:dyDescent="0.25">
      <c r="H765" s="54"/>
      <c r="I765" s="54"/>
      <c r="AA765" s="54"/>
    </row>
    <row r="766" spans="1:42" x14ac:dyDescent="0.25">
      <c r="J766" s="53"/>
      <c r="K766" s="53"/>
      <c r="AB766" s="53"/>
    </row>
    <row r="767" spans="1:42" x14ac:dyDescent="0.25">
      <c r="L767" s="54"/>
      <c r="M767" s="54"/>
      <c r="AC767" s="54"/>
      <c r="AD767" s="54"/>
    </row>
    <row r="768" spans="1:42" x14ac:dyDescent="0.25">
      <c r="A768" s="53"/>
      <c r="R768" s="54"/>
      <c r="AM768" s="54"/>
      <c r="AN768" s="54"/>
    </row>
    <row r="769" spans="1:42" x14ac:dyDescent="0.25">
      <c r="A769" s="53"/>
      <c r="R769" s="54"/>
      <c r="AM769" s="54"/>
      <c r="AN769" s="54"/>
    </row>
    <row r="770" spans="1:42" x14ac:dyDescent="0.25">
      <c r="A770" s="54"/>
      <c r="R770" s="54"/>
      <c r="AM770" s="54"/>
      <c r="AN770" s="54"/>
    </row>
    <row r="771" spans="1:42" x14ac:dyDescent="0.25">
      <c r="L771" s="54"/>
      <c r="M771" s="54"/>
      <c r="R771" s="53"/>
      <c r="AC771" s="54"/>
      <c r="AD771" s="54"/>
      <c r="AM771" s="53"/>
      <c r="AN771" s="53"/>
    </row>
    <row r="772" spans="1:42" x14ac:dyDescent="0.25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154"/>
      <c r="AH772" s="55"/>
      <c r="AI772" s="55"/>
      <c r="AJ772" s="55"/>
      <c r="AK772" s="154"/>
      <c r="AL772" s="55"/>
      <c r="AM772" s="55"/>
      <c r="AN772" s="55"/>
      <c r="AO772" s="55"/>
      <c r="AP772" s="55"/>
    </row>
    <row r="773" spans="1:42" x14ac:dyDescent="0.25">
      <c r="L773" s="56"/>
      <c r="M773" s="56"/>
      <c r="N773" s="56"/>
      <c r="O773" s="56"/>
      <c r="R773" s="56"/>
      <c r="AC773" s="56"/>
      <c r="AD773" s="56"/>
      <c r="AE773" s="56"/>
      <c r="AF773" s="56"/>
      <c r="AG773" s="155"/>
      <c r="AH773" s="56"/>
      <c r="AI773" s="56"/>
      <c r="AJ773" s="56"/>
      <c r="AM773" s="56"/>
      <c r="AN773" s="56"/>
      <c r="AO773" s="56"/>
      <c r="AP773" s="56"/>
    </row>
    <row r="774" spans="1:42" x14ac:dyDescent="0.25">
      <c r="L774" s="56"/>
      <c r="M774" s="56"/>
      <c r="N774" s="56"/>
      <c r="O774" s="56"/>
      <c r="R774" s="56"/>
      <c r="AB774" s="56"/>
      <c r="AC774" s="56"/>
      <c r="AD774" s="56"/>
      <c r="AE774" s="56"/>
      <c r="AF774" s="56"/>
      <c r="AG774" s="155"/>
      <c r="AH774" s="56"/>
      <c r="AI774" s="56"/>
      <c r="AJ774" s="56"/>
      <c r="AM774" s="56"/>
      <c r="AN774" s="56"/>
      <c r="AO774" s="56"/>
      <c r="AP774" s="56"/>
    </row>
    <row r="775" spans="1:42" x14ac:dyDescent="0.25">
      <c r="A775" s="56"/>
      <c r="C775" s="56"/>
      <c r="D775" s="56"/>
      <c r="E775" s="56"/>
      <c r="F775" s="56"/>
      <c r="J775" s="56"/>
      <c r="K775" s="56"/>
      <c r="L775" s="56"/>
      <c r="M775" s="56"/>
      <c r="N775" s="56"/>
      <c r="O775" s="56"/>
      <c r="P775" s="56"/>
      <c r="Q775" s="56"/>
      <c r="R775" s="56"/>
      <c r="T775" s="56"/>
      <c r="U775" s="56"/>
      <c r="V775" s="56"/>
      <c r="AB775" s="56"/>
      <c r="AC775" s="56"/>
      <c r="AD775" s="56"/>
      <c r="AE775" s="56"/>
      <c r="AF775" s="56"/>
      <c r="AG775" s="155"/>
      <c r="AH775" s="56"/>
      <c r="AI775" s="56"/>
      <c r="AJ775" s="56"/>
      <c r="AK775" s="155"/>
      <c r="AL775" s="56"/>
      <c r="AM775" s="56"/>
      <c r="AN775" s="56"/>
      <c r="AO775" s="56"/>
      <c r="AP775" s="56"/>
    </row>
    <row r="776" spans="1:42" x14ac:dyDescent="0.25">
      <c r="A776" s="56"/>
      <c r="C776" s="56"/>
      <c r="D776" s="56"/>
      <c r="E776" s="56"/>
      <c r="F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T776" s="56"/>
      <c r="U776" s="56"/>
      <c r="V776" s="56"/>
      <c r="AA776" s="56"/>
      <c r="AB776" s="56"/>
      <c r="AC776" s="56"/>
      <c r="AD776" s="56"/>
      <c r="AE776" s="56"/>
      <c r="AF776" s="56"/>
      <c r="AG776" s="155"/>
      <c r="AH776" s="56"/>
      <c r="AI776" s="56"/>
      <c r="AJ776" s="56"/>
      <c r="AK776" s="155"/>
      <c r="AL776" s="56"/>
      <c r="AM776" s="56"/>
      <c r="AN776" s="56"/>
      <c r="AO776" s="56"/>
      <c r="AP776" s="56"/>
    </row>
    <row r="777" spans="1:42" x14ac:dyDescent="0.25">
      <c r="C777" s="56"/>
      <c r="D777" s="56"/>
      <c r="E777" s="56"/>
      <c r="F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T777" s="56"/>
      <c r="U777" s="56"/>
      <c r="V777" s="56"/>
      <c r="AA777" s="56"/>
      <c r="AB777" s="56"/>
      <c r="AC777" s="56"/>
      <c r="AD777" s="56"/>
      <c r="AE777" s="56"/>
      <c r="AF777" s="56"/>
      <c r="AG777" s="155"/>
      <c r="AH777" s="56"/>
      <c r="AI777" s="56"/>
      <c r="AJ777" s="56"/>
      <c r="AK777" s="155"/>
      <c r="AL777" s="56"/>
      <c r="AM777" s="56"/>
      <c r="AN777" s="56"/>
      <c r="AO777" s="56"/>
      <c r="AP777" s="56"/>
    </row>
    <row r="778" spans="1:42" x14ac:dyDescent="0.25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154"/>
      <c r="AH778" s="55"/>
      <c r="AI778" s="55"/>
      <c r="AJ778" s="55"/>
      <c r="AK778" s="154"/>
      <c r="AL778" s="55"/>
      <c r="AM778" s="55"/>
      <c r="AN778" s="55"/>
      <c r="AO778" s="55"/>
      <c r="AP778" s="55"/>
    </row>
    <row r="779" spans="1:42" x14ac:dyDescent="0.25"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AA779" s="56"/>
      <c r="AB779" s="56"/>
      <c r="AC779" s="56"/>
      <c r="AD779" s="56"/>
      <c r="AE779" s="56"/>
      <c r="AF779" s="56"/>
      <c r="AG779" s="155"/>
      <c r="AH779" s="56"/>
      <c r="AI779" s="56"/>
      <c r="AJ779" s="56"/>
      <c r="AK779" s="155"/>
      <c r="AL779" s="56"/>
      <c r="AM779" s="56"/>
      <c r="AN779" s="56"/>
      <c r="AO779" s="56"/>
      <c r="AP779" s="56"/>
    </row>
    <row r="780" spans="1:42" x14ac:dyDescent="0.25">
      <c r="A780" s="53"/>
      <c r="C780" s="54"/>
      <c r="D780" s="54"/>
      <c r="E780" s="54"/>
      <c r="T780" s="54"/>
      <c r="U780" s="54"/>
    </row>
    <row r="782" spans="1:42" x14ac:dyDescent="0.25">
      <c r="A782" s="53"/>
      <c r="C782" s="54"/>
      <c r="T782" s="54"/>
    </row>
    <row r="783" spans="1:42" x14ac:dyDescent="0.25">
      <c r="A783" s="53"/>
      <c r="C783" s="54"/>
      <c r="T783" s="54"/>
    </row>
    <row r="784" spans="1:42" x14ac:dyDescent="0.25">
      <c r="A784" s="53"/>
      <c r="C784" s="54"/>
      <c r="F784" s="449"/>
      <c r="H784" s="449"/>
      <c r="I784" s="449"/>
      <c r="J784" s="221"/>
      <c r="K784" s="221"/>
      <c r="L784" s="379"/>
      <c r="M784" s="379"/>
      <c r="N784" s="50"/>
      <c r="O784" s="50"/>
      <c r="P784" s="379"/>
      <c r="Q784" s="379"/>
      <c r="R784" s="379"/>
      <c r="T784" s="54"/>
      <c r="V784" s="379"/>
      <c r="W784" s="379"/>
      <c r="X784" s="379"/>
      <c r="Y784" s="379"/>
      <c r="Z784" s="379"/>
      <c r="AA784" s="379"/>
      <c r="AB784" s="221"/>
      <c r="AC784" s="379"/>
      <c r="AD784" s="379"/>
      <c r="AE784" s="50"/>
      <c r="AF784" s="50"/>
      <c r="AG784" s="156"/>
      <c r="AH784" s="379"/>
      <c r="AI784" s="60"/>
      <c r="AJ784" s="60"/>
      <c r="AK784" s="156"/>
      <c r="AL784" s="379"/>
      <c r="AM784" s="379"/>
      <c r="AN784" s="379"/>
      <c r="AO784" s="60"/>
      <c r="AP784" s="60"/>
    </row>
    <row r="785" spans="1:42" x14ac:dyDescent="0.25">
      <c r="A785" s="53"/>
      <c r="C785" s="54"/>
      <c r="F785" s="379"/>
      <c r="H785" s="379"/>
      <c r="I785" s="379"/>
      <c r="J785" s="65"/>
      <c r="K785" s="65"/>
      <c r="L785" s="379"/>
      <c r="M785" s="379"/>
      <c r="N785" s="50"/>
      <c r="O785" s="50"/>
      <c r="P785" s="379"/>
      <c r="Q785" s="379"/>
      <c r="R785" s="379"/>
      <c r="T785" s="54"/>
      <c r="V785" s="379"/>
      <c r="W785" s="379"/>
      <c r="X785" s="379"/>
      <c r="Y785" s="379"/>
      <c r="Z785" s="379"/>
      <c r="AA785" s="379"/>
      <c r="AB785" s="65"/>
      <c r="AC785" s="379"/>
      <c r="AD785" s="379"/>
      <c r="AE785" s="50"/>
      <c r="AF785" s="50"/>
      <c r="AG785" s="156"/>
      <c r="AH785" s="379"/>
      <c r="AI785" s="60"/>
      <c r="AJ785" s="60"/>
      <c r="AK785" s="156"/>
      <c r="AL785" s="379"/>
      <c r="AM785" s="379"/>
      <c r="AN785" s="379"/>
      <c r="AO785" s="60"/>
      <c r="AP785" s="60"/>
    </row>
    <row r="786" spans="1:42" x14ac:dyDescent="0.25">
      <c r="A786" s="53"/>
      <c r="C786" s="54"/>
      <c r="F786" s="379"/>
      <c r="H786" s="379"/>
      <c r="I786" s="379"/>
      <c r="J786" s="65"/>
      <c r="K786" s="65"/>
      <c r="L786" s="379"/>
      <c r="M786" s="379"/>
      <c r="N786" s="50"/>
      <c r="O786" s="50"/>
      <c r="P786" s="379"/>
      <c r="Q786" s="379"/>
      <c r="R786" s="379"/>
      <c r="T786" s="54"/>
      <c r="V786" s="379"/>
      <c r="W786" s="379"/>
      <c r="X786" s="379"/>
      <c r="Y786" s="379"/>
      <c r="Z786" s="379"/>
      <c r="AA786" s="379"/>
      <c r="AB786" s="65"/>
      <c r="AC786" s="379"/>
      <c r="AD786" s="379"/>
      <c r="AE786" s="50"/>
      <c r="AF786" s="50"/>
      <c r="AG786" s="156"/>
      <c r="AH786" s="379"/>
      <c r="AI786" s="60"/>
      <c r="AJ786" s="60"/>
      <c r="AK786" s="156"/>
      <c r="AL786" s="379"/>
      <c r="AM786" s="379"/>
      <c r="AN786" s="379"/>
      <c r="AO786" s="60"/>
      <c r="AP786" s="60"/>
    </row>
    <row r="787" spans="1:42" x14ac:dyDescent="0.25">
      <c r="A787" s="53"/>
      <c r="C787" s="54"/>
      <c r="F787" s="379"/>
      <c r="H787" s="379"/>
      <c r="I787" s="379"/>
      <c r="J787" s="65"/>
      <c r="K787" s="65"/>
      <c r="T787" s="54"/>
      <c r="V787" s="379"/>
      <c r="AB787" s="65"/>
    </row>
    <row r="788" spans="1:42" x14ac:dyDescent="0.25">
      <c r="A788" s="53"/>
      <c r="C788" s="54"/>
      <c r="F788" s="449"/>
      <c r="H788" s="449"/>
      <c r="I788" s="449"/>
      <c r="J788" s="221"/>
      <c r="K788" s="221"/>
      <c r="L788" s="379"/>
      <c r="M788" s="379"/>
      <c r="N788" s="50"/>
      <c r="O788" s="50"/>
      <c r="P788" s="379"/>
      <c r="Q788" s="379"/>
      <c r="R788" s="379"/>
      <c r="T788" s="54"/>
      <c r="V788" s="379"/>
      <c r="W788" s="379"/>
      <c r="X788" s="379"/>
      <c r="Y788" s="379"/>
      <c r="Z788" s="379"/>
      <c r="AA788" s="379"/>
      <c r="AB788" s="221"/>
      <c r="AC788" s="379"/>
      <c r="AD788" s="379"/>
      <c r="AE788" s="50"/>
      <c r="AF788" s="50"/>
      <c r="AG788" s="156"/>
      <c r="AH788" s="379"/>
      <c r="AI788" s="60"/>
      <c r="AJ788" s="60"/>
      <c r="AK788" s="156"/>
      <c r="AL788" s="379"/>
      <c r="AM788" s="379"/>
      <c r="AN788" s="379"/>
      <c r="AO788" s="60"/>
      <c r="AP788" s="60"/>
    </row>
    <row r="789" spans="1:42" x14ac:dyDescent="0.25">
      <c r="A789" s="53"/>
      <c r="C789" s="54"/>
      <c r="F789" s="379"/>
      <c r="H789" s="379"/>
      <c r="I789" s="379"/>
      <c r="J789" s="65"/>
      <c r="K789" s="65"/>
      <c r="T789" s="54"/>
      <c r="V789" s="379"/>
      <c r="W789" s="379"/>
      <c r="X789" s="379"/>
      <c r="Y789" s="379"/>
      <c r="Z789" s="379"/>
      <c r="AA789" s="379"/>
      <c r="AB789" s="65"/>
      <c r="AE789" s="50"/>
      <c r="AF789" s="50"/>
      <c r="AG789" s="156"/>
      <c r="AH789" s="379"/>
      <c r="AI789" s="60"/>
      <c r="AJ789" s="60"/>
      <c r="AK789" s="156"/>
      <c r="AL789" s="379"/>
      <c r="AM789" s="379"/>
      <c r="AN789" s="379"/>
      <c r="AO789" s="60"/>
      <c r="AP789" s="60"/>
    </row>
    <row r="790" spans="1:42" x14ac:dyDescent="0.25">
      <c r="A790" s="53"/>
      <c r="C790" s="54"/>
      <c r="F790" s="449"/>
      <c r="H790" s="449"/>
      <c r="I790" s="449"/>
      <c r="J790" s="221"/>
      <c r="K790" s="221"/>
      <c r="L790" s="379"/>
      <c r="M790" s="379"/>
      <c r="N790" s="50"/>
      <c r="O790" s="50"/>
      <c r="P790" s="379"/>
      <c r="Q790" s="379"/>
      <c r="R790" s="379"/>
      <c r="T790" s="54"/>
      <c r="V790" s="379"/>
      <c r="W790" s="379"/>
      <c r="X790" s="379"/>
      <c r="Y790" s="379"/>
      <c r="Z790" s="379"/>
      <c r="AA790" s="379"/>
      <c r="AB790" s="221"/>
      <c r="AC790" s="379"/>
      <c r="AD790" s="379"/>
      <c r="AE790" s="50"/>
      <c r="AF790" s="50"/>
      <c r="AG790" s="156"/>
      <c r="AH790" s="379"/>
      <c r="AI790" s="60"/>
      <c r="AJ790" s="60"/>
      <c r="AK790" s="156"/>
      <c r="AL790" s="379"/>
      <c r="AM790" s="379"/>
      <c r="AN790" s="379"/>
      <c r="AO790" s="60"/>
      <c r="AP790" s="60"/>
    </row>
    <row r="791" spans="1:42" x14ac:dyDescent="0.25">
      <c r="A791" s="53"/>
      <c r="C791" s="54"/>
      <c r="F791" s="379"/>
      <c r="H791" s="379"/>
      <c r="I791" s="379"/>
      <c r="J791" s="65"/>
      <c r="K791" s="65"/>
      <c r="L791" s="379"/>
      <c r="M791" s="379"/>
      <c r="N791" s="50"/>
      <c r="O791" s="50"/>
      <c r="P791" s="379"/>
      <c r="Q791" s="379"/>
      <c r="R791" s="379"/>
      <c r="T791" s="54"/>
      <c r="V791" s="379"/>
      <c r="W791" s="379"/>
      <c r="X791" s="379"/>
      <c r="Y791" s="379"/>
      <c r="Z791" s="379"/>
      <c r="AA791" s="379"/>
      <c r="AB791" s="65"/>
      <c r="AC791" s="379"/>
      <c r="AD791" s="379"/>
      <c r="AE791" s="50"/>
      <c r="AF791" s="50"/>
      <c r="AG791" s="156"/>
      <c r="AH791" s="379"/>
      <c r="AI791" s="60"/>
      <c r="AJ791" s="60"/>
      <c r="AK791" s="156"/>
      <c r="AL791" s="379"/>
      <c r="AM791" s="379"/>
      <c r="AN791" s="379"/>
      <c r="AO791" s="60"/>
      <c r="AP791" s="60"/>
    </row>
    <row r="792" spans="1:42" x14ac:dyDescent="0.25">
      <c r="F792" s="379"/>
      <c r="H792" s="379"/>
      <c r="I792" s="379"/>
      <c r="J792" s="65"/>
      <c r="K792" s="65"/>
      <c r="AB792" s="65"/>
    </row>
    <row r="793" spans="1:42" x14ac:dyDescent="0.25">
      <c r="A793" s="53"/>
      <c r="C793" s="54"/>
      <c r="F793" s="379"/>
      <c r="H793" s="449"/>
      <c r="I793" s="449"/>
      <c r="J793" s="221"/>
      <c r="K793" s="221"/>
      <c r="L793" s="379"/>
      <c r="M793" s="379"/>
      <c r="N793" s="50"/>
      <c r="O793" s="50"/>
      <c r="P793" s="379"/>
      <c r="Q793" s="379"/>
      <c r="R793" s="379"/>
      <c r="T793" s="54"/>
      <c r="V793" s="379"/>
      <c r="W793" s="379"/>
      <c r="X793" s="379"/>
      <c r="Y793" s="379"/>
      <c r="Z793" s="379"/>
      <c r="AA793" s="379"/>
      <c r="AB793" s="221"/>
      <c r="AC793" s="379"/>
      <c r="AD793" s="379"/>
      <c r="AE793" s="50"/>
      <c r="AF793" s="50"/>
      <c r="AG793" s="156"/>
      <c r="AH793" s="379"/>
      <c r="AI793" s="60"/>
      <c r="AJ793" s="60"/>
      <c r="AK793" s="156"/>
      <c r="AL793" s="379"/>
      <c r="AM793" s="379"/>
      <c r="AN793" s="379"/>
      <c r="AO793" s="60"/>
      <c r="AP793" s="60"/>
    </row>
    <row r="794" spans="1:42" x14ac:dyDescent="0.25">
      <c r="F794" s="381"/>
      <c r="H794" s="381"/>
      <c r="I794" s="381"/>
      <c r="J794" s="221"/>
      <c r="K794" s="221"/>
      <c r="L794" s="381"/>
      <c r="M794" s="381"/>
      <c r="N794" s="381"/>
      <c r="O794" s="381"/>
      <c r="P794" s="381"/>
      <c r="Q794" s="381"/>
      <c r="R794" s="381"/>
      <c r="V794" s="381"/>
      <c r="AA794" s="381"/>
      <c r="AB794" s="221"/>
      <c r="AC794" s="381"/>
      <c r="AD794" s="381"/>
      <c r="AE794" s="381"/>
      <c r="AF794" s="381"/>
      <c r="AG794" s="162"/>
      <c r="AH794" s="381"/>
      <c r="AK794" s="162"/>
      <c r="AL794" s="381"/>
      <c r="AM794" s="381"/>
      <c r="AN794" s="381"/>
    </row>
    <row r="795" spans="1:42" x14ac:dyDescent="0.25">
      <c r="A795" s="53"/>
      <c r="C795" s="54"/>
      <c r="F795" s="379"/>
      <c r="H795" s="379"/>
      <c r="I795" s="379"/>
      <c r="J795" s="65"/>
      <c r="K795" s="65"/>
      <c r="L795" s="379"/>
      <c r="M795" s="379"/>
      <c r="N795" s="53"/>
      <c r="O795" s="53"/>
      <c r="P795" s="379"/>
      <c r="Q795" s="379"/>
      <c r="R795" s="379"/>
      <c r="T795" s="54"/>
      <c r="V795" s="379"/>
      <c r="AA795" s="379"/>
      <c r="AB795" s="65"/>
      <c r="AC795" s="379"/>
      <c r="AD795" s="379"/>
      <c r="AE795" s="60"/>
      <c r="AF795" s="60"/>
      <c r="AG795" s="156"/>
      <c r="AH795" s="379"/>
      <c r="AI795" s="60"/>
      <c r="AJ795" s="60"/>
      <c r="AK795" s="156"/>
      <c r="AL795" s="379"/>
      <c r="AM795" s="379"/>
      <c r="AN795" s="379"/>
      <c r="AO795" s="60"/>
      <c r="AP795" s="60"/>
    </row>
    <row r="796" spans="1:42" x14ac:dyDescent="0.25">
      <c r="F796" s="381"/>
      <c r="H796" s="381"/>
      <c r="I796" s="381"/>
      <c r="J796" s="221"/>
      <c r="K796" s="221"/>
      <c r="L796" s="381"/>
      <c r="M796" s="381"/>
      <c r="N796" s="381"/>
      <c r="O796" s="381"/>
      <c r="P796" s="381"/>
      <c r="Q796" s="381"/>
      <c r="R796" s="381"/>
      <c r="V796" s="381"/>
      <c r="AA796" s="381"/>
      <c r="AB796" s="221"/>
      <c r="AC796" s="381"/>
      <c r="AD796" s="381"/>
      <c r="AE796" s="381"/>
      <c r="AF796" s="381"/>
      <c r="AG796" s="162"/>
      <c r="AH796" s="381"/>
      <c r="AK796" s="162"/>
      <c r="AL796" s="381"/>
      <c r="AM796" s="381"/>
      <c r="AN796" s="381"/>
    </row>
    <row r="797" spans="1:42" x14ac:dyDescent="0.25">
      <c r="J797" s="65"/>
      <c r="K797" s="65"/>
      <c r="AB797" s="65"/>
    </row>
    <row r="798" spans="1:42" x14ac:dyDescent="0.25">
      <c r="A798" s="53"/>
      <c r="C798" s="54"/>
      <c r="J798" s="65"/>
      <c r="K798" s="65"/>
      <c r="T798" s="54"/>
      <c r="AB798" s="65"/>
    </row>
    <row r="799" spans="1:42" x14ac:dyDescent="0.25">
      <c r="A799" s="53"/>
      <c r="C799" s="54"/>
      <c r="J799" s="65"/>
      <c r="K799" s="65"/>
      <c r="T799" s="54"/>
      <c r="AB799" s="65"/>
    </row>
    <row r="800" spans="1:42" x14ac:dyDescent="0.25">
      <c r="A800" s="53"/>
      <c r="C800" s="54"/>
      <c r="F800" s="449"/>
      <c r="H800" s="449"/>
      <c r="I800" s="449"/>
      <c r="J800" s="221"/>
      <c r="K800" s="221"/>
      <c r="L800" s="379"/>
      <c r="M800" s="379"/>
      <c r="N800" s="50"/>
      <c r="O800" s="50"/>
      <c r="P800" s="379"/>
      <c r="Q800" s="379"/>
      <c r="R800" s="379"/>
      <c r="T800" s="54"/>
      <c r="V800" s="379"/>
      <c r="W800" s="379"/>
      <c r="X800" s="379"/>
      <c r="Y800" s="379"/>
      <c r="Z800" s="379"/>
      <c r="AA800" s="379"/>
      <c r="AB800" s="221"/>
      <c r="AC800" s="379"/>
      <c r="AD800" s="379"/>
      <c r="AE800" s="50"/>
      <c r="AF800" s="50"/>
      <c r="AG800" s="156"/>
      <c r="AH800" s="379"/>
      <c r="AI800" s="60"/>
      <c r="AJ800" s="60"/>
      <c r="AK800" s="156"/>
      <c r="AL800" s="379"/>
      <c r="AM800" s="379"/>
      <c r="AN800" s="379"/>
      <c r="AO800" s="60"/>
      <c r="AP800" s="60"/>
    </row>
    <row r="801" spans="1:42" x14ac:dyDescent="0.25">
      <c r="A801" s="53"/>
      <c r="C801" s="54"/>
      <c r="J801" s="65"/>
      <c r="K801" s="65"/>
      <c r="T801" s="54"/>
      <c r="AB801" s="65"/>
    </row>
    <row r="802" spans="1:42" x14ac:dyDescent="0.25">
      <c r="A802" s="53"/>
      <c r="C802" s="54"/>
      <c r="F802" s="449"/>
      <c r="H802" s="449"/>
      <c r="I802" s="449"/>
      <c r="J802" s="221"/>
      <c r="K802" s="221"/>
      <c r="L802" s="379"/>
      <c r="M802" s="379"/>
      <c r="N802" s="50"/>
      <c r="O802" s="50"/>
      <c r="P802" s="379"/>
      <c r="Q802" s="379"/>
      <c r="R802" s="379"/>
      <c r="T802" s="54"/>
      <c r="V802" s="379"/>
      <c r="W802" s="379"/>
      <c r="X802" s="379"/>
      <c r="Y802" s="379"/>
      <c r="Z802" s="379"/>
      <c r="AA802" s="379"/>
      <c r="AB802" s="221"/>
      <c r="AC802" s="379"/>
      <c r="AD802" s="379"/>
      <c r="AE802" s="50"/>
      <c r="AF802" s="50"/>
      <c r="AG802" s="156"/>
      <c r="AH802" s="379"/>
      <c r="AI802" s="60"/>
      <c r="AJ802" s="60"/>
      <c r="AK802" s="156"/>
      <c r="AL802" s="379"/>
      <c r="AM802" s="379"/>
      <c r="AN802" s="379"/>
      <c r="AO802" s="60"/>
      <c r="AP802" s="60"/>
    </row>
    <row r="803" spans="1:42" x14ac:dyDescent="0.25">
      <c r="F803" s="381"/>
      <c r="H803" s="381"/>
      <c r="I803" s="381"/>
      <c r="J803" s="221"/>
      <c r="K803" s="221"/>
      <c r="L803" s="381"/>
      <c r="M803" s="381"/>
      <c r="N803" s="381"/>
      <c r="O803" s="381"/>
      <c r="P803" s="381"/>
      <c r="Q803" s="381"/>
      <c r="R803" s="381"/>
      <c r="V803" s="381"/>
      <c r="AA803" s="381"/>
      <c r="AB803" s="221"/>
      <c r="AC803" s="381"/>
      <c r="AD803" s="381"/>
      <c r="AE803" s="381"/>
      <c r="AF803" s="381"/>
      <c r="AG803" s="162"/>
      <c r="AH803" s="381"/>
      <c r="AK803" s="162"/>
      <c r="AL803" s="381"/>
      <c r="AM803" s="381"/>
      <c r="AN803" s="381"/>
    </row>
    <row r="804" spans="1:42" x14ac:dyDescent="0.25">
      <c r="A804" s="53"/>
      <c r="C804" s="54"/>
      <c r="F804" s="379"/>
      <c r="H804" s="379"/>
      <c r="I804" s="379"/>
      <c r="J804" s="65"/>
      <c r="K804" s="65"/>
      <c r="L804" s="379"/>
      <c r="M804" s="379"/>
      <c r="N804" s="60"/>
      <c r="O804" s="60"/>
      <c r="P804" s="379"/>
      <c r="Q804" s="379"/>
      <c r="R804" s="379"/>
      <c r="T804" s="54"/>
      <c r="V804" s="379"/>
      <c r="AA804" s="379"/>
      <c r="AB804" s="65"/>
      <c r="AC804" s="379"/>
      <c r="AD804" s="379"/>
      <c r="AE804" s="60"/>
      <c r="AF804" s="60"/>
      <c r="AG804" s="156"/>
      <c r="AH804" s="379"/>
      <c r="AI804" s="60"/>
      <c r="AJ804" s="60"/>
      <c r="AK804" s="156"/>
      <c r="AL804" s="379"/>
      <c r="AM804" s="379"/>
      <c r="AN804" s="379"/>
      <c r="AO804" s="60"/>
      <c r="AP804" s="60"/>
    </row>
    <row r="805" spans="1:42" x14ac:dyDescent="0.25">
      <c r="F805" s="381"/>
      <c r="H805" s="381"/>
      <c r="I805" s="381"/>
      <c r="J805" s="221"/>
      <c r="K805" s="221"/>
      <c r="L805" s="381"/>
      <c r="M805" s="381"/>
      <c r="N805" s="381"/>
      <c r="O805" s="381"/>
      <c r="P805" s="381"/>
      <c r="Q805" s="381"/>
      <c r="R805" s="381"/>
      <c r="V805" s="381"/>
      <c r="AA805" s="381"/>
      <c r="AB805" s="464"/>
      <c r="AC805" s="381"/>
      <c r="AD805" s="381"/>
      <c r="AE805" s="381"/>
      <c r="AF805" s="381"/>
      <c r="AG805" s="162"/>
      <c r="AH805" s="381"/>
      <c r="AK805" s="162"/>
      <c r="AL805" s="381"/>
      <c r="AM805" s="381"/>
      <c r="AN805" s="381"/>
    </row>
    <row r="806" spans="1:42" x14ac:dyDescent="0.25">
      <c r="J806" s="65"/>
      <c r="K806" s="65"/>
    </row>
    <row r="807" spans="1:42" x14ac:dyDescent="0.25">
      <c r="A807" s="53"/>
      <c r="C807" s="54"/>
      <c r="F807" s="379"/>
      <c r="H807" s="379"/>
      <c r="I807" s="379"/>
      <c r="J807" s="65"/>
      <c r="K807" s="65"/>
      <c r="L807" s="379"/>
      <c r="M807" s="379"/>
      <c r="N807" s="50"/>
      <c r="O807" s="50"/>
      <c r="P807" s="449"/>
      <c r="Q807" s="449"/>
      <c r="R807" s="379"/>
      <c r="T807" s="54"/>
      <c r="V807" s="379"/>
      <c r="AA807" s="379"/>
      <c r="AC807" s="379"/>
      <c r="AD807" s="379"/>
      <c r="AE807" s="60"/>
      <c r="AF807" s="60"/>
      <c r="AG807" s="156"/>
      <c r="AH807" s="379"/>
      <c r="AI807" s="60"/>
      <c r="AJ807" s="60"/>
      <c r="AK807" s="474"/>
      <c r="AL807" s="449"/>
      <c r="AM807" s="379"/>
      <c r="AN807" s="379"/>
      <c r="AO807" s="60"/>
      <c r="AP807" s="60"/>
    </row>
    <row r="808" spans="1:42" x14ac:dyDescent="0.25">
      <c r="H808" s="381"/>
      <c r="I808" s="381"/>
      <c r="J808" s="221"/>
      <c r="K808" s="221"/>
      <c r="L808" s="381"/>
      <c r="M808" s="381"/>
      <c r="N808" s="381"/>
      <c r="O808" s="381"/>
      <c r="P808" s="381"/>
      <c r="Q808" s="381"/>
      <c r="R808" s="381"/>
      <c r="V808" s="381"/>
      <c r="AA808" s="381"/>
      <c r="AB808" s="464"/>
      <c r="AC808" s="381"/>
      <c r="AD808" s="381"/>
      <c r="AE808" s="381"/>
      <c r="AF808" s="381"/>
      <c r="AG808" s="162"/>
      <c r="AH808" s="381"/>
      <c r="AK808" s="162"/>
      <c r="AL808" s="381"/>
      <c r="AM808" s="381"/>
      <c r="AN808" s="381"/>
    </row>
    <row r="809" spans="1:42" x14ac:dyDescent="0.25">
      <c r="F809" s="381"/>
    </row>
    <row r="810" spans="1:42" x14ac:dyDescent="0.25">
      <c r="C810" s="53"/>
      <c r="T810" s="53"/>
    </row>
    <row r="811" spans="1:42" x14ac:dyDescent="0.25">
      <c r="A811" s="54"/>
    </row>
    <row r="812" spans="1:42" x14ac:dyDescent="0.25">
      <c r="J812" s="53"/>
      <c r="K812" s="53"/>
      <c r="AB812" s="53"/>
    </row>
    <row r="813" spans="1:42" x14ac:dyDescent="0.25">
      <c r="H813" s="54"/>
      <c r="I813" s="54"/>
      <c r="AA813" s="54"/>
    </row>
    <row r="814" spans="1:42" x14ac:dyDescent="0.25">
      <c r="J814" s="53"/>
      <c r="K814" s="53"/>
      <c r="AB814" s="53"/>
    </row>
    <row r="815" spans="1:42" x14ac:dyDescent="0.25">
      <c r="L815" s="54"/>
      <c r="M815" s="54"/>
      <c r="AC815" s="54"/>
      <c r="AD815" s="54"/>
    </row>
    <row r="816" spans="1:42" x14ac:dyDescent="0.25">
      <c r="A816" s="53"/>
      <c r="R816" s="54"/>
      <c r="AM816" s="54"/>
      <c r="AN816" s="54"/>
    </row>
    <row r="817" spans="1:42" x14ac:dyDescent="0.25">
      <c r="A817" s="53"/>
      <c r="R817" s="54"/>
      <c r="AM817" s="54"/>
      <c r="AN817" s="54"/>
    </row>
    <row r="818" spans="1:42" x14ac:dyDescent="0.25">
      <c r="A818" s="54"/>
      <c r="R818" s="54"/>
      <c r="AM818" s="54"/>
      <c r="AN818" s="54"/>
    </row>
    <row r="819" spans="1:42" x14ac:dyDescent="0.25">
      <c r="L819" s="54"/>
      <c r="M819" s="54"/>
      <c r="R819" s="53"/>
      <c r="AC819" s="54"/>
      <c r="AD819" s="54"/>
      <c r="AM819" s="53"/>
      <c r="AN819" s="53"/>
    </row>
    <row r="820" spans="1:42" x14ac:dyDescent="0.25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154"/>
      <c r="AH820" s="55"/>
      <c r="AI820" s="55"/>
      <c r="AJ820" s="55"/>
      <c r="AK820" s="154"/>
      <c r="AL820" s="55"/>
      <c r="AM820" s="55"/>
      <c r="AN820" s="55"/>
      <c r="AO820" s="55"/>
      <c r="AP820" s="55"/>
    </row>
    <row r="821" spans="1:42" x14ac:dyDescent="0.25">
      <c r="L821" s="56"/>
      <c r="M821" s="56"/>
      <c r="N821" s="56"/>
      <c r="O821" s="56"/>
      <c r="R821" s="56"/>
      <c r="AC821" s="56"/>
      <c r="AD821" s="56"/>
      <c r="AE821" s="56"/>
      <c r="AF821" s="56"/>
      <c r="AG821" s="155"/>
      <c r="AH821" s="56"/>
      <c r="AI821" s="56"/>
      <c r="AJ821" s="56"/>
      <c r="AM821" s="56"/>
      <c r="AN821" s="56"/>
      <c r="AO821" s="56"/>
      <c r="AP821" s="56"/>
    </row>
    <row r="822" spans="1:42" x14ac:dyDescent="0.25">
      <c r="L822" s="56"/>
      <c r="M822" s="56"/>
      <c r="N822" s="56"/>
      <c r="O822" s="56"/>
      <c r="R822" s="56"/>
      <c r="AB822" s="56"/>
      <c r="AC822" s="56"/>
      <c r="AD822" s="56"/>
      <c r="AE822" s="56"/>
      <c r="AF822" s="56"/>
      <c r="AG822" s="155"/>
      <c r="AH822" s="56"/>
      <c r="AI822" s="56"/>
      <c r="AJ822" s="56"/>
      <c r="AM822" s="56"/>
      <c r="AN822" s="56"/>
      <c r="AO822" s="56"/>
      <c r="AP822" s="56"/>
    </row>
    <row r="823" spans="1:42" x14ac:dyDescent="0.25">
      <c r="A823" s="56"/>
      <c r="C823" s="56"/>
      <c r="D823" s="56"/>
      <c r="E823" s="56"/>
      <c r="F823" s="56"/>
      <c r="J823" s="56"/>
      <c r="K823" s="56"/>
      <c r="L823" s="56"/>
      <c r="M823" s="56"/>
      <c r="N823" s="56"/>
      <c r="O823" s="56"/>
      <c r="P823" s="56"/>
      <c r="Q823" s="56"/>
      <c r="R823" s="56"/>
      <c r="T823" s="56"/>
      <c r="U823" s="56"/>
      <c r="V823" s="56"/>
      <c r="AB823" s="56"/>
      <c r="AC823" s="56"/>
      <c r="AD823" s="56"/>
      <c r="AE823" s="56"/>
      <c r="AF823" s="56"/>
      <c r="AG823" s="155"/>
      <c r="AH823" s="56"/>
      <c r="AI823" s="56"/>
      <c r="AJ823" s="56"/>
      <c r="AK823" s="155"/>
      <c r="AL823" s="56"/>
      <c r="AM823" s="56"/>
      <c r="AN823" s="56"/>
      <c r="AO823" s="56"/>
      <c r="AP823" s="56"/>
    </row>
    <row r="824" spans="1:42" x14ac:dyDescent="0.25">
      <c r="A824" s="56"/>
      <c r="C824" s="56"/>
      <c r="D824" s="56"/>
      <c r="E824" s="56"/>
      <c r="F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T824" s="56"/>
      <c r="U824" s="56"/>
      <c r="V824" s="56"/>
      <c r="AA824" s="56"/>
      <c r="AB824" s="56"/>
      <c r="AC824" s="56"/>
      <c r="AD824" s="56"/>
      <c r="AE824" s="56"/>
      <c r="AF824" s="56"/>
      <c r="AG824" s="155"/>
      <c r="AH824" s="56"/>
      <c r="AI824" s="56"/>
      <c r="AJ824" s="56"/>
      <c r="AK824" s="155"/>
      <c r="AL824" s="56"/>
      <c r="AM824" s="56"/>
      <c r="AN824" s="56"/>
      <c r="AO824" s="56"/>
      <c r="AP824" s="56"/>
    </row>
    <row r="825" spans="1:42" x14ac:dyDescent="0.25">
      <c r="C825" s="56"/>
      <c r="D825" s="56"/>
      <c r="E825" s="56"/>
      <c r="F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T825" s="56"/>
      <c r="U825" s="56"/>
      <c r="V825" s="56"/>
      <c r="AA825" s="56"/>
      <c r="AB825" s="56"/>
      <c r="AC825" s="56"/>
      <c r="AD825" s="56"/>
      <c r="AE825" s="56"/>
      <c r="AF825" s="56"/>
      <c r="AG825" s="155"/>
      <c r="AH825" s="56"/>
      <c r="AI825" s="56"/>
      <c r="AJ825" s="56"/>
      <c r="AK825" s="155"/>
      <c r="AL825" s="56"/>
      <c r="AM825" s="56"/>
      <c r="AN825" s="56"/>
      <c r="AO825" s="56"/>
      <c r="AP825" s="56"/>
    </row>
    <row r="826" spans="1:42" x14ac:dyDescent="0.25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154"/>
      <c r="AH826" s="55"/>
      <c r="AI826" s="55"/>
      <c r="AJ826" s="55"/>
      <c r="AK826" s="154"/>
      <c r="AL826" s="55"/>
      <c r="AM826" s="55"/>
      <c r="AN826" s="55"/>
      <c r="AO826" s="55"/>
      <c r="AP826" s="55"/>
    </row>
    <row r="827" spans="1:42" x14ac:dyDescent="0.25"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AA827" s="56"/>
      <c r="AB827" s="56"/>
      <c r="AC827" s="56"/>
      <c r="AD827" s="56"/>
      <c r="AE827" s="56"/>
      <c r="AF827" s="56"/>
      <c r="AG827" s="155"/>
      <c r="AH827" s="56"/>
      <c r="AI827" s="56"/>
      <c r="AJ827" s="56"/>
      <c r="AK827" s="155"/>
      <c r="AL827" s="56"/>
      <c r="AM827" s="56"/>
      <c r="AN827" s="56"/>
      <c r="AO827" s="56"/>
      <c r="AP827" s="56"/>
    </row>
    <row r="828" spans="1:42" x14ac:dyDescent="0.25">
      <c r="A828" s="53"/>
      <c r="C828" s="54"/>
      <c r="D828" s="54"/>
      <c r="E828" s="54"/>
      <c r="T828" s="54"/>
      <c r="U828" s="54"/>
    </row>
    <row r="830" spans="1:42" x14ac:dyDescent="0.25">
      <c r="A830" s="53"/>
      <c r="C830" s="54"/>
      <c r="D830" s="54"/>
      <c r="E830" s="54"/>
      <c r="T830" s="54"/>
      <c r="U830" s="54"/>
    </row>
    <row r="831" spans="1:42" x14ac:dyDescent="0.25">
      <c r="A831" s="53"/>
      <c r="C831" s="54"/>
      <c r="T831" s="54"/>
    </row>
    <row r="832" spans="1:42" x14ac:dyDescent="0.25">
      <c r="A832" s="53"/>
      <c r="C832" s="54"/>
      <c r="T832" s="54"/>
    </row>
    <row r="833" spans="1:42" x14ac:dyDescent="0.25">
      <c r="A833" s="53"/>
      <c r="C833" s="54"/>
      <c r="H833" s="449"/>
      <c r="I833" s="449"/>
      <c r="J833" s="221"/>
      <c r="K833" s="221"/>
      <c r="L833" s="379"/>
      <c r="M833" s="379"/>
      <c r="N833" s="50"/>
      <c r="O833" s="50"/>
      <c r="P833" s="379"/>
      <c r="Q833" s="379"/>
      <c r="R833" s="379"/>
      <c r="T833" s="54"/>
      <c r="V833" s="379"/>
      <c r="W833" s="379"/>
      <c r="X833" s="379"/>
      <c r="Y833" s="379"/>
      <c r="Z833" s="379"/>
      <c r="AA833" s="379"/>
      <c r="AB833" s="221"/>
      <c r="AC833" s="379"/>
      <c r="AD833" s="379"/>
      <c r="AE833" s="50"/>
      <c r="AF833" s="50"/>
      <c r="AG833" s="156"/>
      <c r="AH833" s="379"/>
      <c r="AI833" s="60"/>
      <c r="AJ833" s="60"/>
      <c r="AK833" s="156"/>
      <c r="AL833" s="379"/>
      <c r="AM833" s="379"/>
      <c r="AN833" s="379"/>
      <c r="AO833" s="50"/>
      <c r="AP833" s="50"/>
    </row>
    <row r="834" spans="1:42" x14ac:dyDescent="0.25">
      <c r="A834" s="53"/>
      <c r="C834" s="54"/>
      <c r="F834" s="449"/>
      <c r="J834" s="65"/>
      <c r="K834" s="65"/>
      <c r="T834" s="54"/>
      <c r="V834" s="379"/>
      <c r="W834" s="379"/>
      <c r="X834" s="379"/>
      <c r="Y834" s="379"/>
      <c r="Z834" s="379"/>
      <c r="AA834" s="379"/>
      <c r="AB834" s="221"/>
    </row>
    <row r="835" spans="1:42" x14ac:dyDescent="0.25">
      <c r="A835" s="53"/>
      <c r="C835" s="54"/>
      <c r="H835" s="449"/>
      <c r="I835" s="449"/>
      <c r="J835" s="221"/>
      <c r="K835" s="221"/>
      <c r="L835" s="379"/>
      <c r="M835" s="379"/>
      <c r="N835" s="50"/>
      <c r="O835" s="50"/>
      <c r="P835" s="379"/>
      <c r="Q835" s="379"/>
      <c r="R835" s="379"/>
      <c r="T835" s="54"/>
      <c r="V835" s="379"/>
      <c r="W835" s="379"/>
      <c r="X835" s="379"/>
      <c r="Y835" s="379"/>
      <c r="Z835" s="379"/>
      <c r="AA835" s="379"/>
      <c r="AB835" s="221"/>
      <c r="AC835" s="379"/>
      <c r="AD835" s="379"/>
      <c r="AE835" s="50"/>
      <c r="AF835" s="50"/>
      <c r="AG835" s="156"/>
      <c r="AH835" s="379"/>
      <c r="AI835" s="60"/>
      <c r="AJ835" s="60"/>
      <c r="AK835" s="156"/>
      <c r="AL835" s="379"/>
      <c r="AM835" s="379"/>
      <c r="AN835" s="379"/>
      <c r="AO835" s="50"/>
      <c r="AP835" s="50"/>
    </row>
    <row r="836" spans="1:42" x14ac:dyDescent="0.25">
      <c r="A836" s="53"/>
      <c r="C836" s="54"/>
      <c r="F836" s="449"/>
      <c r="J836" s="65"/>
      <c r="K836" s="65"/>
      <c r="T836" s="54"/>
      <c r="V836" s="379"/>
      <c r="W836" s="379"/>
      <c r="X836" s="379"/>
      <c r="Y836" s="379"/>
      <c r="Z836" s="379"/>
      <c r="AA836" s="379"/>
      <c r="AB836" s="221"/>
    </row>
    <row r="837" spans="1:42" x14ac:dyDescent="0.25">
      <c r="A837" s="53"/>
      <c r="C837" s="54"/>
      <c r="H837" s="449"/>
      <c r="I837" s="449"/>
      <c r="J837" s="221"/>
      <c r="K837" s="221"/>
      <c r="L837" s="379"/>
      <c r="M837" s="379"/>
      <c r="N837" s="50"/>
      <c r="O837" s="50"/>
      <c r="P837" s="379"/>
      <c r="Q837" s="379"/>
      <c r="R837" s="379"/>
      <c r="T837" s="54"/>
      <c r="V837" s="379"/>
      <c r="W837" s="379"/>
      <c r="X837" s="379"/>
      <c r="Y837" s="379"/>
      <c r="Z837" s="379"/>
      <c r="AA837" s="379"/>
      <c r="AB837" s="221"/>
      <c r="AC837" s="379"/>
      <c r="AD837" s="379"/>
      <c r="AE837" s="50"/>
      <c r="AF837" s="50"/>
      <c r="AG837" s="156"/>
      <c r="AH837" s="379"/>
      <c r="AI837" s="60"/>
      <c r="AJ837" s="60"/>
      <c r="AK837" s="156"/>
      <c r="AL837" s="379"/>
      <c r="AM837" s="379"/>
      <c r="AN837" s="379"/>
      <c r="AO837" s="50"/>
      <c r="AP837" s="50"/>
    </row>
    <row r="838" spans="1:42" x14ac:dyDescent="0.25">
      <c r="A838" s="53"/>
      <c r="C838" s="54"/>
      <c r="F838" s="449"/>
      <c r="J838" s="65"/>
      <c r="K838" s="65"/>
      <c r="T838" s="54"/>
      <c r="V838" s="379"/>
      <c r="W838" s="379"/>
      <c r="X838" s="379"/>
      <c r="Y838" s="379"/>
      <c r="Z838" s="379"/>
      <c r="AA838" s="379"/>
      <c r="AB838" s="221"/>
    </row>
    <row r="839" spans="1:42" x14ac:dyDescent="0.25">
      <c r="A839" s="53"/>
      <c r="C839" s="54"/>
      <c r="H839" s="449"/>
      <c r="I839" s="449"/>
      <c r="J839" s="221"/>
      <c r="K839" s="221"/>
      <c r="L839" s="379"/>
      <c r="M839" s="379"/>
      <c r="N839" s="50"/>
      <c r="O839" s="50"/>
      <c r="P839" s="379"/>
      <c r="Q839" s="379"/>
      <c r="R839" s="379"/>
      <c r="T839" s="54"/>
      <c r="V839" s="379"/>
      <c r="W839" s="379"/>
      <c r="X839" s="379"/>
      <c r="Y839" s="379"/>
      <c r="Z839" s="379"/>
      <c r="AA839" s="379"/>
      <c r="AB839" s="221"/>
      <c r="AC839" s="379"/>
      <c r="AD839" s="379"/>
      <c r="AE839" s="50"/>
      <c r="AF839" s="50"/>
      <c r="AG839" s="156"/>
      <c r="AH839" s="379"/>
      <c r="AI839" s="60"/>
      <c r="AJ839" s="60"/>
      <c r="AK839" s="156"/>
      <c r="AL839" s="379"/>
      <c r="AM839" s="379"/>
      <c r="AN839" s="379"/>
      <c r="AO839" s="50"/>
      <c r="AP839" s="50"/>
    </row>
    <row r="840" spans="1:42" x14ac:dyDescent="0.25">
      <c r="A840" s="53"/>
      <c r="C840" s="54"/>
      <c r="F840" s="449"/>
      <c r="J840" s="65"/>
      <c r="K840" s="65"/>
      <c r="T840" s="54"/>
      <c r="V840" s="379"/>
      <c r="W840" s="379"/>
      <c r="X840" s="379"/>
      <c r="Y840" s="379"/>
      <c r="Z840" s="379"/>
      <c r="AA840" s="379"/>
      <c r="AB840" s="221"/>
    </row>
    <row r="841" spans="1:42" x14ac:dyDescent="0.25">
      <c r="A841" s="53"/>
      <c r="C841" s="54"/>
      <c r="H841" s="449"/>
      <c r="I841" s="449"/>
      <c r="J841" s="221"/>
      <c r="K841" s="221"/>
      <c r="L841" s="379"/>
      <c r="M841" s="379"/>
      <c r="N841" s="50"/>
      <c r="O841" s="50"/>
      <c r="P841" s="379"/>
      <c r="Q841" s="379"/>
      <c r="R841" s="379"/>
      <c r="T841" s="54"/>
      <c r="V841" s="379"/>
      <c r="W841" s="379"/>
      <c r="X841" s="379"/>
      <c r="Y841" s="379"/>
      <c r="Z841" s="379"/>
      <c r="AA841" s="379"/>
      <c r="AB841" s="221"/>
      <c r="AC841" s="379"/>
      <c r="AD841" s="379"/>
      <c r="AE841" s="50"/>
      <c r="AF841" s="50"/>
      <c r="AG841" s="156"/>
      <c r="AH841" s="379"/>
      <c r="AI841" s="60"/>
      <c r="AJ841" s="60"/>
      <c r="AK841" s="156"/>
      <c r="AL841" s="379"/>
      <c r="AM841" s="379"/>
      <c r="AN841" s="379"/>
      <c r="AO841" s="50"/>
      <c r="AP841" s="50"/>
    </row>
    <row r="842" spans="1:42" x14ac:dyDescent="0.25">
      <c r="A842" s="53"/>
      <c r="C842" s="54"/>
      <c r="F842" s="449"/>
      <c r="J842" s="65"/>
      <c r="K842" s="65"/>
      <c r="T842" s="54"/>
      <c r="V842" s="379"/>
      <c r="W842" s="379"/>
      <c r="X842" s="379"/>
      <c r="Y842" s="379"/>
      <c r="Z842" s="379"/>
      <c r="AA842" s="379"/>
      <c r="AB842" s="221"/>
    </row>
    <row r="843" spans="1:42" x14ac:dyDescent="0.25">
      <c r="A843" s="53"/>
      <c r="C843" s="54"/>
      <c r="H843" s="449"/>
      <c r="I843" s="449"/>
      <c r="J843" s="221"/>
      <c r="K843" s="221"/>
      <c r="L843" s="379"/>
      <c r="M843" s="379"/>
      <c r="N843" s="50"/>
      <c r="O843" s="50"/>
      <c r="P843" s="379"/>
      <c r="Q843" s="379"/>
      <c r="R843" s="379"/>
      <c r="T843" s="54"/>
      <c r="V843" s="379"/>
      <c r="W843" s="379"/>
      <c r="X843" s="379"/>
      <c r="Y843" s="379"/>
      <c r="Z843" s="379"/>
      <c r="AA843" s="379"/>
      <c r="AB843" s="221"/>
      <c r="AC843" s="379"/>
      <c r="AD843" s="379"/>
      <c r="AE843" s="50"/>
      <c r="AF843" s="50"/>
      <c r="AG843" s="156"/>
      <c r="AH843" s="379"/>
      <c r="AI843" s="60"/>
      <c r="AJ843" s="60"/>
      <c r="AK843" s="156"/>
      <c r="AL843" s="379"/>
      <c r="AM843" s="379"/>
      <c r="AN843" s="379"/>
      <c r="AO843" s="50"/>
      <c r="AP843" s="50"/>
    </row>
    <row r="844" spans="1:42" x14ac:dyDescent="0.25">
      <c r="F844" s="449"/>
      <c r="H844" s="381"/>
      <c r="I844" s="381"/>
      <c r="J844" s="221"/>
      <c r="K844" s="221"/>
      <c r="L844" s="381"/>
      <c r="M844" s="381"/>
      <c r="N844" s="381"/>
      <c r="O844" s="381"/>
      <c r="P844" s="381"/>
      <c r="Q844" s="381"/>
      <c r="R844" s="381"/>
      <c r="V844" s="381"/>
      <c r="AA844" s="381"/>
      <c r="AB844" s="221"/>
      <c r="AC844" s="381"/>
      <c r="AD844" s="381"/>
      <c r="AE844" s="381"/>
      <c r="AF844" s="381"/>
      <c r="AG844" s="162"/>
      <c r="AH844" s="381"/>
      <c r="AK844" s="162"/>
      <c r="AL844" s="381"/>
      <c r="AM844" s="381"/>
      <c r="AN844" s="381"/>
      <c r="AO844" s="50"/>
      <c r="AP844" s="50"/>
    </row>
    <row r="845" spans="1:42" x14ac:dyDescent="0.25">
      <c r="A845" s="53"/>
      <c r="C845" s="54"/>
      <c r="F845" s="381"/>
      <c r="H845" s="379"/>
      <c r="I845" s="379"/>
      <c r="J845" s="65"/>
      <c r="K845" s="65"/>
      <c r="L845" s="379"/>
      <c r="M845" s="379"/>
      <c r="N845" s="50"/>
      <c r="O845" s="50"/>
      <c r="P845" s="449"/>
      <c r="Q845" s="449"/>
      <c r="R845" s="379"/>
      <c r="T845" s="54"/>
      <c r="V845" s="379"/>
      <c r="W845" s="379"/>
      <c r="X845" s="379"/>
      <c r="Y845" s="379"/>
      <c r="Z845" s="379"/>
      <c r="AA845" s="379"/>
      <c r="AB845" s="221"/>
      <c r="AC845" s="379"/>
      <c r="AD845" s="379"/>
      <c r="AE845" s="50"/>
      <c r="AF845" s="50"/>
      <c r="AG845" s="156"/>
      <c r="AH845" s="379"/>
      <c r="AI845" s="60"/>
      <c r="AJ845" s="60"/>
      <c r="AK845" s="474"/>
      <c r="AL845" s="449"/>
      <c r="AM845" s="379"/>
      <c r="AN845" s="379"/>
      <c r="AO845" s="50"/>
      <c r="AP845" s="50"/>
    </row>
    <row r="846" spans="1:42" x14ac:dyDescent="0.25">
      <c r="F846" s="379"/>
      <c r="H846" s="381"/>
      <c r="I846" s="381"/>
      <c r="J846" s="221"/>
      <c r="K846" s="221"/>
      <c r="L846" s="381"/>
      <c r="M846" s="381"/>
      <c r="N846" s="381"/>
      <c r="O846" s="381"/>
      <c r="P846" s="381"/>
      <c r="Q846" s="381"/>
      <c r="R846" s="381"/>
      <c r="V846" s="381"/>
      <c r="AA846" s="381"/>
      <c r="AB846" s="221"/>
      <c r="AC846" s="381"/>
      <c r="AD846" s="381"/>
      <c r="AE846" s="381"/>
      <c r="AF846" s="381"/>
      <c r="AG846" s="162"/>
      <c r="AH846" s="381"/>
      <c r="AK846" s="162"/>
      <c r="AL846" s="381"/>
      <c r="AM846" s="381"/>
      <c r="AN846" s="381"/>
    </row>
    <row r="847" spans="1:42" x14ac:dyDescent="0.25">
      <c r="A847" s="53"/>
      <c r="C847" s="54"/>
      <c r="D847" s="54"/>
      <c r="E847" s="54"/>
      <c r="F847" s="381"/>
      <c r="J847" s="65"/>
      <c r="K847" s="65"/>
      <c r="T847" s="54"/>
      <c r="U847" s="54"/>
      <c r="V847" s="379"/>
      <c r="W847" s="379"/>
      <c r="X847" s="379"/>
      <c r="Y847" s="379"/>
      <c r="Z847" s="379"/>
      <c r="AA847" s="379"/>
      <c r="AB847" s="221"/>
    </row>
    <row r="848" spans="1:42" x14ac:dyDescent="0.25">
      <c r="A848" s="53"/>
      <c r="C848" s="54"/>
      <c r="J848" s="65"/>
      <c r="K848" s="65"/>
      <c r="T848" s="54"/>
      <c r="V848" s="379"/>
      <c r="W848" s="379"/>
      <c r="X848" s="379"/>
      <c r="Y848" s="379"/>
      <c r="Z848" s="379"/>
      <c r="AA848" s="379"/>
      <c r="AB848" s="221"/>
    </row>
    <row r="849" spans="1:42" x14ac:dyDescent="0.25">
      <c r="A849" s="53"/>
      <c r="C849" s="54"/>
      <c r="J849" s="65"/>
      <c r="K849" s="65"/>
      <c r="T849" s="54"/>
      <c r="V849" s="379"/>
      <c r="W849" s="379"/>
      <c r="X849" s="379"/>
      <c r="Y849" s="379"/>
      <c r="Z849" s="379"/>
      <c r="AA849" s="379"/>
      <c r="AB849" s="221"/>
    </row>
    <row r="850" spans="1:42" x14ac:dyDescent="0.25">
      <c r="A850" s="53"/>
      <c r="C850" s="54"/>
      <c r="H850" s="449"/>
      <c r="I850" s="449"/>
      <c r="J850" s="221"/>
      <c r="K850" s="221"/>
      <c r="L850" s="379"/>
      <c r="M850" s="379"/>
      <c r="N850" s="50"/>
      <c r="O850" s="50"/>
      <c r="P850" s="379"/>
      <c r="Q850" s="379"/>
      <c r="R850" s="379"/>
      <c r="T850" s="54"/>
      <c r="V850" s="379"/>
      <c r="W850" s="379"/>
      <c r="X850" s="379"/>
      <c r="Y850" s="379"/>
      <c r="Z850" s="379"/>
      <c r="AA850" s="379"/>
      <c r="AB850" s="221"/>
      <c r="AC850" s="379"/>
      <c r="AD850" s="379"/>
      <c r="AE850" s="50"/>
      <c r="AF850" s="50"/>
      <c r="AG850" s="156"/>
      <c r="AH850" s="379"/>
      <c r="AI850" s="60"/>
      <c r="AJ850" s="60"/>
      <c r="AK850" s="156"/>
      <c r="AL850" s="379"/>
      <c r="AM850" s="379"/>
      <c r="AN850" s="379"/>
      <c r="AO850" s="50"/>
      <c r="AP850" s="50"/>
    </row>
    <row r="851" spans="1:42" x14ac:dyDescent="0.25">
      <c r="A851" s="53"/>
      <c r="C851" s="54"/>
      <c r="F851" s="449"/>
      <c r="J851" s="65"/>
      <c r="K851" s="65"/>
      <c r="T851" s="54"/>
      <c r="V851" s="379"/>
      <c r="W851" s="379"/>
      <c r="X851" s="379"/>
      <c r="Y851" s="379"/>
      <c r="Z851" s="379"/>
      <c r="AA851" s="379"/>
      <c r="AB851" s="221"/>
    </row>
    <row r="852" spans="1:42" x14ac:dyDescent="0.25">
      <c r="A852" s="53"/>
      <c r="C852" s="54"/>
      <c r="H852" s="449"/>
      <c r="I852" s="449"/>
      <c r="J852" s="221"/>
      <c r="K852" s="221"/>
      <c r="L852" s="379"/>
      <c r="M852" s="379"/>
      <c r="N852" s="50"/>
      <c r="O852" s="50"/>
      <c r="P852" s="379"/>
      <c r="Q852" s="379"/>
      <c r="R852" s="379"/>
      <c r="T852" s="54"/>
      <c r="V852" s="379"/>
      <c r="W852" s="379"/>
      <c r="X852" s="379"/>
      <c r="Y852" s="379"/>
      <c r="Z852" s="379"/>
      <c r="AA852" s="379"/>
      <c r="AB852" s="221"/>
      <c r="AC852" s="379"/>
      <c r="AD852" s="379"/>
      <c r="AE852" s="50"/>
      <c r="AF852" s="50"/>
      <c r="AG852" s="156"/>
      <c r="AH852" s="379"/>
      <c r="AI852" s="60"/>
      <c r="AJ852" s="60"/>
      <c r="AK852" s="156"/>
      <c r="AL852" s="379"/>
      <c r="AM852" s="379"/>
      <c r="AN852" s="379"/>
      <c r="AO852" s="50"/>
      <c r="AP852" s="50"/>
    </row>
    <row r="853" spans="1:42" x14ac:dyDescent="0.25">
      <c r="F853" s="449"/>
      <c r="H853" s="381"/>
      <c r="I853" s="381"/>
      <c r="J853" s="221"/>
      <c r="K853" s="221"/>
      <c r="L853" s="381"/>
      <c r="M853" s="381"/>
      <c r="N853" s="381"/>
      <c r="O853" s="381"/>
      <c r="P853" s="381"/>
      <c r="Q853" s="381"/>
      <c r="R853" s="381"/>
      <c r="V853" s="381"/>
      <c r="AA853" s="381"/>
      <c r="AB853" s="464"/>
      <c r="AC853" s="381"/>
      <c r="AD853" s="381"/>
      <c r="AE853" s="381"/>
      <c r="AF853" s="381"/>
      <c r="AG853" s="162"/>
      <c r="AH853" s="381"/>
      <c r="AK853" s="162"/>
      <c r="AL853" s="381"/>
      <c r="AM853" s="381"/>
      <c r="AN853" s="381"/>
    </row>
    <row r="854" spans="1:42" x14ac:dyDescent="0.25">
      <c r="A854" s="53"/>
      <c r="C854" s="54"/>
      <c r="F854" s="381"/>
      <c r="H854" s="379"/>
      <c r="I854" s="379"/>
      <c r="L854" s="379"/>
      <c r="M854" s="379"/>
      <c r="N854" s="50"/>
      <c r="O854" s="50"/>
      <c r="P854" s="449"/>
      <c r="Q854" s="449"/>
      <c r="R854" s="379"/>
      <c r="T854" s="54"/>
      <c r="V854" s="379"/>
      <c r="W854" s="379"/>
      <c r="X854" s="379"/>
      <c r="Y854" s="379"/>
      <c r="Z854" s="379"/>
      <c r="AA854" s="379"/>
      <c r="AB854" s="477"/>
      <c r="AC854" s="379"/>
      <c r="AD854" s="379"/>
      <c r="AE854" s="50"/>
      <c r="AF854" s="50"/>
      <c r="AG854" s="156"/>
      <c r="AH854" s="379"/>
      <c r="AI854" s="60"/>
      <c r="AJ854" s="60"/>
      <c r="AK854" s="474"/>
      <c r="AL854" s="449"/>
      <c r="AM854" s="379"/>
      <c r="AN854" s="379"/>
      <c r="AO854" s="50"/>
      <c r="AP854" s="50"/>
    </row>
    <row r="855" spans="1:42" x14ac:dyDescent="0.25">
      <c r="F855" s="379"/>
      <c r="H855" s="381"/>
      <c r="I855" s="381"/>
      <c r="J855" s="464"/>
      <c r="K855" s="464"/>
      <c r="L855" s="381"/>
      <c r="M855" s="381"/>
      <c r="N855" s="381"/>
      <c r="O855" s="381"/>
      <c r="P855" s="381"/>
      <c r="Q855" s="381"/>
      <c r="R855" s="381"/>
      <c r="V855" s="381"/>
      <c r="AA855" s="381"/>
      <c r="AB855" s="464"/>
      <c r="AC855" s="381"/>
      <c r="AD855" s="381"/>
      <c r="AE855" s="381"/>
      <c r="AF855" s="381"/>
      <c r="AG855" s="162"/>
      <c r="AH855" s="381"/>
      <c r="AK855" s="162"/>
      <c r="AL855" s="381"/>
      <c r="AM855" s="381"/>
      <c r="AN855" s="381"/>
    </row>
    <row r="856" spans="1:42" x14ac:dyDescent="0.25">
      <c r="A856" s="53"/>
      <c r="C856" s="54"/>
      <c r="D856" s="54"/>
      <c r="E856" s="54"/>
      <c r="F856" s="381"/>
      <c r="T856" s="54"/>
      <c r="U856" s="54"/>
      <c r="V856" s="379"/>
      <c r="W856" s="379"/>
      <c r="X856" s="379"/>
      <c r="Y856" s="379"/>
      <c r="Z856" s="379"/>
      <c r="AA856" s="379"/>
      <c r="AB856" s="477"/>
    </row>
    <row r="857" spans="1:42" x14ac:dyDescent="0.25">
      <c r="A857" s="53"/>
      <c r="C857" s="54"/>
      <c r="T857" s="54"/>
      <c r="V857" s="379"/>
      <c r="W857" s="379"/>
      <c r="X857" s="379"/>
      <c r="Y857" s="379"/>
      <c r="Z857" s="379"/>
      <c r="AA857" s="379"/>
      <c r="AB857" s="477"/>
    </row>
    <row r="858" spans="1:42" x14ac:dyDescent="0.25">
      <c r="A858" s="53"/>
      <c r="C858" s="54"/>
      <c r="H858" s="449"/>
      <c r="I858" s="449"/>
      <c r="J858" s="477"/>
      <c r="K858" s="477"/>
      <c r="L858" s="379"/>
      <c r="M858" s="379"/>
      <c r="N858" s="50"/>
      <c r="O858" s="50"/>
      <c r="P858" s="379"/>
      <c r="Q858" s="379"/>
      <c r="R858" s="379"/>
      <c r="T858" s="54"/>
      <c r="V858" s="379"/>
      <c r="W858" s="379"/>
      <c r="X858" s="379"/>
      <c r="Y858" s="379"/>
      <c r="Z858" s="379"/>
      <c r="AA858" s="379"/>
      <c r="AB858" s="477"/>
      <c r="AC858" s="379"/>
      <c r="AD858" s="379"/>
      <c r="AE858" s="50"/>
      <c r="AF858" s="50"/>
      <c r="AG858" s="156"/>
      <c r="AH858" s="379"/>
      <c r="AI858" s="60"/>
      <c r="AJ858" s="60"/>
      <c r="AK858" s="156"/>
      <c r="AL858" s="379"/>
      <c r="AM858" s="379"/>
      <c r="AN858" s="379"/>
      <c r="AO858" s="50"/>
      <c r="AP858" s="50"/>
    </row>
    <row r="859" spans="1:42" x14ac:dyDescent="0.25">
      <c r="A859" s="53"/>
      <c r="C859" s="54"/>
      <c r="F859" s="449"/>
      <c r="T859" s="54"/>
      <c r="V859" s="379"/>
      <c r="W859" s="379"/>
      <c r="X859" s="379"/>
      <c r="Y859" s="379"/>
      <c r="Z859" s="379"/>
      <c r="AA859" s="379"/>
      <c r="AB859" s="477"/>
    </row>
    <row r="860" spans="1:42" x14ac:dyDescent="0.25">
      <c r="A860" s="53"/>
      <c r="C860" s="54"/>
      <c r="H860" s="449"/>
      <c r="I860" s="449"/>
      <c r="J860" s="477"/>
      <c r="K860" s="477"/>
      <c r="L860" s="379"/>
      <c r="M860" s="379"/>
      <c r="N860" s="50"/>
      <c r="O860" s="50"/>
      <c r="P860" s="379"/>
      <c r="Q860" s="379"/>
      <c r="R860" s="379"/>
      <c r="T860" s="54"/>
      <c r="V860" s="379"/>
      <c r="W860" s="379"/>
      <c r="X860" s="379"/>
      <c r="Y860" s="379"/>
      <c r="Z860" s="379"/>
      <c r="AA860" s="379"/>
      <c r="AB860" s="477"/>
      <c r="AC860" s="379"/>
      <c r="AD860" s="379"/>
      <c r="AE860" s="50"/>
      <c r="AF860" s="50"/>
      <c r="AG860" s="156"/>
      <c r="AH860" s="379"/>
      <c r="AI860" s="60"/>
      <c r="AJ860" s="60"/>
      <c r="AK860" s="156"/>
      <c r="AL860" s="379"/>
      <c r="AM860" s="379"/>
      <c r="AN860" s="379"/>
      <c r="AO860" s="50"/>
      <c r="AP860" s="50"/>
    </row>
    <row r="861" spans="1:42" x14ac:dyDescent="0.25">
      <c r="A861" s="53"/>
      <c r="C861" s="54"/>
      <c r="F861" s="449"/>
      <c r="T861" s="54"/>
      <c r="V861" s="379"/>
      <c r="W861" s="379"/>
      <c r="X861" s="379"/>
      <c r="Y861" s="379"/>
      <c r="Z861" s="379"/>
      <c r="AA861" s="379"/>
      <c r="AB861" s="477"/>
    </row>
    <row r="862" spans="1:42" x14ac:dyDescent="0.25">
      <c r="A862" s="53"/>
      <c r="C862" s="54"/>
      <c r="H862" s="449"/>
      <c r="I862" s="449"/>
      <c r="J862" s="477"/>
      <c r="K862" s="477"/>
      <c r="L862" s="379"/>
      <c r="M862" s="379"/>
      <c r="N862" s="50"/>
      <c r="O862" s="50"/>
      <c r="P862" s="379"/>
      <c r="Q862" s="379"/>
      <c r="R862" s="379"/>
      <c r="T862" s="54"/>
      <c r="V862" s="379"/>
      <c r="W862" s="379"/>
      <c r="X862" s="379"/>
      <c r="Y862" s="379"/>
      <c r="Z862" s="379"/>
      <c r="AA862" s="379"/>
      <c r="AB862" s="477"/>
      <c r="AC862" s="379"/>
      <c r="AD862" s="379"/>
      <c r="AE862" s="50"/>
      <c r="AF862" s="50"/>
      <c r="AG862" s="156"/>
      <c r="AH862" s="379"/>
      <c r="AI862" s="60"/>
      <c r="AJ862" s="60"/>
      <c r="AK862" s="156"/>
      <c r="AL862" s="379"/>
      <c r="AM862" s="379"/>
      <c r="AN862" s="379"/>
      <c r="AO862" s="50"/>
      <c r="AP862" s="50"/>
    </row>
    <row r="863" spans="1:42" x14ac:dyDescent="0.25">
      <c r="A863" s="53"/>
      <c r="C863" s="54"/>
      <c r="F863" s="449"/>
      <c r="T863" s="54"/>
      <c r="V863" s="379"/>
      <c r="W863" s="379"/>
      <c r="X863" s="379"/>
      <c r="Y863" s="379"/>
      <c r="Z863" s="379"/>
      <c r="AA863" s="379"/>
      <c r="AB863" s="477"/>
    </row>
    <row r="864" spans="1:42" x14ac:dyDescent="0.25">
      <c r="A864" s="53"/>
      <c r="C864" s="54"/>
      <c r="H864" s="449"/>
      <c r="I864" s="449"/>
      <c r="J864" s="477"/>
      <c r="K864" s="477"/>
      <c r="L864" s="379"/>
      <c r="M864" s="379"/>
      <c r="N864" s="50"/>
      <c r="O864" s="50"/>
      <c r="P864" s="379"/>
      <c r="Q864" s="379"/>
      <c r="R864" s="379"/>
      <c r="T864" s="54"/>
      <c r="V864" s="379"/>
      <c r="W864" s="379"/>
      <c r="X864" s="379"/>
      <c r="Y864" s="379"/>
      <c r="Z864" s="379"/>
      <c r="AA864" s="379"/>
      <c r="AB864" s="477"/>
      <c r="AC864" s="379"/>
      <c r="AD864" s="379"/>
      <c r="AE864" s="50"/>
      <c r="AF864" s="50"/>
      <c r="AG864" s="156"/>
      <c r="AH864" s="379"/>
      <c r="AI864" s="60"/>
      <c r="AJ864" s="60"/>
      <c r="AK864" s="156"/>
      <c r="AL864" s="379"/>
      <c r="AM864" s="379"/>
      <c r="AN864" s="379"/>
      <c r="AO864" s="50"/>
      <c r="AP864" s="50"/>
    </row>
    <row r="865" spans="1:42" x14ac:dyDescent="0.25">
      <c r="F865" s="449"/>
      <c r="H865" s="381"/>
      <c r="I865" s="381"/>
      <c r="J865" s="464"/>
      <c r="K865" s="464"/>
      <c r="L865" s="381"/>
      <c r="M865" s="381"/>
      <c r="N865" s="381"/>
      <c r="O865" s="381"/>
      <c r="P865" s="381"/>
      <c r="Q865" s="381"/>
      <c r="R865" s="381"/>
      <c r="V865" s="381"/>
      <c r="AA865" s="381"/>
      <c r="AB865" s="464"/>
      <c r="AC865" s="381"/>
      <c r="AD865" s="381"/>
      <c r="AE865" s="381"/>
      <c r="AF865" s="381"/>
      <c r="AG865" s="162"/>
      <c r="AH865" s="381"/>
      <c r="AK865" s="162"/>
      <c r="AL865" s="381"/>
      <c r="AM865" s="381"/>
      <c r="AN865" s="381"/>
    </row>
    <row r="866" spans="1:42" x14ac:dyDescent="0.25">
      <c r="A866" s="53"/>
      <c r="C866" s="54"/>
      <c r="F866" s="381"/>
      <c r="H866" s="379"/>
      <c r="I866" s="379"/>
      <c r="L866" s="379"/>
      <c r="M866" s="379"/>
      <c r="N866" s="50"/>
      <c r="O866" s="50"/>
      <c r="P866" s="449"/>
      <c r="Q866" s="449"/>
      <c r="R866" s="379"/>
      <c r="T866" s="54"/>
      <c r="V866" s="379"/>
      <c r="W866" s="379"/>
      <c r="X866" s="379"/>
      <c r="Y866" s="379"/>
      <c r="Z866" s="379"/>
      <c r="AA866" s="379"/>
      <c r="AB866" s="477"/>
      <c r="AC866" s="379"/>
      <c r="AD866" s="379"/>
      <c r="AE866" s="50"/>
      <c r="AF866" s="50"/>
      <c r="AG866" s="156"/>
      <c r="AH866" s="379"/>
      <c r="AI866" s="60"/>
      <c r="AJ866" s="60"/>
      <c r="AK866" s="474"/>
      <c r="AL866" s="449"/>
      <c r="AM866" s="379"/>
      <c r="AN866" s="379"/>
      <c r="AO866" s="50"/>
      <c r="AP866" s="50"/>
    </row>
    <row r="867" spans="1:42" x14ac:dyDescent="0.25">
      <c r="F867" s="379"/>
      <c r="H867" s="381"/>
      <c r="I867" s="381"/>
      <c r="J867" s="464"/>
      <c r="K867" s="464"/>
      <c r="L867" s="381"/>
      <c r="M867" s="381"/>
      <c r="N867" s="381"/>
      <c r="O867" s="381"/>
      <c r="P867" s="381"/>
      <c r="Q867" s="381"/>
      <c r="R867" s="381"/>
      <c r="V867" s="381"/>
      <c r="AA867" s="381"/>
      <c r="AB867" s="464"/>
      <c r="AC867" s="381"/>
      <c r="AD867" s="381"/>
      <c r="AE867" s="381"/>
      <c r="AF867" s="381"/>
      <c r="AG867" s="162"/>
      <c r="AH867" s="381"/>
      <c r="AK867" s="162"/>
      <c r="AL867" s="381"/>
      <c r="AM867" s="381"/>
      <c r="AN867" s="381"/>
    </row>
    <row r="868" spans="1:42" x14ac:dyDescent="0.25">
      <c r="A868" s="53"/>
      <c r="C868" s="54"/>
      <c r="F868" s="381"/>
      <c r="H868" s="379"/>
      <c r="I868" s="379"/>
      <c r="L868" s="379"/>
      <c r="M868" s="379"/>
      <c r="N868" s="50"/>
      <c r="O868" s="50"/>
      <c r="P868" s="379"/>
      <c r="Q868" s="379"/>
      <c r="R868" s="379"/>
      <c r="T868" s="54"/>
      <c r="V868" s="379"/>
      <c r="W868" s="379"/>
      <c r="X868" s="379"/>
      <c r="Y868" s="379"/>
      <c r="Z868" s="379"/>
      <c r="AA868" s="379"/>
      <c r="AC868" s="379"/>
      <c r="AD868" s="379"/>
      <c r="AE868" s="50"/>
      <c r="AF868" s="50"/>
      <c r="AG868" s="156"/>
      <c r="AH868" s="379"/>
      <c r="AI868" s="60"/>
      <c r="AJ868" s="60"/>
      <c r="AK868" s="156"/>
      <c r="AL868" s="379"/>
      <c r="AM868" s="379"/>
      <c r="AN868" s="379"/>
      <c r="AO868" s="60"/>
      <c r="AP868" s="60"/>
    </row>
    <row r="869" spans="1:42" x14ac:dyDescent="0.25">
      <c r="F869" s="379"/>
      <c r="H869" s="381"/>
      <c r="I869" s="381"/>
      <c r="J869" s="464"/>
      <c r="K869" s="464"/>
      <c r="L869" s="381"/>
      <c r="M869" s="381"/>
      <c r="N869" s="381"/>
      <c r="O869" s="381"/>
      <c r="P869" s="381"/>
      <c r="Q869" s="381"/>
      <c r="R869" s="381"/>
      <c r="V869" s="381"/>
      <c r="AA869" s="381"/>
      <c r="AB869" s="464"/>
      <c r="AC869" s="381"/>
      <c r="AD869" s="381"/>
      <c r="AE869" s="381"/>
      <c r="AF869" s="381"/>
      <c r="AG869" s="162"/>
      <c r="AH869" s="381"/>
      <c r="AK869" s="162"/>
      <c r="AL869" s="381"/>
      <c r="AM869" s="381"/>
      <c r="AN869" s="381"/>
    </row>
    <row r="871" spans="1:42" x14ac:dyDescent="0.25">
      <c r="C871" s="53"/>
      <c r="F871" s="381"/>
      <c r="T871" s="53"/>
    </row>
    <row r="872" spans="1:42" x14ac:dyDescent="0.25">
      <c r="A872" s="54"/>
    </row>
    <row r="873" spans="1:42" x14ac:dyDescent="0.25">
      <c r="J873" s="53"/>
      <c r="K873" s="53"/>
      <c r="AB873" s="53"/>
    </row>
    <row r="874" spans="1:42" x14ac:dyDescent="0.25">
      <c r="H874" s="54"/>
      <c r="I874" s="54"/>
      <c r="AA874" s="54"/>
    </row>
    <row r="875" spans="1:42" x14ac:dyDescent="0.25">
      <c r="J875" s="53"/>
      <c r="K875" s="53"/>
      <c r="AB875" s="53"/>
    </row>
    <row r="876" spans="1:42" x14ac:dyDescent="0.25">
      <c r="L876" s="54"/>
      <c r="M876" s="54"/>
      <c r="AC876" s="54"/>
      <c r="AD876" s="54"/>
    </row>
    <row r="877" spans="1:42" x14ac:dyDescent="0.25">
      <c r="A877" s="53"/>
      <c r="R877" s="54"/>
      <c r="AM877" s="54"/>
      <c r="AN877" s="54"/>
    </row>
    <row r="878" spans="1:42" x14ac:dyDescent="0.25">
      <c r="A878" s="53"/>
      <c r="R878" s="54"/>
      <c r="AM878" s="54"/>
      <c r="AN878" s="54"/>
    </row>
    <row r="879" spans="1:42" x14ac:dyDescent="0.25">
      <c r="A879" s="54"/>
      <c r="R879" s="54"/>
      <c r="AM879" s="54"/>
      <c r="AN879" s="54"/>
    </row>
    <row r="880" spans="1:42" x14ac:dyDescent="0.25">
      <c r="L880" s="54"/>
      <c r="M880" s="54"/>
      <c r="R880" s="53"/>
      <c r="AC880" s="54"/>
      <c r="AD880" s="54"/>
      <c r="AM880" s="53"/>
      <c r="AN880" s="53"/>
    </row>
    <row r="881" spans="1:42" x14ac:dyDescent="0.25">
      <c r="A881" s="55"/>
      <c r="B881" s="55"/>
      <c r="C881" s="55"/>
      <c r="D881" s="55"/>
      <c r="E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154"/>
      <c r="AH881" s="55"/>
      <c r="AI881" s="55"/>
      <c r="AJ881" s="55"/>
      <c r="AK881" s="154"/>
      <c r="AL881" s="55"/>
      <c r="AM881" s="55"/>
      <c r="AN881" s="55"/>
      <c r="AO881" s="55"/>
      <c r="AP881" s="55"/>
    </row>
    <row r="882" spans="1:42" x14ac:dyDescent="0.25">
      <c r="F882" s="55"/>
      <c r="L882" s="56"/>
      <c r="M882" s="56"/>
      <c r="N882" s="56"/>
      <c r="O882" s="56"/>
      <c r="R882" s="56"/>
      <c r="AC882" s="56"/>
      <c r="AD882" s="56"/>
      <c r="AE882" s="56"/>
      <c r="AF882" s="56"/>
      <c r="AG882" s="155"/>
      <c r="AH882" s="56"/>
      <c r="AI882" s="56"/>
      <c r="AJ882" s="56"/>
      <c r="AM882" s="56"/>
      <c r="AN882" s="56"/>
      <c r="AO882" s="56"/>
      <c r="AP882" s="56"/>
    </row>
    <row r="883" spans="1:42" x14ac:dyDescent="0.25">
      <c r="L883" s="56"/>
      <c r="M883" s="56"/>
      <c r="N883" s="56"/>
      <c r="O883" s="56"/>
      <c r="R883" s="56"/>
      <c r="AB883" s="56"/>
      <c r="AC883" s="56"/>
      <c r="AD883" s="56"/>
      <c r="AE883" s="56"/>
      <c r="AF883" s="56"/>
      <c r="AG883" s="155"/>
      <c r="AH883" s="56"/>
      <c r="AI883" s="56"/>
      <c r="AJ883" s="56"/>
      <c r="AM883" s="56"/>
      <c r="AN883" s="56"/>
      <c r="AO883" s="56"/>
      <c r="AP883" s="56"/>
    </row>
    <row r="884" spans="1:42" x14ac:dyDescent="0.25">
      <c r="A884" s="56"/>
      <c r="C884" s="56"/>
      <c r="D884" s="56"/>
      <c r="E884" s="56"/>
      <c r="J884" s="56"/>
      <c r="K884" s="56"/>
      <c r="L884" s="56"/>
      <c r="M884" s="56"/>
      <c r="N884" s="56"/>
      <c r="O884" s="56"/>
      <c r="P884" s="56"/>
      <c r="Q884" s="56"/>
      <c r="R884" s="56"/>
      <c r="T884" s="56"/>
      <c r="U884" s="56"/>
      <c r="V884" s="56"/>
      <c r="AB884" s="56"/>
      <c r="AC884" s="56"/>
      <c r="AD884" s="56"/>
      <c r="AE884" s="56"/>
      <c r="AF884" s="56"/>
      <c r="AG884" s="155"/>
      <c r="AH884" s="56"/>
      <c r="AI884" s="56"/>
      <c r="AJ884" s="56"/>
      <c r="AK884" s="155"/>
      <c r="AL884" s="56"/>
      <c r="AM884" s="56"/>
      <c r="AN884" s="56"/>
      <c r="AO884" s="56"/>
      <c r="AP884" s="56"/>
    </row>
    <row r="885" spans="1:42" x14ac:dyDescent="0.25">
      <c r="A885" s="56"/>
      <c r="C885" s="56"/>
      <c r="D885" s="56"/>
      <c r="E885" s="56"/>
      <c r="F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T885" s="56"/>
      <c r="U885" s="56"/>
      <c r="V885" s="56"/>
      <c r="AA885" s="56"/>
      <c r="AB885" s="56"/>
      <c r="AC885" s="56"/>
      <c r="AD885" s="56"/>
      <c r="AE885" s="56"/>
      <c r="AF885" s="56"/>
      <c r="AG885" s="155"/>
      <c r="AH885" s="56"/>
      <c r="AI885" s="56"/>
      <c r="AJ885" s="56"/>
      <c r="AK885" s="155"/>
      <c r="AL885" s="56"/>
      <c r="AM885" s="56"/>
      <c r="AN885" s="56"/>
      <c r="AO885" s="56"/>
      <c r="AP885" s="56"/>
    </row>
    <row r="886" spans="1:42" x14ac:dyDescent="0.25">
      <c r="C886" s="56"/>
      <c r="D886" s="56"/>
      <c r="E886" s="56"/>
      <c r="F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T886" s="56"/>
      <c r="U886" s="56"/>
      <c r="V886" s="56"/>
      <c r="AA886" s="56"/>
      <c r="AB886" s="56"/>
      <c r="AC886" s="56"/>
      <c r="AD886" s="56"/>
      <c r="AE886" s="56"/>
      <c r="AF886" s="56"/>
      <c r="AG886" s="155"/>
      <c r="AH886" s="56"/>
      <c r="AI886" s="56"/>
      <c r="AJ886" s="56"/>
      <c r="AK886" s="155"/>
      <c r="AL886" s="56"/>
      <c r="AM886" s="56"/>
      <c r="AN886" s="56"/>
      <c r="AO886" s="56"/>
      <c r="AP886" s="56"/>
    </row>
    <row r="887" spans="1:42" x14ac:dyDescent="0.25">
      <c r="A887" s="55"/>
      <c r="B887" s="55"/>
      <c r="C887" s="55"/>
      <c r="D887" s="55"/>
      <c r="E887" s="55"/>
      <c r="F887" s="56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154"/>
      <c r="AH887" s="55"/>
      <c r="AI887" s="55"/>
      <c r="AJ887" s="55"/>
      <c r="AK887" s="154"/>
      <c r="AL887" s="55"/>
      <c r="AM887" s="55"/>
      <c r="AN887" s="55"/>
      <c r="AO887" s="55"/>
      <c r="AP887" s="55"/>
    </row>
    <row r="888" spans="1:42" x14ac:dyDescent="0.25">
      <c r="F888" s="55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AA888" s="56"/>
      <c r="AB888" s="56"/>
      <c r="AC888" s="56"/>
      <c r="AD888" s="56"/>
      <c r="AE888" s="56"/>
      <c r="AF888" s="56"/>
      <c r="AG888" s="155"/>
      <c r="AH888" s="56"/>
      <c r="AI888" s="56"/>
      <c r="AJ888" s="56"/>
      <c r="AK888" s="155"/>
      <c r="AL888" s="56"/>
      <c r="AM888" s="56"/>
      <c r="AN888" s="56"/>
      <c r="AO888" s="56"/>
      <c r="AP888" s="56"/>
    </row>
    <row r="889" spans="1:42" x14ac:dyDescent="0.25">
      <c r="A889" s="53"/>
      <c r="C889" s="54"/>
      <c r="D889" s="54"/>
      <c r="E889" s="54"/>
      <c r="H889" s="379"/>
      <c r="I889" s="379"/>
      <c r="J889" s="59"/>
      <c r="K889" s="59"/>
      <c r="L889" s="379"/>
      <c r="M889" s="379"/>
      <c r="N889" s="59"/>
      <c r="O889" s="59"/>
      <c r="P889" s="379"/>
      <c r="Q889" s="379"/>
      <c r="R889" s="379"/>
      <c r="T889" s="54"/>
      <c r="U889" s="54"/>
      <c r="V889" s="379"/>
      <c r="AA889" s="379"/>
      <c r="AB889" s="59"/>
      <c r="AC889" s="379"/>
      <c r="AD889" s="379"/>
      <c r="AE889" s="59"/>
      <c r="AF889" s="59"/>
      <c r="AG889" s="156"/>
      <c r="AH889" s="379"/>
      <c r="AI889" s="60"/>
      <c r="AJ889" s="60"/>
      <c r="AK889" s="156"/>
      <c r="AL889" s="379"/>
      <c r="AM889" s="379"/>
      <c r="AN889" s="379"/>
      <c r="AO889" s="50"/>
      <c r="AP889" s="50"/>
    </row>
    <row r="890" spans="1:42" x14ac:dyDescent="0.25">
      <c r="F890" s="379"/>
      <c r="H890" s="381"/>
      <c r="I890" s="381"/>
      <c r="J890" s="464"/>
      <c r="K890" s="464"/>
      <c r="L890" s="381"/>
      <c r="M890" s="381"/>
      <c r="N890" s="381"/>
      <c r="O890" s="381"/>
      <c r="P890" s="381"/>
      <c r="Q890" s="381"/>
      <c r="R890" s="381"/>
      <c r="V890" s="381"/>
      <c r="AA890" s="381"/>
      <c r="AB890" s="464"/>
      <c r="AC890" s="381"/>
      <c r="AD890" s="381"/>
      <c r="AE890" s="381"/>
      <c r="AF890" s="381"/>
      <c r="AG890" s="162"/>
      <c r="AH890" s="381"/>
      <c r="AK890" s="162"/>
      <c r="AL890" s="381"/>
      <c r="AM890" s="381"/>
      <c r="AN890" s="381"/>
      <c r="AO890" s="50"/>
      <c r="AP890" s="50"/>
    </row>
    <row r="891" spans="1:42" x14ac:dyDescent="0.25">
      <c r="A891" s="53"/>
      <c r="C891" s="54"/>
      <c r="F891" s="381"/>
      <c r="H891" s="379"/>
      <c r="I891" s="379"/>
      <c r="J891" s="59"/>
      <c r="K891" s="59"/>
      <c r="L891" s="379"/>
      <c r="M891" s="379"/>
      <c r="N891" s="59"/>
      <c r="O891" s="59"/>
      <c r="P891" s="379"/>
      <c r="Q891" s="379"/>
      <c r="R891" s="379"/>
      <c r="T891" s="54"/>
      <c r="V891" s="379"/>
      <c r="AA891" s="379"/>
      <c r="AB891" s="59"/>
      <c r="AC891" s="379"/>
      <c r="AD891" s="379"/>
      <c r="AE891" s="59"/>
      <c r="AF891" s="59"/>
      <c r="AG891" s="156"/>
      <c r="AH891" s="379"/>
      <c r="AI891" s="60"/>
      <c r="AJ891" s="60"/>
      <c r="AK891" s="156"/>
      <c r="AL891" s="379"/>
      <c r="AM891" s="379"/>
      <c r="AN891" s="379"/>
      <c r="AO891" s="50"/>
      <c r="AP891" s="50"/>
    </row>
    <row r="892" spans="1:42" x14ac:dyDescent="0.25">
      <c r="F892" s="379"/>
      <c r="H892" s="379"/>
      <c r="I892" s="379"/>
      <c r="J892" s="59"/>
      <c r="K892" s="59"/>
      <c r="L892" s="379"/>
      <c r="M892" s="379"/>
      <c r="N892" s="59"/>
      <c r="O892" s="59"/>
      <c r="P892" s="379"/>
      <c r="Q892" s="379"/>
      <c r="R892" s="379"/>
      <c r="V892" s="379"/>
      <c r="AA892" s="379"/>
      <c r="AB892" s="59"/>
      <c r="AC892" s="379"/>
      <c r="AD892" s="379"/>
      <c r="AE892" s="59"/>
      <c r="AF892" s="59"/>
      <c r="AI892" s="60"/>
      <c r="AJ892" s="60"/>
      <c r="AK892" s="156"/>
      <c r="AL892" s="379"/>
      <c r="AM892" s="379"/>
      <c r="AN892" s="379"/>
      <c r="AO892" s="50"/>
      <c r="AP892" s="50"/>
    </row>
    <row r="893" spans="1:42" x14ac:dyDescent="0.25">
      <c r="A893" s="53"/>
      <c r="C893" s="54"/>
      <c r="D893" s="54"/>
      <c r="E893" s="54"/>
      <c r="F893" s="379"/>
      <c r="H893" s="379"/>
      <c r="I893" s="379"/>
      <c r="J893" s="59"/>
      <c r="K893" s="59"/>
      <c r="L893" s="379"/>
      <c r="M893" s="379"/>
      <c r="N893" s="59"/>
      <c r="O893" s="59"/>
      <c r="P893" s="379"/>
      <c r="Q893" s="379"/>
      <c r="R893" s="379"/>
      <c r="T893" s="54"/>
      <c r="U893" s="54"/>
      <c r="V893" s="379"/>
      <c r="AA893" s="379"/>
      <c r="AB893" s="59"/>
      <c r="AC893" s="379"/>
      <c r="AD893" s="379"/>
      <c r="AE893" s="59"/>
      <c r="AF893" s="59"/>
      <c r="AG893" s="156"/>
      <c r="AH893" s="379"/>
      <c r="AI893" s="60"/>
      <c r="AJ893" s="60"/>
      <c r="AK893" s="156"/>
      <c r="AL893" s="379"/>
      <c r="AM893" s="379"/>
      <c r="AN893" s="379"/>
      <c r="AO893" s="50"/>
      <c r="AP893" s="50"/>
    </row>
    <row r="894" spans="1:42" x14ac:dyDescent="0.25">
      <c r="A894" s="53"/>
      <c r="C894" s="54"/>
      <c r="D894" s="54"/>
      <c r="E894" s="54"/>
      <c r="F894" s="379"/>
      <c r="H894" s="379"/>
      <c r="I894" s="379"/>
      <c r="J894" s="59"/>
      <c r="K894" s="59"/>
      <c r="L894" s="379"/>
      <c r="M894" s="379"/>
      <c r="N894" s="59"/>
      <c r="O894" s="59"/>
      <c r="P894" s="379"/>
      <c r="Q894" s="379"/>
      <c r="R894" s="379"/>
      <c r="T894" s="54"/>
      <c r="U894" s="54"/>
      <c r="V894" s="379"/>
      <c r="AA894" s="379"/>
      <c r="AB894" s="59"/>
      <c r="AC894" s="379"/>
      <c r="AD894" s="379"/>
      <c r="AE894" s="59"/>
      <c r="AF894" s="59"/>
      <c r="AG894" s="156"/>
      <c r="AH894" s="379"/>
      <c r="AI894" s="60"/>
      <c r="AJ894" s="60"/>
      <c r="AK894" s="156"/>
      <c r="AL894" s="379"/>
      <c r="AM894" s="379"/>
      <c r="AN894" s="379"/>
      <c r="AO894" s="50"/>
      <c r="AP894" s="50"/>
    </row>
    <row r="895" spans="1:42" x14ac:dyDescent="0.25">
      <c r="A895" s="53"/>
      <c r="C895" s="54"/>
      <c r="D895" s="54"/>
      <c r="E895" s="54"/>
      <c r="F895" s="379"/>
      <c r="H895" s="379"/>
      <c r="I895" s="379"/>
      <c r="J895" s="59"/>
      <c r="K895" s="59"/>
      <c r="L895" s="379"/>
      <c r="M895" s="379"/>
      <c r="N895" s="59"/>
      <c r="O895" s="59"/>
      <c r="P895" s="379"/>
      <c r="Q895" s="379"/>
      <c r="R895" s="379"/>
      <c r="T895" s="54"/>
      <c r="U895" s="54"/>
      <c r="V895" s="379"/>
      <c r="AA895" s="379"/>
      <c r="AB895" s="59"/>
      <c r="AC895" s="379"/>
      <c r="AD895" s="379"/>
      <c r="AE895" s="59"/>
      <c r="AF895" s="59"/>
      <c r="AG895" s="156"/>
      <c r="AH895" s="379"/>
      <c r="AI895" s="60"/>
      <c r="AJ895" s="60"/>
      <c r="AK895" s="156"/>
      <c r="AL895" s="379"/>
      <c r="AM895" s="379"/>
      <c r="AN895" s="379"/>
      <c r="AO895" s="50"/>
      <c r="AP895" s="50"/>
    </row>
    <row r="896" spans="1:42" x14ac:dyDescent="0.25">
      <c r="A896" s="53"/>
      <c r="C896" s="54"/>
      <c r="D896" s="54"/>
      <c r="E896" s="54"/>
      <c r="F896" s="379"/>
      <c r="H896" s="379"/>
      <c r="I896" s="379"/>
      <c r="J896" s="59"/>
      <c r="K896" s="59"/>
      <c r="L896" s="379"/>
      <c r="M896" s="379"/>
      <c r="N896" s="59"/>
      <c r="O896" s="59"/>
      <c r="P896" s="379"/>
      <c r="Q896" s="379"/>
      <c r="R896" s="379"/>
      <c r="T896" s="54"/>
      <c r="U896" s="54"/>
      <c r="V896" s="379"/>
      <c r="AA896" s="379"/>
      <c r="AB896" s="59"/>
      <c r="AC896" s="379"/>
      <c r="AD896" s="379"/>
      <c r="AE896" s="59"/>
      <c r="AF896" s="59"/>
      <c r="AG896" s="156"/>
      <c r="AH896" s="379"/>
      <c r="AI896" s="60"/>
      <c r="AJ896" s="60"/>
      <c r="AK896" s="156"/>
      <c r="AL896" s="379"/>
      <c r="AM896" s="379"/>
      <c r="AN896" s="379"/>
      <c r="AO896" s="50"/>
      <c r="AP896" s="50"/>
    </row>
    <row r="897" spans="1:42" x14ac:dyDescent="0.25">
      <c r="A897" s="53"/>
      <c r="C897" s="54"/>
      <c r="D897" s="54"/>
      <c r="E897" s="54"/>
      <c r="F897" s="379"/>
      <c r="H897" s="379"/>
      <c r="I897" s="379"/>
      <c r="J897" s="59"/>
      <c r="K897" s="59"/>
      <c r="L897" s="379"/>
      <c r="M897" s="379"/>
      <c r="N897" s="59"/>
      <c r="O897" s="59"/>
      <c r="P897" s="379"/>
      <c r="Q897" s="379"/>
      <c r="R897" s="379"/>
      <c r="T897" s="54"/>
      <c r="U897" s="54"/>
      <c r="V897" s="379"/>
      <c r="AA897" s="379"/>
      <c r="AB897" s="59"/>
      <c r="AC897" s="379"/>
      <c r="AD897" s="379"/>
      <c r="AE897" s="59"/>
      <c r="AF897" s="59"/>
      <c r="AG897" s="156"/>
      <c r="AH897" s="379"/>
      <c r="AI897" s="60"/>
      <c r="AJ897" s="60"/>
      <c r="AK897" s="156"/>
      <c r="AL897" s="379"/>
      <c r="AM897" s="379"/>
      <c r="AN897" s="379"/>
      <c r="AO897" s="50"/>
      <c r="AP897" s="50"/>
    </row>
    <row r="898" spans="1:42" x14ac:dyDescent="0.25">
      <c r="A898" s="53"/>
      <c r="C898" s="54"/>
      <c r="D898" s="54"/>
      <c r="E898" s="54"/>
      <c r="F898" s="379"/>
      <c r="H898" s="379"/>
      <c r="I898" s="379"/>
      <c r="J898" s="59"/>
      <c r="K898" s="59"/>
      <c r="L898" s="379"/>
      <c r="M898" s="379"/>
      <c r="N898" s="59"/>
      <c r="O898" s="59"/>
      <c r="P898" s="379"/>
      <c r="Q898" s="379"/>
      <c r="R898" s="379"/>
      <c r="T898" s="54"/>
      <c r="U898" s="54"/>
      <c r="V898" s="379"/>
      <c r="AA898" s="379"/>
      <c r="AB898" s="59"/>
      <c r="AC898" s="379"/>
      <c r="AD898" s="379"/>
      <c r="AE898" s="59"/>
      <c r="AF898" s="59"/>
      <c r="AG898" s="156"/>
      <c r="AH898" s="379"/>
      <c r="AI898" s="60"/>
      <c r="AJ898" s="60"/>
      <c r="AK898" s="156"/>
      <c r="AL898" s="379"/>
      <c r="AM898" s="379"/>
      <c r="AN898" s="379"/>
      <c r="AO898" s="50"/>
      <c r="AP898" s="50"/>
    </row>
    <row r="899" spans="1:42" x14ac:dyDescent="0.25">
      <c r="F899" s="379"/>
      <c r="H899" s="381"/>
      <c r="I899" s="381"/>
      <c r="J899" s="464"/>
      <c r="K899" s="464"/>
      <c r="L899" s="381"/>
      <c r="M899" s="381"/>
      <c r="N899" s="381"/>
      <c r="O899" s="381"/>
      <c r="P899" s="381"/>
      <c r="Q899" s="381"/>
      <c r="R899" s="381"/>
      <c r="V899" s="381"/>
      <c r="AA899" s="381"/>
      <c r="AB899" s="464"/>
      <c r="AC899" s="381"/>
      <c r="AD899" s="381"/>
      <c r="AE899" s="381"/>
      <c r="AF899" s="381"/>
      <c r="AG899" s="162"/>
      <c r="AH899" s="381"/>
      <c r="AK899" s="162"/>
      <c r="AL899" s="381"/>
      <c r="AM899" s="381"/>
      <c r="AN899" s="381"/>
      <c r="AO899" s="50"/>
      <c r="AP899" s="50"/>
    </row>
    <row r="900" spans="1:42" x14ac:dyDescent="0.25">
      <c r="A900" s="53"/>
      <c r="C900" s="54"/>
      <c r="F900" s="381"/>
      <c r="H900" s="379"/>
      <c r="I900" s="379"/>
      <c r="J900" s="59"/>
      <c r="K900" s="59"/>
      <c r="L900" s="379"/>
      <c r="M900" s="379"/>
      <c r="N900" s="59"/>
      <c r="O900" s="59"/>
      <c r="P900" s="379"/>
      <c r="Q900" s="379"/>
      <c r="R900" s="379"/>
      <c r="T900" s="54"/>
      <c r="V900" s="379"/>
      <c r="AA900" s="379"/>
      <c r="AB900" s="59"/>
      <c r="AC900" s="379"/>
      <c r="AD900" s="379"/>
      <c r="AE900" s="59"/>
      <c r="AF900" s="59"/>
      <c r="AG900" s="156"/>
      <c r="AH900" s="379"/>
      <c r="AI900" s="60"/>
      <c r="AJ900" s="60"/>
      <c r="AK900" s="156"/>
      <c r="AL900" s="379"/>
      <c r="AM900" s="379"/>
      <c r="AN900" s="379"/>
      <c r="AO900" s="50"/>
      <c r="AP900" s="50"/>
    </row>
    <row r="901" spans="1:42" x14ac:dyDescent="0.25">
      <c r="F901" s="379"/>
      <c r="H901" s="379"/>
      <c r="I901" s="379"/>
      <c r="J901" s="59"/>
      <c r="K901" s="59"/>
      <c r="L901" s="379"/>
      <c r="M901" s="379"/>
      <c r="N901" s="59"/>
      <c r="O901" s="59"/>
      <c r="P901" s="379"/>
      <c r="Q901" s="379"/>
      <c r="R901" s="379"/>
      <c r="V901" s="379"/>
      <c r="AA901" s="379"/>
      <c r="AB901" s="59"/>
      <c r="AC901" s="379"/>
      <c r="AD901" s="379"/>
      <c r="AE901" s="59"/>
      <c r="AF901" s="59"/>
      <c r="AI901" s="60"/>
      <c r="AJ901" s="60"/>
      <c r="AK901" s="156"/>
      <c r="AL901" s="379"/>
      <c r="AM901" s="379"/>
      <c r="AN901" s="379"/>
      <c r="AO901" s="50"/>
      <c r="AP901" s="50"/>
    </row>
    <row r="902" spans="1:42" x14ac:dyDescent="0.25">
      <c r="A902" s="53"/>
      <c r="C902" s="54"/>
      <c r="D902" s="54"/>
      <c r="E902" s="54"/>
      <c r="F902" s="379"/>
      <c r="H902" s="379"/>
      <c r="I902" s="379"/>
      <c r="J902" s="59"/>
      <c r="K902" s="59"/>
      <c r="L902" s="379"/>
      <c r="M902" s="379"/>
      <c r="N902" s="59"/>
      <c r="O902" s="59"/>
      <c r="P902" s="379"/>
      <c r="Q902" s="379"/>
      <c r="R902" s="379"/>
      <c r="T902" s="54"/>
      <c r="U902" s="54"/>
      <c r="V902" s="379"/>
      <c r="AA902" s="379"/>
      <c r="AB902" s="59"/>
      <c r="AC902" s="379"/>
      <c r="AD902" s="379"/>
      <c r="AE902" s="59"/>
      <c r="AF902" s="59"/>
      <c r="AG902" s="156"/>
      <c r="AH902" s="379"/>
      <c r="AI902" s="60"/>
      <c r="AJ902" s="60"/>
      <c r="AK902" s="156"/>
      <c r="AL902" s="379"/>
      <c r="AM902" s="379"/>
      <c r="AN902" s="379"/>
      <c r="AO902" s="50"/>
      <c r="AP902" s="50"/>
    </row>
    <row r="903" spans="1:42" x14ac:dyDescent="0.25">
      <c r="F903" s="379"/>
      <c r="H903" s="381"/>
      <c r="I903" s="381"/>
      <c r="J903" s="464"/>
      <c r="K903" s="464"/>
      <c r="L903" s="381"/>
      <c r="M903" s="381"/>
      <c r="N903" s="381"/>
      <c r="O903" s="381"/>
      <c r="P903" s="381"/>
      <c r="Q903" s="381"/>
      <c r="R903" s="381"/>
      <c r="V903" s="381"/>
      <c r="AA903" s="381"/>
      <c r="AB903" s="464"/>
      <c r="AC903" s="381"/>
      <c r="AD903" s="381"/>
      <c r="AE903" s="381"/>
      <c r="AF903" s="381"/>
      <c r="AG903" s="162"/>
      <c r="AH903" s="381"/>
      <c r="AK903" s="162"/>
      <c r="AL903" s="381"/>
      <c r="AM903" s="381"/>
      <c r="AN903" s="381"/>
      <c r="AO903" s="50"/>
      <c r="AP903" s="50"/>
    </row>
    <row r="904" spans="1:42" x14ac:dyDescent="0.25">
      <c r="A904" s="53"/>
      <c r="C904" s="54"/>
      <c r="F904" s="381"/>
      <c r="H904" s="379"/>
      <c r="I904" s="379"/>
      <c r="J904" s="59"/>
      <c r="K904" s="59"/>
      <c r="L904" s="379"/>
      <c r="M904" s="379"/>
      <c r="N904" s="59"/>
      <c r="O904" s="59"/>
      <c r="P904" s="379"/>
      <c r="Q904" s="379"/>
      <c r="R904" s="379"/>
      <c r="T904" s="54"/>
      <c r="V904" s="379"/>
      <c r="AA904" s="379"/>
      <c r="AB904" s="59"/>
      <c r="AC904" s="379"/>
      <c r="AD904" s="379"/>
      <c r="AE904" s="59"/>
      <c r="AF904" s="59"/>
      <c r="AG904" s="156"/>
      <c r="AH904" s="379"/>
      <c r="AI904" s="60"/>
      <c r="AJ904" s="60"/>
      <c r="AK904" s="156"/>
      <c r="AL904" s="379"/>
      <c r="AM904" s="379"/>
      <c r="AN904" s="379"/>
      <c r="AO904" s="50"/>
      <c r="AP904" s="50"/>
    </row>
    <row r="905" spans="1:42" x14ac:dyDescent="0.25">
      <c r="F905" s="379"/>
      <c r="H905" s="379"/>
      <c r="I905" s="379"/>
      <c r="J905" s="59"/>
      <c r="K905" s="59"/>
      <c r="L905" s="379"/>
      <c r="M905" s="379"/>
      <c r="N905" s="59"/>
      <c r="O905" s="59"/>
      <c r="P905" s="379"/>
      <c r="Q905" s="379"/>
      <c r="R905" s="379"/>
      <c r="V905" s="379"/>
      <c r="AA905" s="379"/>
      <c r="AB905" s="59"/>
      <c r="AC905" s="379"/>
      <c r="AD905" s="379"/>
      <c r="AE905" s="59"/>
      <c r="AF905" s="59"/>
      <c r="AI905" s="60"/>
      <c r="AJ905" s="60"/>
      <c r="AK905" s="156"/>
      <c r="AL905" s="379"/>
      <c r="AM905" s="379"/>
      <c r="AN905" s="379"/>
      <c r="AO905" s="50"/>
      <c r="AP905" s="50"/>
    </row>
    <row r="906" spans="1:42" x14ac:dyDescent="0.25">
      <c r="A906" s="53"/>
      <c r="C906" s="54"/>
      <c r="D906" s="54"/>
      <c r="E906" s="54"/>
      <c r="F906" s="379"/>
      <c r="H906" s="379"/>
      <c r="I906" s="379"/>
      <c r="J906" s="59"/>
      <c r="K906" s="59"/>
      <c r="L906" s="379"/>
      <c r="M906" s="379"/>
      <c r="N906" s="59"/>
      <c r="O906" s="59"/>
      <c r="P906" s="379"/>
      <c r="Q906" s="379"/>
      <c r="R906" s="379"/>
      <c r="T906" s="54"/>
      <c r="U906" s="54"/>
      <c r="V906" s="379"/>
      <c r="AA906" s="379"/>
      <c r="AB906" s="59"/>
      <c r="AC906" s="379"/>
      <c r="AD906" s="379"/>
      <c r="AE906" s="59"/>
      <c r="AF906" s="59"/>
      <c r="AG906" s="156"/>
      <c r="AH906" s="379"/>
      <c r="AI906" s="60"/>
      <c r="AJ906" s="60"/>
      <c r="AK906" s="156"/>
      <c r="AL906" s="379"/>
      <c r="AM906" s="379"/>
      <c r="AN906" s="379"/>
      <c r="AO906" s="50"/>
      <c r="AP906" s="50"/>
    </row>
    <row r="907" spans="1:42" x14ac:dyDescent="0.25">
      <c r="A907" s="53"/>
      <c r="C907" s="54"/>
      <c r="D907" s="54"/>
      <c r="E907" s="54"/>
      <c r="F907" s="379"/>
      <c r="G907" s="379"/>
      <c r="H907" s="379"/>
      <c r="I907" s="379"/>
      <c r="J907" s="59"/>
      <c r="K907" s="59"/>
      <c r="L907" s="379"/>
      <c r="M907" s="379"/>
      <c r="N907" s="59"/>
      <c r="O907" s="59"/>
      <c r="P907" s="379"/>
      <c r="Q907" s="379"/>
      <c r="R907" s="379"/>
      <c r="T907" s="54"/>
      <c r="U907" s="54"/>
      <c r="V907" s="379"/>
      <c r="W907" s="379"/>
      <c r="X907" s="379"/>
      <c r="Y907" s="379"/>
      <c r="Z907" s="379"/>
      <c r="AA907" s="379"/>
      <c r="AB907" s="59"/>
      <c r="AC907" s="379"/>
      <c r="AD907" s="379"/>
      <c r="AE907" s="59"/>
      <c r="AF907" s="59"/>
      <c r="AG907" s="156"/>
      <c r="AH907" s="379"/>
      <c r="AI907" s="60"/>
      <c r="AJ907" s="60"/>
      <c r="AK907" s="156"/>
      <c r="AL907" s="379"/>
      <c r="AM907" s="379"/>
      <c r="AN907" s="379"/>
      <c r="AO907" s="50"/>
      <c r="AP907" s="50"/>
    </row>
    <row r="908" spans="1:42" x14ac:dyDescent="0.25">
      <c r="A908" s="53"/>
      <c r="C908" s="54"/>
      <c r="D908" s="54"/>
      <c r="E908" s="54"/>
      <c r="F908" s="379"/>
      <c r="G908" s="379"/>
      <c r="H908" s="379"/>
      <c r="I908" s="379"/>
      <c r="J908" s="59"/>
      <c r="K908" s="59"/>
      <c r="L908" s="379"/>
      <c r="M908" s="379"/>
      <c r="N908" s="59"/>
      <c r="O908" s="59"/>
      <c r="P908" s="379"/>
      <c r="Q908" s="379"/>
      <c r="R908" s="379"/>
      <c r="T908" s="54"/>
      <c r="U908" s="54"/>
      <c r="V908" s="379"/>
      <c r="W908" s="379"/>
      <c r="X908" s="379"/>
      <c r="Y908" s="379"/>
      <c r="Z908" s="379"/>
      <c r="AA908" s="379"/>
      <c r="AB908" s="59"/>
      <c r="AC908" s="379"/>
      <c r="AD908" s="379"/>
      <c r="AE908" s="59"/>
      <c r="AF908" s="59"/>
      <c r="AG908" s="156"/>
      <c r="AH908" s="379"/>
      <c r="AI908" s="60"/>
      <c r="AJ908" s="60"/>
      <c r="AK908" s="156"/>
      <c r="AL908" s="379"/>
      <c r="AM908" s="379"/>
      <c r="AN908" s="379"/>
      <c r="AO908" s="50"/>
      <c r="AP908" s="50"/>
    </row>
    <row r="909" spans="1:42" x14ac:dyDescent="0.25">
      <c r="A909" s="53"/>
      <c r="C909" s="54"/>
      <c r="D909" s="54"/>
      <c r="E909" s="54"/>
      <c r="F909" s="379"/>
      <c r="H909" s="379"/>
      <c r="I909" s="379"/>
      <c r="J909" s="59"/>
      <c r="K909" s="59"/>
      <c r="L909" s="379"/>
      <c r="M909" s="379"/>
      <c r="N909" s="59"/>
      <c r="O909" s="59"/>
      <c r="P909" s="379"/>
      <c r="Q909" s="379"/>
      <c r="R909" s="379"/>
      <c r="T909" s="54"/>
      <c r="U909" s="54"/>
      <c r="V909" s="379"/>
      <c r="AA909" s="379"/>
      <c r="AB909" s="59"/>
      <c r="AC909" s="379"/>
      <c r="AD909" s="379"/>
      <c r="AE909" s="59"/>
      <c r="AF909" s="59"/>
      <c r="AG909" s="156"/>
      <c r="AH909" s="379"/>
      <c r="AI909" s="60"/>
      <c r="AJ909" s="60"/>
      <c r="AK909" s="156"/>
      <c r="AL909" s="379"/>
      <c r="AM909" s="379"/>
      <c r="AN909" s="379"/>
      <c r="AO909" s="50"/>
      <c r="AP909" s="50"/>
    </row>
    <row r="910" spans="1:42" x14ac:dyDescent="0.25">
      <c r="A910" s="53"/>
      <c r="C910" s="54"/>
      <c r="D910" s="54"/>
      <c r="E910" s="54"/>
      <c r="F910" s="379"/>
      <c r="H910" s="379"/>
      <c r="I910" s="379"/>
      <c r="J910" s="59"/>
      <c r="K910" s="59"/>
      <c r="L910" s="379"/>
      <c r="M910" s="379"/>
      <c r="N910" s="59"/>
      <c r="O910" s="59"/>
      <c r="P910" s="379"/>
      <c r="Q910" s="379"/>
      <c r="R910" s="379"/>
      <c r="T910" s="54"/>
      <c r="U910" s="54"/>
      <c r="V910" s="379"/>
      <c r="AA910" s="379"/>
      <c r="AB910" s="59"/>
      <c r="AC910" s="379"/>
      <c r="AD910" s="379"/>
      <c r="AE910" s="59"/>
      <c r="AF910" s="59"/>
      <c r="AG910" s="156"/>
      <c r="AH910" s="379"/>
      <c r="AI910" s="60"/>
      <c r="AJ910" s="60"/>
      <c r="AK910" s="156"/>
      <c r="AL910" s="379"/>
      <c r="AM910" s="379"/>
      <c r="AN910" s="379"/>
      <c r="AO910" s="50"/>
      <c r="AP910" s="50"/>
    </row>
    <row r="911" spans="1:42" x14ac:dyDescent="0.25">
      <c r="A911" s="53"/>
      <c r="C911" s="54"/>
      <c r="D911" s="54"/>
      <c r="E911" s="54"/>
      <c r="F911" s="379"/>
      <c r="H911" s="379"/>
      <c r="I911" s="379"/>
      <c r="J911" s="59"/>
      <c r="K911" s="59"/>
      <c r="L911" s="379"/>
      <c r="M911" s="379"/>
      <c r="N911" s="59"/>
      <c r="O911" s="59"/>
      <c r="P911" s="379"/>
      <c r="Q911" s="379"/>
      <c r="R911" s="379"/>
      <c r="T911" s="54"/>
      <c r="U911" s="54"/>
      <c r="V911" s="379"/>
      <c r="AA911" s="379"/>
      <c r="AB911" s="59"/>
      <c r="AC911" s="379"/>
      <c r="AD911" s="379"/>
      <c r="AE911" s="59"/>
      <c r="AF911" s="59"/>
      <c r="AG911" s="156"/>
      <c r="AH911" s="379"/>
      <c r="AI911" s="60"/>
      <c r="AJ911" s="60"/>
      <c r="AK911" s="156"/>
      <c r="AL911" s="379"/>
      <c r="AM911" s="379"/>
      <c r="AN911" s="379"/>
      <c r="AO911" s="50"/>
      <c r="AP911" s="50"/>
    </row>
    <row r="912" spans="1:42" x14ac:dyDescent="0.25">
      <c r="A912" s="53"/>
      <c r="C912" s="54"/>
      <c r="D912" s="54"/>
      <c r="E912" s="54"/>
      <c r="F912" s="379"/>
      <c r="H912" s="379"/>
      <c r="I912" s="379"/>
      <c r="J912" s="59"/>
      <c r="K912" s="59"/>
      <c r="L912" s="379"/>
      <c r="M912" s="379"/>
      <c r="N912" s="59"/>
      <c r="O912" s="59"/>
      <c r="P912" s="379"/>
      <c r="Q912" s="379"/>
      <c r="R912" s="379"/>
      <c r="T912" s="54"/>
      <c r="U912" s="54"/>
      <c r="V912" s="379"/>
      <c r="AA912" s="379"/>
      <c r="AB912" s="59"/>
      <c r="AC912" s="379"/>
      <c r="AD912" s="379"/>
      <c r="AE912" s="59"/>
      <c r="AF912" s="59"/>
      <c r="AG912" s="156"/>
      <c r="AH912" s="379"/>
      <c r="AI912" s="60"/>
      <c r="AJ912" s="60"/>
      <c r="AK912" s="156"/>
      <c r="AL912" s="379"/>
      <c r="AM912" s="379"/>
      <c r="AN912" s="379"/>
      <c r="AO912" s="50"/>
      <c r="AP912" s="50"/>
    </row>
    <row r="913" spans="1:42" x14ac:dyDescent="0.25">
      <c r="F913" s="379"/>
      <c r="H913" s="381"/>
      <c r="I913" s="381"/>
      <c r="J913" s="464"/>
      <c r="K913" s="464"/>
      <c r="L913" s="381"/>
      <c r="M913" s="381"/>
      <c r="N913" s="381"/>
      <c r="O913" s="381"/>
      <c r="P913" s="381"/>
      <c r="Q913" s="381"/>
      <c r="R913" s="381"/>
      <c r="V913" s="381"/>
      <c r="AA913" s="381"/>
      <c r="AB913" s="464"/>
      <c r="AC913" s="381"/>
      <c r="AD913" s="381"/>
      <c r="AE913" s="381"/>
      <c r="AF913" s="381"/>
      <c r="AG913" s="162"/>
      <c r="AH913" s="381"/>
      <c r="AK913" s="162"/>
      <c r="AL913" s="381"/>
      <c r="AM913" s="381"/>
      <c r="AN913" s="381"/>
      <c r="AO913" s="50"/>
      <c r="AP913" s="50"/>
    </row>
    <row r="914" spans="1:42" x14ac:dyDescent="0.25">
      <c r="A914" s="53"/>
      <c r="C914" s="54"/>
      <c r="F914" s="381"/>
      <c r="H914" s="379"/>
      <c r="I914" s="379"/>
      <c r="J914" s="59"/>
      <c r="K914" s="59"/>
      <c r="L914" s="379"/>
      <c r="M914" s="379"/>
      <c r="N914" s="59"/>
      <c r="O914" s="59"/>
      <c r="P914" s="379"/>
      <c r="Q914" s="379"/>
      <c r="R914" s="379"/>
      <c r="T914" s="54"/>
      <c r="V914" s="379"/>
      <c r="AA914" s="379"/>
      <c r="AB914" s="59"/>
      <c r="AC914" s="379"/>
      <c r="AD914" s="379"/>
      <c r="AE914" s="59"/>
      <c r="AF914" s="59"/>
      <c r="AG914" s="156"/>
      <c r="AH914" s="379"/>
      <c r="AI914" s="60"/>
      <c r="AJ914" s="60"/>
      <c r="AK914" s="156"/>
      <c r="AL914" s="379"/>
      <c r="AM914" s="379"/>
      <c r="AN914" s="379"/>
      <c r="AO914" s="50"/>
      <c r="AP914" s="50"/>
    </row>
    <row r="915" spans="1:42" x14ac:dyDescent="0.25">
      <c r="F915" s="379"/>
      <c r="V915" s="379"/>
      <c r="AA915" s="379"/>
      <c r="AB915" s="464"/>
      <c r="AC915" s="379"/>
      <c r="AD915" s="379"/>
      <c r="AE915" s="379"/>
      <c r="AF915" s="379"/>
      <c r="AG915" s="156"/>
      <c r="AH915" s="379"/>
      <c r="AK915" s="156"/>
      <c r="AL915" s="379"/>
      <c r="AM915" s="379"/>
      <c r="AN915" s="379"/>
      <c r="AO915" s="50"/>
      <c r="AP915" s="50"/>
    </row>
    <row r="916" spans="1:42" x14ac:dyDescent="0.25">
      <c r="A916" s="53"/>
      <c r="C916" s="54"/>
      <c r="D916" s="54"/>
      <c r="E916" s="54"/>
      <c r="L916" s="379"/>
      <c r="M916" s="379"/>
      <c r="N916" s="59"/>
      <c r="O916" s="59"/>
      <c r="P916" s="53"/>
      <c r="Q916" s="53"/>
      <c r="R916" s="379"/>
      <c r="T916" s="54"/>
      <c r="U916" s="54"/>
      <c r="AC916" s="379"/>
      <c r="AD916" s="379"/>
      <c r="AE916" s="59"/>
      <c r="AF916" s="59"/>
      <c r="AG916" s="156"/>
      <c r="AH916" s="379"/>
      <c r="AI916" s="60"/>
      <c r="AJ916" s="60"/>
      <c r="AK916" s="156"/>
      <c r="AL916" s="53"/>
      <c r="AM916" s="379"/>
      <c r="AN916" s="379"/>
      <c r="AO916" s="50"/>
      <c r="AP916" s="50"/>
    </row>
    <row r="917" spans="1:42" x14ac:dyDescent="0.25">
      <c r="A917" s="53"/>
      <c r="D917" s="54"/>
      <c r="E917" s="54"/>
      <c r="H917" s="449"/>
      <c r="I917" s="449"/>
      <c r="J917" s="59"/>
      <c r="K917" s="59"/>
      <c r="L917" s="379"/>
      <c r="M917" s="379"/>
      <c r="N917" s="59"/>
      <c r="O917" s="59"/>
      <c r="P917" s="449"/>
      <c r="Q917" s="449"/>
      <c r="R917" s="379"/>
      <c r="U917" s="54"/>
      <c r="V917" s="379"/>
      <c r="AA917" s="379"/>
      <c r="AB917" s="59"/>
      <c r="AC917" s="379"/>
      <c r="AD917" s="379"/>
      <c r="AE917" s="59"/>
      <c r="AF917" s="59"/>
      <c r="AG917" s="156"/>
      <c r="AH917" s="379"/>
      <c r="AI917" s="60"/>
      <c r="AJ917" s="60"/>
      <c r="AK917" s="156"/>
      <c r="AL917" s="379"/>
      <c r="AM917" s="379"/>
      <c r="AN917" s="379"/>
      <c r="AO917" s="50"/>
      <c r="AP917" s="50"/>
    </row>
    <row r="918" spans="1:42" x14ac:dyDescent="0.25">
      <c r="F918" s="449"/>
      <c r="H918" s="381"/>
      <c r="I918" s="381"/>
      <c r="J918" s="464"/>
      <c r="K918" s="464"/>
      <c r="L918" s="381"/>
      <c r="M918" s="381"/>
      <c r="N918" s="381"/>
      <c r="O918" s="381"/>
      <c r="P918" s="381"/>
      <c r="Q918" s="381"/>
      <c r="R918" s="381"/>
      <c r="V918" s="381"/>
      <c r="AA918" s="381"/>
      <c r="AB918" s="464"/>
      <c r="AC918" s="381"/>
      <c r="AD918" s="381"/>
      <c r="AE918" s="381"/>
      <c r="AF918" s="381"/>
      <c r="AG918" s="162"/>
      <c r="AH918" s="381"/>
      <c r="AK918" s="162"/>
      <c r="AL918" s="381"/>
      <c r="AM918" s="381"/>
      <c r="AN918" s="381"/>
      <c r="AO918" s="50"/>
      <c r="AP918" s="50"/>
    </row>
    <row r="919" spans="1:42" x14ac:dyDescent="0.25">
      <c r="A919" s="53"/>
      <c r="C919" s="54"/>
      <c r="F919" s="381"/>
      <c r="H919" s="379"/>
      <c r="I919" s="379"/>
      <c r="J919" s="59"/>
      <c r="K919" s="59"/>
      <c r="L919" s="379"/>
      <c r="M919" s="379"/>
      <c r="N919" s="59"/>
      <c r="O919" s="59"/>
      <c r="P919" s="379"/>
      <c r="Q919" s="379"/>
      <c r="R919" s="379"/>
      <c r="T919" s="54"/>
      <c r="V919" s="379"/>
      <c r="AA919" s="379"/>
      <c r="AB919" s="59"/>
      <c r="AC919" s="379"/>
      <c r="AD919" s="379"/>
      <c r="AE919" s="59"/>
      <c r="AF919" s="59"/>
      <c r="AG919" s="156"/>
      <c r="AH919" s="379"/>
      <c r="AI919" s="60"/>
      <c r="AJ919" s="60"/>
      <c r="AK919" s="156"/>
      <c r="AL919" s="379"/>
      <c r="AM919" s="379"/>
      <c r="AN919" s="379"/>
      <c r="AO919" s="50"/>
      <c r="AP919" s="50"/>
    </row>
    <row r="920" spans="1:42" x14ac:dyDescent="0.25">
      <c r="F920" s="379"/>
      <c r="H920" s="379"/>
      <c r="I920" s="379"/>
      <c r="J920" s="59"/>
      <c r="K920" s="59"/>
      <c r="L920" s="379"/>
      <c r="M920" s="379"/>
      <c r="N920" s="59"/>
      <c r="O920" s="59"/>
      <c r="P920" s="379"/>
      <c r="Q920" s="379"/>
      <c r="R920" s="379"/>
      <c r="V920" s="379"/>
      <c r="AA920" s="379"/>
      <c r="AB920" s="59"/>
      <c r="AC920" s="379"/>
      <c r="AD920" s="379"/>
      <c r="AE920" s="59"/>
      <c r="AF920" s="59"/>
      <c r="AI920" s="60"/>
      <c r="AJ920" s="60"/>
      <c r="AK920" s="156"/>
      <c r="AL920" s="379"/>
      <c r="AM920" s="379"/>
      <c r="AN920" s="379"/>
      <c r="AO920" s="50"/>
      <c r="AP920" s="50"/>
    </row>
    <row r="921" spans="1:42" x14ac:dyDescent="0.25">
      <c r="A921" s="53"/>
      <c r="D921" s="54"/>
      <c r="E921" s="54"/>
      <c r="F921" s="379"/>
      <c r="H921" s="379"/>
      <c r="I921" s="379"/>
      <c r="J921" s="59"/>
      <c r="K921" s="59"/>
      <c r="L921" s="449"/>
      <c r="M921" s="449"/>
      <c r="N921" s="59"/>
      <c r="O921" s="59"/>
      <c r="P921" s="379"/>
      <c r="Q921" s="379"/>
      <c r="R921" s="379"/>
      <c r="U921" s="54"/>
      <c r="V921" s="379"/>
      <c r="AA921" s="379"/>
      <c r="AB921" s="59"/>
      <c r="AC921" s="449"/>
      <c r="AD921" s="449"/>
      <c r="AE921" s="59"/>
      <c r="AF921" s="59"/>
      <c r="AG921" s="156"/>
      <c r="AH921" s="379"/>
      <c r="AI921" s="60"/>
      <c r="AJ921" s="60"/>
      <c r="AK921" s="156"/>
      <c r="AL921" s="379"/>
      <c r="AM921" s="379"/>
      <c r="AN921" s="379"/>
      <c r="AO921" s="50"/>
      <c r="AP921" s="50"/>
    </row>
    <row r="922" spans="1:42" x14ac:dyDescent="0.25">
      <c r="A922" s="53"/>
      <c r="D922" s="54"/>
      <c r="E922" s="54"/>
      <c r="F922" s="379"/>
      <c r="H922" s="379"/>
      <c r="I922" s="379"/>
      <c r="J922" s="59"/>
      <c r="K922" s="59"/>
      <c r="L922" s="449"/>
      <c r="M922" s="449"/>
      <c r="N922" s="59"/>
      <c r="O922" s="59"/>
      <c r="P922" s="379"/>
      <c r="Q922" s="379"/>
      <c r="R922" s="379"/>
      <c r="U922" s="54"/>
      <c r="V922" s="379"/>
      <c r="AA922" s="379"/>
      <c r="AB922" s="59"/>
      <c r="AC922" s="449"/>
      <c r="AD922" s="449"/>
      <c r="AE922" s="59"/>
      <c r="AF922" s="59"/>
      <c r="AG922" s="156"/>
      <c r="AH922" s="379"/>
      <c r="AI922" s="60"/>
      <c r="AJ922" s="60"/>
      <c r="AK922" s="156"/>
      <c r="AL922" s="379"/>
      <c r="AM922" s="379"/>
      <c r="AN922" s="379"/>
      <c r="AO922" s="50"/>
      <c r="AP922" s="50"/>
    </row>
    <row r="923" spans="1:42" x14ac:dyDescent="0.25">
      <c r="A923" s="53"/>
      <c r="D923" s="54"/>
      <c r="E923" s="54"/>
      <c r="F923" s="379"/>
      <c r="H923" s="379"/>
      <c r="I923" s="379"/>
      <c r="J923" s="59"/>
      <c r="K923" s="59"/>
      <c r="L923" s="449"/>
      <c r="M923" s="449"/>
      <c r="N923" s="59"/>
      <c r="O923" s="59"/>
      <c r="P923" s="379"/>
      <c r="Q923" s="379"/>
      <c r="R923" s="379"/>
      <c r="U923" s="54"/>
      <c r="V923" s="379"/>
      <c r="AA923" s="379"/>
      <c r="AB923" s="59"/>
      <c r="AC923" s="449"/>
      <c r="AD923" s="449"/>
      <c r="AE923" s="59"/>
      <c r="AF923" s="59"/>
      <c r="AG923" s="156"/>
      <c r="AH923" s="379"/>
      <c r="AI923" s="60"/>
      <c r="AJ923" s="60"/>
      <c r="AK923" s="156"/>
      <c r="AL923" s="379"/>
      <c r="AM923" s="379"/>
      <c r="AN923" s="379"/>
      <c r="AO923" s="50"/>
      <c r="AP923" s="50"/>
    </row>
    <row r="924" spans="1:42" x14ac:dyDescent="0.25">
      <c r="F924" s="379"/>
      <c r="H924" s="381"/>
      <c r="I924" s="381"/>
      <c r="J924" s="464"/>
      <c r="K924" s="464"/>
      <c r="L924" s="381"/>
      <c r="M924" s="381"/>
      <c r="N924" s="381"/>
      <c r="O924" s="381"/>
      <c r="P924" s="381"/>
      <c r="Q924" s="381"/>
      <c r="R924" s="381"/>
      <c r="V924" s="381"/>
      <c r="AA924" s="381"/>
      <c r="AB924" s="464"/>
      <c r="AC924" s="381"/>
      <c r="AD924" s="381"/>
      <c r="AE924" s="381"/>
      <c r="AF924" s="381"/>
      <c r="AG924" s="162"/>
      <c r="AH924" s="381"/>
      <c r="AK924" s="162"/>
      <c r="AL924" s="381"/>
      <c r="AM924" s="381"/>
      <c r="AN924" s="381"/>
      <c r="AO924" s="50"/>
      <c r="AP924" s="50"/>
    </row>
    <row r="925" spans="1:42" x14ac:dyDescent="0.25">
      <c r="A925" s="53"/>
      <c r="C925" s="54"/>
      <c r="F925" s="381"/>
      <c r="H925" s="379"/>
      <c r="I925" s="379"/>
      <c r="J925" s="59"/>
      <c r="K925" s="59"/>
      <c r="L925" s="379"/>
      <c r="M925" s="379"/>
      <c r="N925" s="59"/>
      <c r="O925" s="59"/>
      <c r="P925" s="379"/>
      <c r="Q925" s="379"/>
      <c r="R925" s="379"/>
      <c r="T925" s="54"/>
      <c r="V925" s="379"/>
      <c r="AA925" s="379"/>
      <c r="AB925" s="59"/>
      <c r="AC925" s="379"/>
      <c r="AD925" s="379"/>
      <c r="AE925" s="59"/>
      <c r="AF925" s="59"/>
      <c r="AG925" s="156"/>
      <c r="AH925" s="379"/>
      <c r="AI925" s="60"/>
      <c r="AJ925" s="60"/>
      <c r="AK925" s="156"/>
      <c r="AL925" s="379"/>
      <c r="AM925" s="379"/>
      <c r="AN925" s="379"/>
      <c r="AO925" s="50"/>
      <c r="AP925" s="50"/>
    </row>
    <row r="926" spans="1:42" x14ac:dyDescent="0.25">
      <c r="F926" s="379"/>
      <c r="H926" s="379"/>
      <c r="I926" s="379"/>
      <c r="J926" s="59"/>
      <c r="K926" s="59"/>
      <c r="L926" s="379"/>
      <c r="M926" s="379"/>
      <c r="N926" s="59"/>
      <c r="O926" s="59"/>
      <c r="P926" s="379"/>
      <c r="Q926" s="379"/>
      <c r="R926" s="379"/>
      <c r="V926" s="379"/>
      <c r="AA926" s="379"/>
      <c r="AB926" s="59"/>
      <c r="AC926" s="379"/>
      <c r="AD926" s="379"/>
      <c r="AE926" s="59"/>
      <c r="AF926" s="59"/>
      <c r="AI926" s="60"/>
      <c r="AJ926" s="60"/>
      <c r="AK926" s="156"/>
      <c r="AL926" s="379"/>
      <c r="AM926" s="379"/>
      <c r="AN926" s="379"/>
      <c r="AO926" s="50"/>
      <c r="AP926" s="50"/>
    </row>
    <row r="927" spans="1:42" x14ac:dyDescent="0.25">
      <c r="A927" s="53"/>
      <c r="C927" s="54"/>
      <c r="F927" s="379"/>
      <c r="H927" s="379"/>
      <c r="I927" s="379"/>
      <c r="J927" s="59"/>
      <c r="K927" s="59"/>
      <c r="L927" s="379"/>
      <c r="M927" s="379"/>
      <c r="N927" s="59"/>
      <c r="O927" s="59"/>
      <c r="P927" s="379"/>
      <c r="Q927" s="379"/>
      <c r="R927" s="379"/>
      <c r="T927" s="54"/>
      <c r="V927" s="379"/>
      <c r="AA927" s="379"/>
      <c r="AB927" s="59"/>
      <c r="AC927" s="379"/>
      <c r="AD927" s="379"/>
      <c r="AE927" s="59"/>
      <c r="AF927" s="59"/>
      <c r="AG927" s="156"/>
      <c r="AH927" s="379"/>
      <c r="AI927" s="60"/>
      <c r="AJ927" s="60"/>
      <c r="AK927" s="156"/>
      <c r="AL927" s="379"/>
      <c r="AM927" s="379"/>
      <c r="AN927" s="379"/>
      <c r="AO927" s="50"/>
      <c r="AP927" s="50"/>
    </row>
    <row r="928" spans="1:42" x14ac:dyDescent="0.25">
      <c r="F928" s="379"/>
      <c r="H928" s="381"/>
      <c r="I928" s="381"/>
      <c r="J928" s="464"/>
      <c r="K928" s="464"/>
      <c r="L928" s="381"/>
      <c r="M928" s="381"/>
      <c r="N928" s="381"/>
      <c r="O928" s="381"/>
      <c r="P928" s="381"/>
      <c r="Q928" s="381"/>
      <c r="R928" s="381"/>
      <c r="V928" s="381"/>
      <c r="AA928" s="381"/>
      <c r="AB928" s="464"/>
      <c r="AC928" s="381"/>
      <c r="AD928" s="381"/>
      <c r="AE928" s="381"/>
      <c r="AF928" s="381"/>
      <c r="AG928" s="162"/>
      <c r="AH928" s="381"/>
      <c r="AK928" s="162"/>
      <c r="AL928" s="381"/>
      <c r="AM928" s="381"/>
      <c r="AN928" s="381"/>
    </row>
    <row r="930" spans="1:20" x14ac:dyDescent="0.25">
      <c r="C930" s="54"/>
      <c r="F930" s="381"/>
      <c r="L930" s="379"/>
      <c r="M930" s="379"/>
      <c r="P930" s="379"/>
      <c r="Q930" s="379"/>
      <c r="R930" s="379"/>
      <c r="T930" s="54"/>
    </row>
    <row r="931" spans="1:20" x14ac:dyDescent="0.25">
      <c r="A931" s="54"/>
      <c r="L931" s="379"/>
      <c r="M931" s="379"/>
      <c r="P931" s="379"/>
      <c r="Q931" s="379"/>
      <c r="R931" s="379"/>
    </row>
    <row r="932" spans="1:20" x14ac:dyDescent="0.25">
      <c r="L932" s="379"/>
      <c r="M932" s="379"/>
      <c r="P932" s="379"/>
      <c r="Q932" s="379"/>
      <c r="R932" s="379"/>
    </row>
    <row r="933" spans="1:20" x14ac:dyDescent="0.25">
      <c r="L933" s="379"/>
      <c r="M933" s="379"/>
      <c r="P933" s="379"/>
      <c r="Q933" s="379"/>
      <c r="R933" s="379"/>
    </row>
    <row r="934" spans="1:20" x14ac:dyDescent="0.25">
      <c r="L934" s="379"/>
      <c r="M934" s="379"/>
      <c r="P934" s="379"/>
      <c r="Q934" s="379"/>
      <c r="R934" s="379"/>
    </row>
    <row r="935" spans="1:20" x14ac:dyDescent="0.25">
      <c r="L935" s="379"/>
      <c r="M935" s="379"/>
      <c r="P935" s="379"/>
      <c r="Q935" s="379"/>
      <c r="R935" s="379"/>
    </row>
    <row r="936" spans="1:20" x14ac:dyDescent="0.25">
      <c r="L936" s="379"/>
      <c r="M936" s="379"/>
      <c r="P936" s="379"/>
      <c r="Q936" s="379"/>
      <c r="R936" s="379"/>
    </row>
    <row r="969" spans="51:51" x14ac:dyDescent="0.25">
      <c r="AY969" s="379"/>
    </row>
    <row r="970" spans="51:51" x14ac:dyDescent="0.25">
      <c r="AY970" s="379"/>
    </row>
    <row r="971" spans="51:51" x14ac:dyDescent="0.25">
      <c r="AY971" s="379"/>
    </row>
    <row r="972" spans="51:51" x14ac:dyDescent="0.25">
      <c r="AY972" s="379"/>
    </row>
    <row r="973" spans="51:51" x14ac:dyDescent="0.25">
      <c r="AY973" s="379"/>
    </row>
    <row r="974" spans="51:51" x14ac:dyDescent="0.25">
      <c r="AY974" s="379"/>
    </row>
    <row r="977" spans="51:51" x14ac:dyDescent="0.25">
      <c r="AY977" s="379"/>
    </row>
    <row r="978" spans="51:51" x14ac:dyDescent="0.25">
      <c r="AY978" s="379"/>
    </row>
    <row r="979" spans="51:51" x14ac:dyDescent="0.25">
      <c r="AY979" s="379"/>
    </row>
    <row r="980" spans="51:51" x14ac:dyDescent="0.25">
      <c r="AY980" s="379"/>
    </row>
    <row r="981" spans="51:51" x14ac:dyDescent="0.25">
      <c r="AY981" s="379"/>
    </row>
    <row r="982" spans="51:51" x14ac:dyDescent="0.25">
      <c r="AY982" s="379"/>
    </row>
    <row r="983" spans="51:51" x14ac:dyDescent="0.25">
      <c r="AY983" s="379"/>
    </row>
    <row r="984" spans="51:51" x14ac:dyDescent="0.25">
      <c r="AY984" s="379"/>
    </row>
    <row r="987" spans="51:51" x14ac:dyDescent="0.25">
      <c r="AY987" s="379"/>
    </row>
    <row r="988" spans="51:51" x14ac:dyDescent="0.25">
      <c r="AY988" s="379"/>
    </row>
    <row r="991" spans="51:51" x14ac:dyDescent="0.25">
      <c r="AY991" s="379"/>
    </row>
    <row r="992" spans="51:51" x14ac:dyDescent="0.25">
      <c r="AY992" s="379"/>
    </row>
    <row r="993" spans="47:59" x14ac:dyDescent="0.25">
      <c r="AY993" s="379"/>
    </row>
    <row r="994" spans="47:59" x14ac:dyDescent="0.25">
      <c r="AY994" s="379"/>
    </row>
    <row r="1000" spans="47:59" x14ac:dyDescent="0.25">
      <c r="BA1000" s="53"/>
    </row>
    <row r="1001" spans="47:59" x14ac:dyDescent="0.25">
      <c r="BA1001" s="53"/>
    </row>
    <row r="1002" spans="47:59" x14ac:dyDescent="0.25">
      <c r="BA1002" s="54"/>
    </row>
    <row r="1003" spans="47:59" x14ac:dyDescent="0.25">
      <c r="BA1003" s="54"/>
    </row>
    <row r="1004" spans="47:59" x14ac:dyDescent="0.25">
      <c r="AU1004" s="53"/>
      <c r="BF1004" s="54"/>
    </row>
    <row r="1005" spans="47:59" x14ac:dyDescent="0.25">
      <c r="AU1005" s="53"/>
      <c r="BF1005" s="54"/>
    </row>
    <row r="1006" spans="47:59" x14ac:dyDescent="0.25">
      <c r="AU1006" s="54"/>
      <c r="BF1006" s="54"/>
    </row>
    <row r="1007" spans="47:59" x14ac:dyDescent="0.25">
      <c r="BF1007" s="53"/>
    </row>
    <row r="1008" spans="47:59" x14ac:dyDescent="0.25">
      <c r="AU1008" s="55"/>
      <c r="AV1008" s="55"/>
      <c r="AW1008" s="55"/>
      <c r="AX1008" s="55"/>
      <c r="AY1008" s="55"/>
      <c r="AZ1008" s="55"/>
      <c r="BA1008" s="55"/>
      <c r="BB1008" s="55"/>
      <c r="BC1008" s="55"/>
      <c r="BD1008" s="55"/>
      <c r="BE1008" s="55"/>
      <c r="BF1008" s="55"/>
      <c r="BG1008" s="55"/>
    </row>
    <row r="1009" spans="47:71" x14ac:dyDescent="0.25">
      <c r="AZ1009" s="54"/>
    </row>
    <row r="1010" spans="47:71" x14ac:dyDescent="0.25">
      <c r="AZ1010" s="55"/>
      <c r="BA1010" s="55"/>
      <c r="BB1010" s="55"/>
      <c r="BC1010" s="55"/>
      <c r="BE1010" s="56"/>
      <c r="BF1010" s="56"/>
    </row>
    <row r="1011" spans="47:71" x14ac:dyDescent="0.25">
      <c r="AX1011" s="56"/>
      <c r="AY1011" s="56"/>
      <c r="BB1011" s="56"/>
      <c r="BC1011" s="56"/>
      <c r="BE1011" s="56"/>
      <c r="BF1011" s="56"/>
      <c r="BG1011" s="56"/>
      <c r="BI1011" s="55"/>
      <c r="BJ1011" s="54"/>
      <c r="BM1011" s="55"/>
      <c r="BO1011" s="55"/>
      <c r="BP1011" s="54"/>
      <c r="BS1011" s="55"/>
    </row>
    <row r="1012" spans="47:71" x14ac:dyDescent="0.25">
      <c r="AX1012" s="56"/>
      <c r="AY1012" s="56"/>
      <c r="AZ1012" s="56"/>
      <c r="BA1012" s="56"/>
      <c r="BB1012" s="56"/>
      <c r="BC1012" s="56"/>
      <c r="BD1012" s="56"/>
      <c r="BE1012" s="56"/>
      <c r="BF1012" s="56"/>
      <c r="BG1012" s="56"/>
      <c r="BJ1012" s="56"/>
      <c r="BK1012" s="56"/>
      <c r="BL1012" s="56"/>
      <c r="BP1012" s="56"/>
      <c r="BQ1012" s="56"/>
      <c r="BR1012" s="56"/>
    </row>
    <row r="1013" spans="47:71" x14ac:dyDescent="0.25">
      <c r="AU1013" s="56"/>
      <c r="AW1013" s="54"/>
      <c r="AX1013" s="56"/>
      <c r="AY1013" s="56"/>
      <c r="AZ1013" s="56"/>
      <c r="BA1013" s="56"/>
      <c r="BB1013" s="56"/>
      <c r="BC1013" s="56"/>
      <c r="BD1013" s="56"/>
      <c r="BE1013" s="56"/>
      <c r="BF1013" s="56"/>
      <c r="BG1013" s="56"/>
      <c r="BI1013" s="56"/>
      <c r="BJ1013" s="56"/>
      <c r="BK1013" s="56"/>
      <c r="BL1013" s="56"/>
      <c r="BM1013" s="56"/>
      <c r="BO1013" s="56"/>
      <c r="BP1013" s="56"/>
      <c r="BQ1013" s="56"/>
      <c r="BR1013" s="56"/>
      <c r="BS1013" s="56"/>
    </row>
    <row r="1014" spans="47:71" x14ac:dyDescent="0.25">
      <c r="AU1014" s="56"/>
      <c r="AW1014" s="54"/>
      <c r="AX1014" s="56"/>
      <c r="AY1014" s="56"/>
      <c r="AZ1014" s="56"/>
      <c r="BA1014" s="56"/>
      <c r="BB1014" s="56"/>
      <c r="BC1014" s="56"/>
      <c r="BD1014" s="56"/>
      <c r="BE1014" s="56"/>
      <c r="BF1014" s="56"/>
      <c r="BG1014" s="56"/>
      <c r="BI1014" s="56"/>
      <c r="BJ1014" s="56"/>
      <c r="BK1014" s="56"/>
      <c r="BL1014" s="56"/>
      <c r="BM1014" s="56"/>
      <c r="BO1014" s="56"/>
      <c r="BP1014" s="56"/>
      <c r="BQ1014" s="56"/>
      <c r="BR1014" s="56"/>
      <c r="BS1014" s="56"/>
    </row>
    <row r="1015" spans="47:71" x14ac:dyDescent="0.25">
      <c r="AU1015" s="55"/>
      <c r="AV1015" s="55"/>
      <c r="AW1015" s="55"/>
      <c r="AX1015" s="55"/>
      <c r="AY1015" s="55"/>
      <c r="AZ1015" s="55"/>
      <c r="BA1015" s="55"/>
      <c r="BB1015" s="55"/>
      <c r="BC1015" s="55"/>
      <c r="BD1015" s="55"/>
      <c r="BE1015" s="55"/>
      <c r="BF1015" s="55"/>
      <c r="BG1015" s="55"/>
      <c r="BI1015" s="55"/>
      <c r="BJ1015" s="55"/>
      <c r="BK1015" s="55"/>
      <c r="BL1015" s="55"/>
      <c r="BM1015" s="55"/>
      <c r="BO1015" s="55"/>
      <c r="BP1015" s="55"/>
      <c r="BQ1015" s="55"/>
      <c r="BR1015" s="55"/>
      <c r="BS1015" s="55"/>
    </row>
    <row r="1016" spans="47:71" x14ac:dyDescent="0.25">
      <c r="AX1016" s="56"/>
      <c r="AY1016" s="56"/>
      <c r="AZ1016" s="56"/>
      <c r="BA1016" s="56"/>
      <c r="BB1016" s="56"/>
      <c r="BC1016" s="56"/>
      <c r="BD1016" s="56"/>
      <c r="BE1016" s="56"/>
      <c r="BF1016" s="56"/>
      <c r="BG1016" s="56"/>
    </row>
    <row r="1017" spans="47:71" x14ac:dyDescent="0.25">
      <c r="AU1017" s="53"/>
      <c r="AW1017" s="54"/>
      <c r="AX1017" s="56"/>
      <c r="BA1017" s="59"/>
    </row>
    <row r="1018" spans="47:71" x14ac:dyDescent="0.25">
      <c r="AU1018" s="53"/>
      <c r="AX1018" s="56"/>
      <c r="AY1018" s="379"/>
      <c r="AZ1018" s="65"/>
      <c r="BA1018" s="65"/>
      <c r="BB1018" s="65"/>
      <c r="BC1018" s="50"/>
      <c r="BD1018" s="65"/>
      <c r="BE1018" s="59"/>
      <c r="BF1018" s="59"/>
      <c r="BG1018" s="50"/>
      <c r="BI1018" s="65"/>
      <c r="BJ1018" s="65"/>
      <c r="BK1018" s="65"/>
      <c r="BL1018" s="65"/>
      <c r="BM1018" s="65"/>
      <c r="BO1018" s="65"/>
      <c r="BP1018" s="65"/>
      <c r="BQ1018" s="65"/>
      <c r="BR1018" s="65"/>
      <c r="BS1018" s="65"/>
    </row>
    <row r="1019" spans="47:71" x14ac:dyDescent="0.25">
      <c r="AU1019" s="53"/>
      <c r="AX1019" s="56"/>
      <c r="AY1019" s="379"/>
      <c r="AZ1019" s="65"/>
      <c r="BA1019" s="65"/>
      <c r="BB1019" s="65"/>
      <c r="BC1019" s="50"/>
      <c r="BD1019" s="65"/>
      <c r="BE1019" s="59"/>
      <c r="BF1019" s="59"/>
      <c r="BG1019" s="50"/>
      <c r="BI1019" s="65"/>
      <c r="BJ1019" s="65"/>
      <c r="BK1019" s="65"/>
      <c r="BL1019" s="65"/>
      <c r="BM1019" s="65"/>
      <c r="BO1019" s="65"/>
      <c r="BP1019" s="65"/>
      <c r="BQ1019" s="65"/>
      <c r="BR1019" s="65"/>
      <c r="BS1019" s="65"/>
    </row>
    <row r="1020" spans="47:71" x14ac:dyDescent="0.25">
      <c r="AU1020" s="53"/>
      <c r="AX1020" s="56"/>
      <c r="AY1020" s="379"/>
      <c r="AZ1020" s="65"/>
      <c r="BA1020" s="65"/>
      <c r="BB1020" s="65"/>
      <c r="BC1020" s="50"/>
      <c r="BD1020" s="65"/>
      <c r="BE1020" s="59"/>
      <c r="BF1020" s="59"/>
      <c r="BG1020" s="50"/>
      <c r="BI1020" s="65"/>
      <c r="BJ1020" s="65"/>
      <c r="BK1020" s="65"/>
      <c r="BL1020" s="65"/>
      <c r="BM1020" s="65"/>
      <c r="BO1020" s="65"/>
      <c r="BP1020" s="65"/>
      <c r="BQ1020" s="65"/>
      <c r="BR1020" s="65"/>
      <c r="BS1020" s="65"/>
    </row>
    <row r="1021" spans="47:71" x14ac:dyDescent="0.25">
      <c r="AU1021" s="53"/>
      <c r="AX1021" s="56"/>
      <c r="AY1021" s="379"/>
      <c r="AZ1021" s="65"/>
      <c r="BA1021" s="65"/>
      <c r="BB1021" s="65"/>
      <c r="BC1021" s="50"/>
      <c r="BD1021" s="65"/>
      <c r="BE1021" s="59"/>
      <c r="BF1021" s="59"/>
      <c r="BG1021" s="50"/>
      <c r="BI1021" s="65"/>
      <c r="BJ1021" s="65"/>
      <c r="BK1021" s="65"/>
      <c r="BL1021" s="65"/>
      <c r="BM1021" s="65"/>
      <c r="BO1021" s="65"/>
      <c r="BP1021" s="65"/>
      <c r="BQ1021" s="65"/>
      <c r="BR1021" s="65"/>
      <c r="BS1021" s="65"/>
    </row>
    <row r="1022" spans="47:71" x14ac:dyDescent="0.25">
      <c r="AU1022" s="53"/>
      <c r="AX1022" s="56"/>
      <c r="AY1022" s="379"/>
      <c r="AZ1022" s="65"/>
      <c r="BA1022" s="65"/>
      <c r="BB1022" s="65"/>
      <c r="BC1022" s="50"/>
      <c r="BD1022" s="65"/>
      <c r="BE1022" s="59"/>
      <c r="BF1022" s="59"/>
      <c r="BG1022" s="50"/>
      <c r="BI1022" s="65"/>
      <c r="BJ1022" s="65"/>
      <c r="BK1022" s="65"/>
      <c r="BL1022" s="65"/>
      <c r="BM1022" s="65"/>
      <c r="BO1022" s="65"/>
      <c r="BP1022" s="65"/>
      <c r="BQ1022" s="65"/>
      <c r="BR1022" s="65"/>
      <c r="BS1022" s="65"/>
    </row>
    <row r="1023" spans="47:71" x14ac:dyDescent="0.25">
      <c r="AU1023" s="53"/>
      <c r="AX1023" s="56"/>
      <c r="AY1023" s="379"/>
      <c r="AZ1023" s="65"/>
      <c r="BA1023" s="65"/>
      <c r="BB1023" s="65"/>
      <c r="BC1023" s="50"/>
      <c r="BD1023" s="65"/>
      <c r="BE1023" s="59"/>
      <c r="BF1023" s="59"/>
      <c r="BG1023" s="50"/>
      <c r="BI1023" s="65"/>
      <c r="BJ1023" s="65"/>
      <c r="BK1023" s="65"/>
      <c r="BL1023" s="65"/>
      <c r="BM1023" s="65"/>
      <c r="BO1023" s="65"/>
      <c r="BP1023" s="65"/>
      <c r="BQ1023" s="65"/>
      <c r="BR1023" s="65"/>
      <c r="BS1023" s="65"/>
    </row>
    <row r="1024" spans="47:71" x14ac:dyDescent="0.25">
      <c r="AU1024" s="53"/>
      <c r="AX1024" s="56"/>
      <c r="AY1024" s="379"/>
      <c r="AZ1024" s="65"/>
      <c r="BA1024" s="65"/>
      <c r="BB1024" s="65"/>
      <c r="BC1024" s="50"/>
      <c r="BD1024" s="65"/>
      <c r="BE1024" s="59"/>
      <c r="BF1024" s="59"/>
      <c r="BG1024" s="50"/>
      <c r="BI1024" s="65"/>
      <c r="BJ1024" s="65"/>
      <c r="BK1024" s="65"/>
      <c r="BL1024" s="65"/>
      <c r="BM1024" s="65"/>
      <c r="BO1024" s="65"/>
      <c r="BP1024" s="65"/>
      <c r="BQ1024" s="65"/>
      <c r="BR1024" s="65"/>
      <c r="BS1024" s="65"/>
    </row>
    <row r="1025" spans="47:71" x14ac:dyDescent="0.25">
      <c r="BA1025" s="59"/>
      <c r="BB1025" s="65"/>
      <c r="BC1025" s="50"/>
      <c r="BD1025" s="65"/>
      <c r="BE1025" s="59"/>
      <c r="BF1025" s="59"/>
      <c r="BG1025" s="50"/>
      <c r="BM1025" s="65"/>
      <c r="BS1025" s="65"/>
    </row>
    <row r="1026" spans="47:71" x14ac:dyDescent="0.25">
      <c r="AU1026" s="53"/>
      <c r="AX1026" s="56"/>
      <c r="BA1026" s="59"/>
      <c r="BB1026" s="65"/>
      <c r="BC1026" s="50"/>
      <c r="BD1026" s="65"/>
      <c r="BE1026" s="59"/>
      <c r="BF1026" s="59"/>
      <c r="BG1026" s="50"/>
      <c r="BM1026" s="65"/>
      <c r="BS1026" s="65"/>
    </row>
    <row r="1027" spans="47:71" x14ac:dyDescent="0.25">
      <c r="AU1027" s="53"/>
      <c r="AX1027" s="56"/>
      <c r="AY1027" s="379"/>
      <c r="AZ1027" s="65"/>
      <c r="BA1027" s="65"/>
      <c r="BB1027" s="65"/>
      <c r="BC1027" s="50"/>
      <c r="BD1027" s="65"/>
      <c r="BE1027" s="59"/>
      <c r="BF1027" s="59"/>
      <c r="BG1027" s="50"/>
      <c r="BI1027" s="65"/>
      <c r="BJ1027" s="65"/>
      <c r="BK1027" s="65"/>
      <c r="BL1027" s="65"/>
      <c r="BM1027" s="65"/>
      <c r="BO1027" s="65"/>
      <c r="BP1027" s="65"/>
      <c r="BQ1027" s="65"/>
      <c r="BR1027" s="65"/>
      <c r="BS1027" s="65"/>
    </row>
    <row r="1028" spans="47:71" x14ac:dyDescent="0.25">
      <c r="AU1028" s="53"/>
      <c r="AX1028" s="56"/>
      <c r="AY1028" s="379"/>
      <c r="AZ1028" s="65"/>
      <c r="BA1028" s="65"/>
      <c r="BB1028" s="65"/>
      <c r="BC1028" s="50"/>
      <c r="BD1028" s="65"/>
      <c r="BE1028" s="59"/>
      <c r="BF1028" s="59"/>
      <c r="BG1028" s="50"/>
      <c r="BI1028" s="65"/>
      <c r="BJ1028" s="65"/>
      <c r="BK1028" s="65"/>
      <c r="BL1028" s="65"/>
      <c r="BM1028" s="65"/>
      <c r="BO1028" s="65"/>
      <c r="BP1028" s="65"/>
      <c r="BQ1028" s="65"/>
      <c r="BR1028" s="65"/>
      <c r="BS1028" s="65"/>
    </row>
    <row r="1029" spans="47:71" x14ac:dyDescent="0.25">
      <c r="AU1029" s="53"/>
      <c r="AX1029" s="56"/>
      <c r="AY1029" s="379"/>
      <c r="AZ1029" s="65"/>
      <c r="BA1029" s="65"/>
      <c r="BB1029" s="65"/>
      <c r="BC1029" s="50"/>
      <c r="BD1029" s="65"/>
      <c r="BE1029" s="59"/>
      <c r="BF1029" s="59"/>
      <c r="BG1029" s="50"/>
      <c r="BI1029" s="65"/>
      <c r="BJ1029" s="65"/>
      <c r="BK1029" s="65"/>
      <c r="BL1029" s="65"/>
      <c r="BM1029" s="65"/>
      <c r="BO1029" s="65"/>
      <c r="BP1029" s="65"/>
      <c r="BQ1029" s="65"/>
      <c r="BR1029" s="65"/>
      <c r="BS1029" s="65"/>
    </row>
    <row r="1030" spans="47:71" x14ac:dyDescent="0.25">
      <c r="AU1030" s="53"/>
      <c r="AX1030" s="56"/>
      <c r="AY1030" s="379"/>
      <c r="AZ1030" s="65"/>
      <c r="BA1030" s="65"/>
      <c r="BB1030" s="65"/>
      <c r="BC1030" s="50"/>
      <c r="BD1030" s="65"/>
      <c r="BE1030" s="59"/>
      <c r="BF1030" s="59"/>
      <c r="BG1030" s="50"/>
      <c r="BI1030" s="65"/>
      <c r="BJ1030" s="65"/>
      <c r="BK1030" s="65"/>
      <c r="BL1030" s="65"/>
      <c r="BM1030" s="65"/>
      <c r="BO1030" s="65"/>
      <c r="BP1030" s="65"/>
      <c r="BQ1030" s="65"/>
      <c r="BR1030" s="65"/>
      <c r="BS1030" s="65"/>
    </row>
    <row r="1031" spans="47:71" x14ac:dyDescent="0.25">
      <c r="AU1031" s="53"/>
      <c r="AX1031" s="56"/>
      <c r="AY1031" s="379"/>
      <c r="AZ1031" s="65"/>
      <c r="BA1031" s="65"/>
      <c r="BB1031" s="65"/>
      <c r="BC1031" s="50"/>
      <c r="BD1031" s="65"/>
      <c r="BE1031" s="59"/>
      <c r="BF1031" s="59"/>
      <c r="BG1031" s="50"/>
      <c r="BI1031" s="65"/>
      <c r="BJ1031" s="65"/>
      <c r="BK1031" s="65"/>
      <c r="BL1031" s="65"/>
      <c r="BM1031" s="65"/>
      <c r="BO1031" s="65"/>
      <c r="BP1031" s="65"/>
      <c r="BQ1031" s="65"/>
      <c r="BR1031" s="65"/>
      <c r="BS1031" s="65"/>
    </row>
    <row r="1032" spans="47:71" x14ac:dyDescent="0.25">
      <c r="AU1032" s="53"/>
      <c r="AX1032" s="56"/>
      <c r="AY1032" s="379"/>
      <c r="AZ1032" s="65"/>
      <c r="BA1032" s="65"/>
      <c r="BB1032" s="65"/>
      <c r="BC1032" s="50"/>
      <c r="BD1032" s="65"/>
      <c r="BE1032" s="59"/>
      <c r="BF1032" s="59"/>
      <c r="BG1032" s="50"/>
      <c r="BI1032" s="65"/>
      <c r="BJ1032" s="65"/>
      <c r="BK1032" s="65"/>
      <c r="BL1032" s="65"/>
      <c r="BM1032" s="65"/>
      <c r="BO1032" s="65"/>
      <c r="BP1032" s="65"/>
      <c r="BQ1032" s="65"/>
      <c r="BR1032" s="65"/>
      <c r="BS1032" s="65"/>
    </row>
    <row r="1033" spans="47:71" x14ac:dyDescent="0.25">
      <c r="AU1033" s="53"/>
      <c r="AX1033" s="56"/>
      <c r="AY1033" s="379"/>
      <c r="AZ1033" s="65"/>
      <c r="BA1033" s="65"/>
      <c r="BB1033" s="65"/>
      <c r="BC1033" s="50"/>
      <c r="BD1033" s="65"/>
      <c r="BE1033" s="59"/>
      <c r="BF1033" s="59"/>
      <c r="BG1033" s="50"/>
      <c r="BI1033" s="65"/>
      <c r="BJ1033" s="65"/>
      <c r="BK1033" s="65"/>
      <c r="BL1033" s="65"/>
      <c r="BM1033" s="65"/>
      <c r="BO1033" s="65"/>
      <c r="BP1033" s="65"/>
      <c r="BQ1033" s="65"/>
      <c r="BR1033" s="65"/>
      <c r="BS1033" s="65"/>
    </row>
    <row r="1034" spans="47:71" x14ac:dyDescent="0.25">
      <c r="AU1034" s="53"/>
      <c r="AX1034" s="56"/>
      <c r="AY1034" s="379"/>
      <c r="AZ1034" s="65"/>
      <c r="BA1034" s="65"/>
      <c r="BB1034" s="65"/>
      <c r="BC1034" s="50"/>
      <c r="BD1034" s="65"/>
      <c r="BE1034" s="59"/>
      <c r="BF1034" s="59"/>
      <c r="BG1034" s="50"/>
      <c r="BI1034" s="65"/>
      <c r="BJ1034" s="65"/>
      <c r="BK1034" s="65"/>
      <c r="BL1034" s="65"/>
      <c r="BM1034" s="65"/>
      <c r="BO1034" s="65"/>
      <c r="BP1034" s="65"/>
      <c r="BQ1034" s="65"/>
      <c r="BR1034" s="65"/>
      <c r="BS1034" s="65"/>
    </row>
    <row r="1035" spans="47:71" x14ac:dyDescent="0.25">
      <c r="BA1035" s="59"/>
      <c r="BB1035" s="65"/>
      <c r="BC1035" s="50"/>
      <c r="BD1035" s="65"/>
      <c r="BE1035" s="59"/>
      <c r="BF1035" s="59"/>
      <c r="BG1035" s="50"/>
      <c r="BM1035" s="65"/>
      <c r="BS1035" s="65"/>
    </row>
    <row r="1036" spans="47:71" x14ac:dyDescent="0.25">
      <c r="AW1036" s="54"/>
      <c r="BB1036" s="65"/>
      <c r="BD1036" s="65"/>
      <c r="BI1036" s="65"/>
      <c r="BJ1036" s="65"/>
      <c r="BL1036" s="65"/>
      <c r="BM1036" s="65"/>
    </row>
    <row r="1037" spans="47:71" x14ac:dyDescent="0.25">
      <c r="BB1037" s="65"/>
      <c r="BD1037" s="65"/>
    </row>
    <row r="1038" spans="47:71" x14ac:dyDescent="0.25">
      <c r="AU1038" s="54"/>
      <c r="BB1038" s="65"/>
      <c r="BD1038" s="65"/>
      <c r="BK1038" s="65"/>
    </row>
    <row r="1039" spans="47:71" x14ac:dyDescent="0.25">
      <c r="BA1039" s="53"/>
      <c r="BB1039" s="65"/>
      <c r="BD1039" s="65"/>
    </row>
    <row r="1040" spans="47:71" x14ac:dyDescent="0.25">
      <c r="BA1040" s="65"/>
      <c r="BD1040" s="65"/>
    </row>
    <row r="1041" spans="47:77" x14ac:dyDescent="0.25">
      <c r="BA1041" s="54"/>
      <c r="BB1041" s="65"/>
      <c r="BD1041" s="65"/>
    </row>
    <row r="1042" spans="47:77" x14ac:dyDescent="0.25">
      <c r="BA1042" s="54"/>
      <c r="BB1042" s="65"/>
      <c r="BD1042" s="65"/>
    </row>
    <row r="1043" spans="47:77" x14ac:dyDescent="0.25">
      <c r="AU1043" s="53"/>
      <c r="BB1043" s="65"/>
      <c r="BD1043" s="65"/>
      <c r="BF1043" s="54"/>
    </row>
    <row r="1044" spans="47:77" x14ac:dyDescent="0.25">
      <c r="AU1044" s="53"/>
      <c r="BB1044" s="65"/>
      <c r="BD1044" s="65"/>
      <c r="BF1044" s="54"/>
    </row>
    <row r="1045" spans="47:77" x14ac:dyDescent="0.25">
      <c r="AU1045" s="54"/>
      <c r="BB1045" s="65"/>
      <c r="BD1045" s="65"/>
      <c r="BF1045" s="54"/>
    </row>
    <row r="1046" spans="47:77" x14ac:dyDescent="0.25">
      <c r="BB1046" s="65"/>
      <c r="BD1046" s="65"/>
      <c r="BF1046" s="53"/>
    </row>
    <row r="1047" spans="47:77" x14ac:dyDescent="0.25">
      <c r="AU1047" s="55"/>
      <c r="AV1047" s="55"/>
      <c r="AW1047" s="55"/>
      <c r="AX1047" s="55"/>
      <c r="AY1047" s="55"/>
      <c r="AZ1047" s="55"/>
      <c r="BA1047" s="55"/>
      <c r="BB1047" s="66"/>
      <c r="BC1047" s="55"/>
      <c r="BD1047" s="66"/>
      <c r="BE1047" s="55"/>
      <c r="BF1047" s="55"/>
      <c r="BG1047" s="55"/>
    </row>
    <row r="1048" spans="47:77" x14ac:dyDescent="0.25">
      <c r="AZ1048" s="54"/>
      <c r="BB1048" s="65"/>
      <c r="BD1048" s="65"/>
    </row>
    <row r="1049" spans="47:77" x14ac:dyDescent="0.25">
      <c r="AZ1049" s="55"/>
      <c r="BA1049" s="55"/>
      <c r="BB1049" s="66"/>
      <c r="BC1049" s="55"/>
      <c r="BD1049" s="65"/>
      <c r="BE1049" s="56"/>
      <c r="BF1049" s="56"/>
    </row>
    <row r="1050" spans="47:77" x14ac:dyDescent="0.25">
      <c r="AX1050" s="56"/>
      <c r="AY1050" s="56"/>
      <c r="BB1050" s="67"/>
      <c r="BC1050" s="56"/>
      <c r="BD1050" s="65"/>
      <c r="BE1050" s="56"/>
      <c r="BF1050" s="56"/>
      <c r="BG1050" s="56"/>
      <c r="BI1050" s="55"/>
      <c r="BJ1050" s="55"/>
      <c r="BK1050" s="54"/>
      <c r="BO1050" s="55"/>
      <c r="BP1050" s="55"/>
      <c r="BR1050" s="55"/>
      <c r="BS1050" s="55"/>
      <c r="BT1050" s="54"/>
      <c r="BX1050" s="55"/>
      <c r="BY1050" s="55"/>
    </row>
    <row r="1051" spans="47:77" x14ac:dyDescent="0.25">
      <c r="AX1051" s="56"/>
      <c r="AY1051" s="56"/>
      <c r="AZ1051" s="56"/>
      <c r="BA1051" s="56"/>
      <c r="BB1051" s="67"/>
      <c r="BC1051" s="56"/>
      <c r="BD1051" s="67"/>
      <c r="BE1051" s="56"/>
      <c r="BF1051" s="56"/>
      <c r="BG1051" s="56"/>
      <c r="BJ1051" s="56"/>
      <c r="BK1051" s="56"/>
      <c r="BL1051" s="56"/>
      <c r="BM1051" s="56"/>
      <c r="BN1051" s="56"/>
      <c r="BO1051" s="56"/>
      <c r="BS1051" s="56"/>
      <c r="BT1051" s="56"/>
      <c r="BU1051" s="56"/>
      <c r="BV1051" s="56"/>
      <c r="BW1051" s="56"/>
      <c r="BX1051" s="56"/>
    </row>
    <row r="1052" spans="47:77" x14ac:dyDescent="0.25">
      <c r="AU1052" s="56"/>
      <c r="AW1052" s="54"/>
      <c r="AX1052" s="56"/>
      <c r="AY1052" s="56"/>
      <c r="AZ1052" s="56"/>
      <c r="BA1052" s="56"/>
      <c r="BB1052" s="67"/>
      <c r="BC1052" s="56"/>
      <c r="BD1052" s="67"/>
      <c r="BE1052" s="56"/>
      <c r="BF1052" s="56"/>
      <c r="BG1052" s="56"/>
      <c r="BI1052" s="56"/>
      <c r="BJ1052" s="56"/>
      <c r="BK1052" s="56"/>
      <c r="BL1052" s="56"/>
      <c r="BM1052" s="56"/>
      <c r="BN1052" s="56"/>
      <c r="BO1052" s="56"/>
      <c r="BP1052" s="56"/>
      <c r="BR1052" s="56"/>
      <c r="BS1052" s="56"/>
      <c r="BT1052" s="56"/>
      <c r="BU1052" s="56"/>
      <c r="BV1052" s="56"/>
      <c r="BW1052" s="56"/>
      <c r="BX1052" s="56"/>
      <c r="BY1052" s="56"/>
    </row>
    <row r="1053" spans="47:77" x14ac:dyDescent="0.25">
      <c r="AU1053" s="56"/>
      <c r="AW1053" s="54"/>
      <c r="AX1053" s="56"/>
      <c r="AY1053" s="56"/>
      <c r="AZ1053" s="56"/>
      <c r="BA1053" s="56"/>
      <c r="BB1053" s="67"/>
      <c r="BC1053" s="56"/>
      <c r="BD1053" s="67"/>
      <c r="BE1053" s="56"/>
      <c r="BF1053" s="56"/>
      <c r="BG1053" s="56"/>
      <c r="BI1053" s="56"/>
      <c r="BJ1053" s="56"/>
      <c r="BK1053" s="56"/>
      <c r="BL1053" s="56"/>
      <c r="BM1053" s="56"/>
      <c r="BN1053" s="56"/>
      <c r="BO1053" s="56"/>
      <c r="BP1053" s="56"/>
      <c r="BR1053" s="56"/>
      <c r="BS1053" s="56"/>
      <c r="BT1053" s="56"/>
      <c r="BU1053" s="56"/>
      <c r="BV1053" s="56"/>
      <c r="BW1053" s="56"/>
      <c r="BX1053" s="56"/>
      <c r="BY1053" s="56"/>
    </row>
    <row r="1054" spans="47:77" x14ac:dyDescent="0.25">
      <c r="AU1054" s="55"/>
      <c r="AV1054" s="55"/>
      <c r="AW1054" s="55"/>
      <c r="AX1054" s="55"/>
      <c r="AY1054" s="55"/>
      <c r="AZ1054" s="55"/>
      <c r="BA1054" s="55"/>
      <c r="BB1054" s="66"/>
      <c r="BC1054" s="55"/>
      <c r="BD1054" s="66"/>
      <c r="BE1054" s="55"/>
      <c r="BF1054" s="55"/>
      <c r="BG1054" s="55"/>
      <c r="BI1054" s="55"/>
      <c r="BJ1054" s="55"/>
      <c r="BK1054" s="55"/>
      <c r="BL1054" s="55"/>
      <c r="BM1054" s="55"/>
      <c r="BN1054" s="55"/>
      <c r="BO1054" s="55"/>
      <c r="BP1054" s="55"/>
      <c r="BR1054" s="55"/>
      <c r="BS1054" s="55"/>
      <c r="BT1054" s="55"/>
      <c r="BU1054" s="55"/>
      <c r="BV1054" s="55"/>
      <c r="BW1054" s="55"/>
      <c r="BX1054" s="55"/>
      <c r="BY1054" s="55"/>
    </row>
    <row r="1055" spans="47:77" x14ac:dyDescent="0.25">
      <c r="AX1055" s="56"/>
      <c r="AY1055" s="56"/>
      <c r="AZ1055" s="56"/>
      <c r="BA1055" s="56"/>
      <c r="BB1055" s="67"/>
      <c r="BC1055" s="56"/>
      <c r="BD1055" s="67"/>
      <c r="BE1055" s="56"/>
      <c r="BF1055" s="56"/>
      <c r="BG1055" s="56"/>
      <c r="BI1055" s="65"/>
      <c r="BJ1055" s="65"/>
      <c r="BK1055" s="65"/>
      <c r="BL1055" s="65"/>
      <c r="BM1055" s="65"/>
      <c r="BN1055" s="65"/>
      <c r="BO1055" s="65"/>
      <c r="BP1055" s="65"/>
      <c r="BQ1055" s="65"/>
      <c r="BR1055" s="65"/>
      <c r="BS1055" s="65"/>
      <c r="BT1055" s="65"/>
      <c r="BU1055" s="65"/>
      <c r="BV1055" s="65"/>
      <c r="BW1055" s="65"/>
      <c r="BX1055" s="65"/>
      <c r="BY1055" s="65"/>
    </row>
    <row r="1056" spans="47:77" x14ac:dyDescent="0.25">
      <c r="AU1056" s="53"/>
      <c r="AW1056" s="54"/>
      <c r="AX1056" s="53"/>
      <c r="AY1056" s="379"/>
      <c r="AZ1056" s="65"/>
      <c r="BA1056" s="65"/>
      <c r="BB1056" s="65"/>
      <c r="BC1056" s="60"/>
      <c r="BD1056" s="65"/>
      <c r="BE1056" s="65"/>
      <c r="BF1056" s="65"/>
      <c r="BG1056" s="60"/>
      <c r="BI1056" s="65"/>
      <c r="BJ1056" s="65"/>
      <c r="BK1056" s="65"/>
      <c r="BL1056" s="65"/>
      <c r="BM1056" s="65"/>
      <c r="BN1056" s="65"/>
      <c r="BO1056" s="65"/>
      <c r="BP1056" s="65"/>
      <c r="BQ1056" s="65"/>
      <c r="BR1056" s="65"/>
      <c r="BS1056" s="65"/>
      <c r="BT1056" s="65"/>
      <c r="BU1056" s="65"/>
      <c r="BV1056" s="65"/>
      <c r="BW1056" s="65"/>
      <c r="BX1056" s="65"/>
      <c r="BY1056" s="65"/>
    </row>
    <row r="1057" spans="47:77" x14ac:dyDescent="0.25">
      <c r="AU1057" s="53"/>
      <c r="AX1057" s="53"/>
      <c r="AY1057" s="379"/>
      <c r="AZ1057" s="65"/>
      <c r="BA1057" s="65"/>
      <c r="BB1057" s="65"/>
      <c r="BC1057" s="60"/>
      <c r="BD1057" s="65"/>
      <c r="BE1057" s="65"/>
      <c r="BF1057" s="65"/>
      <c r="BG1057" s="60"/>
      <c r="BI1057" s="65"/>
      <c r="BJ1057" s="65"/>
      <c r="BK1057" s="65"/>
      <c r="BL1057" s="65"/>
      <c r="BM1057" s="65"/>
      <c r="BN1057" s="65"/>
      <c r="BO1057" s="65"/>
      <c r="BP1057" s="65"/>
      <c r="BQ1057" s="65"/>
      <c r="BR1057" s="65"/>
      <c r="BS1057" s="65"/>
      <c r="BT1057" s="65"/>
      <c r="BU1057" s="65"/>
      <c r="BV1057" s="65"/>
      <c r="BW1057" s="65"/>
      <c r="BX1057" s="65"/>
      <c r="BY1057" s="65"/>
    </row>
    <row r="1058" spans="47:77" x14ac:dyDescent="0.25">
      <c r="AU1058" s="53"/>
      <c r="AX1058" s="53"/>
      <c r="AY1058" s="379"/>
      <c r="AZ1058" s="65"/>
      <c r="BA1058" s="65"/>
      <c r="BB1058" s="65"/>
      <c r="BC1058" s="60"/>
      <c r="BD1058" s="65"/>
      <c r="BE1058" s="65"/>
      <c r="BF1058" s="65"/>
      <c r="BG1058" s="60"/>
      <c r="BI1058" s="65"/>
      <c r="BJ1058" s="65"/>
      <c r="BK1058" s="65"/>
      <c r="BL1058" s="65"/>
      <c r="BM1058" s="65"/>
      <c r="BN1058" s="65"/>
      <c r="BO1058" s="65"/>
      <c r="BP1058" s="65"/>
      <c r="BQ1058" s="65"/>
      <c r="BR1058" s="65"/>
      <c r="BS1058" s="65"/>
      <c r="BT1058" s="65"/>
      <c r="BU1058" s="65"/>
      <c r="BV1058" s="65"/>
      <c r="BW1058" s="65"/>
      <c r="BX1058" s="65"/>
      <c r="BY1058" s="65"/>
    </row>
    <row r="1059" spans="47:77" x14ac:dyDescent="0.25">
      <c r="AU1059" s="53"/>
      <c r="AX1059" s="53"/>
      <c r="AY1059" s="379"/>
      <c r="AZ1059" s="65"/>
      <c r="BA1059" s="65"/>
      <c r="BB1059" s="65"/>
      <c r="BC1059" s="60"/>
      <c r="BD1059" s="65"/>
      <c r="BE1059" s="65"/>
      <c r="BF1059" s="65"/>
      <c r="BG1059" s="60"/>
      <c r="BI1059" s="65"/>
      <c r="BJ1059" s="65"/>
      <c r="BK1059" s="65"/>
      <c r="BL1059" s="65"/>
      <c r="BM1059" s="65"/>
      <c r="BN1059" s="65"/>
      <c r="BO1059" s="65"/>
      <c r="BP1059" s="65"/>
      <c r="BQ1059" s="65"/>
      <c r="BR1059" s="65"/>
      <c r="BS1059" s="65"/>
      <c r="BT1059" s="65"/>
      <c r="BU1059" s="65"/>
      <c r="BV1059" s="65"/>
      <c r="BW1059" s="65"/>
      <c r="BX1059" s="65"/>
      <c r="BY1059" s="65"/>
    </row>
    <row r="1060" spans="47:77" x14ac:dyDescent="0.25">
      <c r="AU1060" s="53"/>
      <c r="AX1060" s="53"/>
      <c r="AY1060" s="379"/>
      <c r="AZ1060" s="65"/>
      <c r="BA1060" s="65"/>
      <c r="BB1060" s="65"/>
      <c r="BC1060" s="60"/>
      <c r="BD1060" s="65"/>
      <c r="BE1060" s="65"/>
      <c r="BF1060" s="65"/>
      <c r="BG1060" s="60"/>
      <c r="BI1060" s="65"/>
      <c r="BJ1060" s="65"/>
      <c r="BK1060" s="65"/>
      <c r="BL1060" s="65"/>
      <c r="BM1060" s="65"/>
      <c r="BN1060" s="65"/>
      <c r="BO1060" s="65"/>
      <c r="BP1060" s="65"/>
      <c r="BQ1060" s="65"/>
      <c r="BR1060" s="65"/>
      <c r="BS1060" s="65"/>
      <c r="BT1060" s="65"/>
      <c r="BU1060" s="65"/>
      <c r="BV1060" s="65"/>
      <c r="BW1060" s="65"/>
      <c r="BX1060" s="65"/>
      <c r="BY1060" s="65"/>
    </row>
    <row r="1061" spans="47:77" x14ac:dyDescent="0.25">
      <c r="AU1061" s="53"/>
      <c r="AX1061" s="53"/>
      <c r="AY1061" s="379"/>
      <c r="AZ1061" s="65"/>
      <c r="BA1061" s="65"/>
      <c r="BB1061" s="65"/>
      <c r="BC1061" s="60"/>
      <c r="BD1061" s="65"/>
      <c r="BE1061" s="65"/>
      <c r="BF1061" s="65"/>
      <c r="BG1061" s="60"/>
      <c r="BI1061" s="65"/>
      <c r="BJ1061" s="65"/>
      <c r="BK1061" s="65"/>
      <c r="BL1061" s="65"/>
      <c r="BM1061" s="65"/>
      <c r="BN1061" s="65"/>
      <c r="BO1061" s="65"/>
      <c r="BP1061" s="65"/>
      <c r="BQ1061" s="65"/>
      <c r="BR1061" s="65"/>
      <c r="BS1061" s="65"/>
      <c r="BT1061" s="65"/>
      <c r="BU1061" s="65"/>
      <c r="BV1061" s="65"/>
      <c r="BW1061" s="65"/>
      <c r="BX1061" s="65"/>
      <c r="BY1061" s="65"/>
    </row>
    <row r="1062" spans="47:77" x14ac:dyDescent="0.25">
      <c r="AU1062" s="53"/>
      <c r="AX1062" s="53"/>
      <c r="AY1062" s="379"/>
      <c r="AZ1062" s="65"/>
      <c r="BA1062" s="65"/>
      <c r="BB1062" s="65"/>
      <c r="BC1062" s="60"/>
      <c r="BD1062" s="65"/>
      <c r="BE1062" s="65"/>
      <c r="BF1062" s="65"/>
      <c r="BG1062" s="60"/>
      <c r="BI1062" s="65"/>
      <c r="BJ1062" s="65"/>
      <c r="BK1062" s="65"/>
      <c r="BL1062" s="65"/>
      <c r="BM1062" s="65"/>
      <c r="BN1062" s="65"/>
      <c r="BO1062" s="65"/>
      <c r="BP1062" s="65"/>
      <c r="BQ1062" s="65"/>
      <c r="BR1062" s="65"/>
      <c r="BS1062" s="65"/>
      <c r="BT1062" s="65"/>
      <c r="BU1062" s="65"/>
      <c r="BV1062" s="65"/>
      <c r="BW1062" s="65"/>
      <c r="BX1062" s="65"/>
      <c r="BY1062" s="65"/>
    </row>
    <row r="1063" spans="47:77" x14ac:dyDescent="0.25">
      <c r="AU1063" s="53"/>
      <c r="AX1063" s="53"/>
      <c r="AY1063" s="379"/>
      <c r="AZ1063" s="65"/>
      <c r="BA1063" s="65"/>
      <c r="BB1063" s="65"/>
      <c r="BC1063" s="60"/>
      <c r="BD1063" s="65"/>
      <c r="BE1063" s="65"/>
      <c r="BF1063" s="65"/>
      <c r="BG1063" s="60"/>
      <c r="BI1063" s="65"/>
      <c r="BJ1063" s="65"/>
      <c r="BK1063" s="65"/>
      <c r="BL1063" s="65"/>
      <c r="BM1063" s="65"/>
      <c r="BN1063" s="65"/>
      <c r="BO1063" s="65"/>
      <c r="BP1063" s="65"/>
      <c r="BQ1063" s="65"/>
      <c r="BR1063" s="65"/>
      <c r="BS1063" s="65"/>
      <c r="BT1063" s="65"/>
      <c r="BU1063" s="65"/>
      <c r="BV1063" s="65"/>
      <c r="BW1063" s="65"/>
      <c r="BX1063" s="65"/>
      <c r="BY1063" s="65"/>
    </row>
    <row r="1064" spans="47:77" x14ac:dyDescent="0.25">
      <c r="AU1064" s="53"/>
      <c r="AX1064" s="53"/>
      <c r="AY1064" s="379"/>
      <c r="AZ1064" s="65"/>
      <c r="BA1064" s="65"/>
      <c r="BB1064" s="65"/>
      <c r="BC1064" s="60"/>
      <c r="BD1064" s="65"/>
      <c r="BE1064" s="65"/>
      <c r="BF1064" s="65"/>
      <c r="BG1064" s="60"/>
      <c r="BI1064" s="65"/>
      <c r="BJ1064" s="65"/>
      <c r="BK1064" s="65"/>
      <c r="BL1064" s="65"/>
      <c r="BM1064" s="65"/>
      <c r="BN1064" s="65"/>
      <c r="BO1064" s="65"/>
      <c r="BP1064" s="65"/>
      <c r="BQ1064" s="65"/>
      <c r="BR1064" s="65"/>
      <c r="BS1064" s="65"/>
      <c r="BT1064" s="65"/>
      <c r="BU1064" s="65"/>
      <c r="BV1064" s="65"/>
      <c r="BW1064" s="65"/>
      <c r="BX1064" s="65"/>
      <c r="BY1064" s="65"/>
    </row>
    <row r="1065" spans="47:77" x14ac:dyDescent="0.25">
      <c r="AU1065" s="53"/>
      <c r="AX1065" s="53"/>
      <c r="AY1065" s="379"/>
      <c r="AZ1065" s="65"/>
      <c r="BA1065" s="65"/>
      <c r="BB1065" s="65"/>
      <c r="BC1065" s="60"/>
      <c r="BD1065" s="65"/>
      <c r="BE1065" s="65"/>
      <c r="BF1065" s="65"/>
      <c r="BG1065" s="60"/>
      <c r="BI1065" s="65"/>
      <c r="BJ1065" s="65"/>
      <c r="BK1065" s="65"/>
      <c r="BL1065" s="65"/>
      <c r="BM1065" s="65"/>
      <c r="BN1065" s="65"/>
      <c r="BO1065" s="65"/>
      <c r="BP1065" s="65"/>
      <c r="BQ1065" s="65"/>
      <c r="BR1065" s="65"/>
      <c r="BS1065" s="65"/>
      <c r="BT1065" s="65"/>
      <c r="BU1065" s="65"/>
      <c r="BV1065" s="65"/>
      <c r="BW1065" s="65"/>
      <c r="BX1065" s="65"/>
      <c r="BY1065" s="65"/>
    </row>
    <row r="1066" spans="47:77" x14ac:dyDescent="0.25">
      <c r="AU1066" s="53"/>
      <c r="AX1066" s="53"/>
      <c r="AY1066" s="379"/>
      <c r="AZ1066" s="65"/>
      <c r="BA1066" s="65"/>
      <c r="BB1066" s="65"/>
      <c r="BC1066" s="60"/>
      <c r="BD1066" s="65"/>
      <c r="BE1066" s="65"/>
      <c r="BF1066" s="65"/>
      <c r="BG1066" s="60"/>
      <c r="BI1066" s="65"/>
      <c r="BJ1066" s="65"/>
      <c r="BK1066" s="65"/>
      <c r="BL1066" s="65"/>
      <c r="BM1066" s="65"/>
      <c r="BN1066" s="65"/>
      <c r="BO1066" s="65"/>
      <c r="BP1066" s="65"/>
      <c r="BQ1066" s="65"/>
      <c r="BR1066" s="65"/>
      <c r="BS1066" s="65"/>
      <c r="BT1066" s="65"/>
      <c r="BU1066" s="65"/>
      <c r="BV1066" s="65"/>
      <c r="BW1066" s="65"/>
      <c r="BX1066" s="65"/>
      <c r="BY1066" s="65"/>
    </row>
    <row r="1067" spans="47:77" x14ac:dyDescent="0.25">
      <c r="AU1067" s="53"/>
      <c r="AX1067" s="53"/>
      <c r="AY1067" s="379"/>
      <c r="AZ1067" s="65"/>
      <c r="BA1067" s="65"/>
      <c r="BB1067" s="65"/>
      <c r="BC1067" s="60"/>
      <c r="BD1067" s="65"/>
      <c r="BE1067" s="65"/>
      <c r="BF1067" s="65"/>
      <c r="BG1067" s="60"/>
      <c r="BI1067" s="65"/>
      <c r="BJ1067" s="65"/>
      <c r="BK1067" s="65"/>
      <c r="BL1067" s="65"/>
      <c r="BM1067" s="65"/>
      <c r="BN1067" s="65"/>
      <c r="BO1067" s="65"/>
      <c r="BP1067" s="65"/>
      <c r="BQ1067" s="65"/>
      <c r="BR1067" s="65"/>
      <c r="BS1067" s="65"/>
      <c r="BT1067" s="65"/>
      <c r="BU1067" s="65"/>
      <c r="BV1067" s="65"/>
      <c r="BW1067" s="65"/>
      <c r="BX1067" s="65"/>
      <c r="BY1067" s="65"/>
    </row>
    <row r="1068" spans="47:77" x14ac:dyDescent="0.25">
      <c r="AU1068" s="53"/>
      <c r="AX1068" s="53"/>
      <c r="AY1068" s="379"/>
      <c r="AZ1068" s="65"/>
      <c r="BA1068" s="65"/>
      <c r="BB1068" s="65"/>
      <c r="BC1068" s="60"/>
      <c r="BD1068" s="65"/>
      <c r="BE1068" s="65"/>
      <c r="BF1068" s="65"/>
      <c r="BG1068" s="60"/>
      <c r="BI1068" s="65"/>
      <c r="BJ1068" s="65"/>
      <c r="BK1068" s="65"/>
      <c r="BL1068" s="65"/>
      <c r="BM1068" s="65"/>
      <c r="BN1068" s="65"/>
      <c r="BO1068" s="65"/>
      <c r="BP1068" s="65"/>
      <c r="BQ1068" s="65"/>
      <c r="BR1068" s="65"/>
      <c r="BS1068" s="65"/>
      <c r="BT1068" s="65"/>
      <c r="BU1068" s="65"/>
      <c r="BV1068" s="65"/>
      <c r="BW1068" s="65"/>
      <c r="BX1068" s="65"/>
      <c r="BY1068" s="65"/>
    </row>
    <row r="1069" spans="47:77" x14ac:dyDescent="0.25">
      <c r="AU1069" s="53"/>
      <c r="AX1069" s="53"/>
      <c r="AY1069" s="379"/>
      <c r="AZ1069" s="65"/>
      <c r="BA1069" s="65"/>
      <c r="BB1069" s="65"/>
      <c r="BC1069" s="60"/>
      <c r="BD1069" s="65"/>
      <c r="BE1069" s="65"/>
      <c r="BF1069" s="65"/>
      <c r="BG1069" s="60"/>
      <c r="BI1069" s="65"/>
      <c r="BJ1069" s="65"/>
      <c r="BK1069" s="65"/>
      <c r="BL1069" s="65"/>
      <c r="BM1069" s="65"/>
      <c r="BN1069" s="65"/>
      <c r="BO1069" s="65"/>
      <c r="BP1069" s="65"/>
      <c r="BQ1069" s="65"/>
      <c r="BR1069" s="65"/>
      <c r="BS1069" s="65"/>
      <c r="BT1069" s="65"/>
      <c r="BU1069" s="65"/>
      <c r="BV1069" s="65"/>
      <c r="BW1069" s="65"/>
      <c r="BX1069" s="65"/>
      <c r="BY1069" s="65"/>
    </row>
    <row r="1070" spans="47:77" x14ac:dyDescent="0.25">
      <c r="AU1070" s="53"/>
      <c r="AX1070" s="53"/>
      <c r="AY1070" s="379"/>
      <c r="AZ1070" s="65"/>
      <c r="BA1070" s="65"/>
      <c r="BB1070" s="65"/>
      <c r="BC1070" s="60"/>
      <c r="BD1070" s="65"/>
      <c r="BE1070" s="65"/>
      <c r="BF1070" s="65"/>
      <c r="BG1070" s="60"/>
      <c r="BI1070" s="65"/>
      <c r="BJ1070" s="65"/>
      <c r="BK1070" s="65"/>
      <c r="BL1070" s="65"/>
      <c r="BM1070" s="65"/>
      <c r="BN1070" s="65"/>
      <c r="BO1070" s="65"/>
      <c r="BP1070" s="65"/>
      <c r="BQ1070" s="65"/>
      <c r="BR1070" s="65"/>
      <c r="BS1070" s="65"/>
      <c r="BT1070" s="65"/>
      <c r="BU1070" s="65"/>
      <c r="BV1070" s="65"/>
      <c r="BW1070" s="65"/>
      <c r="BX1070" s="65"/>
      <c r="BY1070" s="65"/>
    </row>
    <row r="1071" spans="47:77" x14ac:dyDescent="0.25">
      <c r="AU1071" s="53"/>
      <c r="AX1071" s="53"/>
      <c r="AY1071" s="379"/>
      <c r="AZ1071" s="65"/>
      <c r="BA1071" s="65"/>
      <c r="BB1071" s="65"/>
      <c r="BC1071" s="60"/>
      <c r="BD1071" s="65"/>
      <c r="BE1071" s="65"/>
      <c r="BF1071" s="65"/>
      <c r="BG1071" s="60"/>
      <c r="BI1071" s="65"/>
      <c r="BJ1071" s="65"/>
      <c r="BK1071" s="65"/>
      <c r="BL1071" s="65"/>
      <c r="BM1071" s="65"/>
      <c r="BN1071" s="65"/>
      <c r="BO1071" s="65"/>
      <c r="BP1071" s="65"/>
      <c r="BQ1071" s="65"/>
      <c r="BR1071" s="65"/>
      <c r="BS1071" s="65"/>
      <c r="BT1071" s="65"/>
      <c r="BU1071" s="65"/>
      <c r="BV1071" s="65"/>
      <c r="BW1071" s="65"/>
      <c r="BX1071" s="65"/>
      <c r="BY1071" s="65"/>
    </row>
    <row r="1072" spans="47:77" x14ac:dyDescent="0.25">
      <c r="AU1072" s="53"/>
      <c r="AX1072" s="53"/>
      <c r="AY1072" s="379"/>
      <c r="AZ1072" s="65"/>
      <c r="BA1072" s="65"/>
      <c r="BB1072" s="65"/>
      <c r="BC1072" s="60"/>
      <c r="BD1072" s="65"/>
      <c r="BE1072" s="65"/>
      <c r="BF1072" s="65"/>
      <c r="BG1072" s="60"/>
      <c r="BI1072" s="65"/>
      <c r="BJ1072" s="65"/>
      <c r="BK1072" s="65"/>
      <c r="BL1072" s="65"/>
      <c r="BM1072" s="65"/>
      <c r="BN1072" s="65"/>
      <c r="BO1072" s="65"/>
      <c r="BP1072" s="65"/>
      <c r="BQ1072" s="65"/>
      <c r="BR1072" s="65"/>
      <c r="BS1072" s="65"/>
      <c r="BT1072" s="65"/>
      <c r="BU1072" s="65"/>
      <c r="BV1072" s="65"/>
      <c r="BW1072" s="65"/>
      <c r="BX1072" s="65"/>
      <c r="BY1072" s="65"/>
    </row>
    <row r="1073" spans="47:77" x14ac:dyDescent="0.25">
      <c r="AU1073" s="53"/>
      <c r="AX1073" s="53"/>
      <c r="AY1073" s="379"/>
      <c r="AZ1073" s="65"/>
      <c r="BA1073" s="65"/>
      <c r="BB1073" s="65"/>
      <c r="BC1073" s="60"/>
      <c r="BD1073" s="65"/>
      <c r="BE1073" s="65"/>
      <c r="BF1073" s="65"/>
      <c r="BG1073" s="60"/>
      <c r="BI1073" s="65"/>
      <c r="BJ1073" s="65"/>
      <c r="BK1073" s="65"/>
      <c r="BL1073" s="65"/>
      <c r="BM1073" s="65"/>
      <c r="BN1073" s="65"/>
      <c r="BO1073" s="65"/>
      <c r="BP1073" s="65"/>
      <c r="BQ1073" s="65"/>
      <c r="BR1073" s="65"/>
      <c r="BS1073" s="65"/>
      <c r="BT1073" s="65"/>
      <c r="BU1073" s="65"/>
      <c r="BV1073" s="65"/>
      <c r="BW1073" s="65"/>
      <c r="BX1073" s="65"/>
      <c r="BY1073" s="65"/>
    </row>
    <row r="1074" spans="47:77" x14ac:dyDescent="0.25">
      <c r="AU1074" s="53"/>
      <c r="AX1074" s="53"/>
      <c r="AY1074" s="379"/>
      <c r="AZ1074" s="65"/>
      <c r="BA1074" s="65"/>
      <c r="BB1074" s="65"/>
      <c r="BC1074" s="60"/>
      <c r="BD1074" s="65"/>
      <c r="BE1074" s="65"/>
      <c r="BF1074" s="65"/>
      <c r="BG1074" s="60"/>
      <c r="BI1074" s="65"/>
      <c r="BJ1074" s="65"/>
      <c r="BK1074" s="65"/>
      <c r="BL1074" s="65"/>
      <c r="BM1074" s="65"/>
      <c r="BN1074" s="65"/>
      <c r="BO1074" s="65"/>
      <c r="BP1074" s="65"/>
      <c r="BQ1074" s="65"/>
      <c r="BR1074" s="65"/>
      <c r="BS1074" s="65"/>
      <c r="BT1074" s="65"/>
      <c r="BU1074" s="65"/>
      <c r="BV1074" s="65"/>
      <c r="BW1074" s="65"/>
      <c r="BX1074" s="65"/>
      <c r="BY1074" s="65"/>
    </row>
    <row r="1075" spans="47:77" x14ac:dyDescent="0.25">
      <c r="AU1075" s="53"/>
      <c r="AX1075" s="53"/>
      <c r="AY1075" s="379"/>
      <c r="AZ1075" s="65"/>
      <c r="BA1075" s="65"/>
      <c r="BB1075" s="65"/>
      <c r="BC1075" s="60"/>
      <c r="BD1075" s="65"/>
      <c r="BE1075" s="65"/>
      <c r="BF1075" s="65"/>
      <c r="BG1075" s="60"/>
      <c r="BI1075" s="65"/>
      <c r="BJ1075" s="65"/>
      <c r="BK1075" s="65"/>
      <c r="BL1075" s="65"/>
      <c r="BM1075" s="65"/>
      <c r="BN1075" s="65"/>
      <c r="BO1075" s="65"/>
      <c r="BP1075" s="65"/>
      <c r="BQ1075" s="65"/>
      <c r="BR1075" s="65"/>
      <c r="BS1075" s="65"/>
      <c r="BT1075" s="65"/>
      <c r="BU1075" s="65"/>
      <c r="BV1075" s="65"/>
      <c r="BW1075" s="65"/>
      <c r="BX1075" s="65"/>
      <c r="BY1075" s="65"/>
    </row>
    <row r="1076" spans="47:77" x14ac:dyDescent="0.25">
      <c r="AU1076" s="53"/>
      <c r="AX1076" s="53"/>
      <c r="AY1076" s="379"/>
      <c r="AZ1076" s="65"/>
      <c r="BA1076" s="65"/>
      <c r="BB1076" s="65"/>
      <c r="BC1076" s="60"/>
      <c r="BD1076" s="65"/>
      <c r="BE1076" s="65"/>
      <c r="BF1076" s="65"/>
      <c r="BG1076" s="60"/>
      <c r="BI1076" s="65"/>
      <c r="BJ1076" s="65"/>
      <c r="BK1076" s="65"/>
      <c r="BL1076" s="65"/>
      <c r="BM1076" s="65"/>
      <c r="BN1076" s="65"/>
      <c r="BO1076" s="65"/>
      <c r="BP1076" s="65"/>
      <c r="BQ1076" s="65"/>
      <c r="BR1076" s="65"/>
      <c r="BS1076" s="65"/>
      <c r="BT1076" s="65"/>
      <c r="BU1076" s="65"/>
      <c r="BV1076" s="65"/>
      <c r="BW1076" s="65"/>
      <c r="BX1076" s="65"/>
      <c r="BY1076" s="65"/>
    </row>
    <row r="1077" spans="47:77" x14ac:dyDescent="0.25">
      <c r="AY1077" s="379"/>
      <c r="AZ1077" s="65"/>
      <c r="BA1077" s="65"/>
      <c r="BB1077" s="65"/>
      <c r="BC1077" s="60"/>
      <c r="BD1077" s="65"/>
      <c r="BE1077" s="65"/>
      <c r="BF1077" s="65"/>
      <c r="BG1077" s="60"/>
      <c r="BI1077" s="55"/>
      <c r="BJ1077" s="55"/>
      <c r="BK1077" s="54"/>
      <c r="BO1077" s="55"/>
      <c r="BP1077" s="55"/>
      <c r="BQ1077" s="65"/>
      <c r="BR1077" s="55"/>
      <c r="BS1077" s="55"/>
      <c r="BT1077" s="54"/>
      <c r="BX1077" s="55"/>
      <c r="BY1077" s="55"/>
    </row>
    <row r="1078" spans="47:77" x14ac:dyDescent="0.25">
      <c r="AU1078" s="53"/>
      <c r="AW1078" s="54"/>
      <c r="AX1078" s="56"/>
      <c r="AY1078" s="379"/>
      <c r="AZ1078" s="65"/>
      <c r="BA1078" s="65"/>
      <c r="BB1078" s="65"/>
      <c r="BC1078" s="60"/>
      <c r="BD1078" s="65"/>
      <c r="BE1078" s="65"/>
      <c r="BF1078" s="65"/>
      <c r="BG1078" s="60"/>
      <c r="BI1078" s="67"/>
      <c r="BJ1078" s="65"/>
      <c r="BK1078" s="65"/>
      <c r="BL1078" s="65"/>
      <c r="BM1078" s="67"/>
      <c r="BN1078" s="68"/>
      <c r="BO1078" s="65"/>
      <c r="BP1078" s="67"/>
      <c r="BQ1078" s="65"/>
      <c r="BR1078" s="67"/>
      <c r="BS1078" s="65"/>
      <c r="BT1078" s="65"/>
      <c r="BU1078" s="65"/>
      <c r="BV1078" s="67"/>
      <c r="BW1078" s="68"/>
      <c r="BX1078" s="65"/>
      <c r="BY1078" s="67"/>
    </row>
    <row r="1079" spans="47:77" x14ac:dyDescent="0.25">
      <c r="AU1079" s="53"/>
      <c r="AX1079" s="56"/>
      <c r="AY1079" s="379"/>
      <c r="AZ1079" s="65"/>
      <c r="BA1079" s="65"/>
      <c r="BB1079" s="65"/>
      <c r="BC1079" s="60"/>
      <c r="BD1079" s="65"/>
      <c r="BE1079" s="65"/>
      <c r="BF1079" s="65"/>
      <c r="BG1079" s="60"/>
      <c r="BI1079" s="65"/>
      <c r="BJ1079" s="65"/>
      <c r="BK1079" s="65"/>
      <c r="BL1079" s="65"/>
      <c r="BM1079" s="65"/>
      <c r="BN1079" s="68"/>
      <c r="BO1079" s="65"/>
      <c r="BP1079" s="65"/>
      <c r="BQ1079" s="65"/>
      <c r="BR1079" s="65"/>
      <c r="BS1079" s="65"/>
      <c r="BT1079" s="65"/>
      <c r="BU1079" s="65"/>
      <c r="BV1079" s="65"/>
      <c r="BW1079" s="68"/>
      <c r="BX1079" s="65"/>
      <c r="BY1079" s="65"/>
    </row>
    <row r="1080" spans="47:77" x14ac:dyDescent="0.25">
      <c r="AU1080" s="53"/>
      <c r="AX1080" s="56"/>
      <c r="AY1080" s="379"/>
      <c r="AZ1080" s="65"/>
      <c r="BA1080" s="65"/>
      <c r="BB1080" s="65"/>
      <c r="BC1080" s="60"/>
      <c r="BD1080" s="65"/>
      <c r="BE1080" s="65"/>
      <c r="BF1080" s="65"/>
      <c r="BG1080" s="60"/>
      <c r="BI1080" s="65"/>
      <c r="BJ1080" s="65"/>
      <c r="BK1080" s="65"/>
      <c r="BL1080" s="65"/>
      <c r="BM1080" s="65"/>
      <c r="BN1080" s="68"/>
      <c r="BO1080" s="65"/>
      <c r="BP1080" s="65"/>
      <c r="BQ1080" s="65"/>
      <c r="BR1080" s="65"/>
      <c r="BS1080" s="65"/>
      <c r="BT1080" s="65"/>
      <c r="BU1080" s="65"/>
      <c r="BV1080" s="65"/>
      <c r="BW1080" s="68"/>
      <c r="BX1080" s="65"/>
      <c r="BY1080" s="65"/>
    </row>
    <row r="1081" spans="47:77" x14ac:dyDescent="0.25">
      <c r="AU1081" s="53"/>
      <c r="AX1081" s="56"/>
      <c r="AY1081" s="379"/>
      <c r="AZ1081" s="65"/>
      <c r="BA1081" s="65"/>
      <c r="BB1081" s="65"/>
      <c r="BC1081" s="60"/>
      <c r="BD1081" s="65"/>
      <c r="BE1081" s="65"/>
      <c r="BF1081" s="65"/>
      <c r="BG1081" s="60"/>
      <c r="BI1081" s="65"/>
      <c r="BJ1081" s="65"/>
      <c r="BK1081" s="65"/>
      <c r="BL1081" s="65"/>
      <c r="BM1081" s="65"/>
      <c r="BN1081" s="68"/>
      <c r="BO1081" s="65"/>
      <c r="BP1081" s="65"/>
      <c r="BQ1081" s="65"/>
      <c r="BR1081" s="65"/>
      <c r="BS1081" s="65"/>
      <c r="BT1081" s="65"/>
      <c r="BU1081" s="65"/>
      <c r="BV1081" s="65"/>
      <c r="BW1081" s="68"/>
      <c r="BX1081" s="65"/>
      <c r="BY1081" s="65"/>
    </row>
    <row r="1082" spans="47:77" x14ac:dyDescent="0.25">
      <c r="AZ1082" s="65"/>
      <c r="BA1082" s="65"/>
      <c r="BB1082" s="65"/>
      <c r="BC1082" s="60"/>
      <c r="BD1082" s="65"/>
      <c r="BE1082" s="65"/>
      <c r="BF1082" s="65"/>
      <c r="BG1082" s="60"/>
      <c r="BI1082" s="65"/>
      <c r="BJ1082" s="65"/>
      <c r="BK1082" s="65"/>
      <c r="BL1082" s="65"/>
      <c r="BM1082" s="65"/>
      <c r="BN1082" s="65"/>
      <c r="BO1082" s="65"/>
      <c r="BP1082" s="65"/>
      <c r="BQ1082" s="65"/>
      <c r="BR1082" s="65"/>
      <c r="BS1082" s="65"/>
      <c r="BT1082" s="65"/>
      <c r="BU1082" s="65"/>
      <c r="BV1082" s="65"/>
      <c r="BW1082" s="65"/>
      <c r="BX1082" s="65"/>
    </row>
    <row r="1083" spans="47:77" x14ac:dyDescent="0.25">
      <c r="AW1083" s="54"/>
    </row>
    <row r="1084" spans="47:77" x14ac:dyDescent="0.25">
      <c r="AW1084" s="54"/>
      <c r="BB1084" s="65"/>
      <c r="BC1084" s="60"/>
      <c r="BD1084" s="65"/>
      <c r="BE1084" s="65"/>
      <c r="BF1084" s="65"/>
      <c r="BG1084" s="60"/>
      <c r="BI1084" s="65"/>
      <c r="BJ1084" s="65"/>
      <c r="BK1084" s="65"/>
      <c r="BL1084" s="65"/>
      <c r="BM1084" s="65"/>
      <c r="BN1084" s="65"/>
      <c r="BO1084" s="65"/>
      <c r="BP1084" s="65"/>
      <c r="BQ1084" s="65"/>
      <c r="BR1084" s="65"/>
      <c r="BS1084" s="65"/>
      <c r="BT1084" s="65"/>
      <c r="BU1084" s="65"/>
      <c r="BV1084" s="65"/>
      <c r="BW1084" s="65"/>
      <c r="BX1084" s="65"/>
    </row>
    <row r="1085" spans="47:77" x14ac:dyDescent="0.25">
      <c r="AU1085" s="54"/>
      <c r="BB1085" s="65"/>
      <c r="BD1085" s="65"/>
    </row>
    <row r="1086" spans="47:77" x14ac:dyDescent="0.25">
      <c r="BA1086" s="53"/>
      <c r="BB1086" s="65"/>
      <c r="BD1086" s="65"/>
      <c r="BQ1086" s="65"/>
      <c r="BR1086" s="65"/>
      <c r="BS1086" s="65"/>
      <c r="BT1086" s="65"/>
      <c r="BU1086" s="65"/>
      <c r="BV1086" s="65"/>
      <c r="BW1086" s="65"/>
      <c r="BX1086" s="65"/>
    </row>
    <row r="1087" spans="47:77" x14ac:dyDescent="0.25">
      <c r="BA1087" s="65"/>
      <c r="BB1087" s="65"/>
      <c r="BD1087" s="65"/>
      <c r="BQ1087" s="65"/>
      <c r="BR1087" s="65"/>
      <c r="BS1087" s="65"/>
      <c r="BT1087" s="65"/>
      <c r="BU1087" s="65"/>
      <c r="BV1087" s="65"/>
      <c r="BW1087" s="65"/>
      <c r="BX1087" s="65"/>
    </row>
    <row r="1088" spans="47:77" x14ac:dyDescent="0.25">
      <c r="BA1088" s="54"/>
      <c r="BB1088" s="65"/>
      <c r="BD1088" s="65"/>
      <c r="BQ1088" s="65"/>
      <c r="BR1088" s="65"/>
      <c r="BS1088" s="65"/>
      <c r="BT1088" s="65"/>
      <c r="BU1088" s="65"/>
      <c r="BV1088" s="65"/>
      <c r="BW1088" s="65"/>
      <c r="BX1088" s="65"/>
    </row>
    <row r="1089" spans="47:76" x14ac:dyDescent="0.25">
      <c r="BA1089" s="54"/>
      <c r="BB1089" s="65"/>
      <c r="BD1089" s="65"/>
      <c r="BQ1089" s="65"/>
      <c r="BR1089" s="65"/>
      <c r="BS1089" s="65"/>
      <c r="BT1089" s="65"/>
      <c r="BU1089" s="65"/>
      <c r="BV1089" s="65"/>
      <c r="BW1089" s="65"/>
      <c r="BX1089" s="65"/>
    </row>
    <row r="1090" spans="47:76" x14ac:dyDescent="0.25">
      <c r="AU1090" s="53"/>
      <c r="BB1090" s="65"/>
      <c r="BD1090" s="65"/>
      <c r="BF1090" s="54"/>
      <c r="BQ1090" s="65"/>
      <c r="BR1090" s="65"/>
      <c r="BS1090" s="65"/>
      <c r="BT1090" s="65"/>
      <c r="BU1090" s="65"/>
      <c r="BV1090" s="65"/>
      <c r="BW1090" s="65"/>
      <c r="BX1090" s="65"/>
    </row>
    <row r="1091" spans="47:76" x14ac:dyDescent="0.25">
      <c r="AU1091" s="53"/>
      <c r="BB1091" s="65"/>
      <c r="BD1091" s="65"/>
      <c r="BF1091" s="54"/>
      <c r="BQ1091" s="65"/>
      <c r="BR1091" s="65"/>
      <c r="BS1091" s="65"/>
      <c r="BT1091" s="65"/>
      <c r="BU1091" s="65"/>
      <c r="BV1091" s="65"/>
      <c r="BW1091" s="65"/>
      <c r="BX1091" s="65"/>
    </row>
    <row r="1092" spans="47:76" x14ac:dyDescent="0.25">
      <c r="AU1092" s="54"/>
      <c r="BB1092" s="65"/>
      <c r="BD1092" s="65"/>
      <c r="BF1092" s="54"/>
      <c r="BQ1092" s="65"/>
      <c r="BR1092" s="65"/>
      <c r="BS1092" s="65"/>
      <c r="BT1092" s="65"/>
      <c r="BU1092" s="65"/>
      <c r="BV1092" s="65"/>
      <c r="BW1092" s="65"/>
      <c r="BX1092" s="65"/>
    </row>
    <row r="1093" spans="47:76" x14ac:dyDescent="0.25">
      <c r="BB1093" s="65"/>
      <c r="BD1093" s="65"/>
      <c r="BF1093" s="53"/>
      <c r="BQ1093" s="65"/>
      <c r="BR1093" s="65"/>
      <c r="BS1093" s="65"/>
      <c r="BT1093" s="65"/>
      <c r="BU1093" s="65"/>
      <c r="BV1093" s="65"/>
      <c r="BW1093" s="65"/>
      <c r="BX1093" s="65"/>
    </row>
    <row r="1094" spans="47:76" x14ac:dyDescent="0.25">
      <c r="AU1094" s="55"/>
      <c r="AV1094" s="55"/>
      <c r="AW1094" s="55"/>
      <c r="AX1094" s="55"/>
      <c r="AY1094" s="55"/>
      <c r="AZ1094" s="55"/>
      <c r="BA1094" s="55"/>
      <c r="BB1094" s="66"/>
      <c r="BC1094" s="55"/>
      <c r="BD1094" s="66"/>
      <c r="BE1094" s="55"/>
      <c r="BF1094" s="55"/>
      <c r="BG1094" s="55"/>
      <c r="BQ1094" s="65"/>
      <c r="BR1094" s="65"/>
      <c r="BS1094" s="65"/>
      <c r="BT1094" s="65"/>
      <c r="BU1094" s="65"/>
      <c r="BV1094" s="65"/>
      <c r="BW1094" s="65"/>
      <c r="BX1094" s="65"/>
    </row>
    <row r="1095" spans="47:76" x14ac:dyDescent="0.25">
      <c r="AZ1095" s="54"/>
      <c r="BB1095" s="65"/>
      <c r="BD1095" s="65"/>
      <c r="BQ1095" s="65"/>
      <c r="BR1095" s="65"/>
      <c r="BS1095" s="65"/>
      <c r="BT1095" s="65"/>
      <c r="BU1095" s="65"/>
      <c r="BV1095" s="65"/>
      <c r="BW1095" s="65"/>
      <c r="BX1095" s="65"/>
    </row>
    <row r="1096" spans="47:76" x14ac:dyDescent="0.25">
      <c r="AZ1096" s="55"/>
      <c r="BA1096" s="55"/>
      <c r="BB1096" s="66"/>
      <c r="BC1096" s="55"/>
      <c r="BD1096" s="65"/>
      <c r="BE1096" s="56"/>
      <c r="BF1096" s="56"/>
      <c r="BQ1096" s="65"/>
      <c r="BR1096" s="65"/>
      <c r="BS1096" s="65"/>
      <c r="BT1096" s="65"/>
      <c r="BU1096" s="65"/>
      <c r="BV1096" s="65"/>
      <c r="BW1096" s="65"/>
      <c r="BX1096" s="65"/>
    </row>
    <row r="1097" spans="47:76" x14ac:dyDescent="0.25">
      <c r="AX1097" s="56"/>
      <c r="AY1097" s="56"/>
      <c r="BB1097" s="67"/>
      <c r="BC1097" s="56"/>
      <c r="BD1097" s="65"/>
      <c r="BE1097" s="56"/>
      <c r="BF1097" s="56"/>
      <c r="BG1097" s="56"/>
      <c r="BI1097" s="55"/>
      <c r="BJ1097" s="54"/>
      <c r="BM1097" s="55"/>
      <c r="BO1097" s="55"/>
      <c r="BP1097" s="54"/>
      <c r="BS1097" s="55"/>
    </row>
    <row r="1098" spans="47:76" x14ac:dyDescent="0.25">
      <c r="AX1098" s="56"/>
      <c r="AY1098" s="56"/>
      <c r="AZ1098" s="56"/>
      <c r="BA1098" s="56"/>
      <c r="BB1098" s="67"/>
      <c r="BC1098" s="56"/>
      <c r="BD1098" s="67"/>
      <c r="BE1098" s="56"/>
      <c r="BF1098" s="56"/>
      <c r="BG1098" s="56"/>
      <c r="BJ1098" s="56"/>
      <c r="BK1098" s="56"/>
      <c r="BP1098" s="56"/>
      <c r="BQ1098" s="56"/>
    </row>
    <row r="1099" spans="47:76" x14ac:dyDescent="0.25">
      <c r="AU1099" s="56"/>
      <c r="AW1099" s="54"/>
      <c r="AX1099" s="56"/>
      <c r="AY1099" s="56"/>
      <c r="AZ1099" s="56"/>
      <c r="BA1099" s="56"/>
      <c r="BB1099" s="67"/>
      <c r="BC1099" s="56"/>
      <c r="BD1099" s="67"/>
      <c r="BE1099" s="56"/>
      <c r="BF1099" s="56"/>
      <c r="BG1099" s="56"/>
      <c r="BI1099" s="56"/>
      <c r="BJ1099" s="56"/>
      <c r="BK1099" s="56"/>
      <c r="BL1099" s="56"/>
      <c r="BM1099" s="56"/>
      <c r="BO1099" s="56"/>
      <c r="BP1099" s="56"/>
      <c r="BQ1099" s="56"/>
      <c r="BR1099" s="56"/>
      <c r="BS1099" s="56"/>
    </row>
    <row r="1100" spans="47:76" x14ac:dyDescent="0.25">
      <c r="AU1100" s="56"/>
      <c r="AW1100" s="54"/>
      <c r="AX1100" s="56"/>
      <c r="AY1100" s="56"/>
      <c r="AZ1100" s="56"/>
      <c r="BA1100" s="56"/>
      <c r="BB1100" s="67"/>
      <c r="BC1100" s="56"/>
      <c r="BD1100" s="67"/>
      <c r="BE1100" s="56"/>
      <c r="BF1100" s="56"/>
      <c r="BG1100" s="56"/>
      <c r="BI1100" s="56"/>
      <c r="BJ1100" s="56"/>
      <c r="BK1100" s="56"/>
      <c r="BL1100" s="56"/>
      <c r="BM1100" s="56"/>
      <c r="BO1100" s="56"/>
      <c r="BP1100" s="56"/>
      <c r="BQ1100" s="56"/>
      <c r="BR1100" s="56"/>
      <c r="BS1100" s="56"/>
    </row>
    <row r="1101" spans="47:76" x14ac:dyDescent="0.25">
      <c r="AU1101" s="55"/>
      <c r="AV1101" s="55"/>
      <c r="AW1101" s="55"/>
      <c r="AX1101" s="55"/>
      <c r="AY1101" s="55"/>
      <c r="AZ1101" s="55"/>
      <c r="BA1101" s="55"/>
      <c r="BB1101" s="66"/>
      <c r="BC1101" s="55"/>
      <c r="BD1101" s="66"/>
      <c r="BE1101" s="55"/>
      <c r="BF1101" s="55"/>
      <c r="BG1101" s="55"/>
      <c r="BI1101" s="55"/>
      <c r="BJ1101" s="55"/>
      <c r="BK1101" s="55"/>
      <c r="BL1101" s="55"/>
      <c r="BM1101" s="55"/>
      <c r="BO1101" s="55"/>
      <c r="BP1101" s="55"/>
      <c r="BQ1101" s="55"/>
      <c r="BR1101" s="55"/>
      <c r="BS1101" s="55"/>
    </row>
    <row r="1102" spans="47:76" x14ac:dyDescent="0.25">
      <c r="AX1102" s="56"/>
      <c r="AY1102" s="56"/>
      <c r="AZ1102" s="56"/>
      <c r="BA1102" s="56"/>
      <c r="BB1102" s="67"/>
      <c r="BC1102" s="56"/>
      <c r="BD1102" s="67"/>
      <c r="BE1102" s="56"/>
      <c r="BF1102" s="56"/>
      <c r="BG1102" s="56"/>
      <c r="BI1102" s="65"/>
      <c r="BJ1102" s="65"/>
      <c r="BK1102" s="65"/>
      <c r="BL1102" s="65"/>
      <c r="BM1102" s="65"/>
      <c r="BN1102" s="65"/>
      <c r="BO1102" s="65"/>
      <c r="BP1102" s="65"/>
      <c r="BQ1102" s="65"/>
      <c r="BR1102" s="65"/>
      <c r="BS1102" s="65"/>
    </row>
    <row r="1103" spans="47:76" x14ac:dyDescent="0.25">
      <c r="AU1103" s="53"/>
      <c r="AV1103" s="54"/>
      <c r="AX1103" s="379"/>
      <c r="AY1103" s="379"/>
      <c r="AZ1103" s="65"/>
      <c r="BA1103" s="65"/>
      <c r="BB1103" s="65"/>
      <c r="BC1103" s="60"/>
      <c r="BD1103" s="65"/>
      <c r="BE1103" s="65"/>
      <c r="BF1103" s="65"/>
      <c r="BG1103" s="60"/>
      <c r="BI1103" s="65"/>
      <c r="BJ1103" s="65"/>
      <c r="BK1103" s="65"/>
      <c r="BL1103" s="65"/>
      <c r="BM1103" s="65"/>
      <c r="BN1103" s="65"/>
      <c r="BO1103" s="65"/>
      <c r="BP1103" s="65"/>
      <c r="BQ1103" s="65"/>
      <c r="BR1103" s="65"/>
      <c r="BS1103" s="65"/>
      <c r="BT1103" s="65"/>
      <c r="BU1103" s="65"/>
    </row>
    <row r="1104" spans="47:76" x14ac:dyDescent="0.25">
      <c r="AU1104" s="53"/>
      <c r="AX1104" s="379"/>
      <c r="AY1104" s="379"/>
      <c r="AZ1104" s="65"/>
      <c r="BA1104" s="65"/>
      <c r="BB1104" s="65"/>
      <c r="BC1104" s="60"/>
      <c r="BD1104" s="65"/>
      <c r="BE1104" s="65"/>
      <c r="BF1104" s="65"/>
      <c r="BG1104" s="60"/>
      <c r="BI1104" s="65"/>
      <c r="BJ1104" s="65"/>
      <c r="BK1104" s="65"/>
      <c r="BL1104" s="65"/>
      <c r="BM1104" s="65"/>
      <c r="BN1104" s="65"/>
      <c r="BO1104" s="65"/>
      <c r="BP1104" s="65"/>
      <c r="BQ1104" s="65"/>
      <c r="BR1104" s="65"/>
      <c r="BS1104" s="65"/>
      <c r="BT1104" s="65"/>
      <c r="BU1104" s="65"/>
    </row>
    <row r="1105" spans="47:73" x14ac:dyDescent="0.25">
      <c r="AU1105" s="53"/>
      <c r="AX1105" s="379"/>
      <c r="AY1105" s="379"/>
      <c r="AZ1105" s="65"/>
      <c r="BA1105" s="65"/>
      <c r="BB1105" s="65"/>
      <c r="BC1105" s="60"/>
      <c r="BD1105" s="65"/>
      <c r="BE1105" s="65"/>
      <c r="BF1105" s="65"/>
      <c r="BG1105" s="60"/>
      <c r="BI1105" s="65"/>
      <c r="BJ1105" s="65"/>
      <c r="BK1105" s="65"/>
      <c r="BL1105" s="65"/>
      <c r="BM1105" s="65"/>
      <c r="BN1105" s="65"/>
      <c r="BO1105" s="65"/>
      <c r="BP1105" s="65"/>
      <c r="BQ1105" s="65"/>
      <c r="BR1105" s="65"/>
      <c r="BS1105" s="65"/>
      <c r="BT1105" s="65"/>
      <c r="BU1105" s="65"/>
    </row>
    <row r="1106" spans="47:73" x14ac:dyDescent="0.25">
      <c r="AU1106" s="53"/>
      <c r="AX1106" s="379"/>
      <c r="AY1106" s="379"/>
      <c r="AZ1106" s="65"/>
      <c r="BA1106" s="65"/>
      <c r="BB1106" s="65"/>
      <c r="BC1106" s="60"/>
      <c r="BD1106" s="65"/>
      <c r="BE1106" s="65"/>
      <c r="BF1106" s="65"/>
      <c r="BG1106" s="60"/>
      <c r="BI1106" s="65"/>
      <c r="BJ1106" s="65"/>
      <c r="BK1106" s="65"/>
      <c r="BL1106" s="65"/>
      <c r="BM1106" s="65"/>
      <c r="BN1106" s="65"/>
      <c r="BO1106" s="65"/>
      <c r="BP1106" s="65"/>
      <c r="BQ1106" s="65"/>
      <c r="BR1106" s="65"/>
      <c r="BS1106" s="65"/>
      <c r="BT1106" s="65"/>
      <c r="BU1106" s="65"/>
    </row>
    <row r="1107" spans="47:73" x14ac:dyDescent="0.25">
      <c r="AU1107" s="53"/>
      <c r="AX1107" s="379"/>
      <c r="AY1107" s="379"/>
      <c r="AZ1107" s="65"/>
      <c r="BA1107" s="65"/>
      <c r="BB1107" s="65"/>
      <c r="BC1107" s="60"/>
      <c r="BD1107" s="65"/>
      <c r="BE1107" s="65"/>
      <c r="BF1107" s="65"/>
      <c r="BG1107" s="60"/>
      <c r="BI1107" s="65"/>
      <c r="BJ1107" s="65"/>
      <c r="BK1107" s="65"/>
      <c r="BL1107" s="65"/>
      <c r="BM1107" s="65"/>
      <c r="BN1107" s="65"/>
      <c r="BO1107" s="65"/>
      <c r="BP1107" s="65"/>
      <c r="BQ1107" s="65"/>
      <c r="BR1107" s="65"/>
      <c r="BS1107" s="65"/>
      <c r="BT1107" s="65"/>
      <c r="BU1107" s="65"/>
    </row>
    <row r="1108" spans="47:73" x14ac:dyDescent="0.25">
      <c r="AU1108" s="53"/>
      <c r="AX1108" s="379"/>
      <c r="AY1108" s="379"/>
      <c r="AZ1108" s="65"/>
      <c r="BA1108" s="65"/>
      <c r="BB1108" s="65"/>
      <c r="BC1108" s="60"/>
      <c r="BD1108" s="65"/>
      <c r="BE1108" s="65"/>
      <c r="BF1108" s="65"/>
      <c r="BG1108" s="60"/>
      <c r="BI1108" s="65"/>
      <c r="BJ1108" s="65"/>
      <c r="BK1108" s="65"/>
      <c r="BL1108" s="65"/>
      <c r="BM1108" s="65"/>
      <c r="BN1108" s="65"/>
      <c r="BO1108" s="65"/>
      <c r="BP1108" s="65"/>
      <c r="BQ1108" s="65"/>
      <c r="BR1108" s="65"/>
      <c r="BS1108" s="65"/>
      <c r="BT1108" s="65"/>
      <c r="BU1108" s="65"/>
    </row>
    <row r="1109" spans="47:73" x14ac:dyDescent="0.25">
      <c r="AU1109" s="53"/>
      <c r="AX1109" s="379"/>
      <c r="AY1109" s="379"/>
      <c r="AZ1109" s="65"/>
      <c r="BA1109" s="65"/>
      <c r="BB1109" s="65"/>
      <c r="BC1109" s="60"/>
      <c r="BD1109" s="65"/>
      <c r="BE1109" s="65"/>
      <c r="BF1109" s="65"/>
      <c r="BG1109" s="60"/>
      <c r="BI1109" s="65"/>
      <c r="BJ1109" s="65"/>
      <c r="BK1109" s="65"/>
      <c r="BL1109" s="65"/>
      <c r="BM1109" s="65"/>
      <c r="BN1109" s="65"/>
      <c r="BO1109" s="65"/>
      <c r="BP1109" s="65"/>
      <c r="BQ1109" s="65"/>
      <c r="BR1109" s="65"/>
      <c r="BS1109" s="65"/>
      <c r="BT1109" s="65"/>
      <c r="BU1109" s="65"/>
    </row>
    <row r="1110" spans="47:73" x14ac:dyDescent="0.25">
      <c r="AU1110" s="53"/>
      <c r="AX1110" s="379"/>
      <c r="AY1110" s="379"/>
      <c r="AZ1110" s="65"/>
      <c r="BA1110" s="65"/>
      <c r="BB1110" s="65"/>
      <c r="BC1110" s="60"/>
      <c r="BD1110" s="65"/>
      <c r="BE1110" s="65"/>
      <c r="BF1110" s="65"/>
      <c r="BG1110" s="60"/>
      <c r="BI1110" s="65"/>
      <c r="BJ1110" s="65"/>
      <c r="BK1110" s="65"/>
      <c r="BL1110" s="65"/>
      <c r="BM1110" s="65"/>
      <c r="BN1110" s="65"/>
      <c r="BO1110" s="65"/>
      <c r="BP1110" s="65"/>
      <c r="BQ1110" s="65"/>
      <c r="BR1110" s="65"/>
      <c r="BS1110" s="65"/>
      <c r="BT1110" s="65"/>
      <c r="BU1110" s="65"/>
    </row>
    <row r="1111" spans="47:73" x14ac:dyDescent="0.25">
      <c r="AU1111" s="53"/>
      <c r="AX1111" s="379"/>
      <c r="AY1111" s="379"/>
      <c r="AZ1111" s="65"/>
      <c r="BA1111" s="65"/>
      <c r="BB1111" s="65"/>
      <c r="BC1111" s="60"/>
      <c r="BD1111" s="65"/>
      <c r="BE1111" s="65"/>
      <c r="BF1111" s="65"/>
      <c r="BG1111" s="60"/>
      <c r="BI1111" s="65"/>
      <c r="BJ1111" s="65"/>
      <c r="BK1111" s="65"/>
      <c r="BL1111" s="65"/>
      <c r="BM1111" s="65"/>
      <c r="BN1111" s="65"/>
      <c r="BO1111" s="65"/>
      <c r="BP1111" s="65"/>
      <c r="BQ1111" s="65"/>
      <c r="BR1111" s="65"/>
      <c r="BS1111" s="65"/>
      <c r="BT1111" s="65"/>
      <c r="BU1111" s="65"/>
    </row>
    <row r="1112" spans="47:73" x14ac:dyDescent="0.25">
      <c r="AU1112" s="53"/>
      <c r="AX1112" s="379"/>
      <c r="AY1112" s="379"/>
      <c r="AZ1112" s="65"/>
      <c r="BA1112" s="65"/>
      <c r="BB1112" s="65"/>
      <c r="BC1112" s="60"/>
      <c r="BD1112" s="65"/>
      <c r="BE1112" s="65"/>
      <c r="BF1112" s="65"/>
      <c r="BG1112" s="60"/>
      <c r="BI1112" s="65"/>
      <c r="BJ1112" s="65"/>
      <c r="BK1112" s="65"/>
      <c r="BL1112" s="65"/>
      <c r="BM1112" s="65"/>
      <c r="BN1112" s="65"/>
      <c r="BO1112" s="65"/>
      <c r="BP1112" s="65"/>
      <c r="BQ1112" s="65"/>
      <c r="BR1112" s="65"/>
      <c r="BS1112" s="65"/>
      <c r="BT1112" s="65"/>
      <c r="BU1112" s="65"/>
    </row>
    <row r="1113" spans="47:73" x14ac:dyDescent="0.25">
      <c r="AU1113" s="53"/>
      <c r="AX1113" s="379"/>
      <c r="AY1113" s="379"/>
      <c r="AZ1113" s="65"/>
      <c r="BA1113" s="65"/>
      <c r="BB1113" s="65"/>
      <c r="BC1113" s="60"/>
      <c r="BD1113" s="65"/>
      <c r="BE1113" s="65"/>
      <c r="BF1113" s="65"/>
      <c r="BG1113" s="60"/>
      <c r="BI1113" s="65"/>
      <c r="BJ1113" s="65"/>
      <c r="BK1113" s="65"/>
      <c r="BL1113" s="65"/>
      <c r="BM1113" s="65"/>
      <c r="BN1113" s="65"/>
      <c r="BO1113" s="65"/>
      <c r="BP1113" s="65"/>
      <c r="BQ1113" s="65"/>
      <c r="BR1113" s="65"/>
      <c r="BS1113" s="65"/>
      <c r="BT1113" s="65"/>
      <c r="BU1113" s="65"/>
    </row>
    <row r="1114" spans="47:73" x14ac:dyDescent="0.25">
      <c r="AU1114" s="53"/>
      <c r="AX1114" s="379"/>
      <c r="AY1114" s="379"/>
      <c r="AZ1114" s="65"/>
      <c r="BA1114" s="65"/>
      <c r="BB1114" s="65"/>
      <c r="BC1114" s="60"/>
      <c r="BD1114" s="65"/>
      <c r="BE1114" s="65"/>
      <c r="BF1114" s="65"/>
      <c r="BG1114" s="60"/>
      <c r="BI1114" s="65"/>
      <c r="BJ1114" s="65"/>
      <c r="BK1114" s="65"/>
      <c r="BL1114" s="65"/>
      <c r="BM1114" s="65"/>
      <c r="BN1114" s="65"/>
      <c r="BO1114" s="65"/>
      <c r="BP1114" s="65"/>
      <c r="BQ1114" s="65"/>
      <c r="BR1114" s="65"/>
      <c r="BS1114" s="65"/>
      <c r="BT1114" s="65"/>
      <c r="BU1114" s="65"/>
    </row>
    <row r="1115" spans="47:73" x14ac:dyDescent="0.25">
      <c r="AU1115" s="53"/>
      <c r="AX1115" s="379"/>
      <c r="AY1115" s="379"/>
      <c r="AZ1115" s="65"/>
      <c r="BA1115" s="65"/>
      <c r="BB1115" s="65"/>
      <c r="BC1115" s="60"/>
      <c r="BD1115" s="65"/>
      <c r="BE1115" s="65"/>
      <c r="BF1115" s="65"/>
      <c r="BG1115" s="60"/>
      <c r="BI1115" s="65"/>
      <c r="BJ1115" s="65"/>
      <c r="BK1115" s="65"/>
      <c r="BL1115" s="65"/>
      <c r="BM1115" s="65"/>
      <c r="BN1115" s="65"/>
      <c r="BO1115" s="65"/>
      <c r="BP1115" s="65"/>
      <c r="BQ1115" s="65"/>
      <c r="BR1115" s="65"/>
      <c r="BS1115" s="65"/>
      <c r="BT1115" s="65"/>
      <c r="BU1115" s="65"/>
    </row>
    <row r="1116" spans="47:73" x14ac:dyDescent="0.25">
      <c r="AU1116" s="53"/>
      <c r="AX1116" s="379"/>
      <c r="AY1116" s="379"/>
      <c r="AZ1116" s="65"/>
      <c r="BA1116" s="65"/>
      <c r="BB1116" s="65"/>
      <c r="BC1116" s="60"/>
      <c r="BD1116" s="65"/>
      <c r="BE1116" s="65"/>
      <c r="BF1116" s="65"/>
      <c r="BG1116" s="60"/>
      <c r="BI1116" s="65"/>
      <c r="BJ1116" s="65"/>
      <c r="BK1116" s="65"/>
      <c r="BL1116" s="65"/>
      <c r="BM1116" s="65"/>
      <c r="BN1116" s="65"/>
      <c r="BO1116" s="65"/>
      <c r="BP1116" s="65"/>
      <c r="BQ1116" s="65"/>
      <c r="BR1116" s="65"/>
      <c r="BS1116" s="65"/>
      <c r="BT1116" s="65"/>
      <c r="BU1116" s="65"/>
    </row>
    <row r="1117" spans="47:73" x14ac:dyDescent="0.25">
      <c r="AU1117" s="53"/>
      <c r="AX1117" s="379"/>
      <c r="AY1117" s="379"/>
      <c r="AZ1117" s="65"/>
      <c r="BA1117" s="65"/>
      <c r="BB1117" s="65"/>
      <c r="BC1117" s="60"/>
      <c r="BD1117" s="65"/>
      <c r="BE1117" s="65"/>
      <c r="BF1117" s="65"/>
      <c r="BG1117" s="60"/>
      <c r="BI1117" s="65"/>
      <c r="BJ1117" s="65"/>
      <c r="BK1117" s="65"/>
      <c r="BL1117" s="65"/>
      <c r="BM1117" s="65"/>
      <c r="BN1117" s="65"/>
      <c r="BO1117" s="65"/>
      <c r="BP1117" s="65"/>
      <c r="BQ1117" s="65"/>
      <c r="BR1117" s="65"/>
      <c r="BS1117" s="65"/>
      <c r="BT1117" s="65"/>
      <c r="BU1117" s="65"/>
    </row>
    <row r="1118" spans="47:73" x14ac:dyDescent="0.25">
      <c r="AU1118" s="53"/>
      <c r="AX1118" s="379"/>
      <c r="AY1118" s="379"/>
      <c r="AZ1118" s="65"/>
      <c r="BA1118" s="65"/>
      <c r="BB1118" s="65"/>
      <c r="BC1118" s="60"/>
      <c r="BD1118" s="65"/>
      <c r="BE1118" s="65"/>
      <c r="BF1118" s="65"/>
      <c r="BG1118" s="60"/>
      <c r="BI1118" s="65"/>
      <c r="BJ1118" s="65"/>
      <c r="BK1118" s="65"/>
      <c r="BL1118" s="65"/>
      <c r="BM1118" s="65"/>
      <c r="BN1118" s="65"/>
      <c r="BO1118" s="65"/>
      <c r="BP1118" s="65"/>
      <c r="BQ1118" s="65"/>
      <c r="BR1118" s="65"/>
      <c r="BS1118" s="65"/>
      <c r="BT1118" s="65"/>
      <c r="BU1118" s="65"/>
    </row>
    <row r="1119" spans="47:73" x14ac:dyDescent="0.25">
      <c r="AU1119" s="53"/>
      <c r="AX1119" s="379"/>
      <c r="AY1119" s="379"/>
      <c r="AZ1119" s="65"/>
      <c r="BA1119" s="65"/>
      <c r="BB1119" s="65"/>
      <c r="BC1119" s="60"/>
      <c r="BD1119" s="65"/>
      <c r="BE1119" s="65"/>
      <c r="BF1119" s="65"/>
      <c r="BG1119" s="60"/>
      <c r="BI1119" s="65"/>
      <c r="BJ1119" s="65"/>
      <c r="BK1119" s="65"/>
      <c r="BL1119" s="65"/>
      <c r="BM1119" s="65"/>
      <c r="BN1119" s="65"/>
      <c r="BO1119" s="65"/>
      <c r="BP1119" s="65"/>
      <c r="BQ1119" s="65"/>
      <c r="BR1119" s="65"/>
      <c r="BS1119" s="65"/>
      <c r="BT1119" s="65"/>
      <c r="BU1119" s="65"/>
    </row>
    <row r="1120" spans="47:73" x14ac:dyDescent="0.25">
      <c r="AU1120" s="53"/>
      <c r="AX1120" s="379"/>
      <c r="AY1120" s="379"/>
      <c r="AZ1120" s="65"/>
      <c r="BA1120" s="65"/>
      <c r="BB1120" s="65"/>
      <c r="BC1120" s="60"/>
      <c r="BD1120" s="65"/>
      <c r="BE1120" s="65"/>
      <c r="BF1120" s="65"/>
      <c r="BG1120" s="60"/>
      <c r="BI1120" s="65"/>
      <c r="BJ1120" s="65"/>
      <c r="BK1120" s="65"/>
      <c r="BL1120" s="65"/>
      <c r="BM1120" s="65"/>
      <c r="BN1120" s="65"/>
      <c r="BO1120" s="65"/>
      <c r="BP1120" s="65"/>
      <c r="BQ1120" s="65"/>
      <c r="BR1120" s="65"/>
      <c r="BS1120" s="65"/>
      <c r="BT1120" s="65"/>
      <c r="BU1120" s="65"/>
    </row>
    <row r="1121" spans="47:73" x14ac:dyDescent="0.25">
      <c r="BB1121" s="65"/>
      <c r="BD1121" s="65"/>
      <c r="BE1121" s="65"/>
      <c r="BF1121" s="65"/>
      <c r="BI1121" s="65"/>
      <c r="BJ1121" s="65"/>
      <c r="BK1121" s="65"/>
      <c r="BL1121" s="65"/>
      <c r="BM1121" s="65"/>
      <c r="BN1121" s="65"/>
      <c r="BO1121" s="65"/>
      <c r="BP1121" s="65"/>
      <c r="BQ1121" s="65"/>
      <c r="BR1121" s="65"/>
      <c r="BS1121" s="65"/>
      <c r="BT1121" s="65"/>
      <c r="BU1121" s="65"/>
    </row>
    <row r="1122" spans="47:73" x14ac:dyDescent="0.25">
      <c r="AU1122" s="53"/>
      <c r="AV1122" s="54"/>
      <c r="AX1122" s="379"/>
      <c r="AY1122" s="379"/>
      <c r="AZ1122" s="65"/>
      <c r="BA1122" s="65"/>
      <c r="BB1122" s="65"/>
      <c r="BC1122" s="60"/>
      <c r="BD1122" s="65"/>
      <c r="BE1122" s="65"/>
      <c r="BF1122" s="65"/>
      <c r="BG1122" s="60"/>
    </row>
    <row r="1123" spans="47:73" x14ac:dyDescent="0.25">
      <c r="AU1123" s="53"/>
      <c r="AX1123" s="379"/>
      <c r="AY1123" s="379"/>
      <c r="AZ1123" s="65"/>
      <c r="BA1123" s="65"/>
      <c r="BB1123" s="65"/>
      <c r="BC1123" s="60"/>
      <c r="BD1123" s="65"/>
      <c r="BE1123" s="65"/>
      <c r="BF1123" s="65"/>
      <c r="BG1123" s="60"/>
    </row>
    <row r="1124" spans="47:73" x14ac:dyDescent="0.25">
      <c r="AU1124" s="53"/>
      <c r="AX1124" s="379"/>
      <c r="AY1124" s="379"/>
      <c r="AZ1124" s="65"/>
      <c r="BA1124" s="65"/>
      <c r="BB1124" s="65"/>
      <c r="BC1124" s="60"/>
      <c r="BD1124" s="65"/>
      <c r="BE1124" s="65"/>
      <c r="BF1124" s="65"/>
      <c r="BG1124" s="60"/>
    </row>
    <row r="1125" spans="47:73" x14ac:dyDescent="0.25">
      <c r="AU1125" s="53"/>
      <c r="AX1125" s="379"/>
      <c r="AY1125" s="379"/>
      <c r="AZ1125" s="65"/>
      <c r="BA1125" s="65"/>
      <c r="BB1125" s="65"/>
      <c r="BC1125" s="60"/>
      <c r="BD1125" s="65"/>
      <c r="BE1125" s="65"/>
      <c r="BF1125" s="65"/>
      <c r="BG1125" s="60"/>
    </row>
    <row r="1126" spans="47:73" x14ac:dyDescent="0.25">
      <c r="AU1126" s="53"/>
      <c r="AX1126" s="379"/>
      <c r="AY1126" s="379"/>
      <c r="AZ1126" s="65"/>
      <c r="BA1126" s="65"/>
      <c r="BB1126" s="65"/>
      <c r="BC1126" s="60"/>
      <c r="BD1126" s="65"/>
      <c r="BE1126" s="65"/>
      <c r="BF1126" s="65"/>
      <c r="BG1126" s="60"/>
    </row>
    <row r="1127" spans="47:73" x14ac:dyDescent="0.25">
      <c r="AU1127" s="53"/>
      <c r="AX1127" s="379"/>
      <c r="AY1127" s="379"/>
      <c r="AZ1127" s="65"/>
      <c r="BA1127" s="65"/>
      <c r="BB1127" s="65"/>
      <c r="BC1127" s="60"/>
      <c r="BD1127" s="65"/>
      <c r="BE1127" s="65"/>
      <c r="BF1127" s="65"/>
      <c r="BG1127" s="60"/>
    </row>
    <row r="1128" spans="47:73" x14ac:dyDescent="0.25">
      <c r="AU1128" s="53"/>
      <c r="AX1128" s="379"/>
      <c r="AY1128" s="379"/>
      <c r="AZ1128" s="65"/>
      <c r="BA1128" s="65"/>
      <c r="BB1128" s="65"/>
      <c r="BC1128" s="60"/>
      <c r="BD1128" s="65"/>
      <c r="BE1128" s="65"/>
      <c r="BF1128" s="65"/>
      <c r="BG1128" s="60"/>
    </row>
    <row r="1129" spans="47:73" x14ac:dyDescent="0.25">
      <c r="AU1129" s="53"/>
      <c r="AX1129" s="379"/>
      <c r="AY1129" s="379"/>
      <c r="AZ1129" s="65"/>
      <c r="BA1129" s="65"/>
      <c r="BB1129" s="65"/>
      <c r="BC1129" s="60"/>
      <c r="BD1129" s="65"/>
      <c r="BE1129" s="65"/>
      <c r="BF1129" s="65"/>
      <c r="BG1129" s="60"/>
    </row>
    <row r="1130" spans="47:73" x14ac:dyDescent="0.25">
      <c r="AU1130" s="53"/>
      <c r="AX1130" s="379"/>
      <c r="AY1130" s="379"/>
      <c r="AZ1130" s="65"/>
      <c r="BA1130" s="65"/>
      <c r="BB1130" s="65"/>
      <c r="BC1130" s="60"/>
      <c r="BD1130" s="65"/>
      <c r="BE1130" s="65"/>
      <c r="BF1130" s="65"/>
      <c r="BG1130" s="60"/>
    </row>
    <row r="1131" spans="47:73" x14ac:dyDescent="0.25">
      <c r="AU1131" s="53"/>
      <c r="AX1131" s="379"/>
      <c r="AY1131" s="379"/>
      <c r="AZ1131" s="65"/>
      <c r="BA1131" s="65"/>
      <c r="BB1131" s="65"/>
      <c r="BC1131" s="60"/>
      <c r="BD1131" s="65"/>
      <c r="BE1131" s="65"/>
      <c r="BF1131" s="65"/>
      <c r="BG1131" s="60"/>
    </row>
    <row r="1132" spans="47:73" x14ac:dyDescent="0.25">
      <c r="AU1132" s="53"/>
      <c r="AX1132" s="379"/>
      <c r="AY1132" s="379"/>
      <c r="AZ1132" s="65"/>
      <c r="BA1132" s="65"/>
      <c r="BB1132" s="65"/>
      <c r="BC1132" s="60"/>
      <c r="BD1132" s="65"/>
      <c r="BE1132" s="65"/>
      <c r="BF1132" s="65"/>
      <c r="BG1132" s="60"/>
    </row>
    <row r="1133" spans="47:73" x14ac:dyDescent="0.25">
      <c r="AU1133" s="53"/>
      <c r="AX1133" s="379"/>
      <c r="AY1133" s="379"/>
      <c r="AZ1133" s="65"/>
      <c r="BA1133" s="65"/>
      <c r="BB1133" s="65"/>
      <c r="BC1133" s="60"/>
      <c r="BD1133" s="65"/>
      <c r="BE1133" s="65"/>
      <c r="BF1133" s="65"/>
      <c r="BG1133" s="60"/>
    </row>
    <row r="1134" spans="47:73" x14ac:dyDescent="0.25">
      <c r="AU1134" s="53"/>
      <c r="AX1134" s="379"/>
      <c r="AY1134" s="379"/>
      <c r="AZ1134" s="65"/>
      <c r="BA1134" s="65"/>
      <c r="BB1134" s="65"/>
      <c r="BC1134" s="60"/>
      <c r="BD1134" s="65"/>
      <c r="BE1134" s="65"/>
      <c r="BF1134" s="65"/>
      <c r="BG1134" s="60"/>
    </row>
    <row r="1135" spans="47:73" x14ac:dyDescent="0.25">
      <c r="AU1135" s="53"/>
      <c r="AX1135" s="379"/>
      <c r="AY1135" s="379"/>
      <c r="AZ1135" s="65"/>
      <c r="BA1135" s="65"/>
      <c r="BB1135" s="65"/>
      <c r="BC1135" s="60"/>
      <c r="BD1135" s="65"/>
      <c r="BE1135" s="65"/>
      <c r="BF1135" s="65"/>
      <c r="BG1135" s="60"/>
    </row>
    <row r="1136" spans="47:73" x14ac:dyDescent="0.25">
      <c r="AU1136" s="53"/>
      <c r="AX1136" s="379"/>
      <c r="AY1136" s="379"/>
      <c r="AZ1136" s="65"/>
      <c r="BA1136" s="65"/>
      <c r="BB1136" s="65"/>
      <c r="BC1136" s="60"/>
      <c r="BD1136" s="65"/>
      <c r="BE1136" s="65"/>
      <c r="BF1136" s="65"/>
      <c r="BG1136" s="60"/>
    </row>
    <row r="1137" spans="47:59" x14ac:dyDescent="0.25">
      <c r="AU1137" s="53"/>
      <c r="AX1137" s="379"/>
      <c r="AY1137" s="379"/>
      <c r="AZ1137" s="65"/>
      <c r="BA1137" s="65"/>
      <c r="BB1137" s="65"/>
      <c r="BC1137" s="60"/>
      <c r="BD1137" s="65"/>
      <c r="BE1137" s="65"/>
      <c r="BF1137" s="65"/>
      <c r="BG1137" s="60"/>
    </row>
    <row r="1138" spans="47:59" x14ac:dyDescent="0.25">
      <c r="AU1138" s="53"/>
      <c r="AX1138" s="379"/>
      <c r="AY1138" s="379"/>
      <c r="AZ1138" s="65"/>
      <c r="BA1138" s="65"/>
      <c r="BB1138" s="65"/>
      <c r="BC1138" s="60"/>
      <c r="BD1138" s="65"/>
      <c r="BE1138" s="65"/>
      <c r="BF1138" s="65"/>
      <c r="BG1138" s="60"/>
    </row>
    <row r="1139" spans="47:59" x14ac:dyDescent="0.25">
      <c r="AU1139" s="53"/>
      <c r="AX1139" s="379"/>
      <c r="AY1139" s="379"/>
      <c r="AZ1139" s="65"/>
      <c r="BA1139" s="65"/>
      <c r="BB1139" s="65"/>
      <c r="BC1139" s="60"/>
      <c r="BD1139" s="65"/>
      <c r="BE1139" s="65"/>
      <c r="BF1139" s="65"/>
      <c r="BG1139" s="60"/>
    </row>
    <row r="1140" spans="47:59" x14ac:dyDescent="0.25">
      <c r="BD1140" s="65"/>
    </row>
    <row r="1141" spans="47:59" x14ac:dyDescent="0.25">
      <c r="AW1141" s="54"/>
      <c r="BD1141" s="65"/>
    </row>
    <row r="1142" spans="47:59" x14ac:dyDescent="0.25">
      <c r="AW1142" s="54"/>
    </row>
    <row r="1143" spans="47:59" x14ac:dyDescent="0.25">
      <c r="AW1143" s="54"/>
      <c r="BD1143" s="65"/>
    </row>
    <row r="1144" spans="47:59" x14ac:dyDescent="0.25">
      <c r="AU1144" s="54"/>
      <c r="BB1144" s="65"/>
      <c r="BD1144" s="65"/>
    </row>
    <row r="1145" spans="47:59" x14ac:dyDescent="0.25">
      <c r="BA1145" s="53"/>
      <c r="BB1145" s="65"/>
      <c r="BD1145" s="65"/>
    </row>
    <row r="1146" spans="47:59" x14ac:dyDescent="0.25">
      <c r="BA1146" s="65"/>
      <c r="BB1146" s="65"/>
      <c r="BD1146" s="65"/>
    </row>
    <row r="1147" spans="47:59" x14ac:dyDescent="0.25">
      <c r="BA1147" s="54"/>
      <c r="BB1147" s="65"/>
      <c r="BD1147" s="65"/>
    </row>
    <row r="1148" spans="47:59" x14ac:dyDescent="0.25">
      <c r="BA1148" s="54"/>
      <c r="BB1148" s="65"/>
      <c r="BD1148" s="65"/>
    </row>
    <row r="1149" spans="47:59" x14ac:dyDescent="0.25">
      <c r="AU1149" s="53"/>
      <c r="BB1149" s="65"/>
      <c r="BD1149" s="65"/>
      <c r="BF1149" s="54"/>
    </row>
    <row r="1150" spans="47:59" x14ac:dyDescent="0.25">
      <c r="AU1150" s="53"/>
      <c r="BB1150" s="65"/>
      <c r="BD1150" s="65"/>
      <c r="BF1150" s="54"/>
    </row>
    <row r="1151" spans="47:59" x14ac:dyDescent="0.25">
      <c r="AU1151" s="54"/>
      <c r="BB1151" s="65"/>
      <c r="BD1151" s="65"/>
      <c r="BF1151" s="54"/>
    </row>
    <row r="1152" spans="47:59" x14ac:dyDescent="0.25">
      <c r="BB1152" s="65"/>
      <c r="BD1152" s="65"/>
      <c r="BF1152" s="53"/>
    </row>
    <row r="1153" spans="47:59" x14ac:dyDescent="0.25">
      <c r="AU1153" s="55"/>
      <c r="AV1153" s="55"/>
      <c r="AW1153" s="55"/>
      <c r="AX1153" s="55"/>
      <c r="AY1153" s="55"/>
      <c r="AZ1153" s="55"/>
      <c r="BA1153" s="55"/>
      <c r="BB1153" s="66"/>
      <c r="BC1153" s="55"/>
      <c r="BD1153" s="66"/>
      <c r="BE1153" s="55"/>
      <c r="BF1153" s="55"/>
      <c r="BG1153" s="55"/>
    </row>
    <row r="1154" spans="47:59" x14ac:dyDescent="0.25">
      <c r="AZ1154" s="54"/>
      <c r="BB1154" s="65"/>
      <c r="BD1154" s="65"/>
    </row>
    <row r="1155" spans="47:59" x14ac:dyDescent="0.25">
      <c r="AZ1155" s="55"/>
      <c r="BA1155" s="55"/>
      <c r="BB1155" s="66"/>
      <c r="BC1155" s="55"/>
      <c r="BD1155" s="65"/>
      <c r="BE1155" s="56"/>
      <c r="BF1155" s="56"/>
    </row>
    <row r="1156" spans="47:59" x14ac:dyDescent="0.25">
      <c r="AX1156" s="56"/>
      <c r="AY1156" s="56"/>
      <c r="BB1156" s="67"/>
      <c r="BC1156" s="56"/>
      <c r="BD1156" s="65"/>
      <c r="BE1156" s="56"/>
      <c r="BF1156" s="56"/>
      <c r="BG1156" s="56"/>
    </row>
    <row r="1157" spans="47:59" x14ac:dyDescent="0.25">
      <c r="AX1157" s="56"/>
      <c r="AY1157" s="56"/>
      <c r="AZ1157" s="56"/>
      <c r="BA1157" s="56"/>
      <c r="BB1157" s="67"/>
      <c r="BC1157" s="56"/>
      <c r="BD1157" s="67"/>
      <c r="BE1157" s="56"/>
      <c r="BF1157" s="56"/>
      <c r="BG1157" s="56"/>
    </row>
    <row r="1158" spans="47:59" x14ac:dyDescent="0.25">
      <c r="AU1158" s="56"/>
      <c r="AW1158" s="54"/>
      <c r="AX1158" s="56"/>
      <c r="AY1158" s="56"/>
      <c r="AZ1158" s="56"/>
      <c r="BA1158" s="56"/>
      <c r="BB1158" s="67"/>
      <c r="BC1158" s="56"/>
      <c r="BD1158" s="67"/>
      <c r="BE1158" s="56"/>
      <c r="BF1158" s="56"/>
      <c r="BG1158" s="56"/>
    </row>
    <row r="1159" spans="47:59" x14ac:dyDescent="0.25">
      <c r="AU1159" s="56"/>
      <c r="AW1159" s="54"/>
      <c r="AX1159" s="56"/>
      <c r="AY1159" s="56"/>
      <c r="AZ1159" s="56"/>
      <c r="BA1159" s="56"/>
      <c r="BB1159" s="67"/>
      <c r="BC1159" s="56"/>
      <c r="BD1159" s="67"/>
      <c r="BE1159" s="56"/>
      <c r="BF1159" s="56"/>
      <c r="BG1159" s="56"/>
    </row>
    <row r="1160" spans="47:59" x14ac:dyDescent="0.25">
      <c r="AU1160" s="55"/>
      <c r="AV1160" s="55"/>
      <c r="AW1160" s="55"/>
      <c r="AX1160" s="55"/>
      <c r="AY1160" s="55"/>
      <c r="AZ1160" s="55"/>
      <c r="BA1160" s="55"/>
      <c r="BB1160" s="66"/>
      <c r="BC1160" s="55"/>
      <c r="BD1160" s="66"/>
      <c r="BE1160" s="55"/>
      <c r="BF1160" s="55"/>
      <c r="BG1160" s="55"/>
    </row>
    <row r="1161" spans="47:59" x14ac:dyDescent="0.25">
      <c r="AX1161" s="56"/>
      <c r="AY1161" s="56"/>
      <c r="AZ1161" s="56"/>
      <c r="BA1161" s="56"/>
      <c r="BB1161" s="67"/>
      <c r="BC1161" s="56"/>
      <c r="BD1161" s="67"/>
      <c r="BE1161" s="56"/>
      <c r="BF1161" s="56"/>
      <c r="BG1161" s="56"/>
    </row>
    <row r="1162" spans="47:59" x14ac:dyDescent="0.25">
      <c r="AU1162" s="53"/>
      <c r="AV1162" s="54"/>
      <c r="AX1162" s="379"/>
      <c r="AY1162" s="379"/>
      <c r="AZ1162" s="65"/>
      <c r="BA1162" s="65"/>
      <c r="BB1162" s="65"/>
      <c r="BC1162" s="60"/>
      <c r="BD1162" s="65"/>
      <c r="BE1162" s="65"/>
      <c r="BF1162" s="65"/>
      <c r="BG1162" s="60"/>
    </row>
    <row r="1163" spans="47:59" x14ac:dyDescent="0.25">
      <c r="AU1163" s="53"/>
      <c r="AX1163" s="379"/>
      <c r="AY1163" s="379"/>
      <c r="AZ1163" s="65"/>
      <c r="BA1163" s="65"/>
      <c r="BB1163" s="65"/>
      <c r="BC1163" s="60"/>
      <c r="BD1163" s="65"/>
      <c r="BE1163" s="65"/>
      <c r="BF1163" s="65"/>
      <c r="BG1163" s="60"/>
    </row>
    <row r="1164" spans="47:59" x14ac:dyDescent="0.25">
      <c r="AU1164" s="53"/>
      <c r="AX1164" s="379"/>
      <c r="AY1164" s="379"/>
      <c r="AZ1164" s="65"/>
      <c r="BA1164" s="65"/>
      <c r="BB1164" s="65"/>
      <c r="BC1164" s="60"/>
      <c r="BD1164" s="65"/>
      <c r="BE1164" s="65"/>
      <c r="BF1164" s="65"/>
      <c r="BG1164" s="60"/>
    </row>
    <row r="1165" spans="47:59" x14ac:dyDescent="0.25">
      <c r="AU1165" s="53"/>
      <c r="AX1165" s="379"/>
      <c r="AY1165" s="379"/>
      <c r="AZ1165" s="65"/>
      <c r="BA1165" s="65"/>
      <c r="BB1165" s="65"/>
      <c r="BC1165" s="60"/>
      <c r="BD1165" s="65"/>
      <c r="BE1165" s="65"/>
      <c r="BF1165" s="65"/>
      <c r="BG1165" s="60"/>
    </row>
    <row r="1166" spans="47:59" x14ac:dyDescent="0.25">
      <c r="AU1166" s="53"/>
      <c r="AX1166" s="379"/>
      <c r="AY1166" s="379"/>
      <c r="AZ1166" s="65"/>
      <c r="BA1166" s="65"/>
      <c r="BB1166" s="65"/>
      <c r="BC1166" s="60"/>
      <c r="BD1166" s="65"/>
      <c r="BE1166" s="65"/>
      <c r="BF1166" s="65"/>
      <c r="BG1166" s="60"/>
    </row>
    <row r="1167" spans="47:59" x14ac:dyDescent="0.25">
      <c r="AU1167" s="53"/>
      <c r="AX1167" s="379"/>
      <c r="AY1167" s="379"/>
      <c r="AZ1167" s="65"/>
      <c r="BA1167" s="65"/>
      <c r="BB1167" s="65"/>
      <c r="BC1167" s="60"/>
      <c r="BD1167" s="65"/>
      <c r="BE1167" s="65"/>
      <c r="BF1167" s="65"/>
      <c r="BG1167" s="60"/>
    </row>
    <row r="1168" spans="47:59" x14ac:dyDescent="0.25">
      <c r="AU1168" s="53"/>
      <c r="AX1168" s="379"/>
      <c r="AY1168" s="379"/>
      <c r="AZ1168" s="65"/>
      <c r="BA1168" s="65"/>
      <c r="BB1168" s="65"/>
      <c r="BC1168" s="60"/>
      <c r="BD1168" s="65"/>
      <c r="BE1168" s="65"/>
      <c r="BF1168" s="65"/>
      <c r="BG1168" s="60"/>
    </row>
    <row r="1169" spans="47:59" x14ac:dyDescent="0.25">
      <c r="AU1169" s="53"/>
      <c r="AX1169" s="379"/>
      <c r="AY1169" s="379"/>
      <c r="AZ1169" s="65"/>
      <c r="BA1169" s="65"/>
      <c r="BB1169" s="65"/>
      <c r="BC1169" s="60"/>
      <c r="BD1169" s="65"/>
      <c r="BE1169" s="65"/>
      <c r="BF1169" s="65"/>
      <c r="BG1169" s="60"/>
    </row>
    <row r="1170" spans="47:59" x14ac:dyDescent="0.25">
      <c r="AU1170" s="53"/>
      <c r="AX1170" s="379"/>
      <c r="AY1170" s="379"/>
      <c r="AZ1170" s="65"/>
      <c r="BA1170" s="65"/>
      <c r="BB1170" s="65"/>
      <c r="BC1170" s="60"/>
      <c r="BD1170" s="65"/>
      <c r="BE1170" s="65"/>
      <c r="BF1170" s="65"/>
      <c r="BG1170" s="60"/>
    </row>
    <row r="1171" spans="47:59" x14ac:dyDescent="0.25">
      <c r="AU1171" s="53"/>
      <c r="AX1171" s="379"/>
      <c r="AY1171" s="379"/>
      <c r="AZ1171" s="65"/>
      <c r="BA1171" s="65"/>
      <c r="BB1171" s="65"/>
      <c r="BC1171" s="60"/>
      <c r="BD1171" s="65"/>
      <c r="BE1171" s="65"/>
      <c r="BF1171" s="65"/>
      <c r="BG1171" s="60"/>
    </row>
    <row r="1172" spans="47:59" x14ac:dyDescent="0.25">
      <c r="AX1172" s="379"/>
      <c r="AY1172" s="379"/>
      <c r="BD1172" s="65"/>
    </row>
    <row r="1173" spans="47:59" x14ac:dyDescent="0.25">
      <c r="AU1173" s="53"/>
      <c r="AV1173" s="54"/>
      <c r="AX1173" s="379"/>
      <c r="AY1173" s="379"/>
      <c r="AZ1173" s="65"/>
      <c r="BA1173" s="65"/>
      <c r="BB1173" s="65"/>
      <c r="BC1173" s="60"/>
      <c r="BD1173" s="65"/>
      <c r="BE1173" s="65"/>
      <c r="BF1173" s="65"/>
      <c r="BG1173" s="60"/>
    </row>
    <row r="1174" spans="47:59" x14ac:dyDescent="0.25">
      <c r="AU1174" s="53"/>
      <c r="AX1174" s="379"/>
      <c r="AY1174" s="379"/>
      <c r="AZ1174" s="65"/>
      <c r="BA1174" s="65"/>
      <c r="BB1174" s="65"/>
      <c r="BC1174" s="60"/>
      <c r="BD1174" s="65"/>
      <c r="BE1174" s="65"/>
      <c r="BF1174" s="65"/>
      <c r="BG1174" s="60"/>
    </row>
    <row r="1175" spans="47:59" x14ac:dyDescent="0.25">
      <c r="AU1175" s="53"/>
      <c r="AX1175" s="379"/>
      <c r="AY1175" s="379"/>
      <c r="AZ1175" s="65"/>
      <c r="BA1175" s="65"/>
      <c r="BB1175" s="65"/>
      <c r="BC1175" s="60"/>
      <c r="BD1175" s="65"/>
      <c r="BE1175" s="65"/>
      <c r="BF1175" s="65"/>
      <c r="BG1175" s="60"/>
    </row>
    <row r="1176" spans="47:59" x14ac:dyDescent="0.25">
      <c r="AU1176" s="53"/>
      <c r="AX1176" s="379"/>
      <c r="AY1176" s="379"/>
      <c r="AZ1176" s="65"/>
      <c r="BA1176" s="65"/>
      <c r="BB1176" s="65"/>
      <c r="BC1176" s="60"/>
      <c r="BD1176" s="65"/>
      <c r="BE1176" s="65"/>
      <c r="BF1176" s="65"/>
      <c r="BG1176" s="60"/>
    </row>
    <row r="1177" spans="47:59" x14ac:dyDescent="0.25">
      <c r="AU1177" s="53"/>
      <c r="AX1177" s="379"/>
      <c r="AY1177" s="379"/>
      <c r="AZ1177" s="65"/>
      <c r="BA1177" s="65"/>
      <c r="BB1177" s="65"/>
      <c r="BC1177" s="60"/>
      <c r="BD1177" s="65"/>
      <c r="BE1177" s="65"/>
      <c r="BF1177" s="65"/>
      <c r="BG1177" s="60"/>
    </row>
    <row r="1178" spans="47:59" x14ac:dyDescent="0.25">
      <c r="AU1178" s="53"/>
      <c r="AX1178" s="379"/>
      <c r="AY1178" s="379"/>
      <c r="AZ1178" s="65"/>
      <c r="BA1178" s="65"/>
      <c r="BB1178" s="65"/>
      <c r="BC1178" s="60"/>
      <c r="BD1178" s="65"/>
      <c r="BE1178" s="65"/>
      <c r="BF1178" s="65"/>
      <c r="BG1178" s="60"/>
    </row>
    <row r="1179" spans="47:59" x14ac:dyDescent="0.25">
      <c r="AU1179" s="53"/>
      <c r="AX1179" s="379"/>
      <c r="AY1179" s="379"/>
      <c r="AZ1179" s="65"/>
      <c r="BA1179" s="65"/>
      <c r="BB1179" s="65"/>
      <c r="BC1179" s="60"/>
      <c r="BD1179" s="65"/>
      <c r="BE1179" s="65"/>
      <c r="BF1179" s="65"/>
      <c r="BG1179" s="60"/>
    </row>
    <row r="1180" spans="47:59" x14ac:dyDescent="0.25">
      <c r="AU1180" s="53"/>
      <c r="AX1180" s="379"/>
      <c r="AY1180" s="379"/>
      <c r="AZ1180" s="65"/>
      <c r="BA1180" s="65"/>
      <c r="BB1180" s="65"/>
      <c r="BC1180" s="60"/>
      <c r="BD1180" s="65"/>
      <c r="BE1180" s="65"/>
      <c r="BF1180" s="65"/>
      <c r="BG1180" s="60"/>
    </row>
    <row r="1181" spans="47:59" x14ac:dyDescent="0.25">
      <c r="AU1181" s="53"/>
      <c r="AX1181" s="379"/>
      <c r="AY1181" s="379"/>
      <c r="AZ1181" s="65"/>
      <c r="BA1181" s="65"/>
      <c r="BB1181" s="65"/>
      <c r="BC1181" s="60"/>
      <c r="BD1181" s="65"/>
      <c r="BE1181" s="65"/>
      <c r="BF1181" s="65"/>
      <c r="BG1181" s="60"/>
    </row>
    <row r="1182" spans="47:59" x14ac:dyDescent="0.25">
      <c r="AU1182" s="53"/>
      <c r="AX1182" s="379"/>
      <c r="AY1182" s="379"/>
      <c r="AZ1182" s="65"/>
      <c r="BA1182" s="65"/>
      <c r="BB1182" s="65"/>
      <c r="BC1182" s="60"/>
      <c r="BD1182" s="65"/>
      <c r="BE1182" s="65"/>
      <c r="BF1182" s="65"/>
      <c r="BG1182" s="60"/>
    </row>
    <row r="1184" spans="47:59" x14ac:dyDescent="0.25">
      <c r="AW1184" s="54"/>
    </row>
    <row r="1185" spans="47:49" x14ac:dyDescent="0.25">
      <c r="AW1185" s="54"/>
    </row>
    <row r="1186" spans="47:49" x14ac:dyDescent="0.25">
      <c r="AW1186" s="54"/>
    </row>
    <row r="1187" spans="47:49" x14ac:dyDescent="0.25">
      <c r="AU1187" s="54"/>
    </row>
    <row r="1208" spans="54:73" x14ac:dyDescent="0.25">
      <c r="BB1208" s="65"/>
      <c r="BD1208" s="65"/>
      <c r="BE1208" s="65"/>
      <c r="BF1208" s="65"/>
      <c r="BI1208" s="65"/>
      <c r="BJ1208" s="65"/>
      <c r="BK1208" s="65"/>
      <c r="BL1208" s="65"/>
      <c r="BM1208" s="65"/>
      <c r="BN1208" s="65"/>
      <c r="BO1208" s="65"/>
      <c r="BP1208" s="65"/>
      <c r="BQ1208" s="65"/>
      <c r="BR1208" s="65"/>
      <c r="BS1208" s="65"/>
      <c r="BT1208" s="65"/>
      <c r="BU1208" s="65"/>
    </row>
    <row r="1209" spans="54:73" x14ac:dyDescent="0.25">
      <c r="BB1209" s="65"/>
      <c r="BD1209" s="65"/>
      <c r="BE1209" s="65"/>
      <c r="BF1209" s="65"/>
      <c r="BI1209" s="65"/>
      <c r="BJ1209" s="65"/>
      <c r="BK1209" s="65"/>
      <c r="BL1209" s="65"/>
      <c r="BM1209" s="65"/>
      <c r="BN1209" s="65"/>
      <c r="BO1209" s="65"/>
      <c r="BP1209" s="65"/>
      <c r="BQ1209" s="65"/>
      <c r="BR1209" s="65"/>
      <c r="BS1209" s="65"/>
      <c r="BT1209" s="65"/>
      <c r="BU1209" s="65"/>
    </row>
    <row r="1210" spans="54:73" x14ac:dyDescent="0.25">
      <c r="BB1210" s="65"/>
      <c r="BD1210" s="65"/>
      <c r="BE1210" s="65"/>
      <c r="BF1210" s="65"/>
      <c r="BI1210" s="65"/>
      <c r="BJ1210" s="65"/>
      <c r="BK1210" s="65"/>
      <c r="BL1210" s="65"/>
      <c r="BM1210" s="65"/>
      <c r="BN1210" s="65"/>
      <c r="BO1210" s="65"/>
      <c r="BP1210" s="65"/>
      <c r="BQ1210" s="65"/>
      <c r="BR1210" s="65"/>
      <c r="BS1210" s="65"/>
      <c r="BT1210" s="65"/>
      <c r="BU1210" s="65"/>
    </row>
    <row r="1211" spans="54:73" x14ac:dyDescent="0.25">
      <c r="BB1211" s="65"/>
      <c r="BD1211" s="65"/>
      <c r="BE1211" s="65"/>
      <c r="BF1211" s="65"/>
      <c r="BI1211" s="65"/>
      <c r="BJ1211" s="65"/>
      <c r="BK1211" s="65"/>
      <c r="BL1211" s="65"/>
      <c r="BM1211" s="65"/>
      <c r="BN1211" s="65"/>
      <c r="BO1211" s="65"/>
      <c r="BP1211" s="65"/>
      <c r="BQ1211" s="65"/>
      <c r="BR1211" s="65"/>
      <c r="BS1211" s="65"/>
      <c r="BT1211" s="65"/>
      <c r="BU1211" s="65"/>
    </row>
    <row r="1212" spans="54:73" x14ac:dyDescent="0.25">
      <c r="BB1212" s="65"/>
      <c r="BD1212" s="65"/>
      <c r="BE1212" s="65"/>
      <c r="BF1212" s="65"/>
      <c r="BI1212" s="65"/>
      <c r="BJ1212" s="65"/>
      <c r="BK1212" s="65"/>
      <c r="BL1212" s="65"/>
      <c r="BM1212" s="65"/>
      <c r="BN1212" s="65"/>
      <c r="BO1212" s="65"/>
      <c r="BP1212" s="65"/>
      <c r="BQ1212" s="65"/>
      <c r="BR1212" s="65"/>
      <c r="BS1212" s="65"/>
      <c r="BT1212" s="65"/>
      <c r="BU1212" s="65"/>
    </row>
    <row r="1213" spans="54:73" x14ac:dyDescent="0.25">
      <c r="BB1213" s="65"/>
      <c r="BD1213" s="65"/>
      <c r="BE1213" s="65"/>
      <c r="BF1213" s="65"/>
      <c r="BI1213" s="65"/>
      <c r="BJ1213" s="65"/>
      <c r="BK1213" s="65"/>
      <c r="BL1213" s="65"/>
      <c r="BM1213" s="65"/>
      <c r="BN1213" s="65"/>
      <c r="BO1213" s="65"/>
      <c r="BP1213" s="65"/>
      <c r="BQ1213" s="65"/>
      <c r="BR1213" s="65"/>
      <c r="BS1213" s="65"/>
      <c r="BT1213" s="65"/>
      <c r="BU1213" s="65"/>
    </row>
    <row r="1214" spans="54:73" x14ac:dyDescent="0.25">
      <c r="BB1214" s="65"/>
      <c r="BD1214" s="65"/>
      <c r="BE1214" s="65"/>
      <c r="BF1214" s="65"/>
      <c r="BI1214" s="65"/>
      <c r="BJ1214" s="65"/>
      <c r="BK1214" s="65"/>
      <c r="BL1214" s="65"/>
      <c r="BM1214" s="65"/>
      <c r="BN1214" s="65"/>
      <c r="BO1214" s="65"/>
      <c r="BP1214" s="65"/>
      <c r="BQ1214" s="65"/>
      <c r="BR1214" s="65"/>
      <c r="BS1214" s="65"/>
      <c r="BT1214" s="65"/>
      <c r="BU1214" s="65"/>
    </row>
    <row r="1215" spans="54:73" x14ac:dyDescent="0.25">
      <c r="BB1215" s="65"/>
      <c r="BD1215" s="65"/>
      <c r="BE1215" s="65"/>
      <c r="BF1215" s="65"/>
      <c r="BI1215" s="65"/>
      <c r="BJ1215" s="65"/>
      <c r="BK1215" s="65"/>
      <c r="BL1215" s="65"/>
      <c r="BM1215" s="65"/>
      <c r="BN1215" s="65"/>
      <c r="BO1215" s="65"/>
      <c r="BP1215" s="65"/>
      <c r="BQ1215" s="65"/>
      <c r="BR1215" s="65"/>
      <c r="BS1215" s="65"/>
      <c r="BT1215" s="65"/>
      <c r="BU1215" s="65"/>
    </row>
    <row r="1216" spans="54:73" x14ac:dyDescent="0.25">
      <c r="BB1216" s="65"/>
      <c r="BD1216" s="65"/>
      <c r="BE1216" s="65"/>
      <c r="BF1216" s="65"/>
      <c r="BI1216" s="65"/>
      <c r="BJ1216" s="65"/>
      <c r="BK1216" s="65"/>
      <c r="BL1216" s="65"/>
      <c r="BM1216" s="65"/>
      <c r="BN1216" s="65"/>
      <c r="BO1216" s="65"/>
      <c r="BP1216" s="65"/>
      <c r="BQ1216" s="65"/>
      <c r="BR1216" s="65"/>
      <c r="BS1216" s="65"/>
      <c r="BT1216" s="65"/>
      <c r="BU1216" s="65"/>
    </row>
    <row r="1217" spans="54:73" x14ac:dyDescent="0.25">
      <c r="BB1217" s="65"/>
      <c r="BD1217" s="65"/>
      <c r="BE1217" s="65"/>
      <c r="BF1217" s="65"/>
      <c r="BI1217" s="65"/>
      <c r="BJ1217" s="65"/>
      <c r="BK1217" s="65"/>
      <c r="BL1217" s="65"/>
      <c r="BM1217" s="65"/>
      <c r="BN1217" s="65"/>
      <c r="BO1217" s="65"/>
      <c r="BP1217" s="65"/>
      <c r="BQ1217" s="65"/>
      <c r="BR1217" s="65"/>
      <c r="BS1217" s="65"/>
      <c r="BT1217" s="65"/>
      <c r="BU1217" s="65"/>
    </row>
    <row r="1218" spans="54:73" x14ac:dyDescent="0.25">
      <c r="BB1218" s="65"/>
      <c r="BD1218" s="65"/>
      <c r="BE1218" s="65"/>
      <c r="BF1218" s="65"/>
      <c r="BI1218" s="65"/>
      <c r="BJ1218" s="65"/>
      <c r="BK1218" s="65"/>
      <c r="BL1218" s="65"/>
      <c r="BM1218" s="65"/>
      <c r="BN1218" s="65"/>
      <c r="BO1218" s="65"/>
      <c r="BP1218" s="65"/>
      <c r="BQ1218" s="65"/>
      <c r="BR1218" s="65"/>
      <c r="BS1218" s="65"/>
      <c r="BT1218" s="65"/>
      <c r="BU1218" s="65"/>
    </row>
    <row r="1219" spans="54:73" x14ac:dyDescent="0.25">
      <c r="BB1219" s="65"/>
      <c r="BD1219" s="65"/>
      <c r="BE1219" s="65"/>
      <c r="BF1219" s="65"/>
      <c r="BI1219" s="65"/>
      <c r="BJ1219" s="65"/>
      <c r="BK1219" s="65"/>
      <c r="BL1219" s="65"/>
      <c r="BM1219" s="65"/>
      <c r="BN1219" s="65"/>
      <c r="BO1219" s="65"/>
      <c r="BP1219" s="65"/>
      <c r="BQ1219" s="65"/>
      <c r="BR1219" s="65"/>
      <c r="BS1219" s="65"/>
      <c r="BT1219" s="65"/>
      <c r="BU1219" s="65"/>
    </row>
    <row r="1220" spans="54:73" x14ac:dyDescent="0.25">
      <c r="BB1220" s="65"/>
      <c r="BI1220" s="65"/>
      <c r="BJ1220" s="65"/>
      <c r="BK1220" s="65"/>
      <c r="BL1220" s="65"/>
      <c r="BM1220" s="65"/>
      <c r="BN1220" s="65"/>
      <c r="BO1220" s="65"/>
      <c r="BP1220" s="65"/>
      <c r="BQ1220" s="65"/>
      <c r="BR1220" s="65"/>
      <c r="BS1220" s="65"/>
      <c r="BT1220" s="65"/>
      <c r="BU1220" s="65"/>
    </row>
    <row r="1221" spans="54:73" x14ac:dyDescent="0.25">
      <c r="BB1221" s="65"/>
      <c r="BI1221" s="65"/>
      <c r="BJ1221" s="65"/>
      <c r="BK1221" s="65"/>
      <c r="BL1221" s="65"/>
      <c r="BM1221" s="65"/>
      <c r="BN1221" s="65"/>
      <c r="BO1221" s="65"/>
      <c r="BP1221" s="65"/>
      <c r="BQ1221" s="65"/>
      <c r="BR1221" s="65"/>
      <c r="BS1221" s="65"/>
      <c r="BT1221" s="65"/>
      <c r="BU1221" s="65"/>
    </row>
    <row r="1222" spans="54:73" x14ac:dyDescent="0.25">
      <c r="BB1222" s="65"/>
      <c r="BI1222" s="65"/>
      <c r="BJ1222" s="65"/>
      <c r="BK1222" s="65"/>
      <c r="BL1222" s="65"/>
      <c r="BM1222" s="65"/>
      <c r="BN1222" s="65"/>
      <c r="BO1222" s="65"/>
      <c r="BP1222" s="65"/>
      <c r="BQ1222" s="65"/>
      <c r="BR1222" s="65"/>
      <c r="BS1222" s="65"/>
      <c r="BT1222" s="65"/>
      <c r="BU1222" s="65"/>
    </row>
    <row r="1223" spans="54:73" x14ac:dyDescent="0.25">
      <c r="BB1223" s="65"/>
      <c r="BI1223" s="65"/>
      <c r="BJ1223" s="65"/>
      <c r="BK1223" s="65"/>
      <c r="BL1223" s="65"/>
      <c r="BM1223" s="65"/>
      <c r="BN1223" s="65"/>
      <c r="BO1223" s="65"/>
      <c r="BP1223" s="65"/>
      <c r="BQ1223" s="65"/>
      <c r="BR1223" s="65"/>
      <c r="BS1223" s="65"/>
      <c r="BT1223" s="65"/>
      <c r="BU1223" s="65"/>
    </row>
    <row r="1224" spans="54:73" x14ac:dyDescent="0.25">
      <c r="BB1224" s="65"/>
      <c r="BI1224" s="65"/>
      <c r="BJ1224" s="65"/>
      <c r="BK1224" s="65"/>
      <c r="BL1224" s="65"/>
      <c r="BM1224" s="65"/>
      <c r="BN1224" s="65"/>
      <c r="BO1224" s="65"/>
      <c r="BP1224" s="65"/>
      <c r="BQ1224" s="65"/>
      <c r="BR1224" s="65"/>
      <c r="BS1224" s="65"/>
      <c r="BT1224" s="65"/>
      <c r="BU1224" s="65"/>
    </row>
    <row r="1225" spans="54:73" x14ac:dyDescent="0.25">
      <c r="BB1225" s="65"/>
      <c r="BI1225" s="65"/>
      <c r="BJ1225" s="65"/>
      <c r="BK1225" s="65"/>
      <c r="BL1225" s="65"/>
      <c r="BM1225" s="65"/>
      <c r="BN1225" s="65"/>
      <c r="BO1225" s="65"/>
      <c r="BP1225" s="65"/>
      <c r="BQ1225" s="65"/>
      <c r="BR1225" s="65"/>
      <c r="BS1225" s="65"/>
      <c r="BT1225" s="65"/>
      <c r="BU1225" s="65"/>
    </row>
    <row r="1226" spans="54:73" x14ac:dyDescent="0.25">
      <c r="BB1226" s="65"/>
      <c r="BI1226" s="65"/>
      <c r="BJ1226" s="65"/>
      <c r="BK1226" s="65"/>
      <c r="BL1226" s="65"/>
      <c r="BM1226" s="65"/>
      <c r="BN1226" s="65"/>
      <c r="BO1226" s="65"/>
      <c r="BP1226" s="65"/>
      <c r="BQ1226" s="65"/>
      <c r="BR1226" s="65"/>
      <c r="BS1226" s="65"/>
      <c r="BT1226" s="65"/>
      <c r="BU1226" s="65"/>
    </row>
    <row r="1227" spans="54:73" x14ac:dyDescent="0.25">
      <c r="BB1227" s="65"/>
    </row>
    <row r="1228" spans="54:73" x14ac:dyDescent="0.25">
      <c r="BB1228" s="65"/>
    </row>
    <row r="1242" spans="1:30" x14ac:dyDescent="0.25">
      <c r="A1242" s="54"/>
    </row>
    <row r="1245" spans="1:30" x14ac:dyDescent="0.25">
      <c r="AA1245" s="54"/>
    </row>
    <row r="1246" spans="1:30" x14ac:dyDescent="0.25">
      <c r="A1246" s="54"/>
      <c r="H1246" s="54"/>
      <c r="I1246" s="54"/>
    </row>
    <row r="1247" spans="1:30" x14ac:dyDescent="0.25">
      <c r="A1247" s="54"/>
      <c r="V1247" s="56"/>
      <c r="AC1247" s="56"/>
      <c r="AD1247" s="56"/>
    </row>
    <row r="1248" spans="1:30" x14ac:dyDescent="0.25">
      <c r="A1248" s="54"/>
      <c r="V1248" s="55"/>
      <c r="AC1248" s="55"/>
      <c r="AD1248" s="55"/>
    </row>
    <row r="1249" spans="1:30" x14ac:dyDescent="0.25">
      <c r="A1249" s="54"/>
      <c r="U1249" s="54"/>
      <c r="AC1249" s="56"/>
      <c r="AD1249" s="56"/>
    </row>
    <row r="1250" spans="1:30" x14ac:dyDescent="0.25">
      <c r="A1250" s="54"/>
    </row>
    <row r="1251" spans="1:30" x14ac:dyDescent="0.25">
      <c r="A1251" s="54"/>
      <c r="U1251" s="54"/>
      <c r="AC1251" s="56"/>
      <c r="AD1251" s="56"/>
    </row>
    <row r="1252" spans="1:30" x14ac:dyDescent="0.25">
      <c r="A1252" s="54"/>
    </row>
    <row r="1253" spans="1:30" x14ac:dyDescent="0.25">
      <c r="A1253" s="54"/>
      <c r="U1253" s="54"/>
      <c r="V1253" s="480"/>
      <c r="AC1253" s="56"/>
      <c r="AD1253" s="56"/>
    </row>
    <row r="1254" spans="1:30" x14ac:dyDescent="0.25">
      <c r="A1254" s="54"/>
    </row>
    <row r="1255" spans="1:30" x14ac:dyDescent="0.25">
      <c r="A1255" s="54"/>
      <c r="U1255" s="54"/>
      <c r="AC1255" s="56"/>
      <c r="AD1255" s="56"/>
    </row>
    <row r="1256" spans="1:30" x14ac:dyDescent="0.25">
      <c r="A1256" s="54"/>
    </row>
    <row r="1257" spans="1:30" x14ac:dyDescent="0.25">
      <c r="A1257" s="54"/>
      <c r="U1257" s="54"/>
      <c r="AC1257" s="56"/>
      <c r="AD1257" s="56"/>
    </row>
    <row r="1258" spans="1:30" x14ac:dyDescent="0.25">
      <c r="A1258" s="54"/>
    </row>
    <row r="1259" spans="1:30" x14ac:dyDescent="0.25">
      <c r="A1259" s="54"/>
    </row>
    <row r="1260" spans="1:30" x14ac:dyDescent="0.25">
      <c r="A1260" s="54"/>
    </row>
    <row r="1261" spans="1:30" x14ac:dyDescent="0.25">
      <c r="A1261" s="54"/>
    </row>
    <row r="1262" spans="1:30" x14ac:dyDescent="0.25">
      <c r="A1262" s="54"/>
    </row>
    <row r="1263" spans="1:30" x14ac:dyDescent="0.25">
      <c r="A1263" s="54"/>
    </row>
    <row r="1264" spans="1:30" x14ac:dyDescent="0.25">
      <c r="A1264" s="54"/>
    </row>
    <row r="1265" spans="1:9" x14ac:dyDescent="0.25">
      <c r="A1265" s="54"/>
    </row>
    <row r="1266" spans="1:9" x14ac:dyDescent="0.25">
      <c r="A1266" s="54"/>
    </row>
    <row r="1267" spans="1:9" x14ac:dyDescent="0.25">
      <c r="A1267" s="54"/>
    </row>
    <row r="1268" spans="1:9" x14ac:dyDescent="0.25">
      <c r="A1268" s="54"/>
      <c r="H1268" s="54"/>
      <c r="I1268" s="54"/>
    </row>
    <row r="1271" spans="1:9" x14ac:dyDescent="0.25">
      <c r="A1271" s="54"/>
    </row>
    <row r="1274" spans="1:9" x14ac:dyDescent="0.25">
      <c r="A1274" s="54"/>
    </row>
    <row r="1277" spans="1:9" x14ac:dyDescent="0.25">
      <c r="A1277" s="54"/>
    </row>
    <row r="1278" spans="1:9" x14ac:dyDescent="0.25">
      <c r="A1278" s="54"/>
    </row>
    <row r="1279" spans="1:9" x14ac:dyDescent="0.25">
      <c r="A1279" s="54"/>
    </row>
    <row r="1280" spans="1:9" x14ac:dyDescent="0.25">
      <c r="A1280" s="54"/>
    </row>
    <row r="1281" spans="1:1" x14ac:dyDescent="0.25">
      <c r="A1281" s="54"/>
    </row>
    <row r="1282" spans="1:1" x14ac:dyDescent="0.25">
      <c r="A1282" s="54"/>
    </row>
    <row r="1283" spans="1:1" x14ac:dyDescent="0.25">
      <c r="A1283" s="54"/>
    </row>
    <row r="1284" spans="1:1" x14ac:dyDescent="0.25">
      <c r="A1284" s="54"/>
    </row>
    <row r="1285" spans="1:1" x14ac:dyDescent="0.25">
      <c r="A1285" s="54"/>
    </row>
    <row r="1286" spans="1:1" x14ac:dyDescent="0.25">
      <c r="A1286" s="54"/>
    </row>
    <row r="1287" spans="1:1" x14ac:dyDescent="0.25">
      <c r="A1287" s="54"/>
    </row>
    <row r="1288" spans="1:1" x14ac:dyDescent="0.25">
      <c r="A1288" s="54"/>
    </row>
    <row r="1289" spans="1:1" x14ac:dyDescent="0.25">
      <c r="A1289" s="54"/>
    </row>
    <row r="1290" spans="1:1" x14ac:dyDescent="0.25">
      <c r="A1290" s="54"/>
    </row>
    <row r="1291" spans="1:1" x14ac:dyDescent="0.25">
      <c r="A1291" s="54"/>
    </row>
    <row r="1292" spans="1:1" x14ac:dyDescent="0.25">
      <c r="A1292" s="54"/>
    </row>
    <row r="1293" spans="1:1" x14ac:dyDescent="0.25">
      <c r="A1293" s="54"/>
    </row>
    <row r="1294" spans="1:1" x14ac:dyDescent="0.25">
      <c r="A1294" s="54"/>
    </row>
    <row r="1295" spans="1:1" x14ac:dyDescent="0.25">
      <c r="A1295" s="54"/>
    </row>
    <row r="1296" spans="1:1" x14ac:dyDescent="0.25">
      <c r="A1296" s="54"/>
    </row>
    <row r="1297" spans="1:1" x14ac:dyDescent="0.25">
      <c r="A1297" s="54"/>
    </row>
    <row r="1298" spans="1:1" x14ac:dyDescent="0.25">
      <c r="A1298" s="54"/>
    </row>
    <row r="1299" spans="1:1" x14ac:dyDescent="0.25">
      <c r="A1299" s="54"/>
    </row>
    <row r="1300" spans="1:1" x14ac:dyDescent="0.25">
      <c r="A1300" s="54"/>
    </row>
    <row r="1301" spans="1:1" x14ac:dyDescent="0.25">
      <c r="A1301" s="54"/>
    </row>
    <row r="1302" spans="1:1" x14ac:dyDescent="0.25">
      <c r="A1302" s="54"/>
    </row>
    <row r="1303" spans="1:1" x14ac:dyDescent="0.25">
      <c r="A1303" s="54"/>
    </row>
    <row r="1304" spans="1:1" x14ac:dyDescent="0.25">
      <c r="A1304" s="54"/>
    </row>
    <row r="1305" spans="1:1" x14ac:dyDescent="0.25">
      <c r="A1305" s="54"/>
    </row>
    <row r="1306" spans="1:1" x14ac:dyDescent="0.25">
      <c r="A1306" s="54"/>
    </row>
    <row r="1307" spans="1:1" x14ac:dyDescent="0.25">
      <c r="A1307" s="54"/>
    </row>
    <row r="1308" spans="1:1" x14ac:dyDescent="0.25">
      <c r="A1308" s="54"/>
    </row>
    <row r="1309" spans="1:1" x14ac:dyDescent="0.25">
      <c r="A1309" s="54"/>
    </row>
    <row r="1310" spans="1:1" x14ac:dyDescent="0.25">
      <c r="A1310" s="54"/>
    </row>
    <row r="1311" spans="1:1" x14ac:dyDescent="0.25">
      <c r="A1311" s="54"/>
    </row>
    <row r="1316" spans="1:1" x14ac:dyDescent="0.25">
      <c r="A1316" s="54"/>
    </row>
    <row r="1317" spans="1:1" x14ac:dyDescent="0.25">
      <c r="A1317" s="54"/>
    </row>
    <row r="1320" spans="1:1" x14ac:dyDescent="0.25">
      <c r="A1320" s="54"/>
    </row>
    <row r="1322" spans="1:1" x14ac:dyDescent="0.25">
      <c r="A1322" s="54"/>
    </row>
    <row r="1324" spans="1:1" x14ac:dyDescent="0.25">
      <c r="A1324" s="54"/>
    </row>
    <row r="1326" spans="1:1" x14ac:dyDescent="0.25">
      <c r="A1326" s="54"/>
    </row>
    <row r="1329" spans="1:1" x14ac:dyDescent="0.25">
      <c r="A1329" s="54"/>
    </row>
    <row r="1330" spans="1:1" x14ac:dyDescent="0.25">
      <c r="A1330" s="54"/>
    </row>
    <row r="1331" spans="1:1" x14ac:dyDescent="0.25">
      <c r="A1331" s="54"/>
    </row>
    <row r="1332" spans="1:1" x14ac:dyDescent="0.25">
      <c r="A1332" s="54"/>
    </row>
    <row r="1333" spans="1:1" x14ac:dyDescent="0.25">
      <c r="A1333" s="54"/>
    </row>
    <row r="1334" spans="1:1" x14ac:dyDescent="0.25">
      <c r="A1334" s="54"/>
    </row>
    <row r="1335" spans="1:1" x14ac:dyDescent="0.25">
      <c r="A1335" s="54"/>
    </row>
    <row r="1336" spans="1:1" x14ac:dyDescent="0.25">
      <c r="A1336" s="54"/>
    </row>
  </sheetData>
  <customSheetViews>
    <customSheetView guid="{195DF303-1BBD-4236-94B5-47432850B006}" scale="75" fitToPage="1" showRuler="0"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1"/>
      <headerFooter alignWithMargins="0"/>
    </customSheetView>
    <customSheetView guid="{0C49E549-011E-46F4-A82E-2CC8951A9C1E}" scale="75" fitToPage="1" showRuler="0" topLeftCell="S1">
      <selection activeCell="AE16" sqref="AE1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2"/>
      <headerFooter alignWithMargins="0"/>
    </customSheetView>
    <customSheetView guid="{4BC93440-BA85-4935-A8C9-66DC6AE5DE5E}" scale="75" fitToPage="1" showRuler="0" topLeftCell="T268">
      <selection activeCell="AC284" sqref="AC28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3"/>
      <headerFooter alignWithMargins="0"/>
    </customSheetView>
    <customSheetView guid="{2431C9E5-7CC2-4B8D-99C3-962247B1DBF5}" scale="75" fitToPage="1" showRuler="0" topLeftCell="T268">
      <selection activeCell="AC284" sqref="AC28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4"/>
      <headerFooter alignWithMargins="0"/>
    </customSheetView>
    <customSheetView guid="{2EA35095-1ADC-4CC7-8C3C-B487D65FA247}" scale="75" fitToPage="1" showRuler="0" topLeftCell="T228">
      <selection activeCell="T228" sqref="T228:AQ310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5"/>
      <headerFooter alignWithMargins="0"/>
    </customSheetView>
    <customSheetView guid="{8FC77C99-DBF7-40B8-99B8-01B75826CDCB}" scale="75" fitToPage="1" showRuler="0" topLeftCell="S1">
      <selection activeCell="AE16" sqref="AE1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6"/>
      <headerFooter alignWithMargins="0"/>
    </customSheetView>
    <customSheetView guid="{8FB94551-8874-4095-B8FB-5316E0D2FD2C}" scale="75" fitToPage="1" showRuler="0"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8"/>
      <headerFooter alignWithMargins="0"/>
    </customSheetView>
    <customSheetView guid="{0BC1F393-8A13-47D5-BC6C-0C99615B5AB9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9"/>
      <headerFooter alignWithMargins="0"/>
    </customSheetView>
    <customSheetView guid="{18BDED73-BFA0-442E-87EC-CED86EE4CF94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0"/>
      <headerFooter alignWithMargins="0"/>
    </customSheetView>
    <customSheetView guid="{35F19056-2E6F-4935-B863-78836FE990BF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1"/>
      <headerFooter alignWithMargins="0"/>
    </customSheetView>
    <customSheetView guid="{F562D92E-120C-4AE9-9663-89E64D41DC53}" scale="75" fitToPage="1" topLeftCell="X187">
      <selection activeCell="P146" sqref="P14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2"/>
      <headerFooter alignWithMargins="0"/>
    </customSheetView>
  </customSheetViews>
  <mergeCells count="3">
    <mergeCell ref="T221:AQ221"/>
    <mergeCell ref="T287:AQ287"/>
    <mergeCell ref="T368:AQ368"/>
  </mergeCells>
  <phoneticPr fontId="9" type="noConversion"/>
  <printOptions horizontalCentered="1"/>
  <pageMargins left="0.75" right="0.75" top="1" bottom="1" header="0.5" footer="0.5"/>
  <pageSetup scale="41" orientation="landscape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2" manualBreakCount="2">
    <brk id="66" max="16383" man="1"/>
    <brk id="147" max="17" man="1"/>
  </rowBreaks>
  <legacy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W30"/>
  <sheetViews>
    <sheetView tabSelected="1" view="pageBreakPreview" topLeftCell="A25" zoomScale="60" zoomScaleNormal="100" workbookViewId="0">
      <selection sqref="A1:J1"/>
    </sheetView>
  </sheetViews>
  <sheetFormatPr defaultRowHeight="15" x14ac:dyDescent="0.2"/>
  <cols>
    <col min="1" max="1" width="1.77734375" customWidth="1"/>
    <col min="2" max="2" width="9.88671875" customWidth="1"/>
    <col min="3" max="3" width="1.77734375" customWidth="1"/>
    <col min="4" max="4" width="11" customWidth="1"/>
    <col min="5" max="5" width="1.77734375" customWidth="1"/>
    <col min="6" max="6" width="11" customWidth="1"/>
    <col min="7" max="7" width="1.77734375" customWidth="1"/>
    <col min="8" max="8" width="11" customWidth="1"/>
    <col min="9" max="9" width="1.77734375" customWidth="1"/>
    <col min="10" max="10" width="11" customWidth="1"/>
    <col min="11" max="11" width="8.77734375" customWidth="1"/>
    <col min="12" max="12" width="9.44140625" customWidth="1"/>
    <col min="13" max="13" width="1.77734375" customWidth="1"/>
    <col min="14" max="14" width="11" customWidth="1"/>
    <col min="15" max="15" width="1.77734375" customWidth="1"/>
    <col min="16" max="16" width="11" customWidth="1"/>
    <col min="17" max="17" width="1.77734375" customWidth="1"/>
    <col min="18" max="18" width="11" customWidth="1"/>
    <col min="19" max="19" width="1.77734375" customWidth="1"/>
    <col min="20" max="20" width="11" customWidth="1"/>
  </cols>
  <sheetData>
    <row r="1" spans="1:23" ht="25.5" customHeight="1" x14ac:dyDescent="0.4">
      <c r="A1" s="21"/>
      <c r="B1" s="586" t="str">
        <f>+INPUT!A1</f>
        <v>BASE PERIOD WITH RIDERS</v>
      </c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21"/>
      <c r="V1" s="21"/>
      <c r="W1" s="21"/>
    </row>
    <row r="2" spans="1:23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</row>
    <row r="3" spans="1:23" ht="17.25" customHeight="1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</row>
    <row r="4" spans="1:23" ht="43.5" customHeight="1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</row>
    <row r="5" spans="1:23" ht="15.75" thickBo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</row>
    <row r="6" spans="1:23" ht="24" customHeight="1" thickBot="1" x14ac:dyDescent="0.3">
      <c r="A6" s="21"/>
      <c r="B6" s="583" t="s">
        <v>501</v>
      </c>
      <c r="C6" s="584"/>
      <c r="D6" s="584"/>
      <c r="E6" s="584"/>
      <c r="F6" s="584"/>
      <c r="G6" s="584"/>
      <c r="H6" s="584"/>
      <c r="I6" s="584"/>
      <c r="J6" s="585"/>
      <c r="K6" s="21"/>
      <c r="L6" s="583" t="s">
        <v>502</v>
      </c>
      <c r="M6" s="584"/>
      <c r="N6" s="584"/>
      <c r="O6" s="584"/>
      <c r="P6" s="584"/>
      <c r="Q6" s="584"/>
      <c r="R6" s="584"/>
      <c r="S6" s="584"/>
      <c r="T6" s="585"/>
      <c r="U6" s="21"/>
      <c r="V6" s="21"/>
      <c r="W6" s="21"/>
    </row>
    <row r="7" spans="1:23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</row>
    <row r="8" spans="1:23" ht="39.950000000000003" customHeight="1" x14ac:dyDescent="0.2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</row>
    <row r="9" spans="1:23" x14ac:dyDescent="0.2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</row>
    <row r="10" spans="1:23" ht="39.950000000000003" customHeight="1" x14ac:dyDescent="0.2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</row>
    <row r="11" spans="1:23" x14ac:dyDescent="0.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</row>
    <row r="12" spans="1:23" ht="39.950000000000003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</row>
    <row r="13" spans="1:23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</row>
    <row r="14" spans="1:23" ht="39.950000000000003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</row>
    <row r="15" spans="1:23" x14ac:dyDescent="0.2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</row>
    <row r="16" spans="1:23" ht="39.950000000000003" customHeight="1" x14ac:dyDescent="0.2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</row>
    <row r="17" spans="1:23" x14ac:dyDescent="0.2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</row>
    <row r="18" spans="1:23" ht="39.950000000000003" customHeight="1" x14ac:dyDescent="0.2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</row>
    <row r="19" spans="1:23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</row>
    <row r="20" spans="1:23" ht="39.950000000000003" customHeight="1" x14ac:dyDescent="0.2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x14ac:dyDescent="0.2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</row>
    <row r="22" spans="1:23" x14ac:dyDescent="0.2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</row>
    <row r="23" spans="1:23" x14ac:dyDescent="0.2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</row>
    <row r="24" spans="1:23" x14ac:dyDescent="0.2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</row>
    <row r="25" spans="1:23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</row>
    <row r="26" spans="1:23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</row>
    <row r="27" spans="1:23" x14ac:dyDescent="0.2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</row>
    <row r="28" spans="1:23" x14ac:dyDescent="0.2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</row>
    <row r="29" spans="1:23" x14ac:dyDescent="0.2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</row>
    <row r="30" spans="1:23" x14ac:dyDescent="0.2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</row>
  </sheetData>
  <customSheetViews>
    <customSheetView guid="{195DF303-1BBD-4236-94B5-47432850B006}" showRuler="0">
      <pageMargins left="0.75" right="0.75" top="1" bottom="1" header="0.5" footer="0.5"/>
      <pageSetup orientation="portrait" horizontalDpi="300" verticalDpi="300" r:id="rId1"/>
      <headerFooter alignWithMargins="0"/>
    </customSheetView>
    <customSheetView guid="{0C49E549-011E-46F4-A82E-2CC8951A9C1E}" showRuler="0">
      <selection activeCell="C25" sqref="C25"/>
      <pageMargins left="0.75" right="0.75" top="1" bottom="1" header="0.5" footer="0.5"/>
      <pageSetup orientation="portrait" horizontalDpi="300" verticalDpi="300" r:id="rId2"/>
      <headerFooter alignWithMargins="0"/>
    </customSheetView>
    <customSheetView guid="{4BC93440-BA85-4935-A8C9-66DC6AE5DE5E}" showRuler="0">
      <selection activeCell="B26" sqref="B26"/>
      <pageMargins left="0.75" right="0.75" top="1" bottom="1" header="0.5" footer="0.5"/>
      <pageSetup orientation="portrait" horizontalDpi="300" verticalDpi="300" r:id="rId3"/>
      <headerFooter alignWithMargins="0"/>
    </customSheetView>
    <customSheetView guid="{2431C9E5-7CC2-4B8D-99C3-962247B1DBF5}" showRuler="0">
      <pageMargins left="0.75" right="0.75" top="1" bottom="1" header="0.5" footer="0.5"/>
      <pageSetup orientation="portrait" horizontalDpi="300" verticalDpi="300" r:id="rId4"/>
      <headerFooter alignWithMargins="0"/>
    </customSheetView>
    <customSheetView guid="{2EA35095-1ADC-4CC7-8C3C-B487D65FA247}" showRuler="0">
      <pageMargins left="0.75" right="0.75" top="1" bottom="1" header="0.5" footer="0.5"/>
      <pageSetup orientation="portrait" horizontalDpi="300" verticalDpi="300" r:id="rId5"/>
      <headerFooter alignWithMargins="0"/>
    </customSheetView>
    <customSheetView guid="{8FC77C99-DBF7-40B8-99B8-01B75826CDCB}" showRuler="0">
      <pageMargins left="0.75" right="0.75" top="1" bottom="1" header="0.5" footer="0.5"/>
      <pageSetup orientation="portrait" horizontalDpi="300" verticalDpi="300" r:id="rId6"/>
      <headerFooter alignWithMargins="0"/>
    </customSheetView>
    <customSheetView guid="{8FB94551-8874-4095-B8FB-5316E0D2FD2C}" showRuler="0">
      <pageMargins left="0.75" right="0.75" top="1" bottom="1" header="0.5" footer="0.5"/>
      <pageSetup orientation="portrait" horizontalDpi="300" verticalDpi="300" r:id="rId7"/>
      <headerFooter alignWithMargins="0"/>
    </customSheetView>
    <customSheetView guid="{6B3D5C27-2FDE-4561-9575-1E98BFB869D0}" showRuler="0">
      <selection activeCell="B26" sqref="B26"/>
      <pageMargins left="0.75" right="0.75" top="1" bottom="1" header="0.5" footer="0.5"/>
      <pageSetup orientation="portrait" horizontalDpi="300" verticalDpi="300" r:id="rId8"/>
      <headerFooter alignWithMargins="0"/>
    </customSheetView>
    <customSheetView guid="{0BC1F393-8A13-47D5-BC6C-0C99615B5AB9}" showRuler="0">
      <pageMargins left="0.75" right="0.75" top="1" bottom="1" header="0.5" footer="0.5"/>
      <pageSetup orientation="portrait" horizontalDpi="300" verticalDpi="300" r:id="rId9"/>
      <headerFooter alignWithMargins="0"/>
    </customSheetView>
    <customSheetView guid="{18BDED73-BFA0-442E-87EC-CED86EE4CF94}" showRuler="0">
      <pageMargins left="0.75" right="0.75" top="1" bottom="1" header="0.5" footer="0.5"/>
      <pageSetup orientation="portrait" horizontalDpi="300" verticalDpi="300" r:id="rId10"/>
      <headerFooter alignWithMargins="0"/>
    </customSheetView>
    <customSheetView guid="{35F19056-2E6F-4935-B863-78836FE990BF}" showPageBreaks="1" showRuler="0">
      <pageMargins left="0.75" right="0.75" top="1" bottom="1" header="0.5" footer="0.5"/>
      <pageSetup orientation="portrait" horizontalDpi="300" verticalDpi="300" r:id="rId11"/>
      <headerFooter alignWithMargins="0"/>
    </customSheetView>
    <customSheetView guid="{F562D92E-120C-4AE9-9663-89E64D41DC53}">
      <pageMargins left="0.75" right="0.75" top="1" bottom="1" header="0.5" footer="0.5"/>
      <pageSetup orientation="portrait" horizontalDpi="300" verticalDpi="300" r:id="rId12"/>
      <headerFooter alignWithMargins="0"/>
    </customSheetView>
  </customSheetViews>
  <mergeCells count="3">
    <mergeCell ref="B6:J6"/>
    <mergeCell ref="L6:T6"/>
    <mergeCell ref="B1:T1"/>
  </mergeCells>
  <phoneticPr fontId="9" type="noConversion"/>
  <pageMargins left="0.75" right="0.75" top="1" bottom="1" header="0.5" footer="0.5"/>
  <pageSetup scale="43" orientation="portrait" horizontalDpi="300" verticalDpi="300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16" name="Button 1">
              <controlPr defaultSize="0" print="0" autoFill="0" autoPict="0" macro="[0]!Module1.PRINT_SCH_M">
                <anchor moveWithCells="1" sizeWithCells="1">
                  <from>
                    <xdr:col>1</xdr:col>
                    <xdr:colOff>9525</xdr:colOff>
                    <xdr:row>3</xdr:row>
                    <xdr:rowOff>19050</xdr:rowOff>
                  </from>
                  <to>
                    <xdr:col>7</xdr:col>
                    <xdr:colOff>9525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17" name="Button 2">
              <controlPr defaultSize="0" print="0" autoFill="0" autoPict="0" macro="[0]!Module1.PRINT_SCH_N">
                <anchor moveWithCells="1" sizeWithCells="1">
                  <from>
                    <xdr:col>15</xdr:col>
                    <xdr:colOff>9525</xdr:colOff>
                    <xdr:row>3</xdr:row>
                    <xdr:rowOff>0</xdr:rowOff>
                  </from>
                  <to>
                    <xdr:col>20</xdr:col>
                    <xdr:colOff>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18" name="Button 3">
              <controlPr defaultSize="0" print="0" autoFill="0" autoPict="0" macro="[0]!PRINT_SCH_M_2_2">
                <anchor moveWithCells="1" sizeWithCells="1">
                  <from>
                    <xdr:col>1</xdr:col>
                    <xdr:colOff>0</xdr:colOff>
                    <xdr:row>7</xdr:row>
                    <xdr:rowOff>0</xdr:rowOff>
                  </from>
                  <to>
                    <xdr:col>2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19" name="Button 4">
              <controlPr defaultSize="0" print="0" autoFill="0" autoPict="0" macro="[0]!PRINT_SCH_M_2_2_SUMMARY">
                <anchor moveWithCells="1" sizeWithCells="1">
                  <from>
                    <xdr:col>0</xdr:col>
                    <xdr:colOff>752475</xdr:colOff>
                    <xdr:row>9</xdr:row>
                    <xdr:rowOff>9525</xdr:rowOff>
                  </from>
                  <to>
                    <xdr:col>2</xdr:col>
                    <xdr:colOff>9525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20" name="Button 5">
              <controlPr defaultSize="0" print="0" autoFill="0" autoPict="0" macro="[0]!PRINT_SCH_M_2_2_DETAIL">
                <anchor moveWithCells="1" siz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2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21" name="Button 6">
              <controlPr defaultSize="0" print="0" autoFill="0" autoPict="0" macro="[0]!PRINT_SCH_M_2_2_RESCURR">
                <anchor moveWithCells="1" sizeWithCells="1">
                  <from>
                    <xdr:col>3</xdr:col>
                    <xdr:colOff>0</xdr:colOff>
                    <xdr:row>7</xdr:row>
                    <xdr:rowOff>0</xdr:rowOff>
                  </from>
                  <to>
                    <xdr:col>4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22" name="Button 7">
              <controlPr defaultSize="0" print="0" autoFill="0" autoPict="0" macro="[0]!PRINT_SCH_M_2_2_DSCURR">
                <anchor moveWithCells="1" sizeWithCells="1">
                  <from>
                    <xdr:col>3</xdr:col>
                    <xdr:colOff>0</xdr:colOff>
                    <xdr:row>8</xdr:row>
                    <xdr:rowOff>180975</xdr:rowOff>
                  </from>
                  <to>
                    <xdr:col>3</xdr:col>
                    <xdr:colOff>1085850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23" name="Button 8">
              <controlPr defaultSize="0" print="0" autoFill="0" autoPict="0" macro="[0]!PRINT_SCH_M_2_2_DTCURR_PRI">
                <anchor moveWithCells="1" sizeWithCells="1">
                  <from>
                    <xdr:col>3</xdr:col>
                    <xdr:colOff>0</xdr:colOff>
                    <xdr:row>11</xdr:row>
                    <xdr:rowOff>9525</xdr:rowOff>
                  </from>
                  <to>
                    <xdr:col>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24" name="Button 9">
              <controlPr defaultSize="0" print="0" autoFill="0" autoPict="0" macro="[0]!PRINT_SCH_M_2_2_DPCURR">
                <anchor moveWithCells="1" sizeWithCells="1">
                  <from>
                    <xdr:col>5</xdr:col>
                    <xdr:colOff>0</xdr:colOff>
                    <xdr:row>9</xdr:row>
                    <xdr:rowOff>9525</xdr:rowOff>
                  </from>
                  <to>
                    <xdr:col>5</xdr:col>
                    <xdr:colOff>1085850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25" name="Button 10">
              <controlPr defaultSize="0" print="0" autoFill="0" autoPict="0" macro="[0]!PRINT_SCH_M_2_2_GSFLCURR">
                <anchor moveWithCells="1" sizeWithCells="1">
                  <from>
                    <xdr:col>5</xdr:col>
                    <xdr:colOff>0</xdr:colOff>
                    <xdr:row>6</xdr:row>
                    <xdr:rowOff>190500</xdr:rowOff>
                  </from>
                  <to>
                    <xdr:col>6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26" name="Button 11">
              <controlPr defaultSize="0" print="0" autoFill="0" autoPict="0" macro="[0]!PRINT_SCH_M_2_2_EHCURR">
                <anchor moveWithCells="1" sizeWithCells="1">
                  <from>
                    <xdr:col>3</xdr:col>
                    <xdr:colOff>0</xdr:colOff>
                    <xdr:row>14</xdr:row>
                    <xdr:rowOff>180975</xdr:rowOff>
                  </from>
                  <to>
                    <xdr:col>4</xdr:col>
                    <xdr:colOff>9525</xdr:colOff>
                    <xdr:row>15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27" name="Button 12">
              <controlPr defaultSize="0" print="0" autoFill="0" autoPict="0" macro="[0]!PRINT_SCH_M_2_2_TTCURR">
                <anchor moveWithCells="1" sizeWithCells="1">
                  <from>
                    <xdr:col>4</xdr:col>
                    <xdr:colOff>1076325</xdr:colOff>
                    <xdr:row>10</xdr:row>
                    <xdr:rowOff>180975</xdr:rowOff>
                  </from>
                  <to>
                    <xdr:col>6</xdr:col>
                    <xdr:colOff>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28" name="Button 13">
              <controlPr defaultSize="0" print="0" autoFill="0" autoPict="0" macro="[0]!PRINT_SCH_M_2_2_SLCURR">
                <anchor moveWithCells="1" sizeWithCells="1">
                  <from>
                    <xdr:col>7</xdr:col>
                    <xdr:colOff>9525</xdr:colOff>
                    <xdr:row>9</xdr:row>
                    <xdr:rowOff>9525</xdr:rowOff>
                  </from>
                  <to>
                    <xdr:col>8</xdr:col>
                    <xdr:colOff>9525</xdr:colOff>
                    <xdr:row>9</xdr:row>
                    <xdr:rowOff>504825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29" name="Button 14">
              <controlPr defaultSize="0" print="0" autoFill="0" autoPict="0" macro="[0]!PRINT_SCH_M_2_2_SECURR">
                <anchor moveWithCells="1" sizeWithCells="1">
                  <from>
                    <xdr:col>9</xdr:col>
                    <xdr:colOff>9525</xdr:colOff>
                    <xdr:row>9</xdr:row>
                    <xdr:rowOff>9525</xdr:rowOff>
                  </from>
                  <to>
                    <xdr:col>10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30" name="Button 15">
              <controlPr defaultSize="0" print="0" autoFill="0" autoPict="0" macro="[0]!PRINT_SCH_M_2_2_TLCURR">
                <anchor moveWithCells="1" sizeWithCells="1">
                  <from>
                    <xdr:col>7</xdr:col>
                    <xdr:colOff>0</xdr:colOff>
                    <xdr:row>10</xdr:row>
                    <xdr:rowOff>152400</xdr:rowOff>
                  </from>
                  <to>
                    <xdr:col>8</xdr:col>
                    <xdr:colOff>0</xdr:colOff>
                    <xdr:row>11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31" name="Button 17">
              <controlPr defaultSize="0" print="0" autoFill="0" autoPict="0" macro="[0]!PRINT_SCH_M_2_2_NSUCURR">
                <anchor moveWithCells="1" sizeWithCells="1">
                  <from>
                    <xdr:col>7</xdr:col>
                    <xdr:colOff>9525</xdr:colOff>
                    <xdr:row>14</xdr:row>
                    <xdr:rowOff>142875</xdr:rowOff>
                  </from>
                  <to>
                    <xdr:col>8</xdr:col>
                    <xdr:colOff>9525</xdr:colOff>
                    <xdr:row>15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32" name="Button 19">
              <controlPr defaultSize="0" print="0" autoFill="0" autoPict="0" macro="[0]!PRINT_SCH_M_2_3">
                <anchor moveWithCells="1" sizeWithCells="1">
                  <from>
                    <xdr:col>11</xdr:col>
                    <xdr:colOff>0</xdr:colOff>
                    <xdr:row>7</xdr:row>
                    <xdr:rowOff>9525</xdr:rowOff>
                  </from>
                  <to>
                    <xdr:col>12</xdr:col>
                    <xdr:colOff>0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33" name="Button 20">
              <controlPr defaultSize="0" print="0" autoFill="0" autoPict="0" macro="[0]!PRINT_SCH_M_2_3_SUMMARY">
                <anchor moveWithCells="1" sizeWithCells="1">
                  <from>
                    <xdr:col>10</xdr:col>
                    <xdr:colOff>742950</xdr:colOff>
                    <xdr:row>9</xdr:row>
                    <xdr:rowOff>0</xdr:rowOff>
                  </from>
                  <to>
                    <xdr:col>12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34" name="Button 21">
              <controlPr defaultSize="0" print="0" autoFill="0" autoPict="0" macro="[0]!PRINT_SCH_M_2_3_DETAIL">
                <anchor moveWithCells="1" sizeWithCells="1">
                  <from>
                    <xdr:col>11</xdr:col>
                    <xdr:colOff>0</xdr:colOff>
                    <xdr:row>11</xdr:row>
                    <xdr:rowOff>0</xdr:rowOff>
                  </from>
                  <to>
                    <xdr:col>12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35" name="Button 22">
              <controlPr defaultSize="0" print="0" autoFill="0" autoPict="0" macro="[0]!PRINT_SCH_M_2_3_RESPROP">
                <anchor moveWithCells="1" sizeWithCells="1">
                  <from>
                    <xdr:col>13</xdr:col>
                    <xdr:colOff>0</xdr:colOff>
                    <xdr:row>7</xdr:row>
                    <xdr:rowOff>9525</xdr:rowOff>
                  </from>
                  <to>
                    <xdr:col>14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36" name="Button 23">
              <controlPr defaultSize="0" print="0" autoFill="0" autoPict="0" macro="[0]!PRINT_SCH_M_2_3_DSPROP">
                <anchor moveWithCells="1" sizeWithCells="1">
                  <from>
                    <xdr:col>12</xdr:col>
                    <xdr:colOff>161925</xdr:colOff>
                    <xdr:row>8</xdr:row>
                    <xdr:rowOff>180975</xdr:rowOff>
                  </from>
                  <to>
                    <xdr:col>13</xdr:col>
                    <xdr:colOff>1085850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37" name="Button 24">
              <controlPr defaultSize="0" print="0" autoFill="0" autoPict="0" macro="[0]!PRINT_SCH_M_2_3_DTPROP_PRI">
                <anchor moveWithCells="1" sizeWithCells="1">
                  <from>
                    <xdr:col>12</xdr:col>
                    <xdr:colOff>161925</xdr:colOff>
                    <xdr:row>11</xdr:row>
                    <xdr:rowOff>0</xdr:rowOff>
                  </from>
                  <to>
                    <xdr:col>14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38" name="Button 25">
              <controlPr defaultSize="0" print="0" autoFill="0" autoPict="0" macro="[0]!PRINT_SCH_M_2_3_DPPROP">
                <anchor moveWithCells="1" sizeWithCells="1">
                  <from>
                    <xdr:col>15</xdr:col>
                    <xdr:colOff>0</xdr:colOff>
                    <xdr:row>9</xdr:row>
                    <xdr:rowOff>9525</xdr:rowOff>
                  </from>
                  <to>
                    <xdr:col>15</xdr:col>
                    <xdr:colOff>1085850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39" name="Button 26">
              <controlPr defaultSize="0" print="0" autoFill="0" autoPict="0" macro="[0]!PRINT_SCH_M_2_3_GSFLPROP">
                <anchor moveWithCells="1" sizeWithCells="1">
                  <from>
                    <xdr:col>15</xdr:col>
                    <xdr:colOff>0</xdr:colOff>
                    <xdr:row>7</xdr:row>
                    <xdr:rowOff>9525</xdr:rowOff>
                  </from>
                  <to>
                    <xdr:col>15</xdr:col>
                    <xdr:colOff>1085850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40" name="Button 27">
              <controlPr defaultSize="0" print="0" autoFill="0" autoPict="0" macro="[0]!PRINT_SCH_M_2_3_EHPROP">
                <anchor moveWithCells="1" sizeWithCells="1">
                  <from>
                    <xdr:col>13</xdr:col>
                    <xdr:colOff>0</xdr:colOff>
                    <xdr:row>15</xdr:row>
                    <xdr:rowOff>0</xdr:rowOff>
                  </from>
                  <to>
                    <xdr:col>13</xdr:col>
                    <xdr:colOff>1085850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41" name="Button 28">
              <controlPr defaultSize="0" print="0" autoFill="0" autoPict="0" macro="[0]!PRINT_SCH_M_2_3_TTPROP">
                <anchor moveWithCells="1" sizeWithCells="1">
                  <from>
                    <xdr:col>15</xdr:col>
                    <xdr:colOff>9525</xdr:colOff>
                    <xdr:row>11</xdr:row>
                    <xdr:rowOff>9525</xdr:rowOff>
                  </from>
                  <to>
                    <xdr:col>15</xdr:col>
                    <xdr:colOff>1085850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42" name="Button 29">
              <controlPr defaultSize="0" print="0" autoFill="0" autoPict="0" macro="[0]!PRINT_SCH_M_2_3_SLPROP">
                <anchor moveWithCells="1" sizeWithCells="1">
                  <from>
                    <xdr:col>17</xdr:col>
                    <xdr:colOff>0</xdr:colOff>
                    <xdr:row>9</xdr:row>
                    <xdr:rowOff>19050</xdr:rowOff>
                  </from>
                  <to>
                    <xdr:col>18</xdr:col>
                    <xdr:colOff>19050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43" name="Button 30">
              <controlPr defaultSize="0" print="0" autoFill="0" autoPict="0" macro="[0]!PRINT_SCH_M_2_3_SEPROP">
                <anchor moveWithCells="1" sizeWithCells="1">
                  <from>
                    <xdr:col>18</xdr:col>
                    <xdr:colOff>123825</xdr:colOff>
                    <xdr:row>8</xdr:row>
                    <xdr:rowOff>152400</xdr:rowOff>
                  </from>
                  <to>
                    <xdr:col>19</xdr:col>
                    <xdr:colOff>819150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44" name="Button 31">
              <controlPr defaultSize="0" print="0" autoFill="0" autoPict="0" macro="[0]!PRINT_SCH_M_2_3_TLPROP">
                <anchor moveWithCells="1" sizeWithCells="1">
                  <from>
                    <xdr:col>17</xdr:col>
                    <xdr:colOff>0</xdr:colOff>
                    <xdr:row>11</xdr:row>
                    <xdr:rowOff>19050</xdr:rowOff>
                  </from>
                  <to>
                    <xdr:col>18</xdr:col>
                    <xdr:colOff>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45" name="Button 33">
              <controlPr defaultSize="0" print="0" autoFill="0" autoPict="0" macro="[0]!PRINT_SCH_M_2_3_NSUPROP">
                <anchor moveWithCells="1" sizeWithCells="1">
                  <from>
                    <xdr:col>17</xdr:col>
                    <xdr:colOff>47625</xdr:colOff>
                    <xdr:row>15</xdr:row>
                    <xdr:rowOff>9525</xdr:rowOff>
                  </from>
                  <to>
                    <xdr:col>18</xdr:col>
                    <xdr:colOff>47625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46" name="Button 35">
              <controlPr defaultSize="0" print="0" autoFill="0" autoPict="0" macro="[0]!PRINT_SCH_M_2_1">
                <anchor moveWithCells="1" sizeWithCells="1">
                  <from>
                    <xdr:col>8</xdr:col>
                    <xdr:colOff>0</xdr:colOff>
                    <xdr:row>2</xdr:row>
                    <xdr:rowOff>209550</xdr:rowOff>
                  </from>
                  <to>
                    <xdr:col>13</xdr:col>
                    <xdr:colOff>9525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47" name="Button 36">
              <controlPr defaultSize="0" print="0" autoFill="0" autoPict="0" macro="[0]!PRINT_SCH_M_2_2_SCCURR">
                <anchor moveWithCells="1" sizeWithCells="1">
                  <from>
                    <xdr:col>9</xdr:col>
                    <xdr:colOff>9525</xdr:colOff>
                    <xdr:row>7</xdr:row>
                    <xdr:rowOff>0</xdr:rowOff>
                  </from>
                  <to>
                    <xdr:col>9</xdr:col>
                    <xdr:colOff>828675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8" name="Button 37">
              <controlPr defaultSize="0" print="0" autoFill="0" autoPict="0" macro="[0]!PRINT_SCH_M_2_3_SCPROP">
                <anchor moveWithCells="1" sizeWithCells="1">
                  <from>
                    <xdr:col>18</xdr:col>
                    <xdr:colOff>85725</xdr:colOff>
                    <xdr:row>7</xdr:row>
                    <xdr:rowOff>9525</xdr:rowOff>
                  </from>
                  <to>
                    <xdr:col>19</xdr:col>
                    <xdr:colOff>790575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9" name="Button 38">
              <controlPr defaultSize="0" print="0" autoFill="0" autoPict="0" macro="[0]!PRINT_RTP_CURRENT">
                <anchor moveWithCells="1" sizeWithCells="1">
                  <from>
                    <xdr:col>0</xdr:col>
                    <xdr:colOff>742950</xdr:colOff>
                    <xdr:row>13</xdr:row>
                    <xdr:rowOff>9525</xdr:rowOff>
                  </from>
                  <to>
                    <xdr:col>2</xdr:col>
                    <xdr:colOff>9525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50" name="Button 39">
              <controlPr defaultSize="0" print="0" autoFill="0" autoPict="0" macro="[0]!PRINT_RTP_DETAIL">
                <anchor moveWithCells="1" sizeWithCells="1">
                  <from>
                    <xdr:col>11</xdr:col>
                    <xdr:colOff>0</xdr:colOff>
                    <xdr:row>13</xdr:row>
                    <xdr:rowOff>19050</xdr:rowOff>
                  </from>
                  <to>
                    <xdr:col>12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51" name="Button 40">
              <controlPr defaultSize="0" print="0" autoFill="0" autoPict="0" macro="[0]!PRINT_SCH_M_2_3_DTPROP_SEC">
                <anchor moveWithCells="1" sizeWithCells="1">
                  <from>
                    <xdr:col>13</xdr:col>
                    <xdr:colOff>9525</xdr:colOff>
                    <xdr:row>13</xdr:row>
                    <xdr:rowOff>0</xdr:rowOff>
                  </from>
                  <to>
                    <xdr:col>14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52" name="Button 41">
              <controlPr defaultSize="0" print="0" autoFill="0" autoPict="0" macro="[0]!PRINT_SCH_M_2_2_DTCURR_SEC">
                <anchor moveWithCells="1" sizeWithCells="1">
                  <from>
                    <xdr:col>2</xdr:col>
                    <xdr:colOff>1085850</xdr:colOff>
                    <xdr:row>12</xdr:row>
                    <xdr:rowOff>180975</xdr:rowOff>
                  </from>
                  <to>
                    <xdr:col>4</xdr:col>
                    <xdr:colOff>9525</xdr:colOff>
                    <xdr:row>13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53" name="Button 43">
              <controlPr defaultSize="0" print="0" autoFill="0" autoPict="0" macro="[0]!PRINT_SCH_M_2_3_UOLSPROP">
                <anchor moveWithCells="1" sizeWithCells="1">
                  <from>
                    <xdr:col>17</xdr:col>
                    <xdr:colOff>19050</xdr:colOff>
                    <xdr:row>13</xdr:row>
                    <xdr:rowOff>9525</xdr:rowOff>
                  </from>
                  <to>
                    <xdr:col>18</xdr:col>
                    <xdr:colOff>19050</xdr:colOff>
                    <xdr:row>13</xdr:row>
                    <xdr:rowOff>504825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54" name="Button 46">
              <controlPr defaultSize="0" print="0" autoFill="0" autoPict="0" macro="[0]!PRINT_SCH_M_2_2_UOLSCURR">
                <anchor moveWithCells="1" sizeWithCells="1">
                  <from>
                    <xdr:col>6</xdr:col>
                    <xdr:colOff>123825</xdr:colOff>
                    <xdr:row>13</xdr:row>
                    <xdr:rowOff>0</xdr:rowOff>
                  </from>
                  <to>
                    <xdr:col>7</xdr:col>
                    <xdr:colOff>819150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5" name="Button 48">
              <controlPr defaultSize="0" print="0" autoFill="0" autoPict="0" macro="[0]!PRINT_SCH_M_2_2_DTRTP_S_CURR">
                <anchor moveWithCells="1" sizeWithCells="1">
                  <from>
                    <xdr:col>5</xdr:col>
                    <xdr:colOff>19050</xdr:colOff>
                    <xdr:row>12</xdr:row>
                    <xdr:rowOff>152400</xdr:rowOff>
                  </from>
                  <to>
                    <xdr:col>6</xdr:col>
                    <xdr:colOff>9525</xdr:colOff>
                    <xdr:row>13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6" name="Button 49">
              <controlPr defaultSize="0" print="0" autoFill="0" autoPict="0" macro="[0]!PRINT_SCH_M_2_2_DSRTP_CURR">
                <anchor moveWithCells="1" sizeWithCells="1">
                  <from>
                    <xdr:col>5</xdr:col>
                    <xdr:colOff>28575</xdr:colOff>
                    <xdr:row>14</xdr:row>
                    <xdr:rowOff>142875</xdr:rowOff>
                  </from>
                  <to>
                    <xdr:col>6</xdr:col>
                    <xdr:colOff>28575</xdr:colOff>
                    <xdr:row>15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7" name="Button 50">
              <controlPr defaultSize="0" print="0" autoFill="0" autoPict="0" macro="[0]!PRINT_SCH_M_2_2_TTRTP_CURR">
                <anchor moveWithCells="1" sizeWithCells="1">
                  <from>
                    <xdr:col>7</xdr:col>
                    <xdr:colOff>9525</xdr:colOff>
                    <xdr:row>7</xdr:row>
                    <xdr:rowOff>0</xdr:rowOff>
                  </from>
                  <to>
                    <xdr:col>7</xdr:col>
                    <xdr:colOff>828675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8" name="Button 52">
              <controlPr defaultSize="0" print="0" autoFill="0" autoPict="0" macro="[0]!PRINT_SCH_M_2_3_DTRTP_S_PROP">
                <anchor moveWithCells="1" sizeWithCells="1">
                  <from>
                    <xdr:col>15</xdr:col>
                    <xdr:colOff>0</xdr:colOff>
                    <xdr:row>13</xdr:row>
                    <xdr:rowOff>0</xdr:rowOff>
                  </from>
                  <to>
                    <xdr:col>16</xdr:col>
                    <xdr:colOff>9525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9" name="Button 53">
              <controlPr defaultSize="0" print="0" autoFill="0" autoPict="0" macro="[0]!PRINT_SCH_M_2_3_DSRTP_PROP">
                <anchor moveWithCells="1" sizeWithCells="1">
                  <from>
                    <xdr:col>15</xdr:col>
                    <xdr:colOff>28575</xdr:colOff>
                    <xdr:row>14</xdr:row>
                    <xdr:rowOff>152400</xdr:rowOff>
                  </from>
                  <to>
                    <xdr:col>16</xdr:col>
                    <xdr:colOff>38100</xdr:colOff>
                    <xdr:row>15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60" name="Button 54">
              <controlPr defaultSize="0" print="0" autoFill="0" autoPict="0" macro="[0]!PRINT_SCH_M_2_3_TTRTP_PROP">
                <anchor moveWithCells="1" sizeWithCells="1">
                  <from>
                    <xdr:col>16</xdr:col>
                    <xdr:colOff>123825</xdr:colOff>
                    <xdr:row>7</xdr:row>
                    <xdr:rowOff>19050</xdr:rowOff>
                  </from>
                  <to>
                    <xdr:col>18</xdr:col>
                    <xdr:colOff>9525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61" name="Button 55">
              <controlPr defaultSize="0" print="0" autoFill="0" autoPict="0" macro="[0]!PRINT_SCH_M_2_2_LEDCURR">
                <anchor moveWithCells="1" sizeWithCells="1">
                  <from>
                    <xdr:col>9</xdr:col>
                    <xdr:colOff>9525</xdr:colOff>
                    <xdr:row>11</xdr:row>
                    <xdr:rowOff>9525</xdr:rowOff>
                  </from>
                  <to>
                    <xdr:col>10</xdr:col>
                    <xdr:colOff>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62" name="Button 57">
              <controlPr defaultSize="0" print="0" autoFill="0" autoPict="0" macro="[0]!PRINT_SCH_M_2_3_LEDPROP">
                <anchor moveWithCells="1" sizeWithCells="1">
                  <from>
                    <xdr:col>19</xdr:col>
                    <xdr:colOff>19050</xdr:colOff>
                    <xdr:row>11</xdr:row>
                    <xdr:rowOff>9525</xdr:rowOff>
                  </from>
                  <to>
                    <xdr:col>20</xdr:col>
                    <xdr:colOff>9525</xdr:colOff>
                    <xdr:row>12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43" transitionEvaluation="1" transitionEntry="1" codeName="Sheet15"/>
  <dimension ref="A1:BX1089"/>
  <sheetViews>
    <sheetView tabSelected="1" view="pageBreakPreview" topLeftCell="A43" zoomScale="60" zoomScaleNormal="75" workbookViewId="0">
      <selection sqref="A1:J1"/>
    </sheetView>
  </sheetViews>
  <sheetFormatPr defaultColWidth="9.77734375" defaultRowHeight="15.75" x14ac:dyDescent="0.25"/>
  <cols>
    <col min="1" max="1" width="5.21875" style="380" customWidth="1"/>
    <col min="2" max="2" width="0.44140625" style="380" customWidth="1"/>
    <col min="3" max="3" width="6.77734375" style="380" customWidth="1"/>
    <col min="4" max="4" width="38.88671875" style="380" customWidth="1"/>
    <col min="5" max="5" width="1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2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2.77734375" style="380" customWidth="1"/>
    <col min="15" max="15" width="0.5546875" style="380" customWidth="1"/>
    <col min="16" max="16" width="14.77734375" style="380" customWidth="1"/>
    <col min="17" max="17" width="0.5546875" style="380" customWidth="1"/>
    <col min="18" max="18" width="17" style="380" customWidth="1"/>
    <col min="19" max="19" width="6.77734375" style="380" customWidth="1"/>
    <col min="20" max="20" width="9.6640625" style="380" customWidth="1"/>
    <col min="21" max="21" width="0.5546875" style="380" customWidth="1"/>
    <col min="22" max="22" width="4.5546875" style="380" customWidth="1"/>
    <col min="23" max="23" width="43.33203125" style="380" customWidth="1"/>
    <col min="24" max="24" width="0.88671875" style="380" customWidth="1"/>
    <col min="25" max="25" width="10.21875" style="380" customWidth="1"/>
    <col min="26" max="26" width="0.6640625" style="380" customWidth="1"/>
    <col min="27" max="27" width="13.33203125" style="380" customWidth="1"/>
    <col min="28" max="28" width="0.6640625" style="380" customWidth="1"/>
    <col min="29" max="29" width="11.6640625" style="380" customWidth="1"/>
    <col min="30" max="30" width="0.88671875" style="380" customWidth="1"/>
    <col min="31" max="31" width="12.88671875" style="380" customWidth="1"/>
    <col min="32" max="32" width="0.77734375" style="380" customWidth="1"/>
    <col min="33" max="33" width="13.6640625" style="153" customWidth="1"/>
    <col min="34" max="34" width="0.6640625" style="380" customWidth="1"/>
    <col min="35" max="35" width="14.33203125" style="380" customWidth="1"/>
    <col min="36" max="36" width="0.77734375" style="380" customWidth="1"/>
    <col min="37" max="37" width="14.5546875" style="153" customWidth="1"/>
    <col min="38" max="38" width="0.5546875" style="380" customWidth="1"/>
    <col min="39" max="39" width="12.109375" style="380" customWidth="1"/>
    <col min="40" max="40" width="0.5546875" style="380" customWidth="1"/>
    <col min="41" max="41" width="13.21875" style="380" customWidth="1"/>
    <col min="42" max="42" width="0.6640625" style="380" customWidth="1"/>
    <col min="43" max="43" width="11.21875" style="153" customWidth="1"/>
    <col min="44" max="44" width="14.77734375" style="380" customWidth="1"/>
    <col min="45" max="45" width="4.77734375" style="380" customWidth="1"/>
    <col min="46" max="46" width="5.77734375" style="380" customWidth="1"/>
    <col min="47" max="47" width="10.77734375" style="380" customWidth="1"/>
    <col min="48" max="48" width="11.77734375" style="380" customWidth="1"/>
    <col min="49" max="49" width="12.77734375" style="380" customWidth="1"/>
    <col min="50" max="52" width="15.77734375" style="380" customWidth="1"/>
    <col min="53" max="53" width="12.77734375" style="380" customWidth="1"/>
    <col min="54" max="56" width="15.77734375" style="380" customWidth="1"/>
    <col min="57" max="57" width="12.77734375" style="380" customWidth="1"/>
    <col min="58" max="59" width="9.77734375" style="380"/>
    <col min="60" max="62" width="12.77734375" style="380" customWidth="1"/>
    <col min="63" max="63" width="14.77734375" style="380" customWidth="1"/>
    <col min="64" max="65" width="9.77734375" style="380"/>
    <col min="66" max="68" width="12.77734375" style="380" customWidth="1"/>
    <col min="69" max="69" width="14.77734375" style="380" customWidth="1"/>
    <col min="70" max="76" width="9.77734375" style="380"/>
    <col min="77" max="77" width="1.77734375" style="380" customWidth="1"/>
    <col min="78" max="79" width="9.77734375" style="380"/>
    <col min="80" max="80" width="10.77734375" style="380" customWidth="1"/>
    <col min="81" max="82" width="9.77734375" style="380"/>
    <col min="83" max="83" width="7.77734375" style="380" customWidth="1"/>
    <col min="84" max="16384" width="9.77734375" style="380"/>
  </cols>
  <sheetData>
    <row r="1" spans="1:40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3"/>
      <c r="K1" s="44"/>
      <c r="L1" s="44"/>
      <c r="M1" s="43"/>
      <c r="N1" s="43"/>
      <c r="O1" s="43"/>
      <c r="P1" s="43"/>
      <c r="Q1" s="43"/>
      <c r="R1" s="43"/>
      <c r="S1" s="43"/>
      <c r="Z1" s="53"/>
    </row>
    <row r="2" spans="1:40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3"/>
      <c r="K2" s="44"/>
      <c r="L2" s="44"/>
      <c r="M2" s="43"/>
      <c r="N2" s="43"/>
      <c r="O2" s="43"/>
      <c r="P2" s="43"/>
      <c r="Q2" s="43"/>
      <c r="R2" s="43"/>
      <c r="S2" s="43"/>
      <c r="Z2" s="53"/>
    </row>
    <row r="3" spans="1:40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Y3" s="54"/>
    </row>
    <row r="4" spans="1:4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3"/>
      <c r="K4" s="44"/>
      <c r="L4" s="44"/>
      <c r="M4" s="43"/>
      <c r="N4" s="43"/>
      <c r="O4" s="43"/>
      <c r="P4" s="43"/>
      <c r="Q4" s="43"/>
      <c r="R4" s="43"/>
      <c r="S4" s="43"/>
      <c r="Z4" s="53"/>
    </row>
    <row r="5" spans="1:4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4"/>
      <c r="N5" s="44"/>
      <c r="O5" s="43"/>
      <c r="P5" s="43"/>
      <c r="Q5" s="43"/>
      <c r="R5" s="43"/>
      <c r="S5" s="43"/>
      <c r="AA5" s="54"/>
      <c r="AB5" s="54"/>
    </row>
    <row r="6" spans="1:40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K6" s="161"/>
      <c r="AL6" s="54"/>
    </row>
    <row r="7" spans="1:40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16 OF "&amp;TEXT(Page_Num_2.3,"00")</f>
        <v>PAGE 16 OF 23</v>
      </c>
      <c r="AK7" s="161"/>
      <c r="AL7" s="54"/>
    </row>
    <row r="8" spans="1:40" x14ac:dyDescent="0.25">
      <c r="A8" s="46" t="s">
        <v>177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K8" s="161"/>
      <c r="AL8" s="54"/>
    </row>
    <row r="9" spans="1:40" x14ac:dyDescent="0.25">
      <c r="A9" s="218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N9" s="46"/>
      <c r="O9" s="378"/>
      <c r="P9" s="378"/>
      <c r="Q9" s="378"/>
      <c r="R9" s="45" t="str">
        <f>WIT</f>
        <v>J. L. Kern</v>
      </c>
      <c r="Y9" s="137" t="s">
        <v>470</v>
      </c>
      <c r="AK9" s="161"/>
      <c r="AL9" s="54"/>
    </row>
    <row r="10" spans="1:40" x14ac:dyDescent="0.25">
      <c r="A10" s="44" t="s">
        <v>136</v>
      </c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4"/>
      <c r="N10" s="44"/>
      <c r="O10" s="43"/>
      <c r="P10" s="43"/>
      <c r="Q10" s="43"/>
      <c r="R10" s="43"/>
      <c r="Y10" s="137" t="s">
        <v>471</v>
      </c>
      <c r="AA10" s="54"/>
      <c r="AB10" s="54"/>
      <c r="AK10" s="156"/>
      <c r="AL10" s="53"/>
    </row>
    <row r="11" spans="1:40" x14ac:dyDescent="0.25">
      <c r="A11" s="72"/>
      <c r="B11" s="72"/>
      <c r="C11" s="72"/>
      <c r="D11" s="72"/>
      <c r="E11" s="72"/>
      <c r="F11" s="72"/>
      <c r="G11" s="378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X11" s="55"/>
      <c r="Y11" s="137" t="s">
        <v>472</v>
      </c>
      <c r="Z11" s="55"/>
      <c r="AA11" s="55"/>
      <c r="AB11" s="55"/>
      <c r="AC11" s="55"/>
      <c r="AD11" s="55"/>
      <c r="AE11" s="55"/>
      <c r="AF11" s="55"/>
      <c r="AG11" s="154"/>
      <c r="AH11" s="55"/>
      <c r="AI11" s="55"/>
      <c r="AJ11" s="55"/>
      <c r="AK11" s="154"/>
      <c r="AL11" s="55"/>
      <c r="AM11" s="55"/>
      <c r="AN11" s="55"/>
    </row>
    <row r="12" spans="1:40" ht="18" customHeight="1" x14ac:dyDescent="0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4" t="s">
        <v>6</v>
      </c>
      <c r="M12" s="74"/>
      <c r="N12" s="74" t="s">
        <v>7</v>
      </c>
      <c r="O12" s="74"/>
      <c r="P12" s="73"/>
      <c r="Q12" s="73"/>
      <c r="R12" s="74" t="s">
        <v>6</v>
      </c>
      <c r="AA12" s="56"/>
      <c r="AB12" s="56"/>
      <c r="AC12" s="56"/>
      <c r="AD12" s="56"/>
      <c r="AE12" s="56"/>
      <c r="AF12" s="56"/>
      <c r="AG12" s="155"/>
      <c r="AH12" s="56"/>
      <c r="AK12" s="155"/>
      <c r="AL12" s="56"/>
      <c r="AM12" s="56"/>
      <c r="AN12" s="56"/>
    </row>
    <row r="13" spans="1:40" x14ac:dyDescent="0.25">
      <c r="A13" s="378"/>
      <c r="B13" s="378"/>
      <c r="C13" s="378"/>
      <c r="D13" s="378"/>
      <c r="E13" s="378"/>
      <c r="F13" s="378"/>
      <c r="G13" s="378"/>
      <c r="H13" s="378"/>
      <c r="I13" s="378"/>
      <c r="J13" s="378"/>
      <c r="K13" s="378"/>
      <c r="L13" s="426" t="s">
        <v>12</v>
      </c>
      <c r="M13" s="426"/>
      <c r="N13" s="426" t="s">
        <v>13</v>
      </c>
      <c r="O13" s="426"/>
      <c r="P13" s="378"/>
      <c r="Q13" s="378"/>
      <c r="R13" s="426" t="s">
        <v>11</v>
      </c>
      <c r="Z13" s="56"/>
      <c r="AA13" s="56"/>
      <c r="AB13" s="56"/>
      <c r="AC13" s="56"/>
      <c r="AD13" s="56"/>
      <c r="AE13" s="56"/>
      <c r="AF13" s="56"/>
      <c r="AG13" s="155"/>
      <c r="AH13" s="56"/>
      <c r="AK13" s="155"/>
      <c r="AL13" s="56"/>
      <c r="AM13" s="56"/>
      <c r="AN13" s="56"/>
    </row>
    <row r="14" spans="1:40" x14ac:dyDescent="0.25">
      <c r="A14" s="426" t="s">
        <v>17</v>
      </c>
      <c r="B14" s="378"/>
      <c r="C14" s="426" t="s">
        <v>18</v>
      </c>
      <c r="D14" s="426" t="s">
        <v>19</v>
      </c>
      <c r="E14" s="426"/>
      <c r="F14" s="426" t="s">
        <v>20</v>
      </c>
      <c r="G14" s="378"/>
      <c r="H14" s="378"/>
      <c r="I14" s="378"/>
      <c r="J14" s="426" t="s">
        <v>6</v>
      </c>
      <c r="K14" s="426"/>
      <c r="L14" s="426" t="s">
        <v>21</v>
      </c>
      <c r="M14" s="426"/>
      <c r="N14" s="426" t="s">
        <v>21</v>
      </c>
      <c r="O14" s="426"/>
      <c r="P14" s="426" t="s">
        <v>21</v>
      </c>
      <c r="Q14" s="426"/>
      <c r="R14" s="426" t="s">
        <v>9</v>
      </c>
      <c r="Z14" s="56"/>
      <c r="AA14" s="56"/>
      <c r="AB14" s="56"/>
      <c r="AC14" s="56"/>
      <c r="AD14" s="56"/>
      <c r="AE14" s="56"/>
      <c r="AF14" s="56"/>
      <c r="AG14" s="155"/>
      <c r="AH14" s="56"/>
      <c r="AI14" s="56"/>
      <c r="AJ14" s="56"/>
      <c r="AK14" s="155"/>
      <c r="AL14" s="56"/>
      <c r="AM14" s="56"/>
      <c r="AN14" s="56"/>
    </row>
    <row r="15" spans="1:40" x14ac:dyDescent="0.25">
      <c r="A15" s="426" t="s">
        <v>24</v>
      </c>
      <c r="B15" s="378"/>
      <c r="C15" s="426" t="s">
        <v>25</v>
      </c>
      <c r="D15" s="426" t="s">
        <v>26</v>
      </c>
      <c r="E15" s="426"/>
      <c r="F15" s="426" t="s">
        <v>27</v>
      </c>
      <c r="G15" s="378"/>
      <c r="H15" s="426" t="s">
        <v>28</v>
      </c>
      <c r="I15" s="426"/>
      <c r="J15" s="426" t="s">
        <v>29</v>
      </c>
      <c r="K15" s="426"/>
      <c r="L15" s="426" t="s">
        <v>9</v>
      </c>
      <c r="M15" s="426"/>
      <c r="N15" s="426" t="s">
        <v>9</v>
      </c>
      <c r="O15" s="426"/>
      <c r="P15" s="426" t="s">
        <v>379</v>
      </c>
      <c r="Q15" s="426"/>
      <c r="R15" s="265" t="s">
        <v>30</v>
      </c>
      <c r="Y15" s="56"/>
      <c r="Z15" s="56"/>
      <c r="AA15" s="56"/>
      <c r="AB15" s="56"/>
      <c r="AC15" s="56"/>
      <c r="AD15" s="56"/>
      <c r="AE15" s="56"/>
      <c r="AF15" s="56"/>
      <c r="AG15" s="155"/>
      <c r="AH15" s="56"/>
      <c r="AI15" s="56"/>
      <c r="AJ15" s="56"/>
      <c r="AK15" s="155"/>
      <c r="AL15" s="56"/>
      <c r="AM15" s="56"/>
      <c r="AN15" s="56"/>
    </row>
    <row r="16" spans="1:40" x14ac:dyDescent="0.25">
      <c r="A16" s="378"/>
      <c r="B16" s="378"/>
      <c r="C16" s="265" t="s">
        <v>35</v>
      </c>
      <c r="D16" s="265" t="s">
        <v>36</v>
      </c>
      <c r="E16" s="265"/>
      <c r="F16" s="265" t="s">
        <v>37</v>
      </c>
      <c r="G16" s="218"/>
      <c r="H16" s="265" t="s">
        <v>38</v>
      </c>
      <c r="I16" s="265"/>
      <c r="J16" s="265" t="s">
        <v>39</v>
      </c>
      <c r="K16" s="265"/>
      <c r="L16" s="265" t="s">
        <v>40</v>
      </c>
      <c r="M16" s="265"/>
      <c r="N16" s="265" t="s">
        <v>41</v>
      </c>
      <c r="O16" s="265"/>
      <c r="P16" s="265" t="s">
        <v>42</v>
      </c>
      <c r="Q16" s="265"/>
      <c r="R16" s="265" t="s">
        <v>43</v>
      </c>
      <c r="X16" s="55"/>
      <c r="Y16" s="55"/>
      <c r="Z16" s="55"/>
      <c r="AA16" s="55"/>
      <c r="AB16" s="55"/>
      <c r="AC16" s="55"/>
      <c r="AD16" s="55"/>
      <c r="AE16" s="55"/>
      <c r="AF16" s="55"/>
      <c r="AG16" s="154"/>
      <c r="AH16" s="55"/>
      <c r="AI16" s="55"/>
      <c r="AJ16" s="55"/>
      <c r="AK16" s="154"/>
      <c r="AL16" s="55"/>
      <c r="AM16" s="55"/>
      <c r="AN16" s="55"/>
    </row>
    <row r="17" spans="1:40" ht="17.100000000000001" customHeight="1" x14ac:dyDescent="0.25">
      <c r="A17" s="73"/>
      <c r="B17" s="73"/>
      <c r="C17" s="73"/>
      <c r="D17" s="73"/>
      <c r="E17" s="73"/>
      <c r="F17" s="73"/>
      <c r="G17" s="73"/>
      <c r="H17" s="496" t="s">
        <v>51</v>
      </c>
      <c r="I17" s="496"/>
      <c r="J17" s="495" t="s">
        <v>368</v>
      </c>
      <c r="K17" s="496"/>
      <c r="L17" s="496" t="s">
        <v>52</v>
      </c>
      <c r="M17" s="496"/>
      <c r="N17" s="496" t="s">
        <v>53</v>
      </c>
      <c r="O17" s="496"/>
      <c r="P17" s="496" t="s">
        <v>52</v>
      </c>
      <c r="Q17" s="496"/>
      <c r="R17" s="496" t="s">
        <v>52</v>
      </c>
      <c r="Y17" s="56"/>
      <c r="Z17" s="56"/>
      <c r="AA17" s="56"/>
      <c r="AB17" s="56"/>
      <c r="AC17" s="56"/>
      <c r="AD17" s="56"/>
      <c r="AE17" s="56"/>
      <c r="AF17" s="56"/>
      <c r="AG17" s="155"/>
      <c r="AH17" s="56"/>
      <c r="AI17" s="56"/>
      <c r="AJ17" s="56"/>
      <c r="AK17" s="155"/>
      <c r="AL17" s="56"/>
      <c r="AM17" s="56"/>
      <c r="AN17" s="56"/>
    </row>
    <row r="18" spans="1:40" x14ac:dyDescent="0.25">
      <c r="A18" s="45">
        <v>1</v>
      </c>
      <c r="B18" s="378"/>
      <c r="C18" s="222" t="s">
        <v>83</v>
      </c>
      <c r="D18" s="222" t="s">
        <v>84</v>
      </c>
      <c r="E18" s="46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</row>
    <row r="19" spans="1:40" x14ac:dyDescent="0.25">
      <c r="A19" s="45">
        <v>2</v>
      </c>
      <c r="B19" s="378"/>
      <c r="C19" s="218"/>
      <c r="D19" s="222" t="s">
        <v>85</v>
      </c>
      <c r="E19" s="46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</row>
    <row r="20" spans="1:40" x14ac:dyDescent="0.25">
      <c r="A20" s="378"/>
      <c r="B20" s="378"/>
      <c r="C20" s="378"/>
      <c r="D20" s="378"/>
      <c r="E20" s="378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40" x14ac:dyDescent="0.25">
      <c r="A21" s="45">
        <v>3</v>
      </c>
      <c r="B21" s="378"/>
      <c r="C21" s="222" t="s">
        <v>86</v>
      </c>
      <c r="D21" s="218"/>
      <c r="E21" s="378"/>
      <c r="F21" s="5"/>
      <c r="G21" s="2"/>
      <c r="H21" s="2"/>
      <c r="I21" s="2"/>
      <c r="J21" s="104"/>
      <c r="K21" s="104"/>
      <c r="L21" s="5"/>
      <c r="M21" s="5"/>
      <c r="N21" s="2"/>
      <c r="O21" s="2"/>
      <c r="P21" s="2"/>
      <c r="Q21" s="2"/>
      <c r="R21" s="5"/>
      <c r="S21" s="379"/>
      <c r="Y21" s="379"/>
      <c r="Z21" s="449"/>
      <c r="AA21" s="379"/>
      <c r="AB21" s="379"/>
      <c r="AC21" s="50"/>
      <c r="AD21" s="50"/>
      <c r="AE21" s="379"/>
      <c r="AF21" s="379"/>
      <c r="AI21" s="379"/>
      <c r="AJ21" s="379"/>
      <c r="AK21" s="156"/>
      <c r="AL21" s="379"/>
    </row>
    <row r="22" spans="1:40" x14ac:dyDescent="0.25">
      <c r="A22" s="45">
        <v>4</v>
      </c>
      <c r="B22" s="378"/>
      <c r="C22" s="222" t="s">
        <v>434</v>
      </c>
      <c r="D22" s="218"/>
      <c r="E22" s="378"/>
      <c r="F22" s="5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5"/>
      <c r="S22" s="379"/>
      <c r="Y22" s="381"/>
      <c r="Z22" s="464"/>
      <c r="AA22" s="381"/>
      <c r="AB22" s="381"/>
      <c r="AC22" s="381"/>
      <c r="AD22" s="381"/>
      <c r="AE22" s="381"/>
      <c r="AF22" s="381"/>
      <c r="AI22" s="381"/>
      <c r="AJ22" s="381"/>
      <c r="AK22" s="162"/>
      <c r="AL22" s="381"/>
      <c r="AM22" s="50"/>
      <c r="AN22" s="50"/>
    </row>
    <row r="23" spans="1:40" x14ac:dyDescent="0.25">
      <c r="A23" s="378"/>
      <c r="B23" s="378"/>
      <c r="C23" s="378"/>
      <c r="D23" s="378"/>
      <c r="E23" s="37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379"/>
      <c r="V23" s="449"/>
      <c r="Y23" s="449"/>
      <c r="Z23" s="464"/>
      <c r="AA23" s="379"/>
      <c r="AB23" s="379"/>
      <c r="AC23" s="50"/>
      <c r="AD23" s="50"/>
      <c r="AE23" s="379"/>
      <c r="AF23" s="379"/>
      <c r="AI23" s="379"/>
      <c r="AJ23" s="379"/>
      <c r="AK23" s="156"/>
      <c r="AL23" s="379"/>
      <c r="AM23" s="50"/>
      <c r="AN23" s="50"/>
    </row>
    <row r="24" spans="1:40" x14ac:dyDescent="0.25">
      <c r="A24" s="45">
        <v>5</v>
      </c>
      <c r="B24" s="378"/>
      <c r="C24" s="46" t="s">
        <v>87</v>
      </c>
      <c r="D24" s="378"/>
      <c r="E24" s="378"/>
      <c r="F24" s="392">
        <v>77027</v>
      </c>
      <c r="G24" s="2"/>
      <c r="H24" s="392">
        <v>687336</v>
      </c>
      <c r="I24" s="86"/>
      <c r="J24" s="457">
        <f>ROUND(AC75+(AC75*LT_COS_RATE),6)</f>
        <v>4.3674999999999999E-2</v>
      </c>
      <c r="K24" s="481"/>
      <c r="L24" s="5">
        <f>ROUND((H24*J24),0)</f>
        <v>30019</v>
      </c>
      <c r="M24" s="5"/>
      <c r="N24" s="6">
        <f>ROUND((L24/L$47)*100,1)</f>
        <v>34</v>
      </c>
      <c r="O24" s="6"/>
      <c r="P24" s="5">
        <f>ROUND($P$47/$H$47*H24,0)</f>
        <v>468</v>
      </c>
      <c r="Q24" s="5"/>
      <c r="R24" s="5">
        <f>L24+P24</f>
        <v>30487</v>
      </c>
      <c r="S24" s="213"/>
      <c r="T24" s="84"/>
      <c r="V24" s="381"/>
      <c r="Y24" s="550">
        <f>J24-PRO_BASE_FUEL</f>
        <v>1.9837999999999998E-2</v>
      </c>
      <c r="Z24" s="464"/>
      <c r="AA24" s="381"/>
      <c r="AB24" s="381"/>
      <c r="AC24" s="381"/>
      <c r="AD24" s="381"/>
      <c r="AE24" s="381"/>
      <c r="AF24" s="381"/>
      <c r="AI24" s="381"/>
      <c r="AJ24" s="381"/>
      <c r="AK24" s="162"/>
      <c r="AL24" s="381"/>
      <c r="AM24" s="50"/>
      <c r="AN24" s="50"/>
    </row>
    <row r="25" spans="1:40" x14ac:dyDescent="0.25">
      <c r="A25" s="378"/>
      <c r="B25" s="378"/>
      <c r="C25" s="378"/>
      <c r="D25" s="378"/>
      <c r="E25" s="378"/>
      <c r="F25" s="5"/>
      <c r="G25" s="2"/>
      <c r="H25" s="5"/>
      <c r="I25" s="5"/>
      <c r="J25" s="465"/>
      <c r="K25" s="9"/>
      <c r="L25" s="5"/>
      <c r="M25" s="5"/>
      <c r="N25" s="2"/>
      <c r="O25" s="2"/>
      <c r="P25" s="5"/>
      <c r="Q25" s="5"/>
      <c r="R25" s="5"/>
      <c r="S25" s="379"/>
      <c r="T25" s="54"/>
      <c r="AA25" s="379"/>
      <c r="AB25" s="379"/>
      <c r="AC25" s="379"/>
      <c r="AD25" s="379"/>
      <c r="AI25" s="379"/>
      <c r="AJ25" s="379"/>
      <c r="AK25" s="156"/>
      <c r="AL25" s="379"/>
    </row>
    <row r="26" spans="1:40" x14ac:dyDescent="0.25">
      <c r="A26" s="45">
        <v>6</v>
      </c>
      <c r="B26" s="378"/>
      <c r="C26" s="222" t="s">
        <v>88</v>
      </c>
      <c r="D26" s="378"/>
      <c r="E26" s="378"/>
      <c r="F26" s="5"/>
      <c r="G26" s="2"/>
      <c r="H26" s="2"/>
      <c r="I26" s="2"/>
      <c r="J26" s="465"/>
      <c r="K26" s="104"/>
      <c r="L26" s="5"/>
      <c r="M26" s="5"/>
      <c r="N26" s="6"/>
      <c r="O26" s="6"/>
      <c r="P26" s="2"/>
      <c r="Q26" s="2"/>
      <c r="R26" s="5"/>
      <c r="Z26" s="53"/>
    </row>
    <row r="27" spans="1:40" x14ac:dyDescent="0.25">
      <c r="A27" s="45">
        <v>7</v>
      </c>
      <c r="B27" s="378"/>
      <c r="C27" s="444" t="s">
        <v>212</v>
      </c>
      <c r="D27" s="378"/>
      <c r="E27" s="378"/>
      <c r="F27" s="5"/>
      <c r="G27" s="2"/>
      <c r="H27" s="5"/>
      <c r="I27" s="5"/>
      <c r="J27" s="465"/>
      <c r="K27" s="104"/>
      <c r="L27" s="5"/>
      <c r="M27" s="5"/>
      <c r="N27" s="6"/>
      <c r="O27" s="6"/>
      <c r="P27" s="5"/>
      <c r="Q27" s="5"/>
      <c r="R27" s="5"/>
      <c r="Z27" s="53"/>
    </row>
    <row r="28" spans="1:40" x14ac:dyDescent="0.25">
      <c r="A28" s="45">
        <v>8</v>
      </c>
      <c r="B28" s="378"/>
      <c r="C28" s="222" t="s">
        <v>213</v>
      </c>
      <c r="D28" s="378"/>
      <c r="E28" s="378"/>
      <c r="F28" s="5"/>
      <c r="G28" s="2"/>
      <c r="H28" s="5"/>
      <c r="I28" s="5"/>
      <c r="J28" s="465"/>
      <c r="K28" s="104"/>
      <c r="L28" s="5"/>
      <c r="M28" s="5"/>
      <c r="N28" s="6"/>
      <c r="O28" s="6"/>
      <c r="P28" s="5"/>
      <c r="Q28" s="5"/>
      <c r="R28" s="5"/>
      <c r="Z28" s="53"/>
    </row>
    <row r="29" spans="1:40" x14ac:dyDescent="0.25">
      <c r="A29" s="45">
        <v>9</v>
      </c>
      <c r="B29" s="378"/>
      <c r="C29" s="444" t="s">
        <v>214</v>
      </c>
      <c r="D29" s="378"/>
      <c r="E29" s="378"/>
      <c r="F29" s="2"/>
      <c r="G29" s="2"/>
      <c r="H29" s="2"/>
      <c r="I29" s="2"/>
      <c r="J29" s="551"/>
      <c r="K29" s="2"/>
      <c r="L29" s="2"/>
      <c r="M29" s="2"/>
      <c r="N29" s="2"/>
      <c r="O29" s="2"/>
      <c r="P29" s="2"/>
      <c r="Q29" s="2"/>
      <c r="R29" s="2"/>
      <c r="Z29" s="53"/>
    </row>
    <row r="30" spans="1:40" x14ac:dyDescent="0.25">
      <c r="A30" s="45">
        <v>10</v>
      </c>
      <c r="B30" s="378"/>
      <c r="C30" s="222" t="s">
        <v>91</v>
      </c>
      <c r="D30" s="378"/>
      <c r="E30" s="378"/>
      <c r="F30" s="2"/>
      <c r="G30" s="2"/>
      <c r="H30" s="2"/>
      <c r="I30" s="2"/>
      <c r="J30" s="551"/>
      <c r="K30" s="2"/>
      <c r="L30" s="2"/>
      <c r="M30" s="2"/>
      <c r="N30" s="2"/>
      <c r="O30" s="2"/>
      <c r="P30" s="2"/>
      <c r="Q30" s="2"/>
      <c r="R30" s="2"/>
      <c r="Z30" s="53"/>
    </row>
    <row r="31" spans="1:40" x14ac:dyDescent="0.25">
      <c r="A31" s="378"/>
      <c r="B31" s="378"/>
      <c r="C31" s="378"/>
      <c r="D31" s="378"/>
      <c r="E31" s="378"/>
      <c r="F31" s="2"/>
      <c r="G31" s="2"/>
      <c r="H31" s="2"/>
      <c r="I31" s="2"/>
      <c r="J31" s="551"/>
      <c r="K31" s="2"/>
      <c r="L31" s="2"/>
      <c r="M31" s="2"/>
      <c r="N31" s="2"/>
      <c r="O31" s="2"/>
      <c r="P31" s="2"/>
      <c r="Q31" s="2"/>
      <c r="R31" s="2"/>
      <c r="Z31" s="53"/>
    </row>
    <row r="32" spans="1:40" x14ac:dyDescent="0.25">
      <c r="A32" s="45">
        <v>11</v>
      </c>
      <c r="B32" s="378"/>
      <c r="C32" s="46" t="s">
        <v>87</v>
      </c>
      <c r="D32" s="378"/>
      <c r="E32" s="378"/>
      <c r="F32" s="392">
        <v>0</v>
      </c>
      <c r="G32" s="2"/>
      <c r="H32" s="392">
        <v>0</v>
      </c>
      <c r="I32" s="86"/>
      <c r="J32" s="457">
        <f>ROUND(AC83+(AC83*LT_COS_RATE),6)</f>
        <v>2.4185000000000002E-2</v>
      </c>
      <c r="K32" s="481"/>
      <c r="L32" s="191">
        <v>0</v>
      </c>
      <c r="M32" s="5"/>
      <c r="N32" s="6">
        <f>ROUND((L32/L$47)*100,1)</f>
        <v>0</v>
      </c>
      <c r="O32" s="6"/>
      <c r="P32" s="5">
        <f>ROUND($P$47/$H$47*H32,0)</f>
        <v>0</v>
      </c>
      <c r="Q32" s="5"/>
      <c r="R32" s="5">
        <f>L32+P32</f>
        <v>0</v>
      </c>
      <c r="S32" s="214"/>
      <c r="T32" s="84"/>
      <c r="Z32" s="53"/>
    </row>
    <row r="33" spans="1:43" x14ac:dyDescent="0.25">
      <c r="A33" s="378"/>
      <c r="B33" s="378"/>
      <c r="C33" s="378"/>
      <c r="D33" s="378"/>
      <c r="E33" s="378"/>
      <c r="F33" s="5"/>
      <c r="G33" s="2"/>
      <c r="H33" s="2"/>
      <c r="I33" s="2"/>
      <c r="J33" s="551"/>
      <c r="K33" s="2"/>
      <c r="L33" s="2"/>
      <c r="M33" s="2"/>
      <c r="N33" s="2"/>
      <c r="O33" s="2"/>
      <c r="P33" s="2"/>
      <c r="Q33" s="2"/>
      <c r="R33" s="5"/>
      <c r="Z33" s="53"/>
    </row>
    <row r="34" spans="1:43" x14ac:dyDescent="0.25">
      <c r="A34" s="45">
        <v>12</v>
      </c>
      <c r="B34" s="378"/>
      <c r="C34" s="444" t="s">
        <v>215</v>
      </c>
      <c r="D34" s="378"/>
      <c r="E34" s="378"/>
      <c r="F34" s="5"/>
      <c r="G34" s="2"/>
      <c r="H34" s="2"/>
      <c r="I34" s="2"/>
      <c r="J34" s="465"/>
      <c r="K34" s="104"/>
      <c r="L34" s="5"/>
      <c r="M34" s="5"/>
      <c r="N34" s="6"/>
      <c r="O34" s="6"/>
      <c r="P34" s="2"/>
      <c r="Q34" s="2"/>
      <c r="R34" s="5"/>
    </row>
    <row r="35" spans="1:43" x14ac:dyDescent="0.25">
      <c r="A35" s="45">
        <v>13</v>
      </c>
      <c r="B35" s="378"/>
      <c r="C35" s="222" t="s">
        <v>89</v>
      </c>
      <c r="D35" s="378"/>
      <c r="E35" s="378"/>
      <c r="F35" s="5"/>
      <c r="G35" s="2"/>
      <c r="H35" s="5"/>
      <c r="I35" s="5"/>
      <c r="J35" s="465"/>
      <c r="K35" s="104"/>
      <c r="L35" s="5"/>
      <c r="M35" s="5"/>
      <c r="N35" s="6"/>
      <c r="O35" s="6"/>
      <c r="P35" s="5"/>
      <c r="Q35" s="5"/>
      <c r="R35" s="5"/>
    </row>
    <row r="36" spans="1:43" x14ac:dyDescent="0.25">
      <c r="A36" s="45">
        <v>14</v>
      </c>
      <c r="B36" s="378"/>
      <c r="C36" s="222" t="s">
        <v>90</v>
      </c>
      <c r="D36" s="378"/>
      <c r="E36" s="378"/>
      <c r="F36" s="2"/>
      <c r="G36" s="2"/>
      <c r="H36" s="2"/>
      <c r="I36" s="2"/>
      <c r="J36" s="551"/>
      <c r="K36" s="2"/>
      <c r="L36" s="2"/>
      <c r="M36" s="2"/>
      <c r="N36" s="2"/>
      <c r="O36" s="2"/>
      <c r="P36" s="2"/>
      <c r="Q36" s="2"/>
      <c r="R36" s="2"/>
    </row>
    <row r="37" spans="1:43" x14ac:dyDescent="0.25">
      <c r="A37" s="45">
        <v>15</v>
      </c>
      <c r="B37" s="378"/>
      <c r="C37" s="222" t="s">
        <v>435</v>
      </c>
      <c r="D37" s="378"/>
      <c r="E37" s="378"/>
      <c r="F37" s="2"/>
      <c r="G37" s="2"/>
      <c r="H37" s="2"/>
      <c r="I37" s="2"/>
      <c r="J37" s="551"/>
      <c r="K37" s="2"/>
      <c r="L37" s="2"/>
      <c r="M37" s="2"/>
      <c r="N37" s="2"/>
      <c r="O37" s="2"/>
      <c r="P37" s="2"/>
      <c r="Q37" s="2"/>
      <c r="R37" s="2"/>
    </row>
    <row r="38" spans="1:43" x14ac:dyDescent="0.25">
      <c r="A38" s="378"/>
      <c r="B38" s="378"/>
      <c r="C38" s="378"/>
      <c r="D38" s="378"/>
      <c r="E38" s="378"/>
      <c r="F38" s="2"/>
      <c r="G38" s="2"/>
      <c r="H38" s="2"/>
      <c r="I38" s="2"/>
      <c r="J38" s="551"/>
      <c r="K38" s="2"/>
      <c r="L38" s="2"/>
      <c r="M38" s="2"/>
      <c r="N38" s="2"/>
      <c r="O38" s="2"/>
      <c r="P38" s="2"/>
      <c r="Q38" s="2"/>
      <c r="R38" s="2"/>
    </row>
    <row r="39" spans="1:43" x14ac:dyDescent="0.25">
      <c r="A39" s="45">
        <v>16</v>
      </c>
      <c r="B39" s="378"/>
      <c r="C39" s="46" t="s">
        <v>87</v>
      </c>
      <c r="D39" s="378"/>
      <c r="E39" s="378"/>
      <c r="F39" s="452">
        <v>18876</v>
      </c>
      <c r="G39" s="2"/>
      <c r="H39" s="452">
        <v>758460</v>
      </c>
      <c r="I39" s="86"/>
      <c r="J39" s="457">
        <f>ROUND(AC90+(AC90*LT_COS_RATE),6)</f>
        <v>6.7860000000000004E-2</v>
      </c>
      <c r="K39" s="481"/>
      <c r="L39" s="81">
        <f>ROUND((H39*J39),0)</f>
        <v>51469</v>
      </c>
      <c r="M39" s="5"/>
      <c r="N39" s="88">
        <f>ROUND((L39/L$47)*100,1)</f>
        <v>58.3</v>
      </c>
      <c r="O39" s="6"/>
      <c r="P39" s="81">
        <f>ROUND($P$47/$H$47*H39,0)</f>
        <v>517</v>
      </c>
      <c r="Q39" s="5"/>
      <c r="R39" s="81">
        <f>L39+P39</f>
        <v>51986</v>
      </c>
      <c r="S39" s="214"/>
      <c r="T39" s="84"/>
      <c r="U39" s="57"/>
      <c r="V39" s="57"/>
      <c r="W39" s="57"/>
      <c r="X39" s="57"/>
      <c r="Y39" s="550">
        <f>J39-PRO_BASE_FUEL</f>
        <v>4.4023000000000007E-2</v>
      </c>
      <c r="Z39" s="57"/>
      <c r="AA39" s="57"/>
      <c r="AB39" s="57"/>
      <c r="AC39" s="57"/>
      <c r="AD39" s="57"/>
      <c r="AE39" s="57"/>
      <c r="AF39" s="57"/>
      <c r="AG39" s="158"/>
      <c r="AH39" s="57"/>
      <c r="AI39" s="57"/>
      <c r="AJ39" s="57"/>
      <c r="AK39" s="158"/>
      <c r="AL39" s="57"/>
      <c r="AM39" s="57"/>
      <c r="AN39" s="57"/>
      <c r="AO39" s="57"/>
      <c r="AP39" s="57"/>
      <c r="AQ39" s="158"/>
    </row>
    <row r="40" spans="1:43" ht="20.100000000000001" customHeight="1" x14ac:dyDescent="0.25">
      <c r="A40" s="45">
        <v>17</v>
      </c>
      <c r="B40" s="378"/>
      <c r="C40" s="444" t="s">
        <v>539</v>
      </c>
      <c r="D40" s="378"/>
      <c r="E40" s="378"/>
      <c r="F40" s="89">
        <f>F39+F32+F24</f>
        <v>95903</v>
      </c>
      <c r="G40" s="2"/>
      <c r="H40" s="89">
        <f>H39+H32+H24</f>
        <v>1445796</v>
      </c>
      <c r="I40" s="86"/>
      <c r="J40" s="457"/>
      <c r="K40" s="481"/>
      <c r="L40" s="89">
        <f>L39+L32+L24</f>
        <v>81488</v>
      </c>
      <c r="M40" s="5"/>
      <c r="N40" s="93">
        <f>ROUND((L40/L$47)*100,1)</f>
        <v>92.2</v>
      </c>
      <c r="O40" s="6"/>
      <c r="P40" s="89">
        <f>P39+P32+P24</f>
        <v>985</v>
      </c>
      <c r="Q40" s="5"/>
      <c r="R40" s="89">
        <f>R39+R32+R24</f>
        <v>82473</v>
      </c>
      <c r="S40" s="214"/>
      <c r="T40" s="84"/>
      <c r="U40" s="57"/>
      <c r="V40" s="57"/>
      <c r="W40" s="57"/>
      <c r="X40" s="57"/>
      <c r="Y40" s="550"/>
      <c r="Z40" s="57"/>
      <c r="AA40" s="57"/>
      <c r="AB40" s="57"/>
      <c r="AC40" s="57"/>
      <c r="AD40" s="57"/>
      <c r="AE40" s="57"/>
      <c r="AF40" s="57"/>
      <c r="AG40" s="158"/>
      <c r="AH40" s="57"/>
      <c r="AI40" s="57"/>
      <c r="AJ40" s="57"/>
      <c r="AK40" s="158"/>
      <c r="AL40" s="57"/>
      <c r="AM40" s="57"/>
      <c r="AN40" s="57"/>
      <c r="AO40" s="57"/>
      <c r="AP40" s="57"/>
      <c r="AQ40" s="158"/>
    </row>
    <row r="41" spans="1:43" ht="15.75" customHeight="1" x14ac:dyDescent="0.25">
      <c r="A41" s="45"/>
      <c r="B41" s="378"/>
      <c r="C41" s="444"/>
      <c r="D41" s="378"/>
      <c r="E41" s="378"/>
      <c r="F41" s="392"/>
      <c r="G41" s="2"/>
      <c r="H41" s="392"/>
      <c r="I41" s="86"/>
      <c r="J41" s="457"/>
      <c r="K41" s="481"/>
      <c r="L41" s="5"/>
      <c r="M41" s="5"/>
      <c r="N41" s="6"/>
      <c r="O41" s="6"/>
      <c r="P41" s="83"/>
      <c r="Q41" s="5"/>
      <c r="R41" s="5"/>
      <c r="S41" s="214"/>
      <c r="T41" s="84"/>
      <c r="U41" s="57"/>
      <c r="V41" s="57"/>
      <c r="W41" s="57"/>
      <c r="X41" s="57"/>
      <c r="Y41" s="550"/>
      <c r="Z41" s="57"/>
      <c r="AA41" s="57"/>
      <c r="AB41" s="57"/>
      <c r="AC41" s="57"/>
      <c r="AD41" s="57"/>
      <c r="AE41" s="57"/>
      <c r="AF41" s="57"/>
      <c r="AG41" s="158"/>
      <c r="AH41" s="57"/>
      <c r="AI41" s="57"/>
      <c r="AJ41" s="57"/>
      <c r="AK41" s="158"/>
      <c r="AL41" s="57"/>
      <c r="AM41" s="57"/>
      <c r="AN41" s="57"/>
      <c r="AO41" s="57"/>
      <c r="AP41" s="57"/>
      <c r="AQ41" s="158"/>
    </row>
    <row r="42" spans="1:43" ht="20.100000000000001" customHeight="1" x14ac:dyDescent="0.25">
      <c r="A42" s="45">
        <v>18</v>
      </c>
      <c r="B42" s="378"/>
      <c r="C42" s="222" t="s">
        <v>551</v>
      </c>
      <c r="D42" s="378"/>
      <c r="E42" s="378"/>
      <c r="F42" s="83"/>
      <c r="G42" s="2"/>
      <c r="H42" s="83"/>
      <c r="I42" s="5"/>
      <c r="J42" s="270"/>
      <c r="K42" s="2"/>
      <c r="L42" s="83"/>
      <c r="M42" s="5"/>
      <c r="N42" s="91"/>
      <c r="O42" s="8"/>
      <c r="P42" s="379"/>
      <c r="Q42" s="5"/>
      <c r="R42" s="83"/>
      <c r="S42" s="214"/>
      <c r="T42" s="84"/>
      <c r="U42" s="57"/>
      <c r="V42" s="57"/>
      <c r="W42" s="57"/>
      <c r="X42" s="57"/>
      <c r="Y42" s="550"/>
      <c r="Z42" s="57"/>
      <c r="AA42" s="57"/>
      <c r="AB42" s="57"/>
      <c r="AC42" s="57"/>
      <c r="AD42" s="57"/>
      <c r="AE42" s="57"/>
      <c r="AF42" s="57"/>
      <c r="AG42" s="158"/>
      <c r="AH42" s="57"/>
      <c r="AI42" s="57"/>
      <c r="AJ42" s="57"/>
      <c r="AK42" s="158"/>
      <c r="AL42" s="57"/>
      <c r="AM42" s="57"/>
      <c r="AN42" s="57"/>
      <c r="AO42" s="57"/>
      <c r="AP42" s="57"/>
      <c r="AQ42" s="158"/>
    </row>
    <row r="43" spans="1:43" ht="20.100000000000001" customHeight="1" x14ac:dyDescent="0.25">
      <c r="A43" s="45">
        <v>19</v>
      </c>
      <c r="B43" s="378"/>
      <c r="C43" s="216" t="str">
        <f>ESM_Name</f>
        <v>ENVIRONMENTAL SURCHARGE MECHANISM RIDER (ESM)</v>
      </c>
      <c r="D43" s="378"/>
      <c r="E43" s="378"/>
      <c r="F43" s="83"/>
      <c r="G43" s="2"/>
      <c r="H43" s="83"/>
      <c r="I43" s="5"/>
      <c r="J43" s="522"/>
      <c r="K43" s="2"/>
      <c r="L43" s="83">
        <f>AE94</f>
        <v>7102</v>
      </c>
      <c r="M43" s="5"/>
      <c r="N43" s="91">
        <f>ROUND((L43/L$47)*100,1)</f>
        <v>8</v>
      </c>
      <c r="O43" s="8"/>
      <c r="P43" s="379"/>
      <c r="Q43" s="5"/>
      <c r="R43" s="83">
        <f t="shared" ref="R43" si="0">L43+P43</f>
        <v>7102</v>
      </c>
      <c r="S43" s="214"/>
      <c r="T43" s="84"/>
      <c r="U43" s="57"/>
      <c r="V43" s="57"/>
      <c r="W43" s="57"/>
      <c r="X43" s="57"/>
      <c r="Y43" s="550"/>
      <c r="Z43" s="57"/>
      <c r="AA43" s="57"/>
      <c r="AB43" s="57"/>
      <c r="AC43" s="57"/>
      <c r="AD43" s="57"/>
      <c r="AE43" s="57"/>
      <c r="AF43" s="57"/>
      <c r="AG43" s="158"/>
      <c r="AH43" s="57"/>
      <c r="AI43" s="57"/>
      <c r="AJ43" s="57"/>
      <c r="AK43" s="158"/>
      <c r="AL43" s="57"/>
      <c r="AM43" s="57"/>
      <c r="AN43" s="57"/>
      <c r="AO43" s="57"/>
      <c r="AP43" s="57"/>
      <c r="AQ43" s="158"/>
    </row>
    <row r="44" spans="1:43" x14ac:dyDescent="0.25">
      <c r="A44" s="45">
        <v>20</v>
      </c>
      <c r="B44" s="378"/>
      <c r="C44" s="300" t="str">
        <f>PSM_Name</f>
        <v>PROFIT SHARING MECHANISM (PSM)</v>
      </c>
      <c r="D44" s="378"/>
      <c r="E44" s="378"/>
      <c r="F44" s="83"/>
      <c r="G44" s="2"/>
      <c r="H44" s="83"/>
      <c r="I44" s="5"/>
      <c r="J44" s="551">
        <f>PRO_PSM</f>
        <v>-1.63E-4</v>
      </c>
      <c r="K44" s="2"/>
      <c r="L44" s="81">
        <f>ROUND($H$40*J44,0)</f>
        <v>-236</v>
      </c>
      <c r="M44" s="5"/>
      <c r="N44" s="148">
        <f>ROUND((L44/L$47)*100,1)</f>
        <v>-0.3</v>
      </c>
      <c r="O44" s="8"/>
      <c r="P44" s="486"/>
      <c r="Q44" s="5"/>
      <c r="R44" s="81">
        <f t="shared" ref="R44" si="1">L44+P44</f>
        <v>-236</v>
      </c>
      <c r="S44" s="214"/>
      <c r="T44" s="84"/>
      <c r="U44" s="57"/>
      <c r="V44" s="57"/>
      <c r="W44" s="57"/>
      <c r="X44" s="57"/>
      <c r="Y44" s="550"/>
      <c r="Z44" s="57"/>
      <c r="AA44" s="57"/>
      <c r="AB44" s="57"/>
      <c r="AC44" s="57"/>
      <c r="AD44" s="57"/>
      <c r="AE44" s="57"/>
      <c r="AF44" s="57"/>
      <c r="AG44" s="158"/>
      <c r="AH44" s="57"/>
      <c r="AI44" s="57"/>
      <c r="AJ44" s="57"/>
      <c r="AK44" s="158"/>
      <c r="AL44" s="57"/>
      <c r="AM44" s="57"/>
      <c r="AN44" s="57"/>
      <c r="AO44" s="57"/>
      <c r="AP44" s="57"/>
      <c r="AQ44" s="158"/>
    </row>
    <row r="45" spans="1:43" ht="20.100000000000001" customHeight="1" x14ac:dyDescent="0.25">
      <c r="A45" s="45">
        <v>21</v>
      </c>
      <c r="B45" s="378"/>
      <c r="C45" s="222" t="s">
        <v>538</v>
      </c>
      <c r="D45" s="378"/>
      <c r="E45" s="378"/>
      <c r="F45" s="81"/>
      <c r="G45" s="2"/>
      <c r="H45" s="81"/>
      <c r="I45" s="5"/>
      <c r="J45" s="2"/>
      <c r="K45" s="2"/>
      <c r="L45" s="90">
        <f>SUM(L43:L44)</f>
        <v>6866</v>
      </c>
      <c r="M45" s="5"/>
      <c r="N45" s="150">
        <f>ROUND((L45/L$47)*100,1)</f>
        <v>7.8</v>
      </c>
      <c r="O45" s="8"/>
      <c r="P45" s="482"/>
      <c r="Q45" s="5"/>
      <c r="R45" s="90">
        <f>SUM(R43:R44)</f>
        <v>6866</v>
      </c>
      <c r="S45" s="214"/>
      <c r="T45" s="84"/>
      <c r="U45" s="57"/>
      <c r="V45" s="57"/>
      <c r="W45" s="57"/>
      <c r="X45" s="57"/>
      <c r="Y45" s="550"/>
      <c r="Z45" s="57"/>
      <c r="AA45" s="57"/>
      <c r="AB45" s="57"/>
      <c r="AC45" s="57"/>
      <c r="AD45" s="57"/>
      <c r="AE45" s="57"/>
      <c r="AF45" s="57"/>
      <c r="AG45" s="158"/>
      <c r="AH45" s="57"/>
      <c r="AI45" s="57"/>
      <c r="AJ45" s="57"/>
      <c r="AK45" s="158"/>
      <c r="AL45" s="57"/>
      <c r="AM45" s="57"/>
      <c r="AN45" s="57"/>
      <c r="AO45" s="57"/>
      <c r="AP45" s="57"/>
      <c r="AQ45" s="158"/>
    </row>
    <row r="46" spans="1:43" x14ac:dyDescent="0.25">
      <c r="A46" s="45"/>
      <c r="B46" s="378"/>
      <c r="C46" s="46"/>
      <c r="D46" s="378"/>
      <c r="E46" s="378"/>
      <c r="F46" s="449"/>
      <c r="G46" s="2"/>
      <c r="H46" s="449"/>
      <c r="I46" s="86"/>
      <c r="J46" s="453"/>
      <c r="K46" s="481"/>
      <c r="L46" s="5"/>
      <c r="M46" s="5"/>
      <c r="N46" s="6"/>
      <c r="O46" s="6"/>
      <c r="P46" s="83"/>
      <c r="Q46" s="5"/>
      <c r="R46" s="5"/>
      <c r="S46" s="214"/>
      <c r="T46" s="84"/>
      <c r="U46" s="57"/>
      <c r="V46" s="57"/>
      <c r="W46" s="57"/>
      <c r="X46" s="57"/>
      <c r="Y46" s="550"/>
      <c r="Z46" s="57"/>
      <c r="AA46" s="57"/>
      <c r="AB46" s="57"/>
      <c r="AC46" s="57"/>
      <c r="AD46" s="57"/>
      <c r="AE46" s="57"/>
      <c r="AF46" s="57"/>
      <c r="AG46" s="158"/>
      <c r="AH46" s="57"/>
      <c r="AI46" s="57"/>
      <c r="AJ46" s="57"/>
      <c r="AK46" s="158"/>
      <c r="AL46" s="57"/>
      <c r="AM46" s="57"/>
      <c r="AN46" s="57"/>
      <c r="AO46" s="57"/>
      <c r="AP46" s="57"/>
      <c r="AQ46" s="158"/>
    </row>
    <row r="47" spans="1:43" ht="20.100000000000001" customHeight="1" thickBot="1" x14ac:dyDescent="0.3">
      <c r="A47" s="45">
        <v>22</v>
      </c>
      <c r="B47" s="378"/>
      <c r="C47" s="222" t="s">
        <v>540</v>
      </c>
      <c r="D47" s="378"/>
      <c r="E47" s="378"/>
      <c r="F47" s="82">
        <f>F40</f>
        <v>95903</v>
      </c>
      <c r="G47" s="2"/>
      <c r="H47" s="82">
        <f>H40</f>
        <v>1445796</v>
      </c>
      <c r="I47" s="5"/>
      <c r="J47" s="112"/>
      <c r="K47" s="2"/>
      <c r="L47" s="82">
        <f>L45+L40</f>
        <v>88354</v>
      </c>
      <c r="M47" s="5"/>
      <c r="N47" s="92">
        <v>100</v>
      </c>
      <c r="O47" s="6"/>
      <c r="P47" s="525">
        <f>ROUND(H47*CUR_FAC,0)</f>
        <v>985</v>
      </c>
      <c r="Q47" s="86"/>
      <c r="R47" s="82">
        <f>R45+R40</f>
        <v>89339</v>
      </c>
      <c r="T47" s="53"/>
      <c r="AO47" s="54"/>
      <c r="AP47" s="54"/>
    </row>
    <row r="48" spans="1:43" ht="16.5" thickTop="1" x14ac:dyDescent="0.25">
      <c r="A48" s="45"/>
      <c r="B48" s="378"/>
      <c r="C48" s="46"/>
      <c r="D48" s="378"/>
      <c r="E48" s="378"/>
      <c r="F48" s="83"/>
      <c r="G48" s="2"/>
      <c r="H48" s="83"/>
      <c r="I48" s="5"/>
      <c r="J48" s="112"/>
      <c r="K48" s="2"/>
      <c r="L48" s="83"/>
      <c r="M48" s="5"/>
      <c r="N48" s="91"/>
      <c r="O48" s="6"/>
      <c r="P48" s="94"/>
      <c r="Q48" s="86"/>
      <c r="R48" s="83"/>
      <c r="T48" s="53"/>
      <c r="AO48" s="54"/>
      <c r="AP48" s="54"/>
    </row>
    <row r="49" spans="1:76" x14ac:dyDescent="0.25">
      <c r="A49" s="378"/>
      <c r="B49" s="378"/>
      <c r="C49" s="243" t="s">
        <v>78</v>
      </c>
      <c r="D49" s="378"/>
      <c r="E49" s="378"/>
      <c r="F49" s="378"/>
      <c r="G49" s="378"/>
      <c r="H49" s="378"/>
      <c r="I49" s="378"/>
      <c r="J49" s="76"/>
      <c r="K49" s="378"/>
      <c r="L49" s="378"/>
      <c r="M49" s="378"/>
      <c r="N49" s="378"/>
      <c r="O49" s="378"/>
      <c r="P49" s="378"/>
      <c r="Q49" s="378"/>
      <c r="R49" s="378"/>
      <c r="T49" s="58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158"/>
      <c r="AH49" s="57"/>
      <c r="AI49" s="57"/>
      <c r="AJ49" s="57"/>
      <c r="AK49" s="158"/>
      <c r="AL49" s="57"/>
      <c r="AM49" s="57"/>
      <c r="AN49" s="57"/>
      <c r="AO49" s="57"/>
      <c r="AP49" s="57"/>
      <c r="AQ49" s="158"/>
    </row>
    <row r="50" spans="1:76" x14ac:dyDescent="0.25">
      <c r="A50" s="378"/>
      <c r="B50" s="378"/>
      <c r="C50" s="243" t="str">
        <f>"(2) REFLECTS FUEL COMPONENT OF "&amp;TEXT(PRO_FAC,"$0.000000;($0.000000)")&amp;" PER KWH."</f>
        <v>(2) REFLECTS FUEL COMPONENT OF $0.000681 PER KWH.</v>
      </c>
      <c r="D50" s="378"/>
      <c r="E50" s="378"/>
      <c r="F50" s="378"/>
      <c r="G50" s="378"/>
      <c r="H50" s="378"/>
      <c r="I50" s="378"/>
      <c r="J50" s="76"/>
      <c r="K50" s="378"/>
      <c r="L50" s="378"/>
      <c r="M50" s="378"/>
      <c r="N50" s="378"/>
      <c r="O50" s="378"/>
      <c r="P50" s="378"/>
      <c r="Q50" s="378"/>
      <c r="R50" s="378"/>
      <c r="T50" s="58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158"/>
      <c r="AH50" s="57"/>
      <c r="AI50" s="57"/>
      <c r="AJ50" s="57"/>
      <c r="AK50" s="158"/>
      <c r="AL50" s="57"/>
      <c r="AM50" s="57"/>
      <c r="AN50" s="57"/>
      <c r="AO50" s="57"/>
      <c r="AP50" s="57"/>
      <c r="AQ50" s="158"/>
    </row>
    <row r="51" spans="1:76" x14ac:dyDescent="0.25">
      <c r="A51" s="378"/>
      <c r="B51" s="378"/>
      <c r="C51" s="243" t="str">
        <f>"(3) REFLECTS FUEL COST RECOVERY INCLUDED IN BASE RATES OF "&amp;TEXT(PRO_BASE_FUEL,"$0.000000;($0.000000)")&amp;"  PER KWH."</f>
        <v>(3) REFLECTS FUEL COST RECOVERY INCLUDED IN BASE RATES OF $0.023837  PER KWH.</v>
      </c>
      <c r="D51" s="378"/>
      <c r="E51" s="378"/>
      <c r="F51" s="48"/>
      <c r="G51" s="378"/>
      <c r="H51" s="48"/>
      <c r="I51" s="48"/>
      <c r="J51" s="75"/>
      <c r="K51" s="51"/>
      <c r="L51" s="48"/>
      <c r="M51" s="48"/>
      <c r="N51" s="48"/>
      <c r="O51" s="48"/>
      <c r="P51" s="48"/>
      <c r="Q51" s="48"/>
      <c r="R51" s="48"/>
      <c r="AE51" s="56"/>
      <c r="AF51" s="56"/>
      <c r="AG51" s="155"/>
      <c r="AH51" s="56"/>
      <c r="AI51" s="56"/>
      <c r="AJ51" s="56"/>
      <c r="AK51" s="155"/>
      <c r="AL51" s="56"/>
      <c r="AO51" s="56"/>
      <c r="AP51" s="56"/>
      <c r="AQ51" s="155"/>
    </row>
    <row r="52" spans="1:76" x14ac:dyDescent="0.25">
      <c r="A52" s="46"/>
      <c r="B52" s="378"/>
      <c r="C52" s="378"/>
      <c r="D52" s="378"/>
      <c r="E52" s="378"/>
      <c r="F52" s="378"/>
      <c r="G52" s="378"/>
      <c r="H52" s="378"/>
      <c r="I52" s="378"/>
      <c r="J52" s="76"/>
      <c r="K52" s="378"/>
      <c r="L52" s="378"/>
      <c r="M52" s="378"/>
      <c r="N52" s="378"/>
      <c r="O52" s="378"/>
      <c r="P52" s="378"/>
      <c r="Q52" s="378"/>
      <c r="R52" s="378"/>
      <c r="T52" s="43" t="str">
        <f>NAME</f>
        <v>DUKE ENERGY KENTUCKY, INC.</v>
      </c>
      <c r="U52" s="43"/>
      <c r="V52" s="43"/>
      <c r="W52" s="43"/>
      <c r="X52" s="43"/>
      <c r="Y52" s="43"/>
      <c r="Z52" s="43"/>
      <c r="AA52" s="43"/>
      <c r="AB52" s="43"/>
      <c r="AC52" s="43"/>
      <c r="AD52" s="44"/>
      <c r="AE52" s="44"/>
      <c r="AF52" s="43"/>
      <c r="AG52" s="158"/>
      <c r="AH52" s="43"/>
      <c r="AI52" s="57"/>
      <c r="AJ52" s="43"/>
      <c r="AK52" s="144"/>
      <c r="AL52" s="43"/>
      <c r="AM52" s="43"/>
      <c r="AN52" s="43"/>
      <c r="AO52" s="57"/>
      <c r="AP52" s="43"/>
      <c r="AQ52" s="144"/>
      <c r="AR52" s="43"/>
    </row>
    <row r="53" spans="1:76" x14ac:dyDescent="0.25">
      <c r="A53" s="46"/>
      <c r="B53" s="378"/>
      <c r="C53" s="378"/>
      <c r="D53" s="378"/>
      <c r="E53" s="378"/>
      <c r="F53" s="375"/>
      <c r="G53" s="378"/>
      <c r="H53" s="200"/>
      <c r="I53" s="378"/>
      <c r="J53" s="76"/>
      <c r="K53" s="378"/>
      <c r="L53" s="378"/>
      <c r="M53" s="378"/>
      <c r="N53" s="378"/>
      <c r="O53" s="378"/>
      <c r="P53" s="378"/>
      <c r="Q53" s="378"/>
      <c r="R53" s="378"/>
      <c r="T53" s="43" t="str">
        <f>CASE_NO</f>
        <v>CASE NO.   2019-000271</v>
      </c>
      <c r="U53" s="43"/>
      <c r="V53" s="43"/>
      <c r="W53" s="43"/>
      <c r="X53" s="43"/>
      <c r="Y53" s="43"/>
      <c r="Z53" s="43"/>
      <c r="AA53" s="43"/>
      <c r="AB53" s="43"/>
      <c r="AC53" s="43"/>
      <c r="AD53" s="44"/>
      <c r="AE53" s="44"/>
      <c r="AF53" s="43"/>
      <c r="AG53" s="158"/>
      <c r="AH53" s="43"/>
      <c r="AI53" s="57"/>
      <c r="AJ53" s="43"/>
      <c r="AK53" s="144"/>
      <c r="AL53" s="43"/>
      <c r="AM53" s="43"/>
      <c r="AN53" s="43"/>
      <c r="AO53" s="57"/>
      <c r="AP53" s="43"/>
      <c r="AQ53" s="144"/>
      <c r="AR53" s="43"/>
    </row>
    <row r="54" spans="1:76" x14ac:dyDescent="0.25">
      <c r="A54" s="53"/>
      <c r="C54" s="54"/>
      <c r="J54" s="77"/>
      <c r="T54" s="44" t="str">
        <f>TITLE</f>
        <v>ANNUALIZED BASE YEAR REVENUES AT PROPOSED VS. MOST CURRENT RATES</v>
      </c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158"/>
      <c r="AH54" s="43"/>
      <c r="AI54" s="57"/>
      <c r="AJ54" s="43"/>
      <c r="AK54" s="144"/>
      <c r="AL54" s="43"/>
      <c r="AM54" s="43"/>
      <c r="AN54" s="43"/>
      <c r="AO54" s="57"/>
      <c r="AP54" s="43"/>
      <c r="AQ54" s="144"/>
      <c r="AR54" s="43"/>
      <c r="AS54" s="379"/>
      <c r="AT54" s="379"/>
      <c r="AU54" s="50"/>
      <c r="BX54" s="470"/>
    </row>
    <row r="55" spans="1:76" x14ac:dyDescent="0.25">
      <c r="A55" s="53"/>
      <c r="C55" s="54"/>
      <c r="F55" s="379"/>
      <c r="H55" s="379"/>
      <c r="I55" s="379"/>
      <c r="J55" s="77"/>
      <c r="L55" s="379"/>
      <c r="M55" s="379"/>
      <c r="N55" s="50"/>
      <c r="O55" s="50"/>
      <c r="P55" s="449"/>
      <c r="Q55" s="449"/>
      <c r="R55" s="379"/>
      <c r="T55" s="43" t="str">
        <f>DATE</f>
        <v>FOR THE TWELVE MONTHS ENDED November 30, 2019</v>
      </c>
      <c r="U55" s="43"/>
      <c r="V55" s="43"/>
      <c r="W55" s="43"/>
      <c r="X55" s="43"/>
      <c r="Y55" s="43"/>
      <c r="Z55" s="43"/>
      <c r="AA55" s="43"/>
      <c r="AB55" s="43"/>
      <c r="AC55" s="43"/>
      <c r="AD55" s="44"/>
      <c r="AE55" s="44"/>
      <c r="AF55" s="43"/>
      <c r="AG55" s="158"/>
      <c r="AH55" s="43"/>
      <c r="AI55" s="57"/>
      <c r="AJ55" s="43"/>
      <c r="AK55" s="144"/>
      <c r="AL55" s="43"/>
      <c r="AM55" s="43"/>
      <c r="AN55" s="43"/>
      <c r="AO55" s="57"/>
      <c r="AP55" s="43"/>
      <c r="AQ55" s="144"/>
      <c r="AR55" s="43"/>
      <c r="AS55" s="379"/>
      <c r="AT55" s="379"/>
      <c r="AU55" s="50"/>
    </row>
    <row r="56" spans="1:76" x14ac:dyDescent="0.25">
      <c r="F56" s="382"/>
      <c r="G56" s="382"/>
      <c r="H56" s="382"/>
      <c r="I56" s="382"/>
      <c r="J56" s="382"/>
      <c r="K56" s="382"/>
      <c r="L56" s="382"/>
      <c r="M56" s="382"/>
      <c r="N56" s="382"/>
      <c r="O56" s="382"/>
      <c r="P56" s="382"/>
      <c r="Q56" s="382"/>
      <c r="R56" s="382"/>
      <c r="T56" s="43" t="str">
        <f>SERVICE</f>
        <v>(ELECTRIC SERVICE)</v>
      </c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4"/>
      <c r="AG56" s="169"/>
      <c r="AH56" s="43"/>
      <c r="AI56" s="57"/>
      <c r="AJ56" s="43"/>
      <c r="AK56" s="144"/>
      <c r="AL56" s="43"/>
      <c r="AM56" s="43"/>
      <c r="AN56" s="43"/>
      <c r="AO56" s="57"/>
      <c r="AP56" s="43"/>
      <c r="AQ56" s="144"/>
      <c r="AR56" s="43"/>
      <c r="AS56" s="379"/>
      <c r="AT56" s="379"/>
      <c r="AU56" s="476"/>
    </row>
    <row r="57" spans="1:76" x14ac:dyDescent="0.25">
      <c r="C57" s="54"/>
      <c r="F57" s="382"/>
      <c r="G57" s="382"/>
      <c r="H57" s="382"/>
      <c r="I57" s="382"/>
      <c r="J57" s="382"/>
      <c r="K57" s="382"/>
      <c r="L57" s="379"/>
      <c r="M57" s="379"/>
      <c r="N57" s="379"/>
      <c r="O57" s="379"/>
      <c r="P57" s="379"/>
      <c r="Q57" s="379"/>
      <c r="R57" s="379"/>
      <c r="T57" s="45" t="str">
        <f>DATA_PERIOD</f>
        <v>DATA: __X__ BASE PERIOD   ____FORECASTED PERIOD</v>
      </c>
      <c r="U57" s="378"/>
      <c r="V57" s="378"/>
      <c r="W57" s="378"/>
      <c r="X57" s="378"/>
      <c r="Y57" s="378"/>
      <c r="Z57" s="378"/>
      <c r="AA57" s="378"/>
      <c r="AB57" s="378"/>
      <c r="AC57" s="378"/>
      <c r="AD57" s="378"/>
      <c r="AE57" s="378"/>
      <c r="AF57" s="378"/>
      <c r="AH57" s="378"/>
      <c r="AJ57" s="378"/>
      <c r="AK57" s="143"/>
      <c r="AL57" s="378"/>
      <c r="AM57" s="378"/>
      <c r="AN57" s="378"/>
      <c r="AO57" s="46" t="s">
        <v>164</v>
      </c>
      <c r="AQ57" s="174"/>
      <c r="AR57" s="378"/>
      <c r="AS57" s="379"/>
      <c r="AT57" s="379"/>
      <c r="AU57" s="50"/>
    </row>
    <row r="58" spans="1:76" x14ac:dyDescent="0.25">
      <c r="A58" s="54"/>
      <c r="F58" s="382"/>
      <c r="G58" s="382"/>
      <c r="H58" s="382"/>
      <c r="I58" s="382"/>
      <c r="J58" s="382"/>
      <c r="K58" s="382"/>
      <c r="L58" s="382"/>
      <c r="M58" s="382"/>
      <c r="N58" s="382"/>
      <c r="O58" s="382"/>
      <c r="P58" s="382"/>
      <c r="Q58" s="382"/>
      <c r="R58" s="382"/>
      <c r="T58" s="45" t="str">
        <f>TYPE</f>
        <v>TYPE OF FILING: _X_ ORIGINAL   ___UPDATED  ___ REVISED</v>
      </c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378"/>
      <c r="AF58" s="378"/>
      <c r="AH58" s="378"/>
      <c r="AJ58" s="378"/>
      <c r="AK58" s="143"/>
      <c r="AL58" s="378"/>
      <c r="AM58" s="378"/>
      <c r="AN58" s="378"/>
      <c r="AO58" s="52" t="str">
        <f>"PAGE 16 OF "&amp;TEXT(Page_Num_2.2,"00")</f>
        <v>PAGE 16 OF 22</v>
      </c>
      <c r="AQ58" s="174"/>
      <c r="AR58" s="378"/>
      <c r="AS58" s="379"/>
      <c r="AT58" s="379"/>
      <c r="AU58" s="50"/>
    </row>
    <row r="59" spans="1:76" x14ac:dyDescent="0.25">
      <c r="A59" s="53"/>
      <c r="C59" s="54"/>
      <c r="F59" s="379"/>
      <c r="G59" s="382"/>
      <c r="H59" s="379"/>
      <c r="I59" s="379"/>
      <c r="J59" s="379"/>
      <c r="K59" s="379"/>
      <c r="L59" s="379"/>
      <c r="M59" s="379"/>
      <c r="N59" s="379"/>
      <c r="O59" s="379"/>
      <c r="P59" s="379"/>
      <c r="Q59" s="379"/>
      <c r="R59" s="379"/>
      <c r="T59" s="46" t="s">
        <v>177</v>
      </c>
      <c r="U59" s="378"/>
      <c r="V59" s="378"/>
      <c r="W59" s="378"/>
      <c r="X59" s="378"/>
      <c r="Y59" s="378"/>
      <c r="Z59" s="378"/>
      <c r="AA59" s="378"/>
      <c r="AB59" s="378"/>
      <c r="AC59" s="378"/>
      <c r="AD59" s="378"/>
      <c r="AE59" s="378"/>
      <c r="AF59" s="378"/>
      <c r="AG59" s="143"/>
      <c r="AH59" s="378"/>
      <c r="AI59" s="378"/>
      <c r="AJ59" s="378"/>
      <c r="AK59" s="143"/>
      <c r="AL59" s="378"/>
      <c r="AM59" s="378"/>
      <c r="AN59" s="378"/>
      <c r="AO59" s="46" t="s">
        <v>3</v>
      </c>
      <c r="AQ59" s="174"/>
      <c r="AR59" s="378"/>
      <c r="AS59" s="379"/>
      <c r="AT59" s="379"/>
      <c r="AU59" s="50"/>
    </row>
    <row r="60" spans="1:76" x14ac:dyDescent="0.25">
      <c r="F60" s="381"/>
      <c r="H60" s="381"/>
      <c r="I60" s="381"/>
      <c r="J60" s="464"/>
      <c r="K60" s="464"/>
      <c r="L60" s="381"/>
      <c r="M60" s="381"/>
      <c r="N60" s="381"/>
      <c r="O60" s="381"/>
      <c r="P60" s="381"/>
      <c r="Q60" s="381"/>
      <c r="R60" s="381"/>
      <c r="T60" s="218" t="str">
        <f>TIME</f>
        <v>6 Months Actual and 6 Months Projected with Riders</v>
      </c>
      <c r="U60" s="378"/>
      <c r="V60" s="378"/>
      <c r="W60" s="378"/>
      <c r="X60" s="378"/>
      <c r="Y60" s="378"/>
      <c r="Z60" s="378"/>
      <c r="AA60" s="378"/>
      <c r="AB60" s="378"/>
      <c r="AC60" s="378"/>
      <c r="AD60" s="378"/>
      <c r="AE60" s="378"/>
      <c r="AG60" s="174"/>
      <c r="AH60" s="378"/>
      <c r="AI60" s="378"/>
      <c r="AJ60" s="378"/>
      <c r="AK60" s="143"/>
      <c r="AL60" s="378"/>
      <c r="AM60" s="378"/>
      <c r="AN60" s="378"/>
      <c r="AO60" s="45" t="str">
        <f>WIT</f>
        <v>J. L. Kern</v>
      </c>
      <c r="AR60" s="378"/>
      <c r="AS60" s="379"/>
      <c r="AT60" s="379"/>
      <c r="AU60" s="50"/>
    </row>
    <row r="61" spans="1:76" x14ac:dyDescent="0.25">
      <c r="A61" s="53"/>
      <c r="C61" s="54"/>
      <c r="F61" s="379"/>
      <c r="H61" s="379"/>
      <c r="I61" s="379"/>
      <c r="J61" s="59"/>
      <c r="K61" s="59"/>
      <c r="L61" s="379"/>
      <c r="M61" s="379"/>
      <c r="N61" s="50"/>
      <c r="O61" s="50"/>
      <c r="P61" s="379"/>
      <c r="Q61" s="379"/>
      <c r="R61" s="379"/>
      <c r="T61" s="593" t="s">
        <v>137</v>
      </c>
      <c r="U61" s="593"/>
      <c r="V61" s="593"/>
      <c r="W61" s="593"/>
      <c r="X61" s="593"/>
      <c r="Y61" s="593"/>
      <c r="Z61" s="593"/>
      <c r="AA61" s="593"/>
      <c r="AB61" s="593"/>
      <c r="AC61" s="593"/>
      <c r="AD61" s="593"/>
      <c r="AE61" s="593"/>
      <c r="AF61" s="593"/>
      <c r="AG61" s="593"/>
      <c r="AH61" s="593"/>
      <c r="AI61" s="593"/>
      <c r="AJ61" s="593"/>
      <c r="AK61" s="593"/>
      <c r="AL61" s="593"/>
      <c r="AM61" s="593"/>
      <c r="AN61" s="593"/>
      <c r="AO61" s="593"/>
      <c r="AP61" s="593"/>
      <c r="AQ61" s="593"/>
      <c r="AR61" s="378"/>
      <c r="AS61" s="379"/>
      <c r="AT61" s="379"/>
      <c r="AU61" s="50"/>
    </row>
    <row r="62" spans="1:76" x14ac:dyDescent="0.25">
      <c r="A62" s="54"/>
      <c r="F62" s="379"/>
      <c r="H62" s="379"/>
      <c r="I62" s="379"/>
      <c r="J62" s="59"/>
      <c r="K62" s="59"/>
      <c r="L62" s="379"/>
      <c r="M62" s="379"/>
      <c r="N62" s="379"/>
      <c r="O62" s="379"/>
      <c r="P62" s="379"/>
      <c r="Q62" s="379"/>
      <c r="R62" s="379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159"/>
      <c r="AH62" s="72"/>
      <c r="AI62" s="72"/>
      <c r="AJ62" s="72"/>
      <c r="AK62" s="159"/>
      <c r="AL62" s="72"/>
      <c r="AM62" s="72"/>
      <c r="AN62" s="72"/>
      <c r="AO62" s="72"/>
      <c r="AP62" s="72"/>
      <c r="AQ62" s="159"/>
      <c r="AR62" s="72"/>
      <c r="AS62" s="379"/>
      <c r="AT62" s="379"/>
      <c r="AU62" s="50"/>
    </row>
    <row r="63" spans="1:76" ht="18" customHeight="1" x14ac:dyDescent="0.25">
      <c r="L63" s="379"/>
      <c r="M63" s="379"/>
      <c r="N63" s="379"/>
      <c r="O63" s="379"/>
      <c r="P63" s="379"/>
      <c r="Q63" s="379"/>
      <c r="R63" s="379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4" t="s">
        <v>8</v>
      </c>
      <c r="AF63" s="74"/>
      <c r="AG63" s="160" t="s">
        <v>7</v>
      </c>
      <c r="AH63" s="74"/>
      <c r="AI63" s="74" t="s">
        <v>9</v>
      </c>
      <c r="AJ63" s="74"/>
      <c r="AK63" s="160" t="s">
        <v>10</v>
      </c>
      <c r="AL63" s="74"/>
      <c r="AM63" s="73"/>
      <c r="AN63" s="73"/>
      <c r="AO63" s="74" t="s">
        <v>8</v>
      </c>
      <c r="AP63" s="74"/>
      <c r="AQ63" s="160" t="s">
        <v>11</v>
      </c>
      <c r="AR63" s="379"/>
      <c r="AS63" s="379"/>
      <c r="AT63" s="50"/>
    </row>
    <row r="64" spans="1:76" x14ac:dyDescent="0.25">
      <c r="H64" s="54"/>
      <c r="I64" s="54"/>
      <c r="T64" s="378"/>
      <c r="U64" s="378"/>
      <c r="V64" s="378"/>
      <c r="W64" s="378"/>
      <c r="X64" s="378"/>
      <c r="Y64" s="378"/>
      <c r="Z64" s="378"/>
      <c r="AA64" s="378"/>
      <c r="AB64" s="378"/>
      <c r="AC64" s="426" t="s">
        <v>14</v>
      </c>
      <c r="AD64" s="426"/>
      <c r="AE64" s="426" t="s">
        <v>12</v>
      </c>
      <c r="AF64" s="426"/>
      <c r="AG64" s="146" t="s">
        <v>13</v>
      </c>
      <c r="AH64" s="426"/>
      <c r="AI64" s="426" t="s">
        <v>15</v>
      </c>
      <c r="AJ64" s="426"/>
      <c r="AK64" s="146" t="s">
        <v>16</v>
      </c>
      <c r="AL64" s="426"/>
      <c r="AM64" s="378"/>
      <c r="AN64" s="378"/>
      <c r="AO64" s="426" t="s">
        <v>11</v>
      </c>
      <c r="AP64" s="426"/>
      <c r="AQ64" s="146" t="s">
        <v>9</v>
      </c>
    </row>
    <row r="65" spans="1:47" x14ac:dyDescent="0.25">
      <c r="L65" s="54"/>
      <c r="M65" s="54"/>
      <c r="T65" s="426" t="s">
        <v>17</v>
      </c>
      <c r="U65" s="378"/>
      <c r="V65" s="426" t="s">
        <v>18</v>
      </c>
      <c r="W65" s="426" t="s">
        <v>19</v>
      </c>
      <c r="X65" s="426"/>
      <c r="Y65" s="426" t="s">
        <v>20</v>
      </c>
      <c r="Z65" s="378"/>
      <c r="AA65" s="378"/>
      <c r="AB65" s="378"/>
      <c r="AC65" s="426" t="s">
        <v>8</v>
      </c>
      <c r="AD65" s="426"/>
      <c r="AE65" s="426" t="s">
        <v>21</v>
      </c>
      <c r="AF65" s="426"/>
      <c r="AG65" s="146" t="s">
        <v>21</v>
      </c>
      <c r="AH65" s="426"/>
      <c r="AI65" s="426" t="s">
        <v>22</v>
      </c>
      <c r="AJ65" s="426"/>
      <c r="AK65" s="146" t="s">
        <v>22</v>
      </c>
      <c r="AL65" s="426"/>
      <c r="AM65" s="426" t="s">
        <v>21</v>
      </c>
      <c r="AN65" s="426"/>
      <c r="AO65" s="426" t="s">
        <v>9</v>
      </c>
      <c r="AP65" s="426"/>
      <c r="AQ65" s="146" t="s">
        <v>23</v>
      </c>
    </row>
    <row r="66" spans="1:47" x14ac:dyDescent="0.25">
      <c r="A66" s="53"/>
      <c r="R66" s="54"/>
      <c r="T66" s="426" t="s">
        <v>24</v>
      </c>
      <c r="U66" s="378"/>
      <c r="V66" s="426" t="s">
        <v>25</v>
      </c>
      <c r="W66" s="426" t="s">
        <v>26</v>
      </c>
      <c r="X66" s="426"/>
      <c r="Y66" s="426" t="s">
        <v>27</v>
      </c>
      <c r="Z66" s="378"/>
      <c r="AA66" s="426" t="s">
        <v>28</v>
      </c>
      <c r="AB66" s="426"/>
      <c r="AC66" s="426" t="s">
        <v>29</v>
      </c>
      <c r="AD66" s="426"/>
      <c r="AE66" s="426" t="s">
        <v>9</v>
      </c>
      <c r="AF66" s="426"/>
      <c r="AG66" s="146" t="s">
        <v>9</v>
      </c>
      <c r="AH66" s="426"/>
      <c r="AI66" s="265" t="s">
        <v>31</v>
      </c>
      <c r="AJ66" s="265"/>
      <c r="AK66" s="440" t="s">
        <v>32</v>
      </c>
      <c r="AL66" s="426"/>
      <c r="AM66" s="426" t="s">
        <v>379</v>
      </c>
      <c r="AN66" s="426"/>
      <c r="AO66" s="265" t="s">
        <v>33</v>
      </c>
      <c r="AP66" s="265"/>
      <c r="AQ66" s="440" t="s">
        <v>34</v>
      </c>
      <c r="AU66" s="137" t="s">
        <v>470</v>
      </c>
    </row>
    <row r="67" spans="1:47" x14ac:dyDescent="0.25">
      <c r="A67" s="53"/>
      <c r="R67" s="54"/>
      <c r="T67" s="378"/>
      <c r="U67" s="378"/>
      <c r="V67" s="265" t="s">
        <v>35</v>
      </c>
      <c r="W67" s="265" t="s">
        <v>36</v>
      </c>
      <c r="X67" s="265"/>
      <c r="Y67" s="265" t="s">
        <v>37</v>
      </c>
      <c r="Z67" s="218"/>
      <c r="AA67" s="265" t="s">
        <v>38</v>
      </c>
      <c r="AB67" s="265"/>
      <c r="AC67" s="265" t="s">
        <v>44</v>
      </c>
      <c r="AD67" s="265"/>
      <c r="AE67" s="265" t="s">
        <v>45</v>
      </c>
      <c r="AF67" s="265"/>
      <c r="AG67" s="440" t="s">
        <v>46</v>
      </c>
      <c r="AH67" s="265"/>
      <c r="AI67" s="265" t="s">
        <v>47</v>
      </c>
      <c r="AJ67" s="265"/>
      <c r="AK67" s="440" t="s">
        <v>48</v>
      </c>
      <c r="AL67" s="265"/>
      <c r="AM67" s="265" t="s">
        <v>42</v>
      </c>
      <c r="AN67" s="265"/>
      <c r="AO67" s="265" t="s">
        <v>49</v>
      </c>
      <c r="AP67" s="265"/>
      <c r="AQ67" s="440" t="s">
        <v>50</v>
      </c>
      <c r="AU67" s="137" t="s">
        <v>471</v>
      </c>
    </row>
    <row r="68" spans="1:47" ht="17.100000000000001" customHeight="1" x14ac:dyDescent="0.25">
      <c r="A68" s="54"/>
      <c r="R68" s="54"/>
      <c r="T68" s="73"/>
      <c r="U68" s="73"/>
      <c r="V68" s="73"/>
      <c r="W68" s="73"/>
      <c r="X68" s="73"/>
      <c r="Y68" s="73"/>
      <c r="Z68" s="73"/>
      <c r="AA68" s="496" t="s">
        <v>51</v>
      </c>
      <c r="AB68" s="496"/>
      <c r="AC68" s="495" t="s">
        <v>368</v>
      </c>
      <c r="AD68" s="496"/>
      <c r="AE68" s="496" t="s">
        <v>52</v>
      </c>
      <c r="AF68" s="496"/>
      <c r="AG68" s="498" t="s">
        <v>53</v>
      </c>
      <c r="AH68" s="496"/>
      <c r="AI68" s="496" t="s">
        <v>52</v>
      </c>
      <c r="AJ68" s="496"/>
      <c r="AK68" s="498" t="s">
        <v>53</v>
      </c>
      <c r="AL68" s="496"/>
      <c r="AM68" s="496" t="s">
        <v>52</v>
      </c>
      <c r="AN68" s="496"/>
      <c r="AO68" s="496" t="s">
        <v>52</v>
      </c>
      <c r="AP68" s="496"/>
      <c r="AQ68" s="498" t="s">
        <v>53</v>
      </c>
      <c r="AU68" s="137" t="s">
        <v>472</v>
      </c>
    </row>
    <row r="69" spans="1:47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T69" s="45">
        <v>1</v>
      </c>
      <c r="U69" s="378"/>
      <c r="V69" s="222" t="s">
        <v>83</v>
      </c>
      <c r="W69" s="222" t="s">
        <v>84</v>
      </c>
      <c r="X69" s="46"/>
      <c r="Y69" s="2"/>
      <c r="Z69" s="2"/>
      <c r="AA69" s="2"/>
      <c r="AB69" s="2"/>
      <c r="AC69" s="2"/>
      <c r="AD69" s="2"/>
      <c r="AE69" s="2"/>
      <c r="AF69" s="2"/>
      <c r="AG69" s="147"/>
      <c r="AH69" s="2"/>
      <c r="AI69" s="2"/>
      <c r="AJ69" s="2"/>
      <c r="AK69" s="147"/>
      <c r="AL69" s="2"/>
      <c r="AM69" s="2"/>
      <c r="AN69" s="2"/>
      <c r="AO69" s="2"/>
      <c r="AP69" s="2"/>
      <c r="AQ69" s="147"/>
    </row>
    <row r="70" spans="1:47" x14ac:dyDescent="0.25">
      <c r="L70" s="56"/>
      <c r="M70" s="56"/>
      <c r="N70" s="56"/>
      <c r="O70" s="56"/>
      <c r="R70" s="56"/>
      <c r="T70" s="45">
        <v>2</v>
      </c>
      <c r="U70" s="378"/>
      <c r="V70" s="218"/>
      <c r="W70" s="222" t="s">
        <v>85</v>
      </c>
      <c r="X70" s="46"/>
      <c r="Y70" s="2"/>
      <c r="Z70" s="2"/>
      <c r="AA70" s="2"/>
      <c r="AB70" s="2"/>
      <c r="AC70" s="2"/>
      <c r="AD70" s="2"/>
      <c r="AE70" s="2"/>
      <c r="AF70" s="2"/>
      <c r="AG70" s="147"/>
      <c r="AH70" s="2"/>
      <c r="AI70" s="2"/>
      <c r="AJ70" s="2"/>
      <c r="AK70" s="147"/>
      <c r="AL70" s="2"/>
      <c r="AM70" s="2"/>
      <c r="AN70" s="2"/>
      <c r="AO70" s="2"/>
      <c r="AP70" s="2"/>
      <c r="AQ70" s="147"/>
    </row>
    <row r="71" spans="1:47" x14ac:dyDescent="0.25">
      <c r="C71" s="56"/>
      <c r="D71" s="56"/>
      <c r="E71" s="56"/>
      <c r="F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T71" s="378"/>
      <c r="U71" s="378"/>
      <c r="V71" s="378"/>
      <c r="W71" s="378"/>
      <c r="X71" s="378"/>
      <c r="Y71" s="2"/>
      <c r="Z71" s="2"/>
      <c r="AA71" s="2"/>
      <c r="AB71" s="2"/>
      <c r="AC71" s="2"/>
      <c r="AD71" s="2"/>
      <c r="AE71" s="2"/>
      <c r="AF71" s="2"/>
      <c r="AG71" s="147"/>
      <c r="AH71" s="2"/>
      <c r="AI71" s="2"/>
      <c r="AJ71" s="2"/>
      <c r="AK71" s="147"/>
      <c r="AL71" s="2"/>
      <c r="AM71" s="2"/>
      <c r="AN71" s="2"/>
      <c r="AO71" s="2"/>
      <c r="AP71" s="2"/>
      <c r="AQ71" s="147"/>
    </row>
    <row r="72" spans="1:47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T72" s="45">
        <v>3</v>
      </c>
      <c r="U72" s="378"/>
      <c r="V72" s="222" t="s">
        <v>86</v>
      </c>
      <c r="W72" s="218"/>
      <c r="X72" s="378"/>
      <c r="Y72" s="5"/>
      <c r="Z72" s="2"/>
      <c r="AA72" s="2"/>
      <c r="AB72" s="2"/>
      <c r="AC72" s="104"/>
      <c r="AD72" s="104"/>
      <c r="AE72" s="5"/>
      <c r="AF72" s="5"/>
      <c r="AG72" s="147"/>
      <c r="AH72" s="2"/>
      <c r="AI72" s="2"/>
      <c r="AJ72" s="2"/>
      <c r="AK72" s="149"/>
      <c r="AL72" s="5"/>
      <c r="AM72" s="2"/>
      <c r="AN72" s="2"/>
      <c r="AO72" s="5"/>
      <c r="AP72" s="5"/>
      <c r="AQ72" s="147"/>
    </row>
    <row r="73" spans="1:47" x14ac:dyDescent="0.25"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T73" s="45">
        <v>4</v>
      </c>
      <c r="U73" s="378"/>
      <c r="V73" s="222" t="s">
        <v>434</v>
      </c>
      <c r="W73" s="218"/>
      <c r="X73" s="378"/>
      <c r="Y73" s="5"/>
      <c r="Z73" s="2"/>
      <c r="AA73" s="2"/>
      <c r="AB73" s="2"/>
      <c r="AC73" s="2"/>
      <c r="AD73" s="2"/>
      <c r="AE73" s="2"/>
      <c r="AF73" s="2"/>
      <c r="AG73" s="147"/>
      <c r="AH73" s="2"/>
      <c r="AI73" s="2"/>
      <c r="AJ73" s="2"/>
      <c r="AK73" s="149"/>
      <c r="AL73" s="5"/>
      <c r="AM73" s="2"/>
      <c r="AN73" s="2"/>
      <c r="AO73" s="5"/>
      <c r="AP73" s="5"/>
      <c r="AQ73" s="147"/>
    </row>
    <row r="74" spans="1:47" x14ac:dyDescent="0.25">
      <c r="A74" s="53"/>
      <c r="C74" s="54"/>
      <c r="D74" s="54"/>
      <c r="E74" s="54"/>
      <c r="T74" s="378"/>
      <c r="U74" s="378"/>
      <c r="V74" s="378"/>
      <c r="W74" s="378"/>
      <c r="X74" s="378"/>
      <c r="Y74" s="2"/>
      <c r="Z74" s="2"/>
      <c r="AA74" s="2"/>
      <c r="AB74" s="2"/>
      <c r="AC74" s="112"/>
      <c r="AD74" s="2"/>
      <c r="AE74" s="2"/>
      <c r="AF74" s="2"/>
      <c r="AG74" s="147"/>
      <c r="AH74" s="2"/>
      <c r="AI74" s="2"/>
      <c r="AJ74" s="2"/>
      <c r="AK74" s="147"/>
      <c r="AL74" s="2"/>
      <c r="AM74" s="5"/>
      <c r="AN74" s="5"/>
      <c r="AO74" s="5"/>
      <c r="AP74" s="5"/>
      <c r="AQ74" s="149"/>
    </row>
    <row r="75" spans="1:47" x14ac:dyDescent="0.25">
      <c r="A75" s="53"/>
      <c r="C75" s="54"/>
      <c r="T75" s="45">
        <v>5</v>
      </c>
      <c r="U75" s="378"/>
      <c r="V75" s="46" t="s">
        <v>87</v>
      </c>
      <c r="W75" s="378"/>
      <c r="X75" s="378"/>
      <c r="Y75" s="391">
        <f>F24</f>
        <v>77027</v>
      </c>
      <c r="Z75" s="131"/>
      <c r="AA75" s="391">
        <f>H24</f>
        <v>687336</v>
      </c>
      <c r="AB75" s="187"/>
      <c r="AC75" s="453">
        <v>3.8903E-2</v>
      </c>
      <c r="AD75" s="481"/>
      <c r="AE75" s="5">
        <f>ROUND((AA75*AC75),0)</f>
        <v>26739</v>
      </c>
      <c r="AF75" s="5"/>
      <c r="AG75" s="149">
        <f>ROUND((AE75/AE$98)*100,1)</f>
        <v>33.700000000000003</v>
      </c>
      <c r="AH75" s="6"/>
      <c r="AI75" s="5">
        <f>L24-AE75</f>
        <v>3280</v>
      </c>
      <c r="AJ75" s="5"/>
      <c r="AK75" s="149">
        <f>ROUND((AI75/AE75)*100,1)</f>
        <v>12.3</v>
      </c>
      <c r="AL75" s="8"/>
      <c r="AM75" s="5">
        <f>ROUND($AM$98/$AA$98*AA75,0)</f>
        <v>468</v>
      </c>
      <c r="AN75" s="5"/>
      <c r="AO75" s="5">
        <f>AE75+AM75</f>
        <v>27207</v>
      </c>
      <c r="AP75" s="5"/>
      <c r="AQ75" s="149">
        <f>ROUND((AI75/AO75)*100,1)</f>
        <v>12.1</v>
      </c>
      <c r="AU75" s="552">
        <f>AC75-CUR_BASE_FUEL</f>
        <v>1.5066E-2</v>
      </c>
    </row>
    <row r="76" spans="1:47" x14ac:dyDescent="0.25">
      <c r="T76" s="378"/>
      <c r="U76" s="378"/>
      <c r="V76" s="378"/>
      <c r="W76" s="378"/>
      <c r="X76" s="378"/>
      <c r="Y76" s="5"/>
      <c r="Z76" s="2"/>
      <c r="AA76" s="5"/>
      <c r="AB76" s="5"/>
      <c r="AC76" s="553"/>
      <c r="AD76" s="9"/>
      <c r="AE76" s="5"/>
      <c r="AF76" s="5"/>
      <c r="AG76" s="147"/>
      <c r="AH76" s="2"/>
      <c r="AI76" s="2"/>
      <c r="AJ76" s="2"/>
      <c r="AK76" s="147"/>
      <c r="AL76" s="2"/>
      <c r="AM76" s="5"/>
      <c r="AN76" s="5"/>
      <c r="AO76" s="5"/>
      <c r="AP76" s="5"/>
      <c r="AQ76" s="149"/>
    </row>
    <row r="77" spans="1:47" x14ac:dyDescent="0.25">
      <c r="A77" s="53"/>
      <c r="C77" s="54"/>
      <c r="F77" s="449"/>
      <c r="H77" s="449"/>
      <c r="I77" s="449"/>
      <c r="J77" s="461"/>
      <c r="K77" s="461"/>
      <c r="L77" s="379"/>
      <c r="M77" s="379"/>
      <c r="N77" s="50"/>
      <c r="O77" s="50"/>
      <c r="P77" s="53"/>
      <c r="Q77" s="53"/>
      <c r="R77" s="379"/>
      <c r="T77" s="45">
        <v>6</v>
      </c>
      <c r="U77" s="378"/>
      <c r="V77" s="222" t="s">
        <v>88</v>
      </c>
      <c r="W77" s="378"/>
      <c r="X77" s="378"/>
      <c r="Y77" s="5"/>
      <c r="Z77" s="2"/>
      <c r="AA77" s="2"/>
      <c r="AB77" s="2"/>
      <c r="AC77" s="522"/>
      <c r="AD77" s="2"/>
      <c r="AE77" s="2"/>
      <c r="AF77" s="2"/>
      <c r="AG77" s="147"/>
      <c r="AH77" s="2"/>
      <c r="AI77" s="2"/>
      <c r="AJ77" s="2"/>
      <c r="AK77" s="147"/>
      <c r="AL77" s="2"/>
      <c r="AM77" s="2"/>
      <c r="AN77" s="2"/>
      <c r="AO77" s="5"/>
      <c r="AP77" s="5"/>
      <c r="AQ77" s="149"/>
    </row>
    <row r="78" spans="1:47" x14ac:dyDescent="0.25">
      <c r="A78" s="53"/>
      <c r="C78" s="54"/>
      <c r="F78" s="449"/>
      <c r="H78" s="449"/>
      <c r="I78" s="449"/>
      <c r="J78" s="461"/>
      <c r="K78" s="461"/>
      <c r="L78" s="379"/>
      <c r="M78" s="379"/>
      <c r="N78" s="50"/>
      <c r="O78" s="50"/>
      <c r="P78" s="53"/>
      <c r="Q78" s="53"/>
      <c r="R78" s="379"/>
      <c r="T78" s="45">
        <v>7</v>
      </c>
      <c r="U78" s="378"/>
      <c r="V78" s="444" t="s">
        <v>212</v>
      </c>
      <c r="W78" s="378"/>
      <c r="X78" s="378"/>
      <c r="Y78" s="5"/>
      <c r="Z78" s="2"/>
      <c r="AA78" s="5"/>
      <c r="AB78" s="2"/>
      <c r="AC78" s="522"/>
      <c r="AD78" s="2"/>
      <c r="AE78" s="2"/>
      <c r="AF78" s="2"/>
      <c r="AG78" s="147"/>
      <c r="AH78" s="2"/>
      <c r="AI78" s="2"/>
      <c r="AJ78" s="2"/>
      <c r="AK78" s="147"/>
      <c r="AL78" s="2"/>
      <c r="AM78" s="2"/>
      <c r="AN78" s="2"/>
      <c r="AO78" s="5"/>
      <c r="AP78" s="5"/>
      <c r="AQ78" s="149"/>
    </row>
    <row r="79" spans="1:47" x14ac:dyDescent="0.25">
      <c r="A79" s="53"/>
      <c r="C79" s="54"/>
      <c r="F79" s="449"/>
      <c r="H79" s="449"/>
      <c r="I79" s="449"/>
      <c r="J79" s="461"/>
      <c r="K79" s="461"/>
      <c r="L79" s="379"/>
      <c r="M79" s="379"/>
      <c r="N79" s="50"/>
      <c r="O79" s="50"/>
      <c r="P79" s="53"/>
      <c r="Q79" s="53"/>
      <c r="R79" s="379"/>
      <c r="T79" s="45">
        <v>8</v>
      </c>
      <c r="U79" s="378"/>
      <c r="V79" s="222" t="s">
        <v>213</v>
      </c>
      <c r="W79" s="378"/>
      <c r="X79" s="378"/>
      <c r="Y79" s="5"/>
      <c r="Z79" s="2"/>
      <c r="AA79" s="5"/>
      <c r="AB79" s="2"/>
      <c r="AC79" s="522"/>
      <c r="AD79" s="2"/>
      <c r="AE79" s="2"/>
      <c r="AF79" s="2"/>
      <c r="AG79" s="147"/>
      <c r="AH79" s="2"/>
      <c r="AI79" s="2"/>
      <c r="AJ79" s="2"/>
      <c r="AK79" s="147"/>
      <c r="AL79" s="2"/>
      <c r="AM79" s="2"/>
      <c r="AN79" s="2"/>
      <c r="AO79" s="5"/>
      <c r="AP79" s="5"/>
      <c r="AQ79" s="149"/>
    </row>
    <row r="80" spans="1:47" x14ac:dyDescent="0.25">
      <c r="A80" s="53"/>
      <c r="C80" s="54"/>
      <c r="F80" s="449"/>
      <c r="H80" s="449"/>
      <c r="I80" s="449"/>
      <c r="J80" s="461"/>
      <c r="K80" s="461"/>
      <c r="L80" s="379"/>
      <c r="M80" s="379"/>
      <c r="N80" s="50"/>
      <c r="O80" s="50"/>
      <c r="P80" s="53"/>
      <c r="Q80" s="53"/>
      <c r="R80" s="379"/>
      <c r="T80" s="45">
        <v>9</v>
      </c>
      <c r="U80" s="378"/>
      <c r="V80" s="444" t="s">
        <v>214</v>
      </c>
      <c r="W80" s="378"/>
      <c r="X80" s="378"/>
      <c r="Y80" s="2"/>
      <c r="Z80" s="2"/>
      <c r="AA80" s="2"/>
      <c r="AB80" s="2"/>
      <c r="AC80" s="522"/>
      <c r="AD80" s="2"/>
      <c r="AE80" s="2"/>
      <c r="AF80" s="2"/>
      <c r="AG80" s="147"/>
      <c r="AH80" s="2"/>
      <c r="AI80" s="2"/>
      <c r="AJ80" s="2"/>
      <c r="AK80" s="147"/>
      <c r="AL80" s="2"/>
      <c r="AM80" s="2"/>
      <c r="AN80" s="2"/>
      <c r="AO80" s="5"/>
      <c r="AP80" s="5"/>
      <c r="AQ80" s="149"/>
    </row>
    <row r="81" spans="1:47" x14ac:dyDescent="0.25">
      <c r="A81" s="53"/>
      <c r="C81" s="54"/>
      <c r="F81" s="449"/>
      <c r="H81" s="449"/>
      <c r="I81" s="449"/>
      <c r="J81" s="461"/>
      <c r="K81" s="461"/>
      <c r="L81" s="379"/>
      <c r="M81" s="379"/>
      <c r="N81" s="50"/>
      <c r="O81" s="50"/>
      <c r="P81" s="53"/>
      <c r="Q81" s="53"/>
      <c r="R81" s="379"/>
      <c r="T81" s="45">
        <v>10</v>
      </c>
      <c r="U81" s="378"/>
      <c r="V81" s="222" t="s">
        <v>91</v>
      </c>
      <c r="W81" s="378"/>
      <c r="X81" s="378"/>
      <c r="Y81" s="2"/>
      <c r="Z81" s="2"/>
      <c r="AA81" s="2"/>
      <c r="AB81" s="2"/>
      <c r="AC81" s="522"/>
      <c r="AD81" s="2"/>
      <c r="AE81" s="131"/>
      <c r="AF81" s="2"/>
      <c r="AG81" s="147"/>
      <c r="AH81" s="2"/>
      <c r="AI81" s="2"/>
      <c r="AJ81" s="2"/>
      <c r="AK81" s="147"/>
      <c r="AL81" s="2"/>
      <c r="AM81" s="2"/>
      <c r="AN81" s="2"/>
      <c r="AO81" s="5"/>
      <c r="AP81" s="5"/>
      <c r="AQ81" s="149"/>
    </row>
    <row r="82" spans="1:47" x14ac:dyDescent="0.25">
      <c r="A82" s="53"/>
      <c r="C82" s="54"/>
      <c r="F82" s="449"/>
      <c r="H82" s="449"/>
      <c r="I82" s="449"/>
      <c r="J82" s="461"/>
      <c r="K82" s="461"/>
      <c r="L82" s="379"/>
      <c r="M82" s="379"/>
      <c r="N82" s="50"/>
      <c r="O82" s="50"/>
      <c r="P82" s="53"/>
      <c r="Q82" s="53"/>
      <c r="R82" s="379"/>
      <c r="T82" s="378"/>
      <c r="U82" s="378"/>
      <c r="V82" s="378"/>
      <c r="W82" s="378"/>
      <c r="X82" s="378"/>
      <c r="Y82" s="2"/>
      <c r="Z82" s="2"/>
      <c r="AA82" s="2"/>
      <c r="AB82" s="2"/>
      <c r="AC82" s="522"/>
      <c r="AD82" s="2"/>
      <c r="AE82" s="131"/>
      <c r="AF82" s="2"/>
      <c r="AG82" s="147"/>
      <c r="AH82" s="2"/>
      <c r="AI82" s="2"/>
      <c r="AJ82" s="2"/>
      <c r="AK82" s="147"/>
      <c r="AL82" s="2"/>
      <c r="AM82" s="2"/>
      <c r="AN82" s="2"/>
      <c r="AO82" s="5"/>
      <c r="AP82" s="5"/>
      <c r="AQ82" s="149"/>
    </row>
    <row r="83" spans="1:47" x14ac:dyDescent="0.25">
      <c r="A83" s="53"/>
      <c r="C83" s="54"/>
      <c r="F83" s="449"/>
      <c r="H83" s="449"/>
      <c r="I83" s="449"/>
      <c r="J83" s="461"/>
      <c r="K83" s="461"/>
      <c r="L83" s="379"/>
      <c r="M83" s="379"/>
      <c r="N83" s="50"/>
      <c r="O83" s="50"/>
      <c r="P83" s="53"/>
      <c r="Q83" s="53"/>
      <c r="R83" s="379"/>
      <c r="T83" s="45">
        <v>11</v>
      </c>
      <c r="U83" s="378"/>
      <c r="V83" s="46" t="s">
        <v>87</v>
      </c>
      <c r="W83" s="378"/>
      <c r="X83" s="378"/>
      <c r="Y83" s="392">
        <f>F32</f>
        <v>0</v>
      </c>
      <c r="Z83" s="2"/>
      <c r="AA83" s="392">
        <f>H32</f>
        <v>0</v>
      </c>
      <c r="AB83" s="2"/>
      <c r="AC83" s="522">
        <v>2.1543E-2</v>
      </c>
      <c r="AD83" s="2"/>
      <c r="AE83" s="191">
        <v>0</v>
      </c>
      <c r="AF83" s="2"/>
      <c r="AG83" s="149">
        <f>ROUND((AE83/AE$98)*100,1)</f>
        <v>0</v>
      </c>
      <c r="AH83" s="2"/>
      <c r="AI83" s="5">
        <f>L32-AE83</f>
        <v>0</v>
      </c>
      <c r="AJ83" s="2"/>
      <c r="AK83" s="149">
        <v>0</v>
      </c>
      <c r="AL83" s="2"/>
      <c r="AM83" s="5">
        <f>ROUND($AM$98/$AA$98*AA83,0)</f>
        <v>0</v>
      </c>
      <c r="AN83" s="2"/>
      <c r="AO83" s="5">
        <f>AE83+AM83</f>
        <v>0</v>
      </c>
      <c r="AP83" s="5"/>
      <c r="AQ83" s="149">
        <v>0</v>
      </c>
      <c r="AU83" s="552">
        <f>AC83-CUR_BASE_FUEL</f>
        <v>-2.2940000000000009E-3</v>
      </c>
    </row>
    <row r="84" spans="1:47" x14ac:dyDescent="0.25">
      <c r="A84" s="53"/>
      <c r="C84" s="54"/>
      <c r="F84" s="449"/>
      <c r="H84" s="449"/>
      <c r="I84" s="449"/>
      <c r="J84" s="461"/>
      <c r="K84" s="461"/>
      <c r="L84" s="379"/>
      <c r="M84" s="379"/>
      <c r="N84" s="50"/>
      <c r="O84" s="50"/>
      <c r="P84" s="53"/>
      <c r="Q84" s="53"/>
      <c r="R84" s="379"/>
      <c r="T84" s="45"/>
      <c r="U84" s="378"/>
      <c r="V84" s="46"/>
      <c r="W84" s="378"/>
      <c r="X84" s="378"/>
      <c r="Y84" s="5"/>
      <c r="Z84" s="2"/>
      <c r="AA84" s="2"/>
      <c r="AB84" s="2"/>
      <c r="AC84" s="522"/>
      <c r="AD84" s="2"/>
      <c r="AE84" s="2"/>
      <c r="AF84" s="2"/>
      <c r="AG84" s="147"/>
      <c r="AH84" s="2"/>
      <c r="AI84" s="2"/>
      <c r="AJ84" s="2"/>
      <c r="AK84" s="147"/>
      <c r="AL84" s="2"/>
      <c r="AM84" s="2"/>
      <c r="AN84" s="2"/>
      <c r="AO84" s="5"/>
      <c r="AP84" s="5"/>
      <c r="AQ84" s="149"/>
    </row>
    <row r="85" spans="1:47" x14ac:dyDescent="0.25">
      <c r="A85" s="53"/>
      <c r="C85" s="54"/>
      <c r="F85" s="449"/>
      <c r="H85" s="449"/>
      <c r="I85" s="449"/>
      <c r="J85" s="461"/>
      <c r="K85" s="461"/>
      <c r="L85" s="379"/>
      <c r="M85" s="379"/>
      <c r="N85" s="50"/>
      <c r="O85" s="50"/>
      <c r="P85" s="53"/>
      <c r="Q85" s="53"/>
      <c r="R85" s="379"/>
      <c r="T85" s="45">
        <v>12</v>
      </c>
      <c r="U85" s="378"/>
      <c r="V85" s="222" t="s">
        <v>88</v>
      </c>
      <c r="W85" s="378"/>
      <c r="X85" s="378"/>
      <c r="Y85" s="5"/>
      <c r="Z85" s="2"/>
      <c r="AA85" s="2"/>
      <c r="AB85" s="2"/>
      <c r="AC85" s="553"/>
      <c r="AD85" s="104"/>
      <c r="AE85" s="5"/>
      <c r="AF85" s="5"/>
      <c r="AG85" s="149"/>
      <c r="AH85" s="6"/>
      <c r="AI85" s="2"/>
      <c r="AJ85" s="2"/>
      <c r="AK85" s="147"/>
      <c r="AL85" s="2"/>
      <c r="AM85" s="2"/>
      <c r="AN85" s="2"/>
      <c r="AO85" s="5"/>
      <c r="AP85" s="5"/>
      <c r="AQ85" s="149"/>
    </row>
    <row r="86" spans="1:47" x14ac:dyDescent="0.25">
      <c r="A86" s="53"/>
      <c r="C86" s="54"/>
      <c r="F86" s="449"/>
      <c r="H86" s="449"/>
      <c r="I86" s="449"/>
      <c r="J86" s="461"/>
      <c r="K86" s="461"/>
      <c r="L86" s="379"/>
      <c r="M86" s="379"/>
      <c r="N86" s="50"/>
      <c r="O86" s="50"/>
      <c r="P86" s="53"/>
      <c r="Q86" s="53"/>
      <c r="R86" s="379"/>
      <c r="T86" s="45">
        <v>13</v>
      </c>
      <c r="U86" s="378"/>
      <c r="V86" s="222" t="s">
        <v>89</v>
      </c>
      <c r="W86" s="378"/>
      <c r="X86" s="378"/>
      <c r="Y86" s="5"/>
      <c r="Z86" s="2"/>
      <c r="AA86" s="5"/>
      <c r="AB86" s="5"/>
      <c r="AC86" s="553"/>
      <c r="AD86" s="104"/>
      <c r="AE86" s="5"/>
      <c r="AF86" s="5"/>
      <c r="AG86" s="149"/>
      <c r="AH86" s="6"/>
      <c r="AI86" s="2"/>
      <c r="AJ86" s="2"/>
      <c r="AK86" s="147"/>
      <c r="AL86" s="2"/>
      <c r="AM86" s="5"/>
      <c r="AN86" s="5"/>
      <c r="AO86" s="5"/>
      <c r="AP86" s="5"/>
      <c r="AQ86" s="149"/>
    </row>
    <row r="87" spans="1:47" x14ac:dyDescent="0.25">
      <c r="F87" s="381"/>
      <c r="H87" s="379"/>
      <c r="I87" s="379"/>
      <c r="J87" s="464"/>
      <c r="K87" s="464"/>
      <c r="L87" s="381"/>
      <c r="M87" s="381"/>
      <c r="N87" s="381"/>
      <c r="O87" s="381"/>
      <c r="P87" s="381"/>
      <c r="Q87" s="381"/>
      <c r="R87" s="381"/>
      <c r="T87" s="45">
        <v>14</v>
      </c>
      <c r="U87" s="378"/>
      <c r="V87" s="222" t="s">
        <v>90</v>
      </c>
      <c r="W87" s="378"/>
      <c r="X87" s="378"/>
      <c r="Y87" s="2"/>
      <c r="Z87" s="2"/>
      <c r="AA87" s="2"/>
      <c r="AB87" s="2"/>
      <c r="AC87" s="522"/>
      <c r="AD87" s="2"/>
      <c r="AE87" s="2"/>
      <c r="AF87" s="2"/>
      <c r="AG87" s="147"/>
      <c r="AH87" s="2"/>
      <c r="AI87" s="2"/>
      <c r="AJ87" s="2"/>
      <c r="AK87" s="147"/>
      <c r="AL87" s="2"/>
      <c r="AM87" s="2"/>
      <c r="AN87" s="2"/>
      <c r="AO87" s="2"/>
      <c r="AP87" s="2"/>
      <c r="AQ87" s="149"/>
    </row>
    <row r="88" spans="1:47" x14ac:dyDescent="0.25">
      <c r="A88" s="53"/>
      <c r="C88" s="54"/>
      <c r="F88" s="379"/>
      <c r="H88" s="379"/>
      <c r="I88" s="379"/>
      <c r="J88" s="464"/>
      <c r="K88" s="464"/>
      <c r="L88" s="379"/>
      <c r="M88" s="379"/>
      <c r="N88" s="50"/>
      <c r="O88" s="50"/>
      <c r="P88" s="379"/>
      <c r="Q88" s="379"/>
      <c r="R88" s="379"/>
      <c r="T88" s="45">
        <v>15</v>
      </c>
      <c r="U88" s="378"/>
      <c r="V88" s="222" t="s">
        <v>435</v>
      </c>
      <c r="W88" s="378"/>
      <c r="X88" s="378"/>
      <c r="Y88" s="2"/>
      <c r="Z88" s="2"/>
      <c r="AA88" s="2"/>
      <c r="AB88" s="2"/>
      <c r="AC88" s="522"/>
      <c r="AD88" s="2"/>
      <c r="AE88" s="2"/>
      <c r="AF88" s="2"/>
      <c r="AG88" s="147"/>
      <c r="AH88" s="2"/>
      <c r="AI88" s="2"/>
      <c r="AJ88" s="2"/>
      <c r="AK88" s="147"/>
      <c r="AL88" s="2"/>
      <c r="AM88" s="2"/>
      <c r="AN88" s="2"/>
      <c r="AO88" s="2"/>
      <c r="AP88" s="2"/>
      <c r="AQ88" s="149"/>
    </row>
    <row r="89" spans="1:47" x14ac:dyDescent="0.25">
      <c r="A89" s="53"/>
      <c r="C89" s="54"/>
      <c r="F89" s="449"/>
      <c r="H89" s="449"/>
      <c r="I89" s="449"/>
      <c r="J89" s="477"/>
      <c r="K89" s="477"/>
      <c r="L89" s="379"/>
      <c r="M89" s="379"/>
      <c r="N89" s="50"/>
      <c r="O89" s="50"/>
      <c r="P89" s="379"/>
      <c r="Q89" s="379"/>
      <c r="R89" s="379"/>
      <c r="S89" s="379"/>
      <c r="T89" s="378"/>
      <c r="U89" s="378"/>
      <c r="V89" s="378"/>
      <c r="W89" s="378"/>
      <c r="X89" s="378"/>
      <c r="Y89" s="2"/>
      <c r="Z89" s="2"/>
      <c r="AA89" s="2"/>
      <c r="AB89" s="2"/>
      <c r="AC89" s="522"/>
      <c r="AD89" s="2"/>
      <c r="AE89" s="2"/>
      <c r="AF89" s="2"/>
      <c r="AG89" s="147"/>
      <c r="AH89" s="2"/>
      <c r="AI89" s="2"/>
      <c r="AJ89" s="2"/>
      <c r="AK89" s="147"/>
      <c r="AL89" s="2"/>
      <c r="AM89" s="2"/>
      <c r="AN89" s="2"/>
      <c r="AO89" s="2"/>
      <c r="AP89" s="2"/>
      <c r="AQ89" s="149"/>
    </row>
    <row r="90" spans="1:47" x14ac:dyDescent="0.25">
      <c r="A90" s="53"/>
      <c r="C90" s="54"/>
      <c r="F90" s="449"/>
      <c r="H90" s="449"/>
      <c r="I90" s="449"/>
      <c r="J90" s="461"/>
      <c r="K90" s="461"/>
      <c r="L90" s="379"/>
      <c r="M90" s="379"/>
      <c r="N90" s="50"/>
      <c r="O90" s="50"/>
      <c r="P90" s="379"/>
      <c r="Q90" s="379"/>
      <c r="R90" s="379"/>
      <c r="T90" s="45">
        <v>16</v>
      </c>
      <c r="U90" s="378"/>
      <c r="V90" s="46" t="s">
        <v>87</v>
      </c>
      <c r="W90" s="378"/>
      <c r="X90" s="378"/>
      <c r="Y90" s="391">
        <f>F39</f>
        <v>18876</v>
      </c>
      <c r="Z90" s="131"/>
      <c r="AA90" s="391">
        <f>H39</f>
        <v>758460</v>
      </c>
      <c r="AB90" s="5"/>
      <c r="AC90" s="453">
        <v>6.0446E-2</v>
      </c>
      <c r="AD90" s="481"/>
      <c r="AE90" s="81">
        <f>ROUND((AA90*AC90),0)</f>
        <v>45846</v>
      </c>
      <c r="AF90" s="5"/>
      <c r="AG90" s="148">
        <f>ROUND((AE90/AE$98)*100,1)-0.1</f>
        <v>57.6</v>
      </c>
      <c r="AH90" s="6"/>
      <c r="AI90" s="81">
        <f>L39-AE90</f>
        <v>5623</v>
      </c>
      <c r="AJ90" s="5"/>
      <c r="AK90" s="148">
        <f>ROUND((AI90/AE90)*100,1)</f>
        <v>12.3</v>
      </c>
      <c r="AL90" s="8"/>
      <c r="AM90" s="81">
        <f>ROUND($AM$98/$AA$98*AA90,0)</f>
        <v>517</v>
      </c>
      <c r="AN90" s="5"/>
      <c r="AO90" s="81">
        <f>AE90+AM90</f>
        <v>46363</v>
      </c>
      <c r="AP90" s="5"/>
      <c r="AQ90" s="149">
        <f>ROUND((AI90/AO90)*100,1)</f>
        <v>12.1</v>
      </c>
      <c r="AU90" s="552">
        <f>AC90-CUR_BASE_FUEL</f>
        <v>3.6609000000000003E-2</v>
      </c>
    </row>
    <row r="91" spans="1:47" ht="20.100000000000001" customHeight="1" x14ac:dyDescent="0.25">
      <c r="A91" s="53"/>
      <c r="C91" s="54"/>
      <c r="F91" s="449"/>
      <c r="H91" s="449"/>
      <c r="I91" s="449"/>
      <c r="J91" s="461"/>
      <c r="K91" s="461"/>
      <c r="L91" s="379"/>
      <c r="M91" s="379"/>
      <c r="N91" s="50"/>
      <c r="O91" s="50"/>
      <c r="P91" s="379"/>
      <c r="Q91" s="379"/>
      <c r="R91" s="379"/>
      <c r="T91" s="45">
        <v>17</v>
      </c>
      <c r="U91" s="378"/>
      <c r="V91" s="444" t="s">
        <v>539</v>
      </c>
      <c r="W91" s="378"/>
      <c r="X91" s="378"/>
      <c r="Y91" s="89">
        <f>Y90+Y83+Y75</f>
        <v>95903</v>
      </c>
      <c r="Z91" s="2"/>
      <c r="AA91" s="89">
        <f>AA90+AA83+AA75</f>
        <v>1445796</v>
      </c>
      <c r="AB91" s="5"/>
      <c r="AC91" s="453"/>
      <c r="AD91" s="481"/>
      <c r="AE91" s="89">
        <f>AE90+AE83+AE75</f>
        <v>72585</v>
      </c>
      <c r="AF91" s="5"/>
      <c r="AG91" s="150">
        <f>ROUND((AE91/AE$98)*100,1)</f>
        <v>91.4</v>
      </c>
      <c r="AH91" s="6"/>
      <c r="AI91" s="89">
        <f>AI90+AI83+AI75</f>
        <v>8903</v>
      </c>
      <c r="AJ91" s="5"/>
      <c r="AK91" s="150">
        <f>ROUND((AI91/AE91)*100,1)</f>
        <v>12.3</v>
      </c>
      <c r="AL91" s="8"/>
      <c r="AM91" s="89">
        <f>AM90+AM83+AM75</f>
        <v>985</v>
      </c>
      <c r="AN91" s="5"/>
      <c r="AO91" s="89">
        <f>AO90+AO83+AO75</f>
        <v>73570</v>
      </c>
      <c r="AP91" s="5"/>
      <c r="AQ91" s="149">
        <f>ROUND((AI91/AO91)*100,1)</f>
        <v>12.1</v>
      </c>
      <c r="AU91" s="552"/>
    </row>
    <row r="92" spans="1:47" x14ac:dyDescent="0.25">
      <c r="A92" s="53"/>
      <c r="C92" s="54"/>
      <c r="F92" s="449"/>
      <c r="H92" s="449"/>
      <c r="I92" s="449"/>
      <c r="J92" s="461"/>
      <c r="K92" s="461"/>
      <c r="L92" s="379"/>
      <c r="M92" s="379"/>
      <c r="N92" s="50"/>
      <c r="O92" s="50"/>
      <c r="P92" s="379"/>
      <c r="Q92" s="379"/>
      <c r="R92" s="379"/>
      <c r="T92" s="45"/>
      <c r="U92" s="378"/>
      <c r="V92" s="444"/>
      <c r="W92" s="378"/>
      <c r="X92" s="378"/>
      <c r="Y92" s="392"/>
      <c r="Z92" s="2"/>
      <c r="AA92" s="392"/>
      <c r="AB92" s="5"/>
      <c r="AC92" s="453"/>
      <c r="AD92" s="481"/>
      <c r="AE92" s="5"/>
      <c r="AF92" s="5"/>
      <c r="AG92" s="149"/>
      <c r="AH92" s="6"/>
      <c r="AI92" s="5"/>
      <c r="AJ92" s="5"/>
      <c r="AK92" s="383"/>
      <c r="AL92" s="8"/>
      <c r="AM92" s="83"/>
      <c r="AN92" s="5"/>
      <c r="AO92" s="5"/>
      <c r="AP92" s="5"/>
      <c r="AQ92" s="149"/>
      <c r="AU92" s="552"/>
    </row>
    <row r="93" spans="1:47" ht="18" customHeight="1" x14ac:dyDescent="0.25">
      <c r="A93" s="53"/>
      <c r="C93" s="54"/>
      <c r="F93" s="449"/>
      <c r="H93" s="449"/>
      <c r="I93" s="449"/>
      <c r="J93" s="461"/>
      <c r="K93" s="461"/>
      <c r="L93" s="379"/>
      <c r="M93" s="379"/>
      <c r="N93" s="50"/>
      <c r="O93" s="50"/>
      <c r="P93" s="379"/>
      <c r="Q93" s="379"/>
      <c r="R93" s="379"/>
      <c r="T93" s="45">
        <f>A42</f>
        <v>18</v>
      </c>
      <c r="U93" s="378"/>
      <c r="V93" s="222" t="s">
        <v>551</v>
      </c>
      <c r="W93" s="378"/>
      <c r="X93" s="378"/>
      <c r="Y93" s="83"/>
      <c r="Z93" s="2"/>
      <c r="AA93" s="83"/>
      <c r="AB93" s="5"/>
      <c r="AC93" s="453"/>
      <c r="AD93" s="481"/>
      <c r="AE93" s="5"/>
      <c r="AF93" s="5"/>
      <c r="AG93" s="149"/>
      <c r="AH93" s="6"/>
      <c r="AI93" s="5"/>
      <c r="AJ93" s="5"/>
      <c r="AK93" s="383"/>
      <c r="AL93" s="8"/>
      <c r="AM93" s="83"/>
      <c r="AN93" s="5"/>
      <c r="AO93" s="5"/>
      <c r="AP93" s="5"/>
      <c r="AQ93" s="149"/>
      <c r="AU93" s="552"/>
    </row>
    <row r="94" spans="1:47" ht="18" customHeight="1" x14ac:dyDescent="0.25">
      <c r="A94" s="53"/>
      <c r="C94" s="54"/>
      <c r="F94" s="449"/>
      <c r="H94" s="449"/>
      <c r="I94" s="449"/>
      <c r="J94" s="461"/>
      <c r="K94" s="461"/>
      <c r="L94" s="379"/>
      <c r="M94" s="379"/>
      <c r="N94" s="50"/>
      <c r="O94" s="50"/>
      <c r="P94" s="379"/>
      <c r="Q94" s="379"/>
      <c r="R94" s="379"/>
      <c r="T94" s="45">
        <f>A43</f>
        <v>19</v>
      </c>
      <c r="U94" s="378"/>
      <c r="V94" s="216" t="str">
        <f>C43</f>
        <v>ENVIRONMENTAL SURCHARGE MECHANISM RIDER (ESM)</v>
      </c>
      <c r="W94" s="378"/>
      <c r="X94" s="378"/>
      <c r="Y94" s="83"/>
      <c r="Z94" s="2"/>
      <c r="AA94" s="83"/>
      <c r="AB94" s="5"/>
      <c r="AC94" s="538">
        <f>CUR_ESM_NONRES</f>
        <v>0.18160000000000001</v>
      </c>
      <c r="AD94" s="481"/>
      <c r="AE94" s="5">
        <f>ROUND(($AO$91-CUR_BASE_FUEL*AA91)*AC94,0)</f>
        <v>7102</v>
      </c>
      <c r="AF94" s="5"/>
      <c r="AG94" s="149">
        <f>ROUND((AE94/AE$98)*100,1)</f>
        <v>8.9</v>
      </c>
      <c r="AH94" s="6"/>
      <c r="AI94" s="5">
        <f>L43-AE94</f>
        <v>0</v>
      </c>
      <c r="AJ94" s="5"/>
      <c r="AK94" s="383">
        <f>IF(AE94=0,0,ROUND((AI94/AE94)*100,1))</f>
        <v>0</v>
      </c>
      <c r="AL94" s="8"/>
      <c r="AM94" s="83"/>
      <c r="AN94" s="5"/>
      <c r="AO94" s="5">
        <f t="shared" ref="AO94" si="2">AE94+AM94</f>
        <v>7102</v>
      </c>
      <c r="AP94" s="5"/>
      <c r="AQ94" s="149">
        <f>IF(AO94=0,0,ROUND((AI94/AO94)*100,1))</f>
        <v>0</v>
      </c>
      <c r="AU94" s="552"/>
    </row>
    <row r="95" spans="1:47" x14ac:dyDescent="0.25">
      <c r="A95" s="53"/>
      <c r="C95" s="54"/>
      <c r="F95" s="449"/>
      <c r="H95" s="449"/>
      <c r="I95" s="449"/>
      <c r="J95" s="461"/>
      <c r="K95" s="461"/>
      <c r="L95" s="379"/>
      <c r="M95" s="379"/>
      <c r="N95" s="50"/>
      <c r="O95" s="50"/>
      <c r="P95" s="379"/>
      <c r="Q95" s="379"/>
      <c r="R95" s="379"/>
      <c r="T95" s="45">
        <f>A44</f>
        <v>20</v>
      </c>
      <c r="U95" s="378"/>
      <c r="V95" s="216" t="str">
        <f>C44</f>
        <v>PROFIT SHARING MECHANISM (PSM)</v>
      </c>
      <c r="W95" s="378"/>
      <c r="X95" s="378"/>
      <c r="Y95" s="83"/>
      <c r="Z95" s="2"/>
      <c r="AA95" s="83"/>
      <c r="AB95" s="5"/>
      <c r="AC95" s="453">
        <f>RS_PSM</f>
        <v>-1.63E-4</v>
      </c>
      <c r="AD95" s="481"/>
      <c r="AE95" s="81">
        <f>ROUND($AA$91*AC95,0)</f>
        <v>-236</v>
      </c>
      <c r="AF95" s="5"/>
      <c r="AG95" s="148">
        <f t="shared" ref="AG95" si="3">ROUND((AE95/AE$98)*100,1)</f>
        <v>-0.3</v>
      </c>
      <c r="AH95" s="6"/>
      <c r="AI95" s="81">
        <f>L44-AE95</f>
        <v>0</v>
      </c>
      <c r="AJ95" s="5"/>
      <c r="AK95" s="148">
        <f t="shared" ref="AK95" si="4">ROUND((AI95/AE95)*100,1)</f>
        <v>0</v>
      </c>
      <c r="AL95" s="8"/>
      <c r="AM95" s="81"/>
      <c r="AN95" s="5"/>
      <c r="AO95" s="81">
        <f t="shared" ref="AO95" si="5">AE95+AM95</f>
        <v>-236</v>
      </c>
      <c r="AP95" s="5"/>
      <c r="AQ95" s="149">
        <f t="shared" ref="AQ95" si="6">ROUND((AI95/AO95)*100,1)</f>
        <v>0</v>
      </c>
      <c r="AU95" s="552"/>
    </row>
    <row r="96" spans="1:47" ht="20.100000000000001" customHeight="1" x14ac:dyDescent="0.25">
      <c r="A96" s="53"/>
      <c r="C96" s="54"/>
      <c r="F96" s="449"/>
      <c r="H96" s="449"/>
      <c r="I96" s="449"/>
      <c r="J96" s="461"/>
      <c r="K96" s="461"/>
      <c r="L96" s="379"/>
      <c r="M96" s="379"/>
      <c r="N96" s="50"/>
      <c r="O96" s="50"/>
      <c r="P96" s="379"/>
      <c r="Q96" s="379"/>
      <c r="R96" s="379"/>
      <c r="T96" s="45">
        <f>A45</f>
        <v>21</v>
      </c>
      <c r="U96" s="378"/>
      <c r="V96" s="222" t="s">
        <v>538</v>
      </c>
      <c r="W96" s="378"/>
      <c r="X96" s="378"/>
      <c r="Y96" s="81"/>
      <c r="Z96" s="2"/>
      <c r="AA96" s="81"/>
      <c r="AB96" s="5"/>
      <c r="AC96" s="455"/>
      <c r="AD96" s="481"/>
      <c r="AE96" s="81">
        <f>SUM(AE94:AE95)</f>
        <v>6866</v>
      </c>
      <c r="AF96" s="5"/>
      <c r="AG96" s="150">
        <f>ROUND((AE96/AE$98)*100,1)</f>
        <v>8.6</v>
      </c>
      <c r="AH96" s="6"/>
      <c r="AI96" s="81">
        <f>SUM(AI94:AI95)</f>
        <v>0</v>
      </c>
      <c r="AJ96" s="5"/>
      <c r="AK96" s="150">
        <f>ROUND((AI96/AE96)*100,1)</f>
        <v>0</v>
      </c>
      <c r="AL96" s="8"/>
      <c r="AM96" s="81"/>
      <c r="AN96" s="5"/>
      <c r="AO96" s="81">
        <f>SUM(AO94:AO95)</f>
        <v>6866</v>
      </c>
      <c r="AP96" s="5"/>
      <c r="AQ96" s="149">
        <f>ROUND((AI96/AO96)*100,1)</f>
        <v>0</v>
      </c>
      <c r="AU96" s="552"/>
    </row>
    <row r="97" spans="1:47" x14ac:dyDescent="0.25">
      <c r="A97" s="53"/>
      <c r="C97" s="54"/>
      <c r="F97" s="449"/>
      <c r="H97" s="449"/>
      <c r="I97" s="449"/>
      <c r="J97" s="461"/>
      <c r="K97" s="461"/>
      <c r="L97" s="379"/>
      <c r="M97" s="379"/>
      <c r="N97" s="50"/>
      <c r="O97" s="50"/>
      <c r="P97" s="379"/>
      <c r="Q97" s="379"/>
      <c r="R97" s="379"/>
      <c r="T97" s="45"/>
      <c r="U97" s="378"/>
      <c r="V97" s="46"/>
      <c r="W97" s="378"/>
      <c r="X97" s="378"/>
      <c r="Y97" s="5"/>
      <c r="Z97" s="2"/>
      <c r="AA97" s="5"/>
      <c r="AB97" s="5"/>
      <c r="AC97" s="455"/>
      <c r="AD97" s="481"/>
      <c r="AE97" s="5"/>
      <c r="AF97" s="5"/>
      <c r="AG97" s="149"/>
      <c r="AH97" s="6"/>
      <c r="AI97" s="5"/>
      <c r="AJ97" s="5"/>
      <c r="AK97" s="383"/>
      <c r="AL97" s="8"/>
      <c r="AM97" s="83"/>
      <c r="AN97" s="5"/>
      <c r="AO97" s="5"/>
      <c r="AP97" s="5"/>
      <c r="AQ97" s="149"/>
      <c r="AU97" s="552"/>
    </row>
    <row r="98" spans="1:47" ht="20.100000000000001" customHeight="1" thickBot="1" x14ac:dyDescent="0.3">
      <c r="A98" s="53"/>
      <c r="C98" s="54"/>
      <c r="F98" s="379"/>
      <c r="H98" s="379"/>
      <c r="I98" s="379"/>
      <c r="J98" s="464"/>
      <c r="K98" s="464"/>
      <c r="L98" s="379"/>
      <c r="M98" s="379"/>
      <c r="N98" s="379"/>
      <c r="O98" s="379"/>
      <c r="P98" s="379"/>
      <c r="Q98" s="379"/>
      <c r="R98" s="379"/>
      <c r="T98" s="45">
        <f>A47</f>
        <v>22</v>
      </c>
      <c r="U98" s="378"/>
      <c r="V98" s="222" t="s">
        <v>540</v>
      </c>
      <c r="W98" s="378"/>
      <c r="X98" s="378"/>
      <c r="Y98" s="82">
        <f>Y91</f>
        <v>95903</v>
      </c>
      <c r="Z98" s="84"/>
      <c r="AA98" s="82">
        <f>AA91</f>
        <v>1445796</v>
      </c>
      <c r="AB98" s="83"/>
      <c r="AC98" s="192"/>
      <c r="AD98" s="84"/>
      <c r="AE98" s="82">
        <f>AE96+AE91</f>
        <v>79451</v>
      </c>
      <c r="AF98" s="83"/>
      <c r="AG98" s="151">
        <v>100</v>
      </c>
      <c r="AH98" s="91"/>
      <c r="AI98" s="82">
        <f>AI96+AI91</f>
        <v>8903</v>
      </c>
      <c r="AJ98" s="83"/>
      <c r="AK98" s="151">
        <f>ROUND((AI98/AE98)*100,1)</f>
        <v>11.2</v>
      </c>
      <c r="AL98" s="103"/>
      <c r="AM98" s="554">
        <f>ROUND(AA98*CUR_FAC,0)</f>
        <v>985</v>
      </c>
      <c r="AN98" s="94"/>
      <c r="AO98" s="82">
        <f>AO96+AO91</f>
        <v>80436</v>
      </c>
      <c r="AP98" s="5"/>
      <c r="AQ98" s="149">
        <f>ROUND((AI98/AO98)*100,1)</f>
        <v>11.1</v>
      </c>
    </row>
    <row r="99" spans="1:47" ht="16.5" thickTop="1" x14ac:dyDescent="0.25">
      <c r="A99" s="53"/>
      <c r="C99" s="54"/>
      <c r="F99" s="379"/>
      <c r="H99" s="379"/>
      <c r="I99" s="379"/>
      <c r="J99" s="464"/>
      <c r="K99" s="464"/>
      <c r="L99" s="379"/>
      <c r="M99" s="379"/>
      <c r="N99" s="379"/>
      <c r="O99" s="379"/>
      <c r="P99" s="379"/>
      <c r="Q99" s="379"/>
      <c r="R99" s="379"/>
      <c r="T99" s="45"/>
      <c r="U99" s="378"/>
      <c r="V99" s="46"/>
      <c r="W99" s="378"/>
      <c r="X99" s="378"/>
      <c r="Y99" s="83"/>
      <c r="Z99" s="2"/>
      <c r="AA99" s="83"/>
      <c r="AB99" s="5"/>
      <c r="AC99" s="112"/>
      <c r="AD99" s="2"/>
      <c r="AE99" s="83"/>
      <c r="AF99" s="5"/>
      <c r="AG99" s="383"/>
      <c r="AH99" s="6"/>
      <c r="AI99" s="83"/>
      <c r="AJ99" s="5"/>
      <c r="AK99" s="383"/>
      <c r="AL99" s="8"/>
      <c r="AM99" s="94"/>
      <c r="AN99" s="86"/>
      <c r="AO99" s="83"/>
      <c r="AP99" s="5"/>
      <c r="AQ99" s="149"/>
    </row>
    <row r="100" spans="1:47" x14ac:dyDescent="0.25">
      <c r="F100" s="379"/>
      <c r="H100" s="379"/>
      <c r="I100" s="379"/>
      <c r="J100" s="464"/>
      <c r="K100" s="464"/>
      <c r="L100" s="381"/>
      <c r="M100" s="381"/>
      <c r="N100" s="381"/>
      <c r="O100" s="381"/>
      <c r="P100" s="381"/>
      <c r="Q100" s="381"/>
      <c r="R100" s="381"/>
      <c r="T100" s="378"/>
      <c r="U100" s="378"/>
      <c r="V100" s="243" t="s">
        <v>78</v>
      </c>
      <c r="W100" s="378"/>
      <c r="X100" s="378"/>
      <c r="Y100" s="378"/>
      <c r="Z100" s="378"/>
      <c r="AA100" s="378"/>
      <c r="AB100" s="378"/>
      <c r="AC100" s="76"/>
      <c r="AD100" s="378"/>
      <c r="AE100" s="378"/>
      <c r="AF100" s="378"/>
      <c r="AG100" s="143"/>
      <c r="AH100" s="378"/>
      <c r="AI100" s="378"/>
      <c r="AJ100" s="378"/>
      <c r="AK100" s="143"/>
      <c r="AL100" s="378"/>
      <c r="AM100" s="378"/>
      <c r="AN100" s="378"/>
      <c r="AO100" s="378"/>
      <c r="AP100" s="378"/>
      <c r="AQ100" s="143"/>
    </row>
    <row r="101" spans="1:47" x14ac:dyDescent="0.25">
      <c r="F101" s="379"/>
      <c r="H101" s="379"/>
      <c r="I101" s="379"/>
      <c r="J101" s="464"/>
      <c r="K101" s="464"/>
      <c r="L101" s="381"/>
      <c r="M101" s="381"/>
      <c r="N101" s="381"/>
      <c r="O101" s="381"/>
      <c r="P101" s="381"/>
      <c r="Q101" s="381"/>
      <c r="R101" s="381"/>
      <c r="T101" s="378"/>
      <c r="U101" s="378"/>
      <c r="V101" s="243" t="str">
        <f>"(2) REFLECTS FUEL COMPONENT OF "&amp;TEXT(CUR_FAC,"$0.000000;($0.000000)")&amp;" PER KWH."</f>
        <v>(2) REFLECTS FUEL COMPONENT OF $0.000681 PER KWH.</v>
      </c>
      <c r="W101" s="378"/>
      <c r="X101" s="378"/>
      <c r="Y101" s="378"/>
      <c r="Z101" s="378"/>
      <c r="AA101" s="378"/>
      <c r="AB101" s="378"/>
      <c r="AC101" s="76"/>
      <c r="AD101" s="378"/>
      <c r="AE101" s="378"/>
      <c r="AF101" s="378"/>
      <c r="AG101" s="143"/>
      <c r="AH101" s="378"/>
      <c r="AI101" s="378"/>
      <c r="AJ101" s="378"/>
      <c r="AK101" s="143"/>
      <c r="AL101" s="378"/>
      <c r="AM101" s="378"/>
      <c r="AN101" s="378"/>
      <c r="AO101" s="378"/>
      <c r="AP101" s="378"/>
      <c r="AQ101" s="143"/>
    </row>
    <row r="102" spans="1:47" x14ac:dyDescent="0.25">
      <c r="A102" s="53"/>
      <c r="C102" s="54"/>
      <c r="F102" s="379"/>
      <c r="H102" s="379"/>
      <c r="I102" s="379"/>
      <c r="J102" s="59"/>
      <c r="K102" s="59"/>
      <c r="L102" s="379"/>
      <c r="M102" s="379"/>
      <c r="N102" s="50"/>
      <c r="O102" s="50"/>
      <c r="P102" s="379"/>
      <c r="Q102" s="379"/>
      <c r="R102" s="379"/>
      <c r="T102" s="378"/>
      <c r="U102" s="378"/>
      <c r="V102" s="243" t="str">
        <f>"(3) REFLECTS FUEL COST RECOVERY INCLUDED IN BASE RATES OF "&amp;TEXT(CUR_BASE_FUEL,"$0.000000;($0.000000)")&amp;"  PER KWH."</f>
        <v>(3) REFLECTS FUEL COST RECOVERY INCLUDED IN BASE RATES OF $0.023837  PER KWH.</v>
      </c>
      <c r="W102" s="378"/>
      <c r="X102" s="378"/>
      <c r="Y102" s="48"/>
      <c r="Z102" s="378"/>
      <c r="AA102" s="48"/>
      <c r="AB102" s="48"/>
      <c r="AC102" s="75"/>
      <c r="AD102" s="51"/>
      <c r="AE102" s="48"/>
      <c r="AF102" s="48"/>
      <c r="AG102" s="152"/>
      <c r="AH102" s="48"/>
      <c r="AI102" s="48"/>
      <c r="AJ102" s="48"/>
      <c r="AK102" s="152"/>
      <c r="AL102" s="48"/>
      <c r="AM102" s="48"/>
      <c r="AN102" s="48"/>
      <c r="AO102" s="48"/>
      <c r="AP102" s="48"/>
      <c r="AQ102" s="143"/>
    </row>
    <row r="103" spans="1:47" x14ac:dyDescent="0.25">
      <c r="A103" s="53"/>
      <c r="C103" s="54"/>
      <c r="F103" s="379"/>
      <c r="H103" s="379"/>
      <c r="I103" s="379"/>
      <c r="J103" s="59"/>
      <c r="K103" s="59"/>
      <c r="L103" s="379"/>
      <c r="M103" s="379"/>
      <c r="N103" s="50"/>
      <c r="O103" s="50"/>
      <c r="P103" s="379"/>
      <c r="Q103" s="379"/>
      <c r="R103" s="379"/>
      <c r="T103" s="46"/>
      <c r="U103" s="378"/>
      <c r="V103" s="378"/>
      <c r="W103" s="378"/>
      <c r="X103" s="378"/>
      <c r="Y103" s="378"/>
      <c r="Z103" s="378"/>
      <c r="AA103" s="378"/>
      <c r="AB103" s="378"/>
      <c r="AC103" s="76"/>
      <c r="AD103" s="378"/>
      <c r="AE103" s="378"/>
      <c r="AF103" s="378"/>
      <c r="AG103" s="143"/>
      <c r="AH103" s="378"/>
      <c r="AI103" s="378"/>
      <c r="AJ103" s="378"/>
      <c r="AK103" s="143"/>
      <c r="AL103" s="378"/>
      <c r="AM103" s="378"/>
      <c r="AN103" s="378"/>
      <c r="AO103" s="378"/>
      <c r="AP103" s="378"/>
      <c r="AQ103" s="143"/>
    </row>
    <row r="104" spans="1:47" x14ac:dyDescent="0.25">
      <c r="A104" s="53"/>
      <c r="C104" s="54"/>
      <c r="F104" s="379"/>
      <c r="H104" s="449"/>
      <c r="I104" s="449"/>
      <c r="J104" s="472"/>
      <c r="K104" s="472"/>
      <c r="L104" s="379"/>
      <c r="M104" s="379"/>
      <c r="N104" s="50"/>
      <c r="O104" s="50"/>
      <c r="P104" s="379"/>
      <c r="Q104" s="379"/>
      <c r="R104" s="379"/>
      <c r="AC104" s="77"/>
    </row>
    <row r="105" spans="1:47" x14ac:dyDescent="0.25">
      <c r="F105" s="381"/>
      <c r="H105" s="381"/>
      <c r="I105" s="381"/>
      <c r="J105" s="464"/>
      <c r="K105" s="464"/>
      <c r="L105" s="381"/>
      <c r="M105" s="381"/>
      <c r="N105" s="381"/>
      <c r="O105" s="381"/>
      <c r="P105" s="381"/>
      <c r="Q105" s="381"/>
      <c r="R105" s="381"/>
      <c r="T105" s="53"/>
      <c r="V105" s="54"/>
      <c r="Y105" s="379"/>
      <c r="AA105" s="449"/>
      <c r="AB105" s="449"/>
      <c r="AC105" s="221"/>
      <c r="AD105" s="461"/>
      <c r="AE105" s="379"/>
      <c r="AF105" s="379"/>
      <c r="AG105" s="156"/>
      <c r="AH105" s="50"/>
      <c r="AI105" s="379"/>
      <c r="AJ105" s="379"/>
      <c r="AK105" s="156"/>
      <c r="AL105" s="60"/>
      <c r="AM105" s="53"/>
      <c r="AN105" s="53"/>
      <c r="AO105" s="379"/>
      <c r="AP105" s="379"/>
      <c r="AQ105" s="156"/>
    </row>
    <row r="106" spans="1:47" x14ac:dyDescent="0.25">
      <c r="F106" s="381"/>
      <c r="H106" s="381"/>
      <c r="I106" s="381"/>
      <c r="J106" s="464"/>
      <c r="K106" s="464"/>
      <c r="L106" s="381"/>
      <c r="M106" s="381"/>
      <c r="N106" s="381"/>
      <c r="O106" s="381"/>
      <c r="P106" s="381"/>
      <c r="Q106" s="381"/>
      <c r="R106" s="381"/>
      <c r="S106" s="379"/>
      <c r="T106" s="53"/>
      <c r="V106" s="54"/>
      <c r="Y106" s="449"/>
      <c r="AA106" s="449"/>
      <c r="AB106" s="449"/>
      <c r="AC106" s="221"/>
      <c r="AD106" s="477"/>
      <c r="AE106" s="379"/>
      <c r="AF106" s="379"/>
      <c r="AG106" s="156"/>
      <c r="AH106" s="50"/>
      <c r="AI106" s="379"/>
      <c r="AJ106" s="379"/>
      <c r="AK106" s="156"/>
      <c r="AL106" s="50"/>
      <c r="AM106" s="379"/>
      <c r="AN106" s="379"/>
      <c r="AO106" s="379"/>
      <c r="AP106" s="379"/>
      <c r="AQ106" s="156"/>
    </row>
    <row r="107" spans="1:47" x14ac:dyDescent="0.25">
      <c r="A107" s="53"/>
      <c r="C107" s="54"/>
      <c r="F107" s="449"/>
      <c r="H107" s="478"/>
      <c r="I107" s="478"/>
      <c r="J107" s="464"/>
      <c r="K107" s="464"/>
      <c r="L107" s="379"/>
      <c r="M107" s="379"/>
      <c r="N107" s="50"/>
      <c r="O107" s="50"/>
      <c r="P107" s="379"/>
      <c r="Q107" s="379"/>
      <c r="R107" s="379"/>
      <c r="S107" s="379"/>
      <c r="T107" s="53"/>
      <c r="V107" s="54"/>
      <c r="Y107" s="449"/>
      <c r="AA107" s="379"/>
      <c r="AB107" s="379"/>
      <c r="AC107" s="461"/>
      <c r="AD107" s="461"/>
      <c r="AE107" s="379"/>
      <c r="AF107" s="379"/>
      <c r="AG107" s="156"/>
      <c r="AH107" s="50"/>
      <c r="AI107" s="379"/>
      <c r="AJ107" s="379"/>
      <c r="AK107" s="156"/>
      <c r="AL107" s="60"/>
      <c r="AM107" s="379"/>
      <c r="AN107" s="379"/>
      <c r="AO107" s="379"/>
      <c r="AP107" s="379"/>
      <c r="AQ107" s="156"/>
    </row>
    <row r="108" spans="1:47" x14ac:dyDescent="0.25">
      <c r="T108" s="53"/>
      <c r="V108" s="54"/>
      <c r="Y108" s="449"/>
      <c r="AA108" s="379"/>
      <c r="AB108" s="379"/>
      <c r="AC108" s="461"/>
      <c r="AD108" s="461"/>
      <c r="AE108" s="379"/>
      <c r="AF108" s="379"/>
      <c r="AG108" s="156"/>
      <c r="AH108" s="50"/>
      <c r="AI108" s="379"/>
      <c r="AJ108" s="379"/>
      <c r="AK108" s="156"/>
      <c r="AL108" s="60"/>
      <c r="AM108" s="379"/>
      <c r="AN108" s="379"/>
      <c r="AO108" s="379"/>
      <c r="AP108" s="379"/>
      <c r="AQ108" s="156"/>
    </row>
    <row r="109" spans="1:47" x14ac:dyDescent="0.25">
      <c r="A109" s="53"/>
      <c r="C109" s="54"/>
      <c r="F109" s="449"/>
      <c r="H109" s="449"/>
      <c r="I109" s="449"/>
      <c r="J109" s="461"/>
      <c r="K109" s="461"/>
      <c r="L109" s="379"/>
      <c r="M109" s="379"/>
      <c r="N109" s="50"/>
      <c r="O109" s="50"/>
      <c r="P109" s="53"/>
      <c r="Q109" s="53"/>
      <c r="R109" s="379"/>
      <c r="T109" s="53"/>
      <c r="V109" s="54"/>
      <c r="Y109" s="379"/>
      <c r="AA109" s="379"/>
      <c r="AB109" s="379"/>
      <c r="AC109" s="59"/>
      <c r="AD109" s="59"/>
      <c r="AE109" s="379"/>
      <c r="AF109" s="379"/>
      <c r="AG109" s="156"/>
      <c r="AH109" s="50"/>
      <c r="AI109" s="379"/>
      <c r="AJ109" s="379"/>
      <c r="AK109" s="156"/>
      <c r="AL109" s="60"/>
      <c r="AM109" s="379"/>
      <c r="AN109" s="379"/>
      <c r="AO109" s="379"/>
      <c r="AP109" s="379"/>
      <c r="AQ109" s="156"/>
    </row>
    <row r="110" spans="1:47" x14ac:dyDescent="0.25">
      <c r="A110" s="53"/>
      <c r="C110" s="54"/>
      <c r="F110" s="449"/>
      <c r="H110" s="449"/>
      <c r="I110" s="449"/>
      <c r="J110" s="461"/>
      <c r="K110" s="461"/>
      <c r="L110" s="379"/>
      <c r="M110" s="379"/>
      <c r="N110" s="50"/>
      <c r="O110" s="50"/>
      <c r="P110" s="53"/>
      <c r="Q110" s="53"/>
      <c r="R110" s="379"/>
      <c r="T110" s="53"/>
      <c r="V110" s="54"/>
      <c r="Y110" s="379"/>
      <c r="AA110" s="379"/>
      <c r="AB110" s="379"/>
      <c r="AC110" s="59"/>
      <c r="AD110" s="59"/>
      <c r="AE110" s="379"/>
      <c r="AF110" s="379"/>
      <c r="AG110" s="156"/>
      <c r="AH110" s="50"/>
      <c r="AI110" s="379"/>
      <c r="AJ110" s="379"/>
      <c r="AK110" s="156"/>
      <c r="AL110" s="60"/>
      <c r="AM110" s="379"/>
      <c r="AN110" s="379"/>
      <c r="AO110" s="379"/>
      <c r="AP110" s="379"/>
      <c r="AQ110" s="156"/>
    </row>
    <row r="111" spans="1:47" x14ac:dyDescent="0.25">
      <c r="F111" s="381"/>
      <c r="H111" s="379"/>
      <c r="I111" s="379"/>
      <c r="J111" s="464"/>
      <c r="K111" s="464"/>
      <c r="L111" s="381"/>
      <c r="M111" s="381"/>
      <c r="N111" s="381"/>
      <c r="O111" s="381"/>
      <c r="P111" s="381"/>
      <c r="Q111" s="381"/>
      <c r="R111" s="381"/>
      <c r="T111" s="53"/>
      <c r="V111" s="54"/>
      <c r="Y111" s="379"/>
      <c r="AA111" s="379"/>
      <c r="AB111" s="379"/>
      <c r="AC111" s="463"/>
      <c r="AD111" s="463"/>
      <c r="AE111" s="379"/>
      <c r="AF111" s="379"/>
      <c r="AG111" s="156"/>
      <c r="AH111" s="50"/>
      <c r="AI111" s="379"/>
      <c r="AJ111" s="379"/>
      <c r="AK111" s="156"/>
      <c r="AL111" s="60"/>
      <c r="AM111" s="379"/>
      <c r="AN111" s="379"/>
      <c r="AO111" s="379"/>
      <c r="AP111" s="379"/>
      <c r="AQ111" s="156"/>
    </row>
    <row r="112" spans="1:47" x14ac:dyDescent="0.25">
      <c r="F112" s="381"/>
      <c r="H112" s="379"/>
      <c r="I112" s="379"/>
      <c r="J112" s="464"/>
      <c r="K112" s="464"/>
      <c r="L112" s="381"/>
      <c r="M112" s="381"/>
      <c r="N112" s="381"/>
      <c r="O112" s="381"/>
      <c r="P112" s="381"/>
      <c r="Q112" s="381"/>
      <c r="R112" s="381"/>
    </row>
    <row r="113" spans="1:43" x14ac:dyDescent="0.25">
      <c r="A113" s="53"/>
      <c r="C113" s="54"/>
      <c r="F113" s="449"/>
      <c r="H113" s="449"/>
      <c r="I113" s="449"/>
      <c r="J113" s="477"/>
      <c r="K113" s="477"/>
      <c r="L113" s="379"/>
      <c r="M113" s="379"/>
      <c r="N113" s="50"/>
      <c r="O113" s="50"/>
      <c r="P113" s="379"/>
      <c r="Q113" s="379"/>
      <c r="R113" s="379"/>
      <c r="S113" s="379"/>
      <c r="T113" s="53"/>
      <c r="V113" s="54"/>
      <c r="Y113" s="379"/>
      <c r="AA113" s="379"/>
      <c r="AB113" s="379"/>
      <c r="AC113" s="464"/>
      <c r="AD113" s="464"/>
      <c r="AE113" s="379"/>
      <c r="AF113" s="379"/>
      <c r="AG113" s="156"/>
      <c r="AH113" s="50"/>
      <c r="AI113" s="379"/>
      <c r="AJ113" s="379"/>
      <c r="AK113" s="156"/>
      <c r="AL113" s="50"/>
      <c r="AM113" s="379"/>
      <c r="AN113" s="379"/>
      <c r="AO113" s="379"/>
      <c r="AP113" s="379"/>
      <c r="AQ113" s="156"/>
    </row>
    <row r="114" spans="1:43" x14ac:dyDescent="0.25">
      <c r="A114" s="53"/>
      <c r="C114" s="54"/>
      <c r="F114" s="449"/>
      <c r="H114" s="449"/>
      <c r="I114" s="449"/>
      <c r="J114" s="461"/>
      <c r="K114" s="461"/>
      <c r="L114" s="379"/>
      <c r="M114" s="379"/>
      <c r="N114" s="50"/>
      <c r="O114" s="50"/>
      <c r="P114" s="379"/>
      <c r="Q114" s="379"/>
      <c r="R114" s="379"/>
      <c r="T114" s="53"/>
      <c r="V114" s="54"/>
    </row>
    <row r="115" spans="1:43" x14ac:dyDescent="0.25">
      <c r="F115" s="379"/>
      <c r="H115" s="381"/>
      <c r="I115" s="381"/>
      <c r="J115" s="464"/>
      <c r="K115" s="464"/>
      <c r="L115" s="381"/>
      <c r="M115" s="381"/>
      <c r="N115" s="381"/>
      <c r="O115" s="381"/>
      <c r="P115" s="381"/>
      <c r="Q115" s="381"/>
      <c r="R115" s="381"/>
      <c r="T115" s="53"/>
      <c r="V115" s="54"/>
      <c r="Y115" s="379"/>
      <c r="AA115" s="379"/>
      <c r="AB115" s="379"/>
      <c r="AE115" s="379"/>
      <c r="AF115" s="379"/>
      <c r="AG115" s="156"/>
      <c r="AH115" s="50"/>
      <c r="AI115" s="379"/>
      <c r="AJ115" s="379"/>
      <c r="AK115" s="156"/>
      <c r="AL115" s="50"/>
      <c r="AM115" s="449"/>
      <c r="AN115" s="449"/>
      <c r="AO115" s="379"/>
      <c r="AP115" s="379"/>
      <c r="AQ115" s="156"/>
    </row>
    <row r="116" spans="1:43" x14ac:dyDescent="0.25">
      <c r="F116" s="379"/>
      <c r="H116" s="381"/>
      <c r="I116" s="381"/>
      <c r="J116" s="464"/>
      <c r="K116" s="464"/>
      <c r="L116" s="381"/>
      <c r="M116" s="381"/>
      <c r="N116" s="381"/>
      <c r="O116" s="381"/>
      <c r="P116" s="381"/>
      <c r="Q116" s="381"/>
      <c r="R116" s="381"/>
    </row>
    <row r="117" spans="1:43" x14ac:dyDescent="0.25">
      <c r="A117" s="53"/>
      <c r="C117" s="54"/>
      <c r="F117" s="379"/>
      <c r="H117" s="379"/>
      <c r="I117" s="379"/>
      <c r="J117" s="464"/>
      <c r="K117" s="464"/>
      <c r="L117" s="379"/>
      <c r="M117" s="379"/>
      <c r="N117" s="379"/>
      <c r="O117" s="379"/>
      <c r="P117" s="379"/>
      <c r="Q117" s="379"/>
      <c r="R117" s="379"/>
      <c r="V117" s="54"/>
      <c r="AE117" s="379"/>
      <c r="AF117" s="379"/>
      <c r="AG117" s="156"/>
      <c r="AH117" s="379"/>
      <c r="AM117" s="379"/>
      <c r="AN117" s="379"/>
      <c r="AO117" s="379"/>
      <c r="AP117" s="379"/>
    </row>
    <row r="118" spans="1:43" x14ac:dyDescent="0.25">
      <c r="A118" s="53"/>
      <c r="C118" s="54"/>
      <c r="F118" s="379"/>
      <c r="H118" s="449"/>
      <c r="I118" s="449"/>
      <c r="J118" s="221"/>
      <c r="K118" s="221"/>
      <c r="L118" s="379"/>
      <c r="M118" s="379"/>
      <c r="N118" s="50"/>
      <c r="O118" s="50"/>
      <c r="P118" s="379"/>
      <c r="Q118" s="379"/>
      <c r="R118" s="379"/>
      <c r="T118" s="54"/>
    </row>
    <row r="119" spans="1:43" x14ac:dyDescent="0.25">
      <c r="A119" s="53"/>
      <c r="C119" s="54"/>
      <c r="H119" s="449"/>
      <c r="I119" s="449"/>
      <c r="J119" s="221"/>
      <c r="K119" s="221"/>
      <c r="L119" s="379"/>
      <c r="M119" s="379"/>
      <c r="N119" s="50"/>
      <c r="O119" s="50"/>
      <c r="P119" s="379"/>
      <c r="Q119" s="379"/>
      <c r="R119" s="379"/>
      <c r="T119" s="54"/>
      <c r="V119" s="449"/>
      <c r="Y119" s="449"/>
      <c r="Z119" s="477"/>
      <c r="AA119" s="379"/>
      <c r="AB119" s="379"/>
      <c r="AC119" s="50"/>
      <c r="AD119" s="50"/>
      <c r="AE119" s="379"/>
      <c r="AF119" s="379"/>
      <c r="AG119" s="156"/>
      <c r="AH119" s="50"/>
      <c r="AI119" s="379"/>
      <c r="AJ119" s="379"/>
      <c r="AK119" s="156"/>
      <c r="AL119" s="379"/>
      <c r="AM119" s="50"/>
      <c r="AN119" s="50"/>
    </row>
    <row r="120" spans="1:43" x14ac:dyDescent="0.25">
      <c r="F120" s="379"/>
      <c r="H120" s="379"/>
      <c r="I120" s="379"/>
      <c r="J120" s="464"/>
      <c r="K120" s="464"/>
      <c r="L120" s="381"/>
      <c r="M120" s="381"/>
      <c r="N120" s="381"/>
      <c r="O120" s="381"/>
      <c r="P120" s="381"/>
      <c r="Q120" s="381"/>
      <c r="R120" s="381"/>
      <c r="T120" s="54"/>
      <c r="V120" s="449"/>
      <c r="Y120" s="379"/>
      <c r="Z120" s="461"/>
      <c r="AA120" s="379"/>
      <c r="AB120" s="379"/>
      <c r="AC120" s="50"/>
      <c r="AD120" s="50"/>
      <c r="AE120" s="379"/>
      <c r="AF120" s="379"/>
      <c r="AG120" s="156"/>
      <c r="AH120" s="60"/>
      <c r="AI120" s="379"/>
      <c r="AJ120" s="379"/>
      <c r="AK120" s="156"/>
      <c r="AL120" s="379"/>
      <c r="AM120" s="50"/>
      <c r="AN120" s="50"/>
    </row>
    <row r="121" spans="1:43" x14ac:dyDescent="0.25">
      <c r="A121" s="53"/>
      <c r="C121" s="54"/>
      <c r="F121" s="379"/>
      <c r="H121" s="379"/>
      <c r="I121" s="379"/>
      <c r="J121" s="59"/>
      <c r="K121" s="59"/>
      <c r="L121" s="379"/>
      <c r="M121" s="379"/>
      <c r="N121" s="50"/>
      <c r="O121" s="50"/>
      <c r="P121" s="379"/>
      <c r="Q121" s="379"/>
      <c r="R121" s="379"/>
      <c r="T121" s="54"/>
      <c r="V121" s="449"/>
      <c r="Y121" s="379"/>
      <c r="Z121" s="461"/>
      <c r="AA121" s="379"/>
      <c r="AB121" s="379"/>
      <c r="AC121" s="50"/>
      <c r="AD121" s="50"/>
      <c r="AE121" s="379"/>
      <c r="AF121" s="379"/>
      <c r="AG121" s="156"/>
      <c r="AH121" s="60"/>
      <c r="AI121" s="379"/>
      <c r="AJ121" s="379"/>
      <c r="AK121" s="156"/>
      <c r="AL121" s="379"/>
      <c r="AM121" s="50"/>
      <c r="AN121" s="50"/>
    </row>
    <row r="122" spans="1:43" x14ac:dyDescent="0.25">
      <c r="F122" s="379"/>
      <c r="H122" s="379"/>
      <c r="I122" s="379"/>
      <c r="J122" s="464"/>
      <c r="K122" s="464"/>
      <c r="L122" s="381"/>
      <c r="M122" s="381"/>
      <c r="N122" s="381"/>
      <c r="O122" s="381"/>
      <c r="P122" s="381"/>
      <c r="Q122" s="381"/>
      <c r="R122" s="381"/>
      <c r="V122" s="379"/>
      <c r="Y122" s="381"/>
      <c r="Z122" s="464"/>
      <c r="AA122" s="381"/>
      <c r="AB122" s="381"/>
      <c r="AC122" s="381"/>
      <c r="AD122" s="381"/>
      <c r="AE122" s="381"/>
      <c r="AF122" s="381"/>
      <c r="AI122" s="381"/>
      <c r="AJ122" s="381"/>
      <c r="AK122" s="162"/>
      <c r="AL122" s="381"/>
      <c r="AM122" s="50"/>
      <c r="AN122" s="50"/>
    </row>
    <row r="123" spans="1:43" x14ac:dyDescent="0.25">
      <c r="A123" s="53"/>
      <c r="C123" s="54"/>
      <c r="F123" s="379"/>
      <c r="H123" s="379"/>
      <c r="I123" s="379"/>
      <c r="J123" s="59"/>
      <c r="K123" s="59"/>
      <c r="L123" s="379"/>
      <c r="M123" s="379"/>
      <c r="N123" s="50"/>
      <c r="O123" s="50"/>
      <c r="P123" s="379"/>
      <c r="Q123" s="379"/>
      <c r="R123" s="379"/>
      <c r="T123" s="54"/>
      <c r="V123" s="379"/>
      <c r="Y123" s="379"/>
      <c r="Z123" s="464"/>
      <c r="AA123" s="379"/>
      <c r="AB123" s="379"/>
      <c r="AC123" s="50"/>
      <c r="AD123" s="50"/>
      <c r="AE123" s="379"/>
      <c r="AF123" s="379"/>
      <c r="AG123" s="156"/>
      <c r="AH123" s="60"/>
      <c r="AI123" s="379"/>
      <c r="AJ123" s="379"/>
      <c r="AK123" s="156"/>
      <c r="AL123" s="379"/>
      <c r="AM123" s="50"/>
      <c r="AN123" s="50"/>
    </row>
    <row r="124" spans="1:43" x14ac:dyDescent="0.25">
      <c r="A124" s="53"/>
      <c r="C124" s="54"/>
      <c r="F124" s="449"/>
      <c r="H124" s="449"/>
      <c r="I124" s="449"/>
      <c r="J124" s="472"/>
      <c r="K124" s="472"/>
      <c r="L124" s="379"/>
      <c r="M124" s="379"/>
      <c r="N124" s="50"/>
      <c r="O124" s="50"/>
      <c r="P124" s="379"/>
      <c r="Q124" s="379"/>
      <c r="R124" s="379"/>
      <c r="V124" s="379"/>
      <c r="Y124" s="381"/>
      <c r="Z124" s="464"/>
      <c r="AA124" s="381"/>
      <c r="AB124" s="381"/>
      <c r="AC124" s="381"/>
      <c r="AD124" s="381"/>
      <c r="AE124" s="381"/>
      <c r="AF124" s="381"/>
      <c r="AI124" s="381"/>
      <c r="AJ124" s="381"/>
      <c r="AK124" s="162"/>
      <c r="AL124" s="381"/>
      <c r="AM124" s="50"/>
      <c r="AN124" s="50"/>
    </row>
    <row r="125" spans="1:43" x14ac:dyDescent="0.25">
      <c r="F125" s="381"/>
      <c r="H125" s="381"/>
      <c r="I125" s="381"/>
      <c r="J125" s="464"/>
      <c r="K125" s="464"/>
      <c r="L125" s="381"/>
      <c r="M125" s="381"/>
      <c r="N125" s="381"/>
      <c r="O125" s="381"/>
      <c r="P125" s="381"/>
      <c r="Q125" s="381"/>
      <c r="R125" s="381"/>
      <c r="T125" s="54"/>
      <c r="V125" s="379"/>
      <c r="Y125" s="379"/>
      <c r="Z125" s="464"/>
      <c r="AA125" s="379"/>
      <c r="AB125" s="379"/>
      <c r="AC125" s="379"/>
      <c r="AD125" s="379"/>
      <c r="AE125" s="379"/>
      <c r="AF125" s="379"/>
      <c r="AG125" s="156"/>
      <c r="AH125" s="60"/>
      <c r="AI125" s="379"/>
      <c r="AJ125" s="379"/>
      <c r="AK125" s="156"/>
      <c r="AL125" s="379"/>
      <c r="AM125" s="50"/>
      <c r="AN125" s="50"/>
    </row>
    <row r="126" spans="1:43" x14ac:dyDescent="0.25">
      <c r="A126" s="53"/>
      <c r="C126" s="54"/>
      <c r="F126" s="379"/>
      <c r="H126" s="379"/>
      <c r="I126" s="379"/>
      <c r="J126" s="464"/>
      <c r="K126" s="464"/>
      <c r="L126" s="379"/>
      <c r="M126" s="379"/>
      <c r="N126" s="50"/>
      <c r="O126" s="50"/>
      <c r="P126" s="379"/>
      <c r="Q126" s="379"/>
      <c r="R126" s="379"/>
      <c r="S126" s="379"/>
      <c r="T126" s="54"/>
      <c r="V126" s="379"/>
      <c r="Y126" s="379"/>
      <c r="Z126" s="221"/>
      <c r="AA126" s="379"/>
      <c r="AB126" s="379"/>
      <c r="AC126" s="50"/>
      <c r="AD126" s="50"/>
      <c r="AE126" s="379"/>
      <c r="AF126" s="379"/>
      <c r="AG126" s="156"/>
      <c r="AH126" s="60"/>
      <c r="AI126" s="379"/>
      <c r="AJ126" s="379"/>
      <c r="AK126" s="156"/>
      <c r="AL126" s="379"/>
      <c r="AM126" s="50"/>
      <c r="AN126" s="50"/>
    </row>
    <row r="127" spans="1:43" x14ac:dyDescent="0.25">
      <c r="F127" s="381"/>
      <c r="H127" s="381"/>
      <c r="I127" s="381"/>
      <c r="J127" s="464"/>
      <c r="K127" s="464"/>
      <c r="L127" s="381"/>
      <c r="M127" s="381"/>
      <c r="N127" s="381"/>
      <c r="O127" s="381"/>
      <c r="P127" s="381"/>
      <c r="Q127" s="381"/>
      <c r="R127" s="381"/>
      <c r="S127" s="379"/>
      <c r="T127" s="54"/>
      <c r="Y127" s="379"/>
      <c r="Z127" s="221"/>
      <c r="AA127" s="379"/>
      <c r="AB127" s="379"/>
      <c r="AC127" s="50"/>
      <c r="AD127" s="50"/>
      <c r="AE127" s="379"/>
      <c r="AF127" s="379"/>
      <c r="AG127" s="156"/>
      <c r="AH127" s="60"/>
      <c r="AI127" s="379"/>
      <c r="AJ127" s="379"/>
      <c r="AK127" s="156"/>
      <c r="AL127" s="379"/>
      <c r="AM127" s="50"/>
      <c r="AN127" s="50"/>
    </row>
    <row r="128" spans="1:43" x14ac:dyDescent="0.25">
      <c r="A128" s="53"/>
      <c r="C128" s="54"/>
      <c r="V128" s="379"/>
      <c r="Y128" s="379"/>
      <c r="Z128" s="464"/>
      <c r="AA128" s="381"/>
      <c r="AB128" s="381"/>
      <c r="AC128" s="381"/>
      <c r="AD128" s="381"/>
      <c r="AE128" s="381"/>
      <c r="AF128" s="381"/>
      <c r="AI128" s="381"/>
      <c r="AJ128" s="381"/>
      <c r="AK128" s="162"/>
      <c r="AL128" s="381"/>
      <c r="AM128" s="50"/>
      <c r="AN128" s="50"/>
    </row>
    <row r="129" spans="1:40" x14ac:dyDescent="0.25">
      <c r="A129" s="53"/>
      <c r="C129" s="54"/>
      <c r="F129" s="379"/>
      <c r="H129" s="379"/>
      <c r="I129" s="379"/>
      <c r="L129" s="379"/>
      <c r="M129" s="379"/>
      <c r="N129" s="50"/>
      <c r="O129" s="50"/>
      <c r="P129" s="449"/>
      <c r="Q129" s="449"/>
      <c r="R129" s="379"/>
      <c r="T129" s="54"/>
      <c r="V129" s="379"/>
      <c r="Y129" s="379"/>
      <c r="Z129" s="59"/>
      <c r="AA129" s="379"/>
      <c r="AB129" s="379"/>
      <c r="AC129" s="50"/>
      <c r="AD129" s="50"/>
      <c r="AE129" s="379"/>
      <c r="AF129" s="379"/>
      <c r="AG129" s="156"/>
      <c r="AH129" s="60"/>
      <c r="AI129" s="379"/>
      <c r="AJ129" s="379"/>
      <c r="AK129" s="156"/>
      <c r="AL129" s="379"/>
      <c r="AM129" s="50"/>
      <c r="AN129" s="50"/>
    </row>
    <row r="130" spans="1:40" x14ac:dyDescent="0.25">
      <c r="F130" s="381"/>
      <c r="H130" s="381"/>
      <c r="I130" s="381"/>
      <c r="J130" s="464"/>
      <c r="K130" s="464"/>
      <c r="L130" s="381"/>
      <c r="M130" s="381"/>
      <c r="N130" s="381"/>
      <c r="O130" s="381"/>
      <c r="P130" s="381"/>
      <c r="Q130" s="381"/>
      <c r="R130" s="381"/>
      <c r="V130" s="379"/>
      <c r="Y130" s="379"/>
      <c r="Z130" s="464"/>
      <c r="AA130" s="381"/>
      <c r="AB130" s="381"/>
      <c r="AC130" s="381"/>
      <c r="AD130" s="381"/>
      <c r="AE130" s="381"/>
      <c r="AF130" s="381"/>
      <c r="AI130" s="381"/>
      <c r="AJ130" s="381"/>
      <c r="AK130" s="162"/>
      <c r="AL130" s="381"/>
      <c r="AM130" s="50"/>
      <c r="AN130" s="50"/>
    </row>
    <row r="131" spans="1:40" x14ac:dyDescent="0.25">
      <c r="T131" s="54"/>
      <c r="V131" s="379"/>
      <c r="Y131" s="379"/>
      <c r="Z131" s="59"/>
      <c r="AA131" s="379"/>
      <c r="AB131" s="379"/>
      <c r="AC131" s="50"/>
      <c r="AD131" s="50"/>
      <c r="AE131" s="379"/>
      <c r="AF131" s="379"/>
      <c r="AG131" s="156"/>
      <c r="AH131" s="60"/>
      <c r="AI131" s="379"/>
      <c r="AJ131" s="379"/>
      <c r="AK131" s="156"/>
      <c r="AL131" s="379"/>
      <c r="AM131" s="50"/>
      <c r="AN131" s="50"/>
    </row>
    <row r="132" spans="1:40" x14ac:dyDescent="0.25">
      <c r="C132" s="54"/>
      <c r="L132" s="379"/>
      <c r="M132" s="379"/>
      <c r="N132" s="379"/>
      <c r="O132" s="379"/>
      <c r="P132" s="379"/>
      <c r="Q132" s="379"/>
      <c r="R132" s="379"/>
      <c r="S132" s="379"/>
      <c r="T132" s="54"/>
      <c r="V132" s="449"/>
      <c r="Y132" s="379"/>
      <c r="Z132" s="472"/>
      <c r="AA132" s="379"/>
      <c r="AB132" s="379"/>
      <c r="AC132" s="50"/>
      <c r="AD132" s="50"/>
      <c r="AE132" s="379"/>
      <c r="AF132" s="379"/>
      <c r="AG132" s="156"/>
      <c r="AH132" s="60"/>
      <c r="AI132" s="379"/>
      <c r="AJ132" s="379"/>
      <c r="AK132" s="156"/>
      <c r="AL132" s="379"/>
      <c r="AM132" s="50"/>
      <c r="AN132" s="50"/>
    </row>
    <row r="133" spans="1:40" x14ac:dyDescent="0.25">
      <c r="A133" s="54"/>
      <c r="V133" s="381"/>
      <c r="Y133" s="381"/>
      <c r="Z133" s="464"/>
      <c r="AA133" s="381"/>
      <c r="AB133" s="381"/>
      <c r="AC133" s="381"/>
      <c r="AD133" s="381"/>
      <c r="AE133" s="381"/>
      <c r="AF133" s="381"/>
      <c r="AI133" s="381"/>
      <c r="AJ133" s="381"/>
      <c r="AK133" s="162"/>
      <c r="AL133" s="381"/>
      <c r="AM133" s="50"/>
      <c r="AN133" s="50"/>
    </row>
    <row r="134" spans="1:40" x14ac:dyDescent="0.25">
      <c r="J134" s="53"/>
      <c r="K134" s="53"/>
      <c r="T134" s="54"/>
      <c r="V134" s="379"/>
      <c r="Y134" s="379"/>
      <c r="Z134" s="464"/>
      <c r="AA134" s="379"/>
      <c r="AB134" s="379"/>
      <c r="AC134" s="50"/>
      <c r="AD134" s="50"/>
      <c r="AE134" s="379"/>
      <c r="AF134" s="379"/>
      <c r="AG134" s="156"/>
      <c r="AH134" s="50"/>
      <c r="AI134" s="379"/>
      <c r="AJ134" s="379"/>
      <c r="AK134" s="156"/>
      <c r="AL134" s="379"/>
      <c r="AM134" s="50"/>
      <c r="AN134" s="50"/>
    </row>
    <row r="135" spans="1:40" x14ac:dyDescent="0.25">
      <c r="H135" s="54"/>
      <c r="I135" s="54"/>
      <c r="V135" s="381"/>
      <c r="Y135" s="381"/>
      <c r="Z135" s="464"/>
      <c r="AA135" s="381"/>
      <c r="AB135" s="381"/>
      <c r="AC135" s="381"/>
      <c r="AD135" s="381"/>
      <c r="AE135" s="381"/>
      <c r="AF135" s="381"/>
      <c r="AI135" s="381"/>
      <c r="AJ135" s="381"/>
      <c r="AK135" s="162"/>
      <c r="AL135" s="381"/>
      <c r="AM135" s="50"/>
      <c r="AN135" s="50"/>
    </row>
    <row r="136" spans="1:40" x14ac:dyDescent="0.25">
      <c r="J136" s="53"/>
      <c r="K136" s="53"/>
      <c r="T136" s="54"/>
    </row>
    <row r="137" spans="1:40" x14ac:dyDescent="0.25">
      <c r="L137" s="54"/>
      <c r="M137" s="54"/>
      <c r="AA137" s="54"/>
      <c r="AB137" s="54"/>
    </row>
    <row r="138" spans="1:40" x14ac:dyDescent="0.25">
      <c r="A138" s="53"/>
      <c r="R138" s="54"/>
      <c r="AK138" s="161"/>
      <c r="AL138" s="54"/>
    </row>
    <row r="139" spans="1:40" x14ac:dyDescent="0.25">
      <c r="A139" s="53"/>
      <c r="R139" s="54"/>
      <c r="AK139" s="161"/>
      <c r="AL139" s="54"/>
    </row>
    <row r="140" spans="1:40" x14ac:dyDescent="0.25">
      <c r="A140" s="54"/>
      <c r="R140" s="54"/>
      <c r="AK140" s="161"/>
      <c r="AL140" s="54"/>
    </row>
    <row r="141" spans="1:40" x14ac:dyDescent="0.25">
      <c r="L141" s="54"/>
      <c r="M141" s="54"/>
      <c r="R141" s="53"/>
      <c r="AA141" s="54"/>
      <c r="AB141" s="54"/>
      <c r="AK141" s="156"/>
      <c r="AL141" s="53"/>
    </row>
    <row r="142" spans="1:40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154"/>
      <c r="AH142" s="55"/>
      <c r="AI142" s="55"/>
      <c r="AJ142" s="55"/>
      <c r="AK142" s="154"/>
      <c r="AL142" s="55"/>
      <c r="AM142" s="55"/>
      <c r="AN142" s="55"/>
    </row>
    <row r="143" spans="1:40" x14ac:dyDescent="0.25">
      <c r="L143" s="56"/>
      <c r="M143" s="56"/>
      <c r="N143" s="56"/>
      <c r="O143" s="56"/>
      <c r="R143" s="56"/>
      <c r="AA143" s="56"/>
      <c r="AB143" s="56"/>
      <c r="AC143" s="56"/>
      <c r="AD143" s="56"/>
      <c r="AE143" s="56"/>
      <c r="AF143" s="56"/>
      <c r="AG143" s="155"/>
      <c r="AH143" s="56"/>
      <c r="AK143" s="155"/>
      <c r="AL143" s="56"/>
      <c r="AM143" s="56"/>
      <c r="AN143" s="56"/>
    </row>
    <row r="144" spans="1:40" x14ac:dyDescent="0.25">
      <c r="L144" s="56"/>
      <c r="M144" s="56"/>
      <c r="N144" s="56"/>
      <c r="O144" s="56"/>
      <c r="R144" s="56"/>
      <c r="Z144" s="56"/>
      <c r="AA144" s="56"/>
      <c r="AB144" s="56"/>
      <c r="AC144" s="56"/>
      <c r="AD144" s="56"/>
      <c r="AE144" s="56"/>
      <c r="AF144" s="56"/>
      <c r="AG144" s="155"/>
      <c r="AH144" s="56"/>
      <c r="AK144" s="155"/>
      <c r="AL144" s="56"/>
      <c r="AM144" s="56"/>
      <c r="AN144" s="56"/>
    </row>
    <row r="145" spans="1:40" x14ac:dyDescent="0.25">
      <c r="A145" s="56"/>
      <c r="C145" s="56"/>
      <c r="D145" s="56"/>
      <c r="E145" s="56"/>
      <c r="F145" s="56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Z145" s="56"/>
      <c r="AA145" s="56"/>
      <c r="AB145" s="56"/>
      <c r="AC145" s="56"/>
      <c r="AD145" s="56"/>
      <c r="AE145" s="56"/>
      <c r="AF145" s="56"/>
      <c r="AG145" s="155"/>
      <c r="AH145" s="56"/>
      <c r="AI145" s="56"/>
      <c r="AJ145" s="56"/>
      <c r="AK145" s="155"/>
      <c r="AL145" s="56"/>
      <c r="AM145" s="56"/>
      <c r="AN145" s="56"/>
    </row>
    <row r="146" spans="1:40" x14ac:dyDescent="0.25">
      <c r="A146" s="56"/>
      <c r="C146" s="56"/>
      <c r="D146" s="56"/>
      <c r="E146" s="56"/>
      <c r="F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Y146" s="56"/>
      <c r="Z146" s="56"/>
      <c r="AA146" s="56"/>
      <c r="AB146" s="56"/>
      <c r="AC146" s="56"/>
      <c r="AD146" s="56"/>
      <c r="AE146" s="56"/>
      <c r="AF146" s="56"/>
      <c r="AG146" s="155"/>
      <c r="AH146" s="56"/>
      <c r="AI146" s="56"/>
      <c r="AJ146" s="56"/>
      <c r="AK146" s="155"/>
      <c r="AL146" s="56"/>
      <c r="AM146" s="56"/>
      <c r="AN146" s="56"/>
    </row>
    <row r="147" spans="1:40" x14ac:dyDescent="0.25">
      <c r="C147" s="56"/>
      <c r="D147" s="56"/>
      <c r="E147" s="56"/>
      <c r="F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Y147" s="56"/>
      <c r="Z147" s="56"/>
      <c r="AA147" s="56"/>
      <c r="AB147" s="56"/>
      <c r="AC147" s="56"/>
      <c r="AD147" s="56"/>
      <c r="AE147" s="56"/>
      <c r="AF147" s="56"/>
      <c r="AG147" s="155"/>
      <c r="AH147" s="56"/>
      <c r="AI147" s="56"/>
      <c r="AJ147" s="56"/>
      <c r="AK147" s="155"/>
      <c r="AL147" s="56"/>
      <c r="AM147" s="56"/>
      <c r="AN147" s="56"/>
    </row>
    <row r="148" spans="1:40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154"/>
      <c r="AH148" s="55"/>
      <c r="AI148" s="55"/>
      <c r="AJ148" s="55"/>
      <c r="AK148" s="154"/>
      <c r="AL148" s="55"/>
      <c r="AM148" s="55"/>
      <c r="AN148" s="55"/>
    </row>
    <row r="149" spans="1:40" x14ac:dyDescent="0.25"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Y149" s="56"/>
      <c r="Z149" s="56"/>
      <c r="AA149" s="56"/>
      <c r="AB149" s="56"/>
      <c r="AC149" s="56"/>
      <c r="AD149" s="56"/>
      <c r="AE149" s="56"/>
      <c r="AF149" s="56"/>
      <c r="AG149" s="155"/>
      <c r="AH149" s="56"/>
      <c r="AI149" s="56"/>
      <c r="AJ149" s="56"/>
      <c r="AK149" s="155"/>
      <c r="AL149" s="56"/>
      <c r="AM149" s="56"/>
      <c r="AN149" s="56"/>
    </row>
    <row r="150" spans="1:40" x14ac:dyDescent="0.25">
      <c r="A150" s="53"/>
      <c r="C150" s="54"/>
      <c r="D150" s="54"/>
      <c r="E150" s="54"/>
      <c r="T150" s="54"/>
      <c r="U150" s="54"/>
    </row>
    <row r="151" spans="1:40" x14ac:dyDescent="0.25">
      <c r="A151" s="53"/>
      <c r="D151" s="54"/>
      <c r="E151" s="54"/>
      <c r="U151" s="54"/>
    </row>
    <row r="153" spans="1:40" x14ac:dyDescent="0.25">
      <c r="A153" s="53"/>
      <c r="C153" s="54"/>
      <c r="F153" s="449"/>
      <c r="H153" s="449"/>
      <c r="I153" s="449"/>
      <c r="J153" s="461"/>
      <c r="K153" s="461"/>
      <c r="L153" s="379"/>
      <c r="M153" s="379"/>
      <c r="N153" s="50"/>
      <c r="O153" s="50"/>
      <c r="R153" s="379"/>
      <c r="T153" s="54"/>
      <c r="V153" s="379"/>
      <c r="Y153" s="449"/>
      <c r="Z153" s="461"/>
      <c r="AA153" s="379"/>
      <c r="AB153" s="379"/>
      <c r="AC153" s="50"/>
      <c r="AD153" s="50"/>
      <c r="AE153" s="379"/>
      <c r="AF153" s="379"/>
      <c r="AG153" s="474"/>
      <c r="AH153" s="475"/>
      <c r="AK153" s="156"/>
      <c r="AL153" s="379"/>
      <c r="AM153" s="476"/>
      <c r="AN153" s="476"/>
    </row>
    <row r="154" spans="1:40" x14ac:dyDescent="0.25">
      <c r="A154" s="53"/>
      <c r="C154" s="54"/>
      <c r="F154" s="449"/>
      <c r="H154" s="449"/>
      <c r="I154" s="449"/>
      <c r="J154" s="461"/>
      <c r="K154" s="461"/>
      <c r="L154" s="379"/>
      <c r="M154" s="379"/>
      <c r="N154" s="50"/>
      <c r="O154" s="50"/>
      <c r="P154" s="53"/>
      <c r="Q154" s="53"/>
      <c r="R154" s="379"/>
      <c r="T154" s="54"/>
      <c r="V154" s="379"/>
      <c r="Y154" s="449"/>
      <c r="Z154" s="461"/>
      <c r="AA154" s="379"/>
      <c r="AB154" s="379"/>
      <c r="AC154" s="50"/>
      <c r="AD154" s="50"/>
      <c r="AE154" s="379"/>
      <c r="AF154" s="379"/>
      <c r="AG154" s="156"/>
      <c r="AH154" s="60"/>
      <c r="AI154" s="53"/>
      <c r="AJ154" s="53"/>
      <c r="AK154" s="156"/>
      <c r="AL154" s="379"/>
      <c r="AM154" s="50"/>
      <c r="AN154" s="50"/>
    </row>
    <row r="155" spans="1:40" x14ac:dyDescent="0.25">
      <c r="F155" s="381"/>
      <c r="H155" s="379"/>
      <c r="I155" s="379"/>
      <c r="J155" s="464"/>
      <c r="K155" s="464"/>
      <c r="L155" s="381"/>
      <c r="M155" s="381"/>
      <c r="N155" s="381"/>
      <c r="O155" s="381"/>
      <c r="P155" s="381"/>
      <c r="Q155" s="381"/>
      <c r="R155" s="381"/>
      <c r="V155" s="381"/>
      <c r="Y155" s="379"/>
      <c r="Z155" s="464"/>
      <c r="AA155" s="381"/>
      <c r="AB155" s="381"/>
      <c r="AC155" s="381"/>
      <c r="AD155" s="381"/>
      <c r="AE155" s="381"/>
      <c r="AF155" s="381"/>
      <c r="AI155" s="381"/>
      <c r="AJ155" s="381"/>
      <c r="AK155" s="162"/>
      <c r="AL155" s="381"/>
      <c r="AM155" s="50"/>
      <c r="AN155" s="50"/>
    </row>
    <row r="156" spans="1:40" x14ac:dyDescent="0.25">
      <c r="A156" s="53"/>
      <c r="C156" s="54"/>
      <c r="F156" s="379"/>
      <c r="H156" s="379"/>
      <c r="I156" s="379"/>
      <c r="J156" s="464"/>
      <c r="K156" s="464"/>
      <c r="L156" s="379"/>
      <c r="M156" s="379"/>
      <c r="N156" s="50"/>
      <c r="O156" s="50"/>
      <c r="P156" s="379"/>
      <c r="Q156" s="379"/>
      <c r="R156" s="379"/>
      <c r="T156" s="54"/>
      <c r="V156" s="379"/>
      <c r="Y156" s="379"/>
      <c r="Z156" s="59"/>
      <c r="AA156" s="379"/>
      <c r="AB156" s="379"/>
      <c r="AC156" s="50"/>
      <c r="AD156" s="50"/>
      <c r="AE156" s="379"/>
      <c r="AF156" s="379"/>
      <c r="AG156" s="156"/>
      <c r="AH156" s="60"/>
      <c r="AI156" s="379"/>
      <c r="AJ156" s="379"/>
      <c r="AK156" s="156"/>
      <c r="AL156" s="379"/>
      <c r="AM156" s="50"/>
      <c r="AN156" s="50"/>
    </row>
    <row r="157" spans="1:40" x14ac:dyDescent="0.25">
      <c r="F157" s="381"/>
      <c r="H157" s="379"/>
      <c r="I157" s="379"/>
      <c r="J157" s="464"/>
      <c r="K157" s="464"/>
      <c r="L157" s="381"/>
      <c r="M157" s="381"/>
      <c r="N157" s="381"/>
      <c r="O157" s="381"/>
      <c r="P157" s="381"/>
      <c r="Q157" s="381"/>
      <c r="R157" s="381"/>
      <c r="V157" s="381"/>
      <c r="Y157" s="379"/>
      <c r="Z157" s="464"/>
      <c r="AA157" s="381"/>
      <c r="AB157" s="381"/>
      <c r="AC157" s="381"/>
      <c r="AD157" s="381"/>
      <c r="AE157" s="381"/>
      <c r="AF157" s="381"/>
      <c r="AI157" s="381"/>
      <c r="AJ157" s="381"/>
      <c r="AK157" s="162"/>
      <c r="AL157" s="381"/>
      <c r="AM157" s="50"/>
      <c r="AN157" s="50"/>
    </row>
    <row r="158" spans="1:40" x14ac:dyDescent="0.25">
      <c r="F158" s="379"/>
      <c r="H158" s="379"/>
      <c r="I158" s="379"/>
      <c r="J158" s="464"/>
      <c r="K158" s="464"/>
      <c r="L158" s="379"/>
      <c r="M158" s="379"/>
      <c r="N158" s="50"/>
      <c r="O158" s="50"/>
      <c r="P158" s="379"/>
      <c r="Q158" s="379"/>
      <c r="R158" s="379"/>
      <c r="V158" s="379"/>
      <c r="Y158" s="379"/>
      <c r="Z158" s="59"/>
      <c r="AA158" s="379"/>
      <c r="AB158" s="379"/>
      <c r="AC158" s="50"/>
      <c r="AD158" s="50"/>
      <c r="AE158" s="379"/>
      <c r="AF158" s="379"/>
      <c r="AG158" s="156"/>
      <c r="AH158" s="60"/>
      <c r="AI158" s="379"/>
      <c r="AJ158" s="379"/>
      <c r="AK158" s="156"/>
      <c r="AL158" s="379"/>
      <c r="AM158" s="50"/>
      <c r="AN158" s="50"/>
    </row>
    <row r="159" spans="1:40" x14ac:dyDescent="0.25">
      <c r="A159" s="53"/>
      <c r="C159" s="54"/>
      <c r="F159" s="449"/>
      <c r="H159" s="449"/>
      <c r="I159" s="449"/>
      <c r="J159" s="461"/>
      <c r="K159" s="461"/>
      <c r="L159" s="379"/>
      <c r="M159" s="379"/>
      <c r="N159" s="50"/>
      <c r="O159" s="50"/>
      <c r="P159" s="379"/>
      <c r="Q159" s="379"/>
      <c r="R159" s="379"/>
      <c r="T159" s="54"/>
      <c r="V159" s="449"/>
      <c r="Y159" s="379"/>
      <c r="Z159" s="461"/>
      <c r="AA159" s="379"/>
      <c r="AB159" s="379"/>
      <c r="AC159" s="50"/>
      <c r="AD159" s="50"/>
      <c r="AE159" s="379"/>
      <c r="AF159" s="379"/>
      <c r="AG159" s="474"/>
      <c r="AH159" s="475"/>
      <c r="AI159" s="379"/>
      <c r="AJ159" s="379"/>
      <c r="AK159" s="156"/>
      <c r="AL159" s="379"/>
      <c r="AM159" s="476"/>
      <c r="AN159" s="476"/>
    </row>
    <row r="160" spans="1:40" x14ac:dyDescent="0.25">
      <c r="A160" s="53"/>
      <c r="C160" s="54"/>
      <c r="F160" s="449"/>
      <c r="H160" s="449"/>
      <c r="I160" s="449"/>
      <c r="J160" s="461"/>
      <c r="K160" s="461"/>
      <c r="L160" s="379"/>
      <c r="M160" s="379"/>
      <c r="N160" s="50"/>
      <c r="O160" s="50"/>
      <c r="P160" s="379"/>
      <c r="Q160" s="379"/>
      <c r="R160" s="379"/>
      <c r="T160" s="54"/>
      <c r="V160" s="449"/>
      <c r="Y160" s="379"/>
      <c r="Z160" s="461"/>
      <c r="AA160" s="379"/>
      <c r="AB160" s="379"/>
      <c r="AC160" s="50"/>
      <c r="AD160" s="50"/>
      <c r="AE160" s="379"/>
      <c r="AF160" s="379"/>
      <c r="AG160" s="156"/>
      <c r="AH160" s="60"/>
      <c r="AI160" s="379"/>
      <c r="AJ160" s="379"/>
      <c r="AK160" s="156"/>
      <c r="AL160" s="379"/>
      <c r="AM160" s="50"/>
      <c r="AN160" s="50"/>
    </row>
    <row r="161" spans="1:40" x14ac:dyDescent="0.25">
      <c r="F161" s="379"/>
      <c r="H161" s="381"/>
      <c r="I161" s="381"/>
      <c r="J161" s="464"/>
      <c r="K161" s="464"/>
      <c r="L161" s="381"/>
      <c r="M161" s="381"/>
      <c r="N161" s="381"/>
      <c r="O161" s="381"/>
      <c r="P161" s="381"/>
      <c r="Q161" s="381"/>
      <c r="R161" s="381"/>
      <c r="V161" s="379"/>
      <c r="Y161" s="381"/>
      <c r="Z161" s="464"/>
      <c r="AA161" s="381"/>
      <c r="AB161" s="381"/>
      <c r="AC161" s="381"/>
      <c r="AD161" s="381"/>
      <c r="AE161" s="381"/>
      <c r="AF161" s="381"/>
      <c r="AI161" s="381"/>
      <c r="AJ161" s="381"/>
      <c r="AK161" s="162"/>
      <c r="AL161" s="381"/>
      <c r="AM161" s="50"/>
      <c r="AN161" s="50"/>
    </row>
    <row r="162" spans="1:40" x14ac:dyDescent="0.25">
      <c r="A162" s="53"/>
      <c r="C162" s="54"/>
      <c r="F162" s="379"/>
      <c r="H162" s="379"/>
      <c r="I162" s="379"/>
      <c r="J162" s="464"/>
      <c r="K162" s="464"/>
      <c r="L162" s="379"/>
      <c r="M162" s="379"/>
      <c r="N162" s="50"/>
      <c r="O162" s="50"/>
      <c r="P162" s="379"/>
      <c r="Q162" s="379"/>
      <c r="R162" s="379"/>
      <c r="T162" s="54"/>
      <c r="V162" s="379"/>
      <c r="Y162" s="379"/>
      <c r="Z162" s="464"/>
      <c r="AA162" s="379"/>
      <c r="AB162" s="379"/>
      <c r="AC162" s="50"/>
      <c r="AD162" s="50"/>
      <c r="AE162" s="379"/>
      <c r="AF162" s="379"/>
      <c r="AG162" s="156"/>
      <c r="AH162" s="60"/>
      <c r="AI162" s="379"/>
      <c r="AJ162" s="379"/>
      <c r="AK162" s="156"/>
      <c r="AL162" s="379"/>
      <c r="AM162" s="50"/>
      <c r="AN162" s="50"/>
    </row>
    <row r="163" spans="1:40" x14ac:dyDescent="0.25">
      <c r="F163" s="379"/>
      <c r="H163" s="381"/>
      <c r="I163" s="381"/>
      <c r="J163" s="464"/>
      <c r="K163" s="464"/>
      <c r="L163" s="381"/>
      <c r="M163" s="381"/>
      <c r="N163" s="381"/>
      <c r="O163" s="381"/>
      <c r="P163" s="381"/>
      <c r="Q163" s="381"/>
      <c r="R163" s="381"/>
      <c r="V163" s="379"/>
      <c r="Y163" s="381"/>
      <c r="Z163" s="464"/>
      <c r="AA163" s="381"/>
      <c r="AB163" s="381"/>
      <c r="AC163" s="381"/>
      <c r="AD163" s="381"/>
      <c r="AE163" s="381"/>
      <c r="AF163" s="381"/>
      <c r="AI163" s="381"/>
      <c r="AJ163" s="381"/>
      <c r="AK163" s="162"/>
      <c r="AL163" s="381"/>
      <c r="AM163" s="50"/>
      <c r="AN163" s="50"/>
    </row>
    <row r="164" spans="1:40" x14ac:dyDescent="0.25">
      <c r="F164" s="379"/>
      <c r="H164" s="379"/>
      <c r="I164" s="379"/>
      <c r="J164" s="464"/>
      <c r="K164" s="464"/>
      <c r="L164" s="379"/>
      <c r="M164" s="379"/>
      <c r="N164" s="379"/>
      <c r="O164" s="379"/>
      <c r="P164" s="379"/>
      <c r="Q164" s="379"/>
      <c r="R164" s="379"/>
      <c r="V164" s="379"/>
      <c r="Y164" s="379"/>
      <c r="Z164" s="464"/>
      <c r="AA164" s="379"/>
      <c r="AB164" s="379"/>
      <c r="AC164" s="379"/>
      <c r="AD164" s="379"/>
      <c r="AE164" s="379"/>
      <c r="AF164" s="379"/>
      <c r="AG164" s="156"/>
      <c r="AH164" s="60"/>
      <c r="AI164" s="379"/>
      <c r="AJ164" s="379"/>
      <c r="AK164" s="156"/>
      <c r="AL164" s="379"/>
      <c r="AM164" s="50"/>
      <c r="AN164" s="50"/>
    </row>
    <row r="165" spans="1:40" x14ac:dyDescent="0.25">
      <c r="A165" s="53"/>
      <c r="C165" s="54"/>
      <c r="F165" s="449"/>
      <c r="H165" s="449"/>
      <c r="I165" s="449"/>
      <c r="J165" s="472"/>
      <c r="K165" s="472"/>
      <c r="L165" s="379"/>
      <c r="M165" s="379"/>
      <c r="N165" s="50"/>
      <c r="O165" s="50"/>
      <c r="P165" s="449"/>
      <c r="Q165" s="449"/>
      <c r="R165" s="379"/>
      <c r="T165" s="54"/>
      <c r="V165" s="449"/>
      <c r="Y165" s="449"/>
      <c r="Z165" s="477"/>
      <c r="AA165" s="379"/>
      <c r="AB165" s="379"/>
      <c r="AC165" s="50"/>
      <c r="AD165" s="50"/>
      <c r="AE165" s="379"/>
      <c r="AF165" s="379"/>
      <c r="AG165" s="156"/>
      <c r="AH165" s="60"/>
      <c r="AI165" s="449"/>
      <c r="AJ165" s="449"/>
      <c r="AK165" s="156"/>
      <c r="AL165" s="379"/>
      <c r="AM165" s="50"/>
      <c r="AN165" s="50"/>
    </row>
    <row r="166" spans="1:40" x14ac:dyDescent="0.25">
      <c r="A166" s="53"/>
      <c r="C166" s="54"/>
      <c r="F166" s="449"/>
      <c r="H166" s="449"/>
      <c r="I166" s="449"/>
      <c r="J166" s="472"/>
      <c r="K166" s="472"/>
      <c r="L166" s="379"/>
      <c r="M166" s="379"/>
      <c r="N166" s="50"/>
      <c r="O166" s="50"/>
      <c r="P166" s="449"/>
      <c r="Q166" s="449"/>
      <c r="R166" s="379"/>
      <c r="T166" s="54"/>
      <c r="V166" s="449"/>
      <c r="Y166" s="379"/>
      <c r="Z166" s="463"/>
      <c r="AA166" s="379"/>
      <c r="AB166" s="379"/>
      <c r="AC166" s="50"/>
      <c r="AD166" s="50"/>
      <c r="AE166" s="379"/>
      <c r="AF166" s="379"/>
      <c r="AG166" s="156"/>
      <c r="AH166" s="60"/>
      <c r="AI166" s="449"/>
      <c r="AJ166" s="449"/>
      <c r="AK166" s="156"/>
      <c r="AL166" s="379"/>
      <c r="AM166" s="50"/>
      <c r="AN166" s="50"/>
    </row>
    <row r="167" spans="1:40" x14ac:dyDescent="0.25">
      <c r="A167" s="53"/>
      <c r="C167" s="54"/>
      <c r="F167" s="449"/>
      <c r="H167" s="449"/>
      <c r="I167" s="449"/>
      <c r="J167" s="472"/>
      <c r="K167" s="472"/>
      <c r="L167" s="379"/>
      <c r="M167" s="379"/>
      <c r="N167" s="50"/>
      <c r="O167" s="50"/>
      <c r="P167" s="449"/>
      <c r="Q167" s="449"/>
      <c r="R167" s="379"/>
      <c r="T167" s="54"/>
      <c r="V167" s="449"/>
      <c r="Y167" s="379"/>
      <c r="Z167" s="463"/>
      <c r="AA167" s="379"/>
      <c r="AB167" s="379"/>
      <c r="AC167" s="50"/>
      <c r="AD167" s="50"/>
      <c r="AE167" s="379"/>
      <c r="AF167" s="379"/>
      <c r="AG167" s="156"/>
      <c r="AH167" s="60"/>
      <c r="AI167" s="449"/>
      <c r="AJ167" s="449"/>
      <c r="AK167" s="156"/>
      <c r="AL167" s="379"/>
      <c r="AM167" s="50"/>
      <c r="AN167" s="50"/>
    </row>
    <row r="168" spans="1:40" x14ac:dyDescent="0.25">
      <c r="F168" s="381"/>
      <c r="H168" s="381"/>
      <c r="I168" s="381"/>
      <c r="J168" s="464"/>
      <c r="K168" s="464"/>
      <c r="L168" s="381"/>
      <c r="M168" s="381"/>
      <c r="N168" s="381"/>
      <c r="O168" s="381"/>
      <c r="P168" s="381"/>
      <c r="Q168" s="381"/>
      <c r="R168" s="381"/>
      <c r="V168" s="381"/>
      <c r="Y168" s="381"/>
      <c r="Z168" s="464"/>
      <c r="AA168" s="381"/>
      <c r="AB168" s="381"/>
      <c r="AC168" s="381"/>
      <c r="AD168" s="381"/>
      <c r="AE168" s="381"/>
      <c r="AF168" s="381"/>
      <c r="AI168" s="381"/>
      <c r="AJ168" s="381"/>
      <c r="AK168" s="162"/>
      <c r="AL168" s="381"/>
      <c r="AM168" s="50"/>
      <c r="AN168" s="50"/>
    </row>
    <row r="169" spans="1:40" x14ac:dyDescent="0.25">
      <c r="A169" s="53"/>
      <c r="C169" s="54"/>
      <c r="F169" s="379"/>
      <c r="H169" s="379"/>
      <c r="I169" s="379"/>
      <c r="J169" s="59"/>
      <c r="K169" s="59"/>
      <c r="L169" s="379"/>
      <c r="M169" s="379"/>
      <c r="N169" s="50"/>
      <c r="O169" s="50"/>
      <c r="P169" s="379"/>
      <c r="Q169" s="379"/>
      <c r="R169" s="379"/>
      <c r="T169" s="54"/>
      <c r="V169" s="379"/>
      <c r="Y169" s="379"/>
      <c r="Z169" s="59"/>
      <c r="AA169" s="379"/>
      <c r="AB169" s="379"/>
      <c r="AC169" s="50"/>
      <c r="AD169" s="50"/>
      <c r="AE169" s="379"/>
      <c r="AF169" s="379"/>
      <c r="AG169" s="156"/>
      <c r="AH169" s="60"/>
      <c r="AI169" s="379"/>
      <c r="AJ169" s="379"/>
      <c r="AK169" s="156"/>
      <c r="AL169" s="379"/>
      <c r="AM169" s="50"/>
      <c r="AN169" s="50"/>
    </row>
    <row r="170" spans="1:40" x14ac:dyDescent="0.25">
      <c r="F170" s="381"/>
      <c r="H170" s="381"/>
      <c r="I170" s="381"/>
      <c r="J170" s="464"/>
      <c r="K170" s="464"/>
      <c r="L170" s="381"/>
      <c r="M170" s="381"/>
      <c r="N170" s="381"/>
      <c r="O170" s="381"/>
      <c r="P170" s="381"/>
      <c r="Q170" s="381"/>
      <c r="R170" s="381"/>
      <c r="V170" s="381"/>
      <c r="Y170" s="381"/>
      <c r="Z170" s="464"/>
      <c r="AA170" s="381"/>
      <c r="AB170" s="381"/>
      <c r="AC170" s="381"/>
      <c r="AD170" s="381"/>
      <c r="AE170" s="381"/>
      <c r="AF170" s="381"/>
      <c r="AI170" s="381"/>
      <c r="AJ170" s="381"/>
      <c r="AK170" s="162"/>
      <c r="AL170" s="381"/>
      <c r="AM170" s="50"/>
      <c r="AN170" s="50"/>
    </row>
    <row r="171" spans="1:40" x14ac:dyDescent="0.25">
      <c r="A171" s="53"/>
      <c r="C171" s="54"/>
      <c r="F171" s="379"/>
      <c r="H171" s="379"/>
      <c r="I171" s="379"/>
      <c r="J171" s="59"/>
      <c r="K171" s="59"/>
      <c r="L171" s="379"/>
      <c r="M171" s="379"/>
      <c r="N171" s="50"/>
      <c r="O171" s="50"/>
      <c r="P171" s="379"/>
      <c r="Q171" s="379"/>
      <c r="R171" s="379"/>
      <c r="T171" s="54"/>
      <c r="V171" s="379"/>
      <c r="Y171" s="379"/>
      <c r="Z171" s="59"/>
      <c r="AA171" s="379"/>
      <c r="AB171" s="379"/>
      <c r="AC171" s="50"/>
      <c r="AD171" s="50"/>
      <c r="AE171" s="379"/>
      <c r="AF171" s="379"/>
      <c r="AG171" s="156"/>
      <c r="AH171" s="60"/>
      <c r="AI171" s="379"/>
      <c r="AJ171" s="379"/>
      <c r="AK171" s="156"/>
      <c r="AL171" s="379"/>
      <c r="AM171" s="50"/>
      <c r="AN171" s="50"/>
    </row>
    <row r="172" spans="1:40" x14ac:dyDescent="0.25">
      <c r="A172" s="53"/>
      <c r="C172" s="54"/>
      <c r="F172" s="379"/>
      <c r="H172" s="379"/>
      <c r="I172" s="379"/>
      <c r="J172" s="59"/>
      <c r="K172" s="59"/>
      <c r="L172" s="379"/>
      <c r="M172" s="379"/>
      <c r="N172" s="50"/>
      <c r="O172" s="50"/>
      <c r="P172" s="379"/>
      <c r="Q172" s="379"/>
      <c r="R172" s="379"/>
      <c r="T172" s="54"/>
      <c r="V172" s="379"/>
      <c r="Y172" s="379"/>
      <c r="Z172" s="59"/>
      <c r="AA172" s="379"/>
      <c r="AB172" s="379"/>
      <c r="AC172" s="50"/>
      <c r="AD172" s="50"/>
      <c r="AE172" s="379"/>
      <c r="AF172" s="379"/>
      <c r="AG172" s="156"/>
      <c r="AH172" s="60"/>
      <c r="AI172" s="379"/>
      <c r="AJ172" s="379"/>
      <c r="AK172" s="156"/>
      <c r="AL172" s="379"/>
      <c r="AM172" s="50"/>
      <c r="AN172" s="50"/>
    </row>
    <row r="173" spans="1:40" x14ac:dyDescent="0.25">
      <c r="F173" s="381"/>
      <c r="H173" s="381"/>
      <c r="I173" s="381"/>
      <c r="J173" s="464"/>
      <c r="K173" s="464"/>
      <c r="L173" s="381"/>
      <c r="M173" s="381"/>
      <c r="N173" s="381"/>
      <c r="O173" s="381"/>
      <c r="P173" s="381"/>
      <c r="Q173" s="381"/>
      <c r="R173" s="381"/>
      <c r="V173" s="381"/>
      <c r="Y173" s="381"/>
      <c r="Z173" s="464"/>
      <c r="AA173" s="381"/>
      <c r="AB173" s="381"/>
      <c r="AC173" s="381"/>
      <c r="AD173" s="381"/>
      <c r="AE173" s="381"/>
      <c r="AF173" s="381"/>
      <c r="AI173" s="381"/>
      <c r="AJ173" s="381"/>
      <c r="AK173" s="162"/>
      <c r="AL173" s="381"/>
      <c r="AM173" s="379"/>
      <c r="AN173" s="379"/>
    </row>
    <row r="174" spans="1:40" x14ac:dyDescent="0.25">
      <c r="F174" s="379"/>
      <c r="H174" s="379"/>
      <c r="I174" s="379"/>
      <c r="J174" s="59"/>
      <c r="K174" s="59"/>
      <c r="L174" s="379"/>
      <c r="M174" s="379"/>
      <c r="N174" s="379"/>
      <c r="O174" s="379"/>
      <c r="P174" s="379"/>
      <c r="Q174" s="379"/>
      <c r="R174" s="379"/>
      <c r="V174" s="379"/>
      <c r="Y174" s="379"/>
      <c r="Z174" s="59"/>
      <c r="AA174" s="379"/>
      <c r="AB174" s="379"/>
      <c r="AC174" s="379"/>
      <c r="AD174" s="379"/>
    </row>
    <row r="175" spans="1:40" x14ac:dyDescent="0.25">
      <c r="C175" s="54"/>
      <c r="F175" s="379"/>
      <c r="H175" s="379"/>
      <c r="I175" s="379"/>
      <c r="J175" s="59"/>
      <c r="K175" s="59"/>
      <c r="L175" s="379"/>
      <c r="M175" s="379"/>
      <c r="N175" s="379"/>
      <c r="O175" s="379"/>
      <c r="P175" s="379"/>
      <c r="Q175" s="379"/>
      <c r="R175" s="379"/>
      <c r="T175" s="54"/>
      <c r="V175" s="379"/>
      <c r="Y175" s="379"/>
      <c r="Z175" s="59"/>
      <c r="AA175" s="379"/>
      <c r="AB175" s="379"/>
      <c r="AC175" s="379"/>
      <c r="AD175" s="379"/>
    </row>
    <row r="176" spans="1:40" x14ac:dyDescent="0.25">
      <c r="A176" s="54"/>
    </row>
    <row r="177" spans="1:40" x14ac:dyDescent="0.25">
      <c r="J177" s="53"/>
      <c r="K177" s="53"/>
      <c r="Z177" s="53"/>
    </row>
    <row r="178" spans="1:40" x14ac:dyDescent="0.25">
      <c r="H178" s="54"/>
      <c r="I178" s="54"/>
      <c r="Y178" s="54"/>
    </row>
    <row r="179" spans="1:40" x14ac:dyDescent="0.25">
      <c r="J179" s="53"/>
      <c r="K179" s="53"/>
      <c r="Z179" s="53"/>
    </row>
    <row r="180" spans="1:40" x14ac:dyDescent="0.25">
      <c r="L180" s="54"/>
      <c r="M180" s="54"/>
      <c r="AA180" s="54"/>
      <c r="AB180" s="54"/>
    </row>
    <row r="181" spans="1:40" x14ac:dyDescent="0.25">
      <c r="A181" s="53"/>
      <c r="R181" s="54"/>
      <c r="AK181" s="161"/>
      <c r="AL181" s="54"/>
    </row>
    <row r="182" spans="1:40" x14ac:dyDescent="0.25">
      <c r="A182" s="53"/>
      <c r="R182" s="54"/>
      <c r="AK182" s="161"/>
      <c r="AL182" s="54"/>
    </row>
    <row r="183" spans="1:40" x14ac:dyDescent="0.25">
      <c r="A183" s="54"/>
      <c r="R183" s="54"/>
      <c r="AK183" s="161"/>
      <c r="AL183" s="54"/>
    </row>
    <row r="184" spans="1:40" x14ac:dyDescent="0.25">
      <c r="L184" s="54"/>
      <c r="M184" s="54"/>
      <c r="R184" s="53"/>
      <c r="AA184" s="54"/>
      <c r="AB184" s="54"/>
      <c r="AK184" s="156"/>
      <c r="AL184" s="53"/>
    </row>
    <row r="185" spans="1:40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154"/>
      <c r="AH185" s="55"/>
      <c r="AI185" s="55"/>
      <c r="AJ185" s="55"/>
      <c r="AK185" s="154"/>
      <c r="AL185" s="55"/>
      <c r="AM185" s="55"/>
      <c r="AN185" s="55"/>
    </row>
    <row r="186" spans="1:40" x14ac:dyDescent="0.25">
      <c r="L186" s="56"/>
      <c r="M186" s="56"/>
      <c r="N186" s="56"/>
      <c r="O186" s="56"/>
      <c r="R186" s="56"/>
      <c r="AA186" s="56"/>
      <c r="AB186" s="56"/>
      <c r="AC186" s="56"/>
      <c r="AD186" s="56"/>
      <c r="AE186" s="56"/>
      <c r="AF186" s="56"/>
      <c r="AG186" s="155"/>
      <c r="AH186" s="56"/>
      <c r="AK186" s="155"/>
      <c r="AL186" s="56"/>
      <c r="AM186" s="56"/>
      <c r="AN186" s="56"/>
    </row>
    <row r="187" spans="1:40" x14ac:dyDescent="0.25">
      <c r="L187" s="56"/>
      <c r="M187" s="56"/>
      <c r="N187" s="56"/>
      <c r="O187" s="56"/>
      <c r="R187" s="56"/>
      <c r="Z187" s="56"/>
      <c r="AA187" s="56"/>
      <c r="AB187" s="56"/>
      <c r="AC187" s="56"/>
      <c r="AD187" s="56"/>
      <c r="AE187" s="56"/>
      <c r="AF187" s="56"/>
      <c r="AG187" s="155"/>
      <c r="AH187" s="56"/>
      <c r="AK187" s="155"/>
      <c r="AL187" s="56"/>
      <c r="AM187" s="56"/>
      <c r="AN187" s="56"/>
    </row>
    <row r="188" spans="1:40" x14ac:dyDescent="0.25">
      <c r="A188" s="56"/>
      <c r="C188" s="56"/>
      <c r="D188" s="56"/>
      <c r="E188" s="56"/>
      <c r="F188" s="56"/>
      <c r="J188" s="56"/>
      <c r="K188" s="56"/>
      <c r="L188" s="56"/>
      <c r="M188" s="56"/>
      <c r="N188" s="56"/>
      <c r="O188" s="56"/>
      <c r="P188" s="56"/>
      <c r="Q188" s="56"/>
      <c r="R188" s="56"/>
      <c r="T188" s="56"/>
      <c r="U188" s="56"/>
      <c r="V188" s="56"/>
      <c r="Z188" s="56"/>
      <c r="AA188" s="56"/>
      <c r="AB188" s="56"/>
      <c r="AC188" s="56"/>
      <c r="AD188" s="56"/>
      <c r="AE188" s="56"/>
      <c r="AF188" s="56"/>
      <c r="AG188" s="155"/>
      <c r="AH188" s="56"/>
      <c r="AI188" s="56"/>
      <c r="AJ188" s="56"/>
      <c r="AK188" s="155"/>
      <c r="AL188" s="56"/>
      <c r="AM188" s="56"/>
      <c r="AN188" s="56"/>
    </row>
    <row r="189" spans="1:40" x14ac:dyDescent="0.25">
      <c r="A189" s="56"/>
      <c r="C189" s="56"/>
      <c r="D189" s="56"/>
      <c r="E189" s="56"/>
      <c r="F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T189" s="56"/>
      <c r="U189" s="56"/>
      <c r="V189" s="56"/>
      <c r="Y189" s="56"/>
      <c r="Z189" s="56"/>
      <c r="AA189" s="56"/>
      <c r="AB189" s="56"/>
      <c r="AC189" s="56"/>
      <c r="AD189" s="56"/>
      <c r="AE189" s="56"/>
      <c r="AF189" s="56"/>
      <c r="AG189" s="155"/>
      <c r="AH189" s="56"/>
      <c r="AI189" s="56"/>
      <c r="AJ189" s="56"/>
      <c r="AK189" s="155"/>
      <c r="AL189" s="56"/>
      <c r="AM189" s="56"/>
      <c r="AN189" s="56"/>
    </row>
    <row r="190" spans="1:40" x14ac:dyDescent="0.25">
      <c r="C190" s="56"/>
      <c r="D190" s="56"/>
      <c r="E190" s="56"/>
      <c r="F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T190" s="56"/>
      <c r="U190" s="56"/>
      <c r="V190" s="56"/>
      <c r="Y190" s="56"/>
      <c r="Z190" s="56"/>
      <c r="AA190" s="56"/>
      <c r="AB190" s="56"/>
      <c r="AC190" s="56"/>
      <c r="AD190" s="56"/>
      <c r="AE190" s="56"/>
      <c r="AF190" s="56"/>
      <c r="AG190" s="155"/>
      <c r="AH190" s="56"/>
      <c r="AI190" s="56"/>
      <c r="AJ190" s="56"/>
      <c r="AK190" s="155"/>
      <c r="AL190" s="56"/>
      <c r="AM190" s="56"/>
      <c r="AN190" s="56"/>
    </row>
    <row r="191" spans="1:40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154"/>
      <c r="AH191" s="55"/>
      <c r="AI191" s="55"/>
      <c r="AJ191" s="55"/>
      <c r="AK191" s="154"/>
      <c r="AL191" s="55"/>
      <c r="AM191" s="55"/>
      <c r="AN191" s="55"/>
    </row>
    <row r="192" spans="1:40" x14ac:dyDescent="0.25"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Y192" s="56"/>
      <c r="Z192" s="56"/>
      <c r="AA192" s="56"/>
      <c r="AB192" s="56"/>
      <c r="AC192" s="56"/>
      <c r="AD192" s="56"/>
      <c r="AE192" s="56"/>
      <c r="AF192" s="56"/>
      <c r="AG192" s="155"/>
      <c r="AH192" s="56"/>
      <c r="AI192" s="56"/>
      <c r="AJ192" s="56"/>
      <c r="AK192" s="155"/>
      <c r="AL192" s="56"/>
      <c r="AM192" s="56"/>
      <c r="AN192" s="56"/>
    </row>
    <row r="193" spans="1:40" x14ac:dyDescent="0.25">
      <c r="A193" s="53"/>
      <c r="C193" s="54"/>
      <c r="D193" s="54"/>
      <c r="E193" s="54"/>
      <c r="T193" s="54"/>
      <c r="U193" s="54"/>
    </row>
    <row r="195" spans="1:40" x14ac:dyDescent="0.25">
      <c r="A195" s="53"/>
      <c r="C195" s="54"/>
      <c r="F195" s="449"/>
      <c r="H195" s="470"/>
      <c r="I195" s="470"/>
      <c r="J195" s="461"/>
      <c r="K195" s="461"/>
      <c r="L195" s="379"/>
      <c r="M195" s="379"/>
      <c r="N195" s="53"/>
      <c r="O195" s="53"/>
      <c r="P195" s="53"/>
      <c r="Q195" s="53"/>
      <c r="R195" s="379"/>
      <c r="T195" s="54"/>
      <c r="V195" s="379"/>
      <c r="Y195" s="53"/>
      <c r="Z195" s="461"/>
      <c r="AA195" s="379"/>
      <c r="AB195" s="379"/>
      <c r="AC195" s="53"/>
      <c r="AD195" s="53"/>
      <c r="AE195" s="379"/>
      <c r="AF195" s="379"/>
      <c r="AG195" s="474"/>
      <c r="AH195" s="475"/>
      <c r="AI195" s="379"/>
      <c r="AJ195" s="379"/>
      <c r="AK195" s="156"/>
      <c r="AL195" s="379"/>
      <c r="AM195" s="476"/>
      <c r="AN195" s="476"/>
    </row>
    <row r="196" spans="1:40" x14ac:dyDescent="0.25">
      <c r="F196" s="449"/>
      <c r="H196" s="470"/>
      <c r="I196" s="470"/>
      <c r="J196" s="470"/>
      <c r="K196" s="470"/>
      <c r="R196" s="379"/>
      <c r="V196" s="379"/>
      <c r="Z196" s="470"/>
    </row>
    <row r="197" spans="1:40" x14ac:dyDescent="0.25">
      <c r="A197" s="53"/>
      <c r="C197" s="54"/>
      <c r="F197" s="449"/>
      <c r="H197" s="449"/>
      <c r="I197" s="449"/>
      <c r="J197" s="472"/>
      <c r="K197" s="472"/>
      <c r="L197" s="379"/>
      <c r="M197" s="379"/>
      <c r="N197" s="50"/>
      <c r="O197" s="50"/>
      <c r="P197" s="449"/>
      <c r="Q197" s="449"/>
      <c r="R197" s="379"/>
      <c r="T197" s="54"/>
      <c r="V197" s="379"/>
      <c r="Y197" s="379"/>
      <c r="Z197" s="463"/>
      <c r="AA197" s="379"/>
      <c r="AB197" s="379"/>
      <c r="AC197" s="50"/>
      <c r="AD197" s="50"/>
      <c r="AE197" s="379"/>
      <c r="AF197" s="379"/>
      <c r="AG197" s="156"/>
      <c r="AH197" s="60"/>
      <c r="AI197" s="449"/>
      <c r="AJ197" s="449"/>
      <c r="AK197" s="156"/>
      <c r="AL197" s="379"/>
      <c r="AM197" s="50"/>
      <c r="AN197" s="50"/>
    </row>
    <row r="198" spans="1:40" x14ac:dyDescent="0.25">
      <c r="F198" s="381"/>
      <c r="H198" s="381"/>
      <c r="I198" s="381"/>
      <c r="J198" s="464"/>
      <c r="K198" s="464"/>
      <c r="L198" s="381"/>
      <c r="M198" s="381"/>
      <c r="N198" s="381"/>
      <c r="O198" s="381"/>
      <c r="P198" s="381"/>
      <c r="Q198" s="381"/>
      <c r="R198" s="381"/>
      <c r="V198" s="381"/>
      <c r="Y198" s="381"/>
      <c r="Z198" s="464"/>
      <c r="AA198" s="381"/>
      <c r="AB198" s="381"/>
      <c r="AC198" s="381"/>
      <c r="AD198" s="381"/>
      <c r="AE198" s="381"/>
      <c r="AF198" s="381"/>
      <c r="AI198" s="381"/>
      <c r="AJ198" s="381"/>
      <c r="AK198" s="162"/>
      <c r="AL198" s="381"/>
    </row>
    <row r="199" spans="1:40" x14ac:dyDescent="0.25">
      <c r="A199" s="53"/>
      <c r="D199" s="54"/>
      <c r="E199" s="54"/>
      <c r="F199" s="379"/>
      <c r="H199" s="379"/>
      <c r="I199" s="379"/>
      <c r="J199" s="59"/>
      <c r="K199" s="59"/>
      <c r="L199" s="379"/>
      <c r="M199" s="379"/>
      <c r="N199" s="50"/>
      <c r="O199" s="50"/>
      <c r="P199" s="379"/>
      <c r="Q199" s="379"/>
      <c r="R199" s="379"/>
      <c r="U199" s="54"/>
      <c r="V199" s="379"/>
      <c r="Y199" s="379"/>
      <c r="Z199" s="59"/>
      <c r="AA199" s="379"/>
      <c r="AB199" s="379"/>
      <c r="AC199" s="50"/>
      <c r="AD199" s="50"/>
      <c r="AE199" s="379"/>
      <c r="AF199" s="379"/>
      <c r="AG199" s="156"/>
      <c r="AH199" s="60"/>
      <c r="AI199" s="379"/>
      <c r="AJ199" s="379"/>
      <c r="AK199" s="156"/>
      <c r="AL199" s="379"/>
      <c r="AM199" s="50"/>
      <c r="AN199" s="50"/>
    </row>
    <row r="200" spans="1:40" x14ac:dyDescent="0.25">
      <c r="F200" s="381"/>
      <c r="H200" s="381"/>
      <c r="I200" s="381"/>
      <c r="J200" s="464"/>
      <c r="K200" s="464"/>
      <c r="L200" s="381"/>
      <c r="M200" s="381"/>
      <c r="N200" s="381"/>
      <c r="O200" s="381"/>
      <c r="P200" s="381"/>
      <c r="Q200" s="381"/>
      <c r="R200" s="381"/>
      <c r="V200" s="381"/>
      <c r="Y200" s="381"/>
      <c r="Z200" s="464"/>
      <c r="AA200" s="381"/>
      <c r="AB200" s="381"/>
      <c r="AC200" s="381"/>
      <c r="AD200" s="381"/>
      <c r="AE200" s="381"/>
      <c r="AF200" s="381"/>
      <c r="AI200" s="381"/>
      <c r="AJ200" s="381"/>
      <c r="AK200" s="162"/>
      <c r="AL200" s="381"/>
    </row>
    <row r="201" spans="1:40" x14ac:dyDescent="0.25">
      <c r="R201" s="379"/>
    </row>
    <row r="202" spans="1:40" x14ac:dyDescent="0.25">
      <c r="R202" s="379"/>
    </row>
    <row r="203" spans="1:40" x14ac:dyDescent="0.25">
      <c r="R203" s="379"/>
    </row>
    <row r="204" spans="1:40" x14ac:dyDescent="0.25">
      <c r="A204" s="53"/>
      <c r="C204" s="54"/>
      <c r="D204" s="54"/>
      <c r="E204" s="54"/>
      <c r="H204" s="379"/>
      <c r="I204" s="379"/>
      <c r="J204" s="59"/>
      <c r="K204" s="59"/>
      <c r="L204" s="379"/>
      <c r="M204" s="379"/>
      <c r="N204" s="50"/>
      <c r="O204" s="50"/>
      <c r="P204" s="379"/>
      <c r="Q204" s="379"/>
      <c r="R204" s="379"/>
      <c r="T204" s="54"/>
      <c r="U204" s="54"/>
      <c r="Y204" s="379"/>
      <c r="Z204" s="59"/>
      <c r="AA204" s="379"/>
      <c r="AB204" s="379"/>
      <c r="AC204" s="50"/>
      <c r="AD204" s="50"/>
    </row>
    <row r="205" spans="1:40" x14ac:dyDescent="0.25">
      <c r="H205" s="379"/>
      <c r="I205" s="379"/>
      <c r="J205" s="59"/>
      <c r="K205" s="59"/>
      <c r="L205" s="379"/>
      <c r="M205" s="379"/>
      <c r="N205" s="50"/>
      <c r="O205" s="50"/>
      <c r="P205" s="379"/>
      <c r="Q205" s="379"/>
      <c r="R205" s="379"/>
      <c r="Y205" s="379"/>
      <c r="Z205" s="59"/>
      <c r="AA205" s="379"/>
      <c r="AB205" s="379"/>
      <c r="AC205" s="50"/>
      <c r="AD205" s="50"/>
    </row>
    <row r="206" spans="1:40" x14ac:dyDescent="0.25">
      <c r="A206" s="53"/>
      <c r="C206" s="54"/>
      <c r="F206" s="449"/>
      <c r="H206" s="449"/>
      <c r="I206" s="449"/>
      <c r="J206" s="61"/>
      <c r="K206" s="61"/>
      <c r="L206" s="449"/>
      <c r="M206" s="449"/>
      <c r="N206" s="50"/>
      <c r="O206" s="50"/>
      <c r="P206" s="379"/>
      <c r="Q206" s="379"/>
      <c r="R206" s="379"/>
      <c r="T206" s="54"/>
      <c r="V206" s="379"/>
      <c r="Y206" s="379"/>
      <c r="Z206" s="61"/>
      <c r="AA206" s="379"/>
      <c r="AB206" s="379"/>
      <c r="AC206" s="50"/>
      <c r="AD206" s="50"/>
      <c r="AE206" s="379"/>
      <c r="AF206" s="379"/>
      <c r="AG206" s="156"/>
      <c r="AH206" s="60"/>
      <c r="AI206" s="379"/>
      <c r="AJ206" s="379"/>
      <c r="AK206" s="156"/>
      <c r="AL206" s="379"/>
      <c r="AM206" s="50"/>
      <c r="AN206" s="50"/>
    </row>
    <row r="207" spans="1:40" x14ac:dyDescent="0.25">
      <c r="F207" s="449"/>
      <c r="H207" s="470"/>
      <c r="I207" s="470"/>
      <c r="J207" s="470"/>
      <c r="K207" s="470"/>
      <c r="R207" s="379"/>
      <c r="V207" s="379"/>
      <c r="Z207" s="470"/>
    </row>
    <row r="208" spans="1:40" x14ac:dyDescent="0.25">
      <c r="A208" s="53"/>
      <c r="C208" s="54"/>
      <c r="F208" s="449"/>
      <c r="H208" s="449"/>
      <c r="I208" s="449"/>
      <c r="J208" s="461"/>
      <c r="K208" s="461"/>
      <c r="L208" s="379"/>
      <c r="M208" s="379"/>
      <c r="N208" s="50"/>
      <c r="O208" s="50"/>
      <c r="P208" s="379"/>
      <c r="Q208" s="379"/>
      <c r="R208" s="379"/>
      <c r="T208" s="54"/>
      <c r="V208" s="379"/>
      <c r="Y208" s="379"/>
      <c r="Z208" s="461"/>
      <c r="AA208" s="379"/>
      <c r="AB208" s="379"/>
      <c r="AC208" s="50"/>
      <c r="AD208" s="50"/>
      <c r="AE208" s="379"/>
      <c r="AF208" s="379"/>
      <c r="AG208" s="156"/>
      <c r="AH208" s="60"/>
      <c r="AI208" s="379"/>
      <c r="AJ208" s="379"/>
      <c r="AK208" s="156"/>
      <c r="AL208" s="379"/>
      <c r="AM208" s="50"/>
      <c r="AN208" s="50"/>
    </row>
    <row r="209" spans="1:40" x14ac:dyDescent="0.25">
      <c r="F209" s="449"/>
      <c r="H209" s="470"/>
      <c r="I209" s="470"/>
      <c r="J209" s="470"/>
      <c r="K209" s="470"/>
      <c r="R209" s="379"/>
      <c r="V209" s="379"/>
      <c r="Z209" s="470"/>
    </row>
    <row r="210" spans="1:40" x14ac:dyDescent="0.25">
      <c r="A210" s="53"/>
      <c r="C210" s="54"/>
      <c r="F210" s="449"/>
      <c r="H210" s="449"/>
      <c r="I210" s="449"/>
      <c r="J210" s="472"/>
      <c r="K210" s="472"/>
      <c r="L210" s="379"/>
      <c r="M210" s="379"/>
      <c r="N210" s="50"/>
      <c r="O210" s="50"/>
      <c r="P210" s="379"/>
      <c r="Q210" s="379"/>
      <c r="R210" s="379"/>
      <c r="T210" s="54"/>
      <c r="V210" s="379"/>
      <c r="Y210" s="379"/>
      <c r="Z210" s="463"/>
      <c r="AA210" s="379"/>
      <c r="AB210" s="379"/>
      <c r="AC210" s="50"/>
      <c r="AD210" s="50"/>
      <c r="AE210" s="379"/>
      <c r="AF210" s="379"/>
      <c r="AG210" s="156"/>
      <c r="AH210" s="60"/>
      <c r="AI210" s="379"/>
      <c r="AJ210" s="379"/>
      <c r="AK210" s="156"/>
      <c r="AL210" s="379"/>
      <c r="AM210" s="50"/>
      <c r="AN210" s="50"/>
    </row>
    <row r="211" spans="1:40" x14ac:dyDescent="0.25">
      <c r="F211" s="381"/>
      <c r="H211" s="381"/>
      <c r="I211" s="381"/>
      <c r="J211" s="464"/>
      <c r="K211" s="464"/>
      <c r="L211" s="381"/>
      <c r="M211" s="381"/>
      <c r="N211" s="381"/>
      <c r="O211" s="381"/>
      <c r="P211" s="381"/>
      <c r="Q211" s="381"/>
      <c r="R211" s="381"/>
      <c r="S211" s="379"/>
      <c r="V211" s="381"/>
      <c r="Y211" s="381"/>
      <c r="Z211" s="464"/>
      <c r="AA211" s="381"/>
      <c r="AB211" s="381"/>
      <c r="AC211" s="381"/>
      <c r="AD211" s="381"/>
      <c r="AE211" s="381"/>
      <c r="AF211" s="381"/>
      <c r="AI211" s="381"/>
      <c r="AJ211" s="381"/>
      <c r="AK211" s="162"/>
      <c r="AL211" s="381"/>
    </row>
    <row r="212" spans="1:40" x14ac:dyDescent="0.25">
      <c r="A212" s="53"/>
      <c r="D212" s="54"/>
      <c r="E212" s="54"/>
      <c r="F212" s="379"/>
      <c r="H212" s="379"/>
      <c r="I212" s="379"/>
      <c r="J212" s="59"/>
      <c r="K212" s="59"/>
      <c r="L212" s="379"/>
      <c r="M212" s="379"/>
      <c r="N212" s="50"/>
      <c r="O212" s="50"/>
      <c r="P212" s="449"/>
      <c r="Q212" s="449"/>
      <c r="R212" s="379"/>
      <c r="S212" s="379"/>
      <c r="U212" s="54"/>
      <c r="V212" s="379"/>
      <c r="Y212" s="379"/>
      <c r="Z212" s="59"/>
      <c r="AA212" s="379"/>
      <c r="AB212" s="379"/>
      <c r="AC212" s="50"/>
      <c r="AD212" s="50"/>
      <c r="AE212" s="379"/>
      <c r="AF212" s="379"/>
      <c r="AG212" s="156"/>
      <c r="AH212" s="60"/>
      <c r="AI212" s="449"/>
      <c r="AJ212" s="449"/>
      <c r="AK212" s="156"/>
      <c r="AL212" s="379"/>
      <c r="AM212" s="50"/>
      <c r="AN212" s="50"/>
    </row>
    <row r="213" spans="1:40" x14ac:dyDescent="0.25">
      <c r="F213" s="381"/>
      <c r="H213" s="381"/>
      <c r="I213" s="381"/>
      <c r="J213" s="464"/>
      <c r="K213" s="464"/>
      <c r="L213" s="381"/>
      <c r="M213" s="381"/>
      <c r="N213" s="381"/>
      <c r="O213" s="381"/>
      <c r="P213" s="381"/>
      <c r="Q213" s="381"/>
      <c r="R213" s="381"/>
      <c r="S213" s="379"/>
      <c r="V213" s="381"/>
      <c r="Y213" s="381"/>
      <c r="Z213" s="464"/>
      <c r="AA213" s="381"/>
      <c r="AB213" s="381"/>
      <c r="AC213" s="381"/>
      <c r="AD213" s="381"/>
      <c r="AE213" s="381"/>
      <c r="AF213" s="381"/>
      <c r="AI213" s="381"/>
      <c r="AJ213" s="381"/>
      <c r="AK213" s="162"/>
      <c r="AL213" s="381"/>
    </row>
    <row r="214" spans="1:40" x14ac:dyDescent="0.25">
      <c r="R214" s="379"/>
    </row>
    <row r="215" spans="1:40" x14ac:dyDescent="0.25">
      <c r="F215" s="379"/>
      <c r="H215" s="379"/>
      <c r="I215" s="379"/>
      <c r="J215" s="59"/>
      <c r="K215" s="59"/>
      <c r="L215" s="379"/>
      <c r="M215" s="379"/>
      <c r="N215" s="379"/>
      <c r="O215" s="379"/>
      <c r="P215" s="379"/>
      <c r="Q215" s="379"/>
      <c r="R215" s="379"/>
      <c r="V215" s="379"/>
      <c r="Y215" s="379"/>
      <c r="Z215" s="59"/>
      <c r="AA215" s="379"/>
      <c r="AB215" s="379"/>
      <c r="AC215" s="379"/>
      <c r="AD215" s="379"/>
    </row>
    <row r="216" spans="1:40" x14ac:dyDescent="0.25">
      <c r="C216" s="54"/>
      <c r="F216" s="379"/>
      <c r="H216" s="379"/>
      <c r="I216" s="379"/>
      <c r="J216" s="59"/>
      <c r="K216" s="59"/>
      <c r="L216" s="379"/>
      <c r="M216" s="379"/>
      <c r="N216" s="379"/>
      <c r="O216" s="379"/>
      <c r="P216" s="379"/>
      <c r="Q216" s="379"/>
      <c r="R216" s="379"/>
      <c r="T216" s="54"/>
      <c r="V216" s="379"/>
      <c r="Y216" s="379"/>
      <c r="Z216" s="59"/>
      <c r="AA216" s="379"/>
      <c r="AB216" s="379"/>
      <c r="AC216" s="379"/>
      <c r="AD216" s="379"/>
    </row>
    <row r="217" spans="1:40" x14ac:dyDescent="0.25">
      <c r="C217" s="54"/>
      <c r="T217" s="54"/>
    </row>
    <row r="218" spans="1:40" x14ac:dyDescent="0.25">
      <c r="A218" s="54"/>
    </row>
    <row r="220" spans="1:40" x14ac:dyDescent="0.25">
      <c r="J220" s="53"/>
      <c r="K220" s="53"/>
      <c r="Z220" s="53"/>
    </row>
    <row r="221" spans="1:40" x14ac:dyDescent="0.25">
      <c r="H221" s="54"/>
      <c r="I221" s="54"/>
      <c r="Y221" s="54"/>
    </row>
    <row r="222" spans="1:40" x14ac:dyDescent="0.25">
      <c r="J222" s="53"/>
      <c r="K222" s="53"/>
      <c r="Z222" s="53"/>
    </row>
    <row r="223" spans="1:40" x14ac:dyDescent="0.25">
      <c r="L223" s="54"/>
      <c r="M223" s="54"/>
      <c r="AA223" s="54"/>
      <c r="AB223" s="54"/>
    </row>
    <row r="224" spans="1:40" x14ac:dyDescent="0.25">
      <c r="A224" s="53"/>
      <c r="R224" s="54"/>
      <c r="AK224" s="161"/>
      <c r="AL224" s="54"/>
    </row>
    <row r="225" spans="1:40" x14ac:dyDescent="0.25">
      <c r="A225" s="53"/>
      <c r="R225" s="54"/>
      <c r="AK225" s="161"/>
      <c r="AL225" s="54"/>
    </row>
    <row r="226" spans="1:40" x14ac:dyDescent="0.25">
      <c r="A226" s="54"/>
      <c r="R226" s="54"/>
      <c r="AK226" s="161"/>
      <c r="AL226" s="54"/>
    </row>
    <row r="227" spans="1:40" x14ac:dyDescent="0.25">
      <c r="L227" s="54"/>
      <c r="M227" s="54"/>
      <c r="R227" s="53"/>
      <c r="AA227" s="54"/>
      <c r="AB227" s="54"/>
      <c r="AK227" s="156"/>
      <c r="AL227" s="53"/>
    </row>
    <row r="228" spans="1:40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154"/>
      <c r="AH228" s="55"/>
      <c r="AI228" s="55"/>
      <c r="AJ228" s="55"/>
      <c r="AK228" s="154"/>
      <c r="AL228" s="55"/>
      <c r="AM228" s="55"/>
      <c r="AN228" s="55"/>
    </row>
    <row r="229" spans="1:40" x14ac:dyDescent="0.25">
      <c r="L229" s="56"/>
      <c r="M229" s="56"/>
      <c r="N229" s="56"/>
      <c r="O229" s="56"/>
      <c r="R229" s="56"/>
      <c r="AA229" s="56"/>
      <c r="AB229" s="56"/>
      <c r="AC229" s="56"/>
      <c r="AD229" s="56"/>
      <c r="AE229" s="56"/>
      <c r="AF229" s="56"/>
      <c r="AG229" s="155"/>
      <c r="AH229" s="56"/>
      <c r="AK229" s="155"/>
      <c r="AL229" s="56"/>
      <c r="AM229" s="56"/>
      <c r="AN229" s="56"/>
    </row>
    <row r="230" spans="1:40" x14ac:dyDescent="0.25">
      <c r="L230" s="56"/>
      <c r="M230" s="56"/>
      <c r="N230" s="56"/>
      <c r="O230" s="56"/>
      <c r="R230" s="56"/>
      <c r="Z230" s="56"/>
      <c r="AA230" s="56"/>
      <c r="AB230" s="56"/>
      <c r="AC230" s="56"/>
      <c r="AD230" s="56"/>
      <c r="AE230" s="56"/>
      <c r="AF230" s="56"/>
      <c r="AG230" s="155"/>
      <c r="AH230" s="56"/>
      <c r="AK230" s="155"/>
      <c r="AL230" s="56"/>
      <c r="AM230" s="56"/>
      <c r="AN230" s="56"/>
    </row>
    <row r="231" spans="1:40" x14ac:dyDescent="0.25">
      <c r="A231" s="56"/>
      <c r="C231" s="56"/>
      <c r="D231" s="56"/>
      <c r="E231" s="56"/>
      <c r="F231" s="56"/>
      <c r="J231" s="56"/>
      <c r="K231" s="56"/>
      <c r="L231" s="56"/>
      <c r="M231" s="56"/>
      <c r="N231" s="56"/>
      <c r="O231" s="56"/>
      <c r="P231" s="56"/>
      <c r="Q231" s="56"/>
      <c r="R231" s="56"/>
      <c r="T231" s="56"/>
      <c r="U231" s="56"/>
      <c r="V231" s="56"/>
      <c r="Z231" s="56"/>
      <c r="AA231" s="56"/>
      <c r="AB231" s="56"/>
      <c r="AC231" s="56"/>
      <c r="AD231" s="56"/>
      <c r="AE231" s="56"/>
      <c r="AF231" s="56"/>
      <c r="AG231" s="155"/>
      <c r="AH231" s="56"/>
      <c r="AI231" s="56"/>
      <c r="AJ231" s="56"/>
      <c r="AK231" s="155"/>
      <c r="AL231" s="56"/>
      <c r="AM231" s="56"/>
      <c r="AN231" s="56"/>
    </row>
    <row r="232" spans="1:40" x14ac:dyDescent="0.25">
      <c r="A232" s="56"/>
      <c r="C232" s="56"/>
      <c r="D232" s="56"/>
      <c r="E232" s="56"/>
      <c r="F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T232" s="56"/>
      <c r="U232" s="56"/>
      <c r="V232" s="56"/>
      <c r="Y232" s="56"/>
      <c r="Z232" s="56"/>
      <c r="AA232" s="56"/>
      <c r="AB232" s="56"/>
      <c r="AC232" s="56"/>
      <c r="AD232" s="56"/>
      <c r="AE232" s="56"/>
      <c r="AF232" s="56"/>
      <c r="AG232" s="155"/>
      <c r="AH232" s="56"/>
      <c r="AI232" s="56"/>
      <c r="AJ232" s="56"/>
      <c r="AK232" s="155"/>
      <c r="AL232" s="56"/>
      <c r="AM232" s="56"/>
      <c r="AN232" s="56"/>
    </row>
    <row r="233" spans="1:40" x14ac:dyDescent="0.25">
      <c r="C233" s="56"/>
      <c r="D233" s="56"/>
      <c r="E233" s="56"/>
      <c r="F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T233" s="56"/>
      <c r="U233" s="56"/>
      <c r="V233" s="56"/>
      <c r="Y233" s="56"/>
      <c r="Z233" s="56"/>
      <c r="AA233" s="56"/>
      <c r="AB233" s="56"/>
      <c r="AC233" s="56"/>
      <c r="AD233" s="56"/>
      <c r="AE233" s="56"/>
      <c r="AF233" s="56"/>
      <c r="AG233" s="155"/>
      <c r="AH233" s="56"/>
      <c r="AI233" s="56"/>
      <c r="AJ233" s="56"/>
      <c r="AK233" s="155"/>
      <c r="AL233" s="56"/>
      <c r="AM233" s="56"/>
      <c r="AN233" s="56"/>
    </row>
    <row r="234" spans="1:40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154"/>
      <c r="AH234" s="55"/>
      <c r="AI234" s="55"/>
      <c r="AJ234" s="55"/>
      <c r="AK234" s="154"/>
      <c r="AL234" s="55"/>
      <c r="AM234" s="55"/>
      <c r="AN234" s="55"/>
    </row>
    <row r="235" spans="1:40" x14ac:dyDescent="0.25"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Y235" s="56"/>
      <c r="Z235" s="56"/>
      <c r="AA235" s="56"/>
      <c r="AB235" s="56"/>
      <c r="AC235" s="56"/>
      <c r="AD235" s="56"/>
      <c r="AE235" s="56"/>
      <c r="AF235" s="56"/>
      <c r="AG235" s="155"/>
      <c r="AH235" s="56"/>
      <c r="AI235" s="56"/>
      <c r="AJ235" s="56"/>
      <c r="AK235" s="155"/>
      <c r="AL235" s="56"/>
      <c r="AM235" s="56"/>
      <c r="AN235" s="56"/>
    </row>
    <row r="236" spans="1:40" x14ac:dyDescent="0.25">
      <c r="A236" s="53"/>
      <c r="C236" s="54"/>
      <c r="D236" s="54"/>
      <c r="E236" s="54"/>
      <c r="T236" s="54"/>
      <c r="U236" s="54"/>
    </row>
    <row r="237" spans="1:40" x14ac:dyDescent="0.25">
      <c r="A237" s="53"/>
      <c r="D237" s="54"/>
      <c r="E237" s="54"/>
      <c r="U237" s="54"/>
    </row>
    <row r="239" spans="1:40" x14ac:dyDescent="0.25">
      <c r="A239" s="53"/>
      <c r="C239" s="54"/>
      <c r="F239" s="379"/>
      <c r="J239" s="62"/>
      <c r="K239" s="62"/>
      <c r="L239" s="379"/>
      <c r="M239" s="379"/>
      <c r="R239" s="379"/>
      <c r="T239" s="54"/>
      <c r="V239" s="379"/>
      <c r="Z239" s="62"/>
      <c r="AA239" s="379"/>
      <c r="AB239" s="379"/>
      <c r="AK239" s="156"/>
      <c r="AL239" s="379"/>
    </row>
    <row r="240" spans="1:40" x14ac:dyDescent="0.25">
      <c r="F240" s="379"/>
      <c r="R240" s="379"/>
      <c r="V240" s="379"/>
      <c r="AK240" s="156"/>
      <c r="AL240" s="379"/>
    </row>
    <row r="241" spans="1:40" x14ac:dyDescent="0.25">
      <c r="A241" s="53"/>
      <c r="C241" s="54"/>
      <c r="F241" s="449"/>
      <c r="H241" s="449"/>
      <c r="I241" s="449"/>
      <c r="J241" s="461"/>
      <c r="K241" s="461"/>
      <c r="L241" s="379"/>
      <c r="M241" s="379"/>
      <c r="N241" s="50"/>
      <c r="O241" s="50"/>
      <c r="P241" s="379"/>
      <c r="Q241" s="379"/>
      <c r="R241" s="379"/>
      <c r="T241" s="54"/>
      <c r="V241" s="379"/>
      <c r="Y241" s="379"/>
      <c r="Z241" s="461"/>
      <c r="AA241" s="379"/>
      <c r="AB241" s="379"/>
      <c r="AC241" s="50"/>
      <c r="AD241" s="50"/>
      <c r="AE241" s="379"/>
      <c r="AF241" s="379"/>
      <c r="AG241" s="156"/>
      <c r="AH241" s="60"/>
      <c r="AI241" s="379"/>
      <c r="AJ241" s="379"/>
      <c r="AK241" s="156"/>
      <c r="AL241" s="379"/>
      <c r="AM241" s="50"/>
      <c r="AN241" s="50"/>
    </row>
    <row r="242" spans="1:40" x14ac:dyDescent="0.25">
      <c r="A242" s="53"/>
      <c r="C242" s="54"/>
      <c r="F242" s="449"/>
      <c r="H242" s="470"/>
      <c r="I242" s="470"/>
      <c r="J242" s="461"/>
      <c r="K242" s="461"/>
      <c r="L242" s="379"/>
      <c r="M242" s="379"/>
      <c r="N242" s="50"/>
      <c r="O242" s="50"/>
      <c r="P242" s="379"/>
      <c r="Q242" s="379"/>
      <c r="R242" s="379"/>
      <c r="T242" s="54"/>
      <c r="V242" s="379"/>
      <c r="Y242" s="379"/>
      <c r="Z242" s="461"/>
      <c r="AA242" s="379"/>
      <c r="AB242" s="379"/>
      <c r="AC242" s="50"/>
      <c r="AD242" s="50"/>
      <c r="AE242" s="379"/>
      <c r="AF242" s="379"/>
      <c r="AG242" s="156"/>
      <c r="AH242" s="60"/>
      <c r="AI242" s="379"/>
      <c r="AJ242" s="379"/>
      <c r="AK242" s="156"/>
      <c r="AL242" s="379"/>
      <c r="AM242" s="50"/>
      <c r="AN242" s="50"/>
    </row>
    <row r="243" spans="1:40" x14ac:dyDescent="0.25">
      <c r="F243" s="381"/>
      <c r="H243" s="379"/>
      <c r="I243" s="379"/>
      <c r="J243" s="464"/>
      <c r="K243" s="464"/>
      <c r="L243" s="381"/>
      <c r="M243" s="381"/>
      <c r="N243" s="381"/>
      <c r="O243" s="381"/>
      <c r="P243" s="381"/>
      <c r="Q243" s="381"/>
      <c r="R243" s="381"/>
      <c r="V243" s="381"/>
      <c r="Y243" s="379"/>
      <c r="Z243" s="464"/>
      <c r="AA243" s="381"/>
      <c r="AB243" s="381"/>
      <c r="AC243" s="381"/>
      <c r="AD243" s="381"/>
      <c r="AE243" s="381"/>
      <c r="AF243" s="381"/>
      <c r="AI243" s="381"/>
      <c r="AJ243" s="381"/>
      <c r="AK243" s="162"/>
      <c r="AL243" s="381"/>
    </row>
    <row r="244" spans="1:40" x14ac:dyDescent="0.25">
      <c r="A244" s="53"/>
      <c r="C244" s="54"/>
      <c r="F244" s="379"/>
      <c r="H244" s="379"/>
      <c r="I244" s="379"/>
      <c r="J244" s="59"/>
      <c r="K244" s="59"/>
      <c r="L244" s="379"/>
      <c r="M244" s="379"/>
      <c r="N244" s="50"/>
      <c r="O244" s="50"/>
      <c r="P244" s="379"/>
      <c r="Q244" s="379"/>
      <c r="R244" s="379"/>
      <c r="T244" s="54"/>
      <c r="V244" s="379"/>
      <c r="Y244" s="379"/>
      <c r="Z244" s="59"/>
      <c r="AA244" s="379"/>
      <c r="AB244" s="379"/>
      <c r="AC244" s="50"/>
      <c r="AD244" s="50"/>
      <c r="AE244" s="379"/>
      <c r="AF244" s="379"/>
      <c r="AG244" s="156"/>
      <c r="AH244" s="60"/>
      <c r="AI244" s="379"/>
      <c r="AJ244" s="379"/>
      <c r="AK244" s="156"/>
      <c r="AL244" s="379"/>
      <c r="AM244" s="50"/>
      <c r="AN244" s="50"/>
    </row>
    <row r="245" spans="1:40" x14ac:dyDescent="0.25">
      <c r="F245" s="381"/>
      <c r="H245" s="379"/>
      <c r="I245" s="379"/>
      <c r="J245" s="464"/>
      <c r="K245" s="464"/>
      <c r="L245" s="381"/>
      <c r="M245" s="381"/>
      <c r="N245" s="381"/>
      <c r="O245" s="381"/>
      <c r="P245" s="381"/>
      <c r="Q245" s="381"/>
      <c r="R245" s="381"/>
      <c r="V245" s="381"/>
      <c r="Y245" s="379"/>
      <c r="Z245" s="464"/>
      <c r="AA245" s="381"/>
      <c r="AB245" s="381"/>
      <c r="AC245" s="381"/>
      <c r="AD245" s="381"/>
      <c r="AE245" s="381"/>
      <c r="AF245" s="381"/>
      <c r="AI245" s="381"/>
      <c r="AJ245" s="381"/>
      <c r="AK245" s="162"/>
      <c r="AL245" s="381"/>
    </row>
    <row r="246" spans="1:40" x14ac:dyDescent="0.25">
      <c r="F246" s="379"/>
      <c r="R246" s="379"/>
      <c r="V246" s="379"/>
      <c r="AK246" s="156"/>
      <c r="AL246" s="379"/>
    </row>
    <row r="247" spans="1:40" x14ac:dyDescent="0.25">
      <c r="A247" s="53"/>
      <c r="C247" s="54"/>
      <c r="F247" s="379"/>
      <c r="R247" s="379"/>
      <c r="T247" s="54"/>
      <c r="V247" s="379"/>
      <c r="AK247" s="156"/>
      <c r="AL247" s="379"/>
    </row>
    <row r="248" spans="1:40" x14ac:dyDescent="0.25">
      <c r="F248" s="379"/>
      <c r="R248" s="379"/>
      <c r="V248" s="379"/>
      <c r="AK248" s="156"/>
      <c r="AL248" s="379"/>
    </row>
    <row r="249" spans="1:40" x14ac:dyDescent="0.25">
      <c r="A249" s="53"/>
      <c r="C249" s="54"/>
      <c r="F249" s="379"/>
      <c r="H249" s="449"/>
      <c r="I249" s="449"/>
      <c r="J249" s="472"/>
      <c r="K249" s="472"/>
      <c r="L249" s="379"/>
      <c r="M249" s="379"/>
      <c r="N249" s="50"/>
      <c r="O249" s="50"/>
      <c r="P249" s="449"/>
      <c r="Q249" s="449"/>
      <c r="R249" s="379"/>
      <c r="T249" s="54"/>
      <c r="V249" s="379"/>
      <c r="Y249" s="379"/>
      <c r="Z249" s="463"/>
      <c r="AA249" s="379"/>
      <c r="AB249" s="379"/>
      <c r="AC249" s="50"/>
      <c r="AD249" s="50"/>
      <c r="AE249" s="379"/>
      <c r="AF249" s="379"/>
      <c r="AG249" s="156"/>
      <c r="AH249" s="60"/>
      <c r="AI249" s="449"/>
      <c r="AJ249" s="449"/>
      <c r="AK249" s="156"/>
      <c r="AL249" s="379"/>
      <c r="AM249" s="50"/>
      <c r="AN249" s="50"/>
    </row>
    <row r="250" spans="1:40" x14ac:dyDescent="0.25">
      <c r="H250" s="381"/>
      <c r="I250" s="381"/>
      <c r="J250" s="464"/>
      <c r="K250" s="464"/>
      <c r="L250" s="381"/>
      <c r="M250" s="381"/>
      <c r="N250" s="381"/>
      <c r="O250" s="381"/>
      <c r="P250" s="381"/>
      <c r="Q250" s="381"/>
      <c r="R250" s="381"/>
      <c r="V250" s="381"/>
      <c r="Y250" s="381"/>
      <c r="Z250" s="464"/>
      <c r="AA250" s="381"/>
      <c r="AB250" s="381"/>
      <c r="AC250" s="381"/>
      <c r="AD250" s="381"/>
      <c r="AE250" s="381"/>
      <c r="AF250" s="381"/>
      <c r="AI250" s="381"/>
      <c r="AJ250" s="381"/>
      <c r="AK250" s="162"/>
      <c r="AL250" s="381"/>
    </row>
    <row r="251" spans="1:40" x14ac:dyDescent="0.25">
      <c r="F251" s="381"/>
    </row>
    <row r="252" spans="1:40" x14ac:dyDescent="0.25">
      <c r="A252" s="53"/>
      <c r="C252" s="54"/>
      <c r="F252" s="379"/>
      <c r="H252" s="379"/>
      <c r="I252" s="379"/>
      <c r="J252" s="62"/>
      <c r="K252" s="62"/>
      <c r="L252" s="379"/>
      <c r="M252" s="379"/>
      <c r="N252" s="50"/>
      <c r="O252" s="50"/>
      <c r="P252" s="379"/>
      <c r="Q252" s="379"/>
      <c r="R252" s="379"/>
      <c r="T252" s="54"/>
      <c r="V252" s="379"/>
      <c r="Y252" s="379"/>
      <c r="Z252" s="62"/>
      <c r="AA252" s="379"/>
      <c r="AB252" s="379"/>
      <c r="AC252" s="50"/>
      <c r="AD252" s="50"/>
      <c r="AE252" s="379"/>
      <c r="AF252" s="379"/>
      <c r="AG252" s="156"/>
      <c r="AH252" s="60"/>
      <c r="AI252" s="379"/>
      <c r="AJ252" s="379"/>
      <c r="AK252" s="156"/>
      <c r="AL252" s="379"/>
      <c r="AM252" s="50"/>
      <c r="AN252" s="50"/>
    </row>
    <row r="253" spans="1:40" x14ac:dyDescent="0.25">
      <c r="F253" s="381"/>
      <c r="H253" s="381"/>
      <c r="I253" s="381"/>
      <c r="J253" s="464"/>
      <c r="K253" s="464"/>
      <c r="L253" s="381"/>
      <c r="M253" s="381"/>
      <c r="N253" s="381"/>
      <c r="O253" s="381"/>
      <c r="P253" s="381"/>
      <c r="Q253" s="381"/>
      <c r="R253" s="381"/>
      <c r="V253" s="381"/>
      <c r="Y253" s="381"/>
      <c r="Z253" s="464"/>
      <c r="AA253" s="381"/>
      <c r="AB253" s="381"/>
      <c r="AC253" s="381"/>
      <c r="AD253" s="381"/>
      <c r="AE253" s="381"/>
      <c r="AF253" s="381"/>
      <c r="AI253" s="381"/>
      <c r="AJ253" s="381"/>
      <c r="AK253" s="162"/>
      <c r="AL253" s="381"/>
    </row>
    <row r="254" spans="1:40" x14ac:dyDescent="0.25">
      <c r="R254" s="379"/>
      <c r="AG254" s="156"/>
      <c r="AH254" s="379"/>
    </row>
    <row r="255" spans="1:40" x14ac:dyDescent="0.25">
      <c r="F255" s="379"/>
      <c r="H255" s="379"/>
      <c r="I255" s="379"/>
      <c r="J255" s="59"/>
      <c r="K255" s="59"/>
      <c r="L255" s="379"/>
      <c r="M255" s="379"/>
      <c r="N255" s="379"/>
      <c r="O255" s="379"/>
      <c r="P255" s="379"/>
      <c r="Q255" s="379"/>
      <c r="R255" s="379"/>
      <c r="V255" s="379"/>
      <c r="Y255" s="379"/>
      <c r="Z255" s="59"/>
      <c r="AA255" s="379"/>
      <c r="AB255" s="379"/>
      <c r="AC255" s="379"/>
      <c r="AD255" s="379"/>
      <c r="AE255" s="379"/>
      <c r="AF255" s="379"/>
      <c r="AG255" s="156"/>
      <c r="AH255" s="379"/>
    </row>
    <row r="256" spans="1:40" x14ac:dyDescent="0.25">
      <c r="C256" s="54"/>
      <c r="F256" s="379"/>
      <c r="H256" s="379"/>
      <c r="I256" s="379"/>
      <c r="J256" s="59"/>
      <c r="K256" s="59"/>
      <c r="L256" s="379"/>
      <c r="M256" s="379"/>
      <c r="N256" s="379"/>
      <c r="O256" s="379"/>
      <c r="P256" s="379"/>
      <c r="Q256" s="379"/>
      <c r="R256" s="379"/>
      <c r="T256" s="54"/>
      <c r="V256" s="379"/>
      <c r="Y256" s="379"/>
      <c r="Z256" s="59"/>
      <c r="AA256" s="379"/>
      <c r="AB256" s="379"/>
      <c r="AC256" s="379"/>
      <c r="AD256" s="379"/>
      <c r="AE256" s="379"/>
      <c r="AF256" s="379"/>
      <c r="AG256" s="156"/>
      <c r="AH256" s="379"/>
    </row>
    <row r="257" spans="1:40" x14ac:dyDescent="0.25">
      <c r="A257" s="54"/>
    </row>
    <row r="259" spans="1:40" x14ac:dyDescent="0.25">
      <c r="J259" s="53"/>
      <c r="K259" s="53"/>
      <c r="Z259" s="53"/>
    </row>
    <row r="260" spans="1:40" x14ac:dyDescent="0.25">
      <c r="H260" s="54"/>
      <c r="I260" s="54"/>
      <c r="Y260" s="54"/>
    </row>
    <row r="261" spans="1:40" x14ac:dyDescent="0.25">
      <c r="J261" s="53"/>
      <c r="K261" s="53"/>
      <c r="Z261" s="53"/>
    </row>
    <row r="262" spans="1:40" x14ac:dyDescent="0.25">
      <c r="L262" s="54"/>
      <c r="M262" s="54"/>
      <c r="AA262" s="54"/>
      <c r="AB262" s="54"/>
    </row>
    <row r="263" spans="1:40" x14ac:dyDescent="0.25">
      <c r="A263" s="53"/>
      <c r="R263" s="54"/>
      <c r="AK263" s="161"/>
      <c r="AL263" s="54"/>
    </row>
    <row r="264" spans="1:40" x14ac:dyDescent="0.25">
      <c r="A264" s="53"/>
      <c r="R264" s="54"/>
      <c r="AK264" s="161"/>
      <c r="AL264" s="54"/>
    </row>
    <row r="265" spans="1:40" x14ac:dyDescent="0.25">
      <c r="A265" s="54"/>
      <c r="R265" s="54"/>
      <c r="AK265" s="161"/>
      <c r="AL265" s="54"/>
    </row>
    <row r="266" spans="1:40" x14ac:dyDescent="0.25">
      <c r="L266" s="54"/>
      <c r="M266" s="54"/>
      <c r="R266" s="53"/>
      <c r="AA266" s="54"/>
      <c r="AB266" s="54"/>
      <c r="AK266" s="156"/>
      <c r="AL266" s="53"/>
    </row>
    <row r="267" spans="1:40" x14ac:dyDescent="0.25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154"/>
      <c r="AH267" s="55"/>
      <c r="AI267" s="55"/>
      <c r="AJ267" s="55"/>
      <c r="AK267" s="154"/>
      <c r="AL267" s="55"/>
      <c r="AM267" s="55"/>
      <c r="AN267" s="55"/>
    </row>
    <row r="268" spans="1:40" x14ac:dyDescent="0.25">
      <c r="L268" s="56"/>
      <c r="M268" s="56"/>
      <c r="N268" s="56"/>
      <c r="O268" s="56"/>
      <c r="R268" s="56"/>
      <c r="AA268" s="56"/>
      <c r="AB268" s="56"/>
      <c r="AC268" s="56"/>
      <c r="AD268" s="56"/>
      <c r="AE268" s="56"/>
      <c r="AF268" s="56"/>
      <c r="AG268" s="155"/>
      <c r="AH268" s="56"/>
      <c r="AK268" s="155"/>
      <c r="AL268" s="56"/>
      <c r="AM268" s="56"/>
      <c r="AN268" s="56"/>
    </row>
    <row r="269" spans="1:40" x14ac:dyDescent="0.25">
      <c r="L269" s="56"/>
      <c r="M269" s="56"/>
      <c r="N269" s="56"/>
      <c r="O269" s="56"/>
      <c r="R269" s="56"/>
      <c r="Z269" s="56"/>
      <c r="AA269" s="56"/>
      <c r="AB269" s="56"/>
      <c r="AC269" s="56"/>
      <c r="AD269" s="56"/>
      <c r="AE269" s="56"/>
      <c r="AF269" s="56"/>
      <c r="AG269" s="155"/>
      <c r="AH269" s="56"/>
      <c r="AK269" s="155"/>
      <c r="AL269" s="56"/>
      <c r="AM269" s="56"/>
      <c r="AN269" s="56"/>
    </row>
    <row r="270" spans="1:40" x14ac:dyDescent="0.25">
      <c r="A270" s="56"/>
      <c r="C270" s="56"/>
      <c r="D270" s="56"/>
      <c r="E270" s="56"/>
      <c r="F270" s="56"/>
      <c r="J270" s="56"/>
      <c r="K270" s="56"/>
      <c r="L270" s="56"/>
      <c r="M270" s="56"/>
      <c r="N270" s="56"/>
      <c r="O270" s="56"/>
      <c r="P270" s="56"/>
      <c r="Q270" s="56"/>
      <c r="R270" s="56"/>
      <c r="T270" s="56"/>
      <c r="U270" s="56"/>
      <c r="V270" s="56"/>
      <c r="Z270" s="56"/>
      <c r="AA270" s="56"/>
      <c r="AB270" s="56"/>
      <c r="AC270" s="56"/>
      <c r="AD270" s="56"/>
      <c r="AE270" s="56"/>
      <c r="AF270" s="56"/>
      <c r="AG270" s="155"/>
      <c r="AH270" s="56"/>
      <c r="AI270" s="56"/>
      <c r="AJ270" s="56"/>
      <c r="AK270" s="155"/>
      <c r="AL270" s="56"/>
      <c r="AM270" s="56"/>
      <c r="AN270" s="56"/>
    </row>
    <row r="271" spans="1:40" x14ac:dyDescent="0.25">
      <c r="A271" s="56"/>
      <c r="C271" s="56"/>
      <c r="D271" s="56"/>
      <c r="E271" s="56"/>
      <c r="F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T271" s="56"/>
      <c r="U271" s="56"/>
      <c r="V271" s="56"/>
      <c r="Y271" s="56"/>
      <c r="Z271" s="56"/>
      <c r="AA271" s="56"/>
      <c r="AB271" s="56"/>
      <c r="AC271" s="56"/>
      <c r="AD271" s="56"/>
      <c r="AE271" s="56"/>
      <c r="AF271" s="56"/>
      <c r="AG271" s="155"/>
      <c r="AH271" s="56"/>
      <c r="AI271" s="56"/>
      <c r="AJ271" s="56"/>
      <c r="AK271" s="155"/>
      <c r="AL271" s="56"/>
      <c r="AM271" s="56"/>
      <c r="AN271" s="56"/>
    </row>
    <row r="272" spans="1:40" x14ac:dyDescent="0.25">
      <c r="C272" s="56"/>
      <c r="D272" s="56"/>
      <c r="E272" s="56"/>
      <c r="F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T272" s="56"/>
      <c r="U272" s="56"/>
      <c r="V272" s="56"/>
      <c r="Y272" s="56"/>
      <c r="Z272" s="56"/>
      <c r="AA272" s="56"/>
      <c r="AB272" s="56"/>
      <c r="AC272" s="56"/>
      <c r="AD272" s="56"/>
      <c r="AE272" s="56"/>
      <c r="AF272" s="56"/>
      <c r="AG272" s="155"/>
      <c r="AH272" s="56"/>
      <c r="AI272" s="56"/>
      <c r="AJ272" s="56"/>
      <c r="AK272" s="155"/>
      <c r="AL272" s="56"/>
      <c r="AM272" s="56"/>
      <c r="AN272" s="56"/>
    </row>
    <row r="273" spans="1:40" x14ac:dyDescent="0.25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154"/>
      <c r="AH273" s="55"/>
      <c r="AI273" s="55"/>
      <c r="AJ273" s="55"/>
      <c r="AK273" s="154"/>
      <c r="AL273" s="55"/>
      <c r="AM273" s="55"/>
      <c r="AN273" s="55"/>
    </row>
    <row r="274" spans="1:40" x14ac:dyDescent="0.25"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Y274" s="56"/>
      <c r="Z274" s="56"/>
      <c r="AA274" s="56"/>
      <c r="AB274" s="56"/>
      <c r="AC274" s="56"/>
      <c r="AD274" s="56"/>
      <c r="AE274" s="56"/>
      <c r="AF274" s="56"/>
      <c r="AG274" s="155"/>
      <c r="AH274" s="56"/>
      <c r="AI274" s="56"/>
      <c r="AJ274" s="56"/>
      <c r="AK274" s="155"/>
      <c r="AL274" s="56"/>
      <c r="AM274" s="56"/>
      <c r="AN274" s="56"/>
    </row>
    <row r="275" spans="1:40" x14ac:dyDescent="0.25">
      <c r="A275" s="53"/>
      <c r="C275" s="54"/>
      <c r="D275" s="54"/>
      <c r="E275" s="54"/>
      <c r="T275" s="54"/>
      <c r="U275" s="54"/>
    </row>
    <row r="276" spans="1:40" x14ac:dyDescent="0.25">
      <c r="A276" s="53"/>
      <c r="C276" s="54"/>
      <c r="T276" s="54"/>
    </row>
    <row r="278" spans="1:40" x14ac:dyDescent="0.25">
      <c r="A278" s="53"/>
      <c r="C278" s="54"/>
      <c r="F278" s="449"/>
      <c r="H278" s="449"/>
      <c r="I278" s="449"/>
      <c r="J278" s="461"/>
      <c r="K278" s="461"/>
      <c r="L278" s="379"/>
      <c r="M278" s="379"/>
      <c r="N278" s="50"/>
      <c r="O278" s="50"/>
      <c r="P278" s="53"/>
      <c r="Q278" s="53"/>
      <c r="R278" s="379"/>
      <c r="T278" s="54"/>
      <c r="V278" s="379"/>
      <c r="Y278" s="449"/>
      <c r="Z278" s="461"/>
      <c r="AA278" s="379"/>
      <c r="AB278" s="379"/>
      <c r="AC278" s="50"/>
      <c r="AD278" s="50"/>
      <c r="AE278" s="379"/>
      <c r="AF278" s="379"/>
      <c r="AG278" s="156"/>
      <c r="AH278" s="60"/>
      <c r="AI278" s="53"/>
      <c r="AJ278" s="53"/>
      <c r="AK278" s="156"/>
      <c r="AL278" s="379"/>
      <c r="AM278" s="50"/>
      <c r="AN278" s="50"/>
    </row>
    <row r="279" spans="1:40" x14ac:dyDescent="0.25">
      <c r="F279" s="381"/>
      <c r="H279" s="379"/>
      <c r="I279" s="379"/>
      <c r="J279" s="464"/>
      <c r="K279" s="464"/>
      <c r="L279" s="381"/>
      <c r="M279" s="381"/>
      <c r="N279" s="381"/>
      <c r="O279" s="381"/>
      <c r="P279" s="381"/>
      <c r="Q279" s="381"/>
      <c r="R279" s="381"/>
      <c r="V279" s="381"/>
      <c r="Y279" s="379"/>
      <c r="Z279" s="464"/>
      <c r="AA279" s="381"/>
      <c r="AB279" s="381"/>
      <c r="AC279" s="381"/>
      <c r="AD279" s="381"/>
      <c r="AE279" s="381"/>
      <c r="AF279" s="381"/>
      <c r="AI279" s="381"/>
      <c r="AJ279" s="381"/>
      <c r="AK279" s="162"/>
      <c r="AL279" s="381"/>
      <c r="AM279" s="50"/>
      <c r="AN279" s="50"/>
    </row>
    <row r="280" spans="1:40" x14ac:dyDescent="0.25">
      <c r="A280" s="53"/>
      <c r="C280" s="54"/>
      <c r="F280" s="449"/>
      <c r="H280" s="449"/>
      <c r="I280" s="449"/>
      <c r="J280" s="477"/>
      <c r="K280" s="477"/>
      <c r="L280" s="379"/>
      <c r="M280" s="379"/>
      <c r="N280" s="50"/>
      <c r="O280" s="50"/>
      <c r="P280" s="379"/>
      <c r="Q280" s="379"/>
      <c r="R280" s="379"/>
      <c r="S280" s="379"/>
      <c r="T280" s="54"/>
      <c r="V280" s="449"/>
      <c r="Y280" s="449"/>
      <c r="Z280" s="477"/>
      <c r="AA280" s="379"/>
      <c r="AB280" s="379"/>
      <c r="AC280" s="50"/>
      <c r="AD280" s="50"/>
      <c r="AE280" s="379"/>
      <c r="AF280" s="379"/>
      <c r="AG280" s="156"/>
      <c r="AH280" s="50"/>
      <c r="AI280" s="379"/>
      <c r="AJ280" s="379"/>
      <c r="AK280" s="156"/>
      <c r="AL280" s="379"/>
      <c r="AM280" s="50"/>
      <c r="AN280" s="50"/>
    </row>
    <row r="281" spans="1:40" x14ac:dyDescent="0.25">
      <c r="A281" s="53"/>
      <c r="C281" s="54"/>
      <c r="F281" s="449"/>
      <c r="H281" s="449"/>
      <c r="I281" s="449"/>
      <c r="J281" s="461"/>
      <c r="K281" s="461"/>
      <c r="L281" s="379"/>
      <c r="M281" s="379"/>
      <c r="N281" s="50"/>
      <c r="O281" s="50"/>
      <c r="P281" s="379"/>
      <c r="Q281" s="379"/>
      <c r="R281" s="379"/>
      <c r="T281" s="54"/>
      <c r="V281" s="449"/>
      <c r="Y281" s="379"/>
      <c r="Z281" s="461"/>
      <c r="AA281" s="379"/>
      <c r="AB281" s="379"/>
      <c r="AC281" s="50"/>
      <c r="AD281" s="50"/>
      <c r="AE281" s="379"/>
      <c r="AF281" s="379"/>
      <c r="AG281" s="156"/>
      <c r="AH281" s="60"/>
      <c r="AI281" s="379"/>
      <c r="AJ281" s="379"/>
      <c r="AK281" s="156"/>
      <c r="AL281" s="379"/>
      <c r="AM281" s="50"/>
      <c r="AN281" s="50"/>
    </row>
    <row r="282" spans="1:40" x14ac:dyDescent="0.25">
      <c r="A282" s="53"/>
      <c r="C282" s="54"/>
      <c r="F282" s="449"/>
      <c r="H282" s="449"/>
      <c r="I282" s="449"/>
      <c r="J282" s="461"/>
      <c r="K282" s="461"/>
      <c r="L282" s="379"/>
      <c r="M282" s="379"/>
      <c r="N282" s="50"/>
      <c r="O282" s="50"/>
      <c r="P282" s="379"/>
      <c r="Q282" s="379"/>
      <c r="R282" s="379"/>
      <c r="T282" s="54"/>
      <c r="V282" s="449"/>
      <c r="Y282" s="379"/>
      <c r="Z282" s="461"/>
      <c r="AA282" s="379"/>
      <c r="AB282" s="379"/>
      <c r="AC282" s="50"/>
      <c r="AD282" s="50"/>
      <c r="AE282" s="379"/>
      <c r="AF282" s="379"/>
      <c r="AG282" s="156"/>
      <c r="AH282" s="60"/>
      <c r="AI282" s="379"/>
      <c r="AJ282" s="379"/>
      <c r="AK282" s="156"/>
      <c r="AL282" s="379"/>
      <c r="AM282" s="50"/>
      <c r="AN282" s="50"/>
    </row>
    <row r="283" spans="1:40" x14ac:dyDescent="0.25">
      <c r="F283" s="381"/>
      <c r="H283" s="381"/>
      <c r="I283" s="381"/>
      <c r="J283" s="464"/>
      <c r="K283" s="464"/>
      <c r="L283" s="381"/>
      <c r="M283" s="381"/>
      <c r="N283" s="381"/>
      <c r="O283" s="381"/>
      <c r="P283" s="381"/>
      <c r="Q283" s="381"/>
      <c r="R283" s="381"/>
      <c r="V283" s="381"/>
      <c r="Y283" s="381"/>
      <c r="Z283" s="464"/>
      <c r="AA283" s="381"/>
      <c r="AB283" s="381"/>
      <c r="AC283" s="381"/>
      <c r="AD283" s="381"/>
      <c r="AE283" s="381"/>
      <c r="AF283" s="381"/>
      <c r="AI283" s="381"/>
      <c r="AJ283" s="381"/>
      <c r="AK283" s="162"/>
      <c r="AL283" s="381"/>
      <c r="AM283" s="50"/>
      <c r="AN283" s="50"/>
    </row>
    <row r="284" spans="1:40" x14ac:dyDescent="0.25">
      <c r="A284" s="53"/>
      <c r="C284" s="54"/>
      <c r="F284" s="379"/>
      <c r="H284" s="379"/>
      <c r="I284" s="379"/>
      <c r="J284" s="59"/>
      <c r="K284" s="59"/>
      <c r="L284" s="379"/>
      <c r="M284" s="379"/>
      <c r="N284" s="50"/>
      <c r="O284" s="50"/>
      <c r="P284" s="379"/>
      <c r="Q284" s="379"/>
      <c r="R284" s="379"/>
      <c r="T284" s="54"/>
      <c r="V284" s="379"/>
      <c r="Y284" s="379"/>
      <c r="Z284" s="59"/>
      <c r="AA284" s="379"/>
      <c r="AB284" s="379"/>
      <c r="AC284" s="50"/>
      <c r="AD284" s="50"/>
      <c r="AE284" s="379"/>
      <c r="AF284" s="379"/>
      <c r="AG284" s="156"/>
      <c r="AH284" s="60"/>
      <c r="AI284" s="379"/>
      <c r="AJ284" s="379"/>
      <c r="AK284" s="156"/>
      <c r="AL284" s="379"/>
      <c r="AM284" s="50"/>
      <c r="AN284" s="50"/>
    </row>
    <row r="285" spans="1:40" x14ac:dyDescent="0.25">
      <c r="F285" s="381"/>
      <c r="H285" s="381"/>
      <c r="I285" s="381"/>
      <c r="J285" s="464"/>
      <c r="K285" s="464"/>
      <c r="L285" s="381"/>
      <c r="M285" s="381"/>
      <c r="N285" s="381"/>
      <c r="O285" s="381"/>
      <c r="P285" s="381"/>
      <c r="Q285" s="381"/>
      <c r="R285" s="381"/>
      <c r="V285" s="381"/>
      <c r="Y285" s="381"/>
      <c r="Z285" s="464"/>
      <c r="AA285" s="381"/>
      <c r="AB285" s="381"/>
      <c r="AC285" s="381"/>
      <c r="AD285" s="381"/>
      <c r="AE285" s="381"/>
      <c r="AF285" s="381"/>
      <c r="AI285" s="381"/>
      <c r="AJ285" s="381"/>
      <c r="AK285" s="162"/>
      <c r="AL285" s="381"/>
      <c r="AM285" s="50"/>
      <c r="AN285" s="50"/>
    </row>
    <row r="286" spans="1:40" x14ac:dyDescent="0.25">
      <c r="A286" s="53"/>
      <c r="C286" s="54"/>
      <c r="F286" s="379"/>
      <c r="H286" s="379"/>
      <c r="I286" s="379"/>
      <c r="J286" s="59"/>
      <c r="K286" s="59"/>
      <c r="L286" s="379"/>
      <c r="M286" s="379"/>
      <c r="N286" s="50"/>
      <c r="O286" s="50"/>
      <c r="P286" s="379"/>
      <c r="Q286" s="379"/>
      <c r="R286" s="379"/>
      <c r="T286" s="54"/>
      <c r="V286" s="379"/>
      <c r="Y286" s="379"/>
      <c r="Z286" s="59"/>
      <c r="AA286" s="379"/>
      <c r="AB286" s="379"/>
      <c r="AC286" s="50"/>
      <c r="AD286" s="50"/>
      <c r="AE286" s="379"/>
      <c r="AF286" s="379"/>
      <c r="AG286" s="156"/>
      <c r="AH286" s="60"/>
      <c r="AI286" s="379"/>
      <c r="AJ286" s="379"/>
      <c r="AK286" s="156"/>
      <c r="AL286" s="379"/>
      <c r="AM286" s="50"/>
      <c r="AN286" s="50"/>
    </row>
    <row r="287" spans="1:40" x14ac:dyDescent="0.25">
      <c r="A287" s="53"/>
      <c r="C287" s="54"/>
      <c r="F287" s="379"/>
      <c r="H287" s="449"/>
      <c r="I287" s="449"/>
      <c r="J287" s="472"/>
      <c r="K287" s="472"/>
      <c r="L287" s="379"/>
      <c r="M287" s="379"/>
      <c r="N287" s="50"/>
      <c r="O287" s="50"/>
      <c r="P287" s="379"/>
      <c r="Q287" s="379"/>
      <c r="R287" s="379"/>
      <c r="T287" s="54"/>
      <c r="V287" s="379"/>
      <c r="Y287" s="379"/>
      <c r="Z287" s="463"/>
      <c r="AA287" s="379"/>
      <c r="AB287" s="379"/>
      <c r="AC287" s="50"/>
      <c r="AD287" s="50"/>
      <c r="AE287" s="379"/>
      <c r="AF287" s="379"/>
      <c r="AG287" s="156"/>
      <c r="AH287" s="60"/>
      <c r="AI287" s="379"/>
      <c r="AJ287" s="379"/>
      <c r="AK287" s="156"/>
      <c r="AL287" s="379"/>
      <c r="AM287" s="50"/>
      <c r="AN287" s="50"/>
    </row>
    <row r="288" spans="1:40" x14ac:dyDescent="0.25">
      <c r="H288" s="381"/>
      <c r="I288" s="381"/>
      <c r="J288" s="464"/>
      <c r="K288" s="464"/>
      <c r="L288" s="381"/>
      <c r="M288" s="381"/>
      <c r="N288" s="381"/>
      <c r="O288" s="381"/>
      <c r="P288" s="381"/>
      <c r="Q288" s="381"/>
      <c r="R288" s="381"/>
      <c r="V288" s="381"/>
      <c r="Y288" s="381"/>
      <c r="Z288" s="464"/>
      <c r="AA288" s="381"/>
      <c r="AB288" s="381"/>
      <c r="AC288" s="381"/>
      <c r="AD288" s="381"/>
      <c r="AE288" s="381"/>
      <c r="AF288" s="381"/>
      <c r="AI288" s="381"/>
      <c r="AJ288" s="381"/>
      <c r="AK288" s="162"/>
      <c r="AL288" s="381"/>
      <c r="AM288" s="50"/>
      <c r="AN288" s="50"/>
    </row>
    <row r="289" spans="1:40" x14ac:dyDescent="0.25">
      <c r="F289" s="381"/>
    </row>
    <row r="290" spans="1:40" x14ac:dyDescent="0.25">
      <c r="A290" s="53"/>
      <c r="C290" s="54"/>
      <c r="F290" s="379"/>
      <c r="H290" s="379"/>
      <c r="I290" s="379"/>
      <c r="J290" s="464"/>
      <c r="K290" s="464"/>
      <c r="L290" s="379"/>
      <c r="M290" s="379"/>
      <c r="N290" s="50"/>
      <c r="O290" s="50"/>
      <c r="P290" s="379"/>
      <c r="Q290" s="379"/>
      <c r="R290" s="379"/>
      <c r="S290" s="379"/>
      <c r="T290" s="54"/>
      <c r="V290" s="379"/>
      <c r="Y290" s="379"/>
      <c r="Z290" s="464"/>
      <c r="AA290" s="379"/>
      <c r="AB290" s="379"/>
      <c r="AC290" s="50"/>
      <c r="AD290" s="50"/>
      <c r="AE290" s="379"/>
      <c r="AF290" s="379"/>
      <c r="AG290" s="156"/>
      <c r="AH290" s="50"/>
      <c r="AI290" s="379"/>
      <c r="AJ290" s="379"/>
      <c r="AK290" s="156"/>
      <c r="AL290" s="379"/>
      <c r="AM290" s="50"/>
      <c r="AN290" s="50"/>
    </row>
    <row r="291" spans="1:40" x14ac:dyDescent="0.25">
      <c r="F291" s="381"/>
      <c r="H291" s="381"/>
      <c r="I291" s="381"/>
      <c r="J291" s="464"/>
      <c r="K291" s="464"/>
      <c r="L291" s="381"/>
      <c r="M291" s="381"/>
      <c r="N291" s="381"/>
      <c r="O291" s="381"/>
      <c r="P291" s="381"/>
      <c r="Q291" s="381"/>
      <c r="R291" s="381"/>
      <c r="S291" s="379"/>
      <c r="V291" s="381"/>
      <c r="Y291" s="381"/>
      <c r="Z291" s="464"/>
      <c r="AA291" s="381"/>
      <c r="AB291" s="381"/>
      <c r="AC291" s="381"/>
      <c r="AD291" s="381"/>
      <c r="AE291" s="381"/>
      <c r="AF291" s="381"/>
      <c r="AI291" s="381"/>
      <c r="AJ291" s="381"/>
      <c r="AK291" s="162"/>
      <c r="AL291" s="381"/>
      <c r="AM291" s="50"/>
      <c r="AN291" s="50"/>
    </row>
    <row r="292" spans="1:40" x14ac:dyDescent="0.25">
      <c r="A292" s="53"/>
      <c r="C292" s="54"/>
      <c r="H292" s="449"/>
      <c r="I292" s="449"/>
      <c r="J292" s="464"/>
      <c r="K292" s="464"/>
      <c r="L292" s="379"/>
      <c r="M292" s="379"/>
      <c r="N292" s="50"/>
      <c r="O292" s="50"/>
      <c r="P292" s="379"/>
      <c r="Q292" s="379"/>
      <c r="R292" s="379"/>
      <c r="S292" s="379"/>
      <c r="T292" s="54"/>
      <c r="V292" s="449"/>
      <c r="Y292" s="449"/>
      <c r="Z292" s="464"/>
      <c r="AA292" s="379"/>
      <c r="AB292" s="379"/>
      <c r="AC292" s="50"/>
      <c r="AD292" s="50"/>
      <c r="AE292" s="379"/>
      <c r="AF292" s="379"/>
      <c r="AI292" s="379"/>
      <c r="AJ292" s="379"/>
      <c r="AK292" s="156"/>
      <c r="AL292" s="379"/>
      <c r="AM292" s="50"/>
      <c r="AN292" s="50"/>
    </row>
    <row r="293" spans="1:40" x14ac:dyDescent="0.25">
      <c r="F293" s="449"/>
    </row>
    <row r="294" spans="1:40" x14ac:dyDescent="0.25">
      <c r="A294" s="53"/>
      <c r="C294" s="54"/>
      <c r="F294" s="449"/>
      <c r="H294" s="449"/>
      <c r="I294" s="449"/>
      <c r="J294" s="461"/>
      <c r="K294" s="461"/>
      <c r="L294" s="379"/>
      <c r="M294" s="379"/>
      <c r="N294" s="50"/>
      <c r="O294" s="50"/>
      <c r="P294" s="53"/>
      <c r="Q294" s="53"/>
      <c r="R294" s="379"/>
      <c r="T294" s="54"/>
      <c r="V294" s="379"/>
      <c r="Y294" s="449"/>
      <c r="Z294" s="461"/>
      <c r="AA294" s="379"/>
      <c r="AB294" s="379"/>
      <c r="AC294" s="50"/>
      <c r="AD294" s="50"/>
      <c r="AE294" s="379"/>
      <c r="AF294" s="379"/>
      <c r="AG294" s="156"/>
      <c r="AH294" s="60"/>
      <c r="AI294" s="53"/>
      <c r="AJ294" s="53"/>
      <c r="AK294" s="156"/>
      <c r="AL294" s="379"/>
      <c r="AM294" s="50"/>
      <c r="AN294" s="50"/>
    </row>
    <row r="295" spans="1:40" x14ac:dyDescent="0.25">
      <c r="F295" s="381"/>
      <c r="H295" s="379"/>
      <c r="I295" s="379"/>
      <c r="J295" s="464"/>
      <c r="K295" s="464"/>
      <c r="L295" s="381"/>
      <c r="M295" s="381"/>
      <c r="N295" s="381"/>
      <c r="O295" s="381"/>
      <c r="P295" s="381"/>
      <c r="Q295" s="381"/>
      <c r="R295" s="381"/>
      <c r="V295" s="381"/>
      <c r="Y295" s="379"/>
      <c r="Z295" s="464"/>
      <c r="AA295" s="381"/>
      <c r="AB295" s="381"/>
      <c r="AC295" s="381"/>
      <c r="AD295" s="381"/>
      <c r="AE295" s="381"/>
      <c r="AF295" s="381"/>
      <c r="AI295" s="381"/>
      <c r="AJ295" s="381"/>
      <c r="AK295" s="162"/>
      <c r="AL295" s="381"/>
      <c r="AM295" s="50"/>
      <c r="AN295" s="50"/>
    </row>
    <row r="296" spans="1:40" x14ac:dyDescent="0.25">
      <c r="A296" s="53"/>
      <c r="C296" s="54"/>
      <c r="F296" s="449"/>
      <c r="H296" s="449"/>
      <c r="I296" s="449"/>
      <c r="J296" s="477"/>
      <c r="K296" s="477"/>
      <c r="L296" s="379"/>
      <c r="M296" s="379"/>
      <c r="N296" s="50"/>
      <c r="O296" s="50"/>
      <c r="P296" s="379"/>
      <c r="Q296" s="379"/>
      <c r="R296" s="379"/>
      <c r="S296" s="379"/>
      <c r="T296" s="54"/>
      <c r="V296" s="449"/>
      <c r="Y296" s="449"/>
      <c r="Z296" s="477"/>
      <c r="AA296" s="379"/>
      <c r="AB296" s="379"/>
      <c r="AC296" s="50"/>
      <c r="AD296" s="50"/>
      <c r="AE296" s="379"/>
      <c r="AF296" s="379"/>
      <c r="AG296" s="156"/>
      <c r="AH296" s="50"/>
      <c r="AI296" s="379"/>
      <c r="AJ296" s="379"/>
      <c r="AK296" s="156"/>
      <c r="AL296" s="379"/>
      <c r="AM296" s="50"/>
      <c r="AN296" s="50"/>
    </row>
    <row r="297" spans="1:40" x14ac:dyDescent="0.25">
      <c r="A297" s="53"/>
      <c r="C297" s="54"/>
      <c r="F297" s="449"/>
      <c r="H297" s="449"/>
      <c r="I297" s="449"/>
      <c r="J297" s="461"/>
      <c r="K297" s="461"/>
      <c r="L297" s="379"/>
      <c r="M297" s="379"/>
      <c r="N297" s="50"/>
      <c r="O297" s="50"/>
      <c r="P297" s="379"/>
      <c r="Q297" s="379"/>
      <c r="R297" s="379"/>
      <c r="T297" s="54"/>
      <c r="V297" s="449"/>
      <c r="Y297" s="379"/>
      <c r="Z297" s="461"/>
      <c r="AA297" s="379"/>
      <c r="AB297" s="379"/>
      <c r="AC297" s="50"/>
      <c r="AD297" s="50"/>
      <c r="AE297" s="379"/>
      <c r="AF297" s="379"/>
      <c r="AG297" s="156"/>
      <c r="AH297" s="60"/>
      <c r="AI297" s="379"/>
      <c r="AJ297" s="379"/>
      <c r="AK297" s="156"/>
      <c r="AL297" s="379"/>
      <c r="AM297" s="50"/>
      <c r="AN297" s="50"/>
    </row>
    <row r="298" spans="1:40" x14ac:dyDescent="0.25">
      <c r="A298" s="53"/>
      <c r="C298" s="54"/>
      <c r="F298" s="449"/>
      <c r="H298" s="449"/>
      <c r="I298" s="449"/>
      <c r="J298" s="461"/>
      <c r="K298" s="461"/>
      <c r="L298" s="379"/>
      <c r="M298" s="379"/>
      <c r="N298" s="50"/>
      <c r="O298" s="50"/>
      <c r="P298" s="379"/>
      <c r="Q298" s="379"/>
      <c r="R298" s="379"/>
      <c r="T298" s="54"/>
      <c r="V298" s="449"/>
      <c r="Y298" s="379"/>
      <c r="Z298" s="461"/>
      <c r="AA298" s="379"/>
      <c r="AB298" s="379"/>
      <c r="AC298" s="50"/>
      <c r="AD298" s="50"/>
      <c r="AE298" s="379"/>
      <c r="AF298" s="379"/>
      <c r="AG298" s="156"/>
      <c r="AH298" s="60"/>
      <c r="AI298" s="379"/>
      <c r="AJ298" s="379"/>
      <c r="AK298" s="156"/>
      <c r="AL298" s="379"/>
      <c r="AM298" s="50"/>
      <c r="AN298" s="50"/>
    </row>
    <row r="299" spans="1:40" x14ac:dyDescent="0.25">
      <c r="F299" s="381"/>
      <c r="H299" s="381"/>
      <c r="I299" s="381"/>
      <c r="J299" s="464"/>
      <c r="K299" s="464"/>
      <c r="L299" s="381"/>
      <c r="M299" s="381"/>
      <c r="N299" s="381"/>
      <c r="O299" s="381"/>
      <c r="P299" s="381"/>
      <c r="Q299" s="381"/>
      <c r="R299" s="381"/>
      <c r="V299" s="381"/>
      <c r="Y299" s="381"/>
      <c r="Z299" s="464"/>
      <c r="AA299" s="381"/>
      <c r="AB299" s="381"/>
      <c r="AC299" s="381"/>
      <c r="AD299" s="381"/>
      <c r="AE299" s="381"/>
      <c r="AF299" s="381"/>
      <c r="AI299" s="381"/>
      <c r="AJ299" s="381"/>
      <c r="AK299" s="162"/>
      <c r="AL299" s="381"/>
      <c r="AM299" s="50"/>
      <c r="AN299" s="50"/>
    </row>
    <row r="300" spans="1:40" x14ac:dyDescent="0.25">
      <c r="A300" s="53"/>
      <c r="C300" s="54"/>
      <c r="F300" s="379"/>
      <c r="H300" s="379"/>
      <c r="I300" s="379"/>
      <c r="J300" s="59"/>
      <c r="K300" s="59"/>
      <c r="L300" s="379"/>
      <c r="M300" s="379"/>
      <c r="N300" s="50"/>
      <c r="O300" s="50"/>
      <c r="P300" s="379"/>
      <c r="Q300" s="379"/>
      <c r="R300" s="379"/>
      <c r="T300" s="54"/>
      <c r="V300" s="379"/>
      <c r="Y300" s="379"/>
      <c r="Z300" s="59"/>
      <c r="AA300" s="379"/>
      <c r="AB300" s="379"/>
      <c r="AC300" s="50"/>
      <c r="AD300" s="50"/>
      <c r="AE300" s="379"/>
      <c r="AF300" s="379"/>
      <c r="AG300" s="156"/>
      <c r="AH300" s="60"/>
      <c r="AI300" s="379"/>
      <c r="AJ300" s="379"/>
      <c r="AK300" s="156"/>
      <c r="AL300" s="379"/>
      <c r="AM300" s="50"/>
      <c r="AN300" s="50"/>
    </row>
    <row r="301" spans="1:40" x14ac:dyDescent="0.25">
      <c r="F301" s="381"/>
      <c r="H301" s="381"/>
      <c r="I301" s="381"/>
      <c r="J301" s="464"/>
      <c r="K301" s="464"/>
      <c r="L301" s="381"/>
      <c r="M301" s="381"/>
      <c r="N301" s="381"/>
      <c r="O301" s="381"/>
      <c r="P301" s="381"/>
      <c r="Q301" s="381"/>
      <c r="R301" s="381"/>
      <c r="V301" s="381"/>
      <c r="Y301" s="381"/>
      <c r="Z301" s="464"/>
      <c r="AA301" s="381"/>
      <c r="AB301" s="381"/>
      <c r="AC301" s="381"/>
      <c r="AD301" s="381"/>
      <c r="AE301" s="381"/>
      <c r="AF301" s="381"/>
      <c r="AI301" s="381"/>
      <c r="AJ301" s="381"/>
      <c r="AK301" s="162"/>
      <c r="AL301" s="381"/>
      <c r="AM301" s="50"/>
      <c r="AN301" s="50"/>
    </row>
    <row r="302" spans="1:40" x14ac:dyDescent="0.25">
      <c r="A302" s="53"/>
      <c r="C302" s="54"/>
      <c r="F302" s="379"/>
      <c r="H302" s="379"/>
      <c r="I302" s="379"/>
      <c r="J302" s="59"/>
      <c r="K302" s="59"/>
      <c r="L302" s="379"/>
      <c r="M302" s="379"/>
      <c r="N302" s="50"/>
      <c r="O302" s="50"/>
      <c r="P302" s="379"/>
      <c r="Q302" s="379"/>
      <c r="R302" s="379"/>
      <c r="T302" s="54"/>
      <c r="V302" s="379"/>
      <c r="Y302" s="379"/>
      <c r="Z302" s="59"/>
      <c r="AA302" s="379"/>
      <c r="AB302" s="379"/>
      <c r="AC302" s="50"/>
      <c r="AD302" s="50"/>
      <c r="AE302" s="379"/>
      <c r="AF302" s="379"/>
      <c r="AG302" s="156"/>
      <c r="AH302" s="60"/>
      <c r="AI302" s="379"/>
      <c r="AJ302" s="379"/>
      <c r="AK302" s="156"/>
      <c r="AL302" s="379"/>
      <c r="AM302" s="50"/>
      <c r="AN302" s="50"/>
    </row>
    <row r="303" spans="1:40" x14ac:dyDescent="0.25">
      <c r="A303" s="53"/>
      <c r="C303" s="54"/>
      <c r="F303" s="379"/>
      <c r="H303" s="449"/>
      <c r="I303" s="449"/>
      <c r="J303" s="472"/>
      <c r="K303" s="472"/>
      <c r="L303" s="379"/>
      <c r="M303" s="379"/>
      <c r="N303" s="50"/>
      <c r="O303" s="50"/>
      <c r="P303" s="379"/>
      <c r="Q303" s="379"/>
      <c r="R303" s="379"/>
      <c r="T303" s="54"/>
      <c r="V303" s="379"/>
      <c r="Y303" s="379"/>
      <c r="Z303" s="463"/>
      <c r="AA303" s="379"/>
      <c r="AB303" s="379"/>
      <c r="AC303" s="50"/>
      <c r="AD303" s="50"/>
      <c r="AE303" s="379"/>
      <c r="AF303" s="379"/>
      <c r="AG303" s="156"/>
      <c r="AH303" s="60"/>
      <c r="AI303" s="379"/>
      <c r="AJ303" s="379"/>
      <c r="AK303" s="156"/>
      <c r="AL303" s="379"/>
      <c r="AM303" s="50"/>
      <c r="AN303" s="50"/>
    </row>
    <row r="304" spans="1:40" x14ac:dyDescent="0.25">
      <c r="H304" s="381"/>
      <c r="I304" s="381"/>
      <c r="J304" s="464"/>
      <c r="K304" s="464"/>
      <c r="L304" s="381"/>
      <c r="M304" s="381"/>
      <c r="N304" s="381"/>
      <c r="O304" s="381"/>
      <c r="P304" s="381"/>
      <c r="Q304" s="381"/>
      <c r="R304" s="381"/>
      <c r="V304" s="381"/>
      <c r="Y304" s="381"/>
      <c r="Z304" s="464"/>
      <c r="AA304" s="381"/>
      <c r="AB304" s="381"/>
      <c r="AC304" s="381"/>
      <c r="AD304" s="381"/>
      <c r="AE304" s="381"/>
      <c r="AF304" s="381"/>
      <c r="AI304" s="381"/>
      <c r="AJ304" s="381"/>
      <c r="AK304" s="162"/>
      <c r="AL304" s="381"/>
      <c r="AM304" s="50"/>
      <c r="AN304" s="50"/>
    </row>
    <row r="305" spans="1:40" x14ac:dyDescent="0.25">
      <c r="F305" s="381"/>
    </row>
    <row r="306" spans="1:40" x14ac:dyDescent="0.25">
      <c r="A306" s="53"/>
      <c r="C306" s="54"/>
      <c r="F306" s="379"/>
      <c r="H306" s="379"/>
      <c r="I306" s="379"/>
      <c r="J306" s="464"/>
      <c r="K306" s="464"/>
      <c r="L306" s="379"/>
      <c r="M306" s="379"/>
      <c r="N306" s="50"/>
      <c r="O306" s="50"/>
      <c r="P306" s="379"/>
      <c r="Q306" s="379"/>
      <c r="R306" s="379"/>
      <c r="S306" s="379"/>
      <c r="T306" s="54"/>
      <c r="V306" s="379"/>
      <c r="Y306" s="379"/>
      <c r="Z306" s="464"/>
      <c r="AA306" s="379"/>
      <c r="AB306" s="379"/>
      <c r="AC306" s="50"/>
      <c r="AD306" s="50"/>
      <c r="AE306" s="379"/>
      <c r="AF306" s="379"/>
      <c r="AG306" s="156"/>
      <c r="AH306" s="50"/>
      <c r="AI306" s="379"/>
      <c r="AJ306" s="379"/>
      <c r="AK306" s="156"/>
      <c r="AL306" s="379"/>
      <c r="AM306" s="50"/>
      <c r="AN306" s="50"/>
    </row>
    <row r="307" spans="1:40" x14ac:dyDescent="0.25">
      <c r="F307" s="381"/>
      <c r="H307" s="381"/>
      <c r="I307" s="381"/>
      <c r="J307" s="464"/>
      <c r="K307" s="464"/>
      <c r="L307" s="381"/>
      <c r="M307" s="381"/>
      <c r="N307" s="381"/>
      <c r="O307" s="381"/>
      <c r="P307" s="381"/>
      <c r="Q307" s="381"/>
      <c r="R307" s="381"/>
      <c r="S307" s="379"/>
      <c r="V307" s="381"/>
      <c r="Y307" s="381"/>
      <c r="Z307" s="464"/>
      <c r="AA307" s="381"/>
      <c r="AB307" s="381"/>
      <c r="AC307" s="381"/>
      <c r="AD307" s="381"/>
      <c r="AE307" s="381"/>
      <c r="AF307" s="381"/>
      <c r="AI307" s="381"/>
      <c r="AJ307" s="381"/>
      <c r="AK307" s="162"/>
      <c r="AL307" s="381"/>
      <c r="AM307" s="50"/>
      <c r="AN307" s="50"/>
    </row>
    <row r="308" spans="1:40" x14ac:dyDescent="0.25">
      <c r="A308" s="53"/>
      <c r="C308" s="54"/>
      <c r="T308" s="54"/>
    </row>
    <row r="309" spans="1:40" x14ac:dyDescent="0.25">
      <c r="A309" s="53"/>
      <c r="C309" s="54"/>
      <c r="F309" s="379"/>
      <c r="H309" s="379"/>
      <c r="I309" s="379"/>
      <c r="L309" s="379"/>
      <c r="M309" s="379"/>
      <c r="N309" s="50"/>
      <c r="O309" s="50"/>
      <c r="P309" s="449"/>
      <c r="Q309" s="449"/>
      <c r="R309" s="379"/>
      <c r="T309" s="54"/>
      <c r="V309" s="379"/>
      <c r="Y309" s="379"/>
      <c r="AA309" s="379"/>
      <c r="AB309" s="379"/>
      <c r="AC309" s="50"/>
      <c r="AD309" s="50"/>
      <c r="AE309" s="379"/>
      <c r="AF309" s="379"/>
      <c r="AG309" s="156"/>
      <c r="AH309" s="50"/>
      <c r="AI309" s="449"/>
      <c r="AJ309" s="449"/>
      <c r="AK309" s="156"/>
      <c r="AL309" s="379"/>
      <c r="AM309" s="50"/>
      <c r="AN309" s="50"/>
    </row>
    <row r="310" spans="1:40" x14ac:dyDescent="0.25">
      <c r="H310" s="381"/>
      <c r="I310" s="381"/>
      <c r="J310" s="464"/>
      <c r="K310" s="464"/>
      <c r="L310" s="381"/>
      <c r="M310" s="381"/>
      <c r="N310" s="381"/>
      <c r="O310" s="381"/>
      <c r="P310" s="381"/>
      <c r="Q310" s="381"/>
      <c r="R310" s="381"/>
      <c r="V310" s="381"/>
      <c r="Y310" s="381"/>
      <c r="Z310" s="464"/>
      <c r="AA310" s="381"/>
      <c r="AB310" s="381"/>
      <c r="AC310" s="381"/>
      <c r="AD310" s="381"/>
      <c r="AE310" s="381"/>
      <c r="AF310" s="381"/>
      <c r="AI310" s="381"/>
      <c r="AJ310" s="381"/>
      <c r="AK310" s="162"/>
      <c r="AL310" s="381"/>
    </row>
    <row r="311" spans="1:40" x14ac:dyDescent="0.25">
      <c r="F311" s="381"/>
    </row>
    <row r="312" spans="1:40" x14ac:dyDescent="0.25">
      <c r="C312" s="54"/>
      <c r="L312" s="379"/>
      <c r="M312" s="379"/>
      <c r="N312" s="379"/>
      <c r="O312" s="379"/>
      <c r="P312" s="379"/>
      <c r="Q312" s="379"/>
      <c r="R312" s="379"/>
      <c r="S312" s="379"/>
      <c r="T312" s="54"/>
      <c r="AA312" s="379"/>
      <c r="AB312" s="379"/>
      <c r="AC312" s="379"/>
      <c r="AD312" s="379"/>
      <c r="AI312" s="379"/>
      <c r="AJ312" s="379"/>
      <c r="AK312" s="156"/>
      <c r="AL312" s="379"/>
    </row>
    <row r="313" spans="1:40" x14ac:dyDescent="0.25">
      <c r="A313" s="54"/>
    </row>
    <row r="314" spans="1:40" x14ac:dyDescent="0.25">
      <c r="J314" s="53"/>
      <c r="K314" s="53"/>
      <c r="Z314" s="53"/>
    </row>
    <row r="315" spans="1:40" x14ac:dyDescent="0.25">
      <c r="H315" s="54"/>
      <c r="I315" s="54"/>
      <c r="Y315" s="54"/>
    </row>
    <row r="316" spans="1:40" x14ac:dyDescent="0.25">
      <c r="J316" s="53"/>
      <c r="K316" s="53"/>
      <c r="Z316" s="53"/>
    </row>
    <row r="317" spans="1:40" x14ac:dyDescent="0.25">
      <c r="L317" s="54"/>
      <c r="M317" s="54"/>
      <c r="AA317" s="54"/>
      <c r="AB317" s="54"/>
    </row>
    <row r="318" spans="1:40" x14ac:dyDescent="0.25">
      <c r="A318" s="53"/>
      <c r="R318" s="54"/>
      <c r="AK318" s="161"/>
      <c r="AL318" s="54"/>
    </row>
    <row r="319" spans="1:40" x14ac:dyDescent="0.25">
      <c r="A319" s="53"/>
      <c r="R319" s="54"/>
      <c r="AK319" s="161"/>
      <c r="AL319" s="54"/>
    </row>
    <row r="320" spans="1:40" x14ac:dyDescent="0.25">
      <c r="A320" s="54"/>
      <c r="R320" s="54"/>
      <c r="AK320" s="161"/>
      <c r="AL320" s="54"/>
    </row>
    <row r="321" spans="1:40" x14ac:dyDescent="0.25">
      <c r="L321" s="54"/>
      <c r="M321" s="54"/>
      <c r="R321" s="53"/>
      <c r="AA321" s="54"/>
      <c r="AB321" s="54"/>
      <c r="AK321" s="156"/>
      <c r="AL321" s="53"/>
    </row>
    <row r="322" spans="1:40" x14ac:dyDescent="0.25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154"/>
      <c r="AH322" s="55"/>
      <c r="AI322" s="55"/>
      <c r="AJ322" s="55"/>
      <c r="AK322" s="154"/>
      <c r="AL322" s="55"/>
      <c r="AM322" s="55"/>
      <c r="AN322" s="55"/>
    </row>
    <row r="323" spans="1:40" x14ac:dyDescent="0.25">
      <c r="L323" s="56"/>
      <c r="M323" s="56"/>
      <c r="N323" s="56"/>
      <c r="O323" s="56"/>
      <c r="R323" s="56"/>
      <c r="AA323" s="56"/>
      <c r="AB323" s="56"/>
      <c r="AC323" s="56"/>
      <c r="AD323" s="56"/>
      <c r="AE323" s="56"/>
      <c r="AF323" s="56"/>
      <c r="AG323" s="155"/>
      <c r="AH323" s="56"/>
      <c r="AK323" s="155"/>
      <c r="AL323" s="56"/>
      <c r="AM323" s="56"/>
      <c r="AN323" s="56"/>
    </row>
    <row r="324" spans="1:40" x14ac:dyDescent="0.25">
      <c r="L324" s="56"/>
      <c r="M324" s="56"/>
      <c r="N324" s="56"/>
      <c r="O324" s="56"/>
      <c r="R324" s="56"/>
      <c r="Z324" s="56"/>
      <c r="AA324" s="56"/>
      <c r="AB324" s="56"/>
      <c r="AC324" s="56"/>
      <c r="AD324" s="56"/>
      <c r="AE324" s="56"/>
      <c r="AF324" s="56"/>
      <c r="AG324" s="155"/>
      <c r="AH324" s="56"/>
      <c r="AK324" s="155"/>
      <c r="AL324" s="56"/>
      <c r="AM324" s="56"/>
      <c r="AN324" s="56"/>
    </row>
    <row r="325" spans="1:40" x14ac:dyDescent="0.25">
      <c r="A325" s="56"/>
      <c r="C325" s="56"/>
      <c r="D325" s="56"/>
      <c r="E325" s="56"/>
      <c r="F325" s="56"/>
      <c r="J325" s="56"/>
      <c r="K325" s="56"/>
      <c r="L325" s="56"/>
      <c r="M325" s="56"/>
      <c r="N325" s="56"/>
      <c r="O325" s="56"/>
      <c r="P325" s="56"/>
      <c r="Q325" s="56"/>
      <c r="R325" s="56"/>
      <c r="T325" s="56"/>
      <c r="U325" s="56"/>
      <c r="V325" s="56"/>
      <c r="Z325" s="56"/>
      <c r="AA325" s="56"/>
      <c r="AB325" s="56"/>
      <c r="AC325" s="56"/>
      <c r="AD325" s="56"/>
      <c r="AE325" s="56"/>
      <c r="AF325" s="56"/>
      <c r="AG325" s="155"/>
      <c r="AH325" s="56"/>
      <c r="AI325" s="56"/>
      <c r="AJ325" s="56"/>
      <c r="AK325" s="155"/>
      <c r="AL325" s="56"/>
      <c r="AM325" s="56"/>
      <c r="AN325" s="56"/>
    </row>
    <row r="326" spans="1:40" x14ac:dyDescent="0.25">
      <c r="A326" s="56"/>
      <c r="C326" s="56"/>
      <c r="D326" s="56"/>
      <c r="E326" s="56"/>
      <c r="F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T326" s="56"/>
      <c r="U326" s="56"/>
      <c r="V326" s="56"/>
      <c r="Y326" s="56"/>
      <c r="Z326" s="56"/>
      <c r="AA326" s="56"/>
      <c r="AB326" s="56"/>
      <c r="AC326" s="56"/>
      <c r="AD326" s="56"/>
      <c r="AE326" s="56"/>
      <c r="AF326" s="56"/>
      <c r="AG326" s="155"/>
      <c r="AH326" s="56"/>
      <c r="AI326" s="56"/>
      <c r="AJ326" s="56"/>
      <c r="AK326" s="155"/>
      <c r="AL326" s="56"/>
      <c r="AM326" s="56"/>
      <c r="AN326" s="56"/>
    </row>
    <row r="327" spans="1:40" x14ac:dyDescent="0.25">
      <c r="C327" s="56"/>
      <c r="D327" s="56"/>
      <c r="E327" s="56"/>
      <c r="F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T327" s="56"/>
      <c r="U327" s="56"/>
      <c r="V327" s="56"/>
      <c r="Y327" s="56"/>
      <c r="Z327" s="56"/>
      <c r="AA327" s="56"/>
      <c r="AB327" s="56"/>
      <c r="AC327" s="56"/>
      <c r="AD327" s="56"/>
      <c r="AE327" s="56"/>
      <c r="AF327" s="56"/>
      <c r="AG327" s="155"/>
      <c r="AH327" s="56"/>
      <c r="AI327" s="56"/>
      <c r="AJ327" s="56"/>
      <c r="AK327" s="155"/>
      <c r="AL327" s="56"/>
      <c r="AM327" s="56"/>
      <c r="AN327" s="56"/>
    </row>
    <row r="328" spans="1:40" x14ac:dyDescent="0.25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154"/>
      <c r="AH328" s="55"/>
      <c r="AI328" s="55"/>
      <c r="AJ328" s="55"/>
      <c r="AK328" s="154"/>
      <c r="AL328" s="55"/>
      <c r="AM328" s="55"/>
      <c r="AN328" s="55"/>
    </row>
    <row r="329" spans="1:40" x14ac:dyDescent="0.25"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Y329" s="56"/>
      <c r="Z329" s="56"/>
      <c r="AA329" s="56"/>
      <c r="AB329" s="56"/>
      <c r="AC329" s="56"/>
      <c r="AD329" s="56"/>
      <c r="AE329" s="56"/>
      <c r="AF329" s="56"/>
      <c r="AG329" s="155"/>
      <c r="AH329" s="56"/>
      <c r="AI329" s="56"/>
      <c r="AJ329" s="56"/>
      <c r="AK329" s="155"/>
      <c r="AL329" s="56"/>
      <c r="AM329" s="56"/>
      <c r="AN329" s="56"/>
    </row>
    <row r="330" spans="1:40" x14ac:dyDescent="0.25">
      <c r="A330" s="53"/>
      <c r="C330" s="54"/>
      <c r="D330" s="54"/>
      <c r="E330" s="54"/>
      <c r="T330" s="54"/>
      <c r="U330" s="54"/>
    </row>
    <row r="331" spans="1:40" x14ac:dyDescent="0.25">
      <c r="D331" s="54"/>
      <c r="E331" s="54"/>
      <c r="U331" s="54"/>
    </row>
    <row r="333" spans="1:40" x14ac:dyDescent="0.25">
      <c r="A333" s="53"/>
      <c r="C333" s="54"/>
      <c r="T333" s="54"/>
    </row>
    <row r="334" spans="1:40" x14ac:dyDescent="0.25">
      <c r="A334" s="53"/>
      <c r="C334" s="54"/>
      <c r="F334" s="449"/>
      <c r="H334" s="449"/>
      <c r="I334" s="449"/>
      <c r="J334" s="221"/>
      <c r="K334" s="221"/>
      <c r="L334" s="379"/>
      <c r="M334" s="379"/>
      <c r="N334" s="50"/>
      <c r="O334" s="50"/>
      <c r="P334" s="379"/>
      <c r="Q334" s="379"/>
      <c r="R334" s="379"/>
      <c r="T334" s="54"/>
      <c r="V334" s="449"/>
      <c r="W334" s="379"/>
      <c r="X334" s="379"/>
      <c r="Y334" s="449"/>
      <c r="Z334" s="221"/>
      <c r="AA334" s="379"/>
      <c r="AB334" s="379"/>
      <c r="AC334" s="50"/>
      <c r="AD334" s="50"/>
      <c r="AE334" s="379"/>
      <c r="AF334" s="379"/>
      <c r="AG334" s="156"/>
      <c r="AH334" s="60"/>
      <c r="AI334" s="379"/>
      <c r="AJ334" s="379"/>
      <c r="AK334" s="156"/>
      <c r="AL334" s="379"/>
      <c r="AM334" s="50"/>
      <c r="AN334" s="50"/>
    </row>
    <row r="335" spans="1:40" x14ac:dyDescent="0.25">
      <c r="A335" s="53"/>
      <c r="C335" s="54"/>
      <c r="F335" s="379"/>
      <c r="H335" s="379"/>
      <c r="I335" s="379"/>
      <c r="J335" s="464"/>
      <c r="K335" s="464"/>
      <c r="L335" s="379"/>
      <c r="M335" s="379"/>
      <c r="N335" s="50"/>
      <c r="O335" s="50"/>
      <c r="P335" s="379"/>
      <c r="Q335" s="379"/>
      <c r="R335" s="379"/>
      <c r="T335" s="54"/>
      <c r="V335" s="449"/>
      <c r="W335" s="379"/>
      <c r="X335" s="379"/>
      <c r="Y335" s="449"/>
      <c r="Z335" s="464"/>
      <c r="AA335" s="379"/>
      <c r="AB335" s="379"/>
      <c r="AC335" s="50"/>
      <c r="AD335" s="50"/>
      <c r="AE335" s="379"/>
      <c r="AF335" s="379"/>
      <c r="AG335" s="156"/>
      <c r="AH335" s="60"/>
      <c r="AI335" s="379"/>
      <c r="AJ335" s="379"/>
      <c r="AK335" s="156"/>
      <c r="AL335" s="379"/>
      <c r="AM335" s="50"/>
      <c r="AN335" s="50"/>
    </row>
    <row r="336" spans="1:40" x14ac:dyDescent="0.25">
      <c r="A336" s="53"/>
      <c r="C336" s="54"/>
      <c r="F336" s="449"/>
      <c r="H336" s="449"/>
      <c r="I336" s="449"/>
      <c r="J336" s="221"/>
      <c r="K336" s="221"/>
      <c r="L336" s="379"/>
      <c r="M336" s="379"/>
      <c r="N336" s="50"/>
      <c r="O336" s="50"/>
      <c r="P336" s="379"/>
      <c r="Q336" s="379"/>
      <c r="R336" s="379"/>
      <c r="T336" s="54"/>
      <c r="V336" s="449"/>
      <c r="W336" s="379"/>
      <c r="X336" s="379"/>
      <c r="Y336" s="449"/>
      <c r="Z336" s="221"/>
      <c r="AA336" s="379"/>
      <c r="AB336" s="379"/>
      <c r="AC336" s="50"/>
      <c r="AD336" s="50"/>
      <c r="AE336" s="379"/>
      <c r="AF336" s="379"/>
      <c r="AG336" s="156"/>
      <c r="AH336" s="60"/>
      <c r="AI336" s="379"/>
      <c r="AJ336" s="379"/>
      <c r="AK336" s="156"/>
      <c r="AL336" s="379"/>
      <c r="AM336" s="50"/>
      <c r="AN336" s="50"/>
    </row>
    <row r="337" spans="1:40" x14ac:dyDescent="0.25">
      <c r="A337" s="53"/>
      <c r="C337" s="54"/>
      <c r="F337" s="449"/>
      <c r="H337" s="449"/>
      <c r="I337" s="449"/>
      <c r="J337" s="221"/>
      <c r="K337" s="221"/>
      <c r="L337" s="379"/>
      <c r="M337" s="379"/>
      <c r="N337" s="50"/>
      <c r="O337" s="50"/>
      <c r="P337" s="379"/>
      <c r="Q337" s="379"/>
      <c r="R337" s="379"/>
      <c r="T337" s="54"/>
      <c r="V337" s="449"/>
      <c r="W337" s="379"/>
      <c r="X337" s="379"/>
      <c r="Y337" s="449"/>
      <c r="Z337" s="221"/>
      <c r="AA337" s="379"/>
      <c r="AB337" s="379"/>
      <c r="AC337" s="50"/>
      <c r="AD337" s="50"/>
      <c r="AE337" s="379"/>
      <c r="AF337" s="379"/>
      <c r="AG337" s="156"/>
      <c r="AH337" s="60"/>
      <c r="AI337" s="379"/>
      <c r="AJ337" s="379"/>
      <c r="AK337" s="156"/>
      <c r="AL337" s="379"/>
      <c r="AM337" s="50"/>
      <c r="AN337" s="50"/>
    </row>
    <row r="338" spans="1:40" x14ac:dyDescent="0.25">
      <c r="A338" s="53"/>
      <c r="C338" s="54"/>
      <c r="F338" s="449"/>
      <c r="H338" s="449"/>
      <c r="I338" s="449"/>
      <c r="J338" s="221"/>
      <c r="K338" s="221"/>
      <c r="L338" s="379"/>
      <c r="M338" s="379"/>
      <c r="N338" s="50"/>
      <c r="O338" s="50"/>
      <c r="P338" s="379"/>
      <c r="Q338" s="379"/>
      <c r="R338" s="379"/>
      <c r="T338" s="54"/>
      <c r="V338" s="449"/>
      <c r="W338" s="379"/>
      <c r="X338" s="379"/>
      <c r="Y338" s="449"/>
      <c r="Z338" s="221"/>
      <c r="AA338" s="379"/>
      <c r="AB338" s="379"/>
      <c r="AC338" s="50"/>
      <c r="AD338" s="50"/>
      <c r="AE338" s="379"/>
      <c r="AF338" s="379"/>
      <c r="AG338" s="156"/>
      <c r="AH338" s="60"/>
      <c r="AI338" s="379"/>
      <c r="AJ338" s="379"/>
      <c r="AK338" s="156"/>
      <c r="AL338" s="379"/>
      <c r="AM338" s="50"/>
      <c r="AN338" s="50"/>
    </row>
    <row r="339" spans="1:40" x14ac:dyDescent="0.25">
      <c r="A339" s="53"/>
      <c r="C339" s="54"/>
      <c r="F339" s="379"/>
      <c r="H339" s="379"/>
      <c r="I339" s="379"/>
      <c r="J339" s="221"/>
      <c r="K339" s="221"/>
      <c r="L339" s="379"/>
      <c r="M339" s="379"/>
      <c r="N339" s="50"/>
      <c r="O339" s="50"/>
      <c r="P339" s="379"/>
      <c r="Q339" s="379"/>
      <c r="R339" s="379"/>
      <c r="T339" s="54"/>
      <c r="V339" s="449"/>
      <c r="W339" s="379"/>
      <c r="X339" s="379"/>
      <c r="Y339" s="449"/>
      <c r="Z339" s="221"/>
      <c r="AA339" s="379"/>
      <c r="AB339" s="379"/>
      <c r="AC339" s="50"/>
      <c r="AD339" s="50"/>
      <c r="AE339" s="379"/>
      <c r="AF339" s="379"/>
      <c r="AG339" s="156"/>
      <c r="AH339" s="60"/>
      <c r="AI339" s="379"/>
      <c r="AJ339" s="379"/>
      <c r="AK339" s="156"/>
      <c r="AL339" s="379"/>
      <c r="AM339" s="50"/>
      <c r="AN339" s="50"/>
    </row>
    <row r="340" spans="1:40" x14ac:dyDescent="0.25">
      <c r="A340" s="53"/>
      <c r="C340" s="54"/>
      <c r="F340" s="379"/>
      <c r="H340" s="379"/>
      <c r="I340" s="379"/>
      <c r="J340" s="221"/>
      <c r="K340" s="221"/>
      <c r="L340" s="379"/>
      <c r="M340" s="379"/>
      <c r="N340" s="50"/>
      <c r="O340" s="50"/>
      <c r="P340" s="379"/>
      <c r="Q340" s="379"/>
      <c r="R340" s="379"/>
      <c r="T340" s="54"/>
      <c r="V340" s="449"/>
      <c r="W340" s="379"/>
      <c r="X340" s="379"/>
      <c r="Y340" s="449"/>
      <c r="Z340" s="221"/>
      <c r="AA340" s="379"/>
      <c r="AB340" s="379"/>
      <c r="AC340" s="50"/>
      <c r="AD340" s="50"/>
      <c r="AE340" s="379"/>
      <c r="AF340" s="379"/>
      <c r="AG340" s="156"/>
      <c r="AH340" s="60"/>
      <c r="AI340" s="379"/>
      <c r="AJ340" s="379"/>
      <c r="AK340" s="156"/>
      <c r="AL340" s="379"/>
      <c r="AM340" s="50"/>
      <c r="AN340" s="50"/>
    </row>
    <row r="341" spans="1:40" x14ac:dyDescent="0.25">
      <c r="F341" s="63"/>
      <c r="H341" s="479"/>
      <c r="I341" s="479"/>
      <c r="J341" s="221"/>
      <c r="K341" s="221"/>
      <c r="L341" s="63"/>
      <c r="M341" s="63"/>
      <c r="N341" s="381"/>
      <c r="O341" s="381"/>
      <c r="P341" s="63"/>
      <c r="Q341" s="63"/>
      <c r="R341" s="63"/>
      <c r="V341" s="63"/>
      <c r="W341" s="379"/>
      <c r="X341" s="379"/>
      <c r="Y341" s="63"/>
      <c r="Z341" s="221"/>
      <c r="AA341" s="63"/>
      <c r="AB341" s="63"/>
      <c r="AC341" s="64"/>
      <c r="AD341" s="64"/>
      <c r="AE341" s="63"/>
      <c r="AF341" s="63"/>
      <c r="AG341" s="156"/>
      <c r="AH341" s="60"/>
      <c r="AI341" s="63"/>
      <c r="AJ341" s="63"/>
      <c r="AK341" s="154"/>
      <c r="AL341" s="63"/>
      <c r="AM341" s="50"/>
      <c r="AN341" s="50"/>
    </row>
    <row r="342" spans="1:40" x14ac:dyDescent="0.25">
      <c r="A342" s="53"/>
      <c r="C342" s="54"/>
      <c r="F342" s="379"/>
      <c r="H342" s="379"/>
      <c r="I342" s="379"/>
      <c r="J342" s="221"/>
      <c r="K342" s="221"/>
      <c r="L342" s="379"/>
      <c r="M342" s="379"/>
      <c r="N342" s="60"/>
      <c r="O342" s="60"/>
      <c r="P342" s="379"/>
      <c r="Q342" s="379"/>
      <c r="R342" s="379"/>
      <c r="T342" s="56"/>
      <c r="V342" s="379"/>
      <c r="W342" s="379"/>
      <c r="X342" s="379"/>
      <c r="Y342" s="379"/>
      <c r="Z342" s="221"/>
      <c r="AA342" s="379"/>
      <c r="AB342" s="379"/>
      <c r="AC342" s="60"/>
      <c r="AD342" s="60"/>
      <c r="AE342" s="379"/>
      <c r="AF342" s="379"/>
      <c r="AG342" s="156"/>
      <c r="AH342" s="60"/>
      <c r="AI342" s="379"/>
      <c r="AJ342" s="379"/>
      <c r="AK342" s="156"/>
      <c r="AL342" s="379"/>
      <c r="AM342" s="50"/>
      <c r="AN342" s="50"/>
    </row>
    <row r="343" spans="1:40" x14ac:dyDescent="0.25">
      <c r="F343" s="55"/>
      <c r="H343" s="55"/>
      <c r="I343" s="55"/>
      <c r="L343" s="55"/>
      <c r="M343" s="55"/>
      <c r="N343" s="64"/>
      <c r="O343" s="64"/>
      <c r="P343" s="63"/>
      <c r="Q343" s="63"/>
      <c r="R343" s="63"/>
      <c r="V343" s="63"/>
      <c r="Y343" s="63"/>
      <c r="Z343" s="464"/>
      <c r="AA343" s="63"/>
      <c r="AB343" s="63"/>
      <c r="AC343" s="63"/>
      <c r="AD343" s="63"/>
      <c r="AE343" s="63"/>
      <c r="AF343" s="63"/>
      <c r="AI343" s="63"/>
      <c r="AJ343" s="63"/>
      <c r="AK343" s="154"/>
      <c r="AL343" s="63"/>
      <c r="AM343" s="64"/>
      <c r="AN343" s="64"/>
    </row>
    <row r="344" spans="1:40" x14ac:dyDescent="0.25">
      <c r="AI344" s="53"/>
      <c r="AJ344" s="53"/>
    </row>
    <row r="348" spans="1:40" x14ac:dyDescent="0.25">
      <c r="N348" s="379"/>
      <c r="O348" s="379"/>
      <c r="P348" s="379"/>
      <c r="Q348" s="379"/>
      <c r="R348" s="379"/>
      <c r="V348" s="379"/>
      <c r="Y348" s="379"/>
      <c r="Z348" s="59"/>
      <c r="AA348" s="379"/>
      <c r="AB348" s="379"/>
      <c r="AC348" s="50"/>
      <c r="AD348" s="50"/>
      <c r="AE348" s="379"/>
      <c r="AF348" s="379"/>
      <c r="AG348" s="156"/>
      <c r="AH348" s="60"/>
      <c r="AI348" s="379"/>
      <c r="AJ348" s="379"/>
      <c r="AK348" s="156"/>
      <c r="AL348" s="379"/>
      <c r="AM348" s="50"/>
      <c r="AN348" s="50"/>
    </row>
    <row r="349" spans="1:40" x14ac:dyDescent="0.25">
      <c r="A349" s="53"/>
      <c r="C349" s="54"/>
      <c r="D349" s="54"/>
      <c r="E349" s="54"/>
      <c r="J349" s="65"/>
      <c r="K349" s="65"/>
      <c r="T349" s="54"/>
      <c r="U349" s="54"/>
      <c r="Z349" s="65"/>
      <c r="AE349" s="379"/>
      <c r="AF349" s="379"/>
      <c r="AI349" s="379"/>
      <c r="AJ349" s="379"/>
      <c r="AK349" s="156"/>
      <c r="AL349" s="379"/>
      <c r="AM349" s="50"/>
      <c r="AN349" s="50"/>
    </row>
    <row r="350" spans="1:40" x14ac:dyDescent="0.25">
      <c r="D350" s="54"/>
      <c r="E350" s="54"/>
      <c r="F350" s="379"/>
      <c r="H350" s="379"/>
      <c r="I350" s="379"/>
      <c r="J350" s="221"/>
      <c r="K350" s="221"/>
      <c r="L350" s="379"/>
      <c r="M350" s="379"/>
      <c r="N350" s="50"/>
      <c r="O350" s="50"/>
      <c r="P350" s="379"/>
      <c r="Q350" s="379"/>
      <c r="R350" s="379"/>
      <c r="U350" s="54"/>
      <c r="V350" s="379"/>
      <c r="Y350" s="379"/>
      <c r="Z350" s="221"/>
      <c r="AA350" s="379"/>
      <c r="AB350" s="379"/>
      <c r="AC350" s="50"/>
      <c r="AD350" s="50"/>
      <c r="AE350" s="379"/>
      <c r="AF350" s="379"/>
      <c r="AG350" s="156"/>
      <c r="AH350" s="60"/>
      <c r="AI350" s="379"/>
      <c r="AJ350" s="379"/>
      <c r="AK350" s="156"/>
      <c r="AL350" s="379"/>
      <c r="AM350" s="50"/>
      <c r="AN350" s="50"/>
    </row>
    <row r="351" spans="1:40" x14ac:dyDescent="0.25">
      <c r="F351" s="379"/>
      <c r="H351" s="379"/>
      <c r="I351" s="379"/>
      <c r="J351" s="464"/>
      <c r="K351" s="464"/>
      <c r="L351" s="379"/>
      <c r="M351" s="379"/>
      <c r="N351" s="379"/>
      <c r="O351" s="379"/>
      <c r="P351" s="379"/>
      <c r="Q351" s="379"/>
      <c r="R351" s="379"/>
      <c r="V351" s="379"/>
      <c r="Y351" s="379"/>
      <c r="Z351" s="464"/>
      <c r="AA351" s="379"/>
      <c r="AB351" s="379"/>
      <c r="AC351" s="379"/>
      <c r="AD351" s="379"/>
      <c r="AE351" s="379"/>
      <c r="AF351" s="379"/>
      <c r="AG351" s="156"/>
      <c r="AH351" s="60"/>
      <c r="AI351" s="449"/>
      <c r="AJ351" s="449"/>
      <c r="AK351" s="156"/>
      <c r="AL351" s="379"/>
      <c r="AM351" s="50"/>
      <c r="AN351" s="50"/>
    </row>
    <row r="352" spans="1:40" x14ac:dyDescent="0.25">
      <c r="A352" s="53"/>
      <c r="C352" s="54"/>
      <c r="F352" s="449"/>
      <c r="H352" s="449"/>
      <c r="I352" s="449"/>
      <c r="J352" s="463"/>
      <c r="K352" s="463"/>
      <c r="L352" s="379"/>
      <c r="M352" s="379"/>
      <c r="N352" s="50"/>
      <c r="O352" s="50"/>
      <c r="P352" s="379"/>
      <c r="Q352" s="379"/>
      <c r="R352" s="379"/>
      <c r="T352" s="54"/>
      <c r="V352" s="449"/>
      <c r="Y352" s="449"/>
      <c r="Z352" s="463"/>
      <c r="AA352" s="379"/>
      <c r="AB352" s="379"/>
      <c r="AC352" s="50"/>
      <c r="AD352" s="50"/>
      <c r="AE352" s="379"/>
      <c r="AF352" s="379"/>
      <c r="AG352" s="156"/>
      <c r="AH352" s="60"/>
      <c r="AI352" s="379"/>
      <c r="AJ352" s="379"/>
      <c r="AK352" s="156"/>
      <c r="AL352" s="379"/>
      <c r="AM352" s="50"/>
      <c r="AN352" s="50"/>
    </row>
    <row r="353" spans="1:40" x14ac:dyDescent="0.25">
      <c r="F353" s="55"/>
      <c r="H353" s="55"/>
      <c r="I353" s="55"/>
      <c r="L353" s="55"/>
      <c r="M353" s="55"/>
      <c r="N353" s="55"/>
      <c r="O353" s="55"/>
      <c r="P353" s="55"/>
      <c r="Q353" s="55"/>
      <c r="R353" s="55"/>
      <c r="V353" s="55"/>
      <c r="Y353" s="55"/>
      <c r="AA353" s="55"/>
      <c r="AB353" s="55"/>
      <c r="AC353" s="55"/>
      <c r="AD353" s="55"/>
      <c r="AE353" s="55"/>
      <c r="AF353" s="55"/>
      <c r="AG353" s="154"/>
      <c r="AH353" s="55"/>
      <c r="AI353" s="55"/>
      <c r="AJ353" s="55"/>
      <c r="AK353" s="154"/>
      <c r="AL353" s="55"/>
      <c r="AM353" s="55"/>
      <c r="AN353" s="55"/>
    </row>
    <row r="354" spans="1:40" x14ac:dyDescent="0.25">
      <c r="A354" s="53"/>
      <c r="C354" s="56"/>
      <c r="F354" s="449"/>
      <c r="H354" s="449"/>
      <c r="I354" s="449"/>
      <c r="J354" s="461"/>
      <c r="K354" s="461"/>
      <c r="L354" s="449"/>
      <c r="M354" s="449"/>
      <c r="N354" s="50"/>
      <c r="O354" s="50"/>
      <c r="P354" s="449"/>
      <c r="Q354" s="449"/>
      <c r="R354" s="449"/>
      <c r="T354" s="56"/>
      <c r="V354" s="379"/>
      <c r="Y354" s="379"/>
      <c r="Z354" s="59"/>
      <c r="AA354" s="379"/>
      <c r="AB354" s="379"/>
      <c r="AC354" s="50"/>
      <c r="AD354" s="50"/>
      <c r="AE354" s="53"/>
      <c r="AF354" s="53"/>
      <c r="AG354" s="156"/>
      <c r="AH354" s="60"/>
      <c r="AI354" s="379"/>
      <c r="AJ354" s="379"/>
      <c r="AK354" s="156"/>
      <c r="AL354" s="379"/>
      <c r="AM354" s="50"/>
      <c r="AN354" s="50"/>
    </row>
    <row r="355" spans="1:40" x14ac:dyDescent="0.25">
      <c r="F355" s="63"/>
      <c r="H355" s="63"/>
      <c r="I355" s="63"/>
      <c r="J355" s="464"/>
      <c r="K355" s="464"/>
      <c r="L355" s="63"/>
      <c r="M355" s="63"/>
      <c r="N355" s="63"/>
      <c r="O355" s="63"/>
      <c r="P355" s="63"/>
      <c r="Q355" s="63"/>
      <c r="R355" s="63"/>
      <c r="V355" s="55"/>
      <c r="Y355" s="55"/>
      <c r="AA355" s="55"/>
      <c r="AB355" s="55"/>
      <c r="AC355" s="55"/>
      <c r="AD355" s="55"/>
      <c r="AE355" s="55"/>
      <c r="AF355" s="55"/>
      <c r="AG355" s="154"/>
      <c r="AH355" s="55"/>
      <c r="AI355" s="55"/>
      <c r="AJ355" s="55"/>
      <c r="AK355" s="154"/>
      <c r="AL355" s="55"/>
      <c r="AM355" s="55"/>
      <c r="AN355" s="55"/>
    </row>
    <row r="356" spans="1:40" x14ac:dyDescent="0.25">
      <c r="F356" s="449"/>
      <c r="H356" s="449"/>
      <c r="I356" s="449"/>
      <c r="J356" s="477"/>
      <c r="K356" s="477"/>
      <c r="L356" s="379"/>
      <c r="M356" s="379"/>
      <c r="N356" s="50"/>
      <c r="O356" s="50"/>
      <c r="P356" s="379"/>
      <c r="Q356" s="379"/>
      <c r="R356" s="379"/>
    </row>
    <row r="357" spans="1:40" x14ac:dyDescent="0.25">
      <c r="A357" s="54"/>
      <c r="F357" s="449"/>
      <c r="H357" s="449"/>
      <c r="I357" s="449"/>
      <c r="J357" s="461"/>
      <c r="K357" s="461"/>
      <c r="L357" s="379"/>
      <c r="M357" s="379"/>
      <c r="N357" s="50"/>
      <c r="O357" s="50"/>
      <c r="P357" s="379"/>
      <c r="Q357" s="379"/>
      <c r="R357" s="379"/>
    </row>
    <row r="358" spans="1:40" x14ac:dyDescent="0.25">
      <c r="F358" s="449"/>
      <c r="H358" s="449"/>
      <c r="I358" s="449"/>
      <c r="J358" s="461"/>
      <c r="K358" s="461"/>
      <c r="L358" s="379"/>
      <c r="M358" s="379"/>
      <c r="N358" s="50"/>
      <c r="O358" s="50"/>
      <c r="P358" s="379"/>
      <c r="Q358" s="379"/>
      <c r="R358" s="379"/>
    </row>
    <row r="359" spans="1:40" x14ac:dyDescent="0.25">
      <c r="A359" s="54"/>
    </row>
    <row r="361" spans="1:40" x14ac:dyDescent="0.25">
      <c r="J361" s="53"/>
      <c r="K361" s="53"/>
      <c r="Z361" s="53"/>
    </row>
    <row r="362" spans="1:40" x14ac:dyDescent="0.25">
      <c r="H362" s="54"/>
      <c r="I362" s="54"/>
      <c r="Y362" s="54"/>
    </row>
    <row r="363" spans="1:40" x14ac:dyDescent="0.25">
      <c r="J363" s="53"/>
      <c r="K363" s="53"/>
      <c r="Z363" s="53"/>
    </row>
    <row r="364" spans="1:40" x14ac:dyDescent="0.25">
      <c r="L364" s="54"/>
      <c r="M364" s="54"/>
      <c r="AA364" s="54"/>
      <c r="AB364" s="54"/>
    </row>
    <row r="365" spans="1:40" x14ac:dyDescent="0.25">
      <c r="A365" s="53"/>
      <c r="R365" s="54"/>
      <c r="AK365" s="161"/>
      <c r="AL365" s="54"/>
    </row>
    <row r="366" spans="1:40" x14ac:dyDescent="0.25">
      <c r="A366" s="53"/>
      <c r="R366" s="54"/>
      <c r="AK366" s="161"/>
      <c r="AL366" s="54"/>
    </row>
    <row r="367" spans="1:40" x14ac:dyDescent="0.25">
      <c r="A367" s="54"/>
      <c r="R367" s="54"/>
      <c r="AK367" s="161"/>
      <c r="AL367" s="54"/>
    </row>
    <row r="368" spans="1:40" x14ac:dyDescent="0.25">
      <c r="L368" s="54"/>
      <c r="M368" s="54"/>
      <c r="R368" s="53"/>
      <c r="AA368" s="54"/>
      <c r="AB368" s="54"/>
      <c r="AK368" s="156"/>
      <c r="AL368" s="53"/>
    </row>
    <row r="369" spans="1:40" x14ac:dyDescent="0.25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154"/>
      <c r="AH369" s="55"/>
      <c r="AI369" s="55"/>
      <c r="AJ369" s="55"/>
      <c r="AK369" s="154"/>
      <c r="AL369" s="55"/>
      <c r="AM369" s="55"/>
      <c r="AN369" s="55"/>
    </row>
    <row r="370" spans="1:40" x14ac:dyDescent="0.25">
      <c r="L370" s="56"/>
      <c r="M370" s="56"/>
      <c r="N370" s="56"/>
      <c r="O370" s="56"/>
      <c r="R370" s="56"/>
      <c r="AA370" s="56"/>
      <c r="AB370" s="56"/>
      <c r="AC370" s="56"/>
      <c r="AD370" s="56"/>
      <c r="AE370" s="56"/>
      <c r="AF370" s="56"/>
      <c r="AG370" s="155"/>
      <c r="AH370" s="56"/>
      <c r="AK370" s="155"/>
      <c r="AL370" s="56"/>
      <c r="AM370" s="56"/>
      <c r="AN370" s="56"/>
    </row>
    <row r="371" spans="1:40" x14ac:dyDescent="0.25">
      <c r="L371" s="56"/>
      <c r="M371" s="56"/>
      <c r="N371" s="56"/>
      <c r="O371" s="56"/>
      <c r="R371" s="56"/>
      <c r="Z371" s="56"/>
      <c r="AA371" s="56"/>
      <c r="AB371" s="56"/>
      <c r="AC371" s="56"/>
      <c r="AD371" s="56"/>
      <c r="AE371" s="56"/>
      <c r="AF371" s="56"/>
      <c r="AG371" s="155"/>
      <c r="AH371" s="56"/>
      <c r="AK371" s="155"/>
      <c r="AL371" s="56"/>
      <c r="AM371" s="56"/>
      <c r="AN371" s="56"/>
    </row>
    <row r="372" spans="1:40" x14ac:dyDescent="0.25">
      <c r="A372" s="56"/>
      <c r="C372" s="56"/>
      <c r="D372" s="56"/>
      <c r="E372" s="56"/>
      <c r="F372" s="56"/>
      <c r="J372" s="56"/>
      <c r="K372" s="56"/>
      <c r="L372" s="56"/>
      <c r="M372" s="56"/>
      <c r="N372" s="56"/>
      <c r="O372" s="56"/>
      <c r="P372" s="56"/>
      <c r="Q372" s="56"/>
      <c r="R372" s="56"/>
      <c r="T372" s="56"/>
      <c r="U372" s="56"/>
      <c r="V372" s="56"/>
      <c r="Z372" s="56"/>
      <c r="AA372" s="56"/>
      <c r="AB372" s="56"/>
      <c r="AC372" s="56"/>
      <c r="AD372" s="56"/>
      <c r="AE372" s="56"/>
      <c r="AF372" s="56"/>
      <c r="AG372" s="155"/>
      <c r="AH372" s="56"/>
      <c r="AI372" s="56"/>
      <c r="AJ372" s="56"/>
      <c r="AK372" s="155"/>
      <c r="AL372" s="56"/>
      <c r="AM372" s="56"/>
      <c r="AN372" s="56"/>
    </row>
    <row r="373" spans="1:40" x14ac:dyDescent="0.25">
      <c r="A373" s="56"/>
      <c r="C373" s="56"/>
      <c r="D373" s="56"/>
      <c r="E373" s="56"/>
      <c r="F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T373" s="56"/>
      <c r="U373" s="56"/>
      <c r="V373" s="56"/>
      <c r="Y373" s="56"/>
      <c r="Z373" s="56"/>
      <c r="AA373" s="56"/>
      <c r="AB373" s="56"/>
      <c r="AC373" s="56"/>
      <c r="AD373" s="56"/>
      <c r="AE373" s="56"/>
      <c r="AF373" s="56"/>
      <c r="AG373" s="155"/>
      <c r="AH373" s="56"/>
      <c r="AI373" s="56"/>
      <c r="AJ373" s="56"/>
      <c r="AK373" s="155"/>
      <c r="AL373" s="56"/>
      <c r="AM373" s="56"/>
      <c r="AN373" s="56"/>
    </row>
    <row r="374" spans="1:40" x14ac:dyDescent="0.25">
      <c r="C374" s="56"/>
      <c r="D374" s="56"/>
      <c r="E374" s="56"/>
      <c r="F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T374" s="56"/>
      <c r="U374" s="56"/>
      <c r="V374" s="56"/>
      <c r="Y374" s="56"/>
      <c r="Z374" s="56"/>
      <c r="AA374" s="56"/>
      <c r="AB374" s="56"/>
      <c r="AC374" s="56"/>
      <c r="AD374" s="56"/>
      <c r="AE374" s="56"/>
      <c r="AF374" s="56"/>
      <c r="AG374" s="155"/>
      <c r="AH374" s="56"/>
      <c r="AI374" s="56"/>
      <c r="AJ374" s="56"/>
      <c r="AK374" s="155"/>
      <c r="AL374" s="56"/>
      <c r="AM374" s="56"/>
      <c r="AN374" s="56"/>
    </row>
    <row r="375" spans="1:40" x14ac:dyDescent="0.25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154"/>
      <c r="AH375" s="55"/>
      <c r="AI375" s="55"/>
      <c r="AJ375" s="55"/>
      <c r="AK375" s="154"/>
      <c r="AL375" s="55"/>
      <c r="AM375" s="55"/>
      <c r="AN375" s="55"/>
    </row>
    <row r="376" spans="1:40" x14ac:dyDescent="0.25"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Y376" s="56"/>
      <c r="Z376" s="56"/>
      <c r="AA376" s="56"/>
      <c r="AB376" s="56"/>
      <c r="AC376" s="56"/>
      <c r="AD376" s="56"/>
      <c r="AE376" s="56"/>
      <c r="AF376" s="56"/>
      <c r="AG376" s="155"/>
      <c r="AH376" s="56"/>
      <c r="AI376" s="56"/>
      <c r="AJ376" s="56"/>
      <c r="AK376" s="155"/>
      <c r="AL376" s="56"/>
      <c r="AM376" s="56"/>
      <c r="AN376" s="56"/>
    </row>
    <row r="377" spans="1:40" x14ac:dyDescent="0.25">
      <c r="A377" s="53"/>
      <c r="C377" s="54"/>
      <c r="D377" s="54"/>
      <c r="E377" s="54"/>
      <c r="T377" s="54"/>
      <c r="U377" s="54"/>
    </row>
    <row r="379" spans="1:40" x14ac:dyDescent="0.25">
      <c r="A379" s="53"/>
      <c r="C379" s="54"/>
      <c r="T379" s="54"/>
    </row>
    <row r="380" spans="1:40" x14ac:dyDescent="0.25">
      <c r="A380" s="53"/>
      <c r="C380" s="54"/>
      <c r="F380" s="449"/>
      <c r="H380" s="449"/>
      <c r="I380" s="449"/>
      <c r="J380" s="464"/>
      <c r="K380" s="464"/>
      <c r="L380" s="379"/>
      <c r="M380" s="379"/>
      <c r="N380" s="50"/>
      <c r="O380" s="50"/>
      <c r="P380" s="379"/>
      <c r="Q380" s="379"/>
      <c r="R380" s="379"/>
      <c r="T380" s="54"/>
      <c r="V380" s="449"/>
      <c r="Y380" s="449"/>
      <c r="Z380" s="464"/>
      <c r="AA380" s="379"/>
      <c r="AB380" s="379"/>
      <c r="AC380" s="50"/>
      <c r="AD380" s="50"/>
      <c r="AE380" s="379"/>
      <c r="AF380" s="379"/>
      <c r="AG380" s="156"/>
      <c r="AH380" s="60"/>
      <c r="AI380" s="379"/>
      <c r="AJ380" s="379"/>
      <c r="AK380" s="156"/>
      <c r="AL380" s="379"/>
      <c r="AM380" s="50"/>
      <c r="AN380" s="50"/>
    </row>
    <row r="381" spans="1:40" x14ac:dyDescent="0.25">
      <c r="A381" s="53"/>
      <c r="C381" s="54"/>
      <c r="T381" s="54"/>
    </row>
    <row r="382" spans="1:40" x14ac:dyDescent="0.25">
      <c r="A382" s="53"/>
      <c r="C382" s="54"/>
      <c r="F382" s="449"/>
      <c r="H382" s="449"/>
      <c r="I382" s="449"/>
      <c r="J382" s="221"/>
      <c r="K382" s="221"/>
      <c r="L382" s="379"/>
      <c r="M382" s="379"/>
      <c r="N382" s="50"/>
      <c r="O382" s="50"/>
      <c r="P382" s="379"/>
      <c r="Q382" s="379"/>
      <c r="R382" s="379"/>
      <c r="T382" s="54"/>
      <c r="V382" s="379"/>
      <c r="Y382" s="379"/>
      <c r="Z382" s="221"/>
      <c r="AA382" s="379"/>
      <c r="AB382" s="379"/>
      <c r="AC382" s="50"/>
      <c r="AD382" s="50"/>
      <c r="AE382" s="379"/>
      <c r="AF382" s="379"/>
      <c r="AG382" s="156"/>
      <c r="AH382" s="60"/>
      <c r="AI382" s="379"/>
      <c r="AJ382" s="379"/>
      <c r="AK382" s="156"/>
      <c r="AL382" s="379"/>
      <c r="AM382" s="50"/>
      <c r="AN382" s="50"/>
    </row>
    <row r="383" spans="1:40" x14ac:dyDescent="0.25">
      <c r="A383" s="53"/>
      <c r="C383" s="54"/>
      <c r="F383" s="449"/>
      <c r="H383" s="449"/>
      <c r="I383" s="449"/>
      <c r="J383" s="221"/>
      <c r="K383" s="221"/>
      <c r="L383" s="379"/>
      <c r="M383" s="379"/>
      <c r="N383" s="50"/>
      <c r="O383" s="50"/>
      <c r="P383" s="379"/>
      <c r="Q383" s="379"/>
      <c r="R383" s="379"/>
      <c r="T383" s="54"/>
      <c r="V383" s="379"/>
      <c r="Y383" s="379"/>
      <c r="Z383" s="221"/>
      <c r="AA383" s="379"/>
      <c r="AB383" s="379"/>
      <c r="AC383" s="50"/>
      <c r="AD383" s="50"/>
      <c r="AE383" s="379"/>
      <c r="AF383" s="379"/>
      <c r="AG383" s="156"/>
      <c r="AH383" s="60"/>
      <c r="AI383" s="379"/>
      <c r="AJ383" s="379"/>
      <c r="AK383" s="156"/>
      <c r="AL383" s="379"/>
      <c r="AM383" s="50"/>
      <c r="AN383" s="50"/>
    </row>
    <row r="384" spans="1:40" x14ac:dyDescent="0.25">
      <c r="A384" s="53"/>
      <c r="C384" s="54"/>
      <c r="F384" s="449"/>
      <c r="H384" s="449"/>
      <c r="I384" s="449"/>
      <c r="J384" s="221"/>
      <c r="K384" s="221"/>
      <c r="L384" s="379"/>
      <c r="M384" s="379"/>
      <c r="N384" s="50"/>
      <c r="O384" s="50"/>
      <c r="P384" s="379"/>
      <c r="Q384" s="379"/>
      <c r="R384" s="379"/>
      <c r="T384" s="54"/>
      <c r="V384" s="379"/>
      <c r="Y384" s="379"/>
      <c r="Z384" s="221"/>
      <c r="AA384" s="379"/>
      <c r="AB384" s="379"/>
      <c r="AC384" s="50"/>
      <c r="AD384" s="50"/>
      <c r="AE384" s="379"/>
      <c r="AF384" s="379"/>
      <c r="AG384" s="156"/>
      <c r="AH384" s="60"/>
      <c r="AI384" s="379"/>
      <c r="AJ384" s="379"/>
      <c r="AK384" s="156"/>
      <c r="AL384" s="379"/>
      <c r="AM384" s="50"/>
      <c r="AN384" s="50"/>
    </row>
    <row r="385" spans="1:40" x14ac:dyDescent="0.25">
      <c r="A385" s="53"/>
      <c r="C385" s="54"/>
      <c r="F385" s="449"/>
      <c r="H385" s="449"/>
      <c r="I385" s="449"/>
      <c r="J385" s="221"/>
      <c r="K385" s="221"/>
      <c r="L385" s="379"/>
      <c r="M385" s="379"/>
      <c r="N385" s="50"/>
      <c r="O385" s="50"/>
      <c r="P385" s="379"/>
      <c r="Q385" s="379"/>
      <c r="R385" s="379"/>
      <c r="T385" s="54"/>
      <c r="V385" s="379"/>
      <c r="Y385" s="379"/>
      <c r="Z385" s="221"/>
      <c r="AA385" s="379"/>
      <c r="AB385" s="379"/>
      <c r="AC385" s="50"/>
      <c r="AD385" s="50"/>
      <c r="AE385" s="379"/>
      <c r="AF385" s="379"/>
      <c r="AG385" s="156"/>
      <c r="AH385" s="60"/>
      <c r="AI385" s="379"/>
      <c r="AJ385" s="379"/>
      <c r="AK385" s="156"/>
      <c r="AL385" s="379"/>
      <c r="AM385" s="50"/>
      <c r="AN385" s="50"/>
    </row>
    <row r="386" spans="1:40" x14ac:dyDescent="0.25">
      <c r="A386" s="53"/>
      <c r="C386" s="54"/>
      <c r="J386" s="65"/>
      <c r="K386" s="65"/>
      <c r="T386" s="54"/>
      <c r="Z386" s="65"/>
    </row>
    <row r="387" spans="1:40" x14ac:dyDescent="0.25">
      <c r="A387" s="53"/>
      <c r="C387" s="54"/>
      <c r="F387" s="449"/>
      <c r="H387" s="449"/>
      <c r="I387" s="449"/>
      <c r="J387" s="221"/>
      <c r="K387" s="221"/>
      <c r="L387" s="379"/>
      <c r="M387" s="379"/>
      <c r="N387" s="50"/>
      <c r="O387" s="50"/>
      <c r="P387" s="379"/>
      <c r="Q387" s="379"/>
      <c r="R387" s="379"/>
      <c r="T387" s="54"/>
      <c r="V387" s="379"/>
      <c r="Y387" s="379"/>
      <c r="Z387" s="221"/>
      <c r="AA387" s="379"/>
      <c r="AB387" s="379"/>
      <c r="AC387" s="50"/>
      <c r="AD387" s="50"/>
      <c r="AE387" s="379"/>
      <c r="AF387" s="379"/>
      <c r="AG387" s="156"/>
      <c r="AH387" s="60"/>
      <c r="AI387" s="379"/>
      <c r="AJ387" s="379"/>
      <c r="AK387" s="156"/>
      <c r="AL387" s="379"/>
      <c r="AM387" s="50"/>
      <c r="AN387" s="50"/>
    </row>
    <row r="388" spans="1:40" x14ac:dyDescent="0.25">
      <c r="A388" s="53"/>
      <c r="C388" s="54"/>
      <c r="F388" s="449"/>
      <c r="H388" s="449"/>
      <c r="I388" s="449"/>
      <c r="J388" s="221"/>
      <c r="K388" s="221"/>
      <c r="L388" s="379"/>
      <c r="M388" s="379"/>
      <c r="N388" s="50"/>
      <c r="O388" s="50"/>
      <c r="P388" s="379"/>
      <c r="Q388" s="379"/>
      <c r="R388" s="379"/>
      <c r="T388" s="54"/>
      <c r="V388" s="379"/>
      <c r="Y388" s="379"/>
      <c r="Z388" s="221"/>
      <c r="AA388" s="379"/>
      <c r="AB388" s="379"/>
      <c r="AC388" s="50"/>
      <c r="AD388" s="50"/>
      <c r="AE388" s="379"/>
      <c r="AF388" s="379"/>
      <c r="AG388" s="156"/>
      <c r="AH388" s="60"/>
      <c r="AI388" s="379"/>
      <c r="AJ388" s="379"/>
      <c r="AK388" s="156"/>
      <c r="AL388" s="379"/>
      <c r="AM388" s="50"/>
      <c r="AN388" s="50"/>
    </row>
    <row r="389" spans="1:40" x14ac:dyDescent="0.25">
      <c r="A389" s="53"/>
      <c r="C389" s="54"/>
      <c r="F389" s="449"/>
      <c r="H389" s="449"/>
      <c r="I389" s="449"/>
      <c r="J389" s="221"/>
      <c r="K389" s="221"/>
      <c r="L389" s="379"/>
      <c r="M389" s="379"/>
      <c r="N389" s="50"/>
      <c r="O389" s="50"/>
      <c r="P389" s="379"/>
      <c r="Q389" s="379"/>
      <c r="R389" s="379"/>
      <c r="T389" s="54"/>
      <c r="V389" s="379"/>
      <c r="Y389" s="379"/>
      <c r="Z389" s="221"/>
      <c r="AA389" s="379"/>
      <c r="AB389" s="379"/>
      <c r="AC389" s="50"/>
      <c r="AD389" s="50"/>
      <c r="AE389" s="379"/>
      <c r="AF389" s="379"/>
      <c r="AG389" s="156"/>
      <c r="AH389" s="60"/>
      <c r="AI389" s="379"/>
      <c r="AJ389" s="379"/>
      <c r="AK389" s="156"/>
      <c r="AL389" s="379"/>
      <c r="AM389" s="50"/>
      <c r="AN389" s="50"/>
    </row>
    <row r="390" spans="1:40" x14ac:dyDescent="0.25">
      <c r="A390" s="53"/>
      <c r="C390" s="54"/>
      <c r="J390" s="65"/>
      <c r="K390" s="65"/>
      <c r="T390" s="54"/>
      <c r="Z390" s="65"/>
    </row>
    <row r="391" spans="1:40" x14ac:dyDescent="0.25">
      <c r="A391" s="53"/>
      <c r="C391" s="54"/>
      <c r="F391" s="449"/>
      <c r="H391" s="449"/>
      <c r="I391" s="449"/>
      <c r="J391" s="221"/>
      <c r="K391" s="221"/>
      <c r="L391" s="379"/>
      <c r="M391" s="379"/>
      <c r="N391" s="50"/>
      <c r="O391" s="50"/>
      <c r="P391" s="379"/>
      <c r="Q391" s="379"/>
      <c r="R391" s="379"/>
      <c r="T391" s="54"/>
      <c r="V391" s="379"/>
      <c r="Y391" s="379"/>
      <c r="Z391" s="221"/>
      <c r="AA391" s="379"/>
      <c r="AB391" s="379"/>
      <c r="AC391" s="50"/>
      <c r="AD391" s="50"/>
      <c r="AE391" s="379"/>
      <c r="AF391" s="379"/>
      <c r="AG391" s="156"/>
      <c r="AH391" s="60"/>
      <c r="AI391" s="379"/>
      <c r="AJ391" s="379"/>
      <c r="AK391" s="156"/>
      <c r="AL391" s="379"/>
      <c r="AM391" s="50"/>
      <c r="AN391" s="50"/>
    </row>
    <row r="392" spans="1:40" x14ac:dyDescent="0.25">
      <c r="A392" s="53"/>
      <c r="C392" s="54"/>
      <c r="F392" s="449"/>
      <c r="H392" s="449"/>
      <c r="I392" s="449"/>
      <c r="J392" s="221"/>
      <c r="K392" s="221"/>
      <c r="L392" s="379"/>
      <c r="M392" s="379"/>
      <c r="N392" s="50"/>
      <c r="O392" s="50"/>
      <c r="P392" s="379"/>
      <c r="Q392" s="379"/>
      <c r="R392" s="379"/>
      <c r="T392" s="54"/>
      <c r="V392" s="379"/>
      <c r="Y392" s="379"/>
      <c r="Z392" s="221"/>
      <c r="AA392" s="379"/>
      <c r="AB392" s="379"/>
      <c r="AC392" s="50"/>
      <c r="AD392" s="50"/>
      <c r="AE392" s="379"/>
      <c r="AF392" s="379"/>
      <c r="AG392" s="156"/>
      <c r="AH392" s="60"/>
      <c r="AI392" s="379"/>
      <c r="AJ392" s="379"/>
      <c r="AK392" s="156"/>
      <c r="AL392" s="379"/>
      <c r="AM392" s="50"/>
      <c r="AN392" s="50"/>
    </row>
    <row r="393" spans="1:40" x14ac:dyDescent="0.25">
      <c r="A393" s="53"/>
      <c r="C393" s="54"/>
      <c r="J393" s="65"/>
      <c r="K393" s="65"/>
      <c r="T393" s="54"/>
      <c r="Z393" s="65"/>
    </row>
    <row r="394" spans="1:40" x14ac:dyDescent="0.25">
      <c r="A394" s="53"/>
      <c r="C394" s="54"/>
      <c r="F394" s="449"/>
      <c r="H394" s="449"/>
      <c r="I394" s="449"/>
      <c r="J394" s="221"/>
      <c r="K394" s="221"/>
      <c r="L394" s="379"/>
      <c r="M394" s="379"/>
      <c r="N394" s="50"/>
      <c r="O394" s="50"/>
      <c r="P394" s="379"/>
      <c r="Q394" s="379"/>
      <c r="R394" s="379"/>
      <c r="T394" s="54"/>
      <c r="V394" s="379"/>
      <c r="Y394" s="379"/>
      <c r="Z394" s="221"/>
      <c r="AA394" s="379"/>
      <c r="AB394" s="379"/>
      <c r="AC394" s="50"/>
      <c r="AD394" s="50"/>
      <c r="AE394" s="379"/>
      <c r="AF394" s="379"/>
      <c r="AG394" s="156"/>
      <c r="AH394" s="60"/>
      <c r="AI394" s="379"/>
      <c r="AJ394" s="379"/>
      <c r="AK394" s="156"/>
      <c r="AL394" s="379"/>
      <c r="AM394" s="50"/>
      <c r="AN394" s="50"/>
    </row>
    <row r="395" spans="1:40" x14ac:dyDescent="0.25">
      <c r="A395" s="53"/>
      <c r="C395" s="54"/>
      <c r="F395" s="449"/>
      <c r="H395" s="449"/>
      <c r="I395" s="449"/>
      <c r="J395" s="221"/>
      <c r="K395" s="221"/>
      <c r="L395" s="379"/>
      <c r="M395" s="379"/>
      <c r="N395" s="50"/>
      <c r="O395" s="50"/>
      <c r="P395" s="379"/>
      <c r="Q395" s="379"/>
      <c r="R395" s="379"/>
      <c r="T395" s="54"/>
      <c r="V395" s="379"/>
      <c r="Y395" s="379"/>
      <c r="Z395" s="221"/>
      <c r="AA395" s="379"/>
      <c r="AB395" s="379"/>
      <c r="AC395" s="50"/>
      <c r="AD395" s="50"/>
      <c r="AE395" s="379"/>
      <c r="AF395" s="379"/>
      <c r="AG395" s="156"/>
      <c r="AH395" s="60"/>
      <c r="AI395" s="379"/>
      <c r="AJ395" s="379"/>
      <c r="AK395" s="156"/>
      <c r="AL395" s="379"/>
      <c r="AM395" s="50"/>
      <c r="AN395" s="50"/>
    </row>
    <row r="396" spans="1:40" x14ac:dyDescent="0.25">
      <c r="A396" s="53"/>
      <c r="C396" s="54"/>
      <c r="F396" s="449"/>
      <c r="H396" s="449"/>
      <c r="I396" s="449"/>
      <c r="J396" s="221"/>
      <c r="K396" s="221"/>
      <c r="L396" s="379"/>
      <c r="M396" s="379"/>
      <c r="N396" s="50"/>
      <c r="O396" s="50"/>
      <c r="P396" s="379"/>
      <c r="Q396" s="379"/>
      <c r="R396" s="379"/>
      <c r="T396" s="54"/>
      <c r="V396" s="379"/>
      <c r="Y396" s="379"/>
      <c r="Z396" s="221"/>
      <c r="AA396" s="379"/>
      <c r="AB396" s="379"/>
      <c r="AC396" s="50"/>
      <c r="AD396" s="50"/>
      <c r="AE396" s="379"/>
      <c r="AF396" s="379"/>
      <c r="AG396" s="156"/>
      <c r="AH396" s="60"/>
      <c r="AI396" s="379"/>
      <c r="AJ396" s="379"/>
      <c r="AK396" s="156"/>
      <c r="AL396" s="379"/>
      <c r="AM396" s="50"/>
      <c r="AN396" s="50"/>
    </row>
    <row r="397" spans="1:40" x14ac:dyDescent="0.25">
      <c r="F397" s="381"/>
      <c r="H397" s="381"/>
      <c r="I397" s="381"/>
      <c r="J397" s="221"/>
      <c r="K397" s="221"/>
      <c r="L397" s="381"/>
      <c r="M397" s="381"/>
      <c r="N397" s="381"/>
      <c r="O397" s="381"/>
      <c r="P397" s="381"/>
      <c r="Q397" s="381"/>
      <c r="R397" s="381"/>
      <c r="V397" s="381"/>
      <c r="Y397" s="381"/>
      <c r="Z397" s="221"/>
      <c r="AA397" s="381"/>
      <c r="AB397" s="381"/>
      <c r="AC397" s="381"/>
      <c r="AD397" s="381"/>
      <c r="AE397" s="381"/>
      <c r="AF397" s="381"/>
      <c r="AI397" s="381"/>
      <c r="AJ397" s="381"/>
      <c r="AK397" s="162"/>
      <c r="AL397" s="381"/>
    </row>
    <row r="398" spans="1:40" x14ac:dyDescent="0.25">
      <c r="A398" s="53"/>
      <c r="C398" s="56"/>
      <c r="F398" s="379"/>
      <c r="H398" s="379"/>
      <c r="I398" s="379"/>
      <c r="J398" s="65"/>
      <c r="K398" s="65"/>
      <c r="L398" s="379"/>
      <c r="M398" s="379"/>
      <c r="N398" s="60"/>
      <c r="O398" s="60"/>
      <c r="P398" s="379"/>
      <c r="Q398" s="379"/>
      <c r="R398" s="379"/>
      <c r="T398" s="56"/>
      <c r="V398" s="379"/>
      <c r="Y398" s="379"/>
      <c r="Z398" s="65"/>
      <c r="AA398" s="379"/>
      <c r="AB398" s="379"/>
      <c r="AC398" s="379"/>
      <c r="AD398" s="379"/>
      <c r="AE398" s="379"/>
      <c r="AF398" s="379"/>
      <c r="AG398" s="156"/>
      <c r="AH398" s="60"/>
      <c r="AI398" s="379"/>
      <c r="AJ398" s="379"/>
      <c r="AK398" s="156"/>
      <c r="AL398" s="379"/>
      <c r="AM398" s="50"/>
      <c r="AN398" s="50"/>
    </row>
    <row r="399" spans="1:40" x14ac:dyDescent="0.25">
      <c r="F399" s="381"/>
      <c r="H399" s="381"/>
      <c r="I399" s="381"/>
      <c r="J399" s="221"/>
      <c r="K399" s="221"/>
      <c r="L399" s="381"/>
      <c r="M399" s="381"/>
      <c r="N399" s="381"/>
      <c r="O399" s="381"/>
      <c r="P399" s="381"/>
      <c r="Q399" s="381"/>
      <c r="R399" s="381"/>
      <c r="V399" s="381"/>
      <c r="Y399" s="381"/>
      <c r="Z399" s="221"/>
      <c r="AA399" s="381"/>
      <c r="AB399" s="381"/>
      <c r="AC399" s="381"/>
      <c r="AD399" s="381"/>
      <c r="AE399" s="381"/>
      <c r="AF399" s="381"/>
      <c r="AI399" s="381"/>
      <c r="AJ399" s="381"/>
      <c r="AK399" s="162"/>
      <c r="AL399" s="381"/>
    </row>
    <row r="400" spans="1:40" x14ac:dyDescent="0.25">
      <c r="A400" s="53"/>
      <c r="C400" s="54"/>
      <c r="J400" s="65"/>
      <c r="K400" s="65"/>
      <c r="T400" s="54"/>
      <c r="Z400" s="65"/>
    </row>
    <row r="401" spans="1:40" x14ac:dyDescent="0.25">
      <c r="A401" s="53"/>
      <c r="C401" s="54"/>
      <c r="J401" s="65"/>
      <c r="K401" s="65"/>
      <c r="T401" s="54"/>
      <c r="Z401" s="65"/>
    </row>
    <row r="402" spans="1:40" x14ac:dyDescent="0.25">
      <c r="A402" s="53"/>
      <c r="C402" s="54"/>
      <c r="F402" s="449"/>
      <c r="H402" s="449"/>
      <c r="I402" s="449"/>
      <c r="J402" s="221"/>
      <c r="K402" s="221"/>
      <c r="L402" s="379"/>
      <c r="M402" s="379"/>
      <c r="N402" s="50"/>
      <c r="O402" s="50"/>
      <c r="P402" s="379"/>
      <c r="Q402" s="379"/>
      <c r="R402" s="379"/>
      <c r="T402" s="54"/>
      <c r="V402" s="379"/>
      <c r="Y402" s="379"/>
      <c r="Z402" s="221"/>
      <c r="AA402" s="379"/>
      <c r="AB402" s="379"/>
      <c r="AC402" s="50"/>
      <c r="AD402" s="50"/>
      <c r="AE402" s="379"/>
      <c r="AF402" s="379"/>
      <c r="AG402" s="156"/>
      <c r="AH402" s="60"/>
      <c r="AI402" s="379"/>
      <c r="AJ402" s="379"/>
      <c r="AK402" s="156"/>
      <c r="AL402" s="379"/>
      <c r="AM402" s="50"/>
      <c r="AN402" s="50"/>
    </row>
    <row r="403" spans="1:40" x14ac:dyDescent="0.25">
      <c r="A403" s="53"/>
      <c r="C403" s="54"/>
      <c r="F403" s="449"/>
      <c r="H403" s="449"/>
      <c r="I403" s="449"/>
      <c r="J403" s="221"/>
      <c r="K403" s="221"/>
      <c r="L403" s="379"/>
      <c r="M403" s="379"/>
      <c r="N403" s="50"/>
      <c r="O403" s="50"/>
      <c r="P403" s="379"/>
      <c r="Q403" s="379"/>
      <c r="R403" s="379"/>
      <c r="T403" s="54"/>
      <c r="V403" s="379"/>
      <c r="Y403" s="379"/>
      <c r="Z403" s="221"/>
      <c r="AA403" s="379"/>
      <c r="AB403" s="379"/>
      <c r="AC403" s="50"/>
      <c r="AD403" s="50"/>
      <c r="AE403" s="379"/>
      <c r="AF403" s="379"/>
      <c r="AG403" s="156"/>
      <c r="AH403" s="60"/>
      <c r="AI403" s="379"/>
      <c r="AJ403" s="379"/>
      <c r="AK403" s="156"/>
      <c r="AL403" s="379"/>
      <c r="AM403" s="50"/>
      <c r="AN403" s="50"/>
    </row>
    <row r="404" spans="1:40" x14ac:dyDescent="0.25">
      <c r="A404" s="53"/>
      <c r="C404" s="54"/>
      <c r="F404" s="449"/>
      <c r="H404" s="449"/>
      <c r="I404" s="449"/>
      <c r="J404" s="221"/>
      <c r="K404" s="221"/>
      <c r="L404" s="379"/>
      <c r="M404" s="379"/>
      <c r="N404" s="50"/>
      <c r="O404" s="50"/>
      <c r="P404" s="379"/>
      <c r="Q404" s="379"/>
      <c r="R404" s="379"/>
      <c r="T404" s="54"/>
      <c r="V404" s="379"/>
      <c r="Y404" s="379"/>
      <c r="Z404" s="221"/>
      <c r="AA404" s="379"/>
      <c r="AB404" s="379"/>
      <c r="AC404" s="50"/>
      <c r="AD404" s="50"/>
      <c r="AE404" s="379"/>
      <c r="AF404" s="379"/>
      <c r="AG404" s="156"/>
      <c r="AH404" s="60"/>
      <c r="AI404" s="379"/>
      <c r="AJ404" s="379"/>
      <c r="AK404" s="156"/>
      <c r="AL404" s="379"/>
      <c r="AM404" s="50"/>
      <c r="AN404" s="50"/>
    </row>
    <row r="405" spans="1:40" x14ac:dyDescent="0.25">
      <c r="A405" s="53"/>
      <c r="C405" s="54"/>
      <c r="F405" s="449"/>
      <c r="H405" s="449"/>
      <c r="I405" s="449"/>
      <c r="J405" s="221"/>
      <c r="K405" s="221"/>
      <c r="L405" s="379"/>
      <c r="M405" s="379"/>
      <c r="N405" s="50"/>
      <c r="O405" s="50"/>
      <c r="P405" s="379"/>
      <c r="Q405" s="379"/>
      <c r="R405" s="379"/>
      <c r="T405" s="54"/>
      <c r="V405" s="379"/>
      <c r="Y405" s="379"/>
      <c r="Z405" s="221"/>
      <c r="AA405" s="379"/>
      <c r="AB405" s="379"/>
      <c r="AC405" s="50"/>
      <c r="AD405" s="50"/>
      <c r="AE405" s="379"/>
      <c r="AF405" s="379"/>
      <c r="AG405" s="156"/>
      <c r="AH405" s="60"/>
      <c r="AI405" s="379"/>
      <c r="AJ405" s="379"/>
      <c r="AK405" s="156"/>
      <c r="AL405" s="379"/>
      <c r="AM405" s="50"/>
      <c r="AN405" s="50"/>
    </row>
    <row r="406" spans="1:40" x14ac:dyDescent="0.25">
      <c r="A406" s="53"/>
      <c r="C406" s="54"/>
      <c r="F406" s="449"/>
      <c r="H406" s="449"/>
      <c r="I406" s="449"/>
      <c r="J406" s="221"/>
      <c r="K406" s="221"/>
      <c r="L406" s="379"/>
      <c r="M406" s="379"/>
      <c r="N406" s="50"/>
      <c r="O406" s="50"/>
      <c r="P406" s="379"/>
      <c r="Q406" s="379"/>
      <c r="R406" s="379"/>
      <c r="T406" s="54"/>
      <c r="V406" s="379"/>
      <c r="Y406" s="379"/>
      <c r="Z406" s="221"/>
      <c r="AA406" s="379"/>
      <c r="AB406" s="379"/>
      <c r="AC406" s="50"/>
      <c r="AD406" s="50"/>
      <c r="AE406" s="379"/>
      <c r="AF406" s="379"/>
      <c r="AG406" s="156"/>
      <c r="AH406" s="60"/>
      <c r="AI406" s="379"/>
      <c r="AJ406" s="379"/>
      <c r="AK406" s="156"/>
      <c r="AL406" s="379"/>
      <c r="AM406" s="50"/>
      <c r="AN406" s="50"/>
    </row>
    <row r="407" spans="1:40" x14ac:dyDescent="0.25">
      <c r="A407" s="53"/>
      <c r="C407" s="54"/>
      <c r="F407" s="449"/>
      <c r="H407" s="449"/>
      <c r="I407" s="449"/>
      <c r="J407" s="221"/>
      <c r="K407" s="221"/>
      <c r="L407" s="379"/>
      <c r="M407" s="379"/>
      <c r="N407" s="50"/>
      <c r="O407" s="50"/>
      <c r="P407" s="379"/>
      <c r="Q407" s="379"/>
      <c r="R407" s="379"/>
      <c r="T407" s="54"/>
      <c r="V407" s="379"/>
      <c r="Y407" s="379"/>
      <c r="Z407" s="221"/>
      <c r="AA407" s="379"/>
      <c r="AB407" s="379"/>
      <c r="AC407" s="50"/>
      <c r="AD407" s="50"/>
      <c r="AE407" s="379"/>
      <c r="AF407" s="379"/>
      <c r="AG407" s="156"/>
      <c r="AH407" s="60"/>
      <c r="AI407" s="379"/>
      <c r="AJ407" s="379"/>
      <c r="AK407" s="156"/>
      <c r="AL407" s="379"/>
      <c r="AM407" s="50"/>
      <c r="AN407" s="50"/>
    </row>
    <row r="408" spans="1:40" x14ac:dyDescent="0.25">
      <c r="A408" s="53"/>
      <c r="C408" s="54"/>
      <c r="F408" s="449"/>
      <c r="H408" s="449"/>
      <c r="I408" s="449"/>
      <c r="J408" s="221"/>
      <c r="K408" s="221"/>
      <c r="L408" s="379"/>
      <c r="M408" s="379"/>
      <c r="N408" s="50"/>
      <c r="O408" s="50"/>
      <c r="P408" s="379"/>
      <c r="Q408" s="379"/>
      <c r="R408" s="379"/>
      <c r="T408" s="54"/>
      <c r="V408" s="379"/>
      <c r="Y408" s="379"/>
      <c r="Z408" s="221"/>
      <c r="AA408" s="379"/>
      <c r="AB408" s="379"/>
      <c r="AC408" s="50"/>
      <c r="AD408" s="50"/>
      <c r="AE408" s="379"/>
      <c r="AF408" s="379"/>
      <c r="AG408" s="156"/>
      <c r="AH408" s="60"/>
      <c r="AI408" s="379"/>
      <c r="AJ408" s="379"/>
      <c r="AK408" s="156"/>
      <c r="AL408" s="379"/>
      <c r="AM408" s="50"/>
      <c r="AN408" s="50"/>
    </row>
    <row r="409" spans="1:40" x14ac:dyDescent="0.25">
      <c r="A409" s="53"/>
      <c r="C409" s="54"/>
      <c r="J409" s="65"/>
      <c r="K409" s="65"/>
      <c r="T409" s="54"/>
      <c r="Z409" s="65"/>
    </row>
    <row r="410" spans="1:40" x14ac:dyDescent="0.25">
      <c r="A410" s="53"/>
      <c r="C410" s="54"/>
      <c r="F410" s="449"/>
      <c r="H410" s="449"/>
      <c r="I410" s="449"/>
      <c r="J410" s="221"/>
      <c r="K410" s="221"/>
      <c r="L410" s="379"/>
      <c r="M410" s="379"/>
      <c r="N410" s="50"/>
      <c r="O410" s="50"/>
      <c r="P410" s="379"/>
      <c r="Q410" s="379"/>
      <c r="R410" s="379"/>
      <c r="T410" s="54"/>
      <c r="V410" s="379"/>
      <c r="Y410" s="379"/>
      <c r="Z410" s="221"/>
      <c r="AA410" s="379"/>
      <c r="AB410" s="379"/>
      <c r="AC410" s="50"/>
      <c r="AD410" s="50"/>
      <c r="AE410" s="379"/>
      <c r="AF410" s="379"/>
      <c r="AG410" s="156"/>
      <c r="AH410" s="60"/>
      <c r="AI410" s="379"/>
      <c r="AJ410" s="379"/>
      <c r="AK410" s="156"/>
      <c r="AL410" s="379"/>
      <c r="AM410" s="50"/>
      <c r="AN410" s="50"/>
    </row>
    <row r="411" spans="1:40" x14ac:dyDescent="0.25">
      <c r="A411" s="53"/>
      <c r="C411" s="54"/>
      <c r="F411" s="449"/>
      <c r="H411" s="449"/>
      <c r="I411" s="449"/>
      <c r="J411" s="221"/>
      <c r="K411" s="221"/>
      <c r="L411" s="379"/>
      <c r="M411" s="379"/>
      <c r="N411" s="50"/>
      <c r="O411" s="50"/>
      <c r="P411" s="379"/>
      <c r="Q411" s="379"/>
      <c r="R411" s="379"/>
      <c r="T411" s="54"/>
      <c r="V411" s="379"/>
      <c r="Y411" s="379"/>
      <c r="Z411" s="221"/>
      <c r="AA411" s="379"/>
      <c r="AB411" s="379"/>
      <c r="AC411" s="50"/>
      <c r="AD411" s="50"/>
      <c r="AE411" s="379"/>
      <c r="AF411" s="379"/>
      <c r="AG411" s="156"/>
      <c r="AH411" s="60"/>
      <c r="AI411" s="379"/>
      <c r="AJ411" s="379"/>
      <c r="AK411" s="156"/>
      <c r="AL411" s="379"/>
      <c r="AM411" s="50"/>
      <c r="AN411" s="50"/>
    </row>
    <row r="412" spans="1:40" x14ac:dyDescent="0.25">
      <c r="A412" s="53"/>
      <c r="C412" s="54"/>
      <c r="F412" s="449"/>
      <c r="H412" s="449"/>
      <c r="I412" s="449"/>
      <c r="J412" s="221"/>
      <c r="K412" s="221"/>
      <c r="L412" s="379"/>
      <c r="M412" s="379"/>
      <c r="N412" s="50"/>
      <c r="O412" s="50"/>
      <c r="P412" s="379"/>
      <c r="Q412" s="379"/>
      <c r="R412" s="379"/>
      <c r="T412" s="54"/>
      <c r="V412" s="379"/>
      <c r="Y412" s="379"/>
      <c r="Z412" s="221"/>
      <c r="AA412" s="379"/>
      <c r="AB412" s="379"/>
      <c r="AC412" s="50"/>
      <c r="AD412" s="50"/>
      <c r="AE412" s="379"/>
      <c r="AF412" s="379"/>
      <c r="AG412" s="156"/>
      <c r="AH412" s="60"/>
      <c r="AI412" s="379"/>
      <c r="AJ412" s="379"/>
      <c r="AK412" s="156"/>
      <c r="AL412" s="379"/>
      <c r="AM412" s="50"/>
      <c r="AN412" s="50"/>
    </row>
    <row r="413" spans="1:40" x14ac:dyDescent="0.25">
      <c r="A413" s="53"/>
      <c r="C413" s="54"/>
      <c r="F413" s="449"/>
      <c r="H413" s="449"/>
      <c r="I413" s="449"/>
      <c r="J413" s="221"/>
      <c r="K413" s="221"/>
      <c r="L413" s="379"/>
      <c r="M413" s="379"/>
      <c r="N413" s="50"/>
      <c r="O413" s="50"/>
      <c r="P413" s="379"/>
      <c r="Q413" s="379"/>
      <c r="R413" s="379"/>
      <c r="T413" s="54"/>
      <c r="V413" s="379"/>
      <c r="Y413" s="379"/>
      <c r="Z413" s="221"/>
      <c r="AA413" s="379"/>
      <c r="AB413" s="379"/>
      <c r="AC413" s="50"/>
      <c r="AD413" s="50"/>
      <c r="AE413" s="379"/>
      <c r="AF413" s="379"/>
      <c r="AG413" s="156"/>
      <c r="AH413" s="60"/>
      <c r="AI413" s="379"/>
      <c r="AJ413" s="379"/>
      <c r="AK413" s="156"/>
      <c r="AL413" s="379"/>
      <c r="AM413" s="50"/>
      <c r="AN413" s="50"/>
    </row>
    <row r="414" spans="1:40" x14ac:dyDescent="0.25">
      <c r="A414" s="53"/>
      <c r="C414" s="54"/>
      <c r="J414" s="65"/>
      <c r="K414" s="65"/>
      <c r="T414" s="54"/>
      <c r="Z414" s="65"/>
    </row>
    <row r="415" spans="1:40" x14ac:dyDescent="0.25">
      <c r="A415" s="53"/>
      <c r="C415" s="54"/>
      <c r="F415" s="449"/>
      <c r="H415" s="449"/>
      <c r="I415" s="449"/>
      <c r="J415" s="221"/>
      <c r="K415" s="221"/>
      <c r="L415" s="379"/>
      <c r="M415" s="379"/>
      <c r="N415" s="50"/>
      <c r="O415" s="50"/>
      <c r="P415" s="379"/>
      <c r="Q415" s="379"/>
      <c r="R415" s="379"/>
      <c r="T415" s="54"/>
      <c r="V415" s="379"/>
      <c r="Y415" s="379"/>
      <c r="Z415" s="221"/>
      <c r="AA415" s="379"/>
      <c r="AB415" s="379"/>
      <c r="AC415" s="50"/>
      <c r="AD415" s="50"/>
      <c r="AE415" s="379"/>
      <c r="AF415" s="379"/>
      <c r="AG415" s="156"/>
      <c r="AH415" s="60"/>
      <c r="AI415" s="379"/>
      <c r="AJ415" s="379"/>
      <c r="AK415" s="156"/>
      <c r="AL415" s="379"/>
      <c r="AM415" s="50"/>
      <c r="AN415" s="50"/>
    </row>
    <row r="416" spans="1:40" x14ac:dyDescent="0.25">
      <c r="A416" s="53"/>
      <c r="C416" s="54"/>
      <c r="F416" s="449"/>
      <c r="H416" s="449"/>
      <c r="I416" s="449"/>
      <c r="J416" s="221"/>
      <c r="K416" s="221"/>
      <c r="L416" s="379"/>
      <c r="M416" s="379"/>
      <c r="N416" s="50"/>
      <c r="O416" s="50"/>
      <c r="P416" s="379"/>
      <c r="Q416" s="379"/>
      <c r="R416" s="379"/>
      <c r="T416" s="54"/>
      <c r="V416" s="379"/>
      <c r="Y416" s="379"/>
      <c r="Z416" s="221"/>
      <c r="AA416" s="379"/>
      <c r="AB416" s="379"/>
      <c r="AC416" s="50"/>
      <c r="AD416" s="50"/>
      <c r="AE416" s="379"/>
      <c r="AF416" s="379"/>
      <c r="AG416" s="156"/>
      <c r="AH416" s="60"/>
      <c r="AI416" s="379"/>
      <c r="AJ416" s="379"/>
      <c r="AK416" s="156"/>
      <c r="AL416" s="379"/>
      <c r="AM416" s="50"/>
      <c r="AN416" s="50"/>
    </row>
    <row r="417" spans="1:40" x14ac:dyDescent="0.25">
      <c r="A417" s="53"/>
      <c r="C417" s="54"/>
      <c r="F417" s="449"/>
      <c r="H417" s="449"/>
      <c r="I417" s="449"/>
      <c r="J417" s="221"/>
      <c r="K417" s="221"/>
      <c r="L417" s="379"/>
      <c r="M417" s="379"/>
      <c r="N417" s="50"/>
      <c r="O417" s="50"/>
      <c r="P417" s="379"/>
      <c r="Q417" s="379"/>
      <c r="R417" s="379"/>
      <c r="T417" s="54"/>
      <c r="V417" s="379"/>
      <c r="Y417" s="379"/>
      <c r="Z417" s="221"/>
      <c r="AA417" s="379"/>
      <c r="AB417" s="379"/>
      <c r="AC417" s="50"/>
      <c r="AD417" s="50"/>
      <c r="AE417" s="379"/>
      <c r="AF417" s="379"/>
      <c r="AG417" s="156"/>
      <c r="AH417" s="60"/>
      <c r="AI417" s="379"/>
      <c r="AJ417" s="379"/>
      <c r="AK417" s="156"/>
      <c r="AL417" s="379"/>
      <c r="AM417" s="50"/>
      <c r="AN417" s="50"/>
    </row>
    <row r="418" spans="1:40" x14ac:dyDescent="0.25">
      <c r="A418" s="53"/>
      <c r="C418" s="54"/>
      <c r="F418" s="449"/>
      <c r="H418" s="449"/>
      <c r="I418" s="449"/>
      <c r="J418" s="221"/>
      <c r="K418" s="221"/>
      <c r="L418" s="379"/>
      <c r="M418" s="379"/>
      <c r="N418" s="50"/>
      <c r="O418" s="50"/>
      <c r="P418" s="379"/>
      <c r="Q418" s="379"/>
      <c r="R418" s="379"/>
      <c r="T418" s="54"/>
      <c r="V418" s="379"/>
      <c r="Y418" s="379"/>
      <c r="Z418" s="221"/>
      <c r="AA418" s="379"/>
      <c r="AB418" s="379"/>
      <c r="AC418" s="50"/>
      <c r="AD418" s="50"/>
      <c r="AE418" s="379"/>
      <c r="AF418" s="379"/>
      <c r="AG418" s="156"/>
      <c r="AH418" s="60"/>
      <c r="AI418" s="379"/>
      <c r="AJ418" s="379"/>
      <c r="AK418" s="156"/>
      <c r="AL418" s="379"/>
      <c r="AM418" s="50"/>
      <c r="AN418" s="50"/>
    </row>
    <row r="419" spans="1:40" x14ac:dyDescent="0.25">
      <c r="A419" s="53"/>
      <c r="C419" s="54"/>
      <c r="F419" s="449"/>
      <c r="H419" s="449"/>
      <c r="I419" s="449"/>
      <c r="J419" s="221"/>
      <c r="K419" s="221"/>
      <c r="L419" s="379"/>
      <c r="M419" s="379"/>
      <c r="N419" s="50"/>
      <c r="O419" s="50"/>
      <c r="P419" s="379"/>
      <c r="Q419" s="379"/>
      <c r="R419" s="379"/>
      <c r="T419" s="54"/>
      <c r="V419" s="379"/>
      <c r="Y419" s="379"/>
      <c r="Z419" s="221"/>
      <c r="AA419" s="379"/>
      <c r="AB419" s="379"/>
      <c r="AC419" s="50"/>
      <c r="AD419" s="50"/>
      <c r="AE419" s="379"/>
      <c r="AF419" s="379"/>
      <c r="AG419" s="156"/>
      <c r="AH419" s="60"/>
      <c r="AI419" s="379"/>
      <c r="AJ419" s="379"/>
      <c r="AK419" s="156"/>
      <c r="AL419" s="379"/>
      <c r="AM419" s="50"/>
      <c r="AN419" s="50"/>
    </row>
    <row r="420" spans="1:40" x14ac:dyDescent="0.25">
      <c r="F420" s="381"/>
      <c r="H420" s="381"/>
      <c r="I420" s="381"/>
      <c r="J420" s="464"/>
      <c r="K420" s="464"/>
      <c r="L420" s="381"/>
      <c r="M420" s="381"/>
      <c r="N420" s="381"/>
      <c r="O420" s="381"/>
      <c r="P420" s="381"/>
      <c r="Q420" s="381"/>
      <c r="R420" s="381"/>
      <c r="V420" s="381"/>
      <c r="Y420" s="381"/>
      <c r="Z420" s="221"/>
      <c r="AA420" s="381"/>
      <c r="AB420" s="381"/>
      <c r="AC420" s="381"/>
      <c r="AD420" s="381"/>
      <c r="AE420" s="381"/>
      <c r="AF420" s="381"/>
      <c r="AI420" s="381"/>
      <c r="AJ420" s="381"/>
      <c r="AK420" s="162"/>
      <c r="AL420" s="381"/>
    </row>
    <row r="421" spans="1:40" x14ac:dyDescent="0.25">
      <c r="A421" s="53"/>
      <c r="C421" s="54"/>
      <c r="F421" s="379"/>
      <c r="H421" s="379"/>
      <c r="I421" s="379"/>
      <c r="L421" s="379"/>
      <c r="M421" s="379"/>
      <c r="N421" s="60"/>
      <c r="O421" s="60"/>
      <c r="P421" s="379"/>
      <c r="Q421" s="379"/>
      <c r="R421" s="379"/>
      <c r="T421" s="54"/>
      <c r="V421" s="379"/>
      <c r="Y421" s="379"/>
      <c r="AA421" s="379"/>
      <c r="AB421" s="379"/>
      <c r="AC421" s="50"/>
      <c r="AD421" s="50"/>
      <c r="AE421" s="379"/>
      <c r="AF421" s="379"/>
      <c r="AG421" s="156"/>
      <c r="AH421" s="60"/>
      <c r="AI421" s="379"/>
      <c r="AJ421" s="379"/>
      <c r="AK421" s="156"/>
      <c r="AL421" s="379"/>
      <c r="AM421" s="50"/>
      <c r="AN421" s="50"/>
    </row>
    <row r="422" spans="1:40" x14ac:dyDescent="0.25">
      <c r="F422" s="381"/>
      <c r="H422" s="381"/>
      <c r="I422" s="381"/>
      <c r="J422" s="464"/>
      <c r="K422" s="464"/>
      <c r="L422" s="381"/>
      <c r="M422" s="381"/>
      <c r="N422" s="381"/>
      <c r="O422" s="381"/>
      <c r="P422" s="381"/>
      <c r="Q422" s="381"/>
      <c r="R422" s="381"/>
      <c r="V422" s="381"/>
      <c r="Y422" s="381"/>
      <c r="Z422" s="464"/>
      <c r="AA422" s="381"/>
      <c r="AB422" s="381"/>
      <c r="AC422" s="381"/>
      <c r="AD422" s="381"/>
      <c r="AE422" s="381"/>
      <c r="AF422" s="381"/>
      <c r="AI422" s="381"/>
      <c r="AJ422" s="381"/>
      <c r="AK422" s="162"/>
      <c r="AL422" s="381"/>
    </row>
    <row r="423" spans="1:40" x14ac:dyDescent="0.25">
      <c r="A423" s="53"/>
      <c r="C423" s="54"/>
      <c r="T423" s="54"/>
    </row>
    <row r="424" spans="1:40" x14ac:dyDescent="0.25">
      <c r="A424" s="53"/>
      <c r="C424" s="54"/>
      <c r="F424" s="449"/>
      <c r="H424" s="449"/>
      <c r="I424" s="449"/>
      <c r="J424" s="461"/>
      <c r="K424" s="461"/>
      <c r="L424" s="379"/>
      <c r="M424" s="379"/>
      <c r="N424" s="50"/>
      <c r="O424" s="50"/>
      <c r="P424" s="379"/>
      <c r="Q424" s="379"/>
      <c r="R424" s="379"/>
      <c r="T424" s="54"/>
      <c r="V424" s="379"/>
      <c r="Y424" s="379"/>
      <c r="Z424" s="461"/>
      <c r="AA424" s="379"/>
      <c r="AB424" s="379"/>
      <c r="AC424" s="50"/>
      <c r="AD424" s="50"/>
      <c r="AE424" s="379"/>
      <c r="AF424" s="379"/>
      <c r="AG424" s="156"/>
      <c r="AH424" s="60"/>
      <c r="AI424" s="379"/>
      <c r="AJ424" s="379"/>
      <c r="AK424" s="156"/>
      <c r="AL424" s="379"/>
      <c r="AM424" s="50"/>
      <c r="AN424" s="50"/>
    </row>
    <row r="425" spans="1:40" x14ac:dyDescent="0.25">
      <c r="A425" s="53"/>
      <c r="C425" s="54"/>
      <c r="F425" s="449"/>
      <c r="H425" s="449"/>
      <c r="I425" s="449"/>
      <c r="J425" s="461"/>
      <c r="K425" s="461"/>
      <c r="L425" s="379"/>
      <c r="M425" s="379"/>
      <c r="N425" s="50"/>
      <c r="O425" s="50"/>
      <c r="P425" s="379"/>
      <c r="Q425" s="379"/>
      <c r="R425" s="379"/>
      <c r="T425" s="54"/>
      <c r="V425" s="379"/>
      <c r="Y425" s="379"/>
      <c r="Z425" s="461"/>
      <c r="AA425" s="379"/>
      <c r="AB425" s="379"/>
      <c r="AC425" s="50"/>
      <c r="AD425" s="50"/>
      <c r="AE425" s="379"/>
      <c r="AF425" s="379"/>
      <c r="AG425" s="156"/>
      <c r="AH425" s="60"/>
      <c r="AI425" s="379"/>
      <c r="AJ425" s="379"/>
      <c r="AK425" s="156"/>
      <c r="AL425" s="379"/>
      <c r="AM425" s="50"/>
      <c r="AN425" s="50"/>
    </row>
    <row r="426" spans="1:40" x14ac:dyDescent="0.25">
      <c r="F426" s="381"/>
      <c r="H426" s="379"/>
      <c r="I426" s="379"/>
      <c r="J426" s="464"/>
      <c r="K426" s="464"/>
      <c r="L426" s="381"/>
      <c r="M426" s="381"/>
      <c r="N426" s="381"/>
      <c r="O426" s="381"/>
      <c r="P426" s="381"/>
      <c r="Q426" s="381"/>
      <c r="R426" s="381"/>
      <c r="V426" s="381"/>
      <c r="Y426" s="379"/>
      <c r="Z426" s="464"/>
      <c r="AA426" s="381"/>
      <c r="AB426" s="381"/>
      <c r="AC426" s="381"/>
      <c r="AD426" s="381"/>
      <c r="AE426" s="381"/>
      <c r="AF426" s="381"/>
      <c r="AI426" s="381"/>
      <c r="AJ426" s="381"/>
      <c r="AK426" s="162"/>
      <c r="AL426" s="381"/>
    </row>
    <row r="427" spans="1:40" x14ac:dyDescent="0.25">
      <c r="F427" s="379"/>
      <c r="H427" s="379"/>
      <c r="I427" s="379"/>
      <c r="J427" s="464"/>
      <c r="K427" s="464"/>
      <c r="L427" s="379"/>
      <c r="M427" s="379"/>
      <c r="N427" s="379"/>
      <c r="O427" s="379"/>
      <c r="P427" s="379"/>
      <c r="Q427" s="379"/>
      <c r="R427" s="379"/>
      <c r="V427" s="379"/>
      <c r="Y427" s="379"/>
      <c r="Z427" s="464"/>
      <c r="AA427" s="379"/>
      <c r="AB427" s="379"/>
      <c r="AC427" s="379"/>
      <c r="AD427" s="379"/>
      <c r="AE427" s="379"/>
      <c r="AF427" s="379"/>
      <c r="AI427" s="379"/>
      <c r="AJ427" s="379"/>
      <c r="AK427" s="156"/>
      <c r="AL427" s="379"/>
    </row>
    <row r="428" spans="1:40" x14ac:dyDescent="0.25">
      <c r="A428" s="53"/>
      <c r="C428" s="54"/>
      <c r="F428" s="379"/>
      <c r="H428" s="379"/>
      <c r="I428" s="379"/>
      <c r="L428" s="379"/>
      <c r="M428" s="379"/>
      <c r="N428" s="50"/>
      <c r="O428" s="50"/>
      <c r="P428" s="379"/>
      <c r="Q428" s="379"/>
      <c r="R428" s="379"/>
      <c r="T428" s="54"/>
      <c r="V428" s="379"/>
      <c r="Y428" s="379"/>
      <c r="AA428" s="379"/>
      <c r="AB428" s="379"/>
      <c r="AC428" s="50"/>
      <c r="AD428" s="50"/>
      <c r="AE428" s="379"/>
      <c r="AF428" s="379"/>
      <c r="AG428" s="156"/>
      <c r="AH428" s="60"/>
      <c r="AI428" s="449"/>
      <c r="AJ428" s="449"/>
      <c r="AK428" s="156"/>
      <c r="AL428" s="379"/>
      <c r="AM428" s="50"/>
      <c r="AN428" s="50"/>
    </row>
    <row r="429" spans="1:40" x14ac:dyDescent="0.25">
      <c r="H429" s="381"/>
      <c r="I429" s="381"/>
      <c r="J429" s="464"/>
      <c r="K429" s="464"/>
      <c r="L429" s="381"/>
      <c r="M429" s="381"/>
      <c r="N429" s="381"/>
      <c r="O429" s="381"/>
      <c r="P429" s="381"/>
      <c r="Q429" s="381"/>
      <c r="R429" s="381"/>
      <c r="V429" s="381"/>
      <c r="Y429" s="381"/>
      <c r="Z429" s="464"/>
      <c r="AA429" s="381"/>
      <c r="AB429" s="381"/>
      <c r="AC429" s="381"/>
      <c r="AD429" s="381"/>
      <c r="AE429" s="381"/>
      <c r="AF429" s="381"/>
      <c r="AI429" s="381"/>
      <c r="AJ429" s="381"/>
      <c r="AK429" s="162"/>
      <c r="AL429" s="381"/>
    </row>
    <row r="430" spans="1:40" x14ac:dyDescent="0.25">
      <c r="F430" s="381"/>
    </row>
    <row r="431" spans="1:40" x14ac:dyDescent="0.25">
      <c r="A431" s="54"/>
      <c r="T431" s="54"/>
    </row>
    <row r="432" spans="1:40" x14ac:dyDescent="0.25">
      <c r="A432" s="54"/>
      <c r="T432" s="54"/>
    </row>
    <row r="433" spans="1:38" x14ac:dyDescent="0.25">
      <c r="A433" s="54"/>
      <c r="T433" s="54"/>
    </row>
    <row r="434" spans="1:38" x14ac:dyDescent="0.25">
      <c r="A434" s="54"/>
      <c r="T434" s="54"/>
    </row>
    <row r="435" spans="1:38" x14ac:dyDescent="0.25">
      <c r="A435" s="54"/>
      <c r="T435" s="54"/>
    </row>
    <row r="436" spans="1:38" x14ac:dyDescent="0.25">
      <c r="A436" s="54"/>
      <c r="T436" s="54"/>
    </row>
    <row r="437" spans="1:38" x14ac:dyDescent="0.25">
      <c r="A437" s="54"/>
      <c r="T437" s="54"/>
    </row>
    <row r="438" spans="1:38" x14ac:dyDescent="0.25">
      <c r="A438" s="54"/>
      <c r="T438" s="54"/>
    </row>
    <row r="439" spans="1:38" x14ac:dyDescent="0.25">
      <c r="A439" s="54"/>
      <c r="T439" s="54"/>
    </row>
    <row r="441" spans="1:38" x14ac:dyDescent="0.25">
      <c r="A441" s="54"/>
    </row>
    <row r="442" spans="1:38" x14ac:dyDescent="0.25">
      <c r="J442" s="53"/>
      <c r="K442" s="53"/>
      <c r="Z442" s="53"/>
    </row>
    <row r="443" spans="1:38" x14ac:dyDescent="0.25">
      <c r="H443" s="54"/>
      <c r="I443" s="54"/>
      <c r="Y443" s="54"/>
    </row>
    <row r="444" spans="1:38" x14ac:dyDescent="0.25">
      <c r="J444" s="53"/>
      <c r="K444" s="53"/>
      <c r="Z444" s="53"/>
    </row>
    <row r="445" spans="1:38" x14ac:dyDescent="0.25">
      <c r="L445" s="54"/>
      <c r="M445" s="54"/>
      <c r="AA445" s="54"/>
      <c r="AB445" s="54"/>
    </row>
    <row r="446" spans="1:38" x14ac:dyDescent="0.25">
      <c r="A446" s="53"/>
      <c r="R446" s="54"/>
      <c r="AK446" s="161"/>
      <c r="AL446" s="54"/>
    </row>
    <row r="447" spans="1:38" x14ac:dyDescent="0.25">
      <c r="A447" s="53"/>
      <c r="R447" s="54"/>
      <c r="AK447" s="161"/>
      <c r="AL447" s="54"/>
    </row>
    <row r="448" spans="1:38" x14ac:dyDescent="0.25">
      <c r="A448" s="54"/>
      <c r="R448" s="54"/>
      <c r="AK448" s="161"/>
      <c r="AL448" s="54"/>
    </row>
    <row r="449" spans="1:40" x14ac:dyDescent="0.25">
      <c r="L449" s="54"/>
      <c r="M449" s="54"/>
      <c r="R449" s="53"/>
      <c r="AA449" s="54"/>
      <c r="AB449" s="54"/>
      <c r="AK449" s="156"/>
      <c r="AL449" s="53"/>
    </row>
    <row r="450" spans="1:40" x14ac:dyDescent="0.25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154"/>
      <c r="AH450" s="55"/>
      <c r="AI450" s="55"/>
      <c r="AJ450" s="55"/>
      <c r="AK450" s="154"/>
      <c r="AL450" s="55"/>
      <c r="AM450" s="55"/>
      <c r="AN450" s="55"/>
    </row>
    <row r="451" spans="1:40" x14ac:dyDescent="0.25">
      <c r="L451" s="56"/>
      <c r="M451" s="56"/>
      <c r="N451" s="56"/>
      <c r="O451" s="56"/>
      <c r="R451" s="56"/>
      <c r="AA451" s="56"/>
      <c r="AB451" s="56"/>
      <c r="AC451" s="56"/>
      <c r="AD451" s="56"/>
      <c r="AE451" s="56"/>
      <c r="AF451" s="56"/>
      <c r="AG451" s="155"/>
      <c r="AH451" s="56"/>
      <c r="AK451" s="155"/>
      <c r="AL451" s="56"/>
      <c r="AM451" s="56"/>
      <c r="AN451" s="56"/>
    </row>
    <row r="452" spans="1:40" x14ac:dyDescent="0.25">
      <c r="L452" s="56"/>
      <c r="M452" s="56"/>
      <c r="N452" s="56"/>
      <c r="O452" s="56"/>
      <c r="R452" s="56"/>
      <c r="Z452" s="56"/>
      <c r="AA452" s="56"/>
      <c r="AB452" s="56"/>
      <c r="AC452" s="56"/>
      <c r="AD452" s="56"/>
      <c r="AE452" s="56"/>
      <c r="AF452" s="56"/>
      <c r="AG452" s="155"/>
      <c r="AH452" s="56"/>
      <c r="AK452" s="155"/>
      <c r="AL452" s="56"/>
      <c r="AM452" s="56"/>
      <c r="AN452" s="56"/>
    </row>
    <row r="453" spans="1:40" x14ac:dyDescent="0.25">
      <c r="A453" s="56"/>
      <c r="C453" s="56"/>
      <c r="D453" s="56"/>
      <c r="E453" s="56"/>
      <c r="F453" s="56"/>
      <c r="J453" s="56"/>
      <c r="K453" s="56"/>
      <c r="L453" s="56"/>
      <c r="M453" s="56"/>
      <c r="N453" s="56"/>
      <c r="O453" s="56"/>
      <c r="P453" s="56"/>
      <c r="Q453" s="56"/>
      <c r="R453" s="56"/>
      <c r="T453" s="56"/>
      <c r="U453" s="56"/>
      <c r="V453" s="56"/>
      <c r="Z453" s="56"/>
      <c r="AA453" s="56"/>
      <c r="AB453" s="56"/>
      <c r="AC453" s="56"/>
      <c r="AD453" s="56"/>
      <c r="AE453" s="56"/>
      <c r="AF453" s="56"/>
      <c r="AG453" s="155"/>
      <c r="AH453" s="56"/>
      <c r="AI453" s="56"/>
      <c r="AJ453" s="56"/>
      <c r="AK453" s="155"/>
      <c r="AL453" s="56"/>
      <c r="AM453" s="56"/>
      <c r="AN453" s="56"/>
    </row>
    <row r="454" spans="1:40" x14ac:dyDescent="0.25">
      <c r="A454" s="56"/>
      <c r="C454" s="56"/>
      <c r="D454" s="56"/>
      <c r="E454" s="56"/>
      <c r="F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T454" s="56"/>
      <c r="U454" s="56"/>
      <c r="V454" s="56"/>
      <c r="Y454" s="56"/>
      <c r="Z454" s="56"/>
      <c r="AA454" s="56"/>
      <c r="AB454" s="56"/>
      <c r="AC454" s="56"/>
      <c r="AD454" s="56"/>
      <c r="AE454" s="56"/>
      <c r="AF454" s="56"/>
      <c r="AG454" s="155"/>
      <c r="AH454" s="56"/>
      <c r="AI454" s="56"/>
      <c r="AJ454" s="56"/>
      <c r="AK454" s="155"/>
      <c r="AL454" s="56"/>
      <c r="AM454" s="56"/>
      <c r="AN454" s="56"/>
    </row>
    <row r="455" spans="1:40" x14ac:dyDescent="0.25">
      <c r="C455" s="56"/>
      <c r="D455" s="56"/>
      <c r="E455" s="56"/>
      <c r="F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T455" s="56"/>
      <c r="U455" s="56"/>
      <c r="V455" s="56"/>
      <c r="Y455" s="56"/>
      <c r="Z455" s="56"/>
      <c r="AA455" s="56"/>
      <c r="AB455" s="56"/>
      <c r="AC455" s="56"/>
      <c r="AD455" s="56"/>
      <c r="AE455" s="56"/>
      <c r="AF455" s="56"/>
      <c r="AG455" s="155"/>
      <c r="AH455" s="56"/>
      <c r="AI455" s="56"/>
      <c r="AJ455" s="56"/>
      <c r="AK455" s="155"/>
      <c r="AL455" s="56"/>
      <c r="AM455" s="56"/>
      <c r="AN455" s="56"/>
    </row>
    <row r="456" spans="1:40" x14ac:dyDescent="0.25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154"/>
      <c r="AH456" s="55"/>
      <c r="AI456" s="55"/>
      <c r="AJ456" s="55"/>
      <c r="AK456" s="154"/>
      <c r="AL456" s="55"/>
      <c r="AM456" s="55"/>
      <c r="AN456" s="55"/>
    </row>
    <row r="457" spans="1:40" x14ac:dyDescent="0.25"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Y457" s="56"/>
      <c r="Z457" s="56"/>
      <c r="AA457" s="56"/>
      <c r="AB457" s="56"/>
      <c r="AC457" s="56"/>
      <c r="AD457" s="56"/>
      <c r="AE457" s="56"/>
      <c r="AF457" s="56"/>
      <c r="AG457" s="155"/>
      <c r="AH457" s="56"/>
      <c r="AI457" s="56"/>
      <c r="AJ457" s="56"/>
      <c r="AK457" s="155"/>
      <c r="AL457" s="56"/>
      <c r="AM457" s="56"/>
      <c r="AN457" s="56"/>
    </row>
    <row r="458" spans="1:40" x14ac:dyDescent="0.25">
      <c r="A458" s="53"/>
      <c r="C458" s="54"/>
      <c r="D458" s="54"/>
      <c r="E458" s="54"/>
      <c r="T458" s="54"/>
      <c r="U458" s="54"/>
    </row>
    <row r="459" spans="1:40" x14ac:dyDescent="0.25">
      <c r="A459" s="53"/>
      <c r="D459" s="54"/>
      <c r="E459" s="54"/>
      <c r="U459" s="54"/>
    </row>
    <row r="461" spans="1:40" x14ac:dyDescent="0.25">
      <c r="A461" s="53"/>
      <c r="C461" s="54"/>
      <c r="F461" s="379"/>
      <c r="J461" s="62"/>
      <c r="K461" s="62"/>
      <c r="L461" s="379"/>
      <c r="M461" s="379"/>
      <c r="R461" s="379"/>
      <c r="T461" s="54"/>
      <c r="V461" s="379"/>
      <c r="Z461" s="62"/>
      <c r="AA461" s="379"/>
      <c r="AB461" s="379"/>
      <c r="AG461" s="156"/>
      <c r="AH461" s="379"/>
      <c r="AK461" s="156"/>
      <c r="AL461" s="379"/>
    </row>
    <row r="462" spans="1:40" x14ac:dyDescent="0.25">
      <c r="A462" s="53"/>
      <c r="C462" s="54"/>
      <c r="F462" s="379"/>
      <c r="R462" s="379"/>
      <c r="T462" s="54"/>
      <c r="V462" s="379"/>
      <c r="AG462" s="156"/>
      <c r="AH462" s="379"/>
      <c r="AK462" s="156"/>
      <c r="AL462" s="379"/>
    </row>
    <row r="463" spans="1:40" x14ac:dyDescent="0.25">
      <c r="AI463" s="379"/>
      <c r="AJ463" s="379"/>
      <c r="AK463" s="156"/>
      <c r="AL463" s="379"/>
      <c r="AM463" s="50"/>
      <c r="AN463" s="50"/>
    </row>
    <row r="464" spans="1:40" x14ac:dyDescent="0.25">
      <c r="A464" s="53"/>
      <c r="C464" s="54"/>
      <c r="F464" s="449"/>
      <c r="H464" s="449"/>
      <c r="I464" s="449"/>
      <c r="J464" s="477"/>
      <c r="K464" s="477"/>
      <c r="L464" s="379"/>
      <c r="M464" s="379"/>
      <c r="N464" s="50"/>
      <c r="O464" s="50"/>
      <c r="P464" s="379"/>
      <c r="Q464" s="379"/>
      <c r="R464" s="379"/>
      <c r="T464" s="54"/>
      <c r="V464" s="379"/>
      <c r="Y464" s="379"/>
      <c r="Z464" s="477"/>
      <c r="AA464" s="379"/>
      <c r="AB464" s="379"/>
      <c r="AC464" s="50"/>
      <c r="AD464" s="50"/>
      <c r="AE464" s="379"/>
      <c r="AF464" s="379"/>
      <c r="AG464" s="156"/>
      <c r="AH464" s="60"/>
      <c r="AI464" s="379"/>
      <c r="AJ464" s="379"/>
      <c r="AK464" s="156"/>
      <c r="AL464" s="379"/>
      <c r="AM464" s="50"/>
      <c r="AN464" s="50"/>
    </row>
    <row r="465" spans="1:40" x14ac:dyDescent="0.25">
      <c r="F465" s="379"/>
      <c r="H465" s="379"/>
      <c r="I465" s="379"/>
      <c r="J465" s="59"/>
      <c r="K465" s="59"/>
      <c r="L465" s="379"/>
      <c r="M465" s="379"/>
      <c r="P465" s="379"/>
      <c r="Q465" s="379"/>
      <c r="R465" s="379"/>
      <c r="V465" s="379"/>
      <c r="Y465" s="379"/>
      <c r="Z465" s="59"/>
      <c r="AA465" s="379"/>
      <c r="AB465" s="379"/>
      <c r="AI465" s="379"/>
      <c r="AJ465" s="379"/>
      <c r="AK465" s="156"/>
      <c r="AL465" s="379"/>
      <c r="AM465" s="50"/>
      <c r="AN465" s="50"/>
    </row>
    <row r="466" spans="1:40" x14ac:dyDescent="0.25">
      <c r="F466" s="379"/>
      <c r="R466" s="379"/>
      <c r="V466" s="379"/>
      <c r="AK466" s="156"/>
      <c r="AL466" s="379"/>
      <c r="AM466" s="50"/>
      <c r="AN466" s="50"/>
    </row>
    <row r="467" spans="1:40" x14ac:dyDescent="0.25">
      <c r="A467" s="53"/>
      <c r="C467" s="54"/>
      <c r="F467" s="379"/>
      <c r="J467" s="62"/>
      <c r="K467" s="62"/>
      <c r="L467" s="379"/>
      <c r="M467" s="379"/>
      <c r="N467" s="50"/>
      <c r="O467" s="50"/>
      <c r="R467" s="379"/>
      <c r="T467" s="54"/>
      <c r="V467" s="379"/>
      <c r="Z467" s="62"/>
      <c r="AA467" s="379"/>
      <c r="AB467" s="379"/>
      <c r="AC467" s="50"/>
      <c r="AD467" s="50"/>
      <c r="AK467" s="156"/>
      <c r="AL467" s="379"/>
      <c r="AM467" s="50"/>
      <c r="AN467" s="50"/>
    </row>
    <row r="468" spans="1:40" x14ac:dyDescent="0.25">
      <c r="A468" s="53"/>
      <c r="C468" s="54"/>
      <c r="F468" s="379"/>
      <c r="H468" s="379"/>
      <c r="I468" s="379"/>
      <c r="J468" s="62"/>
      <c r="K468" s="62"/>
      <c r="L468" s="379"/>
      <c r="M468" s="379"/>
      <c r="N468" s="50"/>
      <c r="O468" s="50"/>
      <c r="P468" s="379"/>
      <c r="Q468" s="379"/>
      <c r="R468" s="379"/>
      <c r="T468" s="54"/>
      <c r="V468" s="379"/>
      <c r="Y468" s="379"/>
      <c r="Z468" s="62"/>
      <c r="AA468" s="379"/>
      <c r="AB468" s="379"/>
      <c r="AC468" s="50"/>
      <c r="AD468" s="50"/>
      <c r="AI468" s="379"/>
      <c r="AJ468" s="379"/>
      <c r="AK468" s="156"/>
      <c r="AL468" s="379"/>
      <c r="AM468" s="50"/>
      <c r="AN468" s="50"/>
    </row>
    <row r="469" spans="1:40" x14ac:dyDescent="0.25">
      <c r="A469" s="53"/>
      <c r="C469" s="54"/>
      <c r="T469" s="54"/>
      <c r="AM469" s="50"/>
      <c r="AN469" s="50"/>
    </row>
    <row r="470" spans="1:40" x14ac:dyDescent="0.25">
      <c r="A470" s="53"/>
      <c r="C470" s="54"/>
      <c r="T470" s="54"/>
      <c r="AM470" s="50"/>
      <c r="AN470" s="50"/>
    </row>
    <row r="471" spans="1:40" x14ac:dyDescent="0.25">
      <c r="AM471" s="50"/>
      <c r="AN471" s="50"/>
    </row>
    <row r="472" spans="1:40" x14ac:dyDescent="0.25">
      <c r="A472" s="53"/>
      <c r="C472" s="54"/>
      <c r="F472" s="449"/>
      <c r="H472" s="449"/>
      <c r="I472" s="449"/>
      <c r="J472" s="477"/>
      <c r="K472" s="477"/>
      <c r="L472" s="379"/>
      <c r="M472" s="379"/>
      <c r="N472" s="50"/>
      <c r="O472" s="50"/>
      <c r="P472" s="379"/>
      <c r="Q472" s="379"/>
      <c r="R472" s="379"/>
      <c r="T472" s="54"/>
      <c r="V472" s="379"/>
      <c r="Y472" s="379"/>
      <c r="Z472" s="477"/>
      <c r="AA472" s="379"/>
      <c r="AB472" s="379"/>
      <c r="AC472" s="50"/>
      <c r="AD472" s="50"/>
      <c r="AE472" s="379"/>
      <c r="AF472" s="379"/>
      <c r="AG472" s="156"/>
      <c r="AH472" s="60"/>
      <c r="AI472" s="379"/>
      <c r="AJ472" s="379"/>
      <c r="AK472" s="156"/>
      <c r="AL472" s="379"/>
      <c r="AM472" s="50"/>
      <c r="AN472" s="50"/>
    </row>
    <row r="473" spans="1:40" x14ac:dyDescent="0.25">
      <c r="F473" s="381"/>
      <c r="H473" s="381"/>
      <c r="I473" s="381"/>
      <c r="J473" s="464"/>
      <c r="K473" s="464"/>
      <c r="L473" s="381"/>
      <c r="M473" s="381"/>
      <c r="N473" s="381"/>
      <c r="O473" s="381"/>
      <c r="P473" s="381"/>
      <c r="Q473" s="381"/>
      <c r="R473" s="381"/>
      <c r="V473" s="381"/>
      <c r="Y473" s="381"/>
      <c r="Z473" s="464"/>
      <c r="AA473" s="381"/>
      <c r="AB473" s="381"/>
      <c r="AC473" s="381"/>
      <c r="AD473" s="381"/>
      <c r="AE473" s="381"/>
      <c r="AF473" s="381"/>
      <c r="AI473" s="381"/>
      <c r="AJ473" s="381"/>
      <c r="AK473" s="162"/>
      <c r="AL473" s="381"/>
      <c r="AM473" s="50"/>
      <c r="AN473" s="50"/>
    </row>
    <row r="474" spans="1:40" x14ac:dyDescent="0.25">
      <c r="H474" s="379"/>
      <c r="I474" s="379"/>
      <c r="Y474" s="379"/>
      <c r="AM474" s="50"/>
      <c r="AN474" s="50"/>
    </row>
    <row r="475" spans="1:40" x14ac:dyDescent="0.25">
      <c r="A475" s="53"/>
      <c r="C475" s="54"/>
      <c r="F475" s="379"/>
      <c r="H475" s="379"/>
      <c r="I475" s="379"/>
      <c r="L475" s="379"/>
      <c r="M475" s="379"/>
      <c r="N475" s="50"/>
      <c r="O475" s="50"/>
      <c r="P475" s="449"/>
      <c r="Q475" s="449"/>
      <c r="R475" s="379"/>
      <c r="T475" s="54"/>
      <c r="V475" s="379"/>
      <c r="Y475" s="379"/>
      <c r="AA475" s="379"/>
      <c r="AB475" s="379"/>
      <c r="AC475" s="50"/>
      <c r="AD475" s="50"/>
      <c r="AE475" s="379"/>
      <c r="AF475" s="379"/>
      <c r="AG475" s="156"/>
      <c r="AH475" s="60"/>
      <c r="AI475" s="449"/>
      <c r="AJ475" s="449"/>
      <c r="AK475" s="156"/>
      <c r="AL475" s="379"/>
      <c r="AM475" s="50"/>
      <c r="AN475" s="50"/>
    </row>
    <row r="476" spans="1:40" x14ac:dyDescent="0.25">
      <c r="H476" s="381"/>
      <c r="I476" s="381"/>
      <c r="J476" s="464"/>
      <c r="K476" s="464"/>
      <c r="L476" s="381"/>
      <c r="M476" s="381"/>
      <c r="N476" s="381"/>
      <c r="O476" s="381"/>
      <c r="P476" s="381"/>
      <c r="Q476" s="381"/>
      <c r="R476" s="381"/>
      <c r="V476" s="381"/>
      <c r="Y476" s="381"/>
      <c r="Z476" s="464"/>
      <c r="AA476" s="381"/>
      <c r="AB476" s="381"/>
      <c r="AC476" s="381"/>
      <c r="AD476" s="381"/>
      <c r="AE476" s="381"/>
      <c r="AF476" s="381"/>
      <c r="AI476" s="381"/>
      <c r="AJ476" s="381"/>
      <c r="AK476" s="162"/>
      <c r="AL476" s="381"/>
      <c r="AM476" s="50"/>
      <c r="AN476" s="50"/>
    </row>
    <row r="477" spans="1:40" x14ac:dyDescent="0.25">
      <c r="F477" s="381"/>
    </row>
    <row r="478" spans="1:40" x14ac:dyDescent="0.25">
      <c r="F478" s="379"/>
      <c r="H478" s="379"/>
      <c r="I478" s="379"/>
      <c r="J478" s="59"/>
      <c r="K478" s="59"/>
      <c r="L478" s="379"/>
      <c r="M478" s="379"/>
      <c r="N478" s="379"/>
      <c r="O478" s="379"/>
      <c r="P478" s="379"/>
      <c r="Q478" s="379"/>
      <c r="R478" s="379"/>
      <c r="V478" s="379"/>
      <c r="Y478" s="379"/>
      <c r="Z478" s="59"/>
      <c r="AA478" s="379"/>
      <c r="AB478" s="379"/>
      <c r="AC478" s="379"/>
      <c r="AD478" s="379"/>
      <c r="AE478" s="379"/>
      <c r="AF478" s="379"/>
      <c r="AG478" s="156"/>
      <c r="AH478" s="379"/>
      <c r="AI478" s="379"/>
      <c r="AJ478" s="379"/>
      <c r="AK478" s="156"/>
      <c r="AL478" s="379"/>
    </row>
    <row r="479" spans="1:40" x14ac:dyDescent="0.25">
      <c r="A479" s="54"/>
    </row>
    <row r="480" spans="1:40" x14ac:dyDescent="0.25">
      <c r="J480" s="53"/>
      <c r="K480" s="53"/>
      <c r="Z480" s="53"/>
    </row>
    <row r="481" spans="1:40" x14ac:dyDescent="0.25">
      <c r="H481" s="54"/>
      <c r="I481" s="54"/>
      <c r="Y481" s="54"/>
    </row>
    <row r="482" spans="1:40" x14ac:dyDescent="0.25">
      <c r="J482" s="53"/>
      <c r="K482" s="53"/>
      <c r="Z482" s="53"/>
    </row>
    <row r="483" spans="1:40" x14ac:dyDescent="0.25">
      <c r="L483" s="54"/>
      <c r="M483" s="54"/>
      <c r="AA483" s="54"/>
      <c r="AB483" s="54"/>
    </row>
    <row r="484" spans="1:40" x14ac:dyDescent="0.25">
      <c r="A484" s="53"/>
      <c r="R484" s="54"/>
      <c r="AK484" s="161"/>
      <c r="AL484" s="54"/>
    </row>
    <row r="485" spans="1:40" x14ac:dyDescent="0.25">
      <c r="A485" s="53"/>
      <c r="R485" s="54"/>
      <c r="AK485" s="161"/>
      <c r="AL485" s="54"/>
    </row>
    <row r="486" spans="1:40" x14ac:dyDescent="0.25">
      <c r="A486" s="54"/>
      <c r="R486" s="54"/>
      <c r="AK486" s="161"/>
      <c r="AL486" s="54"/>
    </row>
    <row r="487" spans="1:40" x14ac:dyDescent="0.25">
      <c r="L487" s="54"/>
      <c r="M487" s="54"/>
      <c r="R487" s="53"/>
      <c r="AA487" s="54"/>
      <c r="AB487" s="54"/>
      <c r="AK487" s="156"/>
      <c r="AL487" s="53"/>
    </row>
    <row r="488" spans="1:40" x14ac:dyDescent="0.25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154"/>
      <c r="AH488" s="55"/>
      <c r="AI488" s="55"/>
      <c r="AJ488" s="55"/>
      <c r="AK488" s="154"/>
      <c r="AL488" s="55"/>
      <c r="AM488" s="55"/>
      <c r="AN488" s="55"/>
    </row>
    <row r="489" spans="1:40" x14ac:dyDescent="0.25">
      <c r="L489" s="56"/>
      <c r="M489" s="56"/>
      <c r="N489" s="56"/>
      <c r="O489" s="56"/>
      <c r="R489" s="56"/>
      <c r="AA489" s="56"/>
      <c r="AB489" s="56"/>
      <c r="AC489" s="56"/>
      <c r="AD489" s="56"/>
      <c r="AE489" s="56"/>
      <c r="AF489" s="56"/>
      <c r="AG489" s="155"/>
      <c r="AH489" s="56"/>
      <c r="AK489" s="155"/>
      <c r="AL489" s="56"/>
      <c r="AM489" s="56"/>
      <c r="AN489" s="56"/>
    </row>
    <row r="490" spans="1:40" x14ac:dyDescent="0.25">
      <c r="L490" s="56"/>
      <c r="M490" s="56"/>
      <c r="N490" s="56"/>
      <c r="O490" s="56"/>
      <c r="R490" s="56"/>
      <c r="Z490" s="56"/>
      <c r="AA490" s="56"/>
      <c r="AB490" s="56"/>
      <c r="AC490" s="56"/>
      <c r="AD490" s="56"/>
      <c r="AE490" s="56"/>
      <c r="AF490" s="56"/>
      <c r="AG490" s="155"/>
      <c r="AH490" s="56"/>
      <c r="AK490" s="155"/>
      <c r="AL490" s="56"/>
      <c r="AM490" s="56"/>
      <c r="AN490" s="56"/>
    </row>
    <row r="491" spans="1:40" x14ac:dyDescent="0.25">
      <c r="A491" s="56"/>
      <c r="C491" s="56"/>
      <c r="D491" s="56"/>
      <c r="E491" s="56"/>
      <c r="F491" s="56"/>
      <c r="J491" s="56"/>
      <c r="K491" s="56"/>
      <c r="L491" s="56"/>
      <c r="M491" s="56"/>
      <c r="N491" s="56"/>
      <c r="O491" s="56"/>
      <c r="P491" s="56"/>
      <c r="Q491" s="56"/>
      <c r="R491" s="56"/>
      <c r="T491" s="56"/>
      <c r="U491" s="56"/>
      <c r="V491" s="56"/>
      <c r="Z491" s="56"/>
      <c r="AA491" s="56"/>
      <c r="AB491" s="56"/>
      <c r="AC491" s="56"/>
      <c r="AD491" s="56"/>
      <c r="AE491" s="56"/>
      <c r="AF491" s="56"/>
      <c r="AG491" s="155"/>
      <c r="AH491" s="56"/>
      <c r="AI491" s="56"/>
      <c r="AJ491" s="56"/>
      <c r="AK491" s="155"/>
      <c r="AL491" s="56"/>
      <c r="AM491" s="56"/>
      <c r="AN491" s="56"/>
    </row>
    <row r="492" spans="1:40" x14ac:dyDescent="0.25">
      <c r="A492" s="56"/>
      <c r="C492" s="56"/>
      <c r="D492" s="56"/>
      <c r="E492" s="56"/>
      <c r="F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T492" s="56"/>
      <c r="U492" s="56"/>
      <c r="V492" s="56"/>
      <c r="Y492" s="56"/>
      <c r="Z492" s="56"/>
      <c r="AA492" s="56"/>
      <c r="AB492" s="56"/>
      <c r="AC492" s="56"/>
      <c r="AD492" s="56"/>
      <c r="AE492" s="56"/>
      <c r="AF492" s="56"/>
      <c r="AG492" s="155"/>
      <c r="AH492" s="56"/>
      <c r="AI492" s="56"/>
      <c r="AJ492" s="56"/>
      <c r="AK492" s="155"/>
      <c r="AL492" s="56"/>
      <c r="AM492" s="56"/>
      <c r="AN492" s="56"/>
    </row>
    <row r="493" spans="1:40" x14ac:dyDescent="0.25">
      <c r="C493" s="56"/>
      <c r="D493" s="56"/>
      <c r="E493" s="56"/>
      <c r="F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T493" s="56"/>
      <c r="U493" s="56"/>
      <c r="V493" s="56"/>
      <c r="Y493" s="56"/>
      <c r="Z493" s="56"/>
      <c r="AA493" s="56"/>
      <c r="AB493" s="56"/>
      <c r="AC493" s="56"/>
      <c r="AD493" s="56"/>
      <c r="AE493" s="56"/>
      <c r="AF493" s="56"/>
      <c r="AG493" s="155"/>
      <c r="AH493" s="56"/>
      <c r="AI493" s="56"/>
      <c r="AJ493" s="56"/>
      <c r="AK493" s="155"/>
      <c r="AL493" s="56"/>
      <c r="AM493" s="56"/>
      <c r="AN493" s="56"/>
    </row>
    <row r="494" spans="1:40" x14ac:dyDescent="0.25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154"/>
      <c r="AH494" s="55"/>
      <c r="AI494" s="55"/>
      <c r="AJ494" s="55"/>
      <c r="AK494" s="154"/>
      <c r="AL494" s="55"/>
      <c r="AM494" s="55"/>
      <c r="AN494" s="55"/>
    </row>
    <row r="495" spans="1:40" x14ac:dyDescent="0.25"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Y495" s="56"/>
      <c r="Z495" s="56"/>
      <c r="AA495" s="56"/>
      <c r="AB495" s="56"/>
      <c r="AC495" s="56"/>
      <c r="AD495" s="56"/>
      <c r="AE495" s="56"/>
      <c r="AF495" s="56"/>
      <c r="AG495" s="155"/>
      <c r="AH495" s="56"/>
      <c r="AI495" s="56"/>
      <c r="AJ495" s="56"/>
      <c r="AK495" s="155"/>
      <c r="AL495" s="56"/>
      <c r="AM495" s="56"/>
      <c r="AN495" s="56"/>
    </row>
    <row r="496" spans="1:40" x14ac:dyDescent="0.25">
      <c r="A496" s="53"/>
      <c r="C496" s="54"/>
      <c r="D496" s="54"/>
      <c r="E496" s="54"/>
      <c r="T496" s="54"/>
      <c r="U496" s="54"/>
      <c r="V496" s="379"/>
      <c r="W496" s="379"/>
      <c r="X496" s="379"/>
      <c r="Y496" s="379"/>
      <c r="Z496" s="477"/>
    </row>
    <row r="498" spans="1:40" x14ac:dyDescent="0.25">
      <c r="A498" s="53"/>
      <c r="C498" s="54"/>
      <c r="T498" s="54"/>
      <c r="V498" s="379"/>
      <c r="W498" s="379"/>
      <c r="X498" s="379"/>
      <c r="Y498" s="379"/>
      <c r="Z498" s="477"/>
    </row>
    <row r="499" spans="1:40" x14ac:dyDescent="0.25">
      <c r="A499" s="53"/>
      <c r="C499" s="54"/>
      <c r="F499" s="449"/>
      <c r="H499" s="449"/>
      <c r="I499" s="449"/>
      <c r="J499" s="221"/>
      <c r="K499" s="221"/>
      <c r="L499" s="379"/>
      <c r="M499" s="379"/>
      <c r="N499" s="50"/>
      <c r="O499" s="50"/>
      <c r="P499" s="379"/>
      <c r="Q499" s="379"/>
      <c r="R499" s="379"/>
      <c r="T499" s="54"/>
      <c r="V499" s="379"/>
      <c r="W499" s="379"/>
      <c r="X499" s="379"/>
      <c r="Y499" s="379"/>
      <c r="Z499" s="221"/>
      <c r="AA499" s="379"/>
      <c r="AB499" s="379"/>
      <c r="AC499" s="50"/>
      <c r="AD499" s="50"/>
      <c r="AE499" s="379"/>
      <c r="AF499" s="379"/>
      <c r="AG499" s="156"/>
      <c r="AH499" s="60"/>
      <c r="AI499" s="379"/>
      <c r="AJ499" s="379"/>
      <c r="AK499" s="156"/>
      <c r="AL499" s="379"/>
      <c r="AM499" s="50"/>
      <c r="AN499" s="50"/>
    </row>
    <row r="500" spans="1:40" x14ac:dyDescent="0.25">
      <c r="A500" s="53"/>
      <c r="C500" s="54"/>
      <c r="F500" s="449"/>
      <c r="H500" s="449"/>
      <c r="I500" s="449"/>
      <c r="J500" s="221"/>
      <c r="K500" s="221"/>
      <c r="L500" s="379"/>
      <c r="M500" s="379"/>
      <c r="N500" s="50"/>
      <c r="O500" s="50"/>
      <c r="P500" s="379"/>
      <c r="Q500" s="379"/>
      <c r="R500" s="379"/>
      <c r="T500" s="54"/>
      <c r="V500" s="379"/>
      <c r="W500" s="379"/>
      <c r="X500" s="379"/>
      <c r="Y500" s="379"/>
      <c r="Z500" s="221"/>
      <c r="AA500" s="379"/>
      <c r="AB500" s="379"/>
      <c r="AC500" s="50"/>
      <c r="AD500" s="50"/>
      <c r="AE500" s="379"/>
      <c r="AF500" s="379"/>
      <c r="AG500" s="156"/>
      <c r="AH500" s="60"/>
      <c r="AI500" s="379"/>
      <c r="AJ500" s="379"/>
      <c r="AK500" s="156"/>
      <c r="AL500" s="379"/>
      <c r="AM500" s="50"/>
      <c r="AN500" s="50"/>
    </row>
    <row r="501" spans="1:40" x14ac:dyDescent="0.25">
      <c r="A501" s="53"/>
      <c r="C501" s="54"/>
      <c r="F501" s="449"/>
      <c r="H501" s="449"/>
      <c r="I501" s="449"/>
      <c r="J501" s="221"/>
      <c r="K501" s="221"/>
      <c r="L501" s="379"/>
      <c r="M501" s="379"/>
      <c r="N501" s="50"/>
      <c r="O501" s="50"/>
      <c r="P501" s="379"/>
      <c r="Q501" s="379"/>
      <c r="R501" s="379"/>
      <c r="T501" s="54"/>
      <c r="V501" s="379"/>
      <c r="W501" s="379"/>
      <c r="X501" s="379"/>
      <c r="Y501" s="379"/>
      <c r="Z501" s="221"/>
      <c r="AA501" s="379"/>
      <c r="AB501" s="379"/>
      <c r="AC501" s="50"/>
      <c r="AD501" s="50"/>
      <c r="AE501" s="379"/>
      <c r="AF501" s="379"/>
      <c r="AG501" s="156"/>
      <c r="AH501" s="60"/>
      <c r="AI501" s="379"/>
      <c r="AJ501" s="379"/>
      <c r="AK501" s="156"/>
      <c r="AL501" s="379"/>
      <c r="AM501" s="50"/>
      <c r="AN501" s="50"/>
    </row>
    <row r="502" spans="1:40" x14ac:dyDescent="0.25">
      <c r="A502" s="53"/>
      <c r="C502" s="54"/>
      <c r="F502" s="449"/>
      <c r="H502" s="449"/>
      <c r="I502" s="449"/>
      <c r="J502" s="221"/>
      <c r="K502" s="221"/>
      <c r="L502" s="379"/>
      <c r="M502" s="379"/>
      <c r="N502" s="50"/>
      <c r="O502" s="50"/>
      <c r="P502" s="379"/>
      <c r="Q502" s="379"/>
      <c r="R502" s="379"/>
      <c r="T502" s="54"/>
      <c r="V502" s="379"/>
      <c r="W502" s="379"/>
      <c r="X502" s="379"/>
      <c r="Y502" s="379"/>
      <c r="Z502" s="221"/>
      <c r="AA502" s="379"/>
      <c r="AB502" s="379"/>
      <c r="AC502" s="50"/>
      <c r="AD502" s="50"/>
      <c r="AE502" s="379"/>
      <c r="AF502" s="379"/>
      <c r="AG502" s="156"/>
      <c r="AH502" s="60"/>
      <c r="AI502" s="379"/>
      <c r="AJ502" s="379"/>
      <c r="AK502" s="156"/>
      <c r="AL502" s="379"/>
      <c r="AM502" s="50"/>
      <c r="AN502" s="50"/>
    </row>
    <row r="503" spans="1:40" x14ac:dyDescent="0.25">
      <c r="J503" s="65"/>
      <c r="K503" s="65"/>
      <c r="V503" s="379"/>
      <c r="W503" s="379"/>
      <c r="X503" s="379"/>
      <c r="Y503" s="379"/>
      <c r="Z503" s="221"/>
    </row>
    <row r="504" spans="1:40" x14ac:dyDescent="0.25">
      <c r="A504" s="53"/>
      <c r="C504" s="54"/>
      <c r="F504" s="449"/>
      <c r="H504" s="449"/>
      <c r="I504" s="449"/>
      <c r="J504" s="221"/>
      <c r="K504" s="221"/>
      <c r="L504" s="379"/>
      <c r="M504" s="379"/>
      <c r="N504" s="50"/>
      <c r="O504" s="50"/>
      <c r="P504" s="379"/>
      <c r="Q504" s="379"/>
      <c r="R504" s="379"/>
      <c r="T504" s="54"/>
      <c r="V504" s="379"/>
      <c r="W504" s="379"/>
      <c r="X504" s="379"/>
      <c r="Y504" s="379"/>
      <c r="Z504" s="221"/>
      <c r="AA504" s="379"/>
      <c r="AB504" s="379"/>
      <c r="AC504" s="50"/>
      <c r="AD504" s="50"/>
      <c r="AE504" s="379"/>
      <c r="AF504" s="379"/>
      <c r="AG504" s="156"/>
      <c r="AH504" s="60"/>
      <c r="AI504" s="379"/>
      <c r="AJ504" s="379"/>
      <c r="AK504" s="156"/>
      <c r="AL504" s="379"/>
      <c r="AM504" s="60"/>
      <c r="AN504" s="60"/>
    </row>
    <row r="505" spans="1:40" x14ac:dyDescent="0.25">
      <c r="A505" s="53"/>
      <c r="C505" s="54"/>
      <c r="J505" s="65"/>
      <c r="K505" s="65"/>
      <c r="T505" s="54"/>
      <c r="V505" s="379"/>
      <c r="W505" s="379"/>
      <c r="X505" s="379"/>
      <c r="Y505" s="379"/>
      <c r="Z505" s="221"/>
    </row>
    <row r="506" spans="1:40" x14ac:dyDescent="0.25">
      <c r="A506" s="53"/>
      <c r="C506" s="54"/>
      <c r="F506" s="449"/>
      <c r="H506" s="449"/>
      <c r="I506" s="449"/>
      <c r="J506" s="221"/>
      <c r="K506" s="221"/>
      <c r="L506" s="379"/>
      <c r="M506" s="379"/>
      <c r="N506" s="50"/>
      <c r="O506" s="50"/>
      <c r="P506" s="379"/>
      <c r="Q506" s="379"/>
      <c r="R506" s="379"/>
      <c r="T506" s="54"/>
      <c r="V506" s="379"/>
      <c r="W506" s="379"/>
      <c r="X506" s="379"/>
      <c r="Y506" s="379"/>
      <c r="Z506" s="221"/>
      <c r="AA506" s="379"/>
      <c r="AB506" s="379"/>
      <c r="AC506" s="50"/>
      <c r="AD506" s="50"/>
      <c r="AE506" s="379"/>
      <c r="AF506" s="379"/>
      <c r="AG506" s="156"/>
      <c r="AH506" s="60"/>
      <c r="AI506" s="379"/>
      <c r="AJ506" s="379"/>
      <c r="AK506" s="156"/>
      <c r="AL506" s="379"/>
      <c r="AM506" s="60"/>
      <c r="AN506" s="60"/>
    </row>
    <row r="507" spans="1:40" x14ac:dyDescent="0.25">
      <c r="J507" s="65"/>
      <c r="K507" s="65"/>
      <c r="Z507" s="65"/>
    </row>
    <row r="508" spans="1:40" x14ac:dyDescent="0.25">
      <c r="A508" s="53"/>
      <c r="C508" s="54"/>
      <c r="J508" s="65"/>
      <c r="K508" s="65"/>
      <c r="T508" s="54"/>
      <c r="V508" s="379"/>
      <c r="W508" s="379"/>
      <c r="X508" s="379"/>
      <c r="Y508" s="379"/>
      <c r="Z508" s="221"/>
    </row>
    <row r="509" spans="1:40" x14ac:dyDescent="0.25">
      <c r="A509" s="53"/>
      <c r="C509" s="54"/>
      <c r="F509" s="449"/>
      <c r="H509" s="449"/>
      <c r="I509" s="449"/>
      <c r="J509" s="221"/>
      <c r="K509" s="221"/>
      <c r="L509" s="379"/>
      <c r="M509" s="379"/>
      <c r="N509" s="50"/>
      <c r="O509" s="50"/>
      <c r="P509" s="379"/>
      <c r="Q509" s="379"/>
      <c r="R509" s="379"/>
      <c r="T509" s="54"/>
      <c r="V509" s="379"/>
      <c r="W509" s="379"/>
      <c r="X509" s="379"/>
      <c r="Y509" s="379"/>
      <c r="Z509" s="221"/>
      <c r="AA509" s="379"/>
      <c r="AB509" s="379"/>
      <c r="AC509" s="50"/>
      <c r="AD509" s="50"/>
      <c r="AE509" s="379"/>
      <c r="AF509" s="379"/>
      <c r="AG509" s="156"/>
      <c r="AH509" s="60"/>
      <c r="AI509" s="379"/>
      <c r="AJ509" s="379"/>
      <c r="AK509" s="156"/>
      <c r="AL509" s="379"/>
      <c r="AM509" s="60"/>
      <c r="AN509" s="60"/>
    </row>
    <row r="510" spans="1:40" x14ac:dyDescent="0.25">
      <c r="A510" s="53"/>
      <c r="C510" s="54"/>
      <c r="F510" s="449"/>
      <c r="H510" s="449"/>
      <c r="I510" s="449"/>
      <c r="J510" s="221"/>
      <c r="K510" s="221"/>
      <c r="L510" s="379"/>
      <c r="M510" s="379"/>
      <c r="N510" s="50"/>
      <c r="O510" s="50"/>
      <c r="P510" s="379"/>
      <c r="Q510" s="379"/>
      <c r="R510" s="379"/>
      <c r="T510" s="54"/>
      <c r="V510" s="379"/>
      <c r="W510" s="379"/>
      <c r="X510" s="379"/>
      <c r="Y510" s="379"/>
      <c r="Z510" s="221"/>
      <c r="AA510" s="379"/>
      <c r="AB510" s="379"/>
      <c r="AC510" s="50"/>
      <c r="AD510" s="50"/>
      <c r="AE510" s="379"/>
      <c r="AF510" s="379"/>
      <c r="AG510" s="156"/>
      <c r="AH510" s="60"/>
      <c r="AI510" s="379"/>
      <c r="AJ510" s="379"/>
      <c r="AK510" s="156"/>
      <c r="AL510" s="379"/>
      <c r="AM510" s="60"/>
      <c r="AN510" s="60"/>
    </row>
    <row r="511" spans="1:40" x14ac:dyDescent="0.25">
      <c r="F511" s="381"/>
      <c r="H511" s="381"/>
      <c r="I511" s="381"/>
      <c r="J511" s="221"/>
      <c r="K511" s="221"/>
      <c r="L511" s="381"/>
      <c r="M511" s="381"/>
      <c r="N511" s="381"/>
      <c r="O511" s="381"/>
      <c r="P511" s="381"/>
      <c r="Q511" s="381"/>
      <c r="R511" s="381"/>
      <c r="V511" s="381"/>
      <c r="Y511" s="381"/>
      <c r="Z511" s="464"/>
      <c r="AA511" s="381"/>
      <c r="AB511" s="381"/>
      <c r="AC511" s="381"/>
      <c r="AD511" s="381"/>
      <c r="AE511" s="381"/>
      <c r="AF511" s="381"/>
      <c r="AI511" s="381"/>
      <c r="AJ511" s="381"/>
      <c r="AK511" s="162"/>
      <c r="AL511" s="381"/>
    </row>
    <row r="512" spans="1:40" x14ac:dyDescent="0.25">
      <c r="A512" s="53"/>
      <c r="C512" s="54"/>
      <c r="F512" s="379"/>
      <c r="H512" s="379"/>
      <c r="I512" s="379"/>
      <c r="L512" s="379"/>
      <c r="M512" s="379"/>
      <c r="N512" s="50"/>
      <c r="O512" s="50"/>
      <c r="P512" s="449"/>
      <c r="Q512" s="449"/>
      <c r="R512" s="379"/>
      <c r="T512" s="54"/>
      <c r="V512" s="379"/>
      <c r="W512" s="379"/>
      <c r="X512" s="379"/>
      <c r="Y512" s="379"/>
      <c r="Z512" s="477"/>
      <c r="AA512" s="379"/>
      <c r="AB512" s="379"/>
      <c r="AC512" s="50"/>
      <c r="AD512" s="50"/>
      <c r="AE512" s="379"/>
      <c r="AF512" s="379"/>
      <c r="AG512" s="156"/>
      <c r="AH512" s="60"/>
      <c r="AI512" s="449"/>
      <c r="AJ512" s="449"/>
      <c r="AK512" s="156"/>
      <c r="AL512" s="379"/>
      <c r="AM512" s="60"/>
      <c r="AN512" s="60"/>
    </row>
    <row r="513" spans="1:40" x14ac:dyDescent="0.25">
      <c r="H513" s="381"/>
      <c r="I513" s="381"/>
      <c r="J513" s="464"/>
      <c r="K513" s="464"/>
      <c r="L513" s="381"/>
      <c r="M513" s="381"/>
      <c r="N513" s="381"/>
      <c r="O513" s="381"/>
      <c r="P513" s="381"/>
      <c r="Q513" s="381"/>
      <c r="R513" s="381"/>
      <c r="V513" s="381"/>
      <c r="Y513" s="381"/>
      <c r="Z513" s="464"/>
      <c r="AA513" s="381"/>
      <c r="AB513" s="381"/>
      <c r="AC513" s="381"/>
      <c r="AD513" s="381"/>
      <c r="AE513" s="381"/>
      <c r="AF513" s="381"/>
      <c r="AI513" s="381"/>
      <c r="AJ513" s="381"/>
      <c r="AK513" s="162"/>
      <c r="AL513" s="381"/>
    </row>
    <row r="514" spans="1:40" x14ac:dyDescent="0.25">
      <c r="F514" s="381"/>
    </row>
    <row r="515" spans="1:40" x14ac:dyDescent="0.25">
      <c r="C515" s="53"/>
      <c r="T515" s="53"/>
    </row>
    <row r="516" spans="1:40" x14ac:dyDescent="0.25">
      <c r="A516" s="54"/>
    </row>
    <row r="517" spans="1:40" x14ac:dyDescent="0.25">
      <c r="J517" s="53"/>
      <c r="K517" s="53"/>
      <c r="Z517" s="53"/>
    </row>
    <row r="518" spans="1:40" x14ac:dyDescent="0.25">
      <c r="H518" s="54"/>
      <c r="I518" s="54"/>
      <c r="Y518" s="54"/>
    </row>
    <row r="519" spans="1:40" x14ac:dyDescent="0.25">
      <c r="J519" s="53"/>
      <c r="K519" s="53"/>
      <c r="Z519" s="53"/>
    </row>
    <row r="520" spans="1:40" x14ac:dyDescent="0.25">
      <c r="L520" s="54"/>
      <c r="M520" s="54"/>
      <c r="AA520" s="54"/>
      <c r="AB520" s="54"/>
    </row>
    <row r="521" spans="1:40" x14ac:dyDescent="0.25">
      <c r="A521" s="53"/>
      <c r="R521" s="54"/>
      <c r="AK521" s="161"/>
      <c r="AL521" s="54"/>
    </row>
    <row r="522" spans="1:40" x14ac:dyDescent="0.25">
      <c r="A522" s="53"/>
      <c r="R522" s="54"/>
      <c r="AK522" s="161"/>
      <c r="AL522" s="54"/>
    </row>
    <row r="523" spans="1:40" x14ac:dyDescent="0.25">
      <c r="A523" s="54"/>
      <c r="R523" s="54"/>
      <c r="AK523" s="161"/>
      <c r="AL523" s="54"/>
    </row>
    <row r="524" spans="1:40" x14ac:dyDescent="0.25">
      <c r="L524" s="54"/>
      <c r="M524" s="54"/>
      <c r="R524" s="53"/>
      <c r="AA524" s="54"/>
      <c r="AB524" s="54"/>
      <c r="AK524" s="156"/>
      <c r="AL524" s="53"/>
    </row>
    <row r="525" spans="1:40" x14ac:dyDescent="0.25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154"/>
      <c r="AH525" s="55"/>
      <c r="AI525" s="55"/>
      <c r="AJ525" s="55"/>
      <c r="AK525" s="154"/>
      <c r="AL525" s="55"/>
      <c r="AM525" s="55"/>
      <c r="AN525" s="55"/>
    </row>
    <row r="526" spans="1:40" x14ac:dyDescent="0.25">
      <c r="L526" s="56"/>
      <c r="M526" s="56"/>
      <c r="N526" s="56"/>
      <c r="O526" s="56"/>
      <c r="R526" s="56"/>
      <c r="AA526" s="56"/>
      <c r="AB526" s="56"/>
      <c r="AC526" s="56"/>
      <c r="AD526" s="56"/>
      <c r="AE526" s="56"/>
      <c r="AF526" s="56"/>
      <c r="AG526" s="155"/>
      <c r="AH526" s="56"/>
      <c r="AK526" s="155"/>
      <c r="AL526" s="56"/>
      <c r="AM526" s="56"/>
      <c r="AN526" s="56"/>
    </row>
    <row r="527" spans="1:40" x14ac:dyDescent="0.25">
      <c r="L527" s="56"/>
      <c r="M527" s="56"/>
      <c r="N527" s="56"/>
      <c r="O527" s="56"/>
      <c r="R527" s="56"/>
      <c r="Z527" s="56"/>
      <c r="AA527" s="56"/>
      <c r="AB527" s="56"/>
      <c r="AC527" s="56"/>
      <c r="AD527" s="56"/>
      <c r="AE527" s="56"/>
      <c r="AF527" s="56"/>
      <c r="AG527" s="155"/>
      <c r="AH527" s="56"/>
      <c r="AK527" s="155"/>
      <c r="AL527" s="56"/>
      <c r="AM527" s="56"/>
      <c r="AN527" s="56"/>
    </row>
    <row r="528" spans="1:40" x14ac:dyDescent="0.25">
      <c r="A528" s="56"/>
      <c r="C528" s="56"/>
      <c r="D528" s="56"/>
      <c r="E528" s="56"/>
      <c r="F528" s="56"/>
      <c r="J528" s="56"/>
      <c r="K528" s="56"/>
      <c r="L528" s="56"/>
      <c r="M528" s="56"/>
      <c r="N528" s="56"/>
      <c r="O528" s="56"/>
      <c r="P528" s="56"/>
      <c r="Q528" s="56"/>
      <c r="R528" s="56"/>
      <c r="T528" s="56"/>
      <c r="U528" s="56"/>
      <c r="V528" s="56"/>
      <c r="Z528" s="56"/>
      <c r="AA528" s="56"/>
      <c r="AB528" s="56"/>
      <c r="AC528" s="56"/>
      <c r="AD528" s="56"/>
      <c r="AE528" s="56"/>
      <c r="AF528" s="56"/>
      <c r="AG528" s="155"/>
      <c r="AH528" s="56"/>
      <c r="AI528" s="56"/>
      <c r="AJ528" s="56"/>
      <c r="AK528" s="155"/>
      <c r="AL528" s="56"/>
      <c r="AM528" s="56"/>
      <c r="AN528" s="56"/>
    </row>
    <row r="529" spans="1:40" x14ac:dyDescent="0.25">
      <c r="A529" s="56"/>
      <c r="C529" s="56"/>
      <c r="D529" s="56"/>
      <c r="E529" s="56"/>
      <c r="F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T529" s="56"/>
      <c r="U529" s="56"/>
      <c r="V529" s="56"/>
      <c r="Y529" s="56"/>
      <c r="Z529" s="56"/>
      <c r="AA529" s="56"/>
      <c r="AB529" s="56"/>
      <c r="AC529" s="56"/>
      <c r="AD529" s="56"/>
      <c r="AE529" s="56"/>
      <c r="AF529" s="56"/>
      <c r="AG529" s="155"/>
      <c r="AH529" s="56"/>
      <c r="AI529" s="56"/>
      <c r="AJ529" s="56"/>
      <c r="AK529" s="155"/>
      <c r="AL529" s="56"/>
      <c r="AM529" s="56"/>
      <c r="AN529" s="56"/>
    </row>
    <row r="530" spans="1:40" x14ac:dyDescent="0.25">
      <c r="C530" s="56"/>
      <c r="D530" s="56"/>
      <c r="E530" s="56"/>
      <c r="F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T530" s="56"/>
      <c r="U530" s="56"/>
      <c r="V530" s="56"/>
      <c r="Y530" s="56"/>
      <c r="Z530" s="56"/>
      <c r="AA530" s="56"/>
      <c r="AB530" s="56"/>
      <c r="AC530" s="56"/>
      <c r="AD530" s="56"/>
      <c r="AE530" s="56"/>
      <c r="AF530" s="56"/>
      <c r="AG530" s="155"/>
      <c r="AH530" s="56"/>
      <c r="AI530" s="56"/>
      <c r="AJ530" s="56"/>
      <c r="AK530" s="155"/>
      <c r="AL530" s="56"/>
      <c r="AM530" s="56"/>
      <c r="AN530" s="56"/>
    </row>
    <row r="531" spans="1:40" x14ac:dyDescent="0.25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154"/>
      <c r="AH531" s="55"/>
      <c r="AI531" s="55"/>
      <c r="AJ531" s="55"/>
      <c r="AK531" s="154"/>
      <c r="AL531" s="55"/>
      <c r="AM531" s="55"/>
      <c r="AN531" s="55"/>
    </row>
    <row r="532" spans="1:40" x14ac:dyDescent="0.25"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Y532" s="56"/>
      <c r="Z532" s="56"/>
      <c r="AA532" s="56"/>
      <c r="AB532" s="56"/>
      <c r="AC532" s="56"/>
      <c r="AD532" s="56"/>
      <c r="AE532" s="56"/>
      <c r="AF532" s="56"/>
      <c r="AG532" s="155"/>
      <c r="AH532" s="56"/>
      <c r="AI532" s="56"/>
      <c r="AJ532" s="56"/>
      <c r="AK532" s="155"/>
      <c r="AL532" s="56"/>
      <c r="AM532" s="56"/>
      <c r="AN532" s="56"/>
    </row>
    <row r="533" spans="1:40" x14ac:dyDescent="0.25">
      <c r="A533" s="53"/>
      <c r="C533" s="54"/>
      <c r="D533" s="54"/>
      <c r="E533" s="54"/>
      <c r="T533" s="54"/>
      <c r="U533" s="54"/>
    </row>
    <row r="535" spans="1:40" x14ac:dyDescent="0.25">
      <c r="A535" s="53"/>
      <c r="C535" s="54"/>
      <c r="T535" s="54"/>
    </row>
    <row r="536" spans="1:40" x14ac:dyDescent="0.25">
      <c r="A536" s="53"/>
      <c r="C536" s="54"/>
      <c r="T536" s="54"/>
    </row>
    <row r="537" spans="1:40" x14ac:dyDescent="0.25">
      <c r="A537" s="53"/>
      <c r="C537" s="54"/>
      <c r="F537" s="449"/>
      <c r="H537" s="449"/>
      <c r="I537" s="449"/>
      <c r="J537" s="221"/>
      <c r="K537" s="221"/>
      <c r="L537" s="379"/>
      <c r="M537" s="379"/>
      <c r="N537" s="50"/>
      <c r="O537" s="50"/>
      <c r="P537" s="379"/>
      <c r="Q537" s="379"/>
      <c r="R537" s="379"/>
      <c r="T537" s="54"/>
      <c r="V537" s="379"/>
      <c r="W537" s="379"/>
      <c r="X537" s="379"/>
      <c r="Y537" s="379"/>
      <c r="Z537" s="221"/>
      <c r="AA537" s="379"/>
      <c r="AB537" s="379"/>
      <c r="AC537" s="50"/>
      <c r="AD537" s="50"/>
      <c r="AE537" s="379"/>
      <c r="AF537" s="379"/>
      <c r="AG537" s="156"/>
      <c r="AH537" s="60"/>
      <c r="AI537" s="379"/>
      <c r="AJ537" s="379"/>
      <c r="AK537" s="156"/>
      <c r="AL537" s="379"/>
      <c r="AM537" s="60"/>
      <c r="AN537" s="60"/>
    </row>
    <row r="538" spans="1:40" x14ac:dyDescent="0.25">
      <c r="A538" s="53"/>
      <c r="C538" s="54"/>
      <c r="F538" s="379"/>
      <c r="H538" s="379"/>
      <c r="I538" s="379"/>
      <c r="J538" s="65"/>
      <c r="K538" s="65"/>
      <c r="L538" s="379"/>
      <c r="M538" s="379"/>
      <c r="N538" s="50"/>
      <c r="O538" s="50"/>
      <c r="P538" s="379"/>
      <c r="Q538" s="379"/>
      <c r="R538" s="379"/>
      <c r="T538" s="54"/>
      <c r="V538" s="379"/>
      <c r="W538" s="379"/>
      <c r="X538" s="379"/>
      <c r="Y538" s="379"/>
      <c r="Z538" s="65"/>
      <c r="AA538" s="379"/>
      <c r="AB538" s="379"/>
      <c r="AC538" s="50"/>
      <c r="AD538" s="50"/>
      <c r="AE538" s="379"/>
      <c r="AF538" s="379"/>
      <c r="AG538" s="156"/>
      <c r="AH538" s="60"/>
      <c r="AI538" s="379"/>
      <c r="AJ538" s="379"/>
      <c r="AK538" s="156"/>
      <c r="AL538" s="379"/>
      <c r="AM538" s="60"/>
      <c r="AN538" s="60"/>
    </row>
    <row r="539" spans="1:40" x14ac:dyDescent="0.25">
      <c r="A539" s="53"/>
      <c r="C539" s="54"/>
      <c r="F539" s="379"/>
      <c r="H539" s="379"/>
      <c r="I539" s="379"/>
      <c r="J539" s="65"/>
      <c r="K539" s="65"/>
      <c r="L539" s="379"/>
      <c r="M539" s="379"/>
      <c r="N539" s="50"/>
      <c r="O539" s="50"/>
      <c r="P539" s="379"/>
      <c r="Q539" s="379"/>
      <c r="R539" s="379"/>
      <c r="T539" s="54"/>
      <c r="V539" s="379"/>
      <c r="W539" s="379"/>
      <c r="X539" s="379"/>
      <c r="Y539" s="379"/>
      <c r="Z539" s="65"/>
      <c r="AA539" s="379"/>
      <c r="AB539" s="379"/>
      <c r="AC539" s="50"/>
      <c r="AD539" s="50"/>
      <c r="AE539" s="379"/>
      <c r="AF539" s="379"/>
      <c r="AG539" s="156"/>
      <c r="AH539" s="60"/>
      <c r="AI539" s="379"/>
      <c r="AJ539" s="379"/>
      <c r="AK539" s="156"/>
      <c r="AL539" s="379"/>
      <c r="AM539" s="60"/>
      <c r="AN539" s="60"/>
    </row>
    <row r="540" spans="1:40" x14ac:dyDescent="0.25">
      <c r="A540" s="53"/>
      <c r="C540" s="54"/>
      <c r="F540" s="379"/>
      <c r="H540" s="379"/>
      <c r="I540" s="379"/>
      <c r="J540" s="65"/>
      <c r="K540" s="65"/>
      <c r="T540" s="54"/>
      <c r="V540" s="379"/>
      <c r="Z540" s="65"/>
    </row>
    <row r="541" spans="1:40" x14ac:dyDescent="0.25">
      <c r="A541" s="53"/>
      <c r="C541" s="54"/>
      <c r="F541" s="449"/>
      <c r="H541" s="449"/>
      <c r="I541" s="449"/>
      <c r="J541" s="221"/>
      <c r="K541" s="221"/>
      <c r="L541" s="379"/>
      <c r="M541" s="379"/>
      <c r="N541" s="50"/>
      <c r="O541" s="50"/>
      <c r="P541" s="379"/>
      <c r="Q541" s="379"/>
      <c r="R541" s="379"/>
      <c r="T541" s="54"/>
      <c r="V541" s="379"/>
      <c r="W541" s="379"/>
      <c r="X541" s="379"/>
      <c r="Y541" s="379"/>
      <c r="Z541" s="221"/>
      <c r="AA541" s="379"/>
      <c r="AB541" s="379"/>
      <c r="AC541" s="50"/>
      <c r="AD541" s="50"/>
      <c r="AE541" s="379"/>
      <c r="AF541" s="379"/>
      <c r="AG541" s="156"/>
      <c r="AH541" s="60"/>
      <c r="AI541" s="379"/>
      <c r="AJ541" s="379"/>
      <c r="AK541" s="156"/>
      <c r="AL541" s="379"/>
      <c r="AM541" s="60"/>
      <c r="AN541" s="60"/>
    </row>
    <row r="542" spans="1:40" x14ac:dyDescent="0.25">
      <c r="A542" s="53"/>
      <c r="C542" s="54"/>
      <c r="F542" s="379"/>
      <c r="H542" s="379"/>
      <c r="I542" s="379"/>
      <c r="J542" s="65"/>
      <c r="K542" s="65"/>
      <c r="T542" s="54"/>
      <c r="V542" s="379"/>
      <c r="W542" s="379"/>
      <c r="X542" s="379"/>
      <c r="Y542" s="379"/>
      <c r="Z542" s="65"/>
      <c r="AC542" s="50"/>
      <c r="AD542" s="50"/>
      <c r="AE542" s="379"/>
      <c r="AF542" s="379"/>
      <c r="AG542" s="156"/>
      <c r="AH542" s="60"/>
      <c r="AI542" s="379"/>
      <c r="AJ542" s="379"/>
      <c r="AK542" s="156"/>
      <c r="AL542" s="379"/>
      <c r="AM542" s="60"/>
      <c r="AN542" s="60"/>
    </row>
    <row r="543" spans="1:40" x14ac:dyDescent="0.25">
      <c r="A543" s="53"/>
      <c r="C543" s="54"/>
      <c r="F543" s="449"/>
      <c r="H543" s="449"/>
      <c r="I543" s="449"/>
      <c r="J543" s="221"/>
      <c r="K543" s="221"/>
      <c r="L543" s="379"/>
      <c r="M543" s="379"/>
      <c r="N543" s="50"/>
      <c r="O543" s="50"/>
      <c r="P543" s="379"/>
      <c r="Q543" s="379"/>
      <c r="R543" s="379"/>
      <c r="T543" s="54"/>
      <c r="V543" s="379"/>
      <c r="W543" s="379"/>
      <c r="X543" s="379"/>
      <c r="Y543" s="379"/>
      <c r="Z543" s="221"/>
      <c r="AA543" s="379"/>
      <c r="AB543" s="379"/>
      <c r="AC543" s="50"/>
      <c r="AD543" s="50"/>
      <c r="AE543" s="379"/>
      <c r="AF543" s="379"/>
      <c r="AG543" s="156"/>
      <c r="AH543" s="60"/>
      <c r="AI543" s="379"/>
      <c r="AJ543" s="379"/>
      <c r="AK543" s="156"/>
      <c r="AL543" s="379"/>
      <c r="AM543" s="60"/>
      <c r="AN543" s="60"/>
    </row>
    <row r="544" spans="1:40" x14ac:dyDescent="0.25">
      <c r="A544" s="53"/>
      <c r="C544" s="54"/>
      <c r="F544" s="379"/>
      <c r="H544" s="379"/>
      <c r="I544" s="379"/>
      <c r="J544" s="65"/>
      <c r="K544" s="65"/>
      <c r="L544" s="379"/>
      <c r="M544" s="379"/>
      <c r="N544" s="50"/>
      <c r="O544" s="50"/>
      <c r="P544" s="379"/>
      <c r="Q544" s="379"/>
      <c r="R544" s="379"/>
      <c r="T544" s="54"/>
      <c r="V544" s="379"/>
      <c r="W544" s="379"/>
      <c r="X544" s="379"/>
      <c r="Y544" s="379"/>
      <c r="Z544" s="65"/>
      <c r="AA544" s="379"/>
      <c r="AB544" s="379"/>
      <c r="AC544" s="50"/>
      <c r="AD544" s="50"/>
      <c r="AE544" s="379"/>
      <c r="AF544" s="379"/>
      <c r="AG544" s="156"/>
      <c r="AH544" s="60"/>
      <c r="AI544" s="379"/>
      <c r="AJ544" s="379"/>
      <c r="AK544" s="156"/>
      <c r="AL544" s="379"/>
      <c r="AM544" s="60"/>
      <c r="AN544" s="60"/>
    </row>
    <row r="545" spans="1:40" x14ac:dyDescent="0.25">
      <c r="F545" s="379"/>
      <c r="H545" s="379"/>
      <c r="I545" s="379"/>
      <c r="J545" s="65"/>
      <c r="K545" s="65"/>
      <c r="Z545" s="65"/>
    </row>
    <row r="546" spans="1:40" x14ac:dyDescent="0.25">
      <c r="A546" s="53"/>
      <c r="C546" s="54"/>
      <c r="F546" s="379"/>
      <c r="H546" s="449"/>
      <c r="I546" s="449"/>
      <c r="J546" s="221"/>
      <c r="K546" s="221"/>
      <c r="L546" s="379"/>
      <c r="M546" s="379"/>
      <c r="N546" s="50"/>
      <c r="O546" s="50"/>
      <c r="P546" s="379"/>
      <c r="Q546" s="379"/>
      <c r="R546" s="379"/>
      <c r="T546" s="54"/>
      <c r="V546" s="379"/>
      <c r="W546" s="379"/>
      <c r="X546" s="379"/>
      <c r="Y546" s="379"/>
      <c r="Z546" s="221"/>
      <c r="AA546" s="379"/>
      <c r="AB546" s="379"/>
      <c r="AC546" s="50"/>
      <c r="AD546" s="50"/>
      <c r="AE546" s="379"/>
      <c r="AF546" s="379"/>
      <c r="AG546" s="156"/>
      <c r="AH546" s="60"/>
      <c r="AI546" s="379"/>
      <c r="AJ546" s="379"/>
      <c r="AK546" s="156"/>
      <c r="AL546" s="379"/>
      <c r="AM546" s="60"/>
      <c r="AN546" s="60"/>
    </row>
    <row r="547" spans="1:40" x14ac:dyDescent="0.25">
      <c r="F547" s="381"/>
      <c r="H547" s="381"/>
      <c r="I547" s="381"/>
      <c r="J547" s="221"/>
      <c r="K547" s="221"/>
      <c r="L547" s="381"/>
      <c r="M547" s="381"/>
      <c r="N547" s="381"/>
      <c r="O547" s="381"/>
      <c r="P547" s="381"/>
      <c r="Q547" s="381"/>
      <c r="R547" s="381"/>
      <c r="V547" s="381"/>
      <c r="Y547" s="381"/>
      <c r="Z547" s="221"/>
      <c r="AA547" s="381"/>
      <c r="AB547" s="381"/>
      <c r="AC547" s="381"/>
      <c r="AD547" s="381"/>
      <c r="AE547" s="381"/>
      <c r="AF547" s="381"/>
      <c r="AI547" s="381"/>
      <c r="AJ547" s="381"/>
      <c r="AK547" s="162"/>
      <c r="AL547" s="381"/>
    </row>
    <row r="548" spans="1:40" x14ac:dyDescent="0.25">
      <c r="A548" s="53"/>
      <c r="C548" s="54"/>
      <c r="F548" s="379"/>
      <c r="H548" s="379"/>
      <c r="I548" s="379"/>
      <c r="J548" s="65"/>
      <c r="K548" s="65"/>
      <c r="L548" s="379"/>
      <c r="M548" s="379"/>
      <c r="N548" s="53"/>
      <c r="O548" s="53"/>
      <c r="P548" s="379"/>
      <c r="Q548" s="379"/>
      <c r="R548" s="379"/>
      <c r="T548" s="54"/>
      <c r="V548" s="379"/>
      <c r="Y548" s="379"/>
      <c r="Z548" s="65"/>
      <c r="AA548" s="379"/>
      <c r="AB548" s="379"/>
      <c r="AC548" s="60"/>
      <c r="AD548" s="60"/>
      <c r="AE548" s="379"/>
      <c r="AF548" s="379"/>
      <c r="AG548" s="156"/>
      <c r="AH548" s="60"/>
      <c r="AI548" s="379"/>
      <c r="AJ548" s="379"/>
      <c r="AK548" s="156"/>
      <c r="AL548" s="379"/>
      <c r="AM548" s="60"/>
      <c r="AN548" s="60"/>
    </row>
    <row r="549" spans="1:40" x14ac:dyDescent="0.25">
      <c r="F549" s="381"/>
      <c r="H549" s="381"/>
      <c r="I549" s="381"/>
      <c r="J549" s="221"/>
      <c r="K549" s="221"/>
      <c r="L549" s="381"/>
      <c r="M549" s="381"/>
      <c r="N549" s="381"/>
      <c r="O549" s="381"/>
      <c r="P549" s="381"/>
      <c r="Q549" s="381"/>
      <c r="R549" s="381"/>
      <c r="V549" s="381"/>
      <c r="Y549" s="381"/>
      <c r="Z549" s="221"/>
      <c r="AA549" s="381"/>
      <c r="AB549" s="381"/>
      <c r="AC549" s="381"/>
      <c r="AD549" s="381"/>
      <c r="AE549" s="381"/>
      <c r="AF549" s="381"/>
      <c r="AI549" s="381"/>
      <c r="AJ549" s="381"/>
      <c r="AK549" s="162"/>
      <c r="AL549" s="381"/>
    </row>
    <row r="550" spans="1:40" x14ac:dyDescent="0.25">
      <c r="J550" s="65"/>
      <c r="K550" s="65"/>
      <c r="Z550" s="65"/>
    </row>
    <row r="551" spans="1:40" x14ac:dyDescent="0.25">
      <c r="A551" s="53"/>
      <c r="C551" s="54"/>
      <c r="J551" s="65"/>
      <c r="K551" s="65"/>
      <c r="T551" s="54"/>
      <c r="Z551" s="65"/>
    </row>
    <row r="552" spans="1:40" x14ac:dyDescent="0.25">
      <c r="A552" s="53"/>
      <c r="C552" s="54"/>
      <c r="J552" s="65"/>
      <c r="K552" s="65"/>
      <c r="T552" s="54"/>
      <c r="Z552" s="65"/>
    </row>
    <row r="553" spans="1:40" x14ac:dyDescent="0.25">
      <c r="A553" s="53"/>
      <c r="C553" s="54"/>
      <c r="F553" s="449"/>
      <c r="H553" s="449"/>
      <c r="I553" s="449"/>
      <c r="J553" s="221"/>
      <c r="K553" s="221"/>
      <c r="L553" s="379"/>
      <c r="M553" s="379"/>
      <c r="N553" s="50"/>
      <c r="O553" s="50"/>
      <c r="P553" s="379"/>
      <c r="Q553" s="379"/>
      <c r="R553" s="379"/>
      <c r="T553" s="54"/>
      <c r="V553" s="379"/>
      <c r="W553" s="379"/>
      <c r="X553" s="379"/>
      <c r="Y553" s="379"/>
      <c r="Z553" s="221"/>
      <c r="AA553" s="379"/>
      <c r="AB553" s="379"/>
      <c r="AC553" s="50"/>
      <c r="AD553" s="50"/>
      <c r="AE553" s="379"/>
      <c r="AF553" s="379"/>
      <c r="AG553" s="156"/>
      <c r="AH553" s="60"/>
      <c r="AI553" s="379"/>
      <c r="AJ553" s="379"/>
      <c r="AK553" s="156"/>
      <c r="AL553" s="379"/>
      <c r="AM553" s="60"/>
      <c r="AN553" s="60"/>
    </row>
    <row r="554" spans="1:40" x14ac:dyDescent="0.25">
      <c r="A554" s="53"/>
      <c r="C554" s="54"/>
      <c r="J554" s="65"/>
      <c r="K554" s="65"/>
      <c r="T554" s="54"/>
      <c r="Z554" s="65"/>
    </row>
    <row r="555" spans="1:40" x14ac:dyDescent="0.25">
      <c r="A555" s="53"/>
      <c r="C555" s="54"/>
      <c r="F555" s="449"/>
      <c r="H555" s="449"/>
      <c r="I555" s="449"/>
      <c r="J555" s="221"/>
      <c r="K555" s="221"/>
      <c r="L555" s="379"/>
      <c r="M555" s="379"/>
      <c r="N555" s="50"/>
      <c r="O555" s="50"/>
      <c r="P555" s="379"/>
      <c r="Q555" s="379"/>
      <c r="R555" s="379"/>
      <c r="T555" s="54"/>
      <c r="V555" s="379"/>
      <c r="W555" s="379"/>
      <c r="X555" s="379"/>
      <c r="Y555" s="379"/>
      <c r="Z555" s="221"/>
      <c r="AA555" s="379"/>
      <c r="AB555" s="379"/>
      <c r="AC555" s="50"/>
      <c r="AD555" s="50"/>
      <c r="AE555" s="379"/>
      <c r="AF555" s="379"/>
      <c r="AG555" s="156"/>
      <c r="AH555" s="60"/>
      <c r="AI555" s="379"/>
      <c r="AJ555" s="379"/>
      <c r="AK555" s="156"/>
      <c r="AL555" s="379"/>
      <c r="AM555" s="60"/>
      <c r="AN555" s="60"/>
    </row>
    <row r="556" spans="1:40" x14ac:dyDescent="0.25">
      <c r="F556" s="381"/>
      <c r="H556" s="381"/>
      <c r="I556" s="381"/>
      <c r="J556" s="221"/>
      <c r="K556" s="221"/>
      <c r="L556" s="381"/>
      <c r="M556" s="381"/>
      <c r="N556" s="381"/>
      <c r="O556" s="381"/>
      <c r="P556" s="381"/>
      <c r="Q556" s="381"/>
      <c r="R556" s="381"/>
      <c r="V556" s="381"/>
      <c r="Y556" s="381"/>
      <c r="Z556" s="221"/>
      <c r="AA556" s="381"/>
      <c r="AB556" s="381"/>
      <c r="AC556" s="381"/>
      <c r="AD556" s="381"/>
      <c r="AE556" s="381"/>
      <c r="AF556" s="381"/>
      <c r="AI556" s="381"/>
      <c r="AJ556" s="381"/>
      <c r="AK556" s="162"/>
      <c r="AL556" s="381"/>
    </row>
    <row r="557" spans="1:40" x14ac:dyDescent="0.25">
      <c r="A557" s="53"/>
      <c r="C557" s="54"/>
      <c r="F557" s="379"/>
      <c r="H557" s="379"/>
      <c r="I557" s="379"/>
      <c r="J557" s="65"/>
      <c r="K557" s="65"/>
      <c r="L557" s="379"/>
      <c r="M557" s="379"/>
      <c r="N557" s="60"/>
      <c r="O557" s="60"/>
      <c r="P557" s="379"/>
      <c r="Q557" s="379"/>
      <c r="R557" s="379"/>
      <c r="T557" s="54"/>
      <c r="V557" s="379"/>
      <c r="Y557" s="379"/>
      <c r="Z557" s="65"/>
      <c r="AA557" s="379"/>
      <c r="AB557" s="379"/>
      <c r="AC557" s="60"/>
      <c r="AD557" s="60"/>
      <c r="AE557" s="379"/>
      <c r="AF557" s="379"/>
      <c r="AG557" s="156"/>
      <c r="AH557" s="60"/>
      <c r="AI557" s="379"/>
      <c r="AJ557" s="379"/>
      <c r="AK557" s="156"/>
      <c r="AL557" s="379"/>
      <c r="AM557" s="60"/>
      <c r="AN557" s="60"/>
    </row>
    <row r="558" spans="1:40" x14ac:dyDescent="0.25">
      <c r="F558" s="381"/>
      <c r="H558" s="381"/>
      <c r="I558" s="381"/>
      <c r="J558" s="221"/>
      <c r="K558" s="221"/>
      <c r="L558" s="381"/>
      <c r="M558" s="381"/>
      <c r="N558" s="381"/>
      <c r="O558" s="381"/>
      <c r="P558" s="381"/>
      <c r="Q558" s="381"/>
      <c r="R558" s="381"/>
      <c r="V558" s="381"/>
      <c r="Y558" s="381"/>
      <c r="Z558" s="464"/>
      <c r="AA558" s="381"/>
      <c r="AB558" s="381"/>
      <c r="AC558" s="381"/>
      <c r="AD558" s="381"/>
      <c r="AE558" s="381"/>
      <c r="AF558" s="381"/>
      <c r="AI558" s="381"/>
      <c r="AJ558" s="381"/>
      <c r="AK558" s="162"/>
      <c r="AL558" s="381"/>
    </row>
    <row r="559" spans="1:40" x14ac:dyDescent="0.25">
      <c r="J559" s="65"/>
      <c r="K559" s="65"/>
    </row>
    <row r="560" spans="1:40" x14ac:dyDescent="0.25">
      <c r="A560" s="53"/>
      <c r="C560" s="54"/>
      <c r="F560" s="379"/>
      <c r="H560" s="379"/>
      <c r="I560" s="379"/>
      <c r="J560" s="65"/>
      <c r="K560" s="65"/>
      <c r="L560" s="379"/>
      <c r="M560" s="379"/>
      <c r="N560" s="50"/>
      <c r="O560" s="50"/>
      <c r="P560" s="449"/>
      <c r="Q560" s="449"/>
      <c r="R560" s="379"/>
      <c r="T560" s="54"/>
      <c r="V560" s="379"/>
      <c r="Y560" s="379"/>
      <c r="AA560" s="379"/>
      <c r="AB560" s="379"/>
      <c r="AC560" s="60"/>
      <c r="AD560" s="60"/>
      <c r="AE560" s="379"/>
      <c r="AF560" s="379"/>
      <c r="AG560" s="156"/>
      <c r="AH560" s="60"/>
      <c r="AI560" s="449"/>
      <c r="AJ560" s="449"/>
      <c r="AK560" s="156"/>
      <c r="AL560" s="379"/>
      <c r="AM560" s="60"/>
      <c r="AN560" s="60"/>
    </row>
    <row r="561" spans="1:40" x14ac:dyDescent="0.25">
      <c r="H561" s="381"/>
      <c r="I561" s="381"/>
      <c r="J561" s="221"/>
      <c r="K561" s="221"/>
      <c r="L561" s="381"/>
      <c r="M561" s="381"/>
      <c r="N561" s="381"/>
      <c r="O561" s="381"/>
      <c r="P561" s="381"/>
      <c r="Q561" s="381"/>
      <c r="R561" s="381"/>
      <c r="V561" s="381"/>
      <c r="Y561" s="381"/>
      <c r="Z561" s="464"/>
      <c r="AA561" s="381"/>
      <c r="AB561" s="381"/>
      <c r="AC561" s="381"/>
      <c r="AD561" s="381"/>
      <c r="AE561" s="381"/>
      <c r="AF561" s="381"/>
      <c r="AI561" s="381"/>
      <c r="AJ561" s="381"/>
      <c r="AK561" s="162"/>
      <c r="AL561" s="381"/>
    </row>
    <row r="562" spans="1:40" x14ac:dyDescent="0.25">
      <c r="F562" s="381"/>
    </row>
    <row r="563" spans="1:40" x14ac:dyDescent="0.25">
      <c r="C563" s="53"/>
      <c r="T563" s="53"/>
    </row>
    <row r="564" spans="1:40" x14ac:dyDescent="0.25">
      <c r="A564" s="54"/>
    </row>
    <row r="565" spans="1:40" x14ac:dyDescent="0.25">
      <c r="J565" s="53"/>
      <c r="K565" s="53"/>
      <c r="Z565" s="53"/>
    </row>
    <row r="566" spans="1:40" x14ac:dyDescent="0.25">
      <c r="H566" s="54"/>
      <c r="I566" s="54"/>
      <c r="Y566" s="54"/>
    </row>
    <row r="567" spans="1:40" x14ac:dyDescent="0.25">
      <c r="J567" s="53"/>
      <c r="K567" s="53"/>
      <c r="Z567" s="53"/>
    </row>
    <row r="568" spans="1:40" x14ac:dyDescent="0.25">
      <c r="L568" s="54"/>
      <c r="M568" s="54"/>
      <c r="AA568" s="54"/>
      <c r="AB568" s="54"/>
    </row>
    <row r="569" spans="1:40" x14ac:dyDescent="0.25">
      <c r="A569" s="53"/>
      <c r="R569" s="54"/>
      <c r="AK569" s="161"/>
      <c r="AL569" s="54"/>
    </row>
    <row r="570" spans="1:40" x14ac:dyDescent="0.25">
      <c r="A570" s="53"/>
      <c r="R570" s="54"/>
      <c r="AK570" s="161"/>
      <c r="AL570" s="54"/>
    </row>
    <row r="571" spans="1:40" x14ac:dyDescent="0.25">
      <c r="A571" s="54"/>
      <c r="R571" s="54"/>
      <c r="AK571" s="161"/>
      <c r="AL571" s="54"/>
    </row>
    <row r="572" spans="1:40" x14ac:dyDescent="0.25">
      <c r="L572" s="54"/>
      <c r="M572" s="54"/>
      <c r="R572" s="53"/>
      <c r="AA572" s="54"/>
      <c r="AB572" s="54"/>
      <c r="AK572" s="156"/>
      <c r="AL572" s="53"/>
    </row>
    <row r="573" spans="1:40" x14ac:dyDescent="0.25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154"/>
      <c r="AH573" s="55"/>
      <c r="AI573" s="55"/>
      <c r="AJ573" s="55"/>
      <c r="AK573" s="154"/>
      <c r="AL573" s="55"/>
      <c r="AM573" s="55"/>
      <c r="AN573" s="55"/>
    </row>
    <row r="574" spans="1:40" x14ac:dyDescent="0.25">
      <c r="L574" s="56"/>
      <c r="M574" s="56"/>
      <c r="N574" s="56"/>
      <c r="O574" s="56"/>
      <c r="R574" s="56"/>
      <c r="AA574" s="56"/>
      <c r="AB574" s="56"/>
      <c r="AC574" s="56"/>
      <c r="AD574" s="56"/>
      <c r="AE574" s="56"/>
      <c r="AF574" s="56"/>
      <c r="AG574" s="155"/>
      <c r="AH574" s="56"/>
      <c r="AK574" s="155"/>
      <c r="AL574" s="56"/>
      <c r="AM574" s="56"/>
      <c r="AN574" s="56"/>
    </row>
    <row r="575" spans="1:40" x14ac:dyDescent="0.25">
      <c r="L575" s="56"/>
      <c r="M575" s="56"/>
      <c r="N575" s="56"/>
      <c r="O575" s="56"/>
      <c r="R575" s="56"/>
      <c r="Z575" s="56"/>
      <c r="AA575" s="56"/>
      <c r="AB575" s="56"/>
      <c r="AC575" s="56"/>
      <c r="AD575" s="56"/>
      <c r="AE575" s="56"/>
      <c r="AF575" s="56"/>
      <c r="AG575" s="155"/>
      <c r="AH575" s="56"/>
      <c r="AK575" s="155"/>
      <c r="AL575" s="56"/>
      <c r="AM575" s="56"/>
      <c r="AN575" s="56"/>
    </row>
    <row r="576" spans="1:40" x14ac:dyDescent="0.25">
      <c r="A576" s="56"/>
      <c r="C576" s="56"/>
      <c r="D576" s="56"/>
      <c r="E576" s="56"/>
      <c r="F576" s="56"/>
      <c r="J576" s="56"/>
      <c r="K576" s="56"/>
      <c r="L576" s="56"/>
      <c r="M576" s="56"/>
      <c r="N576" s="56"/>
      <c r="O576" s="56"/>
      <c r="P576" s="56"/>
      <c r="Q576" s="56"/>
      <c r="R576" s="56"/>
      <c r="T576" s="56"/>
      <c r="U576" s="56"/>
      <c r="V576" s="56"/>
      <c r="Z576" s="56"/>
      <c r="AA576" s="56"/>
      <c r="AB576" s="56"/>
      <c r="AC576" s="56"/>
      <c r="AD576" s="56"/>
      <c r="AE576" s="56"/>
      <c r="AF576" s="56"/>
      <c r="AG576" s="155"/>
      <c r="AH576" s="56"/>
      <c r="AI576" s="56"/>
      <c r="AJ576" s="56"/>
      <c r="AK576" s="155"/>
      <c r="AL576" s="56"/>
      <c r="AM576" s="56"/>
      <c r="AN576" s="56"/>
    </row>
    <row r="577" spans="1:40" x14ac:dyDescent="0.25">
      <c r="A577" s="56"/>
      <c r="C577" s="56"/>
      <c r="D577" s="56"/>
      <c r="E577" s="56"/>
      <c r="F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T577" s="56"/>
      <c r="U577" s="56"/>
      <c r="V577" s="56"/>
      <c r="Y577" s="56"/>
      <c r="Z577" s="56"/>
      <c r="AA577" s="56"/>
      <c r="AB577" s="56"/>
      <c r="AC577" s="56"/>
      <c r="AD577" s="56"/>
      <c r="AE577" s="56"/>
      <c r="AF577" s="56"/>
      <c r="AG577" s="155"/>
      <c r="AH577" s="56"/>
      <c r="AI577" s="56"/>
      <c r="AJ577" s="56"/>
      <c r="AK577" s="155"/>
      <c r="AL577" s="56"/>
      <c r="AM577" s="56"/>
      <c r="AN577" s="56"/>
    </row>
    <row r="578" spans="1:40" x14ac:dyDescent="0.25">
      <c r="C578" s="56"/>
      <c r="D578" s="56"/>
      <c r="E578" s="56"/>
      <c r="F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T578" s="56"/>
      <c r="U578" s="56"/>
      <c r="V578" s="56"/>
      <c r="Y578" s="56"/>
      <c r="Z578" s="56"/>
      <c r="AA578" s="56"/>
      <c r="AB578" s="56"/>
      <c r="AC578" s="56"/>
      <c r="AD578" s="56"/>
      <c r="AE578" s="56"/>
      <c r="AF578" s="56"/>
      <c r="AG578" s="155"/>
      <c r="AH578" s="56"/>
      <c r="AI578" s="56"/>
      <c r="AJ578" s="56"/>
      <c r="AK578" s="155"/>
      <c r="AL578" s="56"/>
      <c r="AM578" s="56"/>
      <c r="AN578" s="56"/>
    </row>
    <row r="579" spans="1:40" x14ac:dyDescent="0.25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154"/>
      <c r="AH579" s="55"/>
      <c r="AI579" s="55"/>
      <c r="AJ579" s="55"/>
      <c r="AK579" s="154"/>
      <c r="AL579" s="55"/>
      <c r="AM579" s="55"/>
      <c r="AN579" s="55"/>
    </row>
    <row r="580" spans="1:40" x14ac:dyDescent="0.25"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Y580" s="56"/>
      <c r="Z580" s="56"/>
      <c r="AA580" s="56"/>
      <c r="AB580" s="56"/>
      <c r="AC580" s="56"/>
      <c r="AD580" s="56"/>
      <c r="AE580" s="56"/>
      <c r="AF580" s="56"/>
      <c r="AG580" s="155"/>
      <c r="AH580" s="56"/>
      <c r="AI580" s="56"/>
      <c r="AJ580" s="56"/>
      <c r="AK580" s="155"/>
      <c r="AL580" s="56"/>
      <c r="AM580" s="56"/>
      <c r="AN580" s="56"/>
    </row>
    <row r="581" spans="1:40" x14ac:dyDescent="0.25">
      <c r="A581" s="53"/>
      <c r="C581" s="54"/>
      <c r="D581" s="54"/>
      <c r="E581" s="54"/>
      <c r="T581" s="54"/>
      <c r="U581" s="54"/>
    </row>
    <row r="583" spans="1:40" x14ac:dyDescent="0.25">
      <c r="A583" s="53"/>
      <c r="C583" s="54"/>
      <c r="D583" s="54"/>
      <c r="E583" s="54"/>
      <c r="T583" s="54"/>
      <c r="U583" s="54"/>
    </row>
    <row r="584" spans="1:40" x14ac:dyDescent="0.25">
      <c r="A584" s="53"/>
      <c r="C584" s="54"/>
      <c r="T584" s="54"/>
    </row>
    <row r="585" spans="1:40" x14ac:dyDescent="0.25">
      <c r="A585" s="53"/>
      <c r="C585" s="54"/>
      <c r="T585" s="54"/>
    </row>
    <row r="586" spans="1:40" x14ac:dyDescent="0.25">
      <c r="A586" s="53"/>
      <c r="C586" s="54"/>
      <c r="H586" s="449"/>
      <c r="I586" s="449"/>
      <c r="J586" s="221"/>
      <c r="K586" s="221"/>
      <c r="L586" s="379"/>
      <c r="M586" s="379"/>
      <c r="N586" s="50"/>
      <c r="O586" s="50"/>
      <c r="P586" s="379"/>
      <c r="Q586" s="379"/>
      <c r="R586" s="379"/>
      <c r="T586" s="54"/>
      <c r="V586" s="379"/>
      <c r="W586" s="379"/>
      <c r="X586" s="379"/>
      <c r="Y586" s="379"/>
      <c r="Z586" s="221"/>
      <c r="AA586" s="379"/>
      <c r="AB586" s="379"/>
      <c r="AC586" s="50"/>
      <c r="AD586" s="50"/>
      <c r="AE586" s="379"/>
      <c r="AF586" s="379"/>
      <c r="AG586" s="156"/>
      <c r="AH586" s="60"/>
      <c r="AI586" s="379"/>
      <c r="AJ586" s="379"/>
      <c r="AK586" s="156"/>
      <c r="AL586" s="379"/>
      <c r="AM586" s="50"/>
      <c r="AN586" s="50"/>
    </row>
    <row r="587" spans="1:40" x14ac:dyDescent="0.25">
      <c r="A587" s="53"/>
      <c r="C587" s="54"/>
      <c r="F587" s="449"/>
      <c r="J587" s="65"/>
      <c r="K587" s="65"/>
      <c r="T587" s="54"/>
      <c r="V587" s="379"/>
      <c r="W587" s="379"/>
      <c r="X587" s="379"/>
      <c r="Y587" s="379"/>
      <c r="Z587" s="221"/>
    </row>
    <row r="588" spans="1:40" x14ac:dyDescent="0.25">
      <c r="A588" s="53"/>
      <c r="C588" s="54"/>
      <c r="H588" s="449"/>
      <c r="I588" s="449"/>
      <c r="J588" s="221"/>
      <c r="K588" s="221"/>
      <c r="L588" s="379"/>
      <c r="M588" s="379"/>
      <c r="N588" s="50"/>
      <c r="O588" s="50"/>
      <c r="P588" s="379"/>
      <c r="Q588" s="379"/>
      <c r="R588" s="379"/>
      <c r="T588" s="54"/>
      <c r="V588" s="379"/>
      <c r="W588" s="379"/>
      <c r="X588" s="379"/>
      <c r="Y588" s="379"/>
      <c r="Z588" s="221"/>
      <c r="AA588" s="379"/>
      <c r="AB588" s="379"/>
      <c r="AC588" s="50"/>
      <c r="AD588" s="50"/>
      <c r="AE588" s="379"/>
      <c r="AF588" s="379"/>
      <c r="AG588" s="156"/>
      <c r="AH588" s="60"/>
      <c r="AI588" s="379"/>
      <c r="AJ588" s="379"/>
      <c r="AK588" s="156"/>
      <c r="AL588" s="379"/>
      <c r="AM588" s="50"/>
      <c r="AN588" s="50"/>
    </row>
    <row r="589" spans="1:40" x14ac:dyDescent="0.25">
      <c r="A589" s="53"/>
      <c r="C589" s="54"/>
      <c r="F589" s="449"/>
      <c r="J589" s="65"/>
      <c r="K589" s="65"/>
      <c r="T589" s="54"/>
      <c r="V589" s="379"/>
      <c r="W589" s="379"/>
      <c r="X589" s="379"/>
      <c r="Y589" s="379"/>
      <c r="Z589" s="221"/>
    </row>
    <row r="590" spans="1:40" x14ac:dyDescent="0.25">
      <c r="A590" s="53"/>
      <c r="C590" s="54"/>
      <c r="H590" s="449"/>
      <c r="I590" s="449"/>
      <c r="J590" s="221"/>
      <c r="K590" s="221"/>
      <c r="L590" s="379"/>
      <c r="M590" s="379"/>
      <c r="N590" s="50"/>
      <c r="O590" s="50"/>
      <c r="P590" s="379"/>
      <c r="Q590" s="379"/>
      <c r="R590" s="379"/>
      <c r="T590" s="54"/>
      <c r="V590" s="379"/>
      <c r="W590" s="379"/>
      <c r="X590" s="379"/>
      <c r="Y590" s="379"/>
      <c r="Z590" s="221"/>
      <c r="AA590" s="379"/>
      <c r="AB590" s="379"/>
      <c r="AC590" s="50"/>
      <c r="AD590" s="50"/>
      <c r="AE590" s="379"/>
      <c r="AF590" s="379"/>
      <c r="AG590" s="156"/>
      <c r="AH590" s="60"/>
      <c r="AI590" s="379"/>
      <c r="AJ590" s="379"/>
      <c r="AK590" s="156"/>
      <c r="AL590" s="379"/>
      <c r="AM590" s="50"/>
      <c r="AN590" s="50"/>
    </row>
    <row r="591" spans="1:40" x14ac:dyDescent="0.25">
      <c r="A591" s="53"/>
      <c r="C591" s="54"/>
      <c r="F591" s="449"/>
      <c r="J591" s="65"/>
      <c r="K591" s="65"/>
      <c r="T591" s="54"/>
      <c r="V591" s="379"/>
      <c r="W591" s="379"/>
      <c r="X591" s="379"/>
      <c r="Y591" s="379"/>
      <c r="Z591" s="221"/>
    </row>
    <row r="592" spans="1:40" x14ac:dyDescent="0.25">
      <c r="A592" s="53"/>
      <c r="C592" s="54"/>
      <c r="H592" s="449"/>
      <c r="I592" s="449"/>
      <c r="J592" s="221"/>
      <c r="K592" s="221"/>
      <c r="L592" s="379"/>
      <c r="M592" s="379"/>
      <c r="N592" s="50"/>
      <c r="O592" s="50"/>
      <c r="P592" s="379"/>
      <c r="Q592" s="379"/>
      <c r="R592" s="379"/>
      <c r="T592" s="54"/>
      <c r="V592" s="379"/>
      <c r="W592" s="379"/>
      <c r="X592" s="379"/>
      <c r="Y592" s="379"/>
      <c r="Z592" s="221"/>
      <c r="AA592" s="379"/>
      <c r="AB592" s="379"/>
      <c r="AC592" s="50"/>
      <c r="AD592" s="50"/>
      <c r="AE592" s="379"/>
      <c r="AF592" s="379"/>
      <c r="AG592" s="156"/>
      <c r="AH592" s="60"/>
      <c r="AI592" s="379"/>
      <c r="AJ592" s="379"/>
      <c r="AK592" s="156"/>
      <c r="AL592" s="379"/>
      <c r="AM592" s="50"/>
      <c r="AN592" s="50"/>
    </row>
    <row r="593" spans="1:40" x14ac:dyDescent="0.25">
      <c r="A593" s="53"/>
      <c r="C593" s="54"/>
      <c r="F593" s="449"/>
      <c r="J593" s="65"/>
      <c r="K593" s="65"/>
      <c r="T593" s="54"/>
      <c r="V593" s="379"/>
      <c r="W593" s="379"/>
      <c r="X593" s="379"/>
      <c r="Y593" s="379"/>
      <c r="Z593" s="221"/>
    </row>
    <row r="594" spans="1:40" x14ac:dyDescent="0.25">
      <c r="A594" s="53"/>
      <c r="C594" s="54"/>
      <c r="H594" s="449"/>
      <c r="I594" s="449"/>
      <c r="J594" s="221"/>
      <c r="K594" s="221"/>
      <c r="L594" s="379"/>
      <c r="M594" s="379"/>
      <c r="N594" s="50"/>
      <c r="O594" s="50"/>
      <c r="P594" s="379"/>
      <c r="Q594" s="379"/>
      <c r="R594" s="379"/>
      <c r="T594" s="54"/>
      <c r="V594" s="379"/>
      <c r="W594" s="379"/>
      <c r="X594" s="379"/>
      <c r="Y594" s="379"/>
      <c r="Z594" s="221"/>
      <c r="AA594" s="379"/>
      <c r="AB594" s="379"/>
      <c r="AC594" s="50"/>
      <c r="AD594" s="50"/>
      <c r="AE594" s="379"/>
      <c r="AF594" s="379"/>
      <c r="AG594" s="156"/>
      <c r="AH594" s="60"/>
      <c r="AI594" s="379"/>
      <c r="AJ594" s="379"/>
      <c r="AK594" s="156"/>
      <c r="AL594" s="379"/>
      <c r="AM594" s="50"/>
      <c r="AN594" s="50"/>
    </row>
    <row r="595" spans="1:40" x14ac:dyDescent="0.25">
      <c r="A595" s="53"/>
      <c r="C595" s="54"/>
      <c r="F595" s="449"/>
      <c r="J595" s="65"/>
      <c r="K595" s="65"/>
      <c r="T595" s="54"/>
      <c r="V595" s="379"/>
      <c r="W595" s="379"/>
      <c r="X595" s="379"/>
      <c r="Y595" s="379"/>
      <c r="Z595" s="221"/>
    </row>
    <row r="596" spans="1:40" x14ac:dyDescent="0.25">
      <c r="A596" s="53"/>
      <c r="C596" s="54"/>
      <c r="H596" s="449"/>
      <c r="I596" s="449"/>
      <c r="J596" s="221"/>
      <c r="K596" s="221"/>
      <c r="L596" s="379"/>
      <c r="M596" s="379"/>
      <c r="N596" s="50"/>
      <c r="O596" s="50"/>
      <c r="P596" s="379"/>
      <c r="Q596" s="379"/>
      <c r="R596" s="379"/>
      <c r="T596" s="54"/>
      <c r="V596" s="379"/>
      <c r="W596" s="379"/>
      <c r="X596" s="379"/>
      <c r="Y596" s="379"/>
      <c r="Z596" s="221"/>
      <c r="AA596" s="379"/>
      <c r="AB596" s="379"/>
      <c r="AC596" s="50"/>
      <c r="AD596" s="50"/>
      <c r="AE596" s="379"/>
      <c r="AF596" s="379"/>
      <c r="AG596" s="156"/>
      <c r="AH596" s="60"/>
      <c r="AI596" s="379"/>
      <c r="AJ596" s="379"/>
      <c r="AK596" s="156"/>
      <c r="AL596" s="379"/>
      <c r="AM596" s="50"/>
      <c r="AN596" s="50"/>
    </row>
    <row r="597" spans="1:40" x14ac:dyDescent="0.25">
      <c r="F597" s="449"/>
      <c r="H597" s="381"/>
      <c r="I597" s="381"/>
      <c r="J597" s="221"/>
      <c r="K597" s="221"/>
      <c r="L597" s="381"/>
      <c r="M597" s="381"/>
      <c r="N597" s="381"/>
      <c r="O597" s="381"/>
      <c r="P597" s="381"/>
      <c r="Q597" s="381"/>
      <c r="R597" s="381"/>
      <c r="V597" s="381"/>
      <c r="Y597" s="381"/>
      <c r="Z597" s="221"/>
      <c r="AA597" s="381"/>
      <c r="AB597" s="381"/>
      <c r="AC597" s="381"/>
      <c r="AD597" s="381"/>
      <c r="AE597" s="381"/>
      <c r="AF597" s="381"/>
      <c r="AI597" s="381"/>
      <c r="AJ597" s="381"/>
      <c r="AK597" s="162"/>
      <c r="AL597" s="381"/>
      <c r="AM597" s="50"/>
      <c r="AN597" s="50"/>
    </row>
    <row r="598" spans="1:40" x14ac:dyDescent="0.25">
      <c r="A598" s="53"/>
      <c r="C598" s="54"/>
      <c r="F598" s="381"/>
      <c r="H598" s="379"/>
      <c r="I598" s="379"/>
      <c r="J598" s="65"/>
      <c r="K598" s="65"/>
      <c r="L598" s="379"/>
      <c r="M598" s="379"/>
      <c r="N598" s="50"/>
      <c r="O598" s="50"/>
      <c r="P598" s="449"/>
      <c r="Q598" s="449"/>
      <c r="R598" s="379"/>
      <c r="T598" s="54"/>
      <c r="V598" s="379"/>
      <c r="W598" s="379"/>
      <c r="X598" s="379"/>
      <c r="Y598" s="379"/>
      <c r="Z598" s="221"/>
      <c r="AA598" s="379"/>
      <c r="AB598" s="379"/>
      <c r="AC598" s="50"/>
      <c r="AD598" s="50"/>
      <c r="AE598" s="379"/>
      <c r="AF598" s="379"/>
      <c r="AG598" s="156"/>
      <c r="AH598" s="60"/>
      <c r="AI598" s="449"/>
      <c r="AJ598" s="449"/>
      <c r="AK598" s="156"/>
      <c r="AL598" s="379"/>
      <c r="AM598" s="50"/>
      <c r="AN598" s="50"/>
    </row>
    <row r="599" spans="1:40" x14ac:dyDescent="0.25">
      <c r="F599" s="379"/>
      <c r="H599" s="381"/>
      <c r="I599" s="381"/>
      <c r="J599" s="221"/>
      <c r="K599" s="221"/>
      <c r="L599" s="381"/>
      <c r="M599" s="381"/>
      <c r="N599" s="381"/>
      <c r="O599" s="381"/>
      <c r="P599" s="381"/>
      <c r="Q599" s="381"/>
      <c r="R599" s="381"/>
      <c r="V599" s="381"/>
      <c r="Y599" s="381"/>
      <c r="Z599" s="221"/>
      <c r="AA599" s="381"/>
      <c r="AB599" s="381"/>
      <c r="AC599" s="381"/>
      <c r="AD599" s="381"/>
      <c r="AE599" s="381"/>
      <c r="AF599" s="381"/>
      <c r="AI599" s="381"/>
      <c r="AJ599" s="381"/>
      <c r="AK599" s="162"/>
      <c r="AL599" s="381"/>
    </row>
    <row r="600" spans="1:40" x14ac:dyDescent="0.25">
      <c r="A600" s="53"/>
      <c r="C600" s="54"/>
      <c r="D600" s="54"/>
      <c r="E600" s="54"/>
      <c r="F600" s="381"/>
      <c r="J600" s="65"/>
      <c r="K600" s="65"/>
      <c r="T600" s="54"/>
      <c r="U600" s="54"/>
      <c r="V600" s="379"/>
      <c r="W600" s="379"/>
      <c r="X600" s="379"/>
      <c r="Y600" s="379"/>
      <c r="Z600" s="221"/>
    </row>
    <row r="601" spans="1:40" x14ac:dyDescent="0.25">
      <c r="A601" s="53"/>
      <c r="C601" s="54"/>
      <c r="J601" s="65"/>
      <c r="K601" s="65"/>
      <c r="T601" s="54"/>
      <c r="V601" s="379"/>
      <c r="W601" s="379"/>
      <c r="X601" s="379"/>
      <c r="Y601" s="379"/>
      <c r="Z601" s="221"/>
    </row>
    <row r="602" spans="1:40" x14ac:dyDescent="0.25">
      <c r="A602" s="53"/>
      <c r="C602" s="54"/>
      <c r="J602" s="65"/>
      <c r="K602" s="65"/>
      <c r="T602" s="54"/>
      <c r="V602" s="379"/>
      <c r="W602" s="379"/>
      <c r="X602" s="379"/>
      <c r="Y602" s="379"/>
      <c r="Z602" s="221"/>
    </row>
    <row r="603" spans="1:40" x14ac:dyDescent="0.25">
      <c r="A603" s="53"/>
      <c r="C603" s="54"/>
      <c r="H603" s="449"/>
      <c r="I603" s="449"/>
      <c r="J603" s="221"/>
      <c r="K603" s="221"/>
      <c r="L603" s="379"/>
      <c r="M603" s="379"/>
      <c r="N603" s="50"/>
      <c r="O603" s="50"/>
      <c r="P603" s="379"/>
      <c r="Q603" s="379"/>
      <c r="R603" s="379"/>
      <c r="T603" s="54"/>
      <c r="V603" s="379"/>
      <c r="W603" s="379"/>
      <c r="X603" s="379"/>
      <c r="Y603" s="379"/>
      <c r="Z603" s="221"/>
      <c r="AA603" s="379"/>
      <c r="AB603" s="379"/>
      <c r="AC603" s="50"/>
      <c r="AD603" s="50"/>
      <c r="AE603" s="379"/>
      <c r="AF603" s="379"/>
      <c r="AG603" s="156"/>
      <c r="AH603" s="60"/>
      <c r="AI603" s="379"/>
      <c r="AJ603" s="379"/>
      <c r="AK603" s="156"/>
      <c r="AL603" s="379"/>
      <c r="AM603" s="50"/>
      <c r="AN603" s="50"/>
    </row>
    <row r="604" spans="1:40" x14ac:dyDescent="0.25">
      <c r="A604" s="53"/>
      <c r="C604" s="54"/>
      <c r="F604" s="449"/>
      <c r="J604" s="65"/>
      <c r="K604" s="65"/>
      <c r="T604" s="54"/>
      <c r="V604" s="379"/>
      <c r="W604" s="379"/>
      <c r="X604" s="379"/>
      <c r="Y604" s="379"/>
      <c r="Z604" s="221"/>
    </row>
    <row r="605" spans="1:40" x14ac:dyDescent="0.25">
      <c r="A605" s="53"/>
      <c r="C605" s="54"/>
      <c r="H605" s="449"/>
      <c r="I605" s="449"/>
      <c r="J605" s="221"/>
      <c r="K605" s="221"/>
      <c r="L605" s="379"/>
      <c r="M605" s="379"/>
      <c r="N605" s="50"/>
      <c r="O605" s="50"/>
      <c r="P605" s="379"/>
      <c r="Q605" s="379"/>
      <c r="R605" s="379"/>
      <c r="T605" s="54"/>
      <c r="V605" s="379"/>
      <c r="W605" s="379"/>
      <c r="X605" s="379"/>
      <c r="Y605" s="379"/>
      <c r="Z605" s="221"/>
      <c r="AA605" s="379"/>
      <c r="AB605" s="379"/>
      <c r="AC605" s="50"/>
      <c r="AD605" s="50"/>
      <c r="AE605" s="379"/>
      <c r="AF605" s="379"/>
      <c r="AG605" s="156"/>
      <c r="AH605" s="60"/>
      <c r="AI605" s="379"/>
      <c r="AJ605" s="379"/>
      <c r="AK605" s="156"/>
      <c r="AL605" s="379"/>
      <c r="AM605" s="50"/>
      <c r="AN605" s="50"/>
    </row>
    <row r="606" spans="1:40" x14ac:dyDescent="0.25">
      <c r="F606" s="449"/>
      <c r="H606" s="381"/>
      <c r="I606" s="381"/>
      <c r="J606" s="221"/>
      <c r="K606" s="221"/>
      <c r="L606" s="381"/>
      <c r="M606" s="381"/>
      <c r="N606" s="381"/>
      <c r="O606" s="381"/>
      <c r="P606" s="381"/>
      <c r="Q606" s="381"/>
      <c r="R606" s="381"/>
      <c r="V606" s="381"/>
      <c r="Y606" s="381"/>
      <c r="Z606" s="464"/>
      <c r="AA606" s="381"/>
      <c r="AB606" s="381"/>
      <c r="AC606" s="381"/>
      <c r="AD606" s="381"/>
      <c r="AE606" s="381"/>
      <c r="AF606" s="381"/>
      <c r="AI606" s="381"/>
      <c r="AJ606" s="381"/>
      <c r="AK606" s="162"/>
      <c r="AL606" s="381"/>
    </row>
    <row r="607" spans="1:40" x14ac:dyDescent="0.25">
      <c r="A607" s="53"/>
      <c r="C607" s="54"/>
      <c r="F607" s="381"/>
      <c r="H607" s="379"/>
      <c r="I607" s="379"/>
      <c r="L607" s="379"/>
      <c r="M607" s="379"/>
      <c r="N607" s="50"/>
      <c r="O607" s="50"/>
      <c r="P607" s="449"/>
      <c r="Q607" s="449"/>
      <c r="R607" s="379"/>
      <c r="T607" s="54"/>
      <c r="V607" s="379"/>
      <c r="W607" s="379"/>
      <c r="X607" s="379"/>
      <c r="Y607" s="379"/>
      <c r="Z607" s="477"/>
      <c r="AA607" s="379"/>
      <c r="AB607" s="379"/>
      <c r="AC607" s="50"/>
      <c r="AD607" s="50"/>
      <c r="AE607" s="379"/>
      <c r="AF607" s="379"/>
      <c r="AG607" s="156"/>
      <c r="AH607" s="60"/>
      <c r="AI607" s="449"/>
      <c r="AJ607" s="449"/>
      <c r="AK607" s="156"/>
      <c r="AL607" s="379"/>
      <c r="AM607" s="50"/>
      <c r="AN607" s="50"/>
    </row>
    <row r="608" spans="1:40" x14ac:dyDescent="0.25">
      <c r="F608" s="379"/>
      <c r="H608" s="381"/>
      <c r="I608" s="381"/>
      <c r="J608" s="464"/>
      <c r="K608" s="464"/>
      <c r="L608" s="381"/>
      <c r="M608" s="381"/>
      <c r="N608" s="381"/>
      <c r="O608" s="381"/>
      <c r="P608" s="381"/>
      <c r="Q608" s="381"/>
      <c r="R608" s="381"/>
      <c r="V608" s="381"/>
      <c r="Y608" s="381"/>
      <c r="Z608" s="464"/>
      <c r="AA608" s="381"/>
      <c r="AB608" s="381"/>
      <c r="AC608" s="381"/>
      <c r="AD608" s="381"/>
      <c r="AE608" s="381"/>
      <c r="AF608" s="381"/>
      <c r="AI608" s="381"/>
      <c r="AJ608" s="381"/>
      <c r="AK608" s="162"/>
      <c r="AL608" s="381"/>
    </row>
    <row r="609" spans="1:40" x14ac:dyDescent="0.25">
      <c r="A609" s="53"/>
      <c r="C609" s="54"/>
      <c r="D609" s="54"/>
      <c r="E609" s="54"/>
      <c r="F609" s="381"/>
      <c r="T609" s="54"/>
      <c r="U609" s="54"/>
      <c r="V609" s="379"/>
      <c r="W609" s="379"/>
      <c r="X609" s="379"/>
      <c r="Y609" s="379"/>
      <c r="Z609" s="477"/>
    </row>
    <row r="610" spans="1:40" x14ac:dyDescent="0.25">
      <c r="A610" s="53"/>
      <c r="C610" s="54"/>
      <c r="T610" s="54"/>
      <c r="V610" s="379"/>
      <c r="W610" s="379"/>
      <c r="X610" s="379"/>
      <c r="Y610" s="379"/>
      <c r="Z610" s="477"/>
    </row>
    <row r="611" spans="1:40" x14ac:dyDescent="0.25">
      <c r="A611" s="53"/>
      <c r="C611" s="54"/>
      <c r="H611" s="449"/>
      <c r="I611" s="449"/>
      <c r="J611" s="477"/>
      <c r="K611" s="477"/>
      <c r="L611" s="379"/>
      <c r="M611" s="379"/>
      <c r="N611" s="50"/>
      <c r="O611" s="50"/>
      <c r="P611" s="379"/>
      <c r="Q611" s="379"/>
      <c r="R611" s="379"/>
      <c r="T611" s="54"/>
      <c r="V611" s="379"/>
      <c r="W611" s="379"/>
      <c r="X611" s="379"/>
      <c r="Y611" s="379"/>
      <c r="Z611" s="477"/>
      <c r="AA611" s="379"/>
      <c r="AB611" s="379"/>
      <c r="AC611" s="50"/>
      <c r="AD611" s="50"/>
      <c r="AE611" s="379"/>
      <c r="AF611" s="379"/>
      <c r="AG611" s="156"/>
      <c r="AH611" s="60"/>
      <c r="AI611" s="379"/>
      <c r="AJ611" s="379"/>
      <c r="AK611" s="156"/>
      <c r="AL611" s="379"/>
      <c r="AM611" s="50"/>
      <c r="AN611" s="50"/>
    </row>
    <row r="612" spans="1:40" x14ac:dyDescent="0.25">
      <c r="A612" s="53"/>
      <c r="C612" s="54"/>
      <c r="F612" s="449"/>
      <c r="T612" s="54"/>
      <c r="V612" s="379"/>
      <c r="W612" s="379"/>
      <c r="X612" s="379"/>
      <c r="Y612" s="379"/>
      <c r="Z612" s="477"/>
    </row>
    <row r="613" spans="1:40" x14ac:dyDescent="0.25">
      <c r="A613" s="53"/>
      <c r="C613" s="54"/>
      <c r="H613" s="449"/>
      <c r="I613" s="449"/>
      <c r="J613" s="477"/>
      <c r="K613" s="477"/>
      <c r="L613" s="379"/>
      <c r="M613" s="379"/>
      <c r="N613" s="50"/>
      <c r="O613" s="50"/>
      <c r="P613" s="379"/>
      <c r="Q613" s="379"/>
      <c r="R613" s="379"/>
      <c r="T613" s="54"/>
      <c r="V613" s="379"/>
      <c r="W613" s="379"/>
      <c r="X613" s="379"/>
      <c r="Y613" s="379"/>
      <c r="Z613" s="477"/>
      <c r="AA613" s="379"/>
      <c r="AB613" s="379"/>
      <c r="AC613" s="50"/>
      <c r="AD613" s="50"/>
      <c r="AE613" s="379"/>
      <c r="AF613" s="379"/>
      <c r="AG613" s="156"/>
      <c r="AH613" s="60"/>
      <c r="AI613" s="379"/>
      <c r="AJ613" s="379"/>
      <c r="AK613" s="156"/>
      <c r="AL613" s="379"/>
      <c r="AM613" s="50"/>
      <c r="AN613" s="50"/>
    </row>
    <row r="614" spans="1:40" x14ac:dyDescent="0.25">
      <c r="A614" s="53"/>
      <c r="C614" s="54"/>
      <c r="F614" s="449"/>
      <c r="T614" s="54"/>
      <c r="V614" s="379"/>
      <c r="W614" s="379"/>
      <c r="X614" s="379"/>
      <c r="Y614" s="379"/>
      <c r="Z614" s="477"/>
    </row>
    <row r="615" spans="1:40" x14ac:dyDescent="0.25">
      <c r="A615" s="53"/>
      <c r="C615" s="54"/>
      <c r="H615" s="449"/>
      <c r="I615" s="449"/>
      <c r="J615" s="477"/>
      <c r="K615" s="477"/>
      <c r="L615" s="379"/>
      <c r="M615" s="379"/>
      <c r="N615" s="50"/>
      <c r="O615" s="50"/>
      <c r="P615" s="379"/>
      <c r="Q615" s="379"/>
      <c r="R615" s="379"/>
      <c r="T615" s="54"/>
      <c r="V615" s="379"/>
      <c r="W615" s="379"/>
      <c r="X615" s="379"/>
      <c r="Y615" s="379"/>
      <c r="Z615" s="477"/>
      <c r="AA615" s="379"/>
      <c r="AB615" s="379"/>
      <c r="AC615" s="50"/>
      <c r="AD615" s="50"/>
      <c r="AE615" s="379"/>
      <c r="AF615" s="379"/>
      <c r="AG615" s="156"/>
      <c r="AH615" s="60"/>
      <c r="AI615" s="379"/>
      <c r="AJ615" s="379"/>
      <c r="AK615" s="156"/>
      <c r="AL615" s="379"/>
      <c r="AM615" s="50"/>
      <c r="AN615" s="50"/>
    </row>
    <row r="616" spans="1:40" x14ac:dyDescent="0.25">
      <c r="A616" s="53"/>
      <c r="C616" s="54"/>
      <c r="F616" s="449"/>
      <c r="T616" s="54"/>
      <c r="V616" s="379"/>
      <c r="W616" s="379"/>
      <c r="X616" s="379"/>
      <c r="Y616" s="379"/>
      <c r="Z616" s="477"/>
    </row>
    <row r="617" spans="1:40" x14ac:dyDescent="0.25">
      <c r="A617" s="53"/>
      <c r="C617" s="54"/>
      <c r="H617" s="449"/>
      <c r="I617" s="449"/>
      <c r="J617" s="477"/>
      <c r="K617" s="477"/>
      <c r="L617" s="379"/>
      <c r="M617" s="379"/>
      <c r="N617" s="50"/>
      <c r="O617" s="50"/>
      <c r="P617" s="379"/>
      <c r="Q617" s="379"/>
      <c r="R617" s="379"/>
      <c r="T617" s="54"/>
      <c r="V617" s="379"/>
      <c r="W617" s="379"/>
      <c r="X617" s="379"/>
      <c r="Y617" s="379"/>
      <c r="Z617" s="477"/>
      <c r="AA617" s="379"/>
      <c r="AB617" s="379"/>
      <c r="AC617" s="50"/>
      <c r="AD617" s="50"/>
      <c r="AE617" s="379"/>
      <c r="AF617" s="379"/>
      <c r="AG617" s="156"/>
      <c r="AH617" s="60"/>
      <c r="AI617" s="379"/>
      <c r="AJ617" s="379"/>
      <c r="AK617" s="156"/>
      <c r="AL617" s="379"/>
      <c r="AM617" s="50"/>
      <c r="AN617" s="50"/>
    </row>
    <row r="618" spans="1:40" x14ac:dyDescent="0.25">
      <c r="F618" s="449"/>
      <c r="H618" s="381"/>
      <c r="I618" s="381"/>
      <c r="J618" s="464"/>
      <c r="K618" s="464"/>
      <c r="L618" s="381"/>
      <c r="M618" s="381"/>
      <c r="N618" s="381"/>
      <c r="O618" s="381"/>
      <c r="P618" s="381"/>
      <c r="Q618" s="381"/>
      <c r="R618" s="381"/>
      <c r="V618" s="381"/>
      <c r="Y618" s="381"/>
      <c r="Z618" s="464"/>
      <c r="AA618" s="381"/>
      <c r="AB618" s="381"/>
      <c r="AC618" s="381"/>
      <c r="AD618" s="381"/>
      <c r="AE618" s="381"/>
      <c r="AF618" s="381"/>
      <c r="AI618" s="381"/>
      <c r="AJ618" s="381"/>
      <c r="AK618" s="162"/>
      <c r="AL618" s="381"/>
    </row>
    <row r="619" spans="1:40" x14ac:dyDescent="0.25">
      <c r="A619" s="53"/>
      <c r="C619" s="54"/>
      <c r="F619" s="381"/>
      <c r="H619" s="379"/>
      <c r="I619" s="379"/>
      <c r="L619" s="379"/>
      <c r="M619" s="379"/>
      <c r="N619" s="50"/>
      <c r="O619" s="50"/>
      <c r="P619" s="449"/>
      <c r="Q619" s="449"/>
      <c r="R619" s="379"/>
      <c r="T619" s="54"/>
      <c r="V619" s="379"/>
      <c r="W619" s="379"/>
      <c r="X619" s="379"/>
      <c r="Y619" s="379"/>
      <c r="Z619" s="477"/>
      <c r="AA619" s="379"/>
      <c r="AB619" s="379"/>
      <c r="AC619" s="50"/>
      <c r="AD619" s="50"/>
      <c r="AE619" s="379"/>
      <c r="AF619" s="379"/>
      <c r="AG619" s="156"/>
      <c r="AH619" s="60"/>
      <c r="AI619" s="449"/>
      <c r="AJ619" s="449"/>
      <c r="AK619" s="156"/>
      <c r="AL619" s="379"/>
      <c r="AM619" s="50"/>
      <c r="AN619" s="50"/>
    </row>
    <row r="620" spans="1:40" x14ac:dyDescent="0.25">
      <c r="F620" s="379"/>
      <c r="H620" s="381"/>
      <c r="I620" s="381"/>
      <c r="J620" s="464"/>
      <c r="K620" s="464"/>
      <c r="L620" s="381"/>
      <c r="M620" s="381"/>
      <c r="N620" s="381"/>
      <c r="O620" s="381"/>
      <c r="P620" s="381"/>
      <c r="Q620" s="381"/>
      <c r="R620" s="381"/>
      <c r="V620" s="381"/>
      <c r="Y620" s="381"/>
      <c r="Z620" s="464"/>
      <c r="AA620" s="381"/>
      <c r="AB620" s="381"/>
      <c r="AC620" s="381"/>
      <c r="AD620" s="381"/>
      <c r="AE620" s="381"/>
      <c r="AF620" s="381"/>
      <c r="AI620" s="381"/>
      <c r="AJ620" s="381"/>
      <c r="AK620" s="162"/>
      <c r="AL620" s="381"/>
    </row>
    <row r="621" spans="1:40" x14ac:dyDescent="0.25">
      <c r="A621" s="53"/>
      <c r="C621" s="54"/>
      <c r="F621" s="381"/>
      <c r="H621" s="379"/>
      <c r="I621" s="379"/>
      <c r="L621" s="379"/>
      <c r="M621" s="379"/>
      <c r="N621" s="50"/>
      <c r="O621" s="50"/>
      <c r="P621" s="379"/>
      <c r="Q621" s="379"/>
      <c r="R621" s="379"/>
      <c r="T621" s="54"/>
      <c r="V621" s="379"/>
      <c r="W621" s="379"/>
      <c r="X621" s="379"/>
      <c r="Y621" s="379"/>
      <c r="AA621" s="379"/>
      <c r="AB621" s="379"/>
      <c r="AC621" s="50"/>
      <c r="AD621" s="50"/>
      <c r="AE621" s="379"/>
      <c r="AF621" s="379"/>
      <c r="AG621" s="156"/>
      <c r="AH621" s="60"/>
      <c r="AI621" s="379"/>
      <c r="AJ621" s="379"/>
      <c r="AK621" s="156"/>
      <c r="AL621" s="379"/>
      <c r="AM621" s="60"/>
      <c r="AN621" s="60"/>
    </row>
    <row r="622" spans="1:40" x14ac:dyDescent="0.25">
      <c r="F622" s="379"/>
      <c r="H622" s="381"/>
      <c r="I622" s="381"/>
      <c r="J622" s="464"/>
      <c r="K622" s="464"/>
      <c r="L622" s="381"/>
      <c r="M622" s="381"/>
      <c r="N622" s="381"/>
      <c r="O622" s="381"/>
      <c r="P622" s="381"/>
      <c r="Q622" s="381"/>
      <c r="R622" s="381"/>
      <c r="V622" s="381"/>
      <c r="Y622" s="381"/>
      <c r="Z622" s="464"/>
      <c r="AA622" s="381"/>
      <c r="AB622" s="381"/>
      <c r="AC622" s="381"/>
      <c r="AD622" s="381"/>
      <c r="AE622" s="381"/>
      <c r="AF622" s="381"/>
      <c r="AI622" s="381"/>
      <c r="AJ622" s="381"/>
      <c r="AK622" s="162"/>
      <c r="AL622" s="381"/>
    </row>
    <row r="624" spans="1:40" x14ac:dyDescent="0.25">
      <c r="C624" s="53"/>
      <c r="F624" s="381"/>
      <c r="T624" s="53"/>
    </row>
    <row r="625" spans="1:40" x14ac:dyDescent="0.25">
      <c r="A625" s="54"/>
    </row>
    <row r="626" spans="1:40" x14ac:dyDescent="0.25">
      <c r="J626" s="53"/>
      <c r="K626" s="53"/>
      <c r="Z626" s="53"/>
    </row>
    <row r="627" spans="1:40" x14ac:dyDescent="0.25">
      <c r="H627" s="54"/>
      <c r="I627" s="54"/>
      <c r="Y627" s="54"/>
    </row>
    <row r="628" spans="1:40" x14ac:dyDescent="0.25">
      <c r="J628" s="53"/>
      <c r="K628" s="53"/>
      <c r="Z628" s="53"/>
    </row>
    <row r="629" spans="1:40" x14ac:dyDescent="0.25">
      <c r="L629" s="54"/>
      <c r="M629" s="54"/>
      <c r="AA629" s="54"/>
      <c r="AB629" s="54"/>
    </row>
    <row r="630" spans="1:40" x14ac:dyDescent="0.25">
      <c r="A630" s="53"/>
      <c r="R630" s="54"/>
      <c r="AK630" s="161"/>
      <c r="AL630" s="54"/>
    </row>
    <row r="631" spans="1:40" x14ac:dyDescent="0.25">
      <c r="A631" s="53"/>
      <c r="R631" s="54"/>
      <c r="AK631" s="161"/>
      <c r="AL631" s="54"/>
    </row>
    <row r="632" spans="1:40" x14ac:dyDescent="0.25">
      <c r="A632" s="54"/>
      <c r="R632" s="54"/>
      <c r="AK632" s="161"/>
      <c r="AL632" s="54"/>
    </row>
    <row r="633" spans="1:40" x14ac:dyDescent="0.25">
      <c r="L633" s="54"/>
      <c r="M633" s="54"/>
      <c r="R633" s="53"/>
      <c r="AA633" s="54"/>
      <c r="AB633" s="54"/>
      <c r="AK633" s="156"/>
      <c r="AL633" s="53"/>
    </row>
    <row r="634" spans="1:40" x14ac:dyDescent="0.25">
      <c r="A634" s="55"/>
      <c r="B634" s="55"/>
      <c r="C634" s="55"/>
      <c r="D634" s="55"/>
      <c r="E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154"/>
      <c r="AH634" s="55"/>
      <c r="AI634" s="55"/>
      <c r="AJ634" s="55"/>
      <c r="AK634" s="154"/>
      <c r="AL634" s="55"/>
      <c r="AM634" s="55"/>
      <c r="AN634" s="55"/>
    </row>
    <row r="635" spans="1:40" x14ac:dyDescent="0.25">
      <c r="F635" s="55"/>
      <c r="L635" s="56"/>
      <c r="M635" s="56"/>
      <c r="N635" s="56"/>
      <c r="O635" s="56"/>
      <c r="R635" s="56"/>
      <c r="AA635" s="56"/>
      <c r="AB635" s="56"/>
      <c r="AC635" s="56"/>
      <c r="AD635" s="56"/>
      <c r="AE635" s="56"/>
      <c r="AF635" s="56"/>
      <c r="AG635" s="155"/>
      <c r="AH635" s="56"/>
      <c r="AK635" s="155"/>
      <c r="AL635" s="56"/>
      <c r="AM635" s="56"/>
      <c r="AN635" s="56"/>
    </row>
    <row r="636" spans="1:40" x14ac:dyDescent="0.25">
      <c r="L636" s="56"/>
      <c r="M636" s="56"/>
      <c r="N636" s="56"/>
      <c r="O636" s="56"/>
      <c r="R636" s="56"/>
      <c r="Z636" s="56"/>
      <c r="AA636" s="56"/>
      <c r="AB636" s="56"/>
      <c r="AC636" s="56"/>
      <c r="AD636" s="56"/>
      <c r="AE636" s="56"/>
      <c r="AF636" s="56"/>
      <c r="AG636" s="155"/>
      <c r="AH636" s="56"/>
      <c r="AK636" s="155"/>
      <c r="AL636" s="56"/>
      <c r="AM636" s="56"/>
      <c r="AN636" s="56"/>
    </row>
    <row r="637" spans="1:40" x14ac:dyDescent="0.25">
      <c r="A637" s="56"/>
      <c r="C637" s="56"/>
      <c r="D637" s="56"/>
      <c r="E637" s="56"/>
      <c r="J637" s="56"/>
      <c r="K637" s="56"/>
      <c r="L637" s="56"/>
      <c r="M637" s="56"/>
      <c r="N637" s="56"/>
      <c r="O637" s="56"/>
      <c r="P637" s="56"/>
      <c r="Q637" s="56"/>
      <c r="R637" s="56"/>
      <c r="T637" s="56"/>
      <c r="U637" s="56"/>
      <c r="V637" s="56"/>
      <c r="Z637" s="56"/>
      <c r="AA637" s="56"/>
      <c r="AB637" s="56"/>
      <c r="AC637" s="56"/>
      <c r="AD637" s="56"/>
      <c r="AE637" s="56"/>
      <c r="AF637" s="56"/>
      <c r="AG637" s="155"/>
      <c r="AH637" s="56"/>
      <c r="AI637" s="56"/>
      <c r="AJ637" s="56"/>
      <c r="AK637" s="155"/>
      <c r="AL637" s="56"/>
      <c r="AM637" s="56"/>
      <c r="AN637" s="56"/>
    </row>
    <row r="638" spans="1:40" x14ac:dyDescent="0.25">
      <c r="A638" s="56"/>
      <c r="C638" s="56"/>
      <c r="D638" s="56"/>
      <c r="E638" s="56"/>
      <c r="F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T638" s="56"/>
      <c r="U638" s="56"/>
      <c r="V638" s="56"/>
      <c r="Y638" s="56"/>
      <c r="Z638" s="56"/>
      <c r="AA638" s="56"/>
      <c r="AB638" s="56"/>
      <c r="AC638" s="56"/>
      <c r="AD638" s="56"/>
      <c r="AE638" s="56"/>
      <c r="AF638" s="56"/>
      <c r="AG638" s="155"/>
      <c r="AH638" s="56"/>
      <c r="AI638" s="56"/>
      <c r="AJ638" s="56"/>
      <c r="AK638" s="155"/>
      <c r="AL638" s="56"/>
      <c r="AM638" s="56"/>
      <c r="AN638" s="56"/>
    </row>
    <row r="639" spans="1:40" x14ac:dyDescent="0.25">
      <c r="C639" s="56"/>
      <c r="D639" s="56"/>
      <c r="E639" s="56"/>
      <c r="F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T639" s="56"/>
      <c r="U639" s="56"/>
      <c r="V639" s="56"/>
      <c r="Y639" s="56"/>
      <c r="Z639" s="56"/>
      <c r="AA639" s="56"/>
      <c r="AB639" s="56"/>
      <c r="AC639" s="56"/>
      <c r="AD639" s="56"/>
      <c r="AE639" s="56"/>
      <c r="AF639" s="56"/>
      <c r="AG639" s="155"/>
      <c r="AH639" s="56"/>
      <c r="AI639" s="56"/>
      <c r="AJ639" s="56"/>
      <c r="AK639" s="155"/>
      <c r="AL639" s="56"/>
      <c r="AM639" s="56"/>
      <c r="AN639" s="56"/>
    </row>
    <row r="640" spans="1:40" x14ac:dyDescent="0.25">
      <c r="A640" s="55"/>
      <c r="B640" s="55"/>
      <c r="C640" s="55"/>
      <c r="D640" s="55"/>
      <c r="E640" s="55"/>
      <c r="F640" s="56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154"/>
      <c r="AH640" s="55"/>
      <c r="AI640" s="55"/>
      <c r="AJ640" s="55"/>
      <c r="AK640" s="154"/>
      <c r="AL640" s="55"/>
      <c r="AM640" s="55"/>
      <c r="AN640" s="55"/>
    </row>
    <row r="641" spans="1:40" x14ac:dyDescent="0.25">
      <c r="F641" s="55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Y641" s="56"/>
      <c r="Z641" s="56"/>
      <c r="AA641" s="56"/>
      <c r="AB641" s="56"/>
      <c r="AC641" s="56"/>
      <c r="AD641" s="56"/>
      <c r="AE641" s="56"/>
      <c r="AF641" s="56"/>
      <c r="AG641" s="155"/>
      <c r="AH641" s="56"/>
      <c r="AI641" s="56"/>
      <c r="AJ641" s="56"/>
      <c r="AK641" s="155"/>
      <c r="AL641" s="56"/>
      <c r="AM641" s="56"/>
      <c r="AN641" s="56"/>
    </row>
    <row r="642" spans="1:40" x14ac:dyDescent="0.25">
      <c r="A642" s="53"/>
      <c r="C642" s="54"/>
      <c r="D642" s="54"/>
      <c r="E642" s="54"/>
      <c r="H642" s="379"/>
      <c r="I642" s="379"/>
      <c r="J642" s="59"/>
      <c r="K642" s="59"/>
      <c r="L642" s="379"/>
      <c r="M642" s="379"/>
      <c r="N642" s="59"/>
      <c r="O642" s="59"/>
      <c r="P642" s="379"/>
      <c r="Q642" s="379"/>
      <c r="R642" s="379"/>
      <c r="T642" s="54"/>
      <c r="U642" s="54"/>
      <c r="V642" s="379"/>
      <c r="Y642" s="379"/>
      <c r="Z642" s="59"/>
      <c r="AA642" s="379"/>
      <c r="AB642" s="379"/>
      <c r="AC642" s="59"/>
      <c r="AD642" s="59"/>
      <c r="AE642" s="379"/>
      <c r="AF642" s="379"/>
      <c r="AG642" s="156"/>
      <c r="AH642" s="60"/>
      <c r="AI642" s="379"/>
      <c r="AJ642" s="379"/>
      <c r="AK642" s="156"/>
      <c r="AL642" s="379"/>
      <c r="AM642" s="50"/>
      <c r="AN642" s="50"/>
    </row>
    <row r="643" spans="1:40" x14ac:dyDescent="0.25">
      <c r="F643" s="379"/>
      <c r="H643" s="381"/>
      <c r="I643" s="381"/>
      <c r="J643" s="464"/>
      <c r="K643" s="464"/>
      <c r="L643" s="381"/>
      <c r="M643" s="381"/>
      <c r="N643" s="381"/>
      <c r="O643" s="381"/>
      <c r="P643" s="381"/>
      <c r="Q643" s="381"/>
      <c r="R643" s="381"/>
      <c r="V643" s="381"/>
      <c r="Y643" s="381"/>
      <c r="Z643" s="464"/>
      <c r="AA643" s="381"/>
      <c r="AB643" s="381"/>
      <c r="AC643" s="381"/>
      <c r="AD643" s="381"/>
      <c r="AE643" s="381"/>
      <c r="AF643" s="381"/>
      <c r="AI643" s="381"/>
      <c r="AJ643" s="381"/>
      <c r="AK643" s="162"/>
      <c r="AL643" s="381"/>
      <c r="AM643" s="50"/>
      <c r="AN643" s="50"/>
    </row>
    <row r="644" spans="1:40" x14ac:dyDescent="0.25">
      <c r="A644" s="53"/>
      <c r="C644" s="54"/>
      <c r="F644" s="381"/>
      <c r="H644" s="379"/>
      <c r="I644" s="379"/>
      <c r="J644" s="59"/>
      <c r="K644" s="59"/>
      <c r="L644" s="379"/>
      <c r="M644" s="379"/>
      <c r="N644" s="59"/>
      <c r="O644" s="59"/>
      <c r="P644" s="379"/>
      <c r="Q644" s="379"/>
      <c r="R644" s="379"/>
      <c r="T644" s="54"/>
      <c r="V644" s="379"/>
      <c r="Y644" s="379"/>
      <c r="Z644" s="59"/>
      <c r="AA644" s="379"/>
      <c r="AB644" s="379"/>
      <c r="AC644" s="59"/>
      <c r="AD644" s="59"/>
      <c r="AE644" s="379"/>
      <c r="AF644" s="379"/>
      <c r="AG644" s="156"/>
      <c r="AH644" s="60"/>
      <c r="AI644" s="379"/>
      <c r="AJ644" s="379"/>
      <c r="AK644" s="156"/>
      <c r="AL644" s="379"/>
      <c r="AM644" s="50"/>
      <c r="AN644" s="50"/>
    </row>
    <row r="645" spans="1:40" x14ac:dyDescent="0.25">
      <c r="F645" s="379"/>
      <c r="H645" s="379"/>
      <c r="I645" s="379"/>
      <c r="J645" s="59"/>
      <c r="K645" s="59"/>
      <c r="L645" s="379"/>
      <c r="M645" s="379"/>
      <c r="N645" s="59"/>
      <c r="O645" s="59"/>
      <c r="P645" s="379"/>
      <c r="Q645" s="379"/>
      <c r="R645" s="379"/>
      <c r="V645" s="379"/>
      <c r="Y645" s="379"/>
      <c r="Z645" s="59"/>
      <c r="AA645" s="379"/>
      <c r="AB645" s="379"/>
      <c r="AC645" s="59"/>
      <c r="AD645" s="59"/>
      <c r="AG645" s="156"/>
      <c r="AH645" s="60"/>
      <c r="AI645" s="379"/>
      <c r="AJ645" s="379"/>
      <c r="AK645" s="156"/>
      <c r="AL645" s="379"/>
      <c r="AM645" s="50"/>
      <c r="AN645" s="50"/>
    </row>
    <row r="646" spans="1:40" x14ac:dyDescent="0.25">
      <c r="A646" s="53"/>
      <c r="C646" s="54"/>
      <c r="D646" s="54"/>
      <c r="E646" s="54"/>
      <c r="F646" s="379"/>
      <c r="H646" s="379"/>
      <c r="I646" s="379"/>
      <c r="J646" s="59"/>
      <c r="K646" s="59"/>
      <c r="L646" s="379"/>
      <c r="M646" s="379"/>
      <c r="N646" s="59"/>
      <c r="O646" s="59"/>
      <c r="P646" s="379"/>
      <c r="Q646" s="379"/>
      <c r="R646" s="379"/>
      <c r="T646" s="54"/>
      <c r="U646" s="54"/>
      <c r="V646" s="379"/>
      <c r="Y646" s="379"/>
      <c r="Z646" s="59"/>
      <c r="AA646" s="379"/>
      <c r="AB646" s="379"/>
      <c r="AC646" s="59"/>
      <c r="AD646" s="59"/>
      <c r="AE646" s="379"/>
      <c r="AF646" s="379"/>
      <c r="AG646" s="156"/>
      <c r="AH646" s="60"/>
      <c r="AI646" s="379"/>
      <c r="AJ646" s="379"/>
      <c r="AK646" s="156"/>
      <c r="AL646" s="379"/>
      <c r="AM646" s="50"/>
      <c r="AN646" s="50"/>
    </row>
    <row r="647" spans="1:40" x14ac:dyDescent="0.25">
      <c r="A647" s="53"/>
      <c r="C647" s="54"/>
      <c r="D647" s="54"/>
      <c r="E647" s="54"/>
      <c r="F647" s="379"/>
      <c r="H647" s="379"/>
      <c r="I647" s="379"/>
      <c r="J647" s="59"/>
      <c r="K647" s="59"/>
      <c r="L647" s="379"/>
      <c r="M647" s="379"/>
      <c r="N647" s="59"/>
      <c r="O647" s="59"/>
      <c r="P647" s="379"/>
      <c r="Q647" s="379"/>
      <c r="R647" s="379"/>
      <c r="T647" s="54"/>
      <c r="U647" s="54"/>
      <c r="V647" s="379"/>
      <c r="Y647" s="379"/>
      <c r="Z647" s="59"/>
      <c r="AA647" s="379"/>
      <c r="AB647" s="379"/>
      <c r="AC647" s="59"/>
      <c r="AD647" s="59"/>
      <c r="AE647" s="379"/>
      <c r="AF647" s="379"/>
      <c r="AG647" s="156"/>
      <c r="AH647" s="60"/>
      <c r="AI647" s="379"/>
      <c r="AJ647" s="379"/>
      <c r="AK647" s="156"/>
      <c r="AL647" s="379"/>
      <c r="AM647" s="50"/>
      <c r="AN647" s="50"/>
    </row>
    <row r="648" spans="1:40" x14ac:dyDescent="0.25">
      <c r="A648" s="53"/>
      <c r="C648" s="54"/>
      <c r="D648" s="54"/>
      <c r="E648" s="54"/>
      <c r="F648" s="379"/>
      <c r="H648" s="379"/>
      <c r="I648" s="379"/>
      <c r="J648" s="59"/>
      <c r="K648" s="59"/>
      <c r="L648" s="379"/>
      <c r="M648" s="379"/>
      <c r="N648" s="59"/>
      <c r="O648" s="59"/>
      <c r="P648" s="379"/>
      <c r="Q648" s="379"/>
      <c r="R648" s="379"/>
      <c r="T648" s="54"/>
      <c r="U648" s="54"/>
      <c r="V648" s="379"/>
      <c r="Y648" s="379"/>
      <c r="Z648" s="59"/>
      <c r="AA648" s="379"/>
      <c r="AB648" s="379"/>
      <c r="AC648" s="59"/>
      <c r="AD648" s="59"/>
      <c r="AE648" s="379"/>
      <c r="AF648" s="379"/>
      <c r="AG648" s="156"/>
      <c r="AH648" s="60"/>
      <c r="AI648" s="379"/>
      <c r="AJ648" s="379"/>
      <c r="AK648" s="156"/>
      <c r="AL648" s="379"/>
      <c r="AM648" s="50"/>
      <c r="AN648" s="50"/>
    </row>
    <row r="649" spans="1:40" x14ac:dyDescent="0.25">
      <c r="A649" s="53"/>
      <c r="C649" s="54"/>
      <c r="D649" s="54"/>
      <c r="E649" s="54"/>
      <c r="F649" s="379"/>
      <c r="H649" s="379"/>
      <c r="I649" s="379"/>
      <c r="J649" s="59"/>
      <c r="K649" s="59"/>
      <c r="L649" s="379"/>
      <c r="M649" s="379"/>
      <c r="N649" s="59"/>
      <c r="O649" s="59"/>
      <c r="P649" s="379"/>
      <c r="Q649" s="379"/>
      <c r="R649" s="379"/>
      <c r="T649" s="54"/>
      <c r="U649" s="54"/>
      <c r="V649" s="379"/>
      <c r="Y649" s="379"/>
      <c r="Z649" s="59"/>
      <c r="AA649" s="379"/>
      <c r="AB649" s="379"/>
      <c r="AC649" s="59"/>
      <c r="AD649" s="59"/>
      <c r="AE649" s="379"/>
      <c r="AF649" s="379"/>
      <c r="AG649" s="156"/>
      <c r="AH649" s="60"/>
      <c r="AI649" s="379"/>
      <c r="AJ649" s="379"/>
      <c r="AK649" s="156"/>
      <c r="AL649" s="379"/>
      <c r="AM649" s="50"/>
      <c r="AN649" s="50"/>
    </row>
    <row r="650" spans="1:40" x14ac:dyDescent="0.25">
      <c r="A650" s="53"/>
      <c r="C650" s="54"/>
      <c r="D650" s="54"/>
      <c r="E650" s="54"/>
      <c r="F650" s="379"/>
      <c r="H650" s="379"/>
      <c r="I650" s="379"/>
      <c r="J650" s="59"/>
      <c r="K650" s="59"/>
      <c r="L650" s="379"/>
      <c r="M650" s="379"/>
      <c r="N650" s="59"/>
      <c r="O650" s="59"/>
      <c r="P650" s="379"/>
      <c r="Q650" s="379"/>
      <c r="R650" s="379"/>
      <c r="T650" s="54"/>
      <c r="U650" s="54"/>
      <c r="V650" s="379"/>
      <c r="Y650" s="379"/>
      <c r="Z650" s="59"/>
      <c r="AA650" s="379"/>
      <c r="AB650" s="379"/>
      <c r="AC650" s="59"/>
      <c r="AD650" s="59"/>
      <c r="AE650" s="379"/>
      <c r="AF650" s="379"/>
      <c r="AG650" s="156"/>
      <c r="AH650" s="60"/>
      <c r="AI650" s="379"/>
      <c r="AJ650" s="379"/>
      <c r="AK650" s="156"/>
      <c r="AL650" s="379"/>
      <c r="AM650" s="50"/>
      <c r="AN650" s="50"/>
    </row>
    <row r="651" spans="1:40" x14ac:dyDescent="0.25">
      <c r="A651" s="53"/>
      <c r="C651" s="54"/>
      <c r="D651" s="54"/>
      <c r="E651" s="54"/>
      <c r="F651" s="379"/>
      <c r="H651" s="379"/>
      <c r="I651" s="379"/>
      <c r="J651" s="59"/>
      <c r="K651" s="59"/>
      <c r="L651" s="379"/>
      <c r="M651" s="379"/>
      <c r="N651" s="59"/>
      <c r="O651" s="59"/>
      <c r="P651" s="379"/>
      <c r="Q651" s="379"/>
      <c r="R651" s="379"/>
      <c r="T651" s="54"/>
      <c r="U651" s="54"/>
      <c r="V651" s="379"/>
      <c r="Y651" s="379"/>
      <c r="Z651" s="59"/>
      <c r="AA651" s="379"/>
      <c r="AB651" s="379"/>
      <c r="AC651" s="59"/>
      <c r="AD651" s="59"/>
      <c r="AE651" s="379"/>
      <c r="AF651" s="379"/>
      <c r="AG651" s="156"/>
      <c r="AH651" s="60"/>
      <c r="AI651" s="379"/>
      <c r="AJ651" s="379"/>
      <c r="AK651" s="156"/>
      <c r="AL651" s="379"/>
      <c r="AM651" s="50"/>
      <c r="AN651" s="50"/>
    </row>
    <row r="652" spans="1:40" x14ac:dyDescent="0.25">
      <c r="F652" s="379"/>
      <c r="H652" s="381"/>
      <c r="I652" s="381"/>
      <c r="J652" s="464"/>
      <c r="K652" s="464"/>
      <c r="L652" s="381"/>
      <c r="M652" s="381"/>
      <c r="N652" s="381"/>
      <c r="O652" s="381"/>
      <c r="P652" s="381"/>
      <c r="Q652" s="381"/>
      <c r="R652" s="381"/>
      <c r="V652" s="381"/>
      <c r="Y652" s="381"/>
      <c r="Z652" s="464"/>
      <c r="AA652" s="381"/>
      <c r="AB652" s="381"/>
      <c r="AC652" s="381"/>
      <c r="AD652" s="381"/>
      <c r="AE652" s="381"/>
      <c r="AF652" s="381"/>
      <c r="AI652" s="381"/>
      <c r="AJ652" s="381"/>
      <c r="AK652" s="162"/>
      <c r="AL652" s="381"/>
      <c r="AM652" s="50"/>
      <c r="AN652" s="50"/>
    </row>
    <row r="653" spans="1:40" x14ac:dyDescent="0.25">
      <c r="A653" s="53"/>
      <c r="C653" s="54"/>
      <c r="F653" s="381"/>
      <c r="H653" s="379"/>
      <c r="I653" s="379"/>
      <c r="J653" s="59"/>
      <c r="K653" s="59"/>
      <c r="L653" s="379"/>
      <c r="M653" s="379"/>
      <c r="N653" s="59"/>
      <c r="O653" s="59"/>
      <c r="P653" s="379"/>
      <c r="Q653" s="379"/>
      <c r="R653" s="379"/>
      <c r="T653" s="54"/>
      <c r="V653" s="379"/>
      <c r="Y653" s="379"/>
      <c r="Z653" s="59"/>
      <c r="AA653" s="379"/>
      <c r="AB653" s="379"/>
      <c r="AC653" s="59"/>
      <c r="AD653" s="59"/>
      <c r="AE653" s="379"/>
      <c r="AF653" s="379"/>
      <c r="AG653" s="156"/>
      <c r="AH653" s="60"/>
      <c r="AI653" s="379"/>
      <c r="AJ653" s="379"/>
      <c r="AK653" s="156"/>
      <c r="AL653" s="379"/>
      <c r="AM653" s="50"/>
      <c r="AN653" s="50"/>
    </row>
    <row r="654" spans="1:40" x14ac:dyDescent="0.25">
      <c r="F654" s="379"/>
      <c r="H654" s="379"/>
      <c r="I654" s="379"/>
      <c r="J654" s="59"/>
      <c r="K654" s="59"/>
      <c r="L654" s="379"/>
      <c r="M654" s="379"/>
      <c r="N654" s="59"/>
      <c r="O654" s="59"/>
      <c r="P654" s="379"/>
      <c r="Q654" s="379"/>
      <c r="R654" s="379"/>
      <c r="V654" s="379"/>
      <c r="Y654" s="379"/>
      <c r="Z654" s="59"/>
      <c r="AA654" s="379"/>
      <c r="AB654" s="379"/>
      <c r="AC654" s="59"/>
      <c r="AD654" s="59"/>
      <c r="AG654" s="156"/>
      <c r="AH654" s="60"/>
      <c r="AI654" s="379"/>
      <c r="AJ654" s="379"/>
      <c r="AK654" s="156"/>
      <c r="AL654" s="379"/>
      <c r="AM654" s="50"/>
      <c r="AN654" s="50"/>
    </row>
    <row r="655" spans="1:40" x14ac:dyDescent="0.25">
      <c r="A655" s="53"/>
      <c r="C655" s="54"/>
      <c r="D655" s="54"/>
      <c r="E655" s="54"/>
      <c r="F655" s="379"/>
      <c r="H655" s="379"/>
      <c r="I655" s="379"/>
      <c r="J655" s="59"/>
      <c r="K655" s="59"/>
      <c r="L655" s="379"/>
      <c r="M655" s="379"/>
      <c r="N655" s="59"/>
      <c r="O655" s="59"/>
      <c r="P655" s="379"/>
      <c r="Q655" s="379"/>
      <c r="R655" s="379"/>
      <c r="T655" s="54"/>
      <c r="U655" s="54"/>
      <c r="V655" s="379"/>
      <c r="Y655" s="379"/>
      <c r="Z655" s="59"/>
      <c r="AA655" s="379"/>
      <c r="AB655" s="379"/>
      <c r="AC655" s="59"/>
      <c r="AD655" s="59"/>
      <c r="AE655" s="379"/>
      <c r="AF655" s="379"/>
      <c r="AG655" s="156"/>
      <c r="AH655" s="60"/>
      <c r="AI655" s="379"/>
      <c r="AJ655" s="379"/>
      <c r="AK655" s="156"/>
      <c r="AL655" s="379"/>
      <c r="AM655" s="50"/>
      <c r="AN655" s="50"/>
    </row>
    <row r="656" spans="1:40" x14ac:dyDescent="0.25">
      <c r="F656" s="379"/>
      <c r="H656" s="381"/>
      <c r="I656" s="381"/>
      <c r="J656" s="464"/>
      <c r="K656" s="464"/>
      <c r="L656" s="381"/>
      <c r="M656" s="381"/>
      <c r="N656" s="381"/>
      <c r="O656" s="381"/>
      <c r="P656" s="381"/>
      <c r="Q656" s="381"/>
      <c r="R656" s="381"/>
      <c r="V656" s="381"/>
      <c r="Y656" s="381"/>
      <c r="Z656" s="464"/>
      <c r="AA656" s="381"/>
      <c r="AB656" s="381"/>
      <c r="AC656" s="381"/>
      <c r="AD656" s="381"/>
      <c r="AE656" s="381"/>
      <c r="AF656" s="381"/>
      <c r="AI656" s="381"/>
      <c r="AJ656" s="381"/>
      <c r="AK656" s="162"/>
      <c r="AL656" s="381"/>
      <c r="AM656" s="50"/>
      <c r="AN656" s="50"/>
    </row>
    <row r="657" spans="1:40" x14ac:dyDescent="0.25">
      <c r="A657" s="53"/>
      <c r="C657" s="54"/>
      <c r="F657" s="381"/>
      <c r="H657" s="379"/>
      <c r="I657" s="379"/>
      <c r="J657" s="59"/>
      <c r="K657" s="59"/>
      <c r="L657" s="379"/>
      <c r="M657" s="379"/>
      <c r="N657" s="59"/>
      <c r="O657" s="59"/>
      <c r="P657" s="379"/>
      <c r="Q657" s="379"/>
      <c r="R657" s="379"/>
      <c r="T657" s="54"/>
      <c r="V657" s="379"/>
      <c r="Y657" s="379"/>
      <c r="Z657" s="59"/>
      <c r="AA657" s="379"/>
      <c r="AB657" s="379"/>
      <c r="AC657" s="59"/>
      <c r="AD657" s="59"/>
      <c r="AE657" s="379"/>
      <c r="AF657" s="379"/>
      <c r="AG657" s="156"/>
      <c r="AH657" s="60"/>
      <c r="AI657" s="379"/>
      <c r="AJ657" s="379"/>
      <c r="AK657" s="156"/>
      <c r="AL657" s="379"/>
      <c r="AM657" s="50"/>
      <c r="AN657" s="50"/>
    </row>
    <row r="658" spans="1:40" x14ac:dyDescent="0.25">
      <c r="F658" s="379"/>
      <c r="H658" s="379"/>
      <c r="I658" s="379"/>
      <c r="J658" s="59"/>
      <c r="K658" s="59"/>
      <c r="L658" s="379"/>
      <c r="M658" s="379"/>
      <c r="N658" s="59"/>
      <c r="O658" s="59"/>
      <c r="P658" s="379"/>
      <c r="Q658" s="379"/>
      <c r="R658" s="379"/>
      <c r="V658" s="379"/>
      <c r="Y658" s="379"/>
      <c r="Z658" s="59"/>
      <c r="AA658" s="379"/>
      <c r="AB658" s="379"/>
      <c r="AC658" s="59"/>
      <c r="AD658" s="59"/>
      <c r="AG658" s="156"/>
      <c r="AH658" s="60"/>
      <c r="AI658" s="379"/>
      <c r="AJ658" s="379"/>
      <c r="AK658" s="156"/>
      <c r="AL658" s="379"/>
      <c r="AM658" s="50"/>
      <c r="AN658" s="50"/>
    </row>
    <row r="659" spans="1:40" x14ac:dyDescent="0.25">
      <c r="A659" s="53"/>
      <c r="C659" s="54"/>
      <c r="D659" s="54"/>
      <c r="E659" s="54"/>
      <c r="F659" s="379"/>
      <c r="H659" s="379"/>
      <c r="I659" s="379"/>
      <c r="J659" s="59"/>
      <c r="K659" s="59"/>
      <c r="L659" s="379"/>
      <c r="M659" s="379"/>
      <c r="N659" s="59"/>
      <c r="O659" s="59"/>
      <c r="P659" s="379"/>
      <c r="Q659" s="379"/>
      <c r="R659" s="379"/>
      <c r="T659" s="54"/>
      <c r="U659" s="54"/>
      <c r="V659" s="379"/>
      <c r="Y659" s="379"/>
      <c r="Z659" s="59"/>
      <c r="AA659" s="379"/>
      <c r="AB659" s="379"/>
      <c r="AC659" s="59"/>
      <c r="AD659" s="59"/>
      <c r="AE659" s="379"/>
      <c r="AF659" s="379"/>
      <c r="AG659" s="156"/>
      <c r="AH659" s="60"/>
      <c r="AI659" s="379"/>
      <c r="AJ659" s="379"/>
      <c r="AK659" s="156"/>
      <c r="AL659" s="379"/>
      <c r="AM659" s="50"/>
      <c r="AN659" s="50"/>
    </row>
    <row r="660" spans="1:40" x14ac:dyDescent="0.25">
      <c r="A660" s="53"/>
      <c r="C660" s="54"/>
      <c r="D660" s="54"/>
      <c r="E660" s="54"/>
      <c r="F660" s="379"/>
      <c r="G660" s="379"/>
      <c r="H660" s="379"/>
      <c r="I660" s="379"/>
      <c r="J660" s="59"/>
      <c r="K660" s="59"/>
      <c r="L660" s="379"/>
      <c r="M660" s="379"/>
      <c r="N660" s="59"/>
      <c r="O660" s="59"/>
      <c r="P660" s="379"/>
      <c r="Q660" s="379"/>
      <c r="R660" s="379"/>
      <c r="T660" s="54"/>
      <c r="U660" s="54"/>
      <c r="V660" s="379"/>
      <c r="W660" s="379"/>
      <c r="X660" s="379"/>
      <c r="Y660" s="379"/>
      <c r="Z660" s="59"/>
      <c r="AA660" s="379"/>
      <c r="AB660" s="379"/>
      <c r="AC660" s="59"/>
      <c r="AD660" s="59"/>
      <c r="AE660" s="379"/>
      <c r="AF660" s="379"/>
      <c r="AG660" s="156"/>
      <c r="AH660" s="60"/>
      <c r="AI660" s="379"/>
      <c r="AJ660" s="379"/>
      <c r="AK660" s="156"/>
      <c r="AL660" s="379"/>
      <c r="AM660" s="50"/>
      <c r="AN660" s="50"/>
    </row>
    <row r="661" spans="1:40" x14ac:dyDescent="0.25">
      <c r="A661" s="53"/>
      <c r="C661" s="54"/>
      <c r="D661" s="54"/>
      <c r="E661" s="54"/>
      <c r="F661" s="379"/>
      <c r="G661" s="379"/>
      <c r="H661" s="379"/>
      <c r="I661" s="379"/>
      <c r="J661" s="59"/>
      <c r="K661" s="59"/>
      <c r="L661" s="379"/>
      <c r="M661" s="379"/>
      <c r="N661" s="59"/>
      <c r="O661" s="59"/>
      <c r="P661" s="379"/>
      <c r="Q661" s="379"/>
      <c r="R661" s="379"/>
      <c r="T661" s="54"/>
      <c r="U661" s="54"/>
      <c r="V661" s="379"/>
      <c r="W661" s="379"/>
      <c r="X661" s="379"/>
      <c r="Y661" s="379"/>
      <c r="Z661" s="59"/>
      <c r="AA661" s="379"/>
      <c r="AB661" s="379"/>
      <c r="AC661" s="59"/>
      <c r="AD661" s="59"/>
      <c r="AE661" s="379"/>
      <c r="AF661" s="379"/>
      <c r="AG661" s="156"/>
      <c r="AH661" s="60"/>
      <c r="AI661" s="379"/>
      <c r="AJ661" s="379"/>
      <c r="AK661" s="156"/>
      <c r="AL661" s="379"/>
      <c r="AM661" s="50"/>
      <c r="AN661" s="50"/>
    </row>
    <row r="662" spans="1:40" x14ac:dyDescent="0.25">
      <c r="A662" s="53"/>
      <c r="C662" s="54"/>
      <c r="D662" s="54"/>
      <c r="E662" s="54"/>
      <c r="F662" s="379"/>
      <c r="H662" s="379"/>
      <c r="I662" s="379"/>
      <c r="J662" s="59"/>
      <c r="K662" s="59"/>
      <c r="L662" s="379"/>
      <c r="M662" s="379"/>
      <c r="N662" s="59"/>
      <c r="O662" s="59"/>
      <c r="P662" s="379"/>
      <c r="Q662" s="379"/>
      <c r="R662" s="379"/>
      <c r="T662" s="54"/>
      <c r="U662" s="54"/>
      <c r="V662" s="379"/>
      <c r="Y662" s="379"/>
      <c r="Z662" s="59"/>
      <c r="AA662" s="379"/>
      <c r="AB662" s="379"/>
      <c r="AC662" s="59"/>
      <c r="AD662" s="59"/>
      <c r="AE662" s="379"/>
      <c r="AF662" s="379"/>
      <c r="AG662" s="156"/>
      <c r="AH662" s="60"/>
      <c r="AI662" s="379"/>
      <c r="AJ662" s="379"/>
      <c r="AK662" s="156"/>
      <c r="AL662" s="379"/>
      <c r="AM662" s="50"/>
      <c r="AN662" s="50"/>
    </row>
    <row r="663" spans="1:40" x14ac:dyDescent="0.25">
      <c r="A663" s="53"/>
      <c r="C663" s="54"/>
      <c r="D663" s="54"/>
      <c r="E663" s="54"/>
      <c r="F663" s="379"/>
      <c r="H663" s="379"/>
      <c r="I663" s="379"/>
      <c r="J663" s="59"/>
      <c r="K663" s="59"/>
      <c r="L663" s="379"/>
      <c r="M663" s="379"/>
      <c r="N663" s="59"/>
      <c r="O663" s="59"/>
      <c r="P663" s="379"/>
      <c r="Q663" s="379"/>
      <c r="R663" s="379"/>
      <c r="T663" s="54"/>
      <c r="U663" s="54"/>
      <c r="V663" s="379"/>
      <c r="Y663" s="379"/>
      <c r="Z663" s="59"/>
      <c r="AA663" s="379"/>
      <c r="AB663" s="379"/>
      <c r="AC663" s="59"/>
      <c r="AD663" s="59"/>
      <c r="AE663" s="379"/>
      <c r="AF663" s="379"/>
      <c r="AG663" s="156"/>
      <c r="AH663" s="60"/>
      <c r="AI663" s="379"/>
      <c r="AJ663" s="379"/>
      <c r="AK663" s="156"/>
      <c r="AL663" s="379"/>
      <c r="AM663" s="50"/>
      <c r="AN663" s="50"/>
    </row>
    <row r="664" spans="1:40" x14ac:dyDescent="0.25">
      <c r="A664" s="53"/>
      <c r="C664" s="54"/>
      <c r="D664" s="54"/>
      <c r="E664" s="54"/>
      <c r="F664" s="379"/>
      <c r="H664" s="379"/>
      <c r="I664" s="379"/>
      <c r="J664" s="59"/>
      <c r="K664" s="59"/>
      <c r="L664" s="379"/>
      <c r="M664" s="379"/>
      <c r="N664" s="59"/>
      <c r="O664" s="59"/>
      <c r="P664" s="379"/>
      <c r="Q664" s="379"/>
      <c r="R664" s="379"/>
      <c r="T664" s="54"/>
      <c r="U664" s="54"/>
      <c r="V664" s="379"/>
      <c r="Y664" s="379"/>
      <c r="Z664" s="59"/>
      <c r="AA664" s="379"/>
      <c r="AB664" s="379"/>
      <c r="AC664" s="59"/>
      <c r="AD664" s="59"/>
      <c r="AE664" s="379"/>
      <c r="AF664" s="379"/>
      <c r="AG664" s="156"/>
      <c r="AH664" s="60"/>
      <c r="AI664" s="379"/>
      <c r="AJ664" s="379"/>
      <c r="AK664" s="156"/>
      <c r="AL664" s="379"/>
      <c r="AM664" s="50"/>
      <c r="AN664" s="50"/>
    </row>
    <row r="665" spans="1:40" x14ac:dyDescent="0.25">
      <c r="A665" s="53"/>
      <c r="C665" s="54"/>
      <c r="D665" s="54"/>
      <c r="E665" s="54"/>
      <c r="F665" s="379"/>
      <c r="H665" s="379"/>
      <c r="I665" s="379"/>
      <c r="J665" s="59"/>
      <c r="K665" s="59"/>
      <c r="L665" s="379"/>
      <c r="M665" s="379"/>
      <c r="N665" s="59"/>
      <c r="O665" s="59"/>
      <c r="P665" s="379"/>
      <c r="Q665" s="379"/>
      <c r="R665" s="379"/>
      <c r="T665" s="54"/>
      <c r="U665" s="54"/>
      <c r="V665" s="379"/>
      <c r="Y665" s="379"/>
      <c r="Z665" s="59"/>
      <c r="AA665" s="379"/>
      <c r="AB665" s="379"/>
      <c r="AC665" s="59"/>
      <c r="AD665" s="59"/>
      <c r="AE665" s="379"/>
      <c r="AF665" s="379"/>
      <c r="AG665" s="156"/>
      <c r="AH665" s="60"/>
      <c r="AI665" s="379"/>
      <c r="AJ665" s="379"/>
      <c r="AK665" s="156"/>
      <c r="AL665" s="379"/>
      <c r="AM665" s="50"/>
      <c r="AN665" s="50"/>
    </row>
    <row r="666" spans="1:40" x14ac:dyDescent="0.25">
      <c r="F666" s="379"/>
      <c r="H666" s="381"/>
      <c r="I666" s="381"/>
      <c r="J666" s="464"/>
      <c r="K666" s="464"/>
      <c r="L666" s="381"/>
      <c r="M666" s="381"/>
      <c r="N666" s="381"/>
      <c r="O666" s="381"/>
      <c r="P666" s="381"/>
      <c r="Q666" s="381"/>
      <c r="R666" s="381"/>
      <c r="V666" s="381"/>
      <c r="Y666" s="381"/>
      <c r="Z666" s="464"/>
      <c r="AA666" s="381"/>
      <c r="AB666" s="381"/>
      <c r="AC666" s="381"/>
      <c r="AD666" s="381"/>
      <c r="AE666" s="381"/>
      <c r="AF666" s="381"/>
      <c r="AI666" s="381"/>
      <c r="AJ666" s="381"/>
      <c r="AK666" s="162"/>
      <c r="AL666" s="381"/>
      <c r="AM666" s="50"/>
      <c r="AN666" s="50"/>
    </row>
    <row r="667" spans="1:40" x14ac:dyDescent="0.25">
      <c r="A667" s="53"/>
      <c r="C667" s="54"/>
      <c r="F667" s="381"/>
      <c r="H667" s="379"/>
      <c r="I667" s="379"/>
      <c r="J667" s="59"/>
      <c r="K667" s="59"/>
      <c r="L667" s="379"/>
      <c r="M667" s="379"/>
      <c r="N667" s="59"/>
      <c r="O667" s="59"/>
      <c r="P667" s="379"/>
      <c r="Q667" s="379"/>
      <c r="R667" s="379"/>
      <c r="T667" s="54"/>
      <c r="V667" s="379"/>
      <c r="Y667" s="379"/>
      <c r="Z667" s="59"/>
      <c r="AA667" s="379"/>
      <c r="AB667" s="379"/>
      <c r="AC667" s="59"/>
      <c r="AD667" s="59"/>
      <c r="AE667" s="379"/>
      <c r="AF667" s="379"/>
      <c r="AG667" s="156"/>
      <c r="AH667" s="60"/>
      <c r="AI667" s="379"/>
      <c r="AJ667" s="379"/>
      <c r="AK667" s="156"/>
      <c r="AL667" s="379"/>
      <c r="AM667" s="50"/>
      <c r="AN667" s="50"/>
    </row>
    <row r="668" spans="1:40" x14ac:dyDescent="0.25">
      <c r="F668" s="379"/>
      <c r="V668" s="379"/>
      <c r="Y668" s="379"/>
      <c r="Z668" s="464"/>
      <c r="AA668" s="379"/>
      <c r="AB668" s="379"/>
      <c r="AC668" s="379"/>
      <c r="AD668" s="379"/>
      <c r="AE668" s="379"/>
      <c r="AF668" s="379"/>
      <c r="AI668" s="379"/>
      <c r="AJ668" s="379"/>
      <c r="AK668" s="156"/>
      <c r="AL668" s="379"/>
      <c r="AM668" s="50"/>
      <c r="AN668" s="50"/>
    </row>
    <row r="669" spans="1:40" x14ac:dyDescent="0.25">
      <c r="A669" s="53"/>
      <c r="C669" s="54"/>
      <c r="D669" s="54"/>
      <c r="E669" s="54"/>
      <c r="L669" s="379"/>
      <c r="M669" s="379"/>
      <c r="N669" s="59"/>
      <c r="O669" s="59"/>
      <c r="P669" s="53"/>
      <c r="Q669" s="53"/>
      <c r="R669" s="379"/>
      <c r="T669" s="54"/>
      <c r="U669" s="54"/>
      <c r="AA669" s="379"/>
      <c r="AB669" s="379"/>
      <c r="AC669" s="59"/>
      <c r="AD669" s="59"/>
      <c r="AE669" s="379"/>
      <c r="AF669" s="379"/>
      <c r="AG669" s="156"/>
      <c r="AH669" s="60"/>
      <c r="AI669" s="53"/>
      <c r="AJ669" s="53"/>
      <c r="AK669" s="156"/>
      <c r="AL669" s="379"/>
      <c r="AM669" s="50"/>
      <c r="AN669" s="50"/>
    </row>
    <row r="670" spans="1:40" x14ac:dyDescent="0.25">
      <c r="A670" s="53"/>
      <c r="D670" s="54"/>
      <c r="E670" s="54"/>
      <c r="H670" s="449"/>
      <c r="I670" s="449"/>
      <c r="J670" s="59"/>
      <c r="K670" s="59"/>
      <c r="L670" s="379"/>
      <c r="M670" s="379"/>
      <c r="N670" s="59"/>
      <c r="O670" s="59"/>
      <c r="P670" s="449"/>
      <c r="Q670" s="449"/>
      <c r="R670" s="379"/>
      <c r="U670" s="54"/>
      <c r="V670" s="379"/>
      <c r="Y670" s="379"/>
      <c r="Z670" s="59"/>
      <c r="AA670" s="379"/>
      <c r="AB670" s="379"/>
      <c r="AC670" s="59"/>
      <c r="AD670" s="59"/>
      <c r="AE670" s="379"/>
      <c r="AF670" s="379"/>
      <c r="AG670" s="156"/>
      <c r="AH670" s="60"/>
      <c r="AI670" s="379"/>
      <c r="AJ670" s="379"/>
      <c r="AK670" s="156"/>
      <c r="AL670" s="379"/>
      <c r="AM670" s="50"/>
      <c r="AN670" s="50"/>
    </row>
    <row r="671" spans="1:40" x14ac:dyDescent="0.25">
      <c r="F671" s="449"/>
      <c r="H671" s="381"/>
      <c r="I671" s="381"/>
      <c r="J671" s="464"/>
      <c r="K671" s="464"/>
      <c r="L671" s="381"/>
      <c r="M671" s="381"/>
      <c r="N671" s="381"/>
      <c r="O671" s="381"/>
      <c r="P671" s="381"/>
      <c r="Q671" s="381"/>
      <c r="R671" s="381"/>
      <c r="V671" s="381"/>
      <c r="Y671" s="381"/>
      <c r="Z671" s="464"/>
      <c r="AA671" s="381"/>
      <c r="AB671" s="381"/>
      <c r="AC671" s="381"/>
      <c r="AD671" s="381"/>
      <c r="AE671" s="381"/>
      <c r="AF671" s="381"/>
      <c r="AI671" s="381"/>
      <c r="AJ671" s="381"/>
      <c r="AK671" s="162"/>
      <c r="AL671" s="381"/>
      <c r="AM671" s="50"/>
      <c r="AN671" s="50"/>
    </row>
    <row r="672" spans="1:40" x14ac:dyDescent="0.25">
      <c r="A672" s="53"/>
      <c r="C672" s="54"/>
      <c r="F672" s="381"/>
      <c r="H672" s="379"/>
      <c r="I672" s="379"/>
      <c r="J672" s="59"/>
      <c r="K672" s="59"/>
      <c r="L672" s="379"/>
      <c r="M672" s="379"/>
      <c r="N672" s="59"/>
      <c r="O672" s="59"/>
      <c r="P672" s="379"/>
      <c r="Q672" s="379"/>
      <c r="R672" s="379"/>
      <c r="T672" s="54"/>
      <c r="V672" s="379"/>
      <c r="Y672" s="379"/>
      <c r="Z672" s="59"/>
      <c r="AA672" s="379"/>
      <c r="AB672" s="379"/>
      <c r="AC672" s="59"/>
      <c r="AD672" s="59"/>
      <c r="AE672" s="379"/>
      <c r="AF672" s="379"/>
      <c r="AG672" s="156"/>
      <c r="AH672" s="60"/>
      <c r="AI672" s="379"/>
      <c r="AJ672" s="379"/>
      <c r="AK672" s="156"/>
      <c r="AL672" s="379"/>
      <c r="AM672" s="50"/>
      <c r="AN672" s="50"/>
    </row>
    <row r="673" spans="1:40" x14ac:dyDescent="0.25">
      <c r="F673" s="379"/>
      <c r="H673" s="379"/>
      <c r="I673" s="379"/>
      <c r="J673" s="59"/>
      <c r="K673" s="59"/>
      <c r="L673" s="379"/>
      <c r="M673" s="379"/>
      <c r="N673" s="59"/>
      <c r="O673" s="59"/>
      <c r="P673" s="379"/>
      <c r="Q673" s="379"/>
      <c r="R673" s="379"/>
      <c r="V673" s="379"/>
      <c r="Y673" s="379"/>
      <c r="Z673" s="59"/>
      <c r="AA673" s="379"/>
      <c r="AB673" s="379"/>
      <c r="AC673" s="59"/>
      <c r="AD673" s="59"/>
      <c r="AG673" s="156"/>
      <c r="AH673" s="60"/>
      <c r="AI673" s="379"/>
      <c r="AJ673" s="379"/>
      <c r="AK673" s="156"/>
      <c r="AL673" s="379"/>
      <c r="AM673" s="50"/>
      <c r="AN673" s="50"/>
    </row>
    <row r="674" spans="1:40" x14ac:dyDescent="0.25">
      <c r="A674" s="53"/>
      <c r="D674" s="54"/>
      <c r="E674" s="54"/>
      <c r="F674" s="379"/>
      <c r="H674" s="379"/>
      <c r="I674" s="379"/>
      <c r="J674" s="59"/>
      <c r="K674" s="59"/>
      <c r="L674" s="449"/>
      <c r="M674" s="449"/>
      <c r="N674" s="59"/>
      <c r="O674" s="59"/>
      <c r="P674" s="379"/>
      <c r="Q674" s="379"/>
      <c r="R674" s="379"/>
      <c r="U674" s="54"/>
      <c r="V674" s="379"/>
      <c r="Y674" s="379"/>
      <c r="Z674" s="59"/>
      <c r="AA674" s="449"/>
      <c r="AB674" s="449"/>
      <c r="AC674" s="59"/>
      <c r="AD674" s="59"/>
      <c r="AE674" s="379"/>
      <c r="AF674" s="379"/>
      <c r="AG674" s="156"/>
      <c r="AH674" s="60"/>
      <c r="AI674" s="379"/>
      <c r="AJ674" s="379"/>
      <c r="AK674" s="156"/>
      <c r="AL674" s="379"/>
      <c r="AM674" s="50"/>
      <c r="AN674" s="50"/>
    </row>
    <row r="675" spans="1:40" x14ac:dyDescent="0.25">
      <c r="A675" s="53"/>
      <c r="D675" s="54"/>
      <c r="E675" s="54"/>
      <c r="F675" s="379"/>
      <c r="H675" s="379"/>
      <c r="I675" s="379"/>
      <c r="J675" s="59"/>
      <c r="K675" s="59"/>
      <c r="L675" s="449"/>
      <c r="M675" s="449"/>
      <c r="N675" s="59"/>
      <c r="O675" s="59"/>
      <c r="P675" s="379"/>
      <c r="Q675" s="379"/>
      <c r="R675" s="379"/>
      <c r="U675" s="54"/>
      <c r="V675" s="379"/>
      <c r="Y675" s="379"/>
      <c r="Z675" s="59"/>
      <c r="AA675" s="449"/>
      <c r="AB675" s="449"/>
      <c r="AC675" s="59"/>
      <c r="AD675" s="59"/>
      <c r="AE675" s="379"/>
      <c r="AF675" s="379"/>
      <c r="AG675" s="156"/>
      <c r="AH675" s="60"/>
      <c r="AI675" s="379"/>
      <c r="AJ675" s="379"/>
      <c r="AK675" s="156"/>
      <c r="AL675" s="379"/>
      <c r="AM675" s="50"/>
      <c r="AN675" s="50"/>
    </row>
    <row r="676" spans="1:40" x14ac:dyDescent="0.25">
      <c r="A676" s="53"/>
      <c r="D676" s="54"/>
      <c r="E676" s="54"/>
      <c r="F676" s="379"/>
      <c r="H676" s="379"/>
      <c r="I676" s="379"/>
      <c r="J676" s="59"/>
      <c r="K676" s="59"/>
      <c r="L676" s="449"/>
      <c r="M676" s="449"/>
      <c r="N676" s="59"/>
      <c r="O676" s="59"/>
      <c r="P676" s="379"/>
      <c r="Q676" s="379"/>
      <c r="R676" s="379"/>
      <c r="U676" s="54"/>
      <c r="V676" s="379"/>
      <c r="Y676" s="379"/>
      <c r="Z676" s="59"/>
      <c r="AA676" s="449"/>
      <c r="AB676" s="449"/>
      <c r="AC676" s="59"/>
      <c r="AD676" s="59"/>
      <c r="AE676" s="379"/>
      <c r="AF676" s="379"/>
      <c r="AG676" s="156"/>
      <c r="AH676" s="60"/>
      <c r="AI676" s="379"/>
      <c r="AJ676" s="379"/>
      <c r="AK676" s="156"/>
      <c r="AL676" s="379"/>
      <c r="AM676" s="50"/>
      <c r="AN676" s="50"/>
    </row>
    <row r="677" spans="1:40" x14ac:dyDescent="0.25">
      <c r="F677" s="379"/>
      <c r="H677" s="381"/>
      <c r="I677" s="381"/>
      <c r="J677" s="464"/>
      <c r="K677" s="464"/>
      <c r="L677" s="381"/>
      <c r="M677" s="381"/>
      <c r="N677" s="381"/>
      <c r="O677" s="381"/>
      <c r="P677" s="381"/>
      <c r="Q677" s="381"/>
      <c r="R677" s="381"/>
      <c r="V677" s="381"/>
      <c r="Y677" s="381"/>
      <c r="Z677" s="464"/>
      <c r="AA677" s="381"/>
      <c r="AB677" s="381"/>
      <c r="AC677" s="381"/>
      <c r="AD677" s="381"/>
      <c r="AE677" s="381"/>
      <c r="AF677" s="381"/>
      <c r="AI677" s="381"/>
      <c r="AJ677" s="381"/>
      <c r="AK677" s="162"/>
      <c r="AL677" s="381"/>
      <c r="AM677" s="50"/>
      <c r="AN677" s="50"/>
    </row>
    <row r="678" spans="1:40" x14ac:dyDescent="0.25">
      <c r="A678" s="53"/>
      <c r="C678" s="54"/>
      <c r="F678" s="381"/>
      <c r="H678" s="379"/>
      <c r="I678" s="379"/>
      <c r="J678" s="59"/>
      <c r="K678" s="59"/>
      <c r="L678" s="379"/>
      <c r="M678" s="379"/>
      <c r="N678" s="59"/>
      <c r="O678" s="59"/>
      <c r="P678" s="379"/>
      <c r="Q678" s="379"/>
      <c r="R678" s="379"/>
      <c r="T678" s="54"/>
      <c r="V678" s="379"/>
      <c r="Y678" s="379"/>
      <c r="Z678" s="59"/>
      <c r="AA678" s="379"/>
      <c r="AB678" s="379"/>
      <c r="AC678" s="59"/>
      <c r="AD678" s="59"/>
      <c r="AE678" s="379"/>
      <c r="AF678" s="379"/>
      <c r="AG678" s="156"/>
      <c r="AH678" s="60"/>
      <c r="AI678" s="379"/>
      <c r="AJ678" s="379"/>
      <c r="AK678" s="156"/>
      <c r="AL678" s="379"/>
      <c r="AM678" s="50"/>
      <c r="AN678" s="50"/>
    </row>
    <row r="679" spans="1:40" x14ac:dyDescent="0.25">
      <c r="F679" s="379"/>
      <c r="H679" s="379"/>
      <c r="I679" s="379"/>
      <c r="J679" s="59"/>
      <c r="K679" s="59"/>
      <c r="L679" s="379"/>
      <c r="M679" s="379"/>
      <c r="N679" s="59"/>
      <c r="O679" s="59"/>
      <c r="P679" s="379"/>
      <c r="Q679" s="379"/>
      <c r="R679" s="379"/>
      <c r="V679" s="379"/>
      <c r="Y679" s="379"/>
      <c r="Z679" s="59"/>
      <c r="AA679" s="379"/>
      <c r="AB679" s="379"/>
      <c r="AC679" s="59"/>
      <c r="AD679" s="59"/>
      <c r="AG679" s="156"/>
      <c r="AH679" s="60"/>
      <c r="AI679" s="379"/>
      <c r="AJ679" s="379"/>
      <c r="AK679" s="156"/>
      <c r="AL679" s="379"/>
      <c r="AM679" s="50"/>
      <c r="AN679" s="50"/>
    </row>
    <row r="680" spans="1:40" x14ac:dyDescent="0.25">
      <c r="A680" s="53"/>
      <c r="C680" s="54"/>
      <c r="F680" s="379"/>
      <c r="H680" s="379"/>
      <c r="I680" s="379"/>
      <c r="J680" s="59"/>
      <c r="K680" s="59"/>
      <c r="L680" s="379"/>
      <c r="M680" s="379"/>
      <c r="N680" s="59"/>
      <c r="O680" s="59"/>
      <c r="P680" s="379"/>
      <c r="Q680" s="379"/>
      <c r="R680" s="379"/>
      <c r="T680" s="54"/>
      <c r="V680" s="379"/>
      <c r="Y680" s="379"/>
      <c r="Z680" s="59"/>
      <c r="AA680" s="379"/>
      <c r="AB680" s="379"/>
      <c r="AC680" s="59"/>
      <c r="AD680" s="59"/>
      <c r="AE680" s="379"/>
      <c r="AF680" s="379"/>
      <c r="AG680" s="156"/>
      <c r="AH680" s="60"/>
      <c r="AI680" s="379"/>
      <c r="AJ680" s="379"/>
      <c r="AK680" s="156"/>
      <c r="AL680" s="379"/>
      <c r="AM680" s="50"/>
      <c r="AN680" s="50"/>
    </row>
    <row r="681" spans="1:40" x14ac:dyDescent="0.25">
      <c r="F681" s="379"/>
      <c r="H681" s="381"/>
      <c r="I681" s="381"/>
      <c r="J681" s="464"/>
      <c r="K681" s="464"/>
      <c r="L681" s="381"/>
      <c r="M681" s="381"/>
      <c r="N681" s="381"/>
      <c r="O681" s="381"/>
      <c r="P681" s="381"/>
      <c r="Q681" s="381"/>
      <c r="R681" s="381"/>
      <c r="V681" s="381"/>
      <c r="Y681" s="381"/>
      <c r="Z681" s="464"/>
      <c r="AA681" s="381"/>
      <c r="AB681" s="381"/>
      <c r="AC681" s="381"/>
      <c r="AD681" s="381"/>
      <c r="AE681" s="381"/>
      <c r="AF681" s="381"/>
      <c r="AI681" s="381"/>
      <c r="AJ681" s="381"/>
      <c r="AK681" s="162"/>
      <c r="AL681" s="381"/>
    </row>
    <row r="683" spans="1:40" x14ac:dyDescent="0.25">
      <c r="C683" s="54"/>
      <c r="F683" s="381"/>
      <c r="L683" s="379"/>
      <c r="M683" s="379"/>
      <c r="P683" s="379"/>
      <c r="Q683" s="379"/>
      <c r="R683" s="379"/>
      <c r="T683" s="54"/>
    </row>
    <row r="684" spans="1:40" x14ac:dyDescent="0.25">
      <c r="A684" s="54"/>
      <c r="L684" s="379"/>
      <c r="M684" s="379"/>
      <c r="P684" s="379"/>
      <c r="Q684" s="379"/>
      <c r="R684" s="379"/>
    </row>
    <row r="685" spans="1:40" x14ac:dyDescent="0.25">
      <c r="L685" s="379"/>
      <c r="M685" s="379"/>
      <c r="P685" s="379"/>
      <c r="Q685" s="379"/>
      <c r="R685" s="379"/>
    </row>
    <row r="686" spans="1:40" x14ac:dyDescent="0.25">
      <c r="L686" s="379"/>
      <c r="M686" s="379"/>
      <c r="P686" s="379"/>
      <c r="Q686" s="379"/>
      <c r="R686" s="379"/>
    </row>
    <row r="687" spans="1:40" x14ac:dyDescent="0.25">
      <c r="L687" s="379"/>
      <c r="M687" s="379"/>
      <c r="P687" s="379"/>
      <c r="Q687" s="379"/>
      <c r="R687" s="379"/>
    </row>
    <row r="688" spans="1:40" x14ac:dyDescent="0.25">
      <c r="L688" s="379"/>
      <c r="M688" s="379"/>
      <c r="P688" s="379"/>
      <c r="Q688" s="379"/>
      <c r="R688" s="379"/>
    </row>
    <row r="689" spans="12:18" x14ac:dyDescent="0.25">
      <c r="L689" s="379"/>
      <c r="M689" s="379"/>
      <c r="P689" s="379"/>
      <c r="Q689" s="379"/>
      <c r="R689" s="379"/>
    </row>
    <row r="722" spans="49:49" x14ac:dyDescent="0.25">
      <c r="AW722" s="379"/>
    </row>
    <row r="723" spans="49:49" x14ac:dyDescent="0.25">
      <c r="AW723" s="379"/>
    </row>
    <row r="724" spans="49:49" x14ac:dyDescent="0.25">
      <c r="AW724" s="379"/>
    </row>
    <row r="725" spans="49:49" x14ac:dyDescent="0.25">
      <c r="AW725" s="379"/>
    </row>
    <row r="726" spans="49:49" x14ac:dyDescent="0.25">
      <c r="AW726" s="379"/>
    </row>
    <row r="727" spans="49:49" x14ac:dyDescent="0.25">
      <c r="AW727" s="379"/>
    </row>
    <row r="730" spans="49:49" x14ac:dyDescent="0.25">
      <c r="AW730" s="379"/>
    </row>
    <row r="731" spans="49:49" x14ac:dyDescent="0.25">
      <c r="AW731" s="379"/>
    </row>
    <row r="732" spans="49:49" x14ac:dyDescent="0.25">
      <c r="AW732" s="379"/>
    </row>
    <row r="733" spans="49:49" x14ac:dyDescent="0.25">
      <c r="AW733" s="379"/>
    </row>
    <row r="734" spans="49:49" x14ac:dyDescent="0.25">
      <c r="AW734" s="379"/>
    </row>
    <row r="735" spans="49:49" x14ac:dyDescent="0.25">
      <c r="AW735" s="379"/>
    </row>
    <row r="736" spans="49:49" x14ac:dyDescent="0.25">
      <c r="AW736" s="379"/>
    </row>
    <row r="737" spans="49:49" x14ac:dyDescent="0.25">
      <c r="AW737" s="379"/>
    </row>
    <row r="740" spans="49:49" x14ac:dyDescent="0.25">
      <c r="AW740" s="379"/>
    </row>
    <row r="741" spans="49:49" x14ac:dyDescent="0.25">
      <c r="AW741" s="379"/>
    </row>
    <row r="744" spans="49:49" x14ac:dyDescent="0.25">
      <c r="AW744" s="379"/>
    </row>
    <row r="745" spans="49:49" x14ac:dyDescent="0.25">
      <c r="AW745" s="379"/>
    </row>
    <row r="746" spans="49:49" x14ac:dyDescent="0.25">
      <c r="AW746" s="379"/>
    </row>
    <row r="747" spans="49:49" x14ac:dyDescent="0.25">
      <c r="AW747" s="379"/>
    </row>
    <row r="753" spans="45:69" x14ac:dyDescent="0.25">
      <c r="AY753" s="53"/>
    </row>
    <row r="754" spans="45:69" x14ac:dyDescent="0.25">
      <c r="AY754" s="53"/>
    </row>
    <row r="755" spans="45:69" x14ac:dyDescent="0.25">
      <c r="AY755" s="54"/>
    </row>
    <row r="756" spans="45:69" x14ac:dyDescent="0.25">
      <c r="AY756" s="54"/>
    </row>
    <row r="757" spans="45:69" x14ac:dyDescent="0.25">
      <c r="AS757" s="53"/>
      <c r="BD757" s="54"/>
    </row>
    <row r="758" spans="45:69" x14ac:dyDescent="0.25">
      <c r="AS758" s="53"/>
      <c r="BD758" s="54"/>
    </row>
    <row r="759" spans="45:69" x14ac:dyDescent="0.25">
      <c r="AS759" s="54"/>
      <c r="BD759" s="54"/>
    </row>
    <row r="760" spans="45:69" x14ac:dyDescent="0.25">
      <c r="BD760" s="53"/>
    </row>
    <row r="761" spans="45:69" x14ac:dyDescent="0.25"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</row>
    <row r="762" spans="45:69" x14ac:dyDescent="0.25">
      <c r="AX762" s="54"/>
    </row>
    <row r="763" spans="45:69" x14ac:dyDescent="0.25">
      <c r="AX763" s="55"/>
      <c r="AY763" s="55"/>
      <c r="AZ763" s="55"/>
      <c r="BA763" s="55"/>
      <c r="BC763" s="56"/>
      <c r="BD763" s="56"/>
    </row>
    <row r="764" spans="45:69" x14ac:dyDescent="0.25">
      <c r="AV764" s="56"/>
      <c r="AW764" s="56"/>
      <c r="AZ764" s="56"/>
      <c r="BA764" s="56"/>
      <c r="BC764" s="56"/>
      <c r="BD764" s="56"/>
      <c r="BE764" s="56"/>
      <c r="BG764" s="55"/>
      <c r="BH764" s="54"/>
      <c r="BK764" s="55"/>
      <c r="BM764" s="55"/>
      <c r="BN764" s="54"/>
      <c r="BQ764" s="55"/>
    </row>
    <row r="765" spans="45:69" x14ac:dyDescent="0.25"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H765" s="56"/>
      <c r="BI765" s="56"/>
      <c r="BJ765" s="56"/>
      <c r="BN765" s="56"/>
      <c r="BO765" s="56"/>
      <c r="BP765" s="56"/>
    </row>
    <row r="766" spans="45:69" x14ac:dyDescent="0.25">
      <c r="AS766" s="56"/>
      <c r="AU766" s="54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G766" s="56"/>
      <c r="BH766" s="56"/>
      <c r="BI766" s="56"/>
      <c r="BJ766" s="56"/>
      <c r="BK766" s="56"/>
      <c r="BM766" s="56"/>
      <c r="BN766" s="56"/>
      <c r="BO766" s="56"/>
      <c r="BP766" s="56"/>
      <c r="BQ766" s="56"/>
    </row>
    <row r="767" spans="45:69" x14ac:dyDescent="0.25">
      <c r="AS767" s="56"/>
      <c r="AU767" s="54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G767" s="56"/>
      <c r="BH767" s="56"/>
      <c r="BI767" s="56"/>
      <c r="BJ767" s="56"/>
      <c r="BK767" s="56"/>
      <c r="BM767" s="56"/>
      <c r="BN767" s="56"/>
      <c r="BO767" s="56"/>
      <c r="BP767" s="56"/>
      <c r="BQ767" s="56"/>
    </row>
    <row r="768" spans="45:69" x14ac:dyDescent="0.25"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G768" s="55"/>
      <c r="BH768" s="55"/>
      <c r="BI768" s="55"/>
      <c r="BJ768" s="55"/>
      <c r="BK768" s="55"/>
      <c r="BM768" s="55"/>
      <c r="BN768" s="55"/>
      <c r="BO768" s="55"/>
      <c r="BP768" s="55"/>
      <c r="BQ768" s="55"/>
    </row>
    <row r="769" spans="45:69" x14ac:dyDescent="0.25"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</row>
    <row r="770" spans="45:69" x14ac:dyDescent="0.25">
      <c r="AS770" s="53"/>
      <c r="AU770" s="54"/>
      <c r="AV770" s="56"/>
      <c r="AY770" s="59"/>
    </row>
    <row r="771" spans="45:69" x14ac:dyDescent="0.25">
      <c r="AS771" s="53"/>
      <c r="AV771" s="56"/>
      <c r="AW771" s="379"/>
      <c r="AX771" s="65"/>
      <c r="AY771" s="65"/>
      <c r="AZ771" s="65"/>
      <c r="BA771" s="50"/>
      <c r="BB771" s="65"/>
      <c r="BC771" s="59"/>
      <c r="BD771" s="59"/>
      <c r="BE771" s="50"/>
      <c r="BG771" s="65"/>
      <c r="BH771" s="65"/>
      <c r="BI771" s="65"/>
      <c r="BJ771" s="65"/>
      <c r="BK771" s="65"/>
      <c r="BM771" s="65"/>
      <c r="BN771" s="65"/>
      <c r="BO771" s="65"/>
      <c r="BP771" s="65"/>
      <c r="BQ771" s="65"/>
    </row>
    <row r="772" spans="45:69" x14ac:dyDescent="0.25">
      <c r="AS772" s="53"/>
      <c r="AV772" s="56"/>
      <c r="AW772" s="379"/>
      <c r="AX772" s="65"/>
      <c r="AY772" s="65"/>
      <c r="AZ772" s="65"/>
      <c r="BA772" s="50"/>
      <c r="BB772" s="65"/>
      <c r="BC772" s="59"/>
      <c r="BD772" s="59"/>
      <c r="BE772" s="50"/>
      <c r="BG772" s="65"/>
      <c r="BH772" s="65"/>
      <c r="BI772" s="65"/>
      <c r="BJ772" s="65"/>
      <c r="BK772" s="65"/>
      <c r="BM772" s="65"/>
      <c r="BN772" s="65"/>
      <c r="BO772" s="65"/>
      <c r="BP772" s="65"/>
      <c r="BQ772" s="65"/>
    </row>
    <row r="773" spans="45:69" x14ac:dyDescent="0.25">
      <c r="AS773" s="53"/>
      <c r="AV773" s="56"/>
      <c r="AW773" s="379"/>
      <c r="AX773" s="65"/>
      <c r="AY773" s="65"/>
      <c r="AZ773" s="65"/>
      <c r="BA773" s="50"/>
      <c r="BB773" s="65"/>
      <c r="BC773" s="59"/>
      <c r="BD773" s="59"/>
      <c r="BE773" s="50"/>
      <c r="BG773" s="65"/>
      <c r="BH773" s="65"/>
      <c r="BI773" s="65"/>
      <c r="BJ773" s="65"/>
      <c r="BK773" s="65"/>
      <c r="BM773" s="65"/>
      <c r="BN773" s="65"/>
      <c r="BO773" s="65"/>
      <c r="BP773" s="65"/>
      <c r="BQ773" s="65"/>
    </row>
    <row r="774" spans="45:69" x14ac:dyDescent="0.25">
      <c r="AS774" s="53"/>
      <c r="AV774" s="56"/>
      <c r="AW774" s="379"/>
      <c r="AX774" s="65"/>
      <c r="AY774" s="65"/>
      <c r="AZ774" s="65"/>
      <c r="BA774" s="50"/>
      <c r="BB774" s="65"/>
      <c r="BC774" s="59"/>
      <c r="BD774" s="59"/>
      <c r="BE774" s="50"/>
      <c r="BG774" s="65"/>
      <c r="BH774" s="65"/>
      <c r="BI774" s="65"/>
      <c r="BJ774" s="65"/>
      <c r="BK774" s="65"/>
      <c r="BM774" s="65"/>
      <c r="BN774" s="65"/>
      <c r="BO774" s="65"/>
      <c r="BP774" s="65"/>
      <c r="BQ774" s="65"/>
    </row>
    <row r="775" spans="45:69" x14ac:dyDescent="0.25">
      <c r="AS775" s="53"/>
      <c r="AV775" s="56"/>
      <c r="AW775" s="379"/>
      <c r="AX775" s="65"/>
      <c r="AY775" s="65"/>
      <c r="AZ775" s="65"/>
      <c r="BA775" s="50"/>
      <c r="BB775" s="65"/>
      <c r="BC775" s="59"/>
      <c r="BD775" s="59"/>
      <c r="BE775" s="50"/>
      <c r="BG775" s="65"/>
      <c r="BH775" s="65"/>
      <c r="BI775" s="65"/>
      <c r="BJ775" s="65"/>
      <c r="BK775" s="65"/>
      <c r="BM775" s="65"/>
      <c r="BN775" s="65"/>
      <c r="BO775" s="65"/>
      <c r="BP775" s="65"/>
      <c r="BQ775" s="65"/>
    </row>
    <row r="776" spans="45:69" x14ac:dyDescent="0.25">
      <c r="AS776" s="53"/>
      <c r="AV776" s="56"/>
      <c r="AW776" s="379"/>
      <c r="AX776" s="65"/>
      <c r="AY776" s="65"/>
      <c r="AZ776" s="65"/>
      <c r="BA776" s="50"/>
      <c r="BB776" s="65"/>
      <c r="BC776" s="59"/>
      <c r="BD776" s="59"/>
      <c r="BE776" s="50"/>
      <c r="BG776" s="65"/>
      <c r="BH776" s="65"/>
      <c r="BI776" s="65"/>
      <c r="BJ776" s="65"/>
      <c r="BK776" s="65"/>
      <c r="BM776" s="65"/>
      <c r="BN776" s="65"/>
      <c r="BO776" s="65"/>
      <c r="BP776" s="65"/>
      <c r="BQ776" s="65"/>
    </row>
    <row r="777" spans="45:69" x14ac:dyDescent="0.25">
      <c r="AS777" s="53"/>
      <c r="AV777" s="56"/>
      <c r="AW777" s="379"/>
      <c r="AX777" s="65"/>
      <c r="AY777" s="65"/>
      <c r="AZ777" s="65"/>
      <c r="BA777" s="50"/>
      <c r="BB777" s="65"/>
      <c r="BC777" s="59"/>
      <c r="BD777" s="59"/>
      <c r="BE777" s="50"/>
      <c r="BG777" s="65"/>
      <c r="BH777" s="65"/>
      <c r="BI777" s="65"/>
      <c r="BJ777" s="65"/>
      <c r="BK777" s="65"/>
      <c r="BM777" s="65"/>
      <c r="BN777" s="65"/>
      <c r="BO777" s="65"/>
      <c r="BP777" s="65"/>
      <c r="BQ777" s="65"/>
    </row>
    <row r="778" spans="45:69" x14ac:dyDescent="0.25">
      <c r="AY778" s="59"/>
      <c r="AZ778" s="65"/>
      <c r="BA778" s="50"/>
      <c r="BB778" s="65"/>
      <c r="BC778" s="59"/>
      <c r="BD778" s="59"/>
      <c r="BE778" s="50"/>
      <c r="BK778" s="65"/>
      <c r="BQ778" s="65"/>
    </row>
    <row r="779" spans="45:69" x14ac:dyDescent="0.25">
      <c r="AS779" s="53"/>
      <c r="AV779" s="56"/>
      <c r="AY779" s="59"/>
      <c r="AZ779" s="65"/>
      <c r="BA779" s="50"/>
      <c r="BB779" s="65"/>
      <c r="BC779" s="59"/>
      <c r="BD779" s="59"/>
      <c r="BE779" s="50"/>
      <c r="BK779" s="65"/>
      <c r="BQ779" s="65"/>
    </row>
    <row r="780" spans="45:69" x14ac:dyDescent="0.25">
      <c r="AS780" s="53"/>
      <c r="AV780" s="56"/>
      <c r="AW780" s="379"/>
      <c r="AX780" s="65"/>
      <c r="AY780" s="65"/>
      <c r="AZ780" s="65"/>
      <c r="BA780" s="50"/>
      <c r="BB780" s="65"/>
      <c r="BC780" s="59"/>
      <c r="BD780" s="59"/>
      <c r="BE780" s="50"/>
      <c r="BG780" s="65"/>
      <c r="BH780" s="65"/>
      <c r="BI780" s="65"/>
      <c r="BJ780" s="65"/>
      <c r="BK780" s="65"/>
      <c r="BM780" s="65"/>
      <c r="BN780" s="65"/>
      <c r="BO780" s="65"/>
      <c r="BP780" s="65"/>
      <c r="BQ780" s="65"/>
    </row>
    <row r="781" spans="45:69" x14ac:dyDescent="0.25">
      <c r="AS781" s="53"/>
      <c r="AV781" s="56"/>
      <c r="AW781" s="379"/>
      <c r="AX781" s="65"/>
      <c r="AY781" s="65"/>
      <c r="AZ781" s="65"/>
      <c r="BA781" s="50"/>
      <c r="BB781" s="65"/>
      <c r="BC781" s="59"/>
      <c r="BD781" s="59"/>
      <c r="BE781" s="50"/>
      <c r="BG781" s="65"/>
      <c r="BH781" s="65"/>
      <c r="BI781" s="65"/>
      <c r="BJ781" s="65"/>
      <c r="BK781" s="65"/>
      <c r="BM781" s="65"/>
      <c r="BN781" s="65"/>
      <c r="BO781" s="65"/>
      <c r="BP781" s="65"/>
      <c r="BQ781" s="65"/>
    </row>
    <row r="782" spans="45:69" x14ac:dyDescent="0.25">
      <c r="AS782" s="53"/>
      <c r="AV782" s="56"/>
      <c r="AW782" s="379"/>
      <c r="AX782" s="65"/>
      <c r="AY782" s="65"/>
      <c r="AZ782" s="65"/>
      <c r="BA782" s="50"/>
      <c r="BB782" s="65"/>
      <c r="BC782" s="59"/>
      <c r="BD782" s="59"/>
      <c r="BE782" s="50"/>
      <c r="BG782" s="65"/>
      <c r="BH782" s="65"/>
      <c r="BI782" s="65"/>
      <c r="BJ782" s="65"/>
      <c r="BK782" s="65"/>
      <c r="BM782" s="65"/>
      <c r="BN782" s="65"/>
      <c r="BO782" s="65"/>
      <c r="BP782" s="65"/>
      <c r="BQ782" s="65"/>
    </row>
    <row r="783" spans="45:69" x14ac:dyDescent="0.25">
      <c r="AS783" s="53"/>
      <c r="AV783" s="56"/>
      <c r="AW783" s="379"/>
      <c r="AX783" s="65"/>
      <c r="AY783" s="65"/>
      <c r="AZ783" s="65"/>
      <c r="BA783" s="50"/>
      <c r="BB783" s="65"/>
      <c r="BC783" s="59"/>
      <c r="BD783" s="59"/>
      <c r="BE783" s="50"/>
      <c r="BG783" s="65"/>
      <c r="BH783" s="65"/>
      <c r="BI783" s="65"/>
      <c r="BJ783" s="65"/>
      <c r="BK783" s="65"/>
      <c r="BM783" s="65"/>
      <c r="BN783" s="65"/>
      <c r="BO783" s="65"/>
      <c r="BP783" s="65"/>
      <c r="BQ783" s="65"/>
    </row>
    <row r="784" spans="45:69" x14ac:dyDescent="0.25">
      <c r="AS784" s="53"/>
      <c r="AV784" s="56"/>
      <c r="AW784" s="379"/>
      <c r="AX784" s="65"/>
      <c r="AY784" s="65"/>
      <c r="AZ784" s="65"/>
      <c r="BA784" s="50"/>
      <c r="BB784" s="65"/>
      <c r="BC784" s="59"/>
      <c r="BD784" s="59"/>
      <c r="BE784" s="50"/>
      <c r="BG784" s="65"/>
      <c r="BH784" s="65"/>
      <c r="BI784" s="65"/>
      <c r="BJ784" s="65"/>
      <c r="BK784" s="65"/>
      <c r="BM784" s="65"/>
      <c r="BN784" s="65"/>
      <c r="BO784" s="65"/>
      <c r="BP784" s="65"/>
      <c r="BQ784" s="65"/>
    </row>
    <row r="785" spans="45:69" x14ac:dyDescent="0.25">
      <c r="AS785" s="53"/>
      <c r="AV785" s="56"/>
      <c r="AW785" s="379"/>
      <c r="AX785" s="65"/>
      <c r="AY785" s="65"/>
      <c r="AZ785" s="65"/>
      <c r="BA785" s="50"/>
      <c r="BB785" s="65"/>
      <c r="BC785" s="59"/>
      <c r="BD785" s="59"/>
      <c r="BE785" s="50"/>
      <c r="BG785" s="65"/>
      <c r="BH785" s="65"/>
      <c r="BI785" s="65"/>
      <c r="BJ785" s="65"/>
      <c r="BK785" s="65"/>
      <c r="BM785" s="65"/>
      <c r="BN785" s="65"/>
      <c r="BO785" s="65"/>
      <c r="BP785" s="65"/>
      <c r="BQ785" s="65"/>
    </row>
    <row r="786" spans="45:69" x14ac:dyDescent="0.25">
      <c r="AS786" s="53"/>
      <c r="AV786" s="56"/>
      <c r="AW786" s="379"/>
      <c r="AX786" s="65"/>
      <c r="AY786" s="65"/>
      <c r="AZ786" s="65"/>
      <c r="BA786" s="50"/>
      <c r="BB786" s="65"/>
      <c r="BC786" s="59"/>
      <c r="BD786" s="59"/>
      <c r="BE786" s="50"/>
      <c r="BG786" s="65"/>
      <c r="BH786" s="65"/>
      <c r="BI786" s="65"/>
      <c r="BJ786" s="65"/>
      <c r="BK786" s="65"/>
      <c r="BM786" s="65"/>
      <c r="BN786" s="65"/>
      <c r="BO786" s="65"/>
      <c r="BP786" s="65"/>
      <c r="BQ786" s="65"/>
    </row>
    <row r="787" spans="45:69" x14ac:dyDescent="0.25">
      <c r="AS787" s="53"/>
      <c r="AV787" s="56"/>
      <c r="AW787" s="379"/>
      <c r="AX787" s="65"/>
      <c r="AY787" s="65"/>
      <c r="AZ787" s="65"/>
      <c r="BA787" s="50"/>
      <c r="BB787" s="65"/>
      <c r="BC787" s="59"/>
      <c r="BD787" s="59"/>
      <c r="BE787" s="50"/>
      <c r="BG787" s="65"/>
      <c r="BH787" s="65"/>
      <c r="BI787" s="65"/>
      <c r="BJ787" s="65"/>
      <c r="BK787" s="65"/>
      <c r="BM787" s="65"/>
      <c r="BN787" s="65"/>
      <c r="BO787" s="65"/>
      <c r="BP787" s="65"/>
      <c r="BQ787" s="65"/>
    </row>
    <row r="788" spans="45:69" x14ac:dyDescent="0.25">
      <c r="AY788" s="59"/>
      <c r="AZ788" s="65"/>
      <c r="BA788" s="50"/>
      <c r="BB788" s="65"/>
      <c r="BC788" s="59"/>
      <c r="BD788" s="59"/>
      <c r="BE788" s="50"/>
      <c r="BK788" s="65"/>
      <c r="BQ788" s="65"/>
    </row>
    <row r="789" spans="45:69" x14ac:dyDescent="0.25">
      <c r="AU789" s="54"/>
      <c r="AZ789" s="65"/>
      <c r="BB789" s="65"/>
      <c r="BG789" s="65"/>
      <c r="BH789" s="65"/>
      <c r="BJ789" s="65"/>
      <c r="BK789" s="65"/>
    </row>
    <row r="790" spans="45:69" x14ac:dyDescent="0.25">
      <c r="AZ790" s="65"/>
      <c r="BB790" s="65"/>
    </row>
    <row r="791" spans="45:69" x14ac:dyDescent="0.25">
      <c r="AS791" s="54"/>
      <c r="AZ791" s="65"/>
      <c r="BB791" s="65"/>
      <c r="BI791" s="65"/>
    </row>
    <row r="792" spans="45:69" x14ac:dyDescent="0.25">
      <c r="AY792" s="53"/>
      <c r="AZ792" s="65"/>
      <c r="BB792" s="65"/>
    </row>
    <row r="793" spans="45:69" x14ac:dyDescent="0.25">
      <c r="AY793" s="65"/>
      <c r="BB793" s="65"/>
    </row>
    <row r="794" spans="45:69" x14ac:dyDescent="0.25">
      <c r="AY794" s="54"/>
      <c r="AZ794" s="65"/>
      <c r="BB794" s="65"/>
    </row>
    <row r="795" spans="45:69" x14ac:dyDescent="0.25">
      <c r="AY795" s="54"/>
      <c r="AZ795" s="65"/>
      <c r="BB795" s="65"/>
    </row>
    <row r="796" spans="45:69" x14ac:dyDescent="0.25">
      <c r="AS796" s="53"/>
      <c r="AZ796" s="65"/>
      <c r="BB796" s="65"/>
      <c r="BD796" s="54"/>
    </row>
    <row r="797" spans="45:69" x14ac:dyDescent="0.25">
      <c r="AS797" s="53"/>
      <c r="AZ797" s="65"/>
      <c r="BB797" s="65"/>
      <c r="BD797" s="54"/>
    </row>
    <row r="798" spans="45:69" x14ac:dyDescent="0.25">
      <c r="AS798" s="54"/>
      <c r="AZ798" s="65"/>
      <c r="BB798" s="65"/>
      <c r="BD798" s="54"/>
    </row>
    <row r="799" spans="45:69" x14ac:dyDescent="0.25">
      <c r="AZ799" s="65"/>
      <c r="BB799" s="65"/>
      <c r="BD799" s="53"/>
    </row>
    <row r="800" spans="45:69" x14ac:dyDescent="0.25">
      <c r="AS800" s="55"/>
      <c r="AT800" s="55"/>
      <c r="AU800" s="55"/>
      <c r="AV800" s="55"/>
      <c r="AW800" s="55"/>
      <c r="AX800" s="55"/>
      <c r="AY800" s="55"/>
      <c r="AZ800" s="66"/>
      <c r="BA800" s="55"/>
      <c r="BB800" s="66"/>
      <c r="BC800" s="55"/>
      <c r="BD800" s="55"/>
      <c r="BE800" s="55"/>
    </row>
    <row r="801" spans="45:75" x14ac:dyDescent="0.25">
      <c r="AX801" s="54"/>
      <c r="AZ801" s="65"/>
      <c r="BB801" s="65"/>
    </row>
    <row r="802" spans="45:75" x14ac:dyDescent="0.25">
      <c r="AX802" s="55"/>
      <c r="AY802" s="55"/>
      <c r="AZ802" s="66"/>
      <c r="BA802" s="55"/>
      <c r="BB802" s="65"/>
      <c r="BC802" s="56"/>
      <c r="BD802" s="56"/>
    </row>
    <row r="803" spans="45:75" x14ac:dyDescent="0.25">
      <c r="AV803" s="56"/>
      <c r="AW803" s="56"/>
      <c r="AZ803" s="67"/>
      <c r="BA803" s="56"/>
      <c r="BB803" s="65"/>
      <c r="BC803" s="56"/>
      <c r="BD803" s="56"/>
      <c r="BE803" s="56"/>
      <c r="BG803" s="55"/>
      <c r="BH803" s="55"/>
      <c r="BI803" s="54"/>
      <c r="BM803" s="55"/>
      <c r="BN803" s="55"/>
      <c r="BP803" s="55"/>
      <c r="BQ803" s="55"/>
      <c r="BR803" s="54"/>
      <c r="BV803" s="55"/>
      <c r="BW803" s="55"/>
    </row>
    <row r="804" spans="45:75" x14ac:dyDescent="0.25">
      <c r="AV804" s="56"/>
      <c r="AW804" s="56"/>
      <c r="AX804" s="56"/>
      <c r="AY804" s="56"/>
      <c r="AZ804" s="67"/>
      <c r="BA804" s="56"/>
      <c r="BB804" s="67"/>
      <c r="BC804" s="56"/>
      <c r="BD804" s="56"/>
      <c r="BE804" s="56"/>
      <c r="BH804" s="56"/>
      <c r="BI804" s="56"/>
      <c r="BJ804" s="56"/>
      <c r="BK804" s="56"/>
      <c r="BL804" s="56"/>
      <c r="BM804" s="56"/>
      <c r="BQ804" s="56"/>
      <c r="BR804" s="56"/>
      <c r="BS804" s="56"/>
      <c r="BT804" s="56"/>
      <c r="BU804" s="56"/>
      <c r="BV804" s="56"/>
    </row>
    <row r="805" spans="45:75" x14ac:dyDescent="0.25">
      <c r="AS805" s="56"/>
      <c r="AU805" s="54"/>
      <c r="AV805" s="56"/>
      <c r="AW805" s="56"/>
      <c r="AX805" s="56"/>
      <c r="AY805" s="56"/>
      <c r="AZ805" s="67"/>
      <c r="BA805" s="56"/>
      <c r="BB805" s="67"/>
      <c r="BC805" s="56"/>
      <c r="BD805" s="56"/>
      <c r="BE805" s="56"/>
      <c r="BG805" s="56"/>
      <c r="BH805" s="56"/>
      <c r="BI805" s="56"/>
      <c r="BJ805" s="56"/>
      <c r="BK805" s="56"/>
      <c r="BL805" s="56"/>
      <c r="BM805" s="56"/>
      <c r="BN805" s="56"/>
      <c r="BP805" s="56"/>
      <c r="BQ805" s="56"/>
      <c r="BR805" s="56"/>
      <c r="BS805" s="56"/>
      <c r="BT805" s="56"/>
      <c r="BU805" s="56"/>
      <c r="BV805" s="56"/>
      <c r="BW805" s="56"/>
    </row>
    <row r="806" spans="45:75" x14ac:dyDescent="0.25">
      <c r="AS806" s="56"/>
      <c r="AU806" s="54"/>
      <c r="AV806" s="56"/>
      <c r="AW806" s="56"/>
      <c r="AX806" s="56"/>
      <c r="AY806" s="56"/>
      <c r="AZ806" s="67"/>
      <c r="BA806" s="56"/>
      <c r="BB806" s="67"/>
      <c r="BC806" s="56"/>
      <c r="BD806" s="56"/>
      <c r="BE806" s="56"/>
      <c r="BG806" s="56"/>
      <c r="BH806" s="56"/>
      <c r="BI806" s="56"/>
      <c r="BJ806" s="56"/>
      <c r="BK806" s="56"/>
      <c r="BL806" s="56"/>
      <c r="BM806" s="56"/>
      <c r="BN806" s="56"/>
      <c r="BP806" s="56"/>
      <c r="BQ806" s="56"/>
      <c r="BR806" s="56"/>
      <c r="BS806" s="56"/>
      <c r="BT806" s="56"/>
      <c r="BU806" s="56"/>
      <c r="BV806" s="56"/>
      <c r="BW806" s="56"/>
    </row>
    <row r="807" spans="45:75" x14ac:dyDescent="0.25">
      <c r="AS807" s="55"/>
      <c r="AT807" s="55"/>
      <c r="AU807" s="55"/>
      <c r="AV807" s="55"/>
      <c r="AW807" s="55"/>
      <c r="AX807" s="55"/>
      <c r="AY807" s="55"/>
      <c r="AZ807" s="66"/>
      <c r="BA807" s="55"/>
      <c r="BB807" s="66"/>
      <c r="BC807" s="55"/>
      <c r="BD807" s="55"/>
      <c r="BE807" s="55"/>
      <c r="BG807" s="55"/>
      <c r="BH807" s="55"/>
      <c r="BI807" s="55"/>
      <c r="BJ807" s="55"/>
      <c r="BK807" s="55"/>
      <c r="BL807" s="55"/>
      <c r="BM807" s="55"/>
      <c r="BN807" s="55"/>
      <c r="BP807" s="55"/>
      <c r="BQ807" s="55"/>
      <c r="BR807" s="55"/>
      <c r="BS807" s="55"/>
      <c r="BT807" s="55"/>
      <c r="BU807" s="55"/>
      <c r="BV807" s="55"/>
      <c r="BW807" s="55"/>
    </row>
    <row r="808" spans="45:75" x14ac:dyDescent="0.25">
      <c r="AV808" s="56"/>
      <c r="AW808" s="56"/>
      <c r="AX808" s="56"/>
      <c r="AY808" s="56"/>
      <c r="AZ808" s="67"/>
      <c r="BA808" s="56"/>
      <c r="BB808" s="67"/>
      <c r="BC808" s="56"/>
      <c r="BD808" s="56"/>
      <c r="BE808" s="56"/>
      <c r="BG808" s="65"/>
      <c r="BH808" s="65"/>
      <c r="BI808" s="65"/>
      <c r="BJ808" s="65"/>
      <c r="BK808" s="65"/>
      <c r="BL808" s="65"/>
      <c r="BM808" s="65"/>
      <c r="BN808" s="65"/>
      <c r="BO808" s="65"/>
      <c r="BP808" s="65"/>
      <c r="BQ808" s="65"/>
      <c r="BR808" s="65"/>
      <c r="BS808" s="65"/>
      <c r="BT808" s="65"/>
      <c r="BU808" s="65"/>
      <c r="BV808" s="65"/>
      <c r="BW808" s="65"/>
    </row>
    <row r="809" spans="45:75" x14ac:dyDescent="0.25">
      <c r="AS809" s="53"/>
      <c r="AU809" s="54"/>
      <c r="AV809" s="53"/>
      <c r="AW809" s="379"/>
      <c r="AX809" s="65"/>
      <c r="AY809" s="65"/>
      <c r="AZ809" s="65"/>
      <c r="BA809" s="60"/>
      <c r="BB809" s="65"/>
      <c r="BC809" s="65"/>
      <c r="BD809" s="65"/>
      <c r="BE809" s="60"/>
      <c r="BG809" s="65"/>
      <c r="BH809" s="65"/>
      <c r="BI809" s="65"/>
      <c r="BJ809" s="65"/>
      <c r="BK809" s="65"/>
      <c r="BL809" s="65"/>
      <c r="BM809" s="65"/>
      <c r="BN809" s="65"/>
      <c r="BO809" s="65"/>
      <c r="BP809" s="65"/>
      <c r="BQ809" s="65"/>
      <c r="BR809" s="65"/>
      <c r="BS809" s="65"/>
      <c r="BT809" s="65"/>
      <c r="BU809" s="65"/>
      <c r="BV809" s="65"/>
      <c r="BW809" s="65"/>
    </row>
    <row r="810" spans="45:75" x14ac:dyDescent="0.25">
      <c r="AS810" s="53"/>
      <c r="AV810" s="53"/>
      <c r="AW810" s="379"/>
      <c r="AX810" s="65"/>
      <c r="AY810" s="65"/>
      <c r="AZ810" s="65"/>
      <c r="BA810" s="60"/>
      <c r="BB810" s="65"/>
      <c r="BC810" s="65"/>
      <c r="BD810" s="65"/>
      <c r="BE810" s="60"/>
      <c r="BG810" s="65"/>
      <c r="BH810" s="65"/>
      <c r="BI810" s="65"/>
      <c r="BJ810" s="65"/>
      <c r="BK810" s="65"/>
      <c r="BL810" s="65"/>
      <c r="BM810" s="65"/>
      <c r="BN810" s="65"/>
      <c r="BO810" s="65"/>
      <c r="BP810" s="65"/>
      <c r="BQ810" s="65"/>
      <c r="BR810" s="65"/>
      <c r="BS810" s="65"/>
      <c r="BT810" s="65"/>
      <c r="BU810" s="65"/>
      <c r="BV810" s="65"/>
      <c r="BW810" s="65"/>
    </row>
    <row r="811" spans="45:75" x14ac:dyDescent="0.25">
      <c r="AS811" s="53"/>
      <c r="AV811" s="53"/>
      <c r="AW811" s="379"/>
      <c r="AX811" s="65"/>
      <c r="AY811" s="65"/>
      <c r="AZ811" s="65"/>
      <c r="BA811" s="60"/>
      <c r="BB811" s="65"/>
      <c r="BC811" s="65"/>
      <c r="BD811" s="65"/>
      <c r="BE811" s="60"/>
      <c r="BG811" s="65"/>
      <c r="BH811" s="65"/>
      <c r="BI811" s="65"/>
      <c r="BJ811" s="65"/>
      <c r="BK811" s="65"/>
      <c r="BL811" s="65"/>
      <c r="BM811" s="65"/>
      <c r="BN811" s="65"/>
      <c r="BO811" s="65"/>
      <c r="BP811" s="65"/>
      <c r="BQ811" s="65"/>
      <c r="BR811" s="65"/>
      <c r="BS811" s="65"/>
      <c r="BT811" s="65"/>
      <c r="BU811" s="65"/>
      <c r="BV811" s="65"/>
      <c r="BW811" s="65"/>
    </row>
    <row r="812" spans="45:75" x14ac:dyDescent="0.25">
      <c r="AS812" s="53"/>
      <c r="AV812" s="53"/>
      <c r="AW812" s="379"/>
      <c r="AX812" s="65"/>
      <c r="AY812" s="65"/>
      <c r="AZ812" s="65"/>
      <c r="BA812" s="60"/>
      <c r="BB812" s="65"/>
      <c r="BC812" s="65"/>
      <c r="BD812" s="65"/>
      <c r="BE812" s="60"/>
      <c r="BG812" s="65"/>
      <c r="BH812" s="65"/>
      <c r="BI812" s="65"/>
      <c r="BJ812" s="65"/>
      <c r="BK812" s="65"/>
      <c r="BL812" s="65"/>
      <c r="BM812" s="65"/>
      <c r="BN812" s="65"/>
      <c r="BO812" s="65"/>
      <c r="BP812" s="65"/>
      <c r="BQ812" s="65"/>
      <c r="BR812" s="65"/>
      <c r="BS812" s="65"/>
      <c r="BT812" s="65"/>
      <c r="BU812" s="65"/>
      <c r="BV812" s="65"/>
      <c r="BW812" s="65"/>
    </row>
    <row r="813" spans="45:75" x14ac:dyDescent="0.25">
      <c r="AS813" s="53"/>
      <c r="AV813" s="53"/>
      <c r="AW813" s="379"/>
      <c r="AX813" s="65"/>
      <c r="AY813" s="65"/>
      <c r="AZ813" s="65"/>
      <c r="BA813" s="60"/>
      <c r="BB813" s="65"/>
      <c r="BC813" s="65"/>
      <c r="BD813" s="65"/>
      <c r="BE813" s="60"/>
      <c r="BG813" s="65"/>
      <c r="BH813" s="65"/>
      <c r="BI813" s="65"/>
      <c r="BJ813" s="65"/>
      <c r="BK813" s="65"/>
      <c r="BL813" s="65"/>
      <c r="BM813" s="65"/>
      <c r="BN813" s="65"/>
      <c r="BO813" s="65"/>
      <c r="BP813" s="65"/>
      <c r="BQ813" s="65"/>
      <c r="BR813" s="65"/>
      <c r="BS813" s="65"/>
      <c r="BT813" s="65"/>
      <c r="BU813" s="65"/>
      <c r="BV813" s="65"/>
      <c r="BW813" s="65"/>
    </row>
    <row r="814" spans="45:75" x14ac:dyDescent="0.25">
      <c r="AS814" s="53"/>
      <c r="AV814" s="53"/>
      <c r="AW814" s="379"/>
      <c r="AX814" s="65"/>
      <c r="AY814" s="65"/>
      <c r="AZ814" s="65"/>
      <c r="BA814" s="60"/>
      <c r="BB814" s="65"/>
      <c r="BC814" s="65"/>
      <c r="BD814" s="65"/>
      <c r="BE814" s="60"/>
      <c r="BG814" s="65"/>
      <c r="BH814" s="65"/>
      <c r="BI814" s="65"/>
      <c r="BJ814" s="65"/>
      <c r="BK814" s="65"/>
      <c r="BL814" s="65"/>
      <c r="BM814" s="65"/>
      <c r="BN814" s="65"/>
      <c r="BO814" s="65"/>
      <c r="BP814" s="65"/>
      <c r="BQ814" s="65"/>
      <c r="BR814" s="65"/>
      <c r="BS814" s="65"/>
      <c r="BT814" s="65"/>
      <c r="BU814" s="65"/>
      <c r="BV814" s="65"/>
      <c r="BW814" s="65"/>
    </row>
    <row r="815" spans="45:75" x14ac:dyDescent="0.25">
      <c r="AS815" s="53"/>
      <c r="AV815" s="53"/>
      <c r="AW815" s="379"/>
      <c r="AX815" s="65"/>
      <c r="AY815" s="65"/>
      <c r="AZ815" s="65"/>
      <c r="BA815" s="60"/>
      <c r="BB815" s="65"/>
      <c r="BC815" s="65"/>
      <c r="BD815" s="65"/>
      <c r="BE815" s="60"/>
      <c r="BG815" s="65"/>
      <c r="BH815" s="65"/>
      <c r="BI815" s="65"/>
      <c r="BJ815" s="65"/>
      <c r="BK815" s="65"/>
      <c r="BL815" s="65"/>
      <c r="BM815" s="65"/>
      <c r="BN815" s="65"/>
      <c r="BO815" s="65"/>
      <c r="BP815" s="65"/>
      <c r="BQ815" s="65"/>
      <c r="BR815" s="65"/>
      <c r="BS815" s="65"/>
      <c r="BT815" s="65"/>
      <c r="BU815" s="65"/>
      <c r="BV815" s="65"/>
      <c r="BW815" s="65"/>
    </row>
    <row r="816" spans="45:75" x14ac:dyDescent="0.25">
      <c r="AS816" s="53"/>
      <c r="AV816" s="53"/>
      <c r="AW816" s="379"/>
      <c r="AX816" s="65"/>
      <c r="AY816" s="65"/>
      <c r="AZ816" s="65"/>
      <c r="BA816" s="60"/>
      <c r="BB816" s="65"/>
      <c r="BC816" s="65"/>
      <c r="BD816" s="65"/>
      <c r="BE816" s="60"/>
      <c r="BG816" s="65"/>
      <c r="BH816" s="65"/>
      <c r="BI816" s="65"/>
      <c r="BJ816" s="65"/>
      <c r="BK816" s="65"/>
      <c r="BL816" s="65"/>
      <c r="BM816" s="65"/>
      <c r="BN816" s="65"/>
      <c r="BO816" s="65"/>
      <c r="BP816" s="65"/>
      <c r="BQ816" s="65"/>
      <c r="BR816" s="65"/>
      <c r="BS816" s="65"/>
      <c r="BT816" s="65"/>
      <c r="BU816" s="65"/>
      <c r="BV816" s="65"/>
      <c r="BW816" s="65"/>
    </row>
    <row r="817" spans="45:75" x14ac:dyDescent="0.25">
      <c r="AS817" s="53"/>
      <c r="AV817" s="53"/>
      <c r="AW817" s="379"/>
      <c r="AX817" s="65"/>
      <c r="AY817" s="65"/>
      <c r="AZ817" s="65"/>
      <c r="BA817" s="60"/>
      <c r="BB817" s="65"/>
      <c r="BC817" s="65"/>
      <c r="BD817" s="65"/>
      <c r="BE817" s="60"/>
      <c r="BG817" s="65"/>
      <c r="BH817" s="65"/>
      <c r="BI817" s="65"/>
      <c r="BJ817" s="65"/>
      <c r="BK817" s="65"/>
      <c r="BL817" s="65"/>
      <c r="BM817" s="65"/>
      <c r="BN817" s="65"/>
      <c r="BO817" s="65"/>
      <c r="BP817" s="65"/>
      <c r="BQ817" s="65"/>
      <c r="BR817" s="65"/>
      <c r="BS817" s="65"/>
      <c r="BT817" s="65"/>
      <c r="BU817" s="65"/>
      <c r="BV817" s="65"/>
      <c r="BW817" s="65"/>
    </row>
    <row r="818" spans="45:75" x14ac:dyDescent="0.25">
      <c r="AS818" s="53"/>
      <c r="AV818" s="53"/>
      <c r="AW818" s="379"/>
      <c r="AX818" s="65"/>
      <c r="AY818" s="65"/>
      <c r="AZ818" s="65"/>
      <c r="BA818" s="60"/>
      <c r="BB818" s="65"/>
      <c r="BC818" s="65"/>
      <c r="BD818" s="65"/>
      <c r="BE818" s="60"/>
      <c r="BG818" s="65"/>
      <c r="BH818" s="65"/>
      <c r="BI818" s="65"/>
      <c r="BJ818" s="65"/>
      <c r="BK818" s="65"/>
      <c r="BL818" s="65"/>
      <c r="BM818" s="65"/>
      <c r="BN818" s="65"/>
      <c r="BO818" s="65"/>
      <c r="BP818" s="65"/>
      <c r="BQ818" s="65"/>
      <c r="BR818" s="65"/>
      <c r="BS818" s="65"/>
      <c r="BT818" s="65"/>
      <c r="BU818" s="65"/>
      <c r="BV818" s="65"/>
      <c r="BW818" s="65"/>
    </row>
    <row r="819" spans="45:75" x14ac:dyDescent="0.25">
      <c r="AS819" s="53"/>
      <c r="AV819" s="53"/>
      <c r="AW819" s="379"/>
      <c r="AX819" s="65"/>
      <c r="AY819" s="65"/>
      <c r="AZ819" s="65"/>
      <c r="BA819" s="60"/>
      <c r="BB819" s="65"/>
      <c r="BC819" s="65"/>
      <c r="BD819" s="65"/>
      <c r="BE819" s="60"/>
      <c r="BG819" s="65"/>
      <c r="BH819" s="65"/>
      <c r="BI819" s="65"/>
      <c r="BJ819" s="65"/>
      <c r="BK819" s="65"/>
      <c r="BL819" s="65"/>
      <c r="BM819" s="65"/>
      <c r="BN819" s="65"/>
      <c r="BO819" s="65"/>
      <c r="BP819" s="65"/>
      <c r="BQ819" s="65"/>
      <c r="BR819" s="65"/>
      <c r="BS819" s="65"/>
      <c r="BT819" s="65"/>
      <c r="BU819" s="65"/>
      <c r="BV819" s="65"/>
      <c r="BW819" s="65"/>
    </row>
    <row r="820" spans="45:75" x14ac:dyDescent="0.25">
      <c r="AS820" s="53"/>
      <c r="AV820" s="53"/>
      <c r="AW820" s="379"/>
      <c r="AX820" s="65"/>
      <c r="AY820" s="65"/>
      <c r="AZ820" s="65"/>
      <c r="BA820" s="60"/>
      <c r="BB820" s="65"/>
      <c r="BC820" s="65"/>
      <c r="BD820" s="65"/>
      <c r="BE820" s="60"/>
      <c r="BG820" s="65"/>
      <c r="BH820" s="65"/>
      <c r="BI820" s="65"/>
      <c r="BJ820" s="65"/>
      <c r="BK820" s="65"/>
      <c r="BL820" s="65"/>
      <c r="BM820" s="65"/>
      <c r="BN820" s="65"/>
      <c r="BO820" s="65"/>
      <c r="BP820" s="65"/>
      <c r="BQ820" s="65"/>
      <c r="BR820" s="65"/>
      <c r="BS820" s="65"/>
      <c r="BT820" s="65"/>
      <c r="BU820" s="65"/>
      <c r="BV820" s="65"/>
      <c r="BW820" s="65"/>
    </row>
    <row r="821" spans="45:75" x14ac:dyDescent="0.25">
      <c r="AS821" s="53"/>
      <c r="AV821" s="53"/>
      <c r="AW821" s="379"/>
      <c r="AX821" s="65"/>
      <c r="AY821" s="65"/>
      <c r="AZ821" s="65"/>
      <c r="BA821" s="60"/>
      <c r="BB821" s="65"/>
      <c r="BC821" s="65"/>
      <c r="BD821" s="65"/>
      <c r="BE821" s="60"/>
      <c r="BG821" s="65"/>
      <c r="BH821" s="65"/>
      <c r="BI821" s="65"/>
      <c r="BJ821" s="65"/>
      <c r="BK821" s="65"/>
      <c r="BL821" s="65"/>
      <c r="BM821" s="65"/>
      <c r="BN821" s="65"/>
      <c r="BO821" s="65"/>
      <c r="BP821" s="65"/>
      <c r="BQ821" s="65"/>
      <c r="BR821" s="65"/>
      <c r="BS821" s="65"/>
      <c r="BT821" s="65"/>
      <c r="BU821" s="65"/>
      <c r="BV821" s="65"/>
      <c r="BW821" s="65"/>
    </row>
    <row r="822" spans="45:75" x14ac:dyDescent="0.25">
      <c r="AS822" s="53"/>
      <c r="AV822" s="53"/>
      <c r="AW822" s="379"/>
      <c r="AX822" s="65"/>
      <c r="AY822" s="65"/>
      <c r="AZ822" s="65"/>
      <c r="BA822" s="60"/>
      <c r="BB822" s="65"/>
      <c r="BC822" s="65"/>
      <c r="BD822" s="65"/>
      <c r="BE822" s="60"/>
      <c r="BG822" s="65"/>
      <c r="BH822" s="65"/>
      <c r="BI822" s="65"/>
      <c r="BJ822" s="65"/>
      <c r="BK822" s="65"/>
      <c r="BL822" s="65"/>
      <c r="BM822" s="65"/>
      <c r="BN822" s="65"/>
      <c r="BO822" s="65"/>
      <c r="BP822" s="65"/>
      <c r="BQ822" s="65"/>
      <c r="BR822" s="65"/>
      <c r="BS822" s="65"/>
      <c r="BT822" s="65"/>
      <c r="BU822" s="65"/>
      <c r="BV822" s="65"/>
      <c r="BW822" s="65"/>
    </row>
    <row r="823" spans="45:75" x14ac:dyDescent="0.25">
      <c r="AS823" s="53"/>
      <c r="AV823" s="53"/>
      <c r="AW823" s="379"/>
      <c r="AX823" s="65"/>
      <c r="AY823" s="65"/>
      <c r="AZ823" s="65"/>
      <c r="BA823" s="60"/>
      <c r="BB823" s="65"/>
      <c r="BC823" s="65"/>
      <c r="BD823" s="65"/>
      <c r="BE823" s="60"/>
      <c r="BG823" s="65"/>
      <c r="BH823" s="65"/>
      <c r="BI823" s="65"/>
      <c r="BJ823" s="65"/>
      <c r="BK823" s="65"/>
      <c r="BL823" s="65"/>
      <c r="BM823" s="65"/>
      <c r="BN823" s="65"/>
      <c r="BO823" s="65"/>
      <c r="BP823" s="65"/>
      <c r="BQ823" s="65"/>
      <c r="BR823" s="65"/>
      <c r="BS823" s="65"/>
      <c r="BT823" s="65"/>
      <c r="BU823" s="65"/>
      <c r="BV823" s="65"/>
      <c r="BW823" s="65"/>
    </row>
    <row r="824" spans="45:75" x14ac:dyDescent="0.25">
      <c r="AS824" s="53"/>
      <c r="AV824" s="53"/>
      <c r="AW824" s="379"/>
      <c r="AX824" s="65"/>
      <c r="AY824" s="65"/>
      <c r="AZ824" s="65"/>
      <c r="BA824" s="60"/>
      <c r="BB824" s="65"/>
      <c r="BC824" s="65"/>
      <c r="BD824" s="65"/>
      <c r="BE824" s="60"/>
      <c r="BG824" s="65"/>
      <c r="BH824" s="65"/>
      <c r="BI824" s="65"/>
      <c r="BJ824" s="65"/>
      <c r="BK824" s="65"/>
      <c r="BL824" s="65"/>
      <c r="BM824" s="65"/>
      <c r="BN824" s="65"/>
      <c r="BO824" s="65"/>
      <c r="BP824" s="65"/>
      <c r="BQ824" s="65"/>
      <c r="BR824" s="65"/>
      <c r="BS824" s="65"/>
      <c r="BT824" s="65"/>
      <c r="BU824" s="65"/>
      <c r="BV824" s="65"/>
      <c r="BW824" s="65"/>
    </row>
    <row r="825" spans="45:75" x14ac:dyDescent="0.25">
      <c r="AS825" s="53"/>
      <c r="AV825" s="53"/>
      <c r="AW825" s="379"/>
      <c r="AX825" s="65"/>
      <c r="AY825" s="65"/>
      <c r="AZ825" s="65"/>
      <c r="BA825" s="60"/>
      <c r="BB825" s="65"/>
      <c r="BC825" s="65"/>
      <c r="BD825" s="65"/>
      <c r="BE825" s="60"/>
      <c r="BG825" s="65"/>
      <c r="BH825" s="65"/>
      <c r="BI825" s="65"/>
      <c r="BJ825" s="65"/>
      <c r="BK825" s="65"/>
      <c r="BL825" s="65"/>
      <c r="BM825" s="65"/>
      <c r="BN825" s="65"/>
      <c r="BO825" s="65"/>
      <c r="BP825" s="65"/>
      <c r="BQ825" s="65"/>
      <c r="BR825" s="65"/>
      <c r="BS825" s="65"/>
      <c r="BT825" s="65"/>
      <c r="BU825" s="65"/>
      <c r="BV825" s="65"/>
      <c r="BW825" s="65"/>
    </row>
    <row r="826" spans="45:75" x14ac:dyDescent="0.25">
      <c r="AS826" s="53"/>
      <c r="AV826" s="53"/>
      <c r="AW826" s="379"/>
      <c r="AX826" s="65"/>
      <c r="AY826" s="65"/>
      <c r="AZ826" s="65"/>
      <c r="BA826" s="60"/>
      <c r="BB826" s="65"/>
      <c r="BC826" s="65"/>
      <c r="BD826" s="65"/>
      <c r="BE826" s="60"/>
      <c r="BG826" s="65"/>
      <c r="BH826" s="65"/>
      <c r="BI826" s="65"/>
      <c r="BJ826" s="65"/>
      <c r="BK826" s="65"/>
      <c r="BL826" s="65"/>
      <c r="BM826" s="65"/>
      <c r="BN826" s="65"/>
      <c r="BO826" s="65"/>
      <c r="BP826" s="65"/>
      <c r="BQ826" s="65"/>
      <c r="BR826" s="65"/>
      <c r="BS826" s="65"/>
      <c r="BT826" s="65"/>
      <c r="BU826" s="65"/>
      <c r="BV826" s="65"/>
      <c r="BW826" s="65"/>
    </row>
    <row r="827" spans="45:75" x14ac:dyDescent="0.25">
      <c r="AS827" s="53"/>
      <c r="AV827" s="53"/>
      <c r="AW827" s="379"/>
      <c r="AX827" s="65"/>
      <c r="AY827" s="65"/>
      <c r="AZ827" s="65"/>
      <c r="BA827" s="60"/>
      <c r="BB827" s="65"/>
      <c r="BC827" s="65"/>
      <c r="BD827" s="65"/>
      <c r="BE827" s="60"/>
      <c r="BG827" s="65"/>
      <c r="BH827" s="65"/>
      <c r="BI827" s="65"/>
      <c r="BJ827" s="65"/>
      <c r="BK827" s="65"/>
      <c r="BL827" s="65"/>
      <c r="BM827" s="65"/>
      <c r="BN827" s="65"/>
      <c r="BO827" s="65"/>
      <c r="BP827" s="65"/>
      <c r="BQ827" s="65"/>
      <c r="BR827" s="65"/>
      <c r="BS827" s="65"/>
      <c r="BT827" s="65"/>
      <c r="BU827" s="65"/>
      <c r="BV827" s="65"/>
      <c r="BW827" s="65"/>
    </row>
    <row r="828" spans="45:75" x14ac:dyDescent="0.25">
      <c r="AS828" s="53"/>
      <c r="AV828" s="53"/>
      <c r="AW828" s="379"/>
      <c r="AX828" s="65"/>
      <c r="AY828" s="65"/>
      <c r="AZ828" s="65"/>
      <c r="BA828" s="60"/>
      <c r="BB828" s="65"/>
      <c r="BC828" s="65"/>
      <c r="BD828" s="65"/>
      <c r="BE828" s="60"/>
      <c r="BG828" s="65"/>
      <c r="BH828" s="65"/>
      <c r="BI828" s="65"/>
      <c r="BJ828" s="65"/>
      <c r="BK828" s="65"/>
      <c r="BL828" s="65"/>
      <c r="BM828" s="65"/>
      <c r="BN828" s="65"/>
      <c r="BO828" s="65"/>
      <c r="BP828" s="65"/>
      <c r="BQ828" s="65"/>
      <c r="BR828" s="65"/>
      <c r="BS828" s="65"/>
      <c r="BT828" s="65"/>
      <c r="BU828" s="65"/>
      <c r="BV828" s="65"/>
      <c r="BW828" s="65"/>
    </row>
    <row r="829" spans="45:75" x14ac:dyDescent="0.25">
      <c r="AS829" s="53"/>
      <c r="AV829" s="53"/>
      <c r="AW829" s="379"/>
      <c r="AX829" s="65"/>
      <c r="AY829" s="65"/>
      <c r="AZ829" s="65"/>
      <c r="BA829" s="60"/>
      <c r="BB829" s="65"/>
      <c r="BC829" s="65"/>
      <c r="BD829" s="65"/>
      <c r="BE829" s="60"/>
      <c r="BG829" s="65"/>
      <c r="BH829" s="65"/>
      <c r="BI829" s="65"/>
      <c r="BJ829" s="65"/>
      <c r="BK829" s="65"/>
      <c r="BL829" s="65"/>
      <c r="BM829" s="65"/>
      <c r="BN829" s="65"/>
      <c r="BO829" s="65"/>
      <c r="BP829" s="65"/>
      <c r="BQ829" s="65"/>
      <c r="BR829" s="65"/>
      <c r="BS829" s="65"/>
      <c r="BT829" s="65"/>
      <c r="BU829" s="65"/>
      <c r="BV829" s="65"/>
      <c r="BW829" s="65"/>
    </row>
    <row r="830" spans="45:75" x14ac:dyDescent="0.25">
      <c r="AW830" s="379"/>
      <c r="AX830" s="65"/>
      <c r="AY830" s="65"/>
      <c r="AZ830" s="65"/>
      <c r="BA830" s="60"/>
      <c r="BB830" s="65"/>
      <c r="BC830" s="65"/>
      <c r="BD830" s="65"/>
      <c r="BE830" s="60"/>
      <c r="BG830" s="55"/>
      <c r="BH830" s="55"/>
      <c r="BI830" s="54"/>
      <c r="BM830" s="55"/>
      <c r="BN830" s="55"/>
      <c r="BO830" s="65"/>
      <c r="BP830" s="55"/>
      <c r="BQ830" s="55"/>
      <c r="BR830" s="54"/>
      <c r="BV830" s="55"/>
      <c r="BW830" s="55"/>
    </row>
    <row r="831" spans="45:75" x14ac:dyDescent="0.25">
      <c r="AS831" s="53"/>
      <c r="AU831" s="54"/>
      <c r="AV831" s="56"/>
      <c r="AW831" s="379"/>
      <c r="AX831" s="65"/>
      <c r="AY831" s="65"/>
      <c r="AZ831" s="65"/>
      <c r="BA831" s="60"/>
      <c r="BB831" s="65"/>
      <c r="BC831" s="65"/>
      <c r="BD831" s="65"/>
      <c r="BE831" s="60"/>
      <c r="BG831" s="67"/>
      <c r="BH831" s="65"/>
      <c r="BI831" s="65"/>
      <c r="BJ831" s="65"/>
      <c r="BK831" s="67"/>
      <c r="BL831" s="68"/>
      <c r="BM831" s="65"/>
      <c r="BN831" s="67"/>
      <c r="BO831" s="65"/>
      <c r="BP831" s="67"/>
      <c r="BQ831" s="65"/>
      <c r="BR831" s="65"/>
      <c r="BS831" s="65"/>
      <c r="BT831" s="67"/>
      <c r="BU831" s="68"/>
      <c r="BV831" s="65"/>
      <c r="BW831" s="67"/>
    </row>
    <row r="832" spans="45:75" x14ac:dyDescent="0.25">
      <c r="AS832" s="53"/>
      <c r="AV832" s="56"/>
      <c r="AW832" s="379"/>
      <c r="AX832" s="65"/>
      <c r="AY832" s="65"/>
      <c r="AZ832" s="65"/>
      <c r="BA832" s="60"/>
      <c r="BB832" s="65"/>
      <c r="BC832" s="65"/>
      <c r="BD832" s="65"/>
      <c r="BE832" s="60"/>
      <c r="BG832" s="65"/>
      <c r="BH832" s="65"/>
      <c r="BI832" s="65"/>
      <c r="BJ832" s="65"/>
      <c r="BK832" s="65"/>
      <c r="BL832" s="68"/>
      <c r="BM832" s="65"/>
      <c r="BN832" s="65"/>
      <c r="BO832" s="65"/>
      <c r="BP832" s="65"/>
      <c r="BQ832" s="65"/>
      <c r="BR832" s="65"/>
      <c r="BS832" s="65"/>
      <c r="BT832" s="65"/>
      <c r="BU832" s="68"/>
      <c r="BV832" s="65"/>
      <c r="BW832" s="65"/>
    </row>
    <row r="833" spans="45:75" x14ac:dyDescent="0.25">
      <c r="AS833" s="53"/>
      <c r="AV833" s="56"/>
      <c r="AW833" s="379"/>
      <c r="AX833" s="65"/>
      <c r="AY833" s="65"/>
      <c r="AZ833" s="65"/>
      <c r="BA833" s="60"/>
      <c r="BB833" s="65"/>
      <c r="BC833" s="65"/>
      <c r="BD833" s="65"/>
      <c r="BE833" s="60"/>
      <c r="BG833" s="65"/>
      <c r="BH833" s="65"/>
      <c r="BI833" s="65"/>
      <c r="BJ833" s="65"/>
      <c r="BK833" s="65"/>
      <c r="BL833" s="68"/>
      <c r="BM833" s="65"/>
      <c r="BN833" s="65"/>
      <c r="BO833" s="65"/>
      <c r="BP833" s="65"/>
      <c r="BQ833" s="65"/>
      <c r="BR833" s="65"/>
      <c r="BS833" s="65"/>
      <c r="BT833" s="65"/>
      <c r="BU833" s="68"/>
      <c r="BV833" s="65"/>
      <c r="BW833" s="65"/>
    </row>
    <row r="834" spans="45:75" x14ac:dyDescent="0.25">
      <c r="AS834" s="53"/>
      <c r="AV834" s="56"/>
      <c r="AW834" s="379"/>
      <c r="AX834" s="65"/>
      <c r="AY834" s="65"/>
      <c r="AZ834" s="65"/>
      <c r="BA834" s="60"/>
      <c r="BB834" s="65"/>
      <c r="BC834" s="65"/>
      <c r="BD834" s="65"/>
      <c r="BE834" s="60"/>
      <c r="BG834" s="65"/>
      <c r="BH834" s="65"/>
      <c r="BI834" s="65"/>
      <c r="BJ834" s="65"/>
      <c r="BK834" s="65"/>
      <c r="BL834" s="68"/>
      <c r="BM834" s="65"/>
      <c r="BN834" s="65"/>
      <c r="BO834" s="65"/>
      <c r="BP834" s="65"/>
      <c r="BQ834" s="65"/>
      <c r="BR834" s="65"/>
      <c r="BS834" s="65"/>
      <c r="BT834" s="65"/>
      <c r="BU834" s="68"/>
      <c r="BV834" s="65"/>
      <c r="BW834" s="65"/>
    </row>
    <row r="835" spans="45:75" x14ac:dyDescent="0.25">
      <c r="AX835" s="65"/>
      <c r="AY835" s="65"/>
      <c r="AZ835" s="65"/>
      <c r="BA835" s="60"/>
      <c r="BB835" s="65"/>
      <c r="BC835" s="65"/>
      <c r="BD835" s="65"/>
      <c r="BE835" s="60"/>
      <c r="BG835" s="65"/>
      <c r="BH835" s="65"/>
      <c r="BI835" s="65"/>
      <c r="BJ835" s="65"/>
      <c r="BK835" s="65"/>
      <c r="BL835" s="65"/>
      <c r="BM835" s="65"/>
      <c r="BN835" s="65"/>
      <c r="BO835" s="65"/>
      <c r="BP835" s="65"/>
      <c r="BQ835" s="65"/>
      <c r="BR835" s="65"/>
      <c r="BS835" s="65"/>
      <c r="BT835" s="65"/>
      <c r="BU835" s="65"/>
      <c r="BV835" s="65"/>
    </row>
    <row r="836" spans="45:75" x14ac:dyDescent="0.25">
      <c r="AU836" s="54"/>
    </row>
    <row r="837" spans="45:75" x14ac:dyDescent="0.25">
      <c r="AU837" s="54"/>
      <c r="AZ837" s="65"/>
      <c r="BA837" s="60"/>
      <c r="BB837" s="65"/>
      <c r="BC837" s="65"/>
      <c r="BD837" s="65"/>
      <c r="BE837" s="60"/>
      <c r="BG837" s="65"/>
      <c r="BH837" s="65"/>
      <c r="BI837" s="65"/>
      <c r="BJ837" s="65"/>
      <c r="BK837" s="65"/>
      <c r="BL837" s="65"/>
      <c r="BM837" s="65"/>
      <c r="BN837" s="65"/>
      <c r="BO837" s="65"/>
      <c r="BP837" s="65"/>
      <c r="BQ837" s="65"/>
      <c r="BR837" s="65"/>
      <c r="BS837" s="65"/>
      <c r="BT837" s="65"/>
      <c r="BU837" s="65"/>
      <c r="BV837" s="65"/>
    </row>
    <row r="838" spans="45:75" x14ac:dyDescent="0.25">
      <c r="AS838" s="54"/>
      <c r="AZ838" s="65"/>
      <c r="BB838" s="65"/>
    </row>
    <row r="839" spans="45:75" x14ac:dyDescent="0.25">
      <c r="AY839" s="53"/>
      <c r="AZ839" s="65"/>
      <c r="BB839" s="65"/>
      <c r="BO839" s="65"/>
      <c r="BP839" s="65"/>
      <c r="BQ839" s="65"/>
      <c r="BR839" s="65"/>
      <c r="BS839" s="65"/>
      <c r="BT839" s="65"/>
      <c r="BU839" s="65"/>
      <c r="BV839" s="65"/>
    </row>
    <row r="840" spans="45:75" x14ac:dyDescent="0.25">
      <c r="AY840" s="65"/>
      <c r="AZ840" s="65"/>
      <c r="BB840" s="65"/>
      <c r="BO840" s="65"/>
      <c r="BP840" s="65"/>
      <c r="BQ840" s="65"/>
      <c r="BR840" s="65"/>
      <c r="BS840" s="65"/>
      <c r="BT840" s="65"/>
      <c r="BU840" s="65"/>
      <c r="BV840" s="65"/>
    </row>
    <row r="841" spans="45:75" x14ac:dyDescent="0.25">
      <c r="AY841" s="54"/>
      <c r="AZ841" s="65"/>
      <c r="BB841" s="65"/>
      <c r="BO841" s="65"/>
      <c r="BP841" s="65"/>
      <c r="BQ841" s="65"/>
      <c r="BR841" s="65"/>
      <c r="BS841" s="65"/>
      <c r="BT841" s="65"/>
      <c r="BU841" s="65"/>
      <c r="BV841" s="65"/>
    </row>
    <row r="842" spans="45:75" x14ac:dyDescent="0.25">
      <c r="AY842" s="54"/>
      <c r="AZ842" s="65"/>
      <c r="BB842" s="65"/>
      <c r="BO842" s="65"/>
      <c r="BP842" s="65"/>
      <c r="BQ842" s="65"/>
      <c r="BR842" s="65"/>
      <c r="BS842" s="65"/>
      <c r="BT842" s="65"/>
      <c r="BU842" s="65"/>
      <c r="BV842" s="65"/>
    </row>
    <row r="843" spans="45:75" x14ac:dyDescent="0.25">
      <c r="AS843" s="53"/>
      <c r="AZ843" s="65"/>
      <c r="BB843" s="65"/>
      <c r="BD843" s="54"/>
      <c r="BO843" s="65"/>
      <c r="BP843" s="65"/>
      <c r="BQ843" s="65"/>
      <c r="BR843" s="65"/>
      <c r="BS843" s="65"/>
      <c r="BT843" s="65"/>
      <c r="BU843" s="65"/>
      <c r="BV843" s="65"/>
    </row>
    <row r="844" spans="45:75" x14ac:dyDescent="0.25">
      <c r="AS844" s="53"/>
      <c r="AZ844" s="65"/>
      <c r="BB844" s="65"/>
      <c r="BD844" s="54"/>
      <c r="BO844" s="65"/>
      <c r="BP844" s="65"/>
      <c r="BQ844" s="65"/>
      <c r="BR844" s="65"/>
      <c r="BS844" s="65"/>
      <c r="BT844" s="65"/>
      <c r="BU844" s="65"/>
      <c r="BV844" s="65"/>
    </row>
    <row r="845" spans="45:75" x14ac:dyDescent="0.25">
      <c r="AS845" s="54"/>
      <c r="AZ845" s="65"/>
      <c r="BB845" s="65"/>
      <c r="BD845" s="54"/>
      <c r="BO845" s="65"/>
      <c r="BP845" s="65"/>
      <c r="BQ845" s="65"/>
      <c r="BR845" s="65"/>
      <c r="BS845" s="65"/>
      <c r="BT845" s="65"/>
      <c r="BU845" s="65"/>
      <c r="BV845" s="65"/>
    </row>
    <row r="846" spans="45:75" x14ac:dyDescent="0.25">
      <c r="AZ846" s="65"/>
      <c r="BB846" s="65"/>
      <c r="BD846" s="53"/>
      <c r="BO846" s="65"/>
      <c r="BP846" s="65"/>
      <c r="BQ846" s="65"/>
      <c r="BR846" s="65"/>
      <c r="BS846" s="65"/>
      <c r="BT846" s="65"/>
      <c r="BU846" s="65"/>
      <c r="BV846" s="65"/>
    </row>
    <row r="847" spans="45:75" x14ac:dyDescent="0.25">
      <c r="AS847" s="55"/>
      <c r="AT847" s="55"/>
      <c r="AU847" s="55"/>
      <c r="AV847" s="55"/>
      <c r="AW847" s="55"/>
      <c r="AX847" s="55"/>
      <c r="AY847" s="55"/>
      <c r="AZ847" s="66"/>
      <c r="BA847" s="55"/>
      <c r="BB847" s="66"/>
      <c r="BC847" s="55"/>
      <c r="BD847" s="55"/>
      <c r="BE847" s="55"/>
      <c r="BO847" s="65"/>
      <c r="BP847" s="65"/>
      <c r="BQ847" s="65"/>
      <c r="BR847" s="65"/>
      <c r="BS847" s="65"/>
      <c r="BT847" s="65"/>
      <c r="BU847" s="65"/>
      <c r="BV847" s="65"/>
    </row>
    <row r="848" spans="45:75" x14ac:dyDescent="0.25">
      <c r="AX848" s="54"/>
      <c r="AZ848" s="65"/>
      <c r="BB848" s="65"/>
      <c r="BO848" s="65"/>
      <c r="BP848" s="65"/>
      <c r="BQ848" s="65"/>
      <c r="BR848" s="65"/>
      <c r="BS848" s="65"/>
      <c r="BT848" s="65"/>
      <c r="BU848" s="65"/>
      <c r="BV848" s="65"/>
    </row>
    <row r="849" spans="45:74" x14ac:dyDescent="0.25">
      <c r="AX849" s="55"/>
      <c r="AY849" s="55"/>
      <c r="AZ849" s="66"/>
      <c r="BA849" s="55"/>
      <c r="BB849" s="65"/>
      <c r="BC849" s="56"/>
      <c r="BD849" s="56"/>
      <c r="BO849" s="65"/>
      <c r="BP849" s="65"/>
      <c r="BQ849" s="65"/>
      <c r="BR849" s="65"/>
      <c r="BS849" s="65"/>
      <c r="BT849" s="65"/>
      <c r="BU849" s="65"/>
      <c r="BV849" s="65"/>
    </row>
    <row r="850" spans="45:74" x14ac:dyDescent="0.25">
      <c r="AV850" s="56"/>
      <c r="AW850" s="56"/>
      <c r="AZ850" s="67"/>
      <c r="BA850" s="56"/>
      <c r="BB850" s="65"/>
      <c r="BC850" s="56"/>
      <c r="BD850" s="56"/>
      <c r="BE850" s="56"/>
      <c r="BG850" s="55"/>
      <c r="BH850" s="54"/>
      <c r="BK850" s="55"/>
      <c r="BM850" s="55"/>
      <c r="BN850" s="54"/>
      <c r="BQ850" s="55"/>
    </row>
    <row r="851" spans="45:74" x14ac:dyDescent="0.25">
      <c r="AV851" s="56"/>
      <c r="AW851" s="56"/>
      <c r="AX851" s="56"/>
      <c r="AY851" s="56"/>
      <c r="AZ851" s="67"/>
      <c r="BA851" s="56"/>
      <c r="BB851" s="67"/>
      <c r="BC851" s="56"/>
      <c r="BD851" s="56"/>
      <c r="BE851" s="56"/>
      <c r="BH851" s="56"/>
      <c r="BI851" s="56"/>
      <c r="BN851" s="56"/>
      <c r="BO851" s="56"/>
    </row>
    <row r="852" spans="45:74" x14ac:dyDescent="0.25">
      <c r="AS852" s="56"/>
      <c r="AU852" s="54"/>
      <c r="AV852" s="56"/>
      <c r="AW852" s="56"/>
      <c r="AX852" s="56"/>
      <c r="AY852" s="56"/>
      <c r="AZ852" s="67"/>
      <c r="BA852" s="56"/>
      <c r="BB852" s="67"/>
      <c r="BC852" s="56"/>
      <c r="BD852" s="56"/>
      <c r="BE852" s="56"/>
      <c r="BG852" s="56"/>
      <c r="BH852" s="56"/>
      <c r="BI852" s="56"/>
      <c r="BJ852" s="56"/>
      <c r="BK852" s="56"/>
      <c r="BM852" s="56"/>
      <c r="BN852" s="56"/>
      <c r="BO852" s="56"/>
      <c r="BP852" s="56"/>
      <c r="BQ852" s="56"/>
    </row>
    <row r="853" spans="45:74" x14ac:dyDescent="0.25">
      <c r="AS853" s="56"/>
      <c r="AU853" s="54"/>
      <c r="AV853" s="56"/>
      <c r="AW853" s="56"/>
      <c r="AX853" s="56"/>
      <c r="AY853" s="56"/>
      <c r="AZ853" s="67"/>
      <c r="BA853" s="56"/>
      <c r="BB853" s="67"/>
      <c r="BC853" s="56"/>
      <c r="BD853" s="56"/>
      <c r="BE853" s="56"/>
      <c r="BG853" s="56"/>
      <c r="BH853" s="56"/>
      <c r="BI853" s="56"/>
      <c r="BJ853" s="56"/>
      <c r="BK853" s="56"/>
      <c r="BM853" s="56"/>
      <c r="BN853" s="56"/>
      <c r="BO853" s="56"/>
      <c r="BP853" s="56"/>
      <c r="BQ853" s="56"/>
    </row>
    <row r="854" spans="45:74" x14ac:dyDescent="0.25">
      <c r="AS854" s="55"/>
      <c r="AT854" s="55"/>
      <c r="AU854" s="55"/>
      <c r="AV854" s="55"/>
      <c r="AW854" s="55"/>
      <c r="AX854" s="55"/>
      <c r="AY854" s="55"/>
      <c r="AZ854" s="66"/>
      <c r="BA854" s="55"/>
      <c r="BB854" s="66"/>
      <c r="BC854" s="55"/>
      <c r="BD854" s="55"/>
      <c r="BE854" s="55"/>
      <c r="BG854" s="55"/>
      <c r="BH854" s="55"/>
      <c r="BI854" s="55"/>
      <c r="BJ854" s="55"/>
      <c r="BK854" s="55"/>
      <c r="BM854" s="55"/>
      <c r="BN854" s="55"/>
      <c r="BO854" s="55"/>
      <c r="BP854" s="55"/>
      <c r="BQ854" s="55"/>
    </row>
    <row r="855" spans="45:74" x14ac:dyDescent="0.25">
      <c r="AV855" s="56"/>
      <c r="AW855" s="56"/>
      <c r="AX855" s="56"/>
      <c r="AY855" s="56"/>
      <c r="AZ855" s="67"/>
      <c r="BA855" s="56"/>
      <c r="BB855" s="67"/>
      <c r="BC855" s="56"/>
      <c r="BD855" s="56"/>
      <c r="BE855" s="56"/>
      <c r="BG855" s="65"/>
      <c r="BH855" s="65"/>
      <c r="BI855" s="65"/>
      <c r="BJ855" s="65"/>
      <c r="BK855" s="65"/>
      <c r="BL855" s="65"/>
      <c r="BM855" s="65"/>
      <c r="BN855" s="65"/>
      <c r="BO855" s="65"/>
      <c r="BP855" s="65"/>
      <c r="BQ855" s="65"/>
    </row>
    <row r="856" spans="45:74" x14ac:dyDescent="0.25">
      <c r="AS856" s="53"/>
      <c r="AT856" s="54"/>
      <c r="AV856" s="379"/>
      <c r="AW856" s="379"/>
      <c r="AX856" s="65"/>
      <c r="AY856" s="65"/>
      <c r="AZ856" s="65"/>
      <c r="BA856" s="60"/>
      <c r="BB856" s="65"/>
      <c r="BC856" s="65"/>
      <c r="BD856" s="65"/>
      <c r="BE856" s="60"/>
      <c r="BG856" s="65"/>
      <c r="BH856" s="65"/>
      <c r="BI856" s="65"/>
      <c r="BJ856" s="65"/>
      <c r="BK856" s="65"/>
      <c r="BL856" s="65"/>
      <c r="BM856" s="65"/>
      <c r="BN856" s="65"/>
      <c r="BO856" s="65"/>
      <c r="BP856" s="65"/>
      <c r="BQ856" s="65"/>
      <c r="BR856" s="65"/>
      <c r="BS856" s="65"/>
    </row>
    <row r="857" spans="45:74" x14ac:dyDescent="0.25">
      <c r="AS857" s="53"/>
      <c r="AV857" s="379"/>
      <c r="AW857" s="379"/>
      <c r="AX857" s="65"/>
      <c r="AY857" s="65"/>
      <c r="AZ857" s="65"/>
      <c r="BA857" s="60"/>
      <c r="BB857" s="65"/>
      <c r="BC857" s="65"/>
      <c r="BD857" s="65"/>
      <c r="BE857" s="60"/>
      <c r="BG857" s="65"/>
      <c r="BH857" s="65"/>
      <c r="BI857" s="65"/>
      <c r="BJ857" s="65"/>
      <c r="BK857" s="65"/>
      <c r="BL857" s="65"/>
      <c r="BM857" s="65"/>
      <c r="BN857" s="65"/>
      <c r="BO857" s="65"/>
      <c r="BP857" s="65"/>
      <c r="BQ857" s="65"/>
      <c r="BR857" s="65"/>
      <c r="BS857" s="65"/>
    </row>
    <row r="858" spans="45:74" x14ac:dyDescent="0.25">
      <c r="AS858" s="53"/>
      <c r="AV858" s="379"/>
      <c r="AW858" s="379"/>
      <c r="AX858" s="65"/>
      <c r="AY858" s="65"/>
      <c r="AZ858" s="65"/>
      <c r="BA858" s="60"/>
      <c r="BB858" s="65"/>
      <c r="BC858" s="65"/>
      <c r="BD858" s="65"/>
      <c r="BE858" s="60"/>
      <c r="BG858" s="65"/>
      <c r="BH858" s="65"/>
      <c r="BI858" s="65"/>
      <c r="BJ858" s="65"/>
      <c r="BK858" s="65"/>
      <c r="BL858" s="65"/>
      <c r="BM858" s="65"/>
      <c r="BN858" s="65"/>
      <c r="BO858" s="65"/>
      <c r="BP858" s="65"/>
      <c r="BQ858" s="65"/>
      <c r="BR858" s="65"/>
      <c r="BS858" s="65"/>
    </row>
    <row r="859" spans="45:74" x14ac:dyDescent="0.25">
      <c r="AS859" s="53"/>
      <c r="AV859" s="379"/>
      <c r="AW859" s="379"/>
      <c r="AX859" s="65"/>
      <c r="AY859" s="65"/>
      <c r="AZ859" s="65"/>
      <c r="BA859" s="60"/>
      <c r="BB859" s="65"/>
      <c r="BC859" s="65"/>
      <c r="BD859" s="65"/>
      <c r="BE859" s="60"/>
      <c r="BG859" s="65"/>
      <c r="BH859" s="65"/>
      <c r="BI859" s="65"/>
      <c r="BJ859" s="65"/>
      <c r="BK859" s="65"/>
      <c r="BL859" s="65"/>
      <c r="BM859" s="65"/>
      <c r="BN859" s="65"/>
      <c r="BO859" s="65"/>
      <c r="BP859" s="65"/>
      <c r="BQ859" s="65"/>
      <c r="BR859" s="65"/>
      <c r="BS859" s="65"/>
    </row>
    <row r="860" spans="45:74" x14ac:dyDescent="0.25">
      <c r="AS860" s="53"/>
      <c r="AV860" s="379"/>
      <c r="AW860" s="379"/>
      <c r="AX860" s="65"/>
      <c r="AY860" s="65"/>
      <c r="AZ860" s="65"/>
      <c r="BA860" s="60"/>
      <c r="BB860" s="65"/>
      <c r="BC860" s="65"/>
      <c r="BD860" s="65"/>
      <c r="BE860" s="60"/>
      <c r="BG860" s="65"/>
      <c r="BH860" s="65"/>
      <c r="BI860" s="65"/>
      <c r="BJ860" s="65"/>
      <c r="BK860" s="65"/>
      <c r="BL860" s="65"/>
      <c r="BM860" s="65"/>
      <c r="BN860" s="65"/>
      <c r="BO860" s="65"/>
      <c r="BP860" s="65"/>
      <c r="BQ860" s="65"/>
      <c r="BR860" s="65"/>
      <c r="BS860" s="65"/>
    </row>
    <row r="861" spans="45:74" x14ac:dyDescent="0.25">
      <c r="AS861" s="53"/>
      <c r="AV861" s="379"/>
      <c r="AW861" s="379"/>
      <c r="AX861" s="65"/>
      <c r="AY861" s="65"/>
      <c r="AZ861" s="65"/>
      <c r="BA861" s="60"/>
      <c r="BB861" s="65"/>
      <c r="BC861" s="65"/>
      <c r="BD861" s="65"/>
      <c r="BE861" s="60"/>
      <c r="BG861" s="65"/>
      <c r="BH861" s="65"/>
      <c r="BI861" s="65"/>
      <c r="BJ861" s="65"/>
      <c r="BK861" s="65"/>
      <c r="BL861" s="65"/>
      <c r="BM861" s="65"/>
      <c r="BN861" s="65"/>
      <c r="BO861" s="65"/>
      <c r="BP861" s="65"/>
      <c r="BQ861" s="65"/>
      <c r="BR861" s="65"/>
      <c r="BS861" s="65"/>
    </row>
    <row r="862" spans="45:74" x14ac:dyDescent="0.25">
      <c r="AS862" s="53"/>
      <c r="AV862" s="379"/>
      <c r="AW862" s="379"/>
      <c r="AX862" s="65"/>
      <c r="AY862" s="65"/>
      <c r="AZ862" s="65"/>
      <c r="BA862" s="60"/>
      <c r="BB862" s="65"/>
      <c r="BC862" s="65"/>
      <c r="BD862" s="65"/>
      <c r="BE862" s="60"/>
      <c r="BG862" s="65"/>
      <c r="BH862" s="65"/>
      <c r="BI862" s="65"/>
      <c r="BJ862" s="65"/>
      <c r="BK862" s="65"/>
      <c r="BL862" s="65"/>
      <c r="BM862" s="65"/>
      <c r="BN862" s="65"/>
      <c r="BO862" s="65"/>
      <c r="BP862" s="65"/>
      <c r="BQ862" s="65"/>
      <c r="BR862" s="65"/>
      <c r="BS862" s="65"/>
    </row>
    <row r="863" spans="45:74" x14ac:dyDescent="0.25">
      <c r="AS863" s="53"/>
      <c r="AV863" s="379"/>
      <c r="AW863" s="379"/>
      <c r="AX863" s="65"/>
      <c r="AY863" s="65"/>
      <c r="AZ863" s="65"/>
      <c r="BA863" s="60"/>
      <c r="BB863" s="65"/>
      <c r="BC863" s="65"/>
      <c r="BD863" s="65"/>
      <c r="BE863" s="60"/>
      <c r="BG863" s="65"/>
      <c r="BH863" s="65"/>
      <c r="BI863" s="65"/>
      <c r="BJ863" s="65"/>
      <c r="BK863" s="65"/>
      <c r="BL863" s="65"/>
      <c r="BM863" s="65"/>
      <c r="BN863" s="65"/>
      <c r="BO863" s="65"/>
      <c r="BP863" s="65"/>
      <c r="BQ863" s="65"/>
      <c r="BR863" s="65"/>
      <c r="BS863" s="65"/>
    </row>
    <row r="864" spans="45:74" x14ac:dyDescent="0.25">
      <c r="AS864" s="53"/>
      <c r="AV864" s="379"/>
      <c r="AW864" s="379"/>
      <c r="AX864" s="65"/>
      <c r="AY864" s="65"/>
      <c r="AZ864" s="65"/>
      <c r="BA864" s="60"/>
      <c r="BB864" s="65"/>
      <c r="BC864" s="65"/>
      <c r="BD864" s="65"/>
      <c r="BE864" s="60"/>
      <c r="BG864" s="65"/>
      <c r="BH864" s="65"/>
      <c r="BI864" s="65"/>
      <c r="BJ864" s="65"/>
      <c r="BK864" s="65"/>
      <c r="BL864" s="65"/>
      <c r="BM864" s="65"/>
      <c r="BN864" s="65"/>
      <c r="BO864" s="65"/>
      <c r="BP864" s="65"/>
      <c r="BQ864" s="65"/>
      <c r="BR864" s="65"/>
      <c r="BS864" s="65"/>
    </row>
    <row r="865" spans="45:71" x14ac:dyDescent="0.25">
      <c r="AS865" s="53"/>
      <c r="AV865" s="379"/>
      <c r="AW865" s="379"/>
      <c r="AX865" s="65"/>
      <c r="AY865" s="65"/>
      <c r="AZ865" s="65"/>
      <c r="BA865" s="60"/>
      <c r="BB865" s="65"/>
      <c r="BC865" s="65"/>
      <c r="BD865" s="65"/>
      <c r="BE865" s="60"/>
      <c r="BG865" s="65"/>
      <c r="BH865" s="65"/>
      <c r="BI865" s="65"/>
      <c r="BJ865" s="65"/>
      <c r="BK865" s="65"/>
      <c r="BL865" s="65"/>
      <c r="BM865" s="65"/>
      <c r="BN865" s="65"/>
      <c r="BO865" s="65"/>
      <c r="BP865" s="65"/>
      <c r="BQ865" s="65"/>
      <c r="BR865" s="65"/>
      <c r="BS865" s="65"/>
    </row>
    <row r="866" spans="45:71" x14ac:dyDescent="0.25">
      <c r="AS866" s="53"/>
      <c r="AV866" s="379"/>
      <c r="AW866" s="379"/>
      <c r="AX866" s="65"/>
      <c r="AY866" s="65"/>
      <c r="AZ866" s="65"/>
      <c r="BA866" s="60"/>
      <c r="BB866" s="65"/>
      <c r="BC866" s="65"/>
      <c r="BD866" s="65"/>
      <c r="BE866" s="60"/>
      <c r="BG866" s="65"/>
      <c r="BH866" s="65"/>
      <c r="BI866" s="65"/>
      <c r="BJ866" s="65"/>
      <c r="BK866" s="65"/>
      <c r="BL866" s="65"/>
      <c r="BM866" s="65"/>
      <c r="BN866" s="65"/>
      <c r="BO866" s="65"/>
      <c r="BP866" s="65"/>
      <c r="BQ866" s="65"/>
      <c r="BR866" s="65"/>
      <c r="BS866" s="65"/>
    </row>
    <row r="867" spans="45:71" x14ac:dyDescent="0.25">
      <c r="AS867" s="53"/>
      <c r="AV867" s="379"/>
      <c r="AW867" s="379"/>
      <c r="AX867" s="65"/>
      <c r="AY867" s="65"/>
      <c r="AZ867" s="65"/>
      <c r="BA867" s="60"/>
      <c r="BB867" s="65"/>
      <c r="BC867" s="65"/>
      <c r="BD867" s="65"/>
      <c r="BE867" s="60"/>
      <c r="BG867" s="65"/>
      <c r="BH867" s="65"/>
      <c r="BI867" s="65"/>
      <c r="BJ867" s="65"/>
      <c r="BK867" s="65"/>
      <c r="BL867" s="65"/>
      <c r="BM867" s="65"/>
      <c r="BN867" s="65"/>
      <c r="BO867" s="65"/>
      <c r="BP867" s="65"/>
      <c r="BQ867" s="65"/>
      <c r="BR867" s="65"/>
      <c r="BS867" s="65"/>
    </row>
    <row r="868" spans="45:71" x14ac:dyDescent="0.25">
      <c r="AS868" s="53"/>
      <c r="AV868" s="379"/>
      <c r="AW868" s="379"/>
      <c r="AX868" s="65"/>
      <c r="AY868" s="65"/>
      <c r="AZ868" s="65"/>
      <c r="BA868" s="60"/>
      <c r="BB868" s="65"/>
      <c r="BC868" s="65"/>
      <c r="BD868" s="65"/>
      <c r="BE868" s="60"/>
      <c r="BG868" s="65"/>
      <c r="BH868" s="65"/>
      <c r="BI868" s="65"/>
      <c r="BJ868" s="65"/>
      <c r="BK868" s="65"/>
      <c r="BL868" s="65"/>
      <c r="BM868" s="65"/>
      <c r="BN868" s="65"/>
      <c r="BO868" s="65"/>
      <c r="BP868" s="65"/>
      <c r="BQ868" s="65"/>
      <c r="BR868" s="65"/>
      <c r="BS868" s="65"/>
    </row>
    <row r="869" spans="45:71" x14ac:dyDescent="0.25">
      <c r="AS869" s="53"/>
      <c r="AV869" s="379"/>
      <c r="AW869" s="379"/>
      <c r="AX869" s="65"/>
      <c r="AY869" s="65"/>
      <c r="AZ869" s="65"/>
      <c r="BA869" s="60"/>
      <c r="BB869" s="65"/>
      <c r="BC869" s="65"/>
      <c r="BD869" s="65"/>
      <c r="BE869" s="60"/>
      <c r="BG869" s="65"/>
      <c r="BH869" s="65"/>
      <c r="BI869" s="65"/>
      <c r="BJ869" s="65"/>
      <c r="BK869" s="65"/>
      <c r="BL869" s="65"/>
      <c r="BM869" s="65"/>
      <c r="BN869" s="65"/>
      <c r="BO869" s="65"/>
      <c r="BP869" s="65"/>
      <c r="BQ869" s="65"/>
      <c r="BR869" s="65"/>
      <c r="BS869" s="65"/>
    </row>
    <row r="870" spans="45:71" x14ac:dyDescent="0.25">
      <c r="AS870" s="53"/>
      <c r="AV870" s="379"/>
      <c r="AW870" s="379"/>
      <c r="AX870" s="65"/>
      <c r="AY870" s="65"/>
      <c r="AZ870" s="65"/>
      <c r="BA870" s="60"/>
      <c r="BB870" s="65"/>
      <c r="BC870" s="65"/>
      <c r="BD870" s="65"/>
      <c r="BE870" s="60"/>
      <c r="BG870" s="65"/>
      <c r="BH870" s="65"/>
      <c r="BI870" s="65"/>
      <c r="BJ870" s="65"/>
      <c r="BK870" s="65"/>
      <c r="BL870" s="65"/>
      <c r="BM870" s="65"/>
      <c r="BN870" s="65"/>
      <c r="BO870" s="65"/>
      <c r="BP870" s="65"/>
      <c r="BQ870" s="65"/>
      <c r="BR870" s="65"/>
      <c r="BS870" s="65"/>
    </row>
    <row r="871" spans="45:71" x14ac:dyDescent="0.25">
      <c r="AS871" s="53"/>
      <c r="AV871" s="379"/>
      <c r="AW871" s="379"/>
      <c r="AX871" s="65"/>
      <c r="AY871" s="65"/>
      <c r="AZ871" s="65"/>
      <c r="BA871" s="60"/>
      <c r="BB871" s="65"/>
      <c r="BC871" s="65"/>
      <c r="BD871" s="65"/>
      <c r="BE871" s="60"/>
      <c r="BG871" s="65"/>
      <c r="BH871" s="65"/>
      <c r="BI871" s="65"/>
      <c r="BJ871" s="65"/>
      <c r="BK871" s="65"/>
      <c r="BL871" s="65"/>
      <c r="BM871" s="65"/>
      <c r="BN871" s="65"/>
      <c r="BO871" s="65"/>
      <c r="BP871" s="65"/>
      <c r="BQ871" s="65"/>
      <c r="BR871" s="65"/>
      <c r="BS871" s="65"/>
    </row>
    <row r="872" spans="45:71" x14ac:dyDescent="0.25">
      <c r="AS872" s="53"/>
      <c r="AV872" s="379"/>
      <c r="AW872" s="379"/>
      <c r="AX872" s="65"/>
      <c r="AY872" s="65"/>
      <c r="AZ872" s="65"/>
      <c r="BA872" s="60"/>
      <c r="BB872" s="65"/>
      <c r="BC872" s="65"/>
      <c r="BD872" s="65"/>
      <c r="BE872" s="60"/>
      <c r="BG872" s="65"/>
      <c r="BH872" s="65"/>
      <c r="BI872" s="65"/>
      <c r="BJ872" s="65"/>
      <c r="BK872" s="65"/>
      <c r="BL872" s="65"/>
      <c r="BM872" s="65"/>
      <c r="BN872" s="65"/>
      <c r="BO872" s="65"/>
      <c r="BP872" s="65"/>
      <c r="BQ872" s="65"/>
      <c r="BR872" s="65"/>
      <c r="BS872" s="65"/>
    </row>
    <row r="873" spans="45:71" x14ac:dyDescent="0.25">
      <c r="AS873" s="53"/>
      <c r="AV873" s="379"/>
      <c r="AW873" s="379"/>
      <c r="AX873" s="65"/>
      <c r="AY873" s="65"/>
      <c r="AZ873" s="65"/>
      <c r="BA873" s="60"/>
      <c r="BB873" s="65"/>
      <c r="BC873" s="65"/>
      <c r="BD873" s="65"/>
      <c r="BE873" s="60"/>
      <c r="BG873" s="65"/>
      <c r="BH873" s="65"/>
      <c r="BI873" s="65"/>
      <c r="BJ873" s="65"/>
      <c r="BK873" s="65"/>
      <c r="BL873" s="65"/>
      <c r="BM873" s="65"/>
      <c r="BN873" s="65"/>
      <c r="BO873" s="65"/>
      <c r="BP873" s="65"/>
      <c r="BQ873" s="65"/>
      <c r="BR873" s="65"/>
      <c r="BS873" s="65"/>
    </row>
    <row r="874" spans="45:71" x14ac:dyDescent="0.25">
      <c r="AZ874" s="65"/>
      <c r="BB874" s="65"/>
      <c r="BC874" s="65"/>
      <c r="BD874" s="65"/>
      <c r="BG874" s="65"/>
      <c r="BH874" s="65"/>
      <c r="BI874" s="65"/>
      <c r="BJ874" s="65"/>
      <c r="BK874" s="65"/>
      <c r="BL874" s="65"/>
      <c r="BM874" s="65"/>
      <c r="BN874" s="65"/>
      <c r="BO874" s="65"/>
      <c r="BP874" s="65"/>
      <c r="BQ874" s="65"/>
      <c r="BR874" s="65"/>
      <c r="BS874" s="65"/>
    </row>
    <row r="875" spans="45:71" x14ac:dyDescent="0.25">
      <c r="AS875" s="53"/>
      <c r="AT875" s="54"/>
      <c r="AV875" s="379"/>
      <c r="AW875" s="379"/>
      <c r="AX875" s="65"/>
      <c r="AY875" s="65"/>
      <c r="AZ875" s="65"/>
      <c r="BA875" s="60"/>
      <c r="BB875" s="65"/>
      <c r="BC875" s="65"/>
      <c r="BD875" s="65"/>
      <c r="BE875" s="60"/>
    </row>
    <row r="876" spans="45:71" x14ac:dyDescent="0.25">
      <c r="AS876" s="53"/>
      <c r="AV876" s="379"/>
      <c r="AW876" s="379"/>
      <c r="AX876" s="65"/>
      <c r="AY876" s="65"/>
      <c r="AZ876" s="65"/>
      <c r="BA876" s="60"/>
      <c r="BB876" s="65"/>
      <c r="BC876" s="65"/>
      <c r="BD876" s="65"/>
      <c r="BE876" s="60"/>
    </row>
    <row r="877" spans="45:71" x14ac:dyDescent="0.25">
      <c r="AS877" s="53"/>
      <c r="AV877" s="379"/>
      <c r="AW877" s="379"/>
      <c r="AX877" s="65"/>
      <c r="AY877" s="65"/>
      <c r="AZ877" s="65"/>
      <c r="BA877" s="60"/>
      <c r="BB877" s="65"/>
      <c r="BC877" s="65"/>
      <c r="BD877" s="65"/>
      <c r="BE877" s="60"/>
    </row>
    <row r="878" spans="45:71" x14ac:dyDescent="0.25">
      <c r="AS878" s="53"/>
      <c r="AV878" s="379"/>
      <c r="AW878" s="379"/>
      <c r="AX878" s="65"/>
      <c r="AY878" s="65"/>
      <c r="AZ878" s="65"/>
      <c r="BA878" s="60"/>
      <c r="BB878" s="65"/>
      <c r="BC878" s="65"/>
      <c r="BD878" s="65"/>
      <c r="BE878" s="60"/>
    </row>
    <row r="879" spans="45:71" x14ac:dyDescent="0.25">
      <c r="AS879" s="53"/>
      <c r="AV879" s="379"/>
      <c r="AW879" s="379"/>
      <c r="AX879" s="65"/>
      <c r="AY879" s="65"/>
      <c r="AZ879" s="65"/>
      <c r="BA879" s="60"/>
      <c r="BB879" s="65"/>
      <c r="BC879" s="65"/>
      <c r="BD879" s="65"/>
      <c r="BE879" s="60"/>
    </row>
    <row r="880" spans="45:71" x14ac:dyDescent="0.25">
      <c r="AS880" s="53"/>
      <c r="AV880" s="379"/>
      <c r="AW880" s="379"/>
      <c r="AX880" s="65"/>
      <c r="AY880" s="65"/>
      <c r="AZ880" s="65"/>
      <c r="BA880" s="60"/>
      <c r="BB880" s="65"/>
      <c r="BC880" s="65"/>
      <c r="BD880" s="65"/>
      <c r="BE880" s="60"/>
    </row>
    <row r="881" spans="45:57" x14ac:dyDescent="0.25">
      <c r="AS881" s="53"/>
      <c r="AV881" s="379"/>
      <c r="AW881" s="379"/>
      <c r="AX881" s="65"/>
      <c r="AY881" s="65"/>
      <c r="AZ881" s="65"/>
      <c r="BA881" s="60"/>
      <c r="BB881" s="65"/>
      <c r="BC881" s="65"/>
      <c r="BD881" s="65"/>
      <c r="BE881" s="60"/>
    </row>
    <row r="882" spans="45:57" x14ac:dyDescent="0.25">
      <c r="AS882" s="53"/>
      <c r="AV882" s="379"/>
      <c r="AW882" s="379"/>
      <c r="AX882" s="65"/>
      <c r="AY882" s="65"/>
      <c r="AZ882" s="65"/>
      <c r="BA882" s="60"/>
      <c r="BB882" s="65"/>
      <c r="BC882" s="65"/>
      <c r="BD882" s="65"/>
      <c r="BE882" s="60"/>
    </row>
    <row r="883" spans="45:57" x14ac:dyDescent="0.25">
      <c r="AS883" s="53"/>
      <c r="AV883" s="379"/>
      <c r="AW883" s="379"/>
      <c r="AX883" s="65"/>
      <c r="AY883" s="65"/>
      <c r="AZ883" s="65"/>
      <c r="BA883" s="60"/>
      <c r="BB883" s="65"/>
      <c r="BC883" s="65"/>
      <c r="BD883" s="65"/>
      <c r="BE883" s="60"/>
    </row>
    <row r="884" spans="45:57" x14ac:dyDescent="0.25">
      <c r="AS884" s="53"/>
      <c r="AV884" s="379"/>
      <c r="AW884" s="379"/>
      <c r="AX884" s="65"/>
      <c r="AY884" s="65"/>
      <c r="AZ884" s="65"/>
      <c r="BA884" s="60"/>
      <c r="BB884" s="65"/>
      <c r="BC884" s="65"/>
      <c r="BD884" s="65"/>
      <c r="BE884" s="60"/>
    </row>
    <row r="885" spans="45:57" x14ac:dyDescent="0.25">
      <c r="AS885" s="53"/>
      <c r="AV885" s="379"/>
      <c r="AW885" s="379"/>
      <c r="AX885" s="65"/>
      <c r="AY885" s="65"/>
      <c r="AZ885" s="65"/>
      <c r="BA885" s="60"/>
      <c r="BB885" s="65"/>
      <c r="BC885" s="65"/>
      <c r="BD885" s="65"/>
      <c r="BE885" s="60"/>
    </row>
    <row r="886" spans="45:57" x14ac:dyDescent="0.25">
      <c r="AS886" s="53"/>
      <c r="AV886" s="379"/>
      <c r="AW886" s="379"/>
      <c r="AX886" s="65"/>
      <c r="AY886" s="65"/>
      <c r="AZ886" s="65"/>
      <c r="BA886" s="60"/>
      <c r="BB886" s="65"/>
      <c r="BC886" s="65"/>
      <c r="BD886" s="65"/>
      <c r="BE886" s="60"/>
    </row>
    <row r="887" spans="45:57" x14ac:dyDescent="0.25">
      <c r="AS887" s="53"/>
      <c r="AV887" s="379"/>
      <c r="AW887" s="379"/>
      <c r="AX887" s="65"/>
      <c r="AY887" s="65"/>
      <c r="AZ887" s="65"/>
      <c r="BA887" s="60"/>
      <c r="BB887" s="65"/>
      <c r="BC887" s="65"/>
      <c r="BD887" s="65"/>
      <c r="BE887" s="60"/>
    </row>
    <row r="888" spans="45:57" x14ac:dyDescent="0.25">
      <c r="AS888" s="53"/>
      <c r="AV888" s="379"/>
      <c r="AW888" s="379"/>
      <c r="AX888" s="65"/>
      <c r="AY888" s="65"/>
      <c r="AZ888" s="65"/>
      <c r="BA888" s="60"/>
      <c r="BB888" s="65"/>
      <c r="BC888" s="65"/>
      <c r="BD888" s="65"/>
      <c r="BE888" s="60"/>
    </row>
    <row r="889" spans="45:57" x14ac:dyDescent="0.25">
      <c r="AS889" s="53"/>
      <c r="AV889" s="379"/>
      <c r="AW889" s="379"/>
      <c r="AX889" s="65"/>
      <c r="AY889" s="65"/>
      <c r="AZ889" s="65"/>
      <c r="BA889" s="60"/>
      <c r="BB889" s="65"/>
      <c r="BC889" s="65"/>
      <c r="BD889" s="65"/>
      <c r="BE889" s="60"/>
    </row>
    <row r="890" spans="45:57" x14ac:dyDescent="0.25">
      <c r="AS890" s="53"/>
      <c r="AV890" s="379"/>
      <c r="AW890" s="379"/>
      <c r="AX890" s="65"/>
      <c r="AY890" s="65"/>
      <c r="AZ890" s="65"/>
      <c r="BA890" s="60"/>
      <c r="BB890" s="65"/>
      <c r="BC890" s="65"/>
      <c r="BD890" s="65"/>
      <c r="BE890" s="60"/>
    </row>
    <row r="891" spans="45:57" x14ac:dyDescent="0.25">
      <c r="AS891" s="53"/>
      <c r="AV891" s="379"/>
      <c r="AW891" s="379"/>
      <c r="AX891" s="65"/>
      <c r="AY891" s="65"/>
      <c r="AZ891" s="65"/>
      <c r="BA891" s="60"/>
      <c r="BB891" s="65"/>
      <c r="BC891" s="65"/>
      <c r="BD891" s="65"/>
      <c r="BE891" s="60"/>
    </row>
    <row r="892" spans="45:57" x14ac:dyDescent="0.25">
      <c r="AS892" s="53"/>
      <c r="AV892" s="379"/>
      <c r="AW892" s="379"/>
      <c r="AX892" s="65"/>
      <c r="AY892" s="65"/>
      <c r="AZ892" s="65"/>
      <c r="BA892" s="60"/>
      <c r="BB892" s="65"/>
      <c r="BC892" s="65"/>
      <c r="BD892" s="65"/>
      <c r="BE892" s="60"/>
    </row>
    <row r="893" spans="45:57" x14ac:dyDescent="0.25">
      <c r="BB893" s="65"/>
    </row>
    <row r="894" spans="45:57" x14ac:dyDescent="0.25">
      <c r="AU894" s="54"/>
      <c r="BB894" s="65"/>
    </row>
    <row r="895" spans="45:57" x14ac:dyDescent="0.25">
      <c r="AU895" s="54"/>
    </row>
    <row r="896" spans="45:57" x14ac:dyDescent="0.25">
      <c r="AU896" s="54"/>
      <c r="BB896" s="65"/>
    </row>
    <row r="897" spans="45:57" x14ac:dyDescent="0.25">
      <c r="AS897" s="54"/>
      <c r="AZ897" s="65"/>
      <c r="BB897" s="65"/>
    </row>
    <row r="898" spans="45:57" x14ac:dyDescent="0.25">
      <c r="AY898" s="53"/>
      <c r="AZ898" s="65"/>
      <c r="BB898" s="65"/>
    </row>
    <row r="899" spans="45:57" x14ac:dyDescent="0.25">
      <c r="AY899" s="65"/>
      <c r="AZ899" s="65"/>
      <c r="BB899" s="65"/>
    </row>
    <row r="900" spans="45:57" x14ac:dyDescent="0.25">
      <c r="AY900" s="54"/>
      <c r="AZ900" s="65"/>
      <c r="BB900" s="65"/>
    </row>
    <row r="901" spans="45:57" x14ac:dyDescent="0.25">
      <c r="AY901" s="54"/>
      <c r="AZ901" s="65"/>
      <c r="BB901" s="65"/>
    </row>
    <row r="902" spans="45:57" x14ac:dyDescent="0.25">
      <c r="AS902" s="53"/>
      <c r="AZ902" s="65"/>
      <c r="BB902" s="65"/>
      <c r="BD902" s="54"/>
    </row>
    <row r="903" spans="45:57" x14ac:dyDescent="0.25">
      <c r="AS903" s="53"/>
      <c r="AZ903" s="65"/>
      <c r="BB903" s="65"/>
      <c r="BD903" s="54"/>
    </row>
    <row r="904" spans="45:57" x14ac:dyDescent="0.25">
      <c r="AS904" s="54"/>
      <c r="AZ904" s="65"/>
      <c r="BB904" s="65"/>
      <c r="BD904" s="54"/>
    </row>
    <row r="905" spans="45:57" x14ac:dyDescent="0.25">
      <c r="AZ905" s="65"/>
      <c r="BB905" s="65"/>
      <c r="BD905" s="53"/>
    </row>
    <row r="906" spans="45:57" x14ac:dyDescent="0.25">
      <c r="AS906" s="55"/>
      <c r="AT906" s="55"/>
      <c r="AU906" s="55"/>
      <c r="AV906" s="55"/>
      <c r="AW906" s="55"/>
      <c r="AX906" s="55"/>
      <c r="AY906" s="55"/>
      <c r="AZ906" s="66"/>
      <c r="BA906" s="55"/>
      <c r="BB906" s="66"/>
      <c r="BC906" s="55"/>
      <c r="BD906" s="55"/>
      <c r="BE906" s="55"/>
    </row>
    <row r="907" spans="45:57" x14ac:dyDescent="0.25">
      <c r="AX907" s="54"/>
      <c r="AZ907" s="65"/>
      <c r="BB907" s="65"/>
    </row>
    <row r="908" spans="45:57" x14ac:dyDescent="0.25">
      <c r="AX908" s="55"/>
      <c r="AY908" s="55"/>
      <c r="AZ908" s="66"/>
      <c r="BA908" s="55"/>
      <c r="BB908" s="65"/>
      <c r="BC908" s="56"/>
      <c r="BD908" s="56"/>
    </row>
    <row r="909" spans="45:57" x14ac:dyDescent="0.25">
      <c r="AV909" s="56"/>
      <c r="AW909" s="56"/>
      <c r="AZ909" s="67"/>
      <c r="BA909" s="56"/>
      <c r="BB909" s="65"/>
      <c r="BC909" s="56"/>
      <c r="BD909" s="56"/>
      <c r="BE909" s="56"/>
    </row>
    <row r="910" spans="45:57" x14ac:dyDescent="0.25">
      <c r="AV910" s="56"/>
      <c r="AW910" s="56"/>
      <c r="AX910" s="56"/>
      <c r="AY910" s="56"/>
      <c r="AZ910" s="67"/>
      <c r="BA910" s="56"/>
      <c r="BB910" s="67"/>
      <c r="BC910" s="56"/>
      <c r="BD910" s="56"/>
      <c r="BE910" s="56"/>
    </row>
    <row r="911" spans="45:57" x14ac:dyDescent="0.25">
      <c r="AS911" s="56"/>
      <c r="AU911" s="54"/>
      <c r="AV911" s="56"/>
      <c r="AW911" s="56"/>
      <c r="AX911" s="56"/>
      <c r="AY911" s="56"/>
      <c r="AZ911" s="67"/>
      <c r="BA911" s="56"/>
      <c r="BB911" s="67"/>
      <c r="BC911" s="56"/>
      <c r="BD911" s="56"/>
      <c r="BE911" s="56"/>
    </row>
    <row r="912" spans="45:57" x14ac:dyDescent="0.25">
      <c r="AS912" s="56"/>
      <c r="AU912" s="54"/>
      <c r="AV912" s="56"/>
      <c r="AW912" s="56"/>
      <c r="AX912" s="56"/>
      <c r="AY912" s="56"/>
      <c r="AZ912" s="67"/>
      <c r="BA912" s="56"/>
      <c r="BB912" s="67"/>
      <c r="BC912" s="56"/>
      <c r="BD912" s="56"/>
      <c r="BE912" s="56"/>
    </row>
    <row r="913" spans="45:57" x14ac:dyDescent="0.25">
      <c r="AS913" s="55"/>
      <c r="AT913" s="55"/>
      <c r="AU913" s="55"/>
      <c r="AV913" s="55"/>
      <c r="AW913" s="55"/>
      <c r="AX913" s="55"/>
      <c r="AY913" s="55"/>
      <c r="AZ913" s="66"/>
      <c r="BA913" s="55"/>
      <c r="BB913" s="66"/>
      <c r="BC913" s="55"/>
      <c r="BD913" s="55"/>
      <c r="BE913" s="55"/>
    </row>
    <row r="914" spans="45:57" x14ac:dyDescent="0.25">
      <c r="AV914" s="56"/>
      <c r="AW914" s="56"/>
      <c r="AX914" s="56"/>
      <c r="AY914" s="56"/>
      <c r="AZ914" s="67"/>
      <c r="BA914" s="56"/>
      <c r="BB914" s="67"/>
      <c r="BC914" s="56"/>
      <c r="BD914" s="56"/>
      <c r="BE914" s="56"/>
    </row>
    <row r="915" spans="45:57" x14ac:dyDescent="0.25">
      <c r="AS915" s="53"/>
      <c r="AT915" s="54"/>
      <c r="AV915" s="379"/>
      <c r="AW915" s="379"/>
      <c r="AX915" s="65"/>
      <c r="AY915" s="65"/>
      <c r="AZ915" s="65"/>
      <c r="BA915" s="60"/>
      <c r="BB915" s="65"/>
      <c r="BC915" s="65"/>
      <c r="BD915" s="65"/>
      <c r="BE915" s="60"/>
    </row>
    <row r="916" spans="45:57" x14ac:dyDescent="0.25">
      <c r="AS916" s="53"/>
      <c r="AV916" s="379"/>
      <c r="AW916" s="379"/>
      <c r="AX916" s="65"/>
      <c r="AY916" s="65"/>
      <c r="AZ916" s="65"/>
      <c r="BA916" s="60"/>
      <c r="BB916" s="65"/>
      <c r="BC916" s="65"/>
      <c r="BD916" s="65"/>
      <c r="BE916" s="60"/>
    </row>
    <row r="917" spans="45:57" x14ac:dyDescent="0.25">
      <c r="AS917" s="53"/>
      <c r="AV917" s="379"/>
      <c r="AW917" s="379"/>
      <c r="AX917" s="65"/>
      <c r="AY917" s="65"/>
      <c r="AZ917" s="65"/>
      <c r="BA917" s="60"/>
      <c r="BB917" s="65"/>
      <c r="BC917" s="65"/>
      <c r="BD917" s="65"/>
      <c r="BE917" s="60"/>
    </row>
    <row r="918" spans="45:57" x14ac:dyDescent="0.25">
      <c r="AS918" s="53"/>
      <c r="AV918" s="379"/>
      <c r="AW918" s="379"/>
      <c r="AX918" s="65"/>
      <c r="AY918" s="65"/>
      <c r="AZ918" s="65"/>
      <c r="BA918" s="60"/>
      <c r="BB918" s="65"/>
      <c r="BC918" s="65"/>
      <c r="BD918" s="65"/>
      <c r="BE918" s="60"/>
    </row>
    <row r="919" spans="45:57" x14ac:dyDescent="0.25">
      <c r="AS919" s="53"/>
      <c r="AV919" s="379"/>
      <c r="AW919" s="379"/>
      <c r="AX919" s="65"/>
      <c r="AY919" s="65"/>
      <c r="AZ919" s="65"/>
      <c r="BA919" s="60"/>
      <c r="BB919" s="65"/>
      <c r="BC919" s="65"/>
      <c r="BD919" s="65"/>
      <c r="BE919" s="60"/>
    </row>
    <row r="920" spans="45:57" x14ac:dyDescent="0.25">
      <c r="AS920" s="53"/>
      <c r="AV920" s="379"/>
      <c r="AW920" s="379"/>
      <c r="AX920" s="65"/>
      <c r="AY920" s="65"/>
      <c r="AZ920" s="65"/>
      <c r="BA920" s="60"/>
      <c r="BB920" s="65"/>
      <c r="BC920" s="65"/>
      <c r="BD920" s="65"/>
      <c r="BE920" s="60"/>
    </row>
    <row r="921" spans="45:57" x14ac:dyDescent="0.25">
      <c r="AS921" s="53"/>
      <c r="AV921" s="379"/>
      <c r="AW921" s="379"/>
      <c r="AX921" s="65"/>
      <c r="AY921" s="65"/>
      <c r="AZ921" s="65"/>
      <c r="BA921" s="60"/>
      <c r="BB921" s="65"/>
      <c r="BC921" s="65"/>
      <c r="BD921" s="65"/>
      <c r="BE921" s="60"/>
    </row>
    <row r="922" spans="45:57" x14ac:dyDescent="0.25">
      <c r="AS922" s="53"/>
      <c r="AV922" s="379"/>
      <c r="AW922" s="379"/>
      <c r="AX922" s="65"/>
      <c r="AY922" s="65"/>
      <c r="AZ922" s="65"/>
      <c r="BA922" s="60"/>
      <c r="BB922" s="65"/>
      <c r="BC922" s="65"/>
      <c r="BD922" s="65"/>
      <c r="BE922" s="60"/>
    </row>
    <row r="923" spans="45:57" x14ac:dyDescent="0.25">
      <c r="AS923" s="53"/>
      <c r="AV923" s="379"/>
      <c r="AW923" s="379"/>
      <c r="AX923" s="65"/>
      <c r="AY923" s="65"/>
      <c r="AZ923" s="65"/>
      <c r="BA923" s="60"/>
      <c r="BB923" s="65"/>
      <c r="BC923" s="65"/>
      <c r="BD923" s="65"/>
      <c r="BE923" s="60"/>
    </row>
    <row r="924" spans="45:57" x14ac:dyDescent="0.25">
      <c r="AS924" s="53"/>
      <c r="AV924" s="379"/>
      <c r="AW924" s="379"/>
      <c r="AX924" s="65"/>
      <c r="AY924" s="65"/>
      <c r="AZ924" s="65"/>
      <c r="BA924" s="60"/>
      <c r="BB924" s="65"/>
      <c r="BC924" s="65"/>
      <c r="BD924" s="65"/>
      <c r="BE924" s="60"/>
    </row>
    <row r="925" spans="45:57" x14ac:dyDescent="0.25">
      <c r="AV925" s="379"/>
      <c r="AW925" s="379"/>
      <c r="BB925" s="65"/>
    </row>
    <row r="926" spans="45:57" x14ac:dyDescent="0.25">
      <c r="AS926" s="53"/>
      <c r="AT926" s="54"/>
      <c r="AV926" s="379"/>
      <c r="AW926" s="379"/>
      <c r="AX926" s="65"/>
      <c r="AY926" s="65"/>
      <c r="AZ926" s="65"/>
      <c r="BA926" s="60"/>
      <c r="BB926" s="65"/>
      <c r="BC926" s="65"/>
      <c r="BD926" s="65"/>
      <c r="BE926" s="60"/>
    </row>
    <row r="927" spans="45:57" x14ac:dyDescent="0.25">
      <c r="AS927" s="53"/>
      <c r="AV927" s="379"/>
      <c r="AW927" s="379"/>
      <c r="AX927" s="65"/>
      <c r="AY927" s="65"/>
      <c r="AZ927" s="65"/>
      <c r="BA927" s="60"/>
      <c r="BB927" s="65"/>
      <c r="BC927" s="65"/>
      <c r="BD927" s="65"/>
      <c r="BE927" s="60"/>
    </row>
    <row r="928" spans="45:57" x14ac:dyDescent="0.25">
      <c r="AS928" s="53"/>
      <c r="AV928" s="379"/>
      <c r="AW928" s="379"/>
      <c r="AX928" s="65"/>
      <c r="AY928" s="65"/>
      <c r="AZ928" s="65"/>
      <c r="BA928" s="60"/>
      <c r="BB928" s="65"/>
      <c r="BC928" s="65"/>
      <c r="BD928" s="65"/>
      <c r="BE928" s="60"/>
    </row>
    <row r="929" spans="45:57" x14ac:dyDescent="0.25">
      <c r="AS929" s="53"/>
      <c r="AV929" s="379"/>
      <c r="AW929" s="379"/>
      <c r="AX929" s="65"/>
      <c r="AY929" s="65"/>
      <c r="AZ929" s="65"/>
      <c r="BA929" s="60"/>
      <c r="BB929" s="65"/>
      <c r="BC929" s="65"/>
      <c r="BD929" s="65"/>
      <c r="BE929" s="60"/>
    </row>
    <row r="930" spans="45:57" x14ac:dyDescent="0.25">
      <c r="AS930" s="53"/>
      <c r="AV930" s="379"/>
      <c r="AW930" s="379"/>
      <c r="AX930" s="65"/>
      <c r="AY930" s="65"/>
      <c r="AZ930" s="65"/>
      <c r="BA930" s="60"/>
      <c r="BB930" s="65"/>
      <c r="BC930" s="65"/>
      <c r="BD930" s="65"/>
      <c r="BE930" s="60"/>
    </row>
    <row r="931" spans="45:57" x14ac:dyDescent="0.25">
      <c r="AS931" s="53"/>
      <c r="AV931" s="379"/>
      <c r="AW931" s="379"/>
      <c r="AX931" s="65"/>
      <c r="AY931" s="65"/>
      <c r="AZ931" s="65"/>
      <c r="BA931" s="60"/>
      <c r="BB931" s="65"/>
      <c r="BC931" s="65"/>
      <c r="BD931" s="65"/>
      <c r="BE931" s="60"/>
    </row>
    <row r="932" spans="45:57" x14ac:dyDescent="0.25">
      <c r="AS932" s="53"/>
      <c r="AV932" s="379"/>
      <c r="AW932" s="379"/>
      <c r="AX932" s="65"/>
      <c r="AY932" s="65"/>
      <c r="AZ932" s="65"/>
      <c r="BA932" s="60"/>
      <c r="BB932" s="65"/>
      <c r="BC932" s="65"/>
      <c r="BD932" s="65"/>
      <c r="BE932" s="60"/>
    </row>
    <row r="933" spans="45:57" x14ac:dyDescent="0.25">
      <c r="AS933" s="53"/>
      <c r="AV933" s="379"/>
      <c r="AW933" s="379"/>
      <c r="AX933" s="65"/>
      <c r="AY933" s="65"/>
      <c r="AZ933" s="65"/>
      <c r="BA933" s="60"/>
      <c r="BB933" s="65"/>
      <c r="BC933" s="65"/>
      <c r="BD933" s="65"/>
      <c r="BE933" s="60"/>
    </row>
    <row r="934" spans="45:57" x14ac:dyDescent="0.25">
      <c r="AS934" s="53"/>
      <c r="AV934" s="379"/>
      <c r="AW934" s="379"/>
      <c r="AX934" s="65"/>
      <c r="AY934" s="65"/>
      <c r="AZ934" s="65"/>
      <c r="BA934" s="60"/>
      <c r="BB934" s="65"/>
      <c r="BC934" s="65"/>
      <c r="BD934" s="65"/>
      <c r="BE934" s="60"/>
    </row>
    <row r="935" spans="45:57" x14ac:dyDescent="0.25">
      <c r="AS935" s="53"/>
      <c r="AV935" s="379"/>
      <c r="AW935" s="379"/>
      <c r="AX935" s="65"/>
      <c r="AY935" s="65"/>
      <c r="AZ935" s="65"/>
      <c r="BA935" s="60"/>
      <c r="BB935" s="65"/>
      <c r="BC935" s="65"/>
      <c r="BD935" s="65"/>
      <c r="BE935" s="60"/>
    </row>
    <row r="937" spans="45:57" x14ac:dyDescent="0.25">
      <c r="AU937" s="54"/>
    </row>
    <row r="938" spans="45:57" x14ac:dyDescent="0.25">
      <c r="AU938" s="54"/>
    </row>
    <row r="939" spans="45:57" x14ac:dyDescent="0.25">
      <c r="AU939" s="54"/>
    </row>
    <row r="940" spans="45:57" x14ac:dyDescent="0.25">
      <c r="AS940" s="54"/>
    </row>
    <row r="961" spans="52:71" x14ac:dyDescent="0.25">
      <c r="AZ961" s="65"/>
      <c r="BB961" s="65"/>
      <c r="BC961" s="65"/>
      <c r="BD961" s="65"/>
      <c r="BG961" s="65"/>
      <c r="BH961" s="65"/>
      <c r="BI961" s="65"/>
      <c r="BJ961" s="65"/>
      <c r="BK961" s="65"/>
      <c r="BL961" s="65"/>
      <c r="BM961" s="65"/>
      <c r="BN961" s="65"/>
      <c r="BO961" s="65"/>
      <c r="BP961" s="65"/>
      <c r="BQ961" s="65"/>
      <c r="BR961" s="65"/>
      <c r="BS961" s="65"/>
    </row>
    <row r="962" spans="52:71" x14ac:dyDescent="0.25">
      <c r="AZ962" s="65"/>
      <c r="BB962" s="65"/>
      <c r="BC962" s="65"/>
      <c r="BD962" s="65"/>
      <c r="BG962" s="65"/>
      <c r="BH962" s="65"/>
      <c r="BI962" s="65"/>
      <c r="BJ962" s="65"/>
      <c r="BK962" s="65"/>
      <c r="BL962" s="65"/>
      <c r="BM962" s="65"/>
      <c r="BN962" s="65"/>
      <c r="BO962" s="65"/>
      <c r="BP962" s="65"/>
      <c r="BQ962" s="65"/>
      <c r="BR962" s="65"/>
      <c r="BS962" s="65"/>
    </row>
    <row r="963" spans="52:71" x14ac:dyDescent="0.25">
      <c r="AZ963" s="65"/>
      <c r="BB963" s="65"/>
      <c r="BC963" s="65"/>
      <c r="BD963" s="65"/>
      <c r="BG963" s="65"/>
      <c r="BH963" s="65"/>
      <c r="BI963" s="65"/>
      <c r="BJ963" s="65"/>
      <c r="BK963" s="65"/>
      <c r="BL963" s="65"/>
      <c r="BM963" s="65"/>
      <c r="BN963" s="65"/>
      <c r="BO963" s="65"/>
      <c r="BP963" s="65"/>
      <c r="BQ963" s="65"/>
      <c r="BR963" s="65"/>
      <c r="BS963" s="65"/>
    </row>
    <row r="964" spans="52:71" x14ac:dyDescent="0.25">
      <c r="AZ964" s="65"/>
      <c r="BB964" s="65"/>
      <c r="BC964" s="65"/>
      <c r="BD964" s="65"/>
      <c r="BG964" s="65"/>
      <c r="BH964" s="65"/>
      <c r="BI964" s="65"/>
      <c r="BJ964" s="65"/>
      <c r="BK964" s="65"/>
      <c r="BL964" s="65"/>
      <c r="BM964" s="65"/>
      <c r="BN964" s="65"/>
      <c r="BO964" s="65"/>
      <c r="BP964" s="65"/>
      <c r="BQ964" s="65"/>
      <c r="BR964" s="65"/>
      <c r="BS964" s="65"/>
    </row>
    <row r="965" spans="52:71" x14ac:dyDescent="0.25">
      <c r="AZ965" s="65"/>
      <c r="BB965" s="65"/>
      <c r="BC965" s="65"/>
      <c r="BD965" s="65"/>
      <c r="BG965" s="65"/>
      <c r="BH965" s="65"/>
      <c r="BI965" s="65"/>
      <c r="BJ965" s="65"/>
      <c r="BK965" s="65"/>
      <c r="BL965" s="65"/>
      <c r="BM965" s="65"/>
      <c r="BN965" s="65"/>
      <c r="BO965" s="65"/>
      <c r="BP965" s="65"/>
      <c r="BQ965" s="65"/>
      <c r="BR965" s="65"/>
      <c r="BS965" s="65"/>
    </row>
    <row r="966" spans="52:71" x14ac:dyDescent="0.25">
      <c r="AZ966" s="65"/>
      <c r="BB966" s="65"/>
      <c r="BC966" s="65"/>
      <c r="BD966" s="65"/>
      <c r="BG966" s="65"/>
      <c r="BH966" s="65"/>
      <c r="BI966" s="65"/>
      <c r="BJ966" s="65"/>
      <c r="BK966" s="65"/>
      <c r="BL966" s="65"/>
      <c r="BM966" s="65"/>
      <c r="BN966" s="65"/>
      <c r="BO966" s="65"/>
      <c r="BP966" s="65"/>
      <c r="BQ966" s="65"/>
      <c r="BR966" s="65"/>
      <c r="BS966" s="65"/>
    </row>
    <row r="967" spans="52:71" x14ac:dyDescent="0.25">
      <c r="AZ967" s="65"/>
      <c r="BB967" s="65"/>
      <c r="BC967" s="65"/>
      <c r="BD967" s="65"/>
      <c r="BG967" s="65"/>
      <c r="BH967" s="65"/>
      <c r="BI967" s="65"/>
      <c r="BJ967" s="65"/>
      <c r="BK967" s="65"/>
      <c r="BL967" s="65"/>
      <c r="BM967" s="65"/>
      <c r="BN967" s="65"/>
      <c r="BO967" s="65"/>
      <c r="BP967" s="65"/>
      <c r="BQ967" s="65"/>
      <c r="BR967" s="65"/>
      <c r="BS967" s="65"/>
    </row>
    <row r="968" spans="52:71" x14ac:dyDescent="0.25">
      <c r="AZ968" s="65"/>
      <c r="BB968" s="65"/>
      <c r="BC968" s="65"/>
      <c r="BD968" s="65"/>
      <c r="BG968" s="65"/>
      <c r="BH968" s="65"/>
      <c r="BI968" s="65"/>
      <c r="BJ968" s="65"/>
      <c r="BK968" s="65"/>
      <c r="BL968" s="65"/>
      <c r="BM968" s="65"/>
      <c r="BN968" s="65"/>
      <c r="BO968" s="65"/>
      <c r="BP968" s="65"/>
      <c r="BQ968" s="65"/>
      <c r="BR968" s="65"/>
      <c r="BS968" s="65"/>
    </row>
    <row r="969" spans="52:71" x14ac:dyDescent="0.25">
      <c r="AZ969" s="65"/>
      <c r="BB969" s="65"/>
      <c r="BC969" s="65"/>
      <c r="BD969" s="65"/>
      <c r="BG969" s="65"/>
      <c r="BH969" s="65"/>
      <c r="BI969" s="65"/>
      <c r="BJ969" s="65"/>
      <c r="BK969" s="65"/>
      <c r="BL969" s="65"/>
      <c r="BM969" s="65"/>
      <c r="BN969" s="65"/>
      <c r="BO969" s="65"/>
      <c r="BP969" s="65"/>
      <c r="BQ969" s="65"/>
      <c r="BR969" s="65"/>
      <c r="BS969" s="65"/>
    </row>
    <row r="970" spans="52:71" x14ac:dyDescent="0.25">
      <c r="AZ970" s="65"/>
      <c r="BB970" s="65"/>
      <c r="BC970" s="65"/>
      <c r="BD970" s="65"/>
      <c r="BG970" s="65"/>
      <c r="BH970" s="65"/>
      <c r="BI970" s="65"/>
      <c r="BJ970" s="65"/>
      <c r="BK970" s="65"/>
      <c r="BL970" s="65"/>
      <c r="BM970" s="65"/>
      <c r="BN970" s="65"/>
      <c r="BO970" s="65"/>
      <c r="BP970" s="65"/>
      <c r="BQ970" s="65"/>
      <c r="BR970" s="65"/>
      <c r="BS970" s="65"/>
    </row>
    <row r="971" spans="52:71" x14ac:dyDescent="0.25">
      <c r="AZ971" s="65"/>
      <c r="BB971" s="65"/>
      <c r="BC971" s="65"/>
      <c r="BD971" s="65"/>
      <c r="BG971" s="65"/>
      <c r="BH971" s="65"/>
      <c r="BI971" s="65"/>
      <c r="BJ971" s="65"/>
      <c r="BK971" s="65"/>
      <c r="BL971" s="65"/>
      <c r="BM971" s="65"/>
      <c r="BN971" s="65"/>
      <c r="BO971" s="65"/>
      <c r="BP971" s="65"/>
      <c r="BQ971" s="65"/>
      <c r="BR971" s="65"/>
      <c r="BS971" s="65"/>
    </row>
    <row r="972" spans="52:71" x14ac:dyDescent="0.25">
      <c r="AZ972" s="65"/>
      <c r="BB972" s="65"/>
      <c r="BC972" s="65"/>
      <c r="BD972" s="65"/>
      <c r="BG972" s="65"/>
      <c r="BH972" s="65"/>
      <c r="BI972" s="65"/>
      <c r="BJ972" s="65"/>
      <c r="BK972" s="65"/>
      <c r="BL972" s="65"/>
      <c r="BM972" s="65"/>
      <c r="BN972" s="65"/>
      <c r="BO972" s="65"/>
      <c r="BP972" s="65"/>
      <c r="BQ972" s="65"/>
      <c r="BR972" s="65"/>
      <c r="BS972" s="65"/>
    </row>
    <row r="973" spans="52:71" x14ac:dyDescent="0.25">
      <c r="AZ973" s="65"/>
      <c r="BG973" s="65"/>
      <c r="BH973" s="65"/>
      <c r="BI973" s="65"/>
      <c r="BJ973" s="65"/>
      <c r="BK973" s="65"/>
      <c r="BL973" s="65"/>
      <c r="BM973" s="65"/>
      <c r="BN973" s="65"/>
      <c r="BO973" s="65"/>
      <c r="BP973" s="65"/>
      <c r="BQ973" s="65"/>
      <c r="BR973" s="65"/>
      <c r="BS973" s="65"/>
    </row>
    <row r="974" spans="52:71" x14ac:dyDescent="0.25">
      <c r="AZ974" s="65"/>
      <c r="BG974" s="65"/>
      <c r="BH974" s="65"/>
      <c r="BI974" s="65"/>
      <c r="BJ974" s="65"/>
      <c r="BK974" s="65"/>
      <c r="BL974" s="65"/>
      <c r="BM974" s="65"/>
      <c r="BN974" s="65"/>
      <c r="BO974" s="65"/>
      <c r="BP974" s="65"/>
      <c r="BQ974" s="65"/>
      <c r="BR974" s="65"/>
      <c r="BS974" s="65"/>
    </row>
    <row r="975" spans="52:71" x14ac:dyDescent="0.25">
      <c r="AZ975" s="65"/>
      <c r="BG975" s="65"/>
      <c r="BH975" s="65"/>
      <c r="BI975" s="65"/>
      <c r="BJ975" s="65"/>
      <c r="BK975" s="65"/>
      <c r="BL975" s="65"/>
      <c r="BM975" s="65"/>
      <c r="BN975" s="65"/>
      <c r="BO975" s="65"/>
      <c r="BP975" s="65"/>
      <c r="BQ975" s="65"/>
      <c r="BR975" s="65"/>
      <c r="BS975" s="65"/>
    </row>
    <row r="976" spans="52:71" x14ac:dyDescent="0.25">
      <c r="AZ976" s="65"/>
      <c r="BG976" s="65"/>
      <c r="BH976" s="65"/>
      <c r="BI976" s="65"/>
      <c r="BJ976" s="65"/>
      <c r="BK976" s="65"/>
      <c r="BL976" s="65"/>
      <c r="BM976" s="65"/>
      <c r="BN976" s="65"/>
      <c r="BO976" s="65"/>
      <c r="BP976" s="65"/>
      <c r="BQ976" s="65"/>
      <c r="BR976" s="65"/>
      <c r="BS976" s="65"/>
    </row>
    <row r="977" spans="52:71" x14ac:dyDescent="0.25">
      <c r="AZ977" s="65"/>
      <c r="BG977" s="65"/>
      <c r="BH977" s="65"/>
      <c r="BI977" s="65"/>
      <c r="BJ977" s="65"/>
      <c r="BK977" s="65"/>
      <c r="BL977" s="65"/>
      <c r="BM977" s="65"/>
      <c r="BN977" s="65"/>
      <c r="BO977" s="65"/>
      <c r="BP977" s="65"/>
      <c r="BQ977" s="65"/>
      <c r="BR977" s="65"/>
      <c r="BS977" s="65"/>
    </row>
    <row r="978" spans="52:71" x14ac:dyDescent="0.25">
      <c r="AZ978" s="65"/>
      <c r="BG978" s="65"/>
      <c r="BH978" s="65"/>
      <c r="BI978" s="65"/>
      <c r="BJ978" s="65"/>
      <c r="BK978" s="65"/>
      <c r="BL978" s="65"/>
      <c r="BM978" s="65"/>
      <c r="BN978" s="65"/>
      <c r="BO978" s="65"/>
      <c r="BP978" s="65"/>
      <c r="BQ978" s="65"/>
      <c r="BR978" s="65"/>
      <c r="BS978" s="65"/>
    </row>
    <row r="979" spans="52:71" x14ac:dyDescent="0.25">
      <c r="AZ979" s="65"/>
      <c r="BG979" s="65"/>
      <c r="BH979" s="65"/>
      <c r="BI979" s="65"/>
      <c r="BJ979" s="65"/>
      <c r="BK979" s="65"/>
      <c r="BL979" s="65"/>
      <c r="BM979" s="65"/>
      <c r="BN979" s="65"/>
      <c r="BO979" s="65"/>
      <c r="BP979" s="65"/>
      <c r="BQ979" s="65"/>
      <c r="BR979" s="65"/>
      <c r="BS979" s="65"/>
    </row>
    <row r="980" spans="52:71" x14ac:dyDescent="0.25">
      <c r="AZ980" s="65"/>
    </row>
    <row r="981" spans="52:71" x14ac:dyDescent="0.25">
      <c r="AZ981" s="65"/>
    </row>
    <row r="995" spans="1:28" x14ac:dyDescent="0.25">
      <c r="A995" s="54"/>
    </row>
    <row r="998" spans="1:28" x14ac:dyDescent="0.25">
      <c r="Y998" s="54"/>
    </row>
    <row r="999" spans="1:28" x14ac:dyDescent="0.25">
      <c r="A999" s="54"/>
      <c r="H999" s="54"/>
      <c r="I999" s="54"/>
    </row>
    <row r="1000" spans="1:28" x14ac:dyDescent="0.25">
      <c r="A1000" s="54"/>
      <c r="V1000" s="56"/>
      <c r="AA1000" s="56"/>
      <c r="AB1000" s="56"/>
    </row>
    <row r="1001" spans="1:28" x14ac:dyDescent="0.25">
      <c r="A1001" s="54"/>
      <c r="V1001" s="55"/>
      <c r="AA1001" s="55"/>
      <c r="AB1001" s="55"/>
    </row>
    <row r="1002" spans="1:28" x14ac:dyDescent="0.25">
      <c r="A1002" s="54"/>
      <c r="U1002" s="54"/>
      <c r="AA1002" s="56"/>
      <c r="AB1002" s="56"/>
    </row>
    <row r="1003" spans="1:28" x14ac:dyDescent="0.25">
      <c r="A1003" s="54"/>
    </row>
    <row r="1004" spans="1:28" x14ac:dyDescent="0.25">
      <c r="A1004" s="54"/>
      <c r="U1004" s="54"/>
      <c r="AA1004" s="56"/>
      <c r="AB1004" s="56"/>
    </row>
    <row r="1005" spans="1:28" x14ac:dyDescent="0.25">
      <c r="A1005" s="54"/>
    </row>
    <row r="1006" spans="1:28" x14ac:dyDescent="0.25">
      <c r="A1006" s="54"/>
      <c r="U1006" s="54"/>
      <c r="V1006" s="480"/>
      <c r="AA1006" s="56"/>
      <c r="AB1006" s="56"/>
    </row>
    <row r="1007" spans="1:28" x14ac:dyDescent="0.25">
      <c r="A1007" s="54"/>
    </row>
    <row r="1008" spans="1:28" x14ac:dyDescent="0.25">
      <c r="A1008" s="54"/>
      <c r="U1008" s="54"/>
      <c r="AA1008" s="56"/>
      <c r="AB1008" s="56"/>
    </row>
    <row r="1009" spans="1:28" x14ac:dyDescent="0.25">
      <c r="A1009" s="54"/>
    </row>
    <row r="1010" spans="1:28" x14ac:dyDescent="0.25">
      <c r="A1010" s="54"/>
      <c r="U1010" s="54"/>
      <c r="AA1010" s="56"/>
      <c r="AB1010" s="56"/>
    </row>
    <row r="1011" spans="1:28" x14ac:dyDescent="0.25">
      <c r="A1011" s="54"/>
    </row>
    <row r="1012" spans="1:28" x14ac:dyDescent="0.25">
      <c r="A1012" s="54"/>
    </row>
    <row r="1013" spans="1:28" x14ac:dyDescent="0.25">
      <c r="A1013" s="54"/>
    </row>
    <row r="1014" spans="1:28" x14ac:dyDescent="0.25">
      <c r="A1014" s="54"/>
    </row>
    <row r="1015" spans="1:28" x14ac:dyDescent="0.25">
      <c r="A1015" s="54"/>
    </row>
    <row r="1016" spans="1:28" x14ac:dyDescent="0.25">
      <c r="A1016" s="54"/>
    </row>
    <row r="1017" spans="1:28" x14ac:dyDescent="0.25">
      <c r="A1017" s="54"/>
    </row>
    <row r="1018" spans="1:28" x14ac:dyDescent="0.25">
      <c r="A1018" s="54"/>
    </row>
    <row r="1019" spans="1:28" x14ac:dyDescent="0.25">
      <c r="A1019" s="54"/>
    </row>
    <row r="1020" spans="1:28" x14ac:dyDescent="0.25">
      <c r="A1020" s="54"/>
    </row>
    <row r="1021" spans="1:28" x14ac:dyDescent="0.25">
      <c r="A1021" s="54"/>
      <c r="H1021" s="54"/>
      <c r="I1021" s="54"/>
    </row>
    <row r="1024" spans="1:28" x14ac:dyDescent="0.25">
      <c r="A1024" s="54"/>
    </row>
    <row r="1027" spans="1:1" x14ac:dyDescent="0.25">
      <c r="A1027" s="54"/>
    </row>
    <row r="1030" spans="1:1" x14ac:dyDescent="0.25">
      <c r="A1030" s="54"/>
    </row>
    <row r="1031" spans="1:1" x14ac:dyDescent="0.25">
      <c r="A1031" s="54"/>
    </row>
    <row r="1032" spans="1:1" x14ac:dyDescent="0.25">
      <c r="A1032" s="54"/>
    </row>
    <row r="1033" spans="1:1" x14ac:dyDescent="0.25">
      <c r="A1033" s="54"/>
    </row>
    <row r="1034" spans="1:1" x14ac:dyDescent="0.25">
      <c r="A1034" s="54"/>
    </row>
    <row r="1035" spans="1:1" x14ac:dyDescent="0.25">
      <c r="A1035" s="54"/>
    </row>
    <row r="1036" spans="1:1" x14ac:dyDescent="0.25">
      <c r="A1036" s="54"/>
    </row>
    <row r="1037" spans="1:1" x14ac:dyDescent="0.25">
      <c r="A1037" s="54"/>
    </row>
    <row r="1038" spans="1:1" x14ac:dyDescent="0.25">
      <c r="A1038" s="54"/>
    </row>
    <row r="1039" spans="1:1" x14ac:dyDescent="0.25">
      <c r="A1039" s="54"/>
    </row>
    <row r="1040" spans="1:1" x14ac:dyDescent="0.25">
      <c r="A1040" s="54"/>
    </row>
    <row r="1041" spans="1:1" x14ac:dyDescent="0.25">
      <c r="A1041" s="54"/>
    </row>
    <row r="1042" spans="1:1" x14ac:dyDescent="0.25">
      <c r="A1042" s="54"/>
    </row>
    <row r="1043" spans="1:1" x14ac:dyDescent="0.25">
      <c r="A1043" s="54"/>
    </row>
    <row r="1044" spans="1:1" x14ac:dyDescent="0.25">
      <c r="A1044" s="54"/>
    </row>
    <row r="1045" spans="1:1" x14ac:dyDescent="0.25">
      <c r="A1045" s="54"/>
    </row>
    <row r="1046" spans="1:1" x14ac:dyDescent="0.25">
      <c r="A1046" s="54"/>
    </row>
    <row r="1047" spans="1:1" x14ac:dyDescent="0.25">
      <c r="A1047" s="54"/>
    </row>
    <row r="1048" spans="1:1" x14ac:dyDescent="0.25">
      <c r="A1048" s="54"/>
    </row>
    <row r="1049" spans="1:1" x14ac:dyDescent="0.25">
      <c r="A1049" s="54"/>
    </row>
    <row r="1050" spans="1:1" x14ac:dyDescent="0.25">
      <c r="A1050" s="54"/>
    </row>
    <row r="1051" spans="1:1" x14ac:dyDescent="0.25">
      <c r="A1051" s="54"/>
    </row>
    <row r="1052" spans="1:1" x14ac:dyDescent="0.25">
      <c r="A1052" s="54"/>
    </row>
    <row r="1053" spans="1:1" x14ac:dyDescent="0.25">
      <c r="A1053" s="54"/>
    </row>
    <row r="1054" spans="1:1" x14ac:dyDescent="0.25">
      <c r="A1054" s="54"/>
    </row>
    <row r="1055" spans="1:1" x14ac:dyDescent="0.25">
      <c r="A1055" s="54"/>
    </row>
    <row r="1056" spans="1:1" x14ac:dyDescent="0.25">
      <c r="A1056" s="54"/>
    </row>
    <row r="1057" spans="1:1" x14ac:dyDescent="0.25">
      <c r="A1057" s="54"/>
    </row>
    <row r="1058" spans="1:1" x14ac:dyDescent="0.25">
      <c r="A1058" s="54"/>
    </row>
    <row r="1059" spans="1:1" x14ac:dyDescent="0.25">
      <c r="A1059" s="54"/>
    </row>
    <row r="1060" spans="1:1" x14ac:dyDescent="0.25">
      <c r="A1060" s="54"/>
    </row>
    <row r="1061" spans="1:1" x14ac:dyDescent="0.25">
      <c r="A1061" s="54"/>
    </row>
    <row r="1062" spans="1:1" x14ac:dyDescent="0.25">
      <c r="A1062" s="54"/>
    </row>
    <row r="1063" spans="1:1" x14ac:dyDescent="0.25">
      <c r="A1063" s="54"/>
    </row>
    <row r="1064" spans="1:1" x14ac:dyDescent="0.25">
      <c r="A1064" s="54"/>
    </row>
    <row r="1069" spans="1:1" x14ac:dyDescent="0.25">
      <c r="A1069" s="54"/>
    </row>
    <row r="1070" spans="1:1" x14ac:dyDescent="0.25">
      <c r="A1070" s="54"/>
    </row>
    <row r="1073" spans="1:1" x14ac:dyDescent="0.25">
      <c r="A1073" s="54"/>
    </row>
    <row r="1075" spans="1:1" x14ac:dyDescent="0.25">
      <c r="A1075" s="54"/>
    </row>
    <row r="1077" spans="1:1" x14ac:dyDescent="0.25">
      <c r="A1077" s="54"/>
    </row>
    <row r="1079" spans="1:1" x14ac:dyDescent="0.25">
      <c r="A1079" s="54"/>
    </row>
    <row r="1082" spans="1:1" x14ac:dyDescent="0.25">
      <c r="A1082" s="54"/>
    </row>
    <row r="1083" spans="1:1" x14ac:dyDescent="0.25">
      <c r="A1083" s="54"/>
    </row>
    <row r="1084" spans="1:1" x14ac:dyDescent="0.25">
      <c r="A1084" s="54"/>
    </row>
    <row r="1085" spans="1:1" x14ac:dyDescent="0.25">
      <c r="A1085" s="54"/>
    </row>
    <row r="1086" spans="1:1" x14ac:dyDescent="0.25">
      <c r="A1086" s="54"/>
    </row>
    <row r="1087" spans="1:1" x14ac:dyDescent="0.25">
      <c r="A1087" s="54"/>
    </row>
    <row r="1088" spans="1:1" x14ac:dyDescent="0.25">
      <c r="A1088" s="54"/>
    </row>
    <row r="1089" spans="1:1" x14ac:dyDescent="0.25">
      <c r="A1089" s="54"/>
    </row>
  </sheetData>
  <customSheetViews>
    <customSheetView guid="{195DF303-1BBD-4236-94B5-47432850B006}" scale="75" fitToPage="1" showRuler="0">
      <pane xSplit="11.212121212121213" topLeftCell="V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"/>
      <headerFooter alignWithMargins="0"/>
    </customSheetView>
    <customSheetView guid="{0C49E549-011E-46F4-A82E-2CC8951A9C1E}" scale="75" fitToPage="1" showRuler="0">
      <pane xSplit="11.484848484848484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2"/>
      <headerFooter alignWithMargins="0"/>
    </customSheetView>
    <customSheetView guid="{4BC93440-BA85-4935-A8C9-66DC6AE5DE5E}" scale="75" fitToPage="1" showRuler="0" topLeftCell="AC77">
      <pane xSplit="15.38" topLeftCell="V1"/>
      <selection activeCell="R8" sqref="R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3"/>
      <headerFooter alignWithMargins="0"/>
    </customSheetView>
    <customSheetView guid="{2431C9E5-7CC2-4B8D-99C3-962247B1DBF5}" scale="75" fitToPage="1" showRuler="0" topLeftCell="AC77">
      <pane xSplit="15.38" topLeftCell="V1"/>
      <selection activeCell="R8" sqref="R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4"/>
      <headerFooter alignWithMargins="0"/>
    </customSheetView>
    <customSheetView guid="{2EA35095-1ADC-4CC7-8C3C-B487D65FA247}" scale="75" fitToPage="1" showRuler="0">
      <pane xSplit="18.295081967213115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5"/>
      <headerFooter alignWithMargins="0"/>
    </customSheetView>
    <customSheetView guid="{8FC77C99-DBF7-40B8-99B8-01B75826CDCB}" scale="75" fitToPage="1" showRuler="0">
      <pane xSplit="19.567567567567568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6"/>
      <headerFooter alignWithMargins="0"/>
    </customSheetView>
    <customSheetView guid="{8FB94551-8874-4095-B8FB-5316E0D2FD2C}" scale="75" fitToPage="1" showRuler="0">
      <pane xSplit="19.567567567567568" topLeftCell="V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7"/>
      <headerFooter alignWithMargins="0"/>
    </customSheetView>
    <customSheetView guid="{6B3D5C27-2FDE-4561-9575-1E98BFB869D0}" scale="75" fitToPage="1" showRuler="0">
      <pane xSplit="19.567567567567568" topLeftCell="V1"/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8"/>
      <headerFooter alignWithMargins="0"/>
    </customSheetView>
    <customSheetView guid="{0BC1F393-8A13-47D5-BC6C-0C99615B5AB9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9"/>
      <headerFooter alignWithMargins="0"/>
    </customSheetView>
    <customSheetView guid="{18BDED73-BFA0-442E-87EC-CED86EE4CF94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0"/>
      <headerFooter alignWithMargins="0"/>
    </customSheetView>
    <customSheetView guid="{35F19056-2E6F-4935-B863-78836FE990BF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1"/>
      <headerFooter alignWithMargins="0"/>
    </customSheetView>
    <customSheetView guid="{F562D92E-120C-4AE9-9663-89E64D41DC53}" scale="75" fitToPage="1" topLeftCell="T49">
      <selection activeCell="P40" sqref="P40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2"/>
      <headerFooter alignWithMargins="0"/>
    </customSheetView>
  </customSheetViews>
  <mergeCells count="1">
    <mergeCell ref="T61:AQ61"/>
  </mergeCells>
  <phoneticPr fontId="9" type="noConversion"/>
  <pageMargins left="0.75" right="0.75" top="1" bottom="1" header="0.5" footer="0.5"/>
  <pageSetup scale="43" orientation="landscape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  <legacyDrawing r:id="rId14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transitionEntry="1" codeName="Sheet23"/>
  <dimension ref="A1:BX1052"/>
  <sheetViews>
    <sheetView tabSelected="1" view="pageBreakPreview" zoomScale="60" zoomScaleNormal="75" workbookViewId="0">
      <selection sqref="A1:J1"/>
    </sheetView>
  </sheetViews>
  <sheetFormatPr defaultColWidth="9.77734375" defaultRowHeight="15.75" x14ac:dyDescent="0.25"/>
  <cols>
    <col min="1" max="1" width="5.21875" style="380" customWidth="1"/>
    <col min="2" max="2" width="0.44140625" style="380" customWidth="1"/>
    <col min="3" max="3" width="6.77734375" style="380" customWidth="1"/>
    <col min="4" max="4" width="39.5546875" style="380" customWidth="1"/>
    <col min="5" max="5" width="0.3320312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1.5546875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2.77734375" style="380" customWidth="1"/>
    <col min="15" max="15" width="0.5546875" style="380" customWidth="1"/>
    <col min="16" max="16" width="14.77734375" style="380" customWidth="1"/>
    <col min="17" max="17" width="0.5546875" style="380" customWidth="1"/>
    <col min="18" max="18" width="17.77734375" style="380" customWidth="1"/>
    <col min="19" max="19" width="6.77734375" style="380" customWidth="1"/>
    <col min="20" max="20" width="5.44140625" style="380" customWidth="1"/>
    <col min="21" max="21" width="0.5546875" style="380" customWidth="1"/>
    <col min="22" max="22" width="5.5546875" style="380" customWidth="1"/>
    <col min="23" max="23" width="39.77734375" style="380" customWidth="1"/>
    <col min="24" max="24" width="1.5546875" style="380" customWidth="1"/>
    <col min="25" max="25" width="9.6640625" style="380" customWidth="1"/>
    <col min="26" max="26" width="0.6640625" style="380" customWidth="1"/>
    <col min="27" max="27" width="13.33203125" style="380" customWidth="1"/>
    <col min="28" max="28" width="0.6640625" style="380" customWidth="1"/>
    <col min="29" max="29" width="12.33203125" style="380" customWidth="1"/>
    <col min="30" max="30" width="0.88671875" style="380" customWidth="1"/>
    <col min="31" max="31" width="12.88671875" style="380" customWidth="1"/>
    <col min="32" max="32" width="0.77734375" style="380" customWidth="1"/>
    <col min="33" max="33" width="13.6640625" style="153" customWidth="1"/>
    <col min="34" max="34" width="0.6640625" style="380" customWidth="1"/>
    <col min="35" max="35" width="14.33203125" style="380" customWidth="1"/>
    <col min="36" max="36" width="0.77734375" style="380" customWidth="1"/>
    <col min="37" max="37" width="14.5546875" style="153" customWidth="1"/>
    <col min="38" max="38" width="0.5546875" style="380" customWidth="1"/>
    <col min="39" max="39" width="12.109375" style="380" customWidth="1"/>
    <col min="40" max="40" width="0.5546875" style="380" customWidth="1"/>
    <col min="41" max="41" width="13.21875" style="380" customWidth="1"/>
    <col min="42" max="42" width="0.6640625" style="380" customWidth="1"/>
    <col min="43" max="43" width="11.21875" style="153" customWidth="1"/>
    <col min="44" max="44" width="14.77734375" style="380" customWidth="1"/>
    <col min="45" max="45" width="4.77734375" style="380" customWidth="1"/>
    <col min="46" max="46" width="5.77734375" style="380" customWidth="1"/>
    <col min="47" max="47" width="10.77734375" style="380" customWidth="1"/>
    <col min="48" max="48" width="11.77734375" style="380" customWidth="1"/>
    <col min="49" max="49" width="12.77734375" style="380" customWidth="1"/>
    <col min="50" max="52" width="15.77734375" style="380" customWidth="1"/>
    <col min="53" max="53" width="12.77734375" style="380" customWidth="1"/>
    <col min="54" max="56" width="15.77734375" style="380" customWidth="1"/>
    <col min="57" max="57" width="12.77734375" style="380" customWidth="1"/>
    <col min="58" max="59" width="9.77734375" style="380"/>
    <col min="60" max="62" width="12.77734375" style="380" customWidth="1"/>
    <col min="63" max="63" width="14.77734375" style="380" customWidth="1"/>
    <col min="64" max="65" width="9.77734375" style="380"/>
    <col min="66" max="68" width="12.77734375" style="380" customWidth="1"/>
    <col min="69" max="69" width="14.77734375" style="380" customWidth="1"/>
    <col min="70" max="76" width="9.77734375" style="380"/>
    <col min="77" max="77" width="1.77734375" style="380" customWidth="1"/>
    <col min="78" max="79" width="9.77734375" style="380"/>
    <col min="80" max="80" width="10.77734375" style="380" customWidth="1"/>
    <col min="81" max="82" width="9.77734375" style="380"/>
    <col min="83" max="83" width="7.77734375" style="380" customWidth="1"/>
    <col min="84" max="16384" width="9.77734375" style="380"/>
  </cols>
  <sheetData>
    <row r="1" spans="1:40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3"/>
      <c r="K1" s="44"/>
      <c r="L1" s="44"/>
      <c r="M1" s="43"/>
      <c r="N1" s="43"/>
      <c r="O1" s="43"/>
      <c r="P1" s="43"/>
      <c r="Q1" s="43"/>
      <c r="R1" s="43"/>
      <c r="Z1" s="53"/>
    </row>
    <row r="2" spans="1:40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3"/>
      <c r="K2" s="44"/>
      <c r="L2" s="44"/>
      <c r="M2" s="43"/>
      <c r="N2" s="43"/>
      <c r="O2" s="43"/>
      <c r="P2" s="43"/>
      <c r="Q2" s="43"/>
      <c r="R2" s="43"/>
      <c r="Z2" s="53"/>
    </row>
    <row r="3" spans="1:40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Y3" s="54"/>
    </row>
    <row r="4" spans="1:4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3"/>
      <c r="K4" s="44"/>
      <c r="L4" s="44"/>
      <c r="M4" s="43"/>
      <c r="N4" s="43"/>
      <c r="O4" s="43"/>
      <c r="P4" s="43"/>
      <c r="Q4" s="43"/>
      <c r="R4" s="43"/>
      <c r="Z4" s="53"/>
    </row>
    <row r="5" spans="1:4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4"/>
      <c r="N5" s="44"/>
      <c r="O5" s="43"/>
      <c r="P5" s="43"/>
      <c r="Q5" s="43"/>
      <c r="R5" s="43"/>
      <c r="AA5" s="54"/>
      <c r="AB5" s="54"/>
    </row>
    <row r="6" spans="1:40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K6" s="161"/>
      <c r="AL6" s="54"/>
    </row>
    <row r="7" spans="1:40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17 OF "&amp;TEXT(Page_Num_2.3,"00")</f>
        <v>PAGE 17 OF 23</v>
      </c>
      <c r="AK7" s="161"/>
      <c r="AL7" s="54"/>
    </row>
    <row r="8" spans="1:40" x14ac:dyDescent="0.25">
      <c r="A8" s="46" t="s">
        <v>177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K8" s="161"/>
      <c r="AL8" s="54"/>
    </row>
    <row r="9" spans="1:40" x14ac:dyDescent="0.25">
      <c r="A9" s="218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N9" s="46"/>
      <c r="O9" s="378"/>
      <c r="P9" s="378"/>
      <c r="Q9" s="378"/>
      <c r="R9" s="45" t="str">
        <f>WIT</f>
        <v>J. L. Kern</v>
      </c>
      <c r="AK9" s="161"/>
      <c r="AL9" s="54"/>
    </row>
    <row r="10" spans="1:40" x14ac:dyDescent="0.25">
      <c r="A10" s="44" t="s">
        <v>136</v>
      </c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4"/>
      <c r="N10" s="44"/>
      <c r="O10" s="43"/>
      <c r="P10" s="43"/>
      <c r="Q10" s="43"/>
      <c r="R10" s="43"/>
      <c r="AA10" s="54"/>
      <c r="AB10" s="54"/>
      <c r="AK10" s="156"/>
      <c r="AL10" s="53"/>
    </row>
    <row r="11" spans="1:40" x14ac:dyDescent="0.25">
      <c r="A11" s="72"/>
      <c r="B11" s="72"/>
      <c r="C11" s="72"/>
      <c r="D11" s="72"/>
      <c r="E11" s="72"/>
      <c r="F11" s="72"/>
      <c r="G11" s="378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X11" s="55"/>
      <c r="Y11" s="55"/>
      <c r="Z11" s="55"/>
      <c r="AA11" s="55"/>
      <c r="AB11" s="55"/>
      <c r="AC11" s="55"/>
      <c r="AD11" s="55"/>
      <c r="AE11" s="55"/>
      <c r="AF11" s="55"/>
      <c r="AG11" s="154"/>
      <c r="AH11" s="55"/>
      <c r="AI11" s="55"/>
      <c r="AJ11" s="55"/>
      <c r="AK11" s="154"/>
      <c r="AL11" s="55"/>
      <c r="AM11" s="55"/>
      <c r="AN11" s="55"/>
    </row>
    <row r="12" spans="1:40" ht="18" customHeight="1" x14ac:dyDescent="0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4" t="s">
        <v>6</v>
      </c>
      <c r="M12" s="74"/>
      <c r="N12" s="74" t="s">
        <v>7</v>
      </c>
      <c r="O12" s="74"/>
      <c r="P12" s="73"/>
      <c r="Q12" s="73"/>
      <c r="R12" s="74" t="s">
        <v>6</v>
      </c>
      <c r="Y12" s="137" t="s">
        <v>470</v>
      </c>
      <c r="AA12" s="56"/>
      <c r="AB12" s="56"/>
      <c r="AC12" s="56"/>
      <c r="AD12" s="56"/>
      <c r="AE12" s="56"/>
      <c r="AF12" s="56"/>
      <c r="AG12" s="155"/>
      <c r="AH12" s="56"/>
      <c r="AK12" s="155"/>
      <c r="AL12" s="56"/>
      <c r="AM12" s="56"/>
      <c r="AN12" s="56"/>
    </row>
    <row r="13" spans="1:40" x14ac:dyDescent="0.25">
      <c r="A13" s="378"/>
      <c r="B13" s="378"/>
      <c r="C13" s="378"/>
      <c r="D13" s="378"/>
      <c r="E13" s="378"/>
      <c r="F13" s="378"/>
      <c r="G13" s="378"/>
      <c r="H13" s="378"/>
      <c r="I13" s="378"/>
      <c r="J13" s="378"/>
      <c r="K13" s="378"/>
      <c r="L13" s="426" t="s">
        <v>12</v>
      </c>
      <c r="M13" s="426"/>
      <c r="N13" s="426" t="s">
        <v>13</v>
      </c>
      <c r="O13" s="426"/>
      <c r="P13" s="378"/>
      <c r="Q13" s="378"/>
      <c r="R13" s="426" t="s">
        <v>11</v>
      </c>
      <c r="Y13" s="137" t="s">
        <v>471</v>
      </c>
      <c r="Z13" s="56"/>
      <c r="AA13" s="56"/>
      <c r="AB13" s="56"/>
      <c r="AC13" s="56"/>
      <c r="AD13" s="56"/>
      <c r="AE13" s="56"/>
      <c r="AF13" s="56"/>
      <c r="AG13" s="155"/>
      <c r="AH13" s="56"/>
      <c r="AK13" s="155"/>
      <c r="AL13" s="56"/>
      <c r="AM13" s="56"/>
      <c r="AN13" s="56"/>
    </row>
    <row r="14" spans="1:40" x14ac:dyDescent="0.25">
      <c r="A14" s="426" t="s">
        <v>17</v>
      </c>
      <c r="B14" s="378"/>
      <c r="C14" s="426" t="s">
        <v>18</v>
      </c>
      <c r="D14" s="426" t="s">
        <v>19</v>
      </c>
      <c r="E14" s="426"/>
      <c r="F14" s="426" t="s">
        <v>20</v>
      </c>
      <c r="G14" s="378"/>
      <c r="H14" s="378"/>
      <c r="I14" s="378"/>
      <c r="J14" s="426" t="s">
        <v>6</v>
      </c>
      <c r="K14" s="426"/>
      <c r="L14" s="426" t="s">
        <v>21</v>
      </c>
      <c r="M14" s="426"/>
      <c r="N14" s="426" t="s">
        <v>21</v>
      </c>
      <c r="O14" s="426"/>
      <c r="P14" s="426" t="s">
        <v>21</v>
      </c>
      <c r="Q14" s="426"/>
      <c r="R14" s="426" t="s">
        <v>9</v>
      </c>
      <c r="Y14" s="137" t="s">
        <v>472</v>
      </c>
      <c r="Z14" s="56"/>
      <c r="AA14" s="56"/>
      <c r="AB14" s="56"/>
      <c r="AC14" s="56"/>
      <c r="AD14" s="56"/>
      <c r="AE14" s="56"/>
      <c r="AF14" s="56"/>
      <c r="AG14" s="155"/>
      <c r="AH14" s="56"/>
      <c r="AI14" s="56"/>
      <c r="AJ14" s="56"/>
      <c r="AK14" s="155"/>
      <c r="AL14" s="56"/>
      <c r="AM14" s="56"/>
      <c r="AN14" s="56"/>
    </row>
    <row r="15" spans="1:40" x14ac:dyDescent="0.25">
      <c r="A15" s="426" t="s">
        <v>24</v>
      </c>
      <c r="B15" s="378"/>
      <c r="C15" s="426" t="s">
        <v>25</v>
      </c>
      <c r="D15" s="426" t="s">
        <v>26</v>
      </c>
      <c r="E15" s="426"/>
      <c r="F15" s="426" t="s">
        <v>27</v>
      </c>
      <c r="G15" s="378"/>
      <c r="H15" s="426" t="s">
        <v>28</v>
      </c>
      <c r="I15" s="426"/>
      <c r="J15" s="70" t="s">
        <v>380</v>
      </c>
      <c r="K15" s="426"/>
      <c r="L15" s="426" t="s">
        <v>9</v>
      </c>
      <c r="M15" s="426"/>
      <c r="N15" s="426" t="s">
        <v>9</v>
      </c>
      <c r="O15" s="426"/>
      <c r="P15" s="426" t="s">
        <v>379</v>
      </c>
      <c r="Q15" s="426"/>
      <c r="R15" s="265" t="s">
        <v>30</v>
      </c>
      <c r="Z15" s="56"/>
      <c r="AA15" s="56"/>
      <c r="AB15" s="56"/>
      <c r="AC15" s="56"/>
      <c r="AD15" s="56"/>
      <c r="AE15" s="56"/>
      <c r="AF15" s="56"/>
      <c r="AG15" s="155"/>
      <c r="AH15" s="56"/>
      <c r="AI15" s="56"/>
      <c r="AJ15" s="56"/>
      <c r="AK15" s="155"/>
      <c r="AL15" s="56"/>
      <c r="AM15" s="56"/>
      <c r="AN15" s="56"/>
    </row>
    <row r="16" spans="1:40" x14ac:dyDescent="0.25">
      <c r="A16" s="378"/>
      <c r="B16" s="378"/>
      <c r="C16" s="265" t="s">
        <v>35</v>
      </c>
      <c r="D16" s="265" t="s">
        <v>36</v>
      </c>
      <c r="E16" s="265"/>
      <c r="F16" s="265" t="s">
        <v>37</v>
      </c>
      <c r="G16" s="218"/>
      <c r="H16" s="265" t="s">
        <v>38</v>
      </c>
      <c r="I16" s="265"/>
      <c r="J16" s="265" t="s">
        <v>39</v>
      </c>
      <c r="K16" s="265"/>
      <c r="L16" s="265" t="s">
        <v>40</v>
      </c>
      <c r="M16" s="265"/>
      <c r="N16" s="265" t="s">
        <v>41</v>
      </c>
      <c r="O16" s="265"/>
      <c r="P16" s="265" t="s">
        <v>42</v>
      </c>
      <c r="Q16" s="265"/>
      <c r="R16" s="265" t="s">
        <v>43</v>
      </c>
      <c r="X16" s="55"/>
      <c r="Z16" s="55"/>
      <c r="AA16" s="55"/>
      <c r="AB16" s="55"/>
      <c r="AC16" s="55"/>
      <c r="AD16" s="55"/>
      <c r="AE16" s="55"/>
      <c r="AF16" s="55"/>
      <c r="AG16" s="154"/>
      <c r="AH16" s="55"/>
      <c r="AI16" s="55"/>
      <c r="AJ16" s="55"/>
      <c r="AK16" s="154"/>
      <c r="AL16" s="55"/>
      <c r="AM16" s="55"/>
      <c r="AN16" s="55"/>
    </row>
    <row r="17" spans="1:43" ht="17.100000000000001" customHeight="1" x14ac:dyDescent="0.25">
      <c r="A17" s="73"/>
      <c r="B17" s="73"/>
      <c r="C17" s="73"/>
      <c r="D17" s="73"/>
      <c r="E17" s="73"/>
      <c r="F17" s="73"/>
      <c r="G17" s="73"/>
      <c r="H17" s="496" t="s">
        <v>51</v>
      </c>
      <c r="I17" s="496"/>
      <c r="J17" s="495" t="s">
        <v>368</v>
      </c>
      <c r="K17" s="496"/>
      <c r="L17" s="496" t="s">
        <v>52</v>
      </c>
      <c r="M17" s="496"/>
      <c r="N17" s="496" t="s">
        <v>53</v>
      </c>
      <c r="O17" s="496"/>
      <c r="P17" s="496" t="s">
        <v>52</v>
      </c>
      <c r="Q17" s="496"/>
      <c r="R17" s="496" t="s">
        <v>52</v>
      </c>
      <c r="Z17" s="56"/>
      <c r="AA17" s="56"/>
      <c r="AB17" s="56"/>
      <c r="AC17" s="56"/>
      <c r="AD17" s="56"/>
      <c r="AE17" s="56"/>
      <c r="AF17" s="56"/>
      <c r="AG17" s="155"/>
      <c r="AH17" s="56"/>
      <c r="AI17" s="56"/>
      <c r="AJ17" s="56"/>
      <c r="AK17" s="155"/>
      <c r="AL17" s="56"/>
      <c r="AM17" s="56"/>
      <c r="AN17" s="56"/>
    </row>
    <row r="18" spans="1:43" x14ac:dyDescent="0.25">
      <c r="H18" s="56"/>
      <c r="I18" s="56"/>
      <c r="J18" s="136"/>
      <c r="K18" s="56"/>
      <c r="L18" s="56"/>
      <c r="M18" s="56"/>
      <c r="N18" s="56"/>
      <c r="O18" s="56"/>
      <c r="P18" s="56"/>
      <c r="Q18" s="56"/>
      <c r="R18" s="56"/>
      <c r="Z18" s="56"/>
      <c r="AA18" s="56"/>
      <c r="AB18" s="56"/>
      <c r="AC18" s="56"/>
      <c r="AD18" s="56"/>
      <c r="AE18" s="56"/>
      <c r="AF18" s="56"/>
      <c r="AG18" s="155"/>
      <c r="AH18" s="56"/>
      <c r="AI18" s="56"/>
      <c r="AJ18" s="56"/>
      <c r="AK18" s="155"/>
      <c r="AL18" s="56"/>
      <c r="AM18" s="56"/>
      <c r="AN18" s="56"/>
    </row>
    <row r="19" spans="1:43" ht="27.75" customHeight="1" x14ac:dyDescent="0.25">
      <c r="A19" s="45">
        <v>1</v>
      </c>
      <c r="B19" s="378"/>
      <c r="C19" s="222" t="s">
        <v>251</v>
      </c>
      <c r="D19" s="444" t="s">
        <v>252</v>
      </c>
      <c r="E19" s="378"/>
      <c r="F19" s="83"/>
      <c r="G19" s="2"/>
      <c r="H19" s="83"/>
      <c r="I19" s="5"/>
      <c r="J19" s="2"/>
      <c r="K19" s="2"/>
      <c r="L19" s="83"/>
      <c r="M19" s="5"/>
      <c r="N19" s="91"/>
      <c r="O19" s="6"/>
      <c r="P19" s="94"/>
      <c r="Q19" s="86"/>
      <c r="R19" s="83"/>
      <c r="X19" s="57"/>
      <c r="Y19" s="188"/>
      <c r="Z19" s="57"/>
      <c r="AA19" s="57"/>
      <c r="AB19" s="57"/>
      <c r="AC19" s="57"/>
      <c r="AD19" s="57"/>
      <c r="AE19" s="58"/>
      <c r="AF19" s="58"/>
      <c r="AG19" s="158"/>
      <c r="AH19" s="57"/>
      <c r="AI19" s="57"/>
      <c r="AJ19" s="57"/>
      <c r="AK19" s="158"/>
      <c r="AL19" s="57"/>
      <c r="AM19" s="57"/>
      <c r="AN19" s="57"/>
      <c r="AO19" s="57"/>
      <c r="AP19" s="57"/>
      <c r="AQ19" s="158"/>
    </row>
    <row r="20" spans="1:43" x14ac:dyDescent="0.25">
      <c r="A20" s="45"/>
      <c r="B20" s="378"/>
      <c r="C20" s="222"/>
      <c r="D20" s="444"/>
      <c r="E20" s="378"/>
      <c r="F20" s="83"/>
      <c r="G20" s="2"/>
      <c r="H20" s="83"/>
      <c r="I20" s="5"/>
      <c r="J20" s="2"/>
      <c r="K20" s="2"/>
      <c r="L20" s="83"/>
      <c r="M20" s="5"/>
      <c r="N20" s="91"/>
      <c r="O20" s="6"/>
      <c r="P20" s="94"/>
      <c r="Q20" s="86"/>
      <c r="R20" s="83"/>
      <c r="T20" s="57"/>
      <c r="U20" s="57"/>
      <c r="V20" s="57"/>
      <c r="W20" s="57"/>
      <c r="X20" s="57"/>
      <c r="Y20" s="188"/>
      <c r="Z20" s="57"/>
      <c r="AA20" s="57"/>
      <c r="AB20" s="57"/>
      <c r="AC20" s="57"/>
      <c r="AD20" s="57"/>
      <c r="AE20" s="58"/>
      <c r="AF20" s="58"/>
      <c r="AG20" s="158"/>
      <c r="AH20" s="57"/>
      <c r="AI20" s="57"/>
      <c r="AJ20" s="57"/>
      <c r="AK20" s="158"/>
      <c r="AL20" s="57"/>
      <c r="AM20" s="57"/>
      <c r="AN20" s="57"/>
      <c r="AO20" s="57"/>
      <c r="AP20" s="57"/>
      <c r="AQ20" s="158"/>
    </row>
    <row r="21" spans="1:43" ht="30" customHeight="1" x14ac:dyDescent="0.25">
      <c r="A21" s="380">
        <v>2</v>
      </c>
      <c r="C21" s="46" t="s">
        <v>253</v>
      </c>
      <c r="D21" s="378"/>
      <c r="E21" s="378"/>
      <c r="F21" s="452">
        <v>89792</v>
      </c>
      <c r="G21" s="2"/>
      <c r="H21" s="452">
        <v>4292584</v>
      </c>
      <c r="I21" s="2"/>
      <c r="J21" s="453">
        <f>ROUND(AC56+(AC56*LT_COS_RATE),6)</f>
        <v>4.3003E-2</v>
      </c>
      <c r="K21" s="2"/>
      <c r="L21" s="81">
        <f>ROUND((H21*J21),0)</f>
        <v>184594</v>
      </c>
      <c r="M21" s="2"/>
      <c r="N21" s="88">
        <f>ROUND((L21/L$28)*100,1)</f>
        <v>94.3</v>
      </c>
      <c r="O21" s="2"/>
      <c r="P21" s="81">
        <f>P28</f>
        <v>2923</v>
      </c>
      <c r="Q21" s="2"/>
      <c r="R21" s="81">
        <f>P21+L21</f>
        <v>187517</v>
      </c>
      <c r="Y21" s="188">
        <f>J21-PRO_BASE_FUEL</f>
        <v>1.9165999999999999E-2</v>
      </c>
      <c r="AE21" s="56"/>
      <c r="AF21" s="56"/>
      <c r="AG21" s="155"/>
      <c r="AH21" s="56"/>
      <c r="AI21" s="56"/>
      <c r="AJ21" s="56"/>
      <c r="AK21" s="155"/>
      <c r="AL21" s="56"/>
      <c r="AO21" s="56"/>
      <c r="AP21" s="56"/>
      <c r="AQ21" s="155"/>
    </row>
    <row r="22" spans="1:43" ht="15.75" customHeight="1" x14ac:dyDescent="0.25">
      <c r="A22" s="45"/>
      <c r="B22" s="378"/>
      <c r="C22" s="444"/>
      <c r="D22" s="378"/>
      <c r="E22" s="378"/>
      <c r="F22" s="449"/>
      <c r="G22" s="2"/>
      <c r="H22" s="449"/>
      <c r="I22" s="2"/>
      <c r="J22" s="453"/>
      <c r="K22" s="2"/>
      <c r="L22" s="83"/>
      <c r="M22" s="2"/>
      <c r="N22" s="91"/>
      <c r="O22" s="2"/>
      <c r="P22" s="83"/>
      <c r="Q22" s="2"/>
      <c r="R22" s="83"/>
      <c r="Y22" s="188"/>
      <c r="AE22" s="56"/>
      <c r="AF22" s="56"/>
      <c r="AG22" s="155"/>
      <c r="AH22" s="56"/>
      <c r="AI22" s="56"/>
      <c r="AJ22" s="56"/>
      <c r="AK22" s="155"/>
      <c r="AL22" s="56"/>
      <c r="AO22" s="56"/>
      <c r="AP22" s="56"/>
      <c r="AQ22" s="155"/>
    </row>
    <row r="23" spans="1:43" ht="17.100000000000001" customHeight="1" x14ac:dyDescent="0.25">
      <c r="A23" s="45">
        <v>3</v>
      </c>
      <c r="B23" s="378"/>
      <c r="C23" s="222" t="s">
        <v>551</v>
      </c>
      <c r="D23" s="378"/>
      <c r="E23" s="378"/>
      <c r="F23" s="449"/>
      <c r="G23" s="2"/>
      <c r="H23" s="449"/>
      <c r="I23" s="2"/>
      <c r="J23" s="453"/>
      <c r="K23" s="2"/>
      <c r="L23" s="83"/>
      <c r="M23" s="2"/>
      <c r="N23" s="91"/>
      <c r="O23" s="2"/>
      <c r="P23" s="83"/>
      <c r="Q23" s="2"/>
      <c r="R23" s="83"/>
      <c r="Y23" s="188"/>
      <c r="AE23" s="56"/>
      <c r="AF23" s="56"/>
      <c r="AG23" s="155"/>
      <c r="AH23" s="56"/>
      <c r="AI23" s="56"/>
      <c r="AJ23" s="56"/>
      <c r="AK23" s="155"/>
      <c r="AL23" s="56"/>
      <c r="AO23" s="56"/>
      <c r="AP23" s="56"/>
      <c r="AQ23" s="155"/>
    </row>
    <row r="24" spans="1:43" ht="17.100000000000001" customHeight="1" x14ac:dyDescent="0.25">
      <c r="A24" s="45">
        <v>4</v>
      </c>
      <c r="B24" s="378"/>
      <c r="C24" s="216" t="str">
        <f>ESM_Name</f>
        <v>ENVIRONMENTAL SURCHARGE MECHANISM RIDER (ESM)</v>
      </c>
      <c r="D24" s="378"/>
      <c r="E24" s="378"/>
      <c r="F24" s="449"/>
      <c r="G24" s="2"/>
      <c r="H24" s="449"/>
      <c r="I24" s="2"/>
      <c r="J24" s="522"/>
      <c r="K24" s="2"/>
      <c r="L24" s="83">
        <f>AE59</f>
        <v>11809</v>
      </c>
      <c r="M24" s="2"/>
      <c r="N24" s="91">
        <f>ROUND((L24/L$28)*100,1)</f>
        <v>6</v>
      </c>
      <c r="O24" s="2"/>
      <c r="P24" s="83"/>
      <c r="Q24" s="2"/>
      <c r="R24" s="83">
        <f t="shared" ref="R24" si="0">P24+L24</f>
        <v>11809</v>
      </c>
      <c r="Y24" s="188"/>
      <c r="AE24" s="56"/>
      <c r="AF24" s="56"/>
      <c r="AG24" s="155"/>
      <c r="AH24" s="56"/>
      <c r="AI24" s="56"/>
      <c r="AJ24" s="56"/>
      <c r="AK24" s="155"/>
      <c r="AL24" s="56"/>
      <c r="AO24" s="56"/>
      <c r="AP24" s="56"/>
      <c r="AQ24" s="155"/>
    </row>
    <row r="25" spans="1:43" ht="15.75" customHeight="1" x14ac:dyDescent="0.25">
      <c r="A25" s="45">
        <v>5</v>
      </c>
      <c r="B25" s="378"/>
      <c r="C25" s="300" t="str">
        <f>PSM_Name</f>
        <v>PROFIT SHARING MECHANISM (PSM)</v>
      </c>
      <c r="D25" s="378"/>
      <c r="E25" s="378"/>
      <c r="F25" s="449"/>
      <c r="G25" s="2"/>
      <c r="H25" s="449"/>
      <c r="I25" s="2"/>
      <c r="J25" s="551">
        <f>PRO_PSM</f>
        <v>-1.63E-4</v>
      </c>
      <c r="K25" s="2"/>
      <c r="L25" s="81">
        <f>ROUND($H$21*J25,0)</f>
        <v>-700</v>
      </c>
      <c r="M25" s="2"/>
      <c r="N25" s="148">
        <f>ROUND((L25/L$28)*100,1)</f>
        <v>-0.4</v>
      </c>
      <c r="O25" s="2"/>
      <c r="P25" s="81"/>
      <c r="Q25" s="2"/>
      <c r="R25" s="81">
        <f t="shared" ref="R25" si="1">P25+L25</f>
        <v>-700</v>
      </c>
      <c r="Y25" s="188"/>
      <c r="AE25" s="56"/>
      <c r="AF25" s="56"/>
      <c r="AG25" s="155"/>
      <c r="AH25" s="56"/>
      <c r="AI25" s="56"/>
      <c r="AJ25" s="56"/>
      <c r="AK25" s="155"/>
      <c r="AL25" s="56"/>
      <c r="AO25" s="56"/>
      <c r="AP25" s="56"/>
      <c r="AQ25" s="155"/>
    </row>
    <row r="26" spans="1:43" ht="20.100000000000001" customHeight="1" x14ac:dyDescent="0.25">
      <c r="A26" s="45">
        <v>6</v>
      </c>
      <c r="B26" s="378"/>
      <c r="C26" s="222" t="s">
        <v>538</v>
      </c>
      <c r="D26" s="378"/>
      <c r="E26" s="378"/>
      <c r="F26" s="452"/>
      <c r="G26" s="84"/>
      <c r="H26" s="452"/>
      <c r="I26" s="84"/>
      <c r="J26" s="555"/>
      <c r="K26" s="84"/>
      <c r="L26" s="90">
        <f>SUM(L24:L25)</f>
        <v>11109</v>
      </c>
      <c r="M26" s="84"/>
      <c r="N26" s="150">
        <f>ROUND((L26/L$28)*100,1)</f>
        <v>5.7</v>
      </c>
      <c r="O26" s="84"/>
      <c r="P26" s="90"/>
      <c r="Q26" s="84"/>
      <c r="R26" s="90">
        <f>SUM(R24:R25)</f>
        <v>11109</v>
      </c>
      <c r="Y26" s="188"/>
      <c r="AE26" s="56"/>
      <c r="AF26" s="56"/>
      <c r="AG26" s="155"/>
      <c r="AH26" s="56"/>
      <c r="AI26" s="56"/>
      <c r="AJ26" s="56"/>
      <c r="AK26" s="155"/>
      <c r="AL26" s="56"/>
      <c r="AO26" s="56"/>
      <c r="AP26" s="56"/>
      <c r="AQ26" s="155"/>
    </row>
    <row r="27" spans="1:43" ht="15.75" customHeight="1" x14ac:dyDescent="0.25">
      <c r="A27" s="45"/>
      <c r="B27" s="378"/>
      <c r="C27" s="222"/>
      <c r="D27" s="378"/>
      <c r="E27" s="378"/>
      <c r="F27" s="449"/>
      <c r="G27" s="84"/>
      <c r="H27" s="449"/>
      <c r="I27" s="84"/>
      <c r="J27" s="555"/>
      <c r="K27" s="84"/>
      <c r="L27" s="83"/>
      <c r="M27" s="84"/>
      <c r="N27" s="91"/>
      <c r="O27" s="84"/>
      <c r="P27" s="83"/>
      <c r="Q27" s="84"/>
      <c r="R27" s="83"/>
      <c r="Y27" s="188"/>
      <c r="AE27" s="56"/>
      <c r="AF27" s="56"/>
      <c r="AG27" s="155"/>
      <c r="AH27" s="56"/>
      <c r="AI27" s="56"/>
      <c r="AJ27" s="56"/>
      <c r="AK27" s="155"/>
      <c r="AL27" s="56"/>
      <c r="AO27" s="56"/>
      <c r="AP27" s="56"/>
      <c r="AQ27" s="155"/>
    </row>
    <row r="28" spans="1:43" ht="20.100000000000001" customHeight="1" thickBot="1" x14ac:dyDescent="0.3">
      <c r="A28" s="45">
        <v>7</v>
      </c>
      <c r="B28" s="378"/>
      <c r="C28" s="222" t="s">
        <v>541</v>
      </c>
      <c r="D28" s="378"/>
      <c r="E28" s="378"/>
      <c r="F28" s="82">
        <f>F21</f>
        <v>89792</v>
      </c>
      <c r="G28" s="2"/>
      <c r="H28" s="82">
        <f>H21</f>
        <v>4292584</v>
      </c>
      <c r="I28" s="5"/>
      <c r="J28" s="2"/>
      <c r="K28" s="2"/>
      <c r="L28" s="82">
        <f>L21+L26</f>
        <v>195703</v>
      </c>
      <c r="M28" s="5"/>
      <c r="N28" s="98">
        <f>SUM(N21,N26)</f>
        <v>100</v>
      </c>
      <c r="O28" s="6"/>
      <c r="P28" s="525">
        <f>ROUND(H28*CUR_FAC,0)</f>
        <v>2923</v>
      </c>
      <c r="Q28" s="86"/>
      <c r="R28" s="82">
        <f>R21+R26</f>
        <v>198626</v>
      </c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8"/>
      <c r="AF28" s="58"/>
      <c r="AG28" s="158"/>
      <c r="AH28" s="57"/>
      <c r="AI28" s="57"/>
      <c r="AJ28" s="57"/>
      <c r="AK28" s="158"/>
      <c r="AL28" s="57"/>
      <c r="AM28" s="57"/>
      <c r="AN28" s="57"/>
      <c r="AO28" s="57"/>
      <c r="AP28" s="57"/>
      <c r="AQ28" s="158"/>
    </row>
    <row r="29" spans="1:43" ht="16.5" thickTop="1" x14ac:dyDescent="0.25">
      <c r="A29" s="45"/>
      <c r="B29" s="378"/>
      <c r="C29" s="46"/>
      <c r="D29" s="378"/>
      <c r="E29" s="378"/>
      <c r="F29" s="83"/>
      <c r="G29" s="2"/>
      <c r="H29" s="83"/>
      <c r="I29" s="5"/>
      <c r="J29" s="2"/>
      <c r="K29" s="2"/>
      <c r="L29" s="83"/>
      <c r="M29" s="5"/>
      <c r="N29" s="103"/>
      <c r="O29" s="6"/>
      <c r="P29" s="83"/>
      <c r="Q29" s="86"/>
      <c r="R29" s="83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8"/>
      <c r="AF29" s="58"/>
      <c r="AG29" s="158"/>
      <c r="AH29" s="57"/>
      <c r="AI29" s="57"/>
      <c r="AJ29" s="57"/>
      <c r="AK29" s="158"/>
      <c r="AL29" s="57"/>
      <c r="AM29" s="57"/>
      <c r="AN29" s="57"/>
      <c r="AO29" s="57"/>
      <c r="AP29" s="57"/>
      <c r="AQ29" s="158"/>
    </row>
    <row r="30" spans="1:43" ht="21.95" customHeight="1" x14ac:dyDescent="0.25">
      <c r="A30" s="378"/>
      <c r="B30" s="378"/>
      <c r="C30" s="243" t="s">
        <v>78</v>
      </c>
      <c r="D30" s="378"/>
      <c r="E30" s="378"/>
      <c r="F30" s="378"/>
      <c r="G30" s="378"/>
      <c r="H30" s="378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T30" s="54"/>
      <c r="AO30" s="53"/>
      <c r="AP30" s="53"/>
    </row>
    <row r="31" spans="1:43" x14ac:dyDescent="0.25">
      <c r="A31" s="378"/>
      <c r="B31" s="378"/>
      <c r="C31" s="243" t="str">
        <f>"(2) REFLECTS FUEL COMPONENT OF "&amp;TEXT(PRO_FAC,"$0.000000;($0.000000)")&amp;" PER KWH."</f>
        <v>(2) REFLECTS FUEL COMPONENT OF $0.000681 PER KWH.</v>
      </c>
      <c r="D31" s="378"/>
      <c r="E31" s="378"/>
      <c r="F31" s="378"/>
      <c r="G31" s="378"/>
      <c r="H31" s="378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T31" s="54"/>
      <c r="AO31" s="53"/>
      <c r="AP31" s="53"/>
    </row>
    <row r="32" spans="1:43" x14ac:dyDescent="0.25">
      <c r="A32" s="378"/>
      <c r="B32" s="378"/>
      <c r="C32" s="243" t="str">
        <f>"(3) REFLECTS FUEL COST RECOVERY INCLUDED IN BASE RATES OF "&amp;TEXT(PRO_BASE_FUEL,"$0.000000;($0.000000)")&amp;"  PER KWH."</f>
        <v>(3) REFLECTS FUEL COST RECOVERY INCLUDED IN BASE RATES OF $0.023837  PER KWH.</v>
      </c>
      <c r="D32" s="378"/>
      <c r="E32" s="378"/>
      <c r="F32" s="378"/>
      <c r="G32" s="378"/>
      <c r="H32" s="378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T32" s="58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158"/>
      <c r="AH32" s="57"/>
      <c r="AI32" s="57"/>
      <c r="AJ32" s="57"/>
      <c r="AK32" s="158"/>
      <c r="AL32" s="57"/>
      <c r="AM32" s="57"/>
      <c r="AN32" s="57"/>
      <c r="AO32" s="57"/>
      <c r="AP32" s="57"/>
      <c r="AQ32" s="158"/>
    </row>
    <row r="33" spans="1:76" x14ac:dyDescent="0.25">
      <c r="A33" s="46"/>
      <c r="B33" s="378"/>
      <c r="D33" s="378"/>
      <c r="E33" s="378"/>
      <c r="F33" s="378"/>
      <c r="G33" s="378"/>
      <c r="H33" s="378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AE33" s="56"/>
      <c r="AF33" s="56"/>
      <c r="AG33" s="155"/>
      <c r="AH33" s="56"/>
      <c r="AI33" s="56"/>
      <c r="AJ33" s="56"/>
      <c r="AK33" s="155"/>
      <c r="AL33" s="56"/>
      <c r="AO33" s="56"/>
      <c r="AP33" s="56"/>
      <c r="AQ33" s="155"/>
    </row>
    <row r="34" spans="1:76" x14ac:dyDescent="0.25">
      <c r="A34" s="53"/>
      <c r="C34" s="54"/>
      <c r="F34" s="379"/>
      <c r="H34" s="379"/>
      <c r="I34" s="379"/>
      <c r="J34" s="464"/>
      <c r="K34" s="464"/>
      <c r="L34" s="379"/>
      <c r="M34" s="379"/>
      <c r="N34" s="50"/>
      <c r="O34" s="50"/>
      <c r="P34" s="379"/>
      <c r="Q34" s="379"/>
      <c r="R34" s="379"/>
      <c r="AC34" s="56"/>
      <c r="AD34" s="56"/>
      <c r="AE34" s="56"/>
      <c r="AF34" s="56"/>
      <c r="AG34" s="155"/>
      <c r="AH34" s="56"/>
      <c r="AI34" s="56"/>
      <c r="AJ34" s="56"/>
      <c r="AK34" s="155"/>
      <c r="AL34" s="56"/>
      <c r="AO34" s="56"/>
      <c r="AP34" s="56"/>
      <c r="AQ34" s="155"/>
    </row>
    <row r="35" spans="1:76" x14ac:dyDescent="0.25">
      <c r="A35" s="53"/>
      <c r="C35" s="54"/>
      <c r="F35" s="382"/>
      <c r="H35" s="382"/>
      <c r="I35" s="382"/>
      <c r="L35" s="382"/>
      <c r="M35" s="382"/>
      <c r="N35" s="180"/>
      <c r="O35" s="180"/>
      <c r="P35" s="382"/>
      <c r="Q35" s="382"/>
      <c r="R35" s="382"/>
      <c r="T35" s="56"/>
      <c r="V35" s="56"/>
      <c r="W35" s="56"/>
      <c r="X35" s="56"/>
      <c r="Y35" s="56"/>
      <c r="AA35" s="56"/>
      <c r="AB35" s="56"/>
      <c r="AC35" s="56"/>
      <c r="AD35" s="56"/>
      <c r="AE35" s="56"/>
      <c r="AF35" s="56"/>
      <c r="AG35" s="155"/>
      <c r="AH35" s="56"/>
      <c r="AI35" s="56"/>
      <c r="AJ35" s="56"/>
      <c r="AK35" s="155"/>
      <c r="AL35" s="56"/>
      <c r="AM35" s="56"/>
      <c r="AN35" s="56"/>
      <c r="AO35" s="56"/>
      <c r="AP35" s="56"/>
      <c r="AQ35" s="155"/>
      <c r="AS35" s="379"/>
      <c r="AT35" s="379"/>
      <c r="AU35" s="50"/>
      <c r="BX35" s="470"/>
    </row>
    <row r="36" spans="1:76" x14ac:dyDescent="0.25">
      <c r="A36" s="53"/>
      <c r="C36" s="54"/>
      <c r="F36" s="379"/>
      <c r="H36" s="379"/>
      <c r="I36" s="379"/>
      <c r="L36" s="379"/>
      <c r="M36" s="379"/>
      <c r="N36" s="50"/>
      <c r="O36" s="50"/>
      <c r="P36" s="449"/>
      <c r="Q36" s="449"/>
      <c r="R36" s="379"/>
      <c r="T36" s="43" t="str">
        <f>NAME</f>
        <v>DUKE ENERGY KENTUCKY, INC.</v>
      </c>
      <c r="U36" s="43"/>
      <c r="V36" s="43"/>
      <c r="W36" s="43"/>
      <c r="X36" s="43"/>
      <c r="Y36" s="43"/>
      <c r="Z36" s="43"/>
      <c r="AA36" s="43"/>
      <c r="AB36" s="43"/>
      <c r="AC36" s="43"/>
      <c r="AD36" s="44"/>
      <c r="AE36" s="44"/>
      <c r="AF36" s="43"/>
      <c r="AG36" s="158"/>
      <c r="AH36" s="43"/>
      <c r="AI36" s="57"/>
      <c r="AJ36" s="43"/>
      <c r="AK36" s="144"/>
      <c r="AL36" s="43"/>
      <c r="AM36" s="43"/>
      <c r="AN36" s="43"/>
      <c r="AO36" s="57"/>
      <c r="AP36" s="43"/>
      <c r="AQ36" s="144"/>
      <c r="AS36" s="379"/>
      <c r="AT36" s="379"/>
      <c r="AU36" s="50"/>
    </row>
    <row r="37" spans="1:76" x14ac:dyDescent="0.25">
      <c r="A37" s="53"/>
      <c r="C37" s="54"/>
      <c r="F37" s="379"/>
      <c r="H37" s="379"/>
      <c r="I37" s="379"/>
      <c r="L37" s="379"/>
      <c r="M37" s="379"/>
      <c r="N37" s="50"/>
      <c r="O37" s="50"/>
      <c r="P37" s="379"/>
      <c r="Q37" s="449"/>
      <c r="R37" s="379"/>
      <c r="T37" s="43" t="str">
        <f>CASE_NO</f>
        <v>CASE NO.   2019-000271</v>
      </c>
      <c r="U37" s="43"/>
      <c r="V37" s="43"/>
      <c r="W37" s="43"/>
      <c r="X37" s="43"/>
      <c r="Y37" s="43"/>
      <c r="Z37" s="43"/>
      <c r="AA37" s="43"/>
      <c r="AB37" s="43"/>
      <c r="AC37" s="43"/>
      <c r="AD37" s="44"/>
      <c r="AE37" s="44"/>
      <c r="AF37" s="43"/>
      <c r="AG37" s="158"/>
      <c r="AH37" s="43"/>
      <c r="AI37" s="57"/>
      <c r="AJ37" s="43"/>
      <c r="AK37" s="144"/>
      <c r="AL37" s="43"/>
      <c r="AM37" s="43"/>
      <c r="AN37" s="43"/>
      <c r="AO37" s="57"/>
      <c r="AP37" s="43"/>
      <c r="AQ37" s="144"/>
      <c r="AS37" s="379"/>
      <c r="AT37" s="379"/>
      <c r="AU37" s="50"/>
    </row>
    <row r="38" spans="1:76" x14ac:dyDescent="0.25">
      <c r="T38" s="44" t="str">
        <f>TITLE</f>
        <v>ANNUALIZED BASE YEAR REVENUES AT PROPOSED VS. MOST CURRENT RATES</v>
      </c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158"/>
      <c r="AH38" s="43"/>
      <c r="AI38" s="57"/>
      <c r="AJ38" s="43"/>
      <c r="AK38" s="144"/>
      <c r="AL38" s="43"/>
      <c r="AM38" s="43"/>
      <c r="AN38" s="43"/>
      <c r="AO38" s="57"/>
      <c r="AP38" s="43"/>
      <c r="AQ38" s="144"/>
      <c r="AS38" s="379"/>
      <c r="AT38" s="379"/>
      <c r="AU38" s="476"/>
    </row>
    <row r="39" spans="1:76" x14ac:dyDescent="0.25">
      <c r="C39" s="54"/>
      <c r="L39" s="379"/>
      <c r="M39" s="379"/>
      <c r="N39" s="379"/>
      <c r="O39" s="379"/>
      <c r="P39" s="379"/>
      <c r="Q39" s="379"/>
      <c r="R39" s="379"/>
      <c r="T39" s="43" t="str">
        <f>DATE</f>
        <v>FOR THE TWELVE MONTHS ENDED November 30, 2019</v>
      </c>
      <c r="U39" s="43"/>
      <c r="V39" s="43"/>
      <c r="W39" s="43"/>
      <c r="X39" s="43"/>
      <c r="Y39" s="43"/>
      <c r="Z39" s="43"/>
      <c r="AA39" s="43"/>
      <c r="AB39" s="43"/>
      <c r="AC39" s="43"/>
      <c r="AD39" s="44"/>
      <c r="AE39" s="44"/>
      <c r="AF39" s="43"/>
      <c r="AG39" s="158"/>
      <c r="AH39" s="43"/>
      <c r="AI39" s="57"/>
      <c r="AJ39" s="43"/>
      <c r="AK39" s="144"/>
      <c r="AL39" s="43"/>
      <c r="AM39" s="43"/>
      <c r="AN39" s="43"/>
      <c r="AO39" s="57"/>
      <c r="AP39" s="43"/>
      <c r="AQ39" s="144"/>
      <c r="AS39" s="379"/>
      <c r="AT39" s="379"/>
      <c r="AU39" s="50"/>
    </row>
    <row r="40" spans="1:76" x14ac:dyDescent="0.25">
      <c r="A40" s="54"/>
      <c r="T40" s="43" t="str">
        <f>SERVICE</f>
        <v>(ELECTRIC SERVICE)</v>
      </c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4"/>
      <c r="AG40" s="169"/>
      <c r="AH40" s="43"/>
      <c r="AI40" s="57"/>
      <c r="AJ40" s="43"/>
      <c r="AK40" s="144"/>
      <c r="AL40" s="43"/>
      <c r="AM40" s="43"/>
      <c r="AN40" s="43"/>
      <c r="AO40" s="57"/>
      <c r="AP40" s="43"/>
      <c r="AQ40" s="144"/>
      <c r="AS40" s="379"/>
      <c r="AT40" s="379"/>
      <c r="AU40" s="50"/>
    </row>
    <row r="41" spans="1:76" x14ac:dyDescent="0.25">
      <c r="A41" s="53"/>
      <c r="C41" s="54"/>
      <c r="F41" s="379"/>
      <c r="H41" s="379"/>
      <c r="I41" s="379"/>
      <c r="J41" s="59"/>
      <c r="K41" s="59"/>
      <c r="L41" s="379"/>
      <c r="M41" s="379"/>
      <c r="N41" s="50"/>
      <c r="O41" s="50"/>
      <c r="P41" s="379"/>
      <c r="Q41" s="379"/>
      <c r="R41" s="379"/>
      <c r="T41" s="45" t="str">
        <f>DATA_PERIOD</f>
        <v>DATA: __X__ BASE PERIOD   ____FORECASTED PERIOD</v>
      </c>
      <c r="U41" s="378"/>
      <c r="V41" s="378"/>
      <c r="W41" s="378"/>
      <c r="X41" s="378"/>
      <c r="Y41" s="378"/>
      <c r="Z41" s="378"/>
      <c r="AA41" s="378"/>
      <c r="AB41" s="378"/>
      <c r="AC41" s="378"/>
      <c r="AD41" s="378"/>
      <c r="AE41" s="378"/>
      <c r="AF41" s="378"/>
      <c r="AH41" s="378"/>
      <c r="AJ41" s="378"/>
      <c r="AK41" s="143"/>
      <c r="AL41" s="378"/>
      <c r="AM41" s="378"/>
      <c r="AN41" s="378"/>
      <c r="AO41" s="46" t="s">
        <v>164</v>
      </c>
      <c r="AQ41" s="174"/>
      <c r="AS41" s="379"/>
      <c r="AT41" s="379"/>
      <c r="AU41" s="50"/>
    </row>
    <row r="42" spans="1:76" x14ac:dyDescent="0.25">
      <c r="F42" s="381"/>
      <c r="H42" s="381"/>
      <c r="I42" s="381"/>
      <c r="J42" s="464"/>
      <c r="K42" s="464"/>
      <c r="L42" s="381"/>
      <c r="M42" s="381"/>
      <c r="N42" s="381"/>
      <c r="O42" s="381"/>
      <c r="P42" s="381"/>
      <c r="Q42" s="381"/>
      <c r="R42" s="381"/>
      <c r="T42" s="45" t="str">
        <f>TYPE</f>
        <v>TYPE OF FILING: _X_ ORIGINAL   ___UPDATED  ___ REVISED</v>
      </c>
      <c r="U42" s="378"/>
      <c r="V42" s="378"/>
      <c r="W42" s="378"/>
      <c r="X42" s="378"/>
      <c r="Y42" s="378"/>
      <c r="Z42" s="378"/>
      <c r="AA42" s="378"/>
      <c r="AB42" s="378"/>
      <c r="AC42" s="378"/>
      <c r="AD42" s="378"/>
      <c r="AE42" s="378"/>
      <c r="AF42" s="378"/>
      <c r="AH42" s="378"/>
      <c r="AJ42" s="378"/>
      <c r="AK42" s="143"/>
      <c r="AL42" s="378"/>
      <c r="AM42" s="378"/>
      <c r="AN42" s="378"/>
      <c r="AO42" s="52" t="str">
        <f>"PAGE 17 OF "&amp;TEXT(Page_Num_2.2,"00")</f>
        <v>PAGE 17 OF 22</v>
      </c>
      <c r="AQ42" s="174"/>
      <c r="AS42" s="379"/>
      <c r="AT42" s="379"/>
      <c r="AU42" s="50"/>
    </row>
    <row r="43" spans="1:76" x14ac:dyDescent="0.25">
      <c r="A43" s="53"/>
      <c r="C43" s="54"/>
      <c r="F43" s="379"/>
      <c r="H43" s="379"/>
      <c r="I43" s="379"/>
      <c r="J43" s="59"/>
      <c r="K43" s="59"/>
      <c r="L43" s="379"/>
      <c r="M43" s="379"/>
      <c r="N43" s="50"/>
      <c r="O43" s="50"/>
      <c r="P43" s="379"/>
      <c r="Q43" s="379"/>
      <c r="R43" s="379"/>
      <c r="T43" s="46" t="s">
        <v>177</v>
      </c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143"/>
      <c r="AH43" s="378"/>
      <c r="AI43" s="378"/>
      <c r="AJ43" s="378"/>
      <c r="AK43" s="143"/>
      <c r="AL43" s="378"/>
      <c r="AM43" s="378"/>
      <c r="AN43" s="378"/>
      <c r="AO43" s="46" t="s">
        <v>3</v>
      </c>
      <c r="AQ43" s="174"/>
      <c r="AR43" s="53"/>
      <c r="AS43" s="379"/>
      <c r="AT43" s="379"/>
      <c r="AU43" s="50"/>
    </row>
    <row r="44" spans="1:76" x14ac:dyDescent="0.25">
      <c r="A44" s="54"/>
      <c r="F44" s="379"/>
      <c r="H44" s="379"/>
      <c r="I44" s="379"/>
      <c r="J44" s="59"/>
      <c r="K44" s="59"/>
      <c r="L44" s="379"/>
      <c r="M44" s="379"/>
      <c r="N44" s="379"/>
      <c r="O44" s="379"/>
      <c r="P44" s="379"/>
      <c r="Q44" s="379"/>
      <c r="R44" s="379"/>
      <c r="T44" s="218" t="str">
        <f>TIME</f>
        <v>6 Months Actual and 6 Months Projected with Riders</v>
      </c>
      <c r="U44" s="378"/>
      <c r="V44" s="378"/>
      <c r="W44" s="378"/>
      <c r="X44" s="378"/>
      <c r="Y44" s="378"/>
      <c r="Z44" s="378"/>
      <c r="AA44" s="378"/>
      <c r="AB44" s="378"/>
      <c r="AC44" s="378"/>
      <c r="AD44" s="378"/>
      <c r="AE44" s="378"/>
      <c r="AG44" s="174"/>
      <c r="AH44" s="378"/>
      <c r="AI44" s="378"/>
      <c r="AJ44" s="378"/>
      <c r="AK44" s="143"/>
      <c r="AL44" s="378"/>
      <c r="AM44" s="378"/>
      <c r="AN44" s="378"/>
      <c r="AO44" s="45" t="str">
        <f>WIT</f>
        <v>J. L. Kern</v>
      </c>
      <c r="AR44" s="379"/>
      <c r="AS44" s="379"/>
      <c r="AT44" s="379"/>
      <c r="AU44" s="50"/>
    </row>
    <row r="45" spans="1:76" x14ac:dyDescent="0.25">
      <c r="L45" s="379"/>
      <c r="M45" s="379"/>
      <c r="N45" s="379"/>
      <c r="O45" s="379"/>
      <c r="P45" s="379"/>
      <c r="Q45" s="379"/>
      <c r="R45" s="379"/>
      <c r="T45" s="44" t="s">
        <v>137</v>
      </c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4"/>
      <c r="AG45" s="175"/>
      <c r="AH45" s="43"/>
      <c r="AI45" s="43"/>
      <c r="AJ45" s="43"/>
      <c r="AK45" s="144"/>
      <c r="AL45" s="43"/>
      <c r="AM45" s="43"/>
      <c r="AN45" s="43"/>
      <c r="AO45" s="43"/>
      <c r="AP45" s="44"/>
      <c r="AQ45" s="175"/>
      <c r="AR45" s="379"/>
      <c r="AS45" s="379"/>
      <c r="AT45" s="379"/>
      <c r="AU45" s="50"/>
    </row>
    <row r="46" spans="1:76" x14ac:dyDescent="0.25">
      <c r="H46" s="54"/>
      <c r="I46" s="54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159"/>
      <c r="AH46" s="72"/>
      <c r="AI46" s="72"/>
      <c r="AJ46" s="72"/>
      <c r="AK46" s="159"/>
      <c r="AL46" s="72"/>
      <c r="AM46" s="72"/>
      <c r="AN46" s="72"/>
      <c r="AO46" s="72"/>
      <c r="AP46" s="72"/>
      <c r="AQ46" s="159"/>
      <c r="AR46" s="379"/>
    </row>
    <row r="47" spans="1:76" ht="18" customHeight="1" x14ac:dyDescent="0.25">
      <c r="L47" s="54"/>
      <c r="M47" s="54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4" t="s">
        <v>8</v>
      </c>
      <c r="AF47" s="74"/>
      <c r="AG47" s="160" t="s">
        <v>7</v>
      </c>
      <c r="AH47" s="74"/>
      <c r="AI47" s="74" t="s">
        <v>9</v>
      </c>
      <c r="AJ47" s="74"/>
      <c r="AK47" s="160" t="s">
        <v>10</v>
      </c>
      <c r="AL47" s="74"/>
      <c r="AM47" s="73"/>
      <c r="AN47" s="73"/>
      <c r="AO47" s="74" t="s">
        <v>8</v>
      </c>
      <c r="AP47" s="74"/>
      <c r="AQ47" s="160" t="s">
        <v>11</v>
      </c>
      <c r="AR47" s="449"/>
    </row>
    <row r="48" spans="1:76" x14ac:dyDescent="0.25">
      <c r="A48" s="53"/>
      <c r="R48" s="54"/>
      <c r="T48" s="378"/>
      <c r="U48" s="378"/>
      <c r="V48" s="378"/>
      <c r="W48" s="378"/>
      <c r="X48" s="378"/>
      <c r="Y48" s="378"/>
      <c r="Z48" s="378"/>
      <c r="AA48" s="378"/>
      <c r="AB48" s="378"/>
      <c r="AC48" s="426" t="s">
        <v>14</v>
      </c>
      <c r="AD48" s="426"/>
      <c r="AE48" s="426" t="s">
        <v>12</v>
      </c>
      <c r="AF48" s="426"/>
      <c r="AG48" s="146" t="s">
        <v>13</v>
      </c>
      <c r="AH48" s="426"/>
      <c r="AI48" s="426" t="s">
        <v>15</v>
      </c>
      <c r="AJ48" s="426"/>
      <c r="AK48" s="146" t="s">
        <v>16</v>
      </c>
      <c r="AL48" s="426"/>
      <c r="AM48" s="378"/>
      <c r="AN48" s="378"/>
      <c r="AO48" s="426" t="s">
        <v>11</v>
      </c>
      <c r="AP48" s="426"/>
      <c r="AQ48" s="146" t="s">
        <v>9</v>
      </c>
      <c r="AR48" s="449"/>
      <c r="AU48" s="137" t="s">
        <v>470</v>
      </c>
    </row>
    <row r="49" spans="1:51" x14ac:dyDescent="0.25">
      <c r="A49" s="53"/>
      <c r="R49" s="54"/>
      <c r="T49" s="426" t="s">
        <v>17</v>
      </c>
      <c r="U49" s="378"/>
      <c r="V49" s="426" t="s">
        <v>18</v>
      </c>
      <c r="W49" s="426" t="s">
        <v>19</v>
      </c>
      <c r="X49" s="426"/>
      <c r="Y49" s="426" t="s">
        <v>20</v>
      </c>
      <c r="Z49" s="378"/>
      <c r="AA49" s="378"/>
      <c r="AB49" s="378"/>
      <c r="AC49" s="426" t="s">
        <v>8</v>
      </c>
      <c r="AD49" s="426"/>
      <c r="AE49" s="426" t="s">
        <v>21</v>
      </c>
      <c r="AF49" s="426"/>
      <c r="AG49" s="146" t="s">
        <v>21</v>
      </c>
      <c r="AH49" s="426"/>
      <c r="AI49" s="426" t="s">
        <v>22</v>
      </c>
      <c r="AJ49" s="426"/>
      <c r="AK49" s="146" t="s">
        <v>22</v>
      </c>
      <c r="AL49" s="426"/>
      <c r="AM49" s="426" t="s">
        <v>21</v>
      </c>
      <c r="AN49" s="426"/>
      <c r="AO49" s="426" t="s">
        <v>9</v>
      </c>
      <c r="AP49" s="426"/>
      <c r="AQ49" s="146" t="s">
        <v>23</v>
      </c>
      <c r="AR49" s="379"/>
      <c r="AU49" s="137" t="s">
        <v>471</v>
      </c>
    </row>
    <row r="50" spans="1:51" x14ac:dyDescent="0.25">
      <c r="A50" s="54"/>
      <c r="R50" s="54"/>
      <c r="T50" s="426" t="s">
        <v>24</v>
      </c>
      <c r="U50" s="378"/>
      <c r="V50" s="426" t="s">
        <v>25</v>
      </c>
      <c r="W50" s="426" t="s">
        <v>26</v>
      </c>
      <c r="X50" s="426"/>
      <c r="Y50" s="426" t="s">
        <v>27</v>
      </c>
      <c r="Z50" s="378"/>
      <c r="AA50" s="426" t="s">
        <v>28</v>
      </c>
      <c r="AB50" s="426"/>
      <c r="AC50" s="70" t="s">
        <v>380</v>
      </c>
      <c r="AD50" s="426"/>
      <c r="AE50" s="426" t="s">
        <v>9</v>
      </c>
      <c r="AF50" s="426"/>
      <c r="AG50" s="146" t="s">
        <v>9</v>
      </c>
      <c r="AH50" s="426"/>
      <c r="AI50" s="265" t="s">
        <v>31</v>
      </c>
      <c r="AJ50" s="265"/>
      <c r="AK50" s="440" t="s">
        <v>32</v>
      </c>
      <c r="AL50" s="426"/>
      <c r="AM50" s="426" t="s">
        <v>379</v>
      </c>
      <c r="AN50" s="426"/>
      <c r="AO50" s="265" t="s">
        <v>33</v>
      </c>
      <c r="AP50" s="265"/>
      <c r="AQ50" s="440" t="s">
        <v>34</v>
      </c>
      <c r="AR50" s="379"/>
      <c r="AU50" s="137" t="s">
        <v>472</v>
      </c>
      <c r="AX50" s="380" t="s">
        <v>354</v>
      </c>
      <c r="AY50" s="380" t="s">
        <v>355</v>
      </c>
    </row>
    <row r="51" spans="1:51" x14ac:dyDescent="0.25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T51" s="378"/>
      <c r="U51" s="378"/>
      <c r="V51" s="265" t="s">
        <v>35</v>
      </c>
      <c r="W51" s="265" t="s">
        <v>36</v>
      </c>
      <c r="X51" s="265"/>
      <c r="Y51" s="265" t="s">
        <v>37</v>
      </c>
      <c r="Z51" s="218"/>
      <c r="AA51" s="265" t="s">
        <v>38</v>
      </c>
      <c r="AB51" s="265"/>
      <c r="AC51" s="265" t="s">
        <v>44</v>
      </c>
      <c r="AD51" s="265"/>
      <c r="AE51" s="265" t="s">
        <v>45</v>
      </c>
      <c r="AF51" s="265"/>
      <c r="AG51" s="440" t="s">
        <v>46</v>
      </c>
      <c r="AH51" s="265"/>
      <c r="AI51" s="265" t="s">
        <v>47</v>
      </c>
      <c r="AJ51" s="265"/>
      <c r="AK51" s="440" t="s">
        <v>48</v>
      </c>
      <c r="AL51" s="265"/>
      <c r="AM51" s="265" t="s">
        <v>42</v>
      </c>
      <c r="AN51" s="265"/>
      <c r="AO51" s="265" t="s">
        <v>49</v>
      </c>
      <c r="AP51" s="265"/>
      <c r="AQ51" s="440" t="s">
        <v>50</v>
      </c>
      <c r="AW51" s="380" t="s">
        <v>353</v>
      </c>
      <c r="AX51" s="380" t="s">
        <v>352</v>
      </c>
      <c r="AY51" s="380" t="s">
        <v>352</v>
      </c>
    </row>
    <row r="52" spans="1:51" ht="17.100000000000001" customHeight="1" x14ac:dyDescent="0.25">
      <c r="L52" s="56"/>
      <c r="M52" s="56"/>
      <c r="N52" s="56"/>
      <c r="O52" s="56"/>
      <c r="R52" s="56"/>
      <c r="T52" s="73"/>
      <c r="U52" s="73"/>
      <c r="V52" s="73"/>
      <c r="W52" s="73"/>
      <c r="X52" s="73"/>
      <c r="Y52" s="73"/>
      <c r="Z52" s="73"/>
      <c r="AA52" s="556" t="s">
        <v>51</v>
      </c>
      <c r="AB52" s="556"/>
      <c r="AC52" s="557" t="s">
        <v>368</v>
      </c>
      <c r="AD52" s="556"/>
      <c r="AE52" s="556" t="s">
        <v>52</v>
      </c>
      <c r="AF52" s="556"/>
      <c r="AG52" s="558" t="s">
        <v>53</v>
      </c>
      <c r="AH52" s="556"/>
      <c r="AI52" s="556" t="s">
        <v>52</v>
      </c>
      <c r="AJ52" s="556"/>
      <c r="AK52" s="558" t="s">
        <v>53</v>
      </c>
      <c r="AL52" s="556"/>
      <c r="AM52" s="556" t="s">
        <v>52</v>
      </c>
      <c r="AN52" s="556"/>
      <c r="AO52" s="556" t="s">
        <v>52</v>
      </c>
      <c r="AP52" s="556"/>
      <c r="AQ52" s="558" t="s">
        <v>53</v>
      </c>
    </row>
    <row r="53" spans="1:51" x14ac:dyDescent="0.25">
      <c r="L53" s="56"/>
      <c r="M53" s="56"/>
      <c r="N53" s="56"/>
      <c r="O53" s="56"/>
      <c r="R53" s="56"/>
      <c r="Y53" s="84"/>
      <c r="Z53" s="84"/>
      <c r="AA53" s="100"/>
      <c r="AB53" s="100"/>
      <c r="AC53" s="136"/>
      <c r="AD53" s="100"/>
      <c r="AE53" s="100"/>
      <c r="AF53" s="100"/>
      <c r="AG53" s="176"/>
      <c r="AH53" s="100"/>
      <c r="AI53" s="100"/>
      <c r="AJ53" s="100"/>
      <c r="AK53" s="176"/>
      <c r="AL53" s="100"/>
      <c r="AM53" s="100"/>
      <c r="AN53" s="100"/>
      <c r="AO53" s="100"/>
      <c r="AP53" s="100"/>
      <c r="AQ53" s="176"/>
      <c r="AX53" s="380">
        <f>CUR_BASE_FUEL</f>
        <v>2.3837000000000001E-2</v>
      </c>
      <c r="AY53" s="380">
        <f>PRO_BASE_FUEL</f>
        <v>2.3837000000000001E-2</v>
      </c>
    </row>
    <row r="54" spans="1:51" ht="30" customHeight="1" x14ac:dyDescent="0.25">
      <c r="L54" s="56"/>
      <c r="M54" s="56"/>
      <c r="N54" s="56"/>
      <c r="O54" s="56"/>
      <c r="R54" s="56"/>
      <c r="T54" s="45">
        <v>1</v>
      </c>
      <c r="U54" s="378"/>
      <c r="V54" s="222" t="s">
        <v>251</v>
      </c>
      <c r="W54" s="444" t="s">
        <v>252</v>
      </c>
      <c r="X54" s="218"/>
      <c r="Y54" s="559"/>
      <c r="Z54" s="2"/>
      <c r="AA54" s="83"/>
      <c r="AB54" s="5"/>
      <c r="AC54" s="2"/>
      <c r="AD54" s="481"/>
      <c r="AE54" s="83"/>
      <c r="AF54" s="5"/>
      <c r="AG54" s="383"/>
      <c r="AH54" s="6"/>
      <c r="AI54" s="83"/>
      <c r="AJ54" s="5"/>
      <c r="AK54" s="383"/>
      <c r="AL54" s="8"/>
      <c r="AM54" s="94"/>
      <c r="AN54" s="86"/>
      <c r="AO54" s="83"/>
      <c r="AP54" s="5"/>
      <c r="AQ54" s="149"/>
      <c r="AW54" s="86"/>
      <c r="AX54" s="84"/>
      <c r="AY54" s="84"/>
    </row>
    <row r="55" spans="1:51" ht="15.75" customHeight="1" x14ac:dyDescent="0.25">
      <c r="L55" s="56"/>
      <c r="M55" s="56"/>
      <c r="N55" s="56"/>
      <c r="O55" s="56"/>
      <c r="R55" s="56"/>
      <c r="T55" s="45"/>
      <c r="U55" s="378"/>
      <c r="V55" s="222"/>
      <c r="W55" s="444"/>
      <c r="X55" s="218"/>
      <c r="Y55" s="559"/>
      <c r="Z55" s="2"/>
      <c r="AA55" s="83"/>
      <c r="AB55" s="5"/>
      <c r="AC55" s="2"/>
      <c r="AD55" s="481"/>
      <c r="AE55" s="83"/>
      <c r="AF55" s="5"/>
      <c r="AG55" s="383"/>
      <c r="AH55" s="6"/>
      <c r="AI55" s="83"/>
      <c r="AJ55" s="5"/>
      <c r="AK55" s="383"/>
      <c r="AL55" s="8"/>
      <c r="AM55" s="94"/>
      <c r="AN55" s="86"/>
      <c r="AO55" s="83"/>
      <c r="AP55" s="5"/>
      <c r="AQ55" s="149"/>
      <c r="AW55" s="86"/>
      <c r="AX55" s="84"/>
      <c r="AY55" s="84"/>
    </row>
    <row r="56" spans="1:51" ht="30" customHeight="1" x14ac:dyDescent="0.25">
      <c r="L56" s="56"/>
      <c r="M56" s="56"/>
      <c r="N56" s="56"/>
      <c r="O56" s="56"/>
      <c r="R56" s="56"/>
      <c r="T56" s="380">
        <v>2</v>
      </c>
      <c r="V56" s="46" t="s">
        <v>253</v>
      </c>
      <c r="W56" s="378"/>
      <c r="X56" s="378"/>
      <c r="Y56" s="87">
        <f>F21</f>
        <v>89792</v>
      </c>
      <c r="Z56" s="2"/>
      <c r="AA56" s="87">
        <f>H21</f>
        <v>4292584</v>
      </c>
      <c r="AB56" s="2"/>
      <c r="AC56" s="522">
        <v>3.8304999999999999E-2</v>
      </c>
      <c r="AD56" s="481"/>
      <c r="AE56" s="81">
        <f>ROUND((AA56*AC56),0)</f>
        <v>164427</v>
      </c>
      <c r="AF56" s="5"/>
      <c r="AG56" s="148">
        <f>ROUND((AE56/AE$63)*100,1)</f>
        <v>93.7</v>
      </c>
      <c r="AH56" s="6"/>
      <c r="AI56" s="81">
        <f>L21-AE56</f>
        <v>20167</v>
      </c>
      <c r="AJ56" s="5"/>
      <c r="AK56" s="148">
        <f>ROUND((AI56/AE56)*100,1)</f>
        <v>12.3</v>
      </c>
      <c r="AL56" s="8"/>
      <c r="AM56" s="81">
        <f>ROUND($AM$63/$AA$63*AA56,0)</f>
        <v>2923</v>
      </c>
      <c r="AN56" s="86"/>
      <c r="AO56" s="81">
        <f>AE56+AM56</f>
        <v>167350</v>
      </c>
      <c r="AP56" s="5"/>
      <c r="AQ56" s="149">
        <f>ROUND((AI56/AO56)*100,1)</f>
        <v>12.1</v>
      </c>
      <c r="AU56" s="188">
        <f>AC56-CUR_BASE_FUEL</f>
        <v>1.4467999999999998E-2</v>
      </c>
      <c r="AW56" s="94"/>
      <c r="AX56" s="84"/>
      <c r="AY56" s="84"/>
    </row>
    <row r="57" spans="1:51" ht="15.75" customHeight="1" x14ac:dyDescent="0.25">
      <c r="L57" s="56"/>
      <c r="M57" s="56"/>
      <c r="N57" s="56"/>
      <c r="O57" s="56"/>
      <c r="R57" s="56"/>
      <c r="V57" s="46"/>
      <c r="W57" s="378"/>
      <c r="X57" s="378"/>
      <c r="Y57" s="94"/>
      <c r="Z57" s="2"/>
      <c r="AA57" s="94"/>
      <c r="AB57" s="2"/>
      <c r="AC57" s="522"/>
      <c r="AD57" s="481"/>
      <c r="AE57" s="83"/>
      <c r="AF57" s="5"/>
      <c r="AG57" s="383"/>
      <c r="AH57" s="6"/>
      <c r="AI57" s="83"/>
      <c r="AJ57" s="5"/>
      <c r="AK57" s="383"/>
      <c r="AL57" s="8"/>
      <c r="AM57" s="83"/>
      <c r="AN57" s="86"/>
      <c r="AO57" s="83"/>
      <c r="AP57" s="5"/>
      <c r="AQ57" s="149"/>
      <c r="AU57" s="188"/>
      <c r="AW57" s="94"/>
      <c r="AX57" s="84"/>
      <c r="AY57" s="84"/>
    </row>
    <row r="58" spans="1:51" ht="19.5" customHeight="1" x14ac:dyDescent="0.25">
      <c r="L58" s="56"/>
      <c r="M58" s="56"/>
      <c r="N58" s="56"/>
      <c r="O58" s="56"/>
      <c r="R58" s="56"/>
      <c r="T58" s="45">
        <f>A23</f>
        <v>3</v>
      </c>
      <c r="U58" s="378"/>
      <c r="V58" s="222" t="s">
        <v>551</v>
      </c>
      <c r="W58" s="378"/>
      <c r="X58" s="378"/>
      <c r="Y58" s="94"/>
      <c r="Z58" s="2"/>
      <c r="AA58" s="94"/>
      <c r="AB58" s="2"/>
      <c r="AC58" s="522"/>
      <c r="AD58" s="481"/>
      <c r="AE58" s="83"/>
      <c r="AF58" s="5"/>
      <c r="AG58" s="149"/>
      <c r="AH58" s="6"/>
      <c r="AI58" s="83"/>
      <c r="AJ58" s="5"/>
      <c r="AK58" s="383"/>
      <c r="AL58" s="8"/>
      <c r="AM58" s="5"/>
      <c r="AN58" s="86"/>
      <c r="AO58" s="83"/>
      <c r="AP58" s="5"/>
      <c r="AQ58" s="149"/>
      <c r="AU58" s="188"/>
      <c r="AW58" s="94"/>
      <c r="AX58" s="84"/>
      <c r="AY58" s="84"/>
    </row>
    <row r="59" spans="1:51" ht="19.5" customHeight="1" x14ac:dyDescent="0.25">
      <c r="L59" s="56"/>
      <c r="M59" s="56"/>
      <c r="N59" s="56"/>
      <c r="O59" s="56"/>
      <c r="R59" s="56"/>
      <c r="T59" s="45">
        <f>A24</f>
        <v>4</v>
      </c>
      <c r="U59" s="378"/>
      <c r="V59" s="216" t="str">
        <f>C24</f>
        <v>ENVIRONMENTAL SURCHARGE MECHANISM RIDER (ESM)</v>
      </c>
      <c r="W59" s="378"/>
      <c r="X59" s="378"/>
      <c r="Y59" s="94"/>
      <c r="Z59" s="2"/>
      <c r="AA59" s="94"/>
      <c r="AB59" s="2"/>
      <c r="AC59" s="538">
        <f>CUR_ESM_NONRES</f>
        <v>0.18160000000000001</v>
      </c>
      <c r="AD59" s="481"/>
      <c r="AE59" s="83">
        <f>ROUND((AO56-CUR_BASE_FUEL*AA56)*AC59,0)</f>
        <v>11809</v>
      </c>
      <c r="AF59" s="5"/>
      <c r="AG59" s="149">
        <f>ROUND((AE59/AE$63)*100,1)</f>
        <v>6.7</v>
      </c>
      <c r="AH59" s="6"/>
      <c r="AI59" s="83">
        <f>L24-AE59</f>
        <v>0</v>
      </c>
      <c r="AJ59" s="5"/>
      <c r="AK59" s="383">
        <f>IF(AE59=0,0,ROUND((AI59/AE59)*100,1))</f>
        <v>0</v>
      </c>
      <c r="AL59" s="8"/>
      <c r="AM59" s="5"/>
      <c r="AN59" s="86"/>
      <c r="AO59" s="83">
        <f t="shared" ref="AO59" si="2">AE59+AM59</f>
        <v>11809</v>
      </c>
      <c r="AP59" s="5"/>
      <c r="AQ59" s="149">
        <f>IF(AO59=0,0,ROUND((AI59/AO59)*100,1))</f>
        <v>0</v>
      </c>
      <c r="AU59" s="188"/>
      <c r="AW59" s="94"/>
      <c r="AX59" s="84"/>
      <c r="AY59" s="84"/>
    </row>
    <row r="60" spans="1:51" ht="15.75" customHeight="1" x14ac:dyDescent="0.25">
      <c r="L60" s="56"/>
      <c r="M60" s="56"/>
      <c r="N60" s="56"/>
      <c r="O60" s="56"/>
      <c r="R60" s="56"/>
      <c r="T60" s="45">
        <f>A25</f>
        <v>5</v>
      </c>
      <c r="U60" s="378"/>
      <c r="V60" s="216" t="str">
        <f>C25</f>
        <v>PROFIT SHARING MECHANISM (PSM)</v>
      </c>
      <c r="W60" s="378"/>
      <c r="X60" s="378"/>
      <c r="Y60" s="94"/>
      <c r="Z60" s="2"/>
      <c r="AA60" s="94"/>
      <c r="AB60" s="2"/>
      <c r="AC60" s="453">
        <f>RS_PSM</f>
        <v>-1.63E-4</v>
      </c>
      <c r="AD60" s="481"/>
      <c r="AE60" s="81">
        <f>ROUND($AA$56*AC60,0)</f>
        <v>-700</v>
      </c>
      <c r="AF60" s="5"/>
      <c r="AG60" s="148">
        <f>ROUND((AE60/AE$63)*100,1)</f>
        <v>-0.4</v>
      </c>
      <c r="AH60" s="6"/>
      <c r="AI60" s="81">
        <f>L25-AE60</f>
        <v>0</v>
      </c>
      <c r="AJ60" s="5"/>
      <c r="AK60" s="148">
        <f t="shared" ref="AK60:AK61" si="3">ROUND((AI60/AE60)*100,1)</f>
        <v>0</v>
      </c>
      <c r="AL60" s="8"/>
      <c r="AM60" s="81"/>
      <c r="AN60" s="86"/>
      <c r="AO60" s="81">
        <f t="shared" ref="AO60" si="4">AE60+AM60</f>
        <v>-700</v>
      </c>
      <c r="AP60" s="5"/>
      <c r="AQ60" s="149">
        <f t="shared" ref="AQ60:AQ61" si="5">ROUND((AI60/AO60)*100,1)</f>
        <v>0</v>
      </c>
      <c r="AU60" s="188"/>
      <c r="AW60" s="94"/>
      <c r="AX60" s="84"/>
      <c r="AY60" s="84"/>
    </row>
    <row r="61" spans="1:51" ht="20.100000000000001" customHeight="1" x14ac:dyDescent="0.25">
      <c r="L61" s="56"/>
      <c r="M61" s="56"/>
      <c r="N61" s="56"/>
      <c r="O61" s="56"/>
      <c r="R61" s="56"/>
      <c r="T61" s="45">
        <f>A26</f>
        <v>6</v>
      </c>
      <c r="U61" s="378"/>
      <c r="V61" s="222" t="s">
        <v>538</v>
      </c>
      <c r="W61" s="378"/>
      <c r="X61" s="378"/>
      <c r="Y61" s="87"/>
      <c r="Z61" s="2"/>
      <c r="AA61" s="87"/>
      <c r="AB61" s="2"/>
      <c r="AC61" s="560"/>
      <c r="AD61" s="481"/>
      <c r="AE61" s="90">
        <f>SUM(AE59:AE60)</f>
        <v>11109</v>
      </c>
      <c r="AF61" s="5"/>
      <c r="AG61" s="148">
        <f>ROUND((AE61/AE$63)*100,1)</f>
        <v>6.3</v>
      </c>
      <c r="AH61" s="6"/>
      <c r="AI61" s="90">
        <f>SUM(AI59:AI60)</f>
        <v>0</v>
      </c>
      <c r="AJ61" s="5"/>
      <c r="AK61" s="148">
        <f t="shared" si="3"/>
        <v>0</v>
      </c>
      <c r="AL61" s="8"/>
      <c r="AM61" s="90"/>
      <c r="AN61" s="86"/>
      <c r="AO61" s="90">
        <f>SUM(AO59:AO60)</f>
        <v>11109</v>
      </c>
      <c r="AP61" s="5"/>
      <c r="AQ61" s="149">
        <f t="shared" si="5"/>
        <v>0</v>
      </c>
      <c r="AU61" s="188"/>
      <c r="AW61" s="94"/>
      <c r="AX61" s="84"/>
      <c r="AY61" s="84"/>
    </row>
    <row r="62" spans="1:51" ht="15.75" customHeight="1" x14ac:dyDescent="0.25">
      <c r="L62" s="56"/>
      <c r="M62" s="56"/>
      <c r="N62" s="56"/>
      <c r="O62" s="56"/>
      <c r="R62" s="56"/>
      <c r="V62" s="46"/>
      <c r="W62" s="378"/>
      <c r="X62" s="378"/>
      <c r="Y62" s="94"/>
      <c r="Z62" s="84"/>
      <c r="AA62" s="94"/>
      <c r="AB62" s="84"/>
      <c r="AC62" s="561"/>
      <c r="AD62" s="562"/>
      <c r="AE62" s="83"/>
      <c r="AF62" s="83"/>
      <c r="AG62" s="383"/>
      <c r="AH62" s="91"/>
      <c r="AI62" s="83"/>
      <c r="AJ62" s="83"/>
      <c r="AK62" s="383"/>
      <c r="AL62" s="103"/>
      <c r="AM62" s="83"/>
      <c r="AN62" s="94"/>
      <c r="AO62" s="83"/>
      <c r="AP62" s="5"/>
      <c r="AQ62" s="149"/>
      <c r="AU62" s="188"/>
      <c r="AW62" s="94"/>
      <c r="AX62" s="84"/>
      <c r="AY62" s="84"/>
    </row>
    <row r="63" spans="1:51" ht="20.100000000000001" customHeight="1" thickBot="1" x14ac:dyDescent="0.3">
      <c r="L63" s="56"/>
      <c r="M63" s="56"/>
      <c r="N63" s="56"/>
      <c r="O63" s="56"/>
      <c r="R63" s="56"/>
      <c r="T63" s="45">
        <f>A28</f>
        <v>7</v>
      </c>
      <c r="U63" s="378"/>
      <c r="V63" s="222" t="s">
        <v>541</v>
      </c>
      <c r="W63" s="378"/>
      <c r="X63" s="378"/>
      <c r="Y63" s="82">
        <f>Y56</f>
        <v>89792</v>
      </c>
      <c r="Z63" s="2"/>
      <c r="AA63" s="82">
        <f>AA56</f>
        <v>4292584</v>
      </c>
      <c r="AB63" s="5"/>
      <c r="AC63" s="2"/>
      <c r="AD63" s="481"/>
      <c r="AE63" s="82">
        <f>AE61+AE56</f>
        <v>175536</v>
      </c>
      <c r="AF63" s="5"/>
      <c r="AG63" s="151">
        <v>100</v>
      </c>
      <c r="AH63" s="6"/>
      <c r="AI63" s="82">
        <f>AI56+AI61</f>
        <v>20167</v>
      </c>
      <c r="AJ63" s="5"/>
      <c r="AK63" s="151">
        <f>ROUND((AI63/AE63)*100,1)</f>
        <v>11.5</v>
      </c>
      <c r="AL63" s="8"/>
      <c r="AM63" s="563">
        <f>ROUND(AA63*CUR_FAC,0)</f>
        <v>2923</v>
      </c>
      <c r="AN63" s="86"/>
      <c r="AO63" s="82">
        <f>AO61+AO56</f>
        <v>178459</v>
      </c>
      <c r="AP63" s="5"/>
      <c r="AQ63" s="149">
        <f>ROUND((AI63/AO63)*100,1)</f>
        <v>11.3</v>
      </c>
      <c r="AW63" s="83"/>
    </row>
    <row r="64" spans="1:51" ht="16.5" thickTop="1" x14ac:dyDescent="0.25">
      <c r="L64" s="56"/>
      <c r="M64" s="56"/>
      <c r="N64" s="56"/>
      <c r="O64" s="56"/>
      <c r="R64" s="56"/>
      <c r="T64" s="45"/>
      <c r="U64" s="378"/>
      <c r="V64" s="46"/>
      <c r="W64" s="378"/>
      <c r="X64" s="378"/>
      <c r="Y64" s="83"/>
      <c r="Z64" s="2"/>
      <c r="AA64" s="83"/>
      <c r="AB64" s="5"/>
      <c r="AC64" s="2"/>
      <c r="AD64" s="481"/>
      <c r="AE64" s="83"/>
      <c r="AF64" s="5"/>
      <c r="AG64" s="383"/>
      <c r="AH64" s="6"/>
      <c r="AI64" s="83"/>
      <c r="AJ64" s="5"/>
      <c r="AK64" s="383"/>
      <c r="AL64" s="8"/>
      <c r="AM64" s="116"/>
      <c r="AN64" s="86"/>
      <c r="AO64" s="83"/>
      <c r="AP64" s="5"/>
      <c r="AQ64" s="149"/>
      <c r="AW64" s="83"/>
    </row>
    <row r="65" spans="1:43" ht="21.95" customHeight="1" x14ac:dyDescent="0.25">
      <c r="A65" s="53"/>
      <c r="C65" s="54"/>
      <c r="F65" s="379"/>
      <c r="H65" s="379"/>
      <c r="I65" s="379"/>
      <c r="J65" s="59"/>
      <c r="K65" s="59"/>
      <c r="L65" s="379"/>
      <c r="M65" s="379"/>
      <c r="N65" s="50"/>
      <c r="O65" s="50"/>
      <c r="P65" s="379"/>
      <c r="Q65" s="379"/>
      <c r="R65" s="379"/>
      <c r="T65" s="378"/>
      <c r="U65" s="378"/>
      <c r="V65" s="243" t="s">
        <v>78</v>
      </c>
      <c r="W65" s="378"/>
      <c r="X65" s="378"/>
      <c r="Y65" s="378"/>
      <c r="Z65" s="378"/>
      <c r="AA65" s="378"/>
      <c r="AB65" s="378"/>
      <c r="AC65" s="378"/>
      <c r="AD65" s="378"/>
      <c r="AE65" s="378"/>
      <c r="AF65" s="378"/>
      <c r="AG65" s="143"/>
      <c r="AH65" s="378"/>
      <c r="AI65" s="378"/>
      <c r="AJ65" s="378"/>
      <c r="AK65" s="143"/>
      <c r="AL65" s="378"/>
      <c r="AM65" s="378"/>
      <c r="AN65" s="378"/>
      <c r="AO65" s="378"/>
      <c r="AP65" s="378"/>
      <c r="AQ65" s="143"/>
    </row>
    <row r="66" spans="1:43" x14ac:dyDescent="0.25">
      <c r="A66" s="53"/>
      <c r="C66" s="54"/>
      <c r="F66" s="379"/>
      <c r="H66" s="379"/>
      <c r="I66" s="379"/>
      <c r="J66" s="59"/>
      <c r="K66" s="59"/>
      <c r="L66" s="379"/>
      <c r="M66" s="379"/>
      <c r="N66" s="50"/>
      <c r="O66" s="50"/>
      <c r="P66" s="379"/>
      <c r="Q66" s="379"/>
      <c r="R66" s="379"/>
      <c r="T66" s="378"/>
      <c r="U66" s="378"/>
      <c r="V66" s="243" t="str">
        <f>"(2) REFLECTS FUEL COMPONENT OF "&amp;TEXT(CUR_FAC,"$0.000000;($0.000000)")&amp;" PER KWH."</f>
        <v>(2) REFLECTS FUEL COMPONENT OF $0.000681 PER KWH.</v>
      </c>
      <c r="W66" s="378"/>
      <c r="X66" s="378"/>
      <c r="Y66" s="378"/>
      <c r="Z66" s="378"/>
      <c r="AA66" s="378"/>
      <c r="AB66" s="378"/>
      <c r="AC66" s="378"/>
      <c r="AD66" s="378"/>
      <c r="AE66" s="378"/>
      <c r="AF66" s="378"/>
      <c r="AG66" s="143"/>
      <c r="AH66" s="378"/>
      <c r="AI66" s="378"/>
      <c r="AJ66" s="378"/>
      <c r="AK66" s="143"/>
      <c r="AL66" s="378"/>
      <c r="AM66" s="378"/>
      <c r="AN66" s="378"/>
      <c r="AO66" s="378"/>
      <c r="AP66" s="378"/>
      <c r="AQ66" s="143"/>
    </row>
    <row r="67" spans="1:43" x14ac:dyDescent="0.25">
      <c r="A67" s="53"/>
      <c r="C67" s="54"/>
      <c r="F67" s="379"/>
      <c r="H67" s="449"/>
      <c r="I67" s="449"/>
      <c r="J67" s="472"/>
      <c r="K67" s="472"/>
      <c r="L67" s="379"/>
      <c r="M67" s="379"/>
      <c r="N67" s="50"/>
      <c r="O67" s="50"/>
      <c r="P67" s="379"/>
      <c r="Q67" s="379"/>
      <c r="R67" s="379"/>
      <c r="T67" s="46"/>
      <c r="U67" s="378"/>
      <c r="V67" s="243" t="str">
        <f>"(3) REFLECTS FUEL COST RECOVERY INCLUDED IN BASE RATES OF "&amp;TEXT(CUR_BASE_FUEL,"$0.000000;($0.000000)")&amp;"  PER KWH."</f>
        <v>(3) REFLECTS FUEL COST RECOVERY INCLUDED IN BASE RATES OF $0.023837  PER KWH.</v>
      </c>
      <c r="W67" s="378"/>
      <c r="X67" s="378"/>
      <c r="Y67" s="378"/>
      <c r="Z67" s="378"/>
      <c r="AA67" s="378"/>
      <c r="AB67" s="378"/>
      <c r="AC67" s="378"/>
      <c r="AD67" s="378"/>
      <c r="AE67" s="378"/>
      <c r="AF67" s="378"/>
      <c r="AG67" s="143"/>
      <c r="AH67" s="378"/>
      <c r="AI67" s="378"/>
      <c r="AJ67" s="378"/>
      <c r="AK67" s="143"/>
      <c r="AL67" s="378"/>
      <c r="AM67" s="378"/>
      <c r="AN67" s="378"/>
      <c r="AO67" s="378"/>
      <c r="AP67" s="378"/>
      <c r="AQ67" s="143"/>
    </row>
    <row r="68" spans="1:43" x14ac:dyDescent="0.25">
      <c r="F68" s="381"/>
      <c r="H68" s="381"/>
      <c r="I68" s="381"/>
      <c r="J68" s="464"/>
      <c r="K68" s="464"/>
      <c r="L68" s="381"/>
      <c r="M68" s="381"/>
      <c r="N68" s="381"/>
      <c r="O68" s="381"/>
      <c r="P68" s="381"/>
      <c r="Q68" s="381"/>
      <c r="R68" s="381"/>
      <c r="T68" s="53"/>
      <c r="V68" s="54"/>
      <c r="Y68" s="379"/>
      <c r="AA68" s="449"/>
      <c r="AB68" s="449"/>
      <c r="AC68" s="461"/>
      <c r="AD68" s="461"/>
      <c r="AE68" s="379"/>
      <c r="AF68" s="379"/>
      <c r="AG68" s="156"/>
      <c r="AH68" s="50"/>
      <c r="AI68" s="379"/>
      <c r="AJ68" s="379"/>
      <c r="AK68" s="156"/>
      <c r="AL68" s="60"/>
      <c r="AM68" s="53"/>
      <c r="AN68" s="53"/>
      <c r="AO68" s="379"/>
      <c r="AP68" s="379"/>
      <c r="AQ68" s="156"/>
    </row>
    <row r="69" spans="1:43" x14ac:dyDescent="0.25">
      <c r="F69" s="381"/>
      <c r="H69" s="381"/>
      <c r="I69" s="381"/>
      <c r="J69" s="464"/>
      <c r="K69" s="464"/>
      <c r="L69" s="381"/>
      <c r="M69" s="381"/>
      <c r="N69" s="381"/>
      <c r="O69" s="381"/>
      <c r="P69" s="381"/>
      <c r="Q69" s="381"/>
      <c r="R69" s="381"/>
      <c r="S69" s="379"/>
      <c r="T69" s="53"/>
      <c r="V69" s="54"/>
      <c r="Y69" s="449"/>
      <c r="AA69" s="449"/>
      <c r="AB69" s="449"/>
      <c r="AC69" s="477"/>
      <c r="AD69" s="477"/>
      <c r="AE69" s="379"/>
      <c r="AF69" s="379"/>
      <c r="AG69" s="156"/>
      <c r="AH69" s="50"/>
      <c r="AI69" s="379"/>
      <c r="AJ69" s="379"/>
      <c r="AK69" s="156"/>
      <c r="AL69" s="50"/>
      <c r="AM69" s="379"/>
      <c r="AN69" s="379"/>
      <c r="AO69" s="379"/>
      <c r="AP69" s="379"/>
      <c r="AQ69" s="156"/>
    </row>
    <row r="70" spans="1:43" x14ac:dyDescent="0.25">
      <c r="A70" s="53"/>
      <c r="C70" s="54"/>
      <c r="F70" s="449"/>
      <c r="H70" s="478"/>
      <c r="I70" s="478"/>
      <c r="J70" s="464"/>
      <c r="K70" s="464"/>
      <c r="L70" s="379"/>
      <c r="M70" s="379"/>
      <c r="N70" s="50"/>
      <c r="O70" s="50"/>
      <c r="P70" s="379"/>
      <c r="Q70" s="379"/>
      <c r="R70" s="379"/>
      <c r="S70" s="379"/>
      <c r="T70" s="53"/>
      <c r="V70" s="54"/>
      <c r="Y70" s="449"/>
      <c r="AA70" s="379"/>
      <c r="AB70" s="379"/>
      <c r="AC70" s="461"/>
      <c r="AD70" s="461"/>
      <c r="AE70" s="379"/>
      <c r="AF70" s="379"/>
      <c r="AG70" s="156"/>
      <c r="AH70" s="50"/>
      <c r="AI70" s="379"/>
      <c r="AJ70" s="379"/>
      <c r="AK70" s="156"/>
      <c r="AL70" s="60"/>
      <c r="AM70" s="379"/>
      <c r="AN70" s="379"/>
      <c r="AO70" s="379"/>
      <c r="AP70" s="379"/>
      <c r="AQ70" s="156"/>
    </row>
    <row r="71" spans="1:43" x14ac:dyDescent="0.25">
      <c r="T71" s="53"/>
      <c r="V71" s="54"/>
      <c r="Y71" s="449"/>
      <c r="AA71" s="379"/>
      <c r="AB71" s="379"/>
      <c r="AC71" s="461"/>
      <c r="AD71" s="461"/>
      <c r="AE71" s="379"/>
      <c r="AF71" s="379"/>
      <c r="AG71" s="156"/>
      <c r="AH71" s="50"/>
      <c r="AI71" s="379"/>
      <c r="AJ71" s="379"/>
      <c r="AK71" s="156"/>
      <c r="AL71" s="60"/>
      <c r="AM71" s="379"/>
      <c r="AN71" s="379"/>
      <c r="AO71" s="379"/>
      <c r="AP71" s="379"/>
      <c r="AQ71" s="156"/>
    </row>
    <row r="72" spans="1:43" x14ac:dyDescent="0.25">
      <c r="A72" s="53"/>
      <c r="C72" s="54"/>
      <c r="F72" s="449"/>
      <c r="H72" s="449"/>
      <c r="I72" s="449"/>
      <c r="J72" s="461"/>
      <c r="K72" s="461"/>
      <c r="L72" s="379"/>
      <c r="M72" s="379"/>
      <c r="N72" s="50"/>
      <c r="O72" s="50"/>
      <c r="P72" s="53"/>
      <c r="Q72" s="53"/>
      <c r="R72" s="379"/>
      <c r="T72" s="53"/>
      <c r="V72" s="54"/>
      <c r="Y72" s="379"/>
      <c r="AA72" s="379"/>
      <c r="AB72" s="379"/>
      <c r="AC72" s="59"/>
      <c r="AD72" s="59"/>
      <c r="AE72" s="379"/>
      <c r="AF72" s="379"/>
      <c r="AG72" s="156"/>
      <c r="AH72" s="50"/>
      <c r="AI72" s="379"/>
      <c r="AJ72" s="379"/>
      <c r="AK72" s="156"/>
      <c r="AL72" s="60"/>
      <c r="AM72" s="379"/>
      <c r="AN72" s="379"/>
      <c r="AO72" s="379"/>
      <c r="AP72" s="379"/>
      <c r="AQ72" s="156"/>
    </row>
    <row r="73" spans="1:43" x14ac:dyDescent="0.25">
      <c r="A73" s="53"/>
      <c r="C73" s="54"/>
      <c r="F73" s="449"/>
      <c r="H73" s="449"/>
      <c r="I73" s="449"/>
      <c r="J73" s="461"/>
      <c r="K73" s="461"/>
      <c r="L73" s="379"/>
      <c r="M73" s="379"/>
      <c r="N73" s="50"/>
      <c r="O73" s="50"/>
      <c r="P73" s="53"/>
      <c r="Q73" s="53"/>
      <c r="R73" s="379"/>
      <c r="T73" s="53"/>
      <c r="V73" s="54"/>
      <c r="Y73" s="379"/>
      <c r="AA73" s="379"/>
      <c r="AB73" s="379"/>
      <c r="AC73" s="59"/>
      <c r="AD73" s="59"/>
      <c r="AE73" s="379"/>
      <c r="AF73" s="379"/>
      <c r="AG73" s="156"/>
      <c r="AH73" s="50"/>
      <c r="AI73" s="379"/>
      <c r="AJ73" s="379"/>
      <c r="AK73" s="156"/>
      <c r="AL73" s="60"/>
      <c r="AM73" s="379"/>
      <c r="AN73" s="379"/>
      <c r="AO73" s="379"/>
      <c r="AP73" s="379"/>
      <c r="AQ73" s="156"/>
    </row>
    <row r="74" spans="1:43" x14ac:dyDescent="0.25">
      <c r="F74" s="381"/>
      <c r="H74" s="379"/>
      <c r="I74" s="379"/>
      <c r="J74" s="464"/>
      <c r="K74" s="464"/>
      <c r="L74" s="381"/>
      <c r="M74" s="381"/>
      <c r="N74" s="381"/>
      <c r="O74" s="381"/>
      <c r="P74" s="381"/>
      <c r="Q74" s="381"/>
      <c r="R74" s="381"/>
      <c r="T74" s="53"/>
      <c r="V74" s="54"/>
      <c r="Y74" s="379"/>
      <c r="AA74" s="379"/>
      <c r="AB74" s="379"/>
      <c r="AC74" s="463"/>
      <c r="AD74" s="463"/>
      <c r="AE74" s="379"/>
      <c r="AF74" s="379"/>
      <c r="AG74" s="156"/>
      <c r="AH74" s="50"/>
      <c r="AI74" s="379"/>
      <c r="AJ74" s="379"/>
      <c r="AK74" s="156"/>
      <c r="AL74" s="60"/>
      <c r="AM74" s="379"/>
      <c r="AN74" s="379"/>
      <c r="AO74" s="379"/>
      <c r="AP74" s="379"/>
      <c r="AQ74" s="156"/>
    </row>
    <row r="75" spans="1:43" x14ac:dyDescent="0.25">
      <c r="F75" s="381"/>
      <c r="H75" s="379"/>
      <c r="I75" s="379"/>
      <c r="J75" s="464"/>
      <c r="K75" s="464"/>
      <c r="L75" s="381"/>
      <c r="M75" s="381"/>
      <c r="N75" s="381"/>
      <c r="O75" s="381"/>
      <c r="P75" s="381"/>
      <c r="Q75" s="381"/>
      <c r="R75" s="381"/>
    </row>
    <row r="76" spans="1:43" x14ac:dyDescent="0.25">
      <c r="A76" s="53"/>
      <c r="C76" s="54"/>
      <c r="F76" s="449"/>
      <c r="H76" s="449"/>
      <c r="I76" s="449"/>
      <c r="J76" s="477"/>
      <c r="K76" s="477"/>
      <c r="L76" s="379"/>
      <c r="M76" s="379"/>
      <c r="N76" s="50"/>
      <c r="O76" s="50"/>
      <c r="P76" s="379"/>
      <c r="Q76" s="379"/>
      <c r="R76" s="379"/>
      <c r="S76" s="379"/>
      <c r="T76" s="53"/>
      <c r="V76" s="54"/>
      <c r="Y76" s="379"/>
      <c r="AA76" s="379"/>
      <c r="AB76" s="379"/>
      <c r="AC76" s="464"/>
      <c r="AD76" s="464"/>
      <c r="AE76" s="379"/>
      <c r="AF76" s="379"/>
      <c r="AG76" s="156"/>
      <c r="AH76" s="50"/>
      <c r="AI76" s="379"/>
      <c r="AJ76" s="379"/>
      <c r="AK76" s="156"/>
      <c r="AL76" s="50"/>
      <c r="AM76" s="379"/>
      <c r="AN76" s="379"/>
      <c r="AO76" s="379"/>
      <c r="AP76" s="379"/>
      <c r="AQ76" s="156"/>
    </row>
    <row r="77" spans="1:43" x14ac:dyDescent="0.25">
      <c r="A77" s="53"/>
      <c r="C77" s="54"/>
      <c r="F77" s="449"/>
      <c r="H77" s="449"/>
      <c r="I77" s="449"/>
      <c r="J77" s="461"/>
      <c r="K77" s="461"/>
      <c r="L77" s="379"/>
      <c r="M77" s="379"/>
      <c r="N77" s="50"/>
      <c r="O77" s="50"/>
      <c r="P77" s="379"/>
      <c r="Q77" s="379"/>
      <c r="R77" s="379"/>
      <c r="T77" s="53"/>
      <c r="V77" s="54"/>
    </row>
    <row r="78" spans="1:43" x14ac:dyDescent="0.25">
      <c r="F78" s="379"/>
      <c r="H78" s="381"/>
      <c r="I78" s="381"/>
      <c r="J78" s="464"/>
      <c r="K78" s="464"/>
      <c r="L78" s="381"/>
      <c r="M78" s="381"/>
      <c r="N78" s="381"/>
      <c r="O78" s="381"/>
      <c r="P78" s="381"/>
      <c r="Q78" s="381"/>
      <c r="R78" s="381"/>
      <c r="T78" s="53"/>
      <c r="V78" s="54"/>
      <c r="Y78" s="379"/>
      <c r="AA78" s="379"/>
      <c r="AB78" s="379"/>
      <c r="AE78" s="379"/>
      <c r="AF78" s="379"/>
      <c r="AG78" s="156"/>
      <c r="AH78" s="50"/>
      <c r="AI78" s="379"/>
      <c r="AJ78" s="379"/>
      <c r="AK78" s="156"/>
      <c r="AL78" s="50"/>
      <c r="AM78" s="449"/>
      <c r="AN78" s="449"/>
      <c r="AO78" s="379"/>
      <c r="AP78" s="379"/>
      <c r="AQ78" s="156"/>
    </row>
    <row r="79" spans="1:43" x14ac:dyDescent="0.25">
      <c r="F79" s="379"/>
      <c r="H79" s="381"/>
      <c r="I79" s="381"/>
      <c r="J79" s="464"/>
      <c r="K79" s="464"/>
      <c r="L79" s="381"/>
      <c r="M79" s="381"/>
      <c r="N79" s="381"/>
      <c r="O79" s="381"/>
      <c r="P79" s="381"/>
      <c r="Q79" s="381"/>
      <c r="R79" s="381"/>
    </row>
    <row r="80" spans="1:43" x14ac:dyDescent="0.25">
      <c r="A80" s="53"/>
      <c r="C80" s="54"/>
      <c r="F80" s="379"/>
      <c r="H80" s="379"/>
      <c r="I80" s="379"/>
      <c r="J80" s="464"/>
      <c r="K80" s="464"/>
      <c r="L80" s="379"/>
      <c r="M80" s="379"/>
      <c r="N80" s="379"/>
      <c r="O80" s="379"/>
      <c r="P80" s="379"/>
      <c r="Q80" s="379"/>
      <c r="R80" s="379"/>
      <c r="V80" s="54"/>
      <c r="AE80" s="379"/>
      <c r="AF80" s="379"/>
      <c r="AG80" s="156"/>
      <c r="AH80" s="379"/>
      <c r="AM80" s="379"/>
      <c r="AN80" s="379"/>
      <c r="AO80" s="379"/>
      <c r="AP80" s="379"/>
    </row>
    <row r="81" spans="1:40" x14ac:dyDescent="0.25">
      <c r="A81" s="53"/>
      <c r="C81" s="54"/>
      <c r="F81" s="379"/>
      <c r="H81" s="449"/>
      <c r="I81" s="449"/>
      <c r="J81" s="221"/>
      <c r="K81" s="221"/>
      <c r="L81" s="379"/>
      <c r="M81" s="379"/>
      <c r="N81" s="50"/>
      <c r="O81" s="50"/>
      <c r="P81" s="379"/>
      <c r="Q81" s="379"/>
      <c r="R81" s="379"/>
      <c r="T81" s="54"/>
    </row>
    <row r="82" spans="1:40" x14ac:dyDescent="0.25">
      <c r="A82" s="53"/>
      <c r="C82" s="54"/>
      <c r="H82" s="449"/>
      <c r="I82" s="449"/>
      <c r="J82" s="221"/>
      <c r="K82" s="221"/>
      <c r="L82" s="379"/>
      <c r="M82" s="379"/>
      <c r="N82" s="50"/>
      <c r="O82" s="50"/>
      <c r="P82" s="379"/>
      <c r="Q82" s="379"/>
      <c r="R82" s="379"/>
      <c r="T82" s="54"/>
      <c r="V82" s="449"/>
      <c r="Y82" s="449"/>
      <c r="Z82" s="477"/>
      <c r="AA82" s="379"/>
      <c r="AB82" s="379"/>
      <c r="AC82" s="50"/>
      <c r="AD82" s="50"/>
      <c r="AE82" s="379"/>
      <c r="AF82" s="379"/>
      <c r="AG82" s="156"/>
      <c r="AH82" s="50"/>
      <c r="AI82" s="379"/>
      <c r="AJ82" s="379"/>
      <c r="AK82" s="156"/>
      <c r="AL82" s="379"/>
      <c r="AM82" s="50"/>
      <c r="AN82" s="50"/>
    </row>
    <row r="83" spans="1:40" x14ac:dyDescent="0.25">
      <c r="F83" s="379"/>
      <c r="H83" s="379"/>
      <c r="I83" s="379"/>
      <c r="J83" s="464"/>
      <c r="K83" s="464"/>
      <c r="L83" s="381"/>
      <c r="M83" s="381"/>
      <c r="N83" s="381"/>
      <c r="O83" s="381"/>
      <c r="P83" s="381"/>
      <c r="Q83" s="381"/>
      <c r="R83" s="381"/>
      <c r="T83" s="54"/>
      <c r="V83" s="449"/>
      <c r="Y83" s="379"/>
      <c r="Z83" s="461"/>
      <c r="AA83" s="379"/>
      <c r="AB83" s="379"/>
      <c r="AC83" s="50"/>
      <c r="AD83" s="50"/>
      <c r="AE83" s="379"/>
      <c r="AF83" s="379"/>
      <c r="AG83" s="156"/>
      <c r="AH83" s="60"/>
      <c r="AI83" s="379"/>
      <c r="AJ83" s="379"/>
      <c r="AK83" s="156"/>
      <c r="AL83" s="379"/>
      <c r="AM83" s="50"/>
      <c r="AN83" s="50"/>
    </row>
    <row r="84" spans="1:40" x14ac:dyDescent="0.25">
      <c r="A84" s="53"/>
      <c r="C84" s="54"/>
      <c r="F84" s="379"/>
      <c r="H84" s="379"/>
      <c r="I84" s="379"/>
      <c r="J84" s="59"/>
      <c r="K84" s="59"/>
      <c r="L84" s="379"/>
      <c r="M84" s="379"/>
      <c r="N84" s="50"/>
      <c r="O84" s="50"/>
      <c r="P84" s="379"/>
      <c r="Q84" s="379"/>
      <c r="R84" s="379"/>
      <c r="T84" s="54"/>
      <c r="V84" s="449"/>
      <c r="Y84" s="379"/>
      <c r="Z84" s="461"/>
      <c r="AA84" s="379"/>
      <c r="AB84" s="379"/>
      <c r="AC84" s="50"/>
      <c r="AD84" s="50"/>
      <c r="AE84" s="379"/>
      <c r="AF84" s="379"/>
      <c r="AG84" s="156"/>
      <c r="AH84" s="60"/>
      <c r="AI84" s="379"/>
      <c r="AJ84" s="379"/>
      <c r="AK84" s="156"/>
      <c r="AL84" s="379"/>
      <c r="AM84" s="50"/>
      <c r="AN84" s="50"/>
    </row>
    <row r="85" spans="1:40" x14ac:dyDescent="0.25">
      <c r="F85" s="379"/>
      <c r="H85" s="379"/>
      <c r="I85" s="379"/>
      <c r="J85" s="464"/>
      <c r="K85" s="464"/>
      <c r="L85" s="381"/>
      <c r="M85" s="381"/>
      <c r="N85" s="381"/>
      <c r="O85" s="381"/>
      <c r="P85" s="381"/>
      <c r="Q85" s="381"/>
      <c r="R85" s="381"/>
      <c r="V85" s="379"/>
      <c r="Y85" s="381"/>
      <c r="Z85" s="464"/>
      <c r="AA85" s="381"/>
      <c r="AB85" s="381"/>
      <c r="AC85" s="381"/>
      <c r="AD85" s="381"/>
      <c r="AE85" s="381"/>
      <c r="AF85" s="381"/>
      <c r="AI85" s="381"/>
      <c r="AJ85" s="381"/>
      <c r="AK85" s="162"/>
      <c r="AL85" s="381"/>
      <c r="AM85" s="50"/>
      <c r="AN85" s="50"/>
    </row>
    <row r="86" spans="1:40" x14ac:dyDescent="0.25">
      <c r="A86" s="53"/>
      <c r="C86" s="54"/>
      <c r="F86" s="379"/>
      <c r="H86" s="379"/>
      <c r="I86" s="379"/>
      <c r="J86" s="59"/>
      <c r="K86" s="59"/>
      <c r="L86" s="379"/>
      <c r="M86" s="379"/>
      <c r="N86" s="50"/>
      <c r="O86" s="50"/>
      <c r="P86" s="379"/>
      <c r="Q86" s="379"/>
      <c r="R86" s="379"/>
      <c r="T86" s="54"/>
      <c r="V86" s="379"/>
      <c r="Y86" s="379"/>
      <c r="Z86" s="464"/>
      <c r="AA86" s="379"/>
      <c r="AB86" s="379"/>
      <c r="AC86" s="50"/>
      <c r="AD86" s="50"/>
      <c r="AE86" s="379"/>
      <c r="AF86" s="379"/>
      <c r="AG86" s="156"/>
      <c r="AH86" s="60"/>
      <c r="AI86" s="379"/>
      <c r="AJ86" s="379"/>
      <c r="AK86" s="156"/>
      <c r="AL86" s="379"/>
      <c r="AM86" s="50"/>
      <c r="AN86" s="50"/>
    </row>
    <row r="87" spans="1:40" x14ac:dyDescent="0.25">
      <c r="A87" s="53"/>
      <c r="C87" s="54"/>
      <c r="F87" s="449"/>
      <c r="H87" s="449"/>
      <c r="I87" s="449"/>
      <c r="J87" s="472"/>
      <c r="K87" s="472"/>
      <c r="L87" s="379"/>
      <c r="M87" s="379"/>
      <c r="N87" s="50"/>
      <c r="O87" s="50"/>
      <c r="P87" s="379"/>
      <c r="Q87" s="379"/>
      <c r="R87" s="379"/>
      <c r="V87" s="379"/>
      <c r="Y87" s="381"/>
      <c r="Z87" s="464"/>
      <c r="AA87" s="381"/>
      <c r="AB87" s="381"/>
      <c r="AC87" s="381"/>
      <c r="AD87" s="381"/>
      <c r="AE87" s="381"/>
      <c r="AF87" s="381"/>
      <c r="AI87" s="381"/>
      <c r="AJ87" s="381"/>
      <c r="AK87" s="162"/>
      <c r="AL87" s="381"/>
      <c r="AM87" s="50"/>
      <c r="AN87" s="50"/>
    </row>
    <row r="88" spans="1:40" x14ac:dyDescent="0.25">
      <c r="F88" s="381"/>
      <c r="H88" s="381"/>
      <c r="I88" s="381"/>
      <c r="J88" s="464"/>
      <c r="K88" s="464"/>
      <c r="L88" s="381"/>
      <c r="M88" s="381"/>
      <c r="N88" s="381"/>
      <c r="O88" s="381"/>
      <c r="P88" s="381"/>
      <c r="Q88" s="381"/>
      <c r="R88" s="381"/>
      <c r="T88" s="54"/>
      <c r="V88" s="379"/>
      <c r="Y88" s="379"/>
      <c r="Z88" s="464"/>
      <c r="AA88" s="379"/>
      <c r="AB88" s="379"/>
      <c r="AC88" s="379"/>
      <c r="AD88" s="379"/>
      <c r="AE88" s="379"/>
      <c r="AF88" s="379"/>
      <c r="AG88" s="156"/>
      <c r="AH88" s="60"/>
      <c r="AI88" s="379"/>
      <c r="AJ88" s="379"/>
      <c r="AK88" s="156"/>
      <c r="AL88" s="379"/>
      <c r="AM88" s="50"/>
      <c r="AN88" s="50"/>
    </row>
    <row r="89" spans="1:40" x14ac:dyDescent="0.25">
      <c r="A89" s="53"/>
      <c r="C89" s="54"/>
      <c r="F89" s="379"/>
      <c r="H89" s="379"/>
      <c r="I89" s="379"/>
      <c r="J89" s="464"/>
      <c r="K89" s="464"/>
      <c r="L89" s="379"/>
      <c r="M89" s="379"/>
      <c r="N89" s="50"/>
      <c r="O89" s="50"/>
      <c r="P89" s="379"/>
      <c r="Q89" s="379"/>
      <c r="R89" s="379"/>
      <c r="S89" s="379"/>
      <c r="T89" s="54"/>
      <c r="V89" s="379"/>
      <c r="Y89" s="379"/>
      <c r="Z89" s="221"/>
      <c r="AA89" s="379"/>
      <c r="AB89" s="379"/>
      <c r="AC89" s="50"/>
      <c r="AD89" s="50"/>
      <c r="AE89" s="379"/>
      <c r="AF89" s="379"/>
      <c r="AG89" s="156"/>
      <c r="AH89" s="60"/>
      <c r="AI89" s="379"/>
      <c r="AJ89" s="379"/>
      <c r="AK89" s="156"/>
      <c r="AL89" s="379"/>
      <c r="AM89" s="50"/>
      <c r="AN89" s="50"/>
    </row>
    <row r="90" spans="1:40" x14ac:dyDescent="0.25">
      <c r="F90" s="381"/>
      <c r="H90" s="381"/>
      <c r="I90" s="381"/>
      <c r="J90" s="464"/>
      <c r="K90" s="464"/>
      <c r="L90" s="381"/>
      <c r="M90" s="381"/>
      <c r="N90" s="381"/>
      <c r="O90" s="381"/>
      <c r="P90" s="381"/>
      <c r="Q90" s="381"/>
      <c r="R90" s="381"/>
      <c r="S90" s="379"/>
      <c r="T90" s="54"/>
      <c r="Y90" s="379"/>
      <c r="Z90" s="221"/>
      <c r="AA90" s="379"/>
      <c r="AB90" s="379"/>
      <c r="AC90" s="50"/>
      <c r="AD90" s="50"/>
      <c r="AE90" s="379"/>
      <c r="AF90" s="379"/>
      <c r="AG90" s="156"/>
      <c r="AH90" s="60"/>
      <c r="AI90" s="379"/>
      <c r="AJ90" s="379"/>
      <c r="AK90" s="156"/>
      <c r="AL90" s="379"/>
      <c r="AM90" s="50"/>
      <c r="AN90" s="50"/>
    </row>
    <row r="91" spans="1:40" x14ac:dyDescent="0.25">
      <c r="A91" s="53"/>
      <c r="C91" s="54"/>
      <c r="V91" s="379"/>
      <c r="Y91" s="379"/>
      <c r="Z91" s="464"/>
      <c r="AA91" s="381"/>
      <c r="AB91" s="381"/>
      <c r="AC91" s="381"/>
      <c r="AD91" s="381"/>
      <c r="AE91" s="381"/>
      <c r="AF91" s="381"/>
      <c r="AI91" s="381"/>
      <c r="AJ91" s="381"/>
      <c r="AK91" s="162"/>
      <c r="AL91" s="381"/>
      <c r="AM91" s="50"/>
      <c r="AN91" s="50"/>
    </row>
    <row r="92" spans="1:40" x14ac:dyDescent="0.25">
      <c r="A92" s="53"/>
      <c r="C92" s="54"/>
      <c r="F92" s="379"/>
      <c r="H92" s="379"/>
      <c r="I92" s="379"/>
      <c r="L92" s="379"/>
      <c r="M92" s="379"/>
      <c r="N92" s="50"/>
      <c r="O92" s="50"/>
      <c r="P92" s="449"/>
      <c r="Q92" s="449"/>
      <c r="R92" s="379"/>
      <c r="T92" s="54"/>
      <c r="V92" s="379"/>
      <c r="Y92" s="379"/>
      <c r="Z92" s="59"/>
      <c r="AA92" s="379"/>
      <c r="AB92" s="379"/>
      <c r="AC92" s="50"/>
      <c r="AD92" s="50"/>
      <c r="AE92" s="379"/>
      <c r="AF92" s="379"/>
      <c r="AG92" s="156"/>
      <c r="AH92" s="60"/>
      <c r="AI92" s="379"/>
      <c r="AJ92" s="379"/>
      <c r="AK92" s="156"/>
      <c r="AL92" s="379"/>
      <c r="AM92" s="50"/>
      <c r="AN92" s="50"/>
    </row>
    <row r="93" spans="1:40" x14ac:dyDescent="0.25">
      <c r="F93" s="381"/>
      <c r="H93" s="381"/>
      <c r="I93" s="381"/>
      <c r="J93" s="464"/>
      <c r="K93" s="464"/>
      <c r="L93" s="381"/>
      <c r="M93" s="381"/>
      <c r="N93" s="381"/>
      <c r="O93" s="381"/>
      <c r="P93" s="381"/>
      <c r="Q93" s="381"/>
      <c r="R93" s="381"/>
      <c r="V93" s="379"/>
      <c r="Y93" s="379"/>
      <c r="Z93" s="464"/>
      <c r="AA93" s="381"/>
      <c r="AB93" s="381"/>
      <c r="AC93" s="381"/>
      <c r="AD93" s="381"/>
      <c r="AE93" s="381"/>
      <c r="AF93" s="381"/>
      <c r="AI93" s="381"/>
      <c r="AJ93" s="381"/>
      <c r="AK93" s="162"/>
      <c r="AL93" s="381"/>
      <c r="AM93" s="50"/>
      <c r="AN93" s="50"/>
    </row>
    <row r="94" spans="1:40" x14ac:dyDescent="0.25">
      <c r="T94" s="54"/>
      <c r="V94" s="379"/>
      <c r="Y94" s="379"/>
      <c r="Z94" s="59"/>
      <c r="AA94" s="379"/>
      <c r="AB94" s="379"/>
      <c r="AC94" s="50"/>
      <c r="AD94" s="50"/>
      <c r="AE94" s="379"/>
      <c r="AF94" s="379"/>
      <c r="AG94" s="156"/>
      <c r="AH94" s="60"/>
      <c r="AI94" s="379"/>
      <c r="AJ94" s="379"/>
      <c r="AK94" s="156"/>
      <c r="AL94" s="379"/>
      <c r="AM94" s="50"/>
      <c r="AN94" s="50"/>
    </row>
    <row r="95" spans="1:40" x14ac:dyDescent="0.25">
      <c r="C95" s="54"/>
      <c r="L95" s="379"/>
      <c r="M95" s="379"/>
      <c r="N95" s="379"/>
      <c r="O95" s="379"/>
      <c r="P95" s="379"/>
      <c r="Q95" s="379"/>
      <c r="R95" s="379"/>
      <c r="S95" s="379"/>
      <c r="T95" s="54"/>
      <c r="V95" s="449"/>
      <c r="Y95" s="379"/>
      <c r="Z95" s="472"/>
      <c r="AA95" s="379"/>
      <c r="AB95" s="379"/>
      <c r="AC95" s="50"/>
      <c r="AD95" s="50"/>
      <c r="AE95" s="379"/>
      <c r="AF95" s="379"/>
      <c r="AG95" s="156"/>
      <c r="AH95" s="60"/>
      <c r="AI95" s="379"/>
      <c r="AJ95" s="379"/>
      <c r="AK95" s="156"/>
      <c r="AL95" s="379"/>
      <c r="AM95" s="50"/>
      <c r="AN95" s="50"/>
    </row>
    <row r="96" spans="1:40" x14ac:dyDescent="0.25">
      <c r="A96" s="54"/>
      <c r="V96" s="381"/>
      <c r="Y96" s="381"/>
      <c r="Z96" s="464"/>
      <c r="AA96" s="381"/>
      <c r="AB96" s="381"/>
      <c r="AC96" s="381"/>
      <c r="AD96" s="381"/>
      <c r="AE96" s="381"/>
      <c r="AF96" s="381"/>
      <c r="AI96" s="381"/>
      <c r="AJ96" s="381"/>
      <c r="AK96" s="162"/>
      <c r="AL96" s="381"/>
      <c r="AM96" s="50"/>
      <c r="AN96" s="50"/>
    </row>
    <row r="97" spans="1:40" x14ac:dyDescent="0.25">
      <c r="J97" s="53"/>
      <c r="K97" s="53"/>
      <c r="T97" s="54"/>
      <c r="V97" s="379"/>
      <c r="Y97" s="379"/>
      <c r="Z97" s="464"/>
      <c r="AA97" s="379"/>
      <c r="AB97" s="379"/>
      <c r="AC97" s="50"/>
      <c r="AD97" s="50"/>
      <c r="AE97" s="379"/>
      <c r="AF97" s="379"/>
      <c r="AG97" s="156"/>
      <c r="AH97" s="50"/>
      <c r="AI97" s="379"/>
      <c r="AJ97" s="379"/>
      <c r="AK97" s="156"/>
      <c r="AL97" s="379"/>
      <c r="AM97" s="50"/>
      <c r="AN97" s="50"/>
    </row>
    <row r="98" spans="1:40" x14ac:dyDescent="0.25">
      <c r="H98" s="54"/>
      <c r="I98" s="54"/>
      <c r="V98" s="381"/>
      <c r="Y98" s="381"/>
      <c r="Z98" s="464"/>
      <c r="AA98" s="381"/>
      <c r="AB98" s="381"/>
      <c r="AC98" s="381"/>
      <c r="AD98" s="381"/>
      <c r="AE98" s="381"/>
      <c r="AF98" s="381"/>
      <c r="AI98" s="381"/>
      <c r="AJ98" s="381"/>
      <c r="AK98" s="162"/>
      <c r="AL98" s="381"/>
      <c r="AM98" s="50"/>
      <c r="AN98" s="50"/>
    </row>
    <row r="99" spans="1:40" x14ac:dyDescent="0.25">
      <c r="J99" s="53"/>
      <c r="K99" s="53"/>
      <c r="T99" s="54"/>
    </row>
    <row r="100" spans="1:40" x14ac:dyDescent="0.25">
      <c r="L100" s="54"/>
      <c r="M100" s="54"/>
      <c r="AA100" s="54"/>
      <c r="AB100" s="54"/>
    </row>
    <row r="101" spans="1:40" x14ac:dyDescent="0.25">
      <c r="A101" s="53"/>
      <c r="R101" s="54"/>
      <c r="AK101" s="161"/>
      <c r="AL101" s="54"/>
    </row>
    <row r="102" spans="1:40" x14ac:dyDescent="0.25">
      <c r="A102" s="53"/>
      <c r="R102" s="54"/>
      <c r="AK102" s="161"/>
      <c r="AL102" s="54"/>
    </row>
    <row r="103" spans="1:40" x14ac:dyDescent="0.25">
      <c r="A103" s="54"/>
      <c r="R103" s="54"/>
      <c r="AK103" s="161"/>
      <c r="AL103" s="54"/>
    </row>
    <row r="104" spans="1:40" x14ac:dyDescent="0.25">
      <c r="L104" s="54"/>
      <c r="M104" s="54"/>
      <c r="R104" s="53"/>
      <c r="AA104" s="54"/>
      <c r="AB104" s="54"/>
      <c r="AK104" s="156"/>
      <c r="AL104" s="53"/>
    </row>
    <row r="105" spans="1:40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154"/>
      <c r="AH105" s="55"/>
      <c r="AI105" s="55"/>
      <c r="AJ105" s="55"/>
      <c r="AK105" s="154"/>
      <c r="AL105" s="55"/>
      <c r="AM105" s="55"/>
      <c r="AN105" s="55"/>
    </row>
    <row r="106" spans="1:40" x14ac:dyDescent="0.25">
      <c r="L106" s="56"/>
      <c r="M106" s="56"/>
      <c r="N106" s="56"/>
      <c r="O106" s="56"/>
      <c r="R106" s="56"/>
      <c r="AA106" s="56"/>
      <c r="AB106" s="56"/>
      <c r="AC106" s="56"/>
      <c r="AD106" s="56"/>
      <c r="AE106" s="56"/>
      <c r="AF106" s="56"/>
      <c r="AG106" s="155"/>
      <c r="AH106" s="56"/>
      <c r="AK106" s="155"/>
      <c r="AL106" s="56"/>
      <c r="AM106" s="56"/>
      <c r="AN106" s="56"/>
    </row>
    <row r="107" spans="1:40" x14ac:dyDescent="0.25">
      <c r="L107" s="56"/>
      <c r="M107" s="56"/>
      <c r="N107" s="56"/>
      <c r="O107" s="56"/>
      <c r="R107" s="56"/>
      <c r="Z107" s="56"/>
      <c r="AA107" s="56"/>
      <c r="AB107" s="56"/>
      <c r="AC107" s="56"/>
      <c r="AD107" s="56"/>
      <c r="AE107" s="56"/>
      <c r="AF107" s="56"/>
      <c r="AG107" s="155"/>
      <c r="AH107" s="56"/>
      <c r="AK107" s="155"/>
      <c r="AL107" s="56"/>
      <c r="AM107" s="56"/>
      <c r="AN107" s="56"/>
    </row>
    <row r="108" spans="1:40" x14ac:dyDescent="0.25">
      <c r="A108" s="56"/>
      <c r="C108" s="56"/>
      <c r="D108" s="56"/>
      <c r="E108" s="56"/>
      <c r="F108" s="56"/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Z108" s="56"/>
      <c r="AA108" s="56"/>
      <c r="AB108" s="56"/>
      <c r="AC108" s="56"/>
      <c r="AD108" s="56"/>
      <c r="AE108" s="56"/>
      <c r="AF108" s="56"/>
      <c r="AG108" s="155"/>
      <c r="AH108" s="56"/>
      <c r="AI108" s="56"/>
      <c r="AJ108" s="56"/>
      <c r="AK108" s="155"/>
      <c r="AL108" s="56"/>
      <c r="AM108" s="56"/>
      <c r="AN108" s="56"/>
    </row>
    <row r="109" spans="1:40" x14ac:dyDescent="0.25">
      <c r="A109" s="56"/>
      <c r="C109" s="56"/>
      <c r="D109" s="56"/>
      <c r="E109" s="56"/>
      <c r="F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Y109" s="56"/>
      <c r="Z109" s="56"/>
      <c r="AA109" s="56"/>
      <c r="AB109" s="56"/>
      <c r="AC109" s="56"/>
      <c r="AD109" s="56"/>
      <c r="AE109" s="56"/>
      <c r="AF109" s="56"/>
      <c r="AG109" s="155"/>
      <c r="AH109" s="56"/>
      <c r="AI109" s="56"/>
      <c r="AJ109" s="56"/>
      <c r="AK109" s="155"/>
      <c r="AL109" s="56"/>
      <c r="AM109" s="56"/>
      <c r="AN109" s="56"/>
    </row>
    <row r="110" spans="1:40" x14ac:dyDescent="0.25">
      <c r="C110" s="56"/>
      <c r="D110" s="56"/>
      <c r="E110" s="56"/>
      <c r="F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Y110" s="56"/>
      <c r="Z110" s="56"/>
      <c r="AA110" s="56"/>
      <c r="AB110" s="56"/>
      <c r="AC110" s="56"/>
      <c r="AD110" s="56"/>
      <c r="AE110" s="56"/>
      <c r="AF110" s="56"/>
      <c r="AG110" s="155"/>
      <c r="AH110" s="56"/>
      <c r="AI110" s="56"/>
      <c r="AJ110" s="56"/>
      <c r="AK110" s="155"/>
      <c r="AL110" s="56"/>
      <c r="AM110" s="56"/>
      <c r="AN110" s="56"/>
    </row>
    <row r="111" spans="1:40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154"/>
      <c r="AH111" s="55"/>
      <c r="AI111" s="55"/>
      <c r="AJ111" s="55"/>
      <c r="AK111" s="154"/>
      <c r="AL111" s="55"/>
      <c r="AM111" s="55"/>
      <c r="AN111" s="55"/>
    </row>
    <row r="112" spans="1:40" x14ac:dyDescent="0.25"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Y112" s="56"/>
      <c r="Z112" s="56"/>
      <c r="AA112" s="56"/>
      <c r="AB112" s="56"/>
      <c r="AC112" s="56"/>
      <c r="AD112" s="56"/>
      <c r="AE112" s="56"/>
      <c r="AF112" s="56"/>
      <c r="AG112" s="155"/>
      <c r="AH112" s="56"/>
      <c r="AI112" s="56"/>
      <c r="AJ112" s="56"/>
      <c r="AK112" s="155"/>
      <c r="AL112" s="56"/>
      <c r="AM112" s="56"/>
      <c r="AN112" s="56"/>
    </row>
    <row r="113" spans="1:40" x14ac:dyDescent="0.25">
      <c r="A113" s="53"/>
      <c r="C113" s="54"/>
      <c r="D113" s="54"/>
      <c r="E113" s="54"/>
      <c r="T113" s="54"/>
      <c r="U113" s="54"/>
    </row>
    <row r="114" spans="1:40" x14ac:dyDescent="0.25">
      <c r="A114" s="53"/>
      <c r="D114" s="54"/>
      <c r="E114" s="54"/>
      <c r="U114" s="54"/>
    </row>
    <row r="116" spans="1:40" x14ac:dyDescent="0.25">
      <c r="A116" s="53"/>
      <c r="C116" s="54"/>
      <c r="F116" s="449"/>
      <c r="H116" s="449"/>
      <c r="I116" s="449"/>
      <c r="J116" s="461"/>
      <c r="K116" s="461"/>
      <c r="L116" s="379"/>
      <c r="M116" s="379"/>
      <c r="N116" s="50"/>
      <c r="O116" s="50"/>
      <c r="R116" s="379"/>
      <c r="T116" s="54"/>
      <c r="V116" s="379"/>
      <c r="Y116" s="449"/>
      <c r="Z116" s="461"/>
      <c r="AA116" s="379"/>
      <c r="AB116" s="379"/>
      <c r="AC116" s="50"/>
      <c r="AD116" s="50"/>
      <c r="AE116" s="379"/>
      <c r="AF116" s="379"/>
      <c r="AG116" s="474"/>
      <c r="AH116" s="475"/>
      <c r="AK116" s="156"/>
      <c r="AL116" s="379"/>
      <c r="AM116" s="476"/>
      <c r="AN116" s="476"/>
    </row>
    <row r="117" spans="1:40" x14ac:dyDescent="0.25">
      <c r="A117" s="53"/>
      <c r="C117" s="54"/>
      <c r="F117" s="449"/>
      <c r="H117" s="449"/>
      <c r="I117" s="449"/>
      <c r="J117" s="461"/>
      <c r="K117" s="461"/>
      <c r="L117" s="379"/>
      <c r="M117" s="379"/>
      <c r="N117" s="50"/>
      <c r="O117" s="50"/>
      <c r="P117" s="53"/>
      <c r="Q117" s="53"/>
      <c r="R117" s="379"/>
      <c r="T117" s="54"/>
      <c r="V117" s="379"/>
      <c r="Y117" s="449"/>
      <c r="Z117" s="461"/>
      <c r="AA117" s="379"/>
      <c r="AB117" s="379"/>
      <c r="AC117" s="50"/>
      <c r="AD117" s="50"/>
      <c r="AE117" s="379"/>
      <c r="AF117" s="379"/>
      <c r="AG117" s="156"/>
      <c r="AH117" s="60"/>
      <c r="AI117" s="53"/>
      <c r="AJ117" s="53"/>
      <c r="AK117" s="156"/>
      <c r="AL117" s="379"/>
      <c r="AM117" s="50"/>
      <c r="AN117" s="50"/>
    </row>
    <row r="118" spans="1:40" x14ac:dyDescent="0.25">
      <c r="F118" s="381"/>
      <c r="H118" s="379"/>
      <c r="I118" s="379"/>
      <c r="J118" s="464"/>
      <c r="K118" s="464"/>
      <c r="L118" s="381"/>
      <c r="M118" s="381"/>
      <c r="N118" s="381"/>
      <c r="O118" s="381"/>
      <c r="P118" s="381"/>
      <c r="Q118" s="381"/>
      <c r="R118" s="381"/>
      <c r="V118" s="381"/>
      <c r="Y118" s="379"/>
      <c r="Z118" s="464"/>
      <c r="AA118" s="381"/>
      <c r="AB118" s="381"/>
      <c r="AC118" s="381"/>
      <c r="AD118" s="381"/>
      <c r="AE118" s="381"/>
      <c r="AF118" s="381"/>
      <c r="AI118" s="381"/>
      <c r="AJ118" s="381"/>
      <c r="AK118" s="162"/>
      <c r="AL118" s="381"/>
      <c r="AM118" s="50"/>
      <c r="AN118" s="50"/>
    </row>
    <row r="119" spans="1:40" x14ac:dyDescent="0.25">
      <c r="A119" s="53"/>
      <c r="C119" s="54"/>
      <c r="F119" s="379"/>
      <c r="H119" s="379"/>
      <c r="I119" s="379"/>
      <c r="J119" s="464"/>
      <c r="K119" s="464"/>
      <c r="L119" s="379"/>
      <c r="M119" s="379"/>
      <c r="N119" s="50"/>
      <c r="O119" s="50"/>
      <c r="P119" s="379"/>
      <c r="Q119" s="379"/>
      <c r="R119" s="379"/>
      <c r="T119" s="54"/>
      <c r="V119" s="379"/>
      <c r="Y119" s="379"/>
      <c r="Z119" s="59"/>
      <c r="AA119" s="379"/>
      <c r="AB119" s="379"/>
      <c r="AC119" s="50"/>
      <c r="AD119" s="50"/>
      <c r="AE119" s="379"/>
      <c r="AF119" s="379"/>
      <c r="AG119" s="156"/>
      <c r="AH119" s="60"/>
      <c r="AI119" s="379"/>
      <c r="AJ119" s="379"/>
      <c r="AK119" s="156"/>
      <c r="AL119" s="379"/>
      <c r="AM119" s="50"/>
      <c r="AN119" s="50"/>
    </row>
    <row r="120" spans="1:40" x14ac:dyDescent="0.25">
      <c r="F120" s="381"/>
      <c r="H120" s="379"/>
      <c r="I120" s="379"/>
      <c r="J120" s="464"/>
      <c r="K120" s="464"/>
      <c r="L120" s="381"/>
      <c r="M120" s="381"/>
      <c r="N120" s="381"/>
      <c r="O120" s="381"/>
      <c r="P120" s="381"/>
      <c r="Q120" s="381"/>
      <c r="R120" s="381"/>
      <c r="V120" s="381"/>
      <c r="Y120" s="379"/>
      <c r="Z120" s="464"/>
      <c r="AA120" s="381"/>
      <c r="AB120" s="381"/>
      <c r="AC120" s="381"/>
      <c r="AD120" s="381"/>
      <c r="AE120" s="381"/>
      <c r="AF120" s="381"/>
      <c r="AI120" s="381"/>
      <c r="AJ120" s="381"/>
      <c r="AK120" s="162"/>
      <c r="AL120" s="381"/>
      <c r="AM120" s="50"/>
      <c r="AN120" s="50"/>
    </row>
    <row r="121" spans="1:40" x14ac:dyDescent="0.25">
      <c r="F121" s="379"/>
      <c r="H121" s="379"/>
      <c r="I121" s="379"/>
      <c r="J121" s="464"/>
      <c r="K121" s="464"/>
      <c r="L121" s="379"/>
      <c r="M121" s="379"/>
      <c r="N121" s="50"/>
      <c r="O121" s="50"/>
      <c r="P121" s="379"/>
      <c r="Q121" s="379"/>
      <c r="R121" s="379"/>
      <c r="V121" s="379"/>
      <c r="Y121" s="379"/>
      <c r="Z121" s="59"/>
      <c r="AA121" s="379"/>
      <c r="AB121" s="379"/>
      <c r="AC121" s="50"/>
      <c r="AD121" s="50"/>
      <c r="AE121" s="379"/>
      <c r="AF121" s="379"/>
      <c r="AG121" s="156"/>
      <c r="AH121" s="60"/>
      <c r="AI121" s="379"/>
      <c r="AJ121" s="379"/>
      <c r="AK121" s="156"/>
      <c r="AL121" s="379"/>
      <c r="AM121" s="50"/>
      <c r="AN121" s="50"/>
    </row>
    <row r="122" spans="1:40" x14ac:dyDescent="0.25">
      <c r="A122" s="53"/>
      <c r="C122" s="54"/>
      <c r="F122" s="449"/>
      <c r="H122" s="449"/>
      <c r="I122" s="449"/>
      <c r="J122" s="461"/>
      <c r="K122" s="461"/>
      <c r="L122" s="379"/>
      <c r="M122" s="379"/>
      <c r="N122" s="50"/>
      <c r="O122" s="50"/>
      <c r="P122" s="379"/>
      <c r="Q122" s="379"/>
      <c r="R122" s="379"/>
      <c r="T122" s="54"/>
      <c r="V122" s="449"/>
      <c r="Y122" s="379"/>
      <c r="Z122" s="461"/>
      <c r="AA122" s="379"/>
      <c r="AB122" s="379"/>
      <c r="AC122" s="50"/>
      <c r="AD122" s="50"/>
      <c r="AE122" s="379"/>
      <c r="AF122" s="379"/>
      <c r="AG122" s="474"/>
      <c r="AH122" s="475"/>
      <c r="AI122" s="379"/>
      <c r="AJ122" s="379"/>
      <c r="AK122" s="156"/>
      <c r="AL122" s="379"/>
      <c r="AM122" s="476"/>
      <c r="AN122" s="476"/>
    </row>
    <row r="123" spans="1:40" x14ac:dyDescent="0.25">
      <c r="A123" s="53"/>
      <c r="C123" s="54"/>
      <c r="F123" s="449"/>
      <c r="H123" s="449"/>
      <c r="I123" s="449"/>
      <c r="J123" s="461"/>
      <c r="K123" s="461"/>
      <c r="L123" s="379"/>
      <c r="M123" s="379"/>
      <c r="N123" s="50"/>
      <c r="O123" s="50"/>
      <c r="P123" s="379"/>
      <c r="Q123" s="379"/>
      <c r="R123" s="379"/>
      <c r="T123" s="54"/>
      <c r="V123" s="449"/>
      <c r="Y123" s="379"/>
      <c r="Z123" s="461"/>
      <c r="AA123" s="379"/>
      <c r="AB123" s="379"/>
      <c r="AC123" s="50"/>
      <c r="AD123" s="50"/>
      <c r="AE123" s="379"/>
      <c r="AF123" s="379"/>
      <c r="AG123" s="156"/>
      <c r="AH123" s="60"/>
      <c r="AI123" s="379"/>
      <c r="AJ123" s="379"/>
      <c r="AK123" s="156"/>
      <c r="AL123" s="379"/>
      <c r="AM123" s="50"/>
      <c r="AN123" s="50"/>
    </row>
    <row r="124" spans="1:40" x14ac:dyDescent="0.25">
      <c r="F124" s="379"/>
      <c r="H124" s="381"/>
      <c r="I124" s="381"/>
      <c r="J124" s="464"/>
      <c r="K124" s="464"/>
      <c r="L124" s="381"/>
      <c r="M124" s="381"/>
      <c r="N124" s="381"/>
      <c r="O124" s="381"/>
      <c r="P124" s="381"/>
      <c r="Q124" s="381"/>
      <c r="R124" s="381"/>
      <c r="V124" s="379"/>
      <c r="Y124" s="381"/>
      <c r="Z124" s="464"/>
      <c r="AA124" s="381"/>
      <c r="AB124" s="381"/>
      <c r="AC124" s="381"/>
      <c r="AD124" s="381"/>
      <c r="AE124" s="381"/>
      <c r="AF124" s="381"/>
      <c r="AI124" s="381"/>
      <c r="AJ124" s="381"/>
      <c r="AK124" s="162"/>
      <c r="AL124" s="381"/>
      <c r="AM124" s="50"/>
      <c r="AN124" s="50"/>
    </row>
    <row r="125" spans="1:40" x14ac:dyDescent="0.25">
      <c r="A125" s="53"/>
      <c r="C125" s="54"/>
      <c r="F125" s="379"/>
      <c r="H125" s="379"/>
      <c r="I125" s="379"/>
      <c r="J125" s="464"/>
      <c r="K125" s="464"/>
      <c r="L125" s="379"/>
      <c r="M125" s="379"/>
      <c r="N125" s="50"/>
      <c r="O125" s="50"/>
      <c r="P125" s="379"/>
      <c r="Q125" s="379"/>
      <c r="R125" s="379"/>
      <c r="T125" s="54"/>
      <c r="V125" s="379"/>
      <c r="Y125" s="379"/>
      <c r="Z125" s="464"/>
      <c r="AA125" s="379"/>
      <c r="AB125" s="379"/>
      <c r="AC125" s="50"/>
      <c r="AD125" s="50"/>
      <c r="AE125" s="379"/>
      <c r="AF125" s="379"/>
      <c r="AG125" s="156"/>
      <c r="AH125" s="60"/>
      <c r="AI125" s="379"/>
      <c r="AJ125" s="379"/>
      <c r="AK125" s="156"/>
      <c r="AL125" s="379"/>
      <c r="AM125" s="50"/>
      <c r="AN125" s="50"/>
    </row>
    <row r="126" spans="1:40" x14ac:dyDescent="0.25">
      <c r="F126" s="379"/>
      <c r="H126" s="381"/>
      <c r="I126" s="381"/>
      <c r="J126" s="464"/>
      <c r="K126" s="464"/>
      <c r="L126" s="381"/>
      <c r="M126" s="381"/>
      <c r="N126" s="381"/>
      <c r="O126" s="381"/>
      <c r="P126" s="381"/>
      <c r="Q126" s="381"/>
      <c r="R126" s="381"/>
      <c r="V126" s="379"/>
      <c r="Y126" s="381"/>
      <c r="Z126" s="464"/>
      <c r="AA126" s="381"/>
      <c r="AB126" s="381"/>
      <c r="AC126" s="381"/>
      <c r="AD126" s="381"/>
      <c r="AE126" s="381"/>
      <c r="AF126" s="381"/>
      <c r="AI126" s="381"/>
      <c r="AJ126" s="381"/>
      <c r="AK126" s="162"/>
      <c r="AL126" s="381"/>
      <c r="AM126" s="50"/>
      <c r="AN126" s="50"/>
    </row>
    <row r="127" spans="1:40" x14ac:dyDescent="0.25">
      <c r="F127" s="379"/>
      <c r="H127" s="379"/>
      <c r="I127" s="379"/>
      <c r="J127" s="464"/>
      <c r="K127" s="464"/>
      <c r="L127" s="379"/>
      <c r="M127" s="379"/>
      <c r="N127" s="379"/>
      <c r="O127" s="379"/>
      <c r="P127" s="379"/>
      <c r="Q127" s="379"/>
      <c r="R127" s="379"/>
      <c r="V127" s="379"/>
      <c r="Y127" s="379"/>
      <c r="Z127" s="464"/>
      <c r="AA127" s="379"/>
      <c r="AB127" s="379"/>
      <c r="AC127" s="379"/>
      <c r="AD127" s="379"/>
      <c r="AE127" s="379"/>
      <c r="AF127" s="379"/>
      <c r="AG127" s="156"/>
      <c r="AH127" s="60"/>
      <c r="AI127" s="379"/>
      <c r="AJ127" s="379"/>
      <c r="AK127" s="156"/>
      <c r="AL127" s="379"/>
      <c r="AM127" s="50"/>
      <c r="AN127" s="50"/>
    </row>
    <row r="128" spans="1:40" x14ac:dyDescent="0.25">
      <c r="A128" s="53"/>
      <c r="C128" s="54"/>
      <c r="F128" s="449"/>
      <c r="H128" s="449"/>
      <c r="I128" s="449"/>
      <c r="J128" s="472"/>
      <c r="K128" s="472"/>
      <c r="L128" s="379"/>
      <c r="M128" s="379"/>
      <c r="N128" s="50"/>
      <c r="O128" s="50"/>
      <c r="P128" s="449"/>
      <c r="Q128" s="449"/>
      <c r="R128" s="379"/>
      <c r="T128" s="54"/>
      <c r="V128" s="449"/>
      <c r="Y128" s="449"/>
      <c r="Z128" s="477"/>
      <c r="AA128" s="379"/>
      <c r="AB128" s="379"/>
      <c r="AC128" s="50"/>
      <c r="AD128" s="50"/>
      <c r="AE128" s="379"/>
      <c r="AF128" s="379"/>
      <c r="AG128" s="156"/>
      <c r="AH128" s="60"/>
      <c r="AI128" s="449"/>
      <c r="AJ128" s="449"/>
      <c r="AK128" s="156"/>
      <c r="AL128" s="379"/>
      <c r="AM128" s="50"/>
      <c r="AN128" s="50"/>
    </row>
    <row r="129" spans="1:40" x14ac:dyDescent="0.25">
      <c r="A129" s="53"/>
      <c r="C129" s="54"/>
      <c r="F129" s="449"/>
      <c r="H129" s="449"/>
      <c r="I129" s="449"/>
      <c r="J129" s="472"/>
      <c r="K129" s="472"/>
      <c r="L129" s="379"/>
      <c r="M129" s="379"/>
      <c r="N129" s="50"/>
      <c r="O129" s="50"/>
      <c r="P129" s="449"/>
      <c r="Q129" s="449"/>
      <c r="R129" s="379"/>
      <c r="T129" s="54"/>
      <c r="V129" s="449"/>
      <c r="Y129" s="379"/>
      <c r="Z129" s="463"/>
      <c r="AA129" s="379"/>
      <c r="AB129" s="379"/>
      <c r="AC129" s="50"/>
      <c r="AD129" s="50"/>
      <c r="AE129" s="379"/>
      <c r="AF129" s="379"/>
      <c r="AG129" s="156"/>
      <c r="AH129" s="60"/>
      <c r="AI129" s="449"/>
      <c r="AJ129" s="449"/>
      <c r="AK129" s="156"/>
      <c r="AL129" s="379"/>
      <c r="AM129" s="50"/>
      <c r="AN129" s="50"/>
    </row>
    <row r="130" spans="1:40" x14ac:dyDescent="0.25">
      <c r="A130" s="53"/>
      <c r="C130" s="54"/>
      <c r="F130" s="449"/>
      <c r="H130" s="449"/>
      <c r="I130" s="449"/>
      <c r="J130" s="472"/>
      <c r="K130" s="472"/>
      <c r="L130" s="379"/>
      <c r="M130" s="379"/>
      <c r="N130" s="50"/>
      <c r="O130" s="50"/>
      <c r="P130" s="449"/>
      <c r="Q130" s="449"/>
      <c r="R130" s="379"/>
      <c r="T130" s="54"/>
      <c r="V130" s="449"/>
      <c r="Y130" s="379"/>
      <c r="Z130" s="463"/>
      <c r="AA130" s="379"/>
      <c r="AB130" s="379"/>
      <c r="AC130" s="50"/>
      <c r="AD130" s="50"/>
      <c r="AE130" s="379"/>
      <c r="AF130" s="379"/>
      <c r="AG130" s="156"/>
      <c r="AH130" s="60"/>
      <c r="AI130" s="449"/>
      <c r="AJ130" s="449"/>
      <c r="AK130" s="156"/>
      <c r="AL130" s="379"/>
      <c r="AM130" s="50"/>
      <c r="AN130" s="50"/>
    </row>
    <row r="131" spans="1:40" x14ac:dyDescent="0.25">
      <c r="F131" s="381"/>
      <c r="H131" s="381"/>
      <c r="I131" s="381"/>
      <c r="J131" s="464"/>
      <c r="K131" s="464"/>
      <c r="L131" s="381"/>
      <c r="M131" s="381"/>
      <c r="N131" s="381"/>
      <c r="O131" s="381"/>
      <c r="P131" s="381"/>
      <c r="Q131" s="381"/>
      <c r="R131" s="381"/>
      <c r="V131" s="381"/>
      <c r="Y131" s="381"/>
      <c r="Z131" s="464"/>
      <c r="AA131" s="381"/>
      <c r="AB131" s="381"/>
      <c r="AC131" s="381"/>
      <c r="AD131" s="381"/>
      <c r="AE131" s="381"/>
      <c r="AF131" s="381"/>
      <c r="AI131" s="381"/>
      <c r="AJ131" s="381"/>
      <c r="AK131" s="162"/>
      <c r="AL131" s="381"/>
      <c r="AM131" s="50"/>
      <c r="AN131" s="50"/>
    </row>
    <row r="132" spans="1:40" x14ac:dyDescent="0.25">
      <c r="A132" s="53"/>
      <c r="C132" s="54"/>
      <c r="F132" s="379"/>
      <c r="H132" s="379"/>
      <c r="I132" s="379"/>
      <c r="J132" s="59"/>
      <c r="K132" s="59"/>
      <c r="L132" s="379"/>
      <c r="M132" s="379"/>
      <c r="N132" s="50"/>
      <c r="O132" s="50"/>
      <c r="P132" s="379"/>
      <c r="Q132" s="379"/>
      <c r="R132" s="379"/>
      <c r="T132" s="54"/>
      <c r="V132" s="379"/>
      <c r="Y132" s="379"/>
      <c r="Z132" s="59"/>
      <c r="AA132" s="379"/>
      <c r="AB132" s="379"/>
      <c r="AC132" s="50"/>
      <c r="AD132" s="50"/>
      <c r="AE132" s="379"/>
      <c r="AF132" s="379"/>
      <c r="AG132" s="156"/>
      <c r="AH132" s="60"/>
      <c r="AI132" s="379"/>
      <c r="AJ132" s="379"/>
      <c r="AK132" s="156"/>
      <c r="AL132" s="379"/>
      <c r="AM132" s="50"/>
      <c r="AN132" s="50"/>
    </row>
    <row r="133" spans="1:40" x14ac:dyDescent="0.25">
      <c r="F133" s="381"/>
      <c r="H133" s="381"/>
      <c r="I133" s="381"/>
      <c r="J133" s="464"/>
      <c r="K133" s="464"/>
      <c r="L133" s="381"/>
      <c r="M133" s="381"/>
      <c r="N133" s="381"/>
      <c r="O133" s="381"/>
      <c r="P133" s="381"/>
      <c r="Q133" s="381"/>
      <c r="R133" s="381"/>
      <c r="V133" s="381"/>
      <c r="Y133" s="381"/>
      <c r="Z133" s="464"/>
      <c r="AA133" s="381"/>
      <c r="AB133" s="381"/>
      <c r="AC133" s="381"/>
      <c r="AD133" s="381"/>
      <c r="AE133" s="381"/>
      <c r="AF133" s="381"/>
      <c r="AI133" s="381"/>
      <c r="AJ133" s="381"/>
      <c r="AK133" s="162"/>
      <c r="AL133" s="381"/>
      <c r="AM133" s="50"/>
      <c r="AN133" s="50"/>
    </row>
    <row r="134" spans="1:40" x14ac:dyDescent="0.25">
      <c r="A134" s="53"/>
      <c r="C134" s="54"/>
      <c r="F134" s="379"/>
      <c r="H134" s="379"/>
      <c r="I134" s="379"/>
      <c r="J134" s="59"/>
      <c r="K134" s="59"/>
      <c r="L134" s="379"/>
      <c r="M134" s="379"/>
      <c r="N134" s="50"/>
      <c r="O134" s="50"/>
      <c r="P134" s="379"/>
      <c r="Q134" s="379"/>
      <c r="R134" s="379"/>
      <c r="T134" s="54"/>
      <c r="V134" s="379"/>
      <c r="Y134" s="379"/>
      <c r="Z134" s="59"/>
      <c r="AA134" s="379"/>
      <c r="AB134" s="379"/>
      <c r="AC134" s="50"/>
      <c r="AD134" s="50"/>
      <c r="AE134" s="379"/>
      <c r="AF134" s="379"/>
      <c r="AG134" s="156"/>
      <c r="AH134" s="60"/>
      <c r="AI134" s="379"/>
      <c r="AJ134" s="379"/>
      <c r="AK134" s="156"/>
      <c r="AL134" s="379"/>
      <c r="AM134" s="50"/>
      <c r="AN134" s="50"/>
    </row>
    <row r="135" spans="1:40" x14ac:dyDescent="0.25">
      <c r="A135" s="53"/>
      <c r="C135" s="54"/>
      <c r="F135" s="379"/>
      <c r="H135" s="379"/>
      <c r="I135" s="379"/>
      <c r="J135" s="59"/>
      <c r="K135" s="59"/>
      <c r="L135" s="379"/>
      <c r="M135" s="379"/>
      <c r="N135" s="50"/>
      <c r="O135" s="50"/>
      <c r="P135" s="379"/>
      <c r="Q135" s="379"/>
      <c r="R135" s="379"/>
      <c r="T135" s="54"/>
      <c r="V135" s="379"/>
      <c r="Y135" s="379"/>
      <c r="Z135" s="59"/>
      <c r="AA135" s="379"/>
      <c r="AB135" s="379"/>
      <c r="AC135" s="50"/>
      <c r="AD135" s="50"/>
      <c r="AE135" s="379"/>
      <c r="AF135" s="379"/>
      <c r="AG135" s="156"/>
      <c r="AH135" s="60"/>
      <c r="AI135" s="379"/>
      <c r="AJ135" s="379"/>
      <c r="AK135" s="156"/>
      <c r="AL135" s="379"/>
      <c r="AM135" s="50"/>
      <c r="AN135" s="50"/>
    </row>
    <row r="136" spans="1:40" x14ac:dyDescent="0.25">
      <c r="F136" s="381"/>
      <c r="H136" s="381"/>
      <c r="I136" s="381"/>
      <c r="J136" s="464"/>
      <c r="K136" s="464"/>
      <c r="L136" s="381"/>
      <c r="M136" s="381"/>
      <c r="N136" s="381"/>
      <c r="O136" s="381"/>
      <c r="P136" s="381"/>
      <c r="Q136" s="381"/>
      <c r="R136" s="381"/>
      <c r="V136" s="381"/>
      <c r="Y136" s="381"/>
      <c r="Z136" s="464"/>
      <c r="AA136" s="381"/>
      <c r="AB136" s="381"/>
      <c r="AC136" s="381"/>
      <c r="AD136" s="381"/>
      <c r="AE136" s="381"/>
      <c r="AF136" s="381"/>
      <c r="AI136" s="381"/>
      <c r="AJ136" s="381"/>
      <c r="AK136" s="162"/>
      <c r="AL136" s="381"/>
      <c r="AM136" s="379"/>
      <c r="AN136" s="379"/>
    </row>
    <row r="137" spans="1:40" x14ac:dyDescent="0.25">
      <c r="F137" s="379"/>
      <c r="H137" s="379"/>
      <c r="I137" s="379"/>
      <c r="J137" s="59"/>
      <c r="K137" s="59"/>
      <c r="L137" s="379"/>
      <c r="M137" s="379"/>
      <c r="N137" s="379"/>
      <c r="O137" s="379"/>
      <c r="P137" s="379"/>
      <c r="Q137" s="379"/>
      <c r="R137" s="379"/>
      <c r="V137" s="379"/>
      <c r="Y137" s="379"/>
      <c r="Z137" s="59"/>
      <c r="AA137" s="379"/>
      <c r="AB137" s="379"/>
      <c r="AC137" s="379"/>
      <c r="AD137" s="379"/>
    </row>
    <row r="138" spans="1:40" x14ac:dyDescent="0.25">
      <c r="C138" s="54"/>
      <c r="F138" s="379"/>
      <c r="H138" s="379"/>
      <c r="I138" s="379"/>
      <c r="J138" s="59"/>
      <c r="K138" s="59"/>
      <c r="L138" s="379"/>
      <c r="M138" s="379"/>
      <c r="N138" s="379"/>
      <c r="O138" s="379"/>
      <c r="P138" s="379"/>
      <c r="Q138" s="379"/>
      <c r="R138" s="379"/>
      <c r="T138" s="54"/>
      <c r="V138" s="379"/>
      <c r="Y138" s="379"/>
      <c r="Z138" s="59"/>
      <c r="AA138" s="379"/>
      <c r="AB138" s="379"/>
      <c r="AC138" s="379"/>
      <c r="AD138" s="379"/>
    </row>
    <row r="139" spans="1:40" x14ac:dyDescent="0.25">
      <c r="A139" s="54"/>
    </row>
    <row r="140" spans="1:40" x14ac:dyDescent="0.25">
      <c r="J140" s="53"/>
      <c r="K140" s="53"/>
      <c r="Z140" s="53"/>
    </row>
    <row r="141" spans="1:40" x14ac:dyDescent="0.25">
      <c r="H141" s="54"/>
      <c r="I141" s="54"/>
      <c r="Y141" s="54"/>
    </row>
    <row r="142" spans="1:40" x14ac:dyDescent="0.25">
      <c r="J142" s="53"/>
      <c r="K142" s="53"/>
      <c r="Z142" s="53"/>
    </row>
    <row r="143" spans="1:40" x14ac:dyDescent="0.25">
      <c r="L143" s="54"/>
      <c r="M143" s="54"/>
      <c r="AA143" s="54"/>
      <c r="AB143" s="54"/>
    </row>
    <row r="144" spans="1:40" x14ac:dyDescent="0.25">
      <c r="A144" s="53"/>
      <c r="R144" s="54"/>
      <c r="AK144" s="161"/>
      <c r="AL144" s="54"/>
    </row>
    <row r="145" spans="1:40" x14ac:dyDescent="0.25">
      <c r="A145" s="53"/>
      <c r="R145" s="54"/>
      <c r="AK145" s="161"/>
      <c r="AL145" s="54"/>
    </row>
    <row r="146" spans="1:40" x14ac:dyDescent="0.25">
      <c r="A146" s="54"/>
      <c r="R146" s="54"/>
      <c r="AK146" s="161"/>
      <c r="AL146" s="54"/>
    </row>
    <row r="147" spans="1:40" x14ac:dyDescent="0.25">
      <c r="L147" s="54"/>
      <c r="M147" s="54"/>
      <c r="R147" s="53"/>
      <c r="AA147" s="54"/>
      <c r="AB147" s="54"/>
      <c r="AK147" s="156"/>
      <c r="AL147" s="53"/>
    </row>
    <row r="148" spans="1:40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154"/>
      <c r="AH148" s="55"/>
      <c r="AI148" s="55"/>
      <c r="AJ148" s="55"/>
      <c r="AK148" s="154"/>
      <c r="AL148" s="55"/>
      <c r="AM148" s="55"/>
      <c r="AN148" s="55"/>
    </row>
    <row r="149" spans="1:40" x14ac:dyDescent="0.25">
      <c r="L149" s="56"/>
      <c r="M149" s="56"/>
      <c r="N149" s="56"/>
      <c r="O149" s="56"/>
      <c r="R149" s="56"/>
      <c r="AA149" s="56"/>
      <c r="AB149" s="56"/>
      <c r="AC149" s="56"/>
      <c r="AD149" s="56"/>
      <c r="AE149" s="56"/>
      <c r="AF149" s="56"/>
      <c r="AG149" s="155"/>
      <c r="AH149" s="56"/>
      <c r="AK149" s="155"/>
      <c r="AL149" s="56"/>
      <c r="AM149" s="56"/>
      <c r="AN149" s="56"/>
    </row>
    <row r="150" spans="1:40" x14ac:dyDescent="0.25">
      <c r="L150" s="56"/>
      <c r="M150" s="56"/>
      <c r="N150" s="56"/>
      <c r="O150" s="56"/>
      <c r="R150" s="56"/>
      <c r="Z150" s="56"/>
      <c r="AA150" s="56"/>
      <c r="AB150" s="56"/>
      <c r="AC150" s="56"/>
      <c r="AD150" s="56"/>
      <c r="AE150" s="56"/>
      <c r="AF150" s="56"/>
      <c r="AG150" s="155"/>
      <c r="AH150" s="56"/>
      <c r="AK150" s="155"/>
      <c r="AL150" s="56"/>
      <c r="AM150" s="56"/>
      <c r="AN150" s="56"/>
    </row>
    <row r="151" spans="1:40" x14ac:dyDescent="0.25">
      <c r="A151" s="56"/>
      <c r="C151" s="56"/>
      <c r="D151" s="56"/>
      <c r="E151" s="56"/>
      <c r="F151" s="56"/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Z151" s="56"/>
      <c r="AA151" s="56"/>
      <c r="AB151" s="56"/>
      <c r="AC151" s="56"/>
      <c r="AD151" s="56"/>
      <c r="AE151" s="56"/>
      <c r="AF151" s="56"/>
      <c r="AG151" s="155"/>
      <c r="AH151" s="56"/>
      <c r="AI151" s="56"/>
      <c r="AJ151" s="56"/>
      <c r="AK151" s="155"/>
      <c r="AL151" s="56"/>
      <c r="AM151" s="56"/>
      <c r="AN151" s="56"/>
    </row>
    <row r="152" spans="1:40" x14ac:dyDescent="0.25">
      <c r="A152" s="56"/>
      <c r="C152" s="56"/>
      <c r="D152" s="56"/>
      <c r="E152" s="56"/>
      <c r="F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Y152" s="56"/>
      <c r="Z152" s="56"/>
      <c r="AA152" s="56"/>
      <c r="AB152" s="56"/>
      <c r="AC152" s="56"/>
      <c r="AD152" s="56"/>
      <c r="AE152" s="56"/>
      <c r="AF152" s="56"/>
      <c r="AG152" s="155"/>
      <c r="AH152" s="56"/>
      <c r="AI152" s="56"/>
      <c r="AJ152" s="56"/>
      <c r="AK152" s="155"/>
      <c r="AL152" s="56"/>
      <c r="AM152" s="56"/>
      <c r="AN152" s="56"/>
    </row>
    <row r="153" spans="1:40" x14ac:dyDescent="0.25">
      <c r="C153" s="56"/>
      <c r="D153" s="56"/>
      <c r="E153" s="56"/>
      <c r="F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Y153" s="56"/>
      <c r="Z153" s="56"/>
      <c r="AA153" s="56"/>
      <c r="AB153" s="56"/>
      <c r="AC153" s="56"/>
      <c r="AD153" s="56"/>
      <c r="AE153" s="56"/>
      <c r="AF153" s="56"/>
      <c r="AG153" s="155"/>
      <c r="AH153" s="56"/>
      <c r="AI153" s="56"/>
      <c r="AJ153" s="56"/>
      <c r="AK153" s="155"/>
      <c r="AL153" s="56"/>
      <c r="AM153" s="56"/>
      <c r="AN153" s="56"/>
    </row>
    <row r="154" spans="1:40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154"/>
      <c r="AH154" s="55"/>
      <c r="AI154" s="55"/>
      <c r="AJ154" s="55"/>
      <c r="AK154" s="154"/>
      <c r="AL154" s="55"/>
      <c r="AM154" s="55"/>
      <c r="AN154" s="55"/>
    </row>
    <row r="155" spans="1:40" x14ac:dyDescent="0.25"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Y155" s="56"/>
      <c r="Z155" s="56"/>
      <c r="AA155" s="56"/>
      <c r="AB155" s="56"/>
      <c r="AC155" s="56"/>
      <c r="AD155" s="56"/>
      <c r="AE155" s="56"/>
      <c r="AF155" s="56"/>
      <c r="AG155" s="155"/>
      <c r="AH155" s="56"/>
      <c r="AI155" s="56"/>
      <c r="AJ155" s="56"/>
      <c r="AK155" s="155"/>
      <c r="AL155" s="56"/>
      <c r="AM155" s="56"/>
      <c r="AN155" s="56"/>
    </row>
    <row r="156" spans="1:40" x14ac:dyDescent="0.25">
      <c r="A156" s="53"/>
      <c r="C156" s="54"/>
      <c r="D156" s="54"/>
      <c r="E156" s="54"/>
      <c r="T156" s="54"/>
      <c r="U156" s="54"/>
    </row>
    <row r="158" spans="1:40" x14ac:dyDescent="0.25">
      <c r="A158" s="53"/>
      <c r="C158" s="54"/>
      <c r="F158" s="449"/>
      <c r="H158" s="470"/>
      <c r="I158" s="470"/>
      <c r="J158" s="461"/>
      <c r="K158" s="461"/>
      <c r="L158" s="379"/>
      <c r="M158" s="379"/>
      <c r="N158" s="53"/>
      <c r="O158" s="53"/>
      <c r="P158" s="53"/>
      <c r="Q158" s="53"/>
      <c r="R158" s="379"/>
      <c r="T158" s="54"/>
      <c r="V158" s="379"/>
      <c r="Y158" s="53"/>
      <c r="Z158" s="461"/>
      <c r="AA158" s="379"/>
      <c r="AB158" s="379"/>
      <c r="AC158" s="53"/>
      <c r="AD158" s="53"/>
      <c r="AE158" s="379"/>
      <c r="AF158" s="379"/>
      <c r="AG158" s="474"/>
      <c r="AH158" s="475"/>
      <c r="AI158" s="379"/>
      <c r="AJ158" s="379"/>
      <c r="AK158" s="156"/>
      <c r="AL158" s="379"/>
      <c r="AM158" s="476"/>
      <c r="AN158" s="476"/>
    </row>
    <row r="159" spans="1:40" x14ac:dyDescent="0.25">
      <c r="F159" s="449"/>
      <c r="H159" s="470"/>
      <c r="I159" s="470"/>
      <c r="J159" s="470"/>
      <c r="K159" s="470"/>
      <c r="R159" s="379"/>
      <c r="V159" s="379"/>
      <c r="Z159" s="470"/>
    </row>
    <row r="160" spans="1:40" x14ac:dyDescent="0.25">
      <c r="A160" s="53"/>
      <c r="C160" s="54"/>
      <c r="F160" s="449"/>
      <c r="H160" s="449"/>
      <c r="I160" s="449"/>
      <c r="J160" s="472"/>
      <c r="K160" s="472"/>
      <c r="L160" s="379"/>
      <c r="M160" s="379"/>
      <c r="N160" s="50"/>
      <c r="O160" s="50"/>
      <c r="P160" s="449"/>
      <c r="Q160" s="449"/>
      <c r="R160" s="379"/>
      <c r="T160" s="54"/>
      <c r="V160" s="379"/>
      <c r="Y160" s="379"/>
      <c r="Z160" s="463"/>
      <c r="AA160" s="379"/>
      <c r="AB160" s="379"/>
      <c r="AC160" s="50"/>
      <c r="AD160" s="50"/>
      <c r="AE160" s="379"/>
      <c r="AF160" s="379"/>
      <c r="AG160" s="156"/>
      <c r="AH160" s="60"/>
      <c r="AI160" s="449"/>
      <c r="AJ160" s="449"/>
      <c r="AK160" s="156"/>
      <c r="AL160" s="379"/>
      <c r="AM160" s="50"/>
      <c r="AN160" s="50"/>
    </row>
    <row r="161" spans="1:40" x14ac:dyDescent="0.25">
      <c r="F161" s="381"/>
      <c r="H161" s="381"/>
      <c r="I161" s="381"/>
      <c r="J161" s="464"/>
      <c r="K161" s="464"/>
      <c r="L161" s="381"/>
      <c r="M161" s="381"/>
      <c r="N161" s="381"/>
      <c r="O161" s="381"/>
      <c r="P161" s="381"/>
      <c r="Q161" s="381"/>
      <c r="R161" s="381"/>
      <c r="V161" s="381"/>
      <c r="Y161" s="381"/>
      <c r="Z161" s="464"/>
      <c r="AA161" s="381"/>
      <c r="AB161" s="381"/>
      <c r="AC161" s="381"/>
      <c r="AD161" s="381"/>
      <c r="AE161" s="381"/>
      <c r="AF161" s="381"/>
      <c r="AI161" s="381"/>
      <c r="AJ161" s="381"/>
      <c r="AK161" s="162"/>
      <c r="AL161" s="381"/>
    </row>
    <row r="162" spans="1:40" x14ac:dyDescent="0.25">
      <c r="A162" s="53"/>
      <c r="D162" s="54"/>
      <c r="E162" s="54"/>
      <c r="F162" s="379"/>
      <c r="H162" s="379"/>
      <c r="I162" s="379"/>
      <c r="J162" s="59"/>
      <c r="K162" s="59"/>
      <c r="L162" s="379"/>
      <c r="M162" s="379"/>
      <c r="N162" s="50"/>
      <c r="O162" s="50"/>
      <c r="P162" s="379"/>
      <c r="Q162" s="379"/>
      <c r="R162" s="379"/>
      <c r="U162" s="54"/>
      <c r="V162" s="379"/>
      <c r="Y162" s="379"/>
      <c r="Z162" s="59"/>
      <c r="AA162" s="379"/>
      <c r="AB162" s="379"/>
      <c r="AC162" s="50"/>
      <c r="AD162" s="50"/>
      <c r="AE162" s="379"/>
      <c r="AF162" s="379"/>
      <c r="AG162" s="156"/>
      <c r="AH162" s="60"/>
      <c r="AI162" s="379"/>
      <c r="AJ162" s="379"/>
      <c r="AK162" s="156"/>
      <c r="AL162" s="379"/>
      <c r="AM162" s="50"/>
      <c r="AN162" s="50"/>
    </row>
    <row r="163" spans="1:40" x14ac:dyDescent="0.25">
      <c r="F163" s="381"/>
      <c r="H163" s="381"/>
      <c r="I163" s="381"/>
      <c r="J163" s="464"/>
      <c r="K163" s="464"/>
      <c r="L163" s="381"/>
      <c r="M163" s="381"/>
      <c r="N163" s="381"/>
      <c r="O163" s="381"/>
      <c r="P163" s="381"/>
      <c r="Q163" s="381"/>
      <c r="R163" s="381"/>
      <c r="V163" s="381"/>
      <c r="Y163" s="381"/>
      <c r="Z163" s="464"/>
      <c r="AA163" s="381"/>
      <c r="AB163" s="381"/>
      <c r="AC163" s="381"/>
      <c r="AD163" s="381"/>
      <c r="AE163" s="381"/>
      <c r="AF163" s="381"/>
      <c r="AI163" s="381"/>
      <c r="AJ163" s="381"/>
      <c r="AK163" s="162"/>
      <c r="AL163" s="381"/>
    </row>
    <row r="164" spans="1:40" x14ac:dyDescent="0.25">
      <c r="R164" s="379"/>
    </row>
    <row r="165" spans="1:40" x14ac:dyDescent="0.25">
      <c r="R165" s="379"/>
    </row>
    <row r="166" spans="1:40" x14ac:dyDescent="0.25">
      <c r="R166" s="379"/>
    </row>
    <row r="167" spans="1:40" x14ac:dyDescent="0.25">
      <c r="A167" s="53"/>
      <c r="C167" s="54"/>
      <c r="D167" s="54"/>
      <c r="E167" s="54"/>
      <c r="H167" s="379"/>
      <c r="I167" s="379"/>
      <c r="J167" s="59"/>
      <c r="K167" s="59"/>
      <c r="L167" s="379"/>
      <c r="M167" s="379"/>
      <c r="N167" s="50"/>
      <c r="O167" s="50"/>
      <c r="P167" s="379"/>
      <c r="Q167" s="379"/>
      <c r="R167" s="379"/>
      <c r="T167" s="54"/>
      <c r="U167" s="54"/>
      <c r="Y167" s="379"/>
      <c r="Z167" s="59"/>
      <c r="AA167" s="379"/>
      <c r="AB167" s="379"/>
      <c r="AC167" s="50"/>
      <c r="AD167" s="50"/>
    </row>
    <row r="168" spans="1:40" x14ac:dyDescent="0.25">
      <c r="H168" s="379"/>
      <c r="I168" s="379"/>
      <c r="J168" s="59"/>
      <c r="K168" s="59"/>
      <c r="L168" s="379"/>
      <c r="M168" s="379"/>
      <c r="N168" s="50"/>
      <c r="O168" s="50"/>
      <c r="P168" s="379"/>
      <c r="Q168" s="379"/>
      <c r="R168" s="379"/>
      <c r="Y168" s="379"/>
      <c r="Z168" s="59"/>
      <c r="AA168" s="379"/>
      <c r="AB168" s="379"/>
      <c r="AC168" s="50"/>
      <c r="AD168" s="50"/>
    </row>
    <row r="169" spans="1:40" x14ac:dyDescent="0.25">
      <c r="A169" s="53"/>
      <c r="C169" s="54"/>
      <c r="F169" s="449"/>
      <c r="H169" s="449"/>
      <c r="I169" s="449"/>
      <c r="J169" s="61"/>
      <c r="K169" s="61"/>
      <c r="L169" s="449"/>
      <c r="M169" s="449"/>
      <c r="N169" s="50"/>
      <c r="O169" s="50"/>
      <c r="P169" s="379"/>
      <c r="Q169" s="379"/>
      <c r="R169" s="379"/>
      <c r="T169" s="54"/>
      <c r="V169" s="379"/>
      <c r="Y169" s="379"/>
      <c r="Z169" s="61"/>
      <c r="AA169" s="379"/>
      <c r="AB169" s="379"/>
      <c r="AC169" s="50"/>
      <c r="AD169" s="50"/>
      <c r="AE169" s="379"/>
      <c r="AF169" s="379"/>
      <c r="AG169" s="156"/>
      <c r="AH169" s="60"/>
      <c r="AI169" s="379"/>
      <c r="AJ169" s="379"/>
      <c r="AK169" s="156"/>
      <c r="AL169" s="379"/>
      <c r="AM169" s="50"/>
      <c r="AN169" s="50"/>
    </row>
    <row r="170" spans="1:40" x14ac:dyDescent="0.25">
      <c r="F170" s="449"/>
      <c r="H170" s="470"/>
      <c r="I170" s="470"/>
      <c r="J170" s="470"/>
      <c r="K170" s="470"/>
      <c r="R170" s="379"/>
      <c r="V170" s="379"/>
      <c r="Z170" s="470"/>
    </row>
    <row r="171" spans="1:40" x14ac:dyDescent="0.25">
      <c r="A171" s="53"/>
      <c r="C171" s="54"/>
      <c r="F171" s="449"/>
      <c r="H171" s="449"/>
      <c r="I171" s="449"/>
      <c r="J171" s="461"/>
      <c r="K171" s="461"/>
      <c r="L171" s="379"/>
      <c r="M171" s="379"/>
      <c r="N171" s="50"/>
      <c r="O171" s="50"/>
      <c r="P171" s="379"/>
      <c r="Q171" s="379"/>
      <c r="R171" s="379"/>
      <c r="T171" s="54"/>
      <c r="V171" s="379"/>
      <c r="Y171" s="379"/>
      <c r="Z171" s="461"/>
      <c r="AA171" s="379"/>
      <c r="AB171" s="379"/>
      <c r="AC171" s="50"/>
      <c r="AD171" s="50"/>
      <c r="AE171" s="379"/>
      <c r="AF171" s="379"/>
      <c r="AG171" s="156"/>
      <c r="AH171" s="60"/>
      <c r="AI171" s="379"/>
      <c r="AJ171" s="379"/>
      <c r="AK171" s="156"/>
      <c r="AL171" s="379"/>
      <c r="AM171" s="50"/>
      <c r="AN171" s="50"/>
    </row>
    <row r="172" spans="1:40" x14ac:dyDescent="0.25">
      <c r="F172" s="449"/>
      <c r="H172" s="470"/>
      <c r="I172" s="470"/>
      <c r="J172" s="470"/>
      <c r="K172" s="470"/>
      <c r="R172" s="379"/>
      <c r="V172" s="379"/>
      <c r="Z172" s="470"/>
    </row>
    <row r="173" spans="1:40" x14ac:dyDescent="0.25">
      <c r="A173" s="53"/>
      <c r="C173" s="54"/>
      <c r="F173" s="449"/>
      <c r="H173" s="449"/>
      <c r="I173" s="449"/>
      <c r="J173" s="472"/>
      <c r="K173" s="472"/>
      <c r="L173" s="379"/>
      <c r="M173" s="379"/>
      <c r="N173" s="50"/>
      <c r="O173" s="50"/>
      <c r="P173" s="379"/>
      <c r="Q173" s="379"/>
      <c r="R173" s="379"/>
      <c r="T173" s="54"/>
      <c r="V173" s="379"/>
      <c r="Y173" s="379"/>
      <c r="Z173" s="463"/>
      <c r="AA173" s="379"/>
      <c r="AB173" s="379"/>
      <c r="AC173" s="50"/>
      <c r="AD173" s="50"/>
      <c r="AE173" s="379"/>
      <c r="AF173" s="379"/>
      <c r="AG173" s="156"/>
      <c r="AH173" s="60"/>
      <c r="AI173" s="379"/>
      <c r="AJ173" s="379"/>
      <c r="AK173" s="156"/>
      <c r="AL173" s="379"/>
      <c r="AM173" s="50"/>
      <c r="AN173" s="50"/>
    </row>
    <row r="174" spans="1:40" x14ac:dyDescent="0.25">
      <c r="F174" s="381"/>
      <c r="H174" s="381"/>
      <c r="I174" s="381"/>
      <c r="J174" s="464"/>
      <c r="K174" s="464"/>
      <c r="L174" s="381"/>
      <c r="M174" s="381"/>
      <c r="N174" s="381"/>
      <c r="O174" s="381"/>
      <c r="P174" s="381"/>
      <c r="Q174" s="381"/>
      <c r="R174" s="381"/>
      <c r="S174" s="379"/>
      <c r="V174" s="381"/>
      <c r="Y174" s="381"/>
      <c r="Z174" s="464"/>
      <c r="AA174" s="381"/>
      <c r="AB174" s="381"/>
      <c r="AC174" s="381"/>
      <c r="AD174" s="381"/>
      <c r="AE174" s="381"/>
      <c r="AF174" s="381"/>
      <c r="AI174" s="381"/>
      <c r="AJ174" s="381"/>
      <c r="AK174" s="162"/>
      <c r="AL174" s="381"/>
    </row>
    <row r="175" spans="1:40" x14ac:dyDescent="0.25">
      <c r="A175" s="53"/>
      <c r="D175" s="54"/>
      <c r="E175" s="54"/>
      <c r="F175" s="379"/>
      <c r="H175" s="379"/>
      <c r="I175" s="379"/>
      <c r="J175" s="59"/>
      <c r="K175" s="59"/>
      <c r="L175" s="379"/>
      <c r="M175" s="379"/>
      <c r="N175" s="50"/>
      <c r="O175" s="50"/>
      <c r="P175" s="449"/>
      <c r="Q175" s="449"/>
      <c r="R175" s="379"/>
      <c r="S175" s="379"/>
      <c r="U175" s="54"/>
      <c r="V175" s="379"/>
      <c r="Y175" s="379"/>
      <c r="Z175" s="59"/>
      <c r="AA175" s="379"/>
      <c r="AB175" s="379"/>
      <c r="AC175" s="50"/>
      <c r="AD175" s="50"/>
      <c r="AE175" s="379"/>
      <c r="AF175" s="379"/>
      <c r="AG175" s="156"/>
      <c r="AH175" s="60"/>
      <c r="AI175" s="449"/>
      <c r="AJ175" s="449"/>
      <c r="AK175" s="156"/>
      <c r="AL175" s="379"/>
      <c r="AM175" s="50"/>
      <c r="AN175" s="50"/>
    </row>
    <row r="176" spans="1:40" x14ac:dyDescent="0.25">
      <c r="F176" s="381"/>
      <c r="H176" s="381"/>
      <c r="I176" s="381"/>
      <c r="J176" s="464"/>
      <c r="K176" s="464"/>
      <c r="L176" s="381"/>
      <c r="M176" s="381"/>
      <c r="N176" s="381"/>
      <c r="O176" s="381"/>
      <c r="P176" s="381"/>
      <c r="Q176" s="381"/>
      <c r="R176" s="381"/>
      <c r="S176" s="379"/>
      <c r="V176" s="381"/>
      <c r="Y176" s="381"/>
      <c r="Z176" s="464"/>
      <c r="AA176" s="381"/>
      <c r="AB176" s="381"/>
      <c r="AC176" s="381"/>
      <c r="AD176" s="381"/>
      <c r="AE176" s="381"/>
      <c r="AF176" s="381"/>
      <c r="AI176" s="381"/>
      <c r="AJ176" s="381"/>
      <c r="AK176" s="162"/>
      <c r="AL176" s="381"/>
    </row>
    <row r="177" spans="1:40" x14ac:dyDescent="0.25">
      <c r="R177" s="379"/>
    </row>
    <row r="178" spans="1:40" x14ac:dyDescent="0.25">
      <c r="F178" s="379"/>
      <c r="H178" s="379"/>
      <c r="I178" s="379"/>
      <c r="J178" s="59"/>
      <c r="K178" s="59"/>
      <c r="L178" s="379"/>
      <c r="M178" s="379"/>
      <c r="N178" s="379"/>
      <c r="O178" s="379"/>
      <c r="P178" s="379"/>
      <c r="Q178" s="379"/>
      <c r="R178" s="379"/>
      <c r="V178" s="379"/>
      <c r="Y178" s="379"/>
      <c r="Z178" s="59"/>
      <c r="AA178" s="379"/>
      <c r="AB178" s="379"/>
      <c r="AC178" s="379"/>
      <c r="AD178" s="379"/>
    </row>
    <row r="179" spans="1:40" x14ac:dyDescent="0.25">
      <c r="C179" s="54"/>
      <c r="F179" s="379"/>
      <c r="H179" s="379"/>
      <c r="I179" s="379"/>
      <c r="J179" s="59"/>
      <c r="K179" s="59"/>
      <c r="L179" s="379"/>
      <c r="M179" s="379"/>
      <c r="N179" s="379"/>
      <c r="O179" s="379"/>
      <c r="P179" s="379"/>
      <c r="Q179" s="379"/>
      <c r="R179" s="379"/>
      <c r="T179" s="54"/>
      <c r="V179" s="379"/>
      <c r="Y179" s="379"/>
      <c r="Z179" s="59"/>
      <c r="AA179" s="379"/>
      <c r="AB179" s="379"/>
      <c r="AC179" s="379"/>
      <c r="AD179" s="379"/>
    </row>
    <row r="180" spans="1:40" x14ac:dyDescent="0.25">
      <c r="C180" s="54"/>
      <c r="T180" s="54"/>
    </row>
    <row r="181" spans="1:40" x14ac:dyDescent="0.25">
      <c r="A181" s="54"/>
    </row>
    <row r="183" spans="1:40" x14ac:dyDescent="0.25">
      <c r="J183" s="53"/>
      <c r="K183" s="53"/>
      <c r="Z183" s="53"/>
    </row>
    <row r="184" spans="1:40" x14ac:dyDescent="0.25">
      <c r="H184" s="54"/>
      <c r="I184" s="54"/>
      <c r="Y184" s="54"/>
    </row>
    <row r="185" spans="1:40" x14ac:dyDescent="0.25">
      <c r="J185" s="53"/>
      <c r="K185" s="53"/>
      <c r="Z185" s="53"/>
    </row>
    <row r="186" spans="1:40" x14ac:dyDescent="0.25">
      <c r="L186" s="54"/>
      <c r="M186" s="54"/>
      <c r="AA186" s="54"/>
      <c r="AB186" s="54"/>
    </row>
    <row r="187" spans="1:40" x14ac:dyDescent="0.25">
      <c r="A187" s="53"/>
      <c r="R187" s="54"/>
      <c r="AK187" s="161"/>
      <c r="AL187" s="54"/>
    </row>
    <row r="188" spans="1:40" x14ac:dyDescent="0.25">
      <c r="A188" s="53"/>
      <c r="R188" s="54"/>
      <c r="AK188" s="161"/>
      <c r="AL188" s="54"/>
    </row>
    <row r="189" spans="1:40" x14ac:dyDescent="0.25">
      <c r="A189" s="54"/>
      <c r="R189" s="54"/>
      <c r="AK189" s="161"/>
      <c r="AL189" s="54"/>
    </row>
    <row r="190" spans="1:40" x14ac:dyDescent="0.25">
      <c r="L190" s="54"/>
      <c r="M190" s="54"/>
      <c r="R190" s="53"/>
      <c r="AA190" s="54"/>
      <c r="AB190" s="54"/>
      <c r="AK190" s="156"/>
      <c r="AL190" s="53"/>
    </row>
    <row r="191" spans="1:40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154"/>
      <c r="AH191" s="55"/>
      <c r="AI191" s="55"/>
      <c r="AJ191" s="55"/>
      <c r="AK191" s="154"/>
      <c r="AL191" s="55"/>
      <c r="AM191" s="55"/>
      <c r="AN191" s="55"/>
    </row>
    <row r="192" spans="1:40" x14ac:dyDescent="0.25">
      <c r="L192" s="56"/>
      <c r="M192" s="56"/>
      <c r="N192" s="56"/>
      <c r="O192" s="56"/>
      <c r="R192" s="56"/>
      <c r="AA192" s="56"/>
      <c r="AB192" s="56"/>
      <c r="AC192" s="56"/>
      <c r="AD192" s="56"/>
      <c r="AE192" s="56"/>
      <c r="AF192" s="56"/>
      <c r="AG192" s="155"/>
      <c r="AH192" s="56"/>
      <c r="AK192" s="155"/>
      <c r="AL192" s="56"/>
      <c r="AM192" s="56"/>
      <c r="AN192" s="56"/>
    </row>
    <row r="193" spans="1:40" x14ac:dyDescent="0.25">
      <c r="L193" s="56"/>
      <c r="M193" s="56"/>
      <c r="N193" s="56"/>
      <c r="O193" s="56"/>
      <c r="R193" s="56"/>
      <c r="Z193" s="56"/>
      <c r="AA193" s="56"/>
      <c r="AB193" s="56"/>
      <c r="AC193" s="56"/>
      <c r="AD193" s="56"/>
      <c r="AE193" s="56"/>
      <c r="AF193" s="56"/>
      <c r="AG193" s="155"/>
      <c r="AH193" s="56"/>
      <c r="AK193" s="155"/>
      <c r="AL193" s="56"/>
      <c r="AM193" s="56"/>
      <c r="AN193" s="56"/>
    </row>
    <row r="194" spans="1:40" x14ac:dyDescent="0.25">
      <c r="A194" s="56"/>
      <c r="C194" s="56"/>
      <c r="D194" s="56"/>
      <c r="E194" s="56"/>
      <c r="F194" s="56"/>
      <c r="J194" s="56"/>
      <c r="K194" s="56"/>
      <c r="L194" s="56"/>
      <c r="M194" s="56"/>
      <c r="N194" s="56"/>
      <c r="O194" s="56"/>
      <c r="P194" s="56"/>
      <c r="Q194" s="56"/>
      <c r="R194" s="56"/>
      <c r="T194" s="56"/>
      <c r="U194" s="56"/>
      <c r="V194" s="56"/>
      <c r="Z194" s="56"/>
      <c r="AA194" s="56"/>
      <c r="AB194" s="56"/>
      <c r="AC194" s="56"/>
      <c r="AD194" s="56"/>
      <c r="AE194" s="56"/>
      <c r="AF194" s="56"/>
      <c r="AG194" s="155"/>
      <c r="AH194" s="56"/>
      <c r="AI194" s="56"/>
      <c r="AJ194" s="56"/>
      <c r="AK194" s="155"/>
      <c r="AL194" s="56"/>
      <c r="AM194" s="56"/>
      <c r="AN194" s="56"/>
    </row>
    <row r="195" spans="1:40" x14ac:dyDescent="0.25">
      <c r="A195" s="56"/>
      <c r="C195" s="56"/>
      <c r="D195" s="56"/>
      <c r="E195" s="56"/>
      <c r="F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T195" s="56"/>
      <c r="U195" s="56"/>
      <c r="V195" s="56"/>
      <c r="Y195" s="56"/>
      <c r="Z195" s="56"/>
      <c r="AA195" s="56"/>
      <c r="AB195" s="56"/>
      <c r="AC195" s="56"/>
      <c r="AD195" s="56"/>
      <c r="AE195" s="56"/>
      <c r="AF195" s="56"/>
      <c r="AG195" s="155"/>
      <c r="AH195" s="56"/>
      <c r="AI195" s="56"/>
      <c r="AJ195" s="56"/>
      <c r="AK195" s="155"/>
      <c r="AL195" s="56"/>
      <c r="AM195" s="56"/>
      <c r="AN195" s="56"/>
    </row>
    <row r="196" spans="1:40" x14ac:dyDescent="0.25">
      <c r="C196" s="56"/>
      <c r="D196" s="56"/>
      <c r="E196" s="56"/>
      <c r="F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T196" s="56"/>
      <c r="U196" s="56"/>
      <c r="V196" s="56"/>
      <c r="Y196" s="56"/>
      <c r="Z196" s="56"/>
      <c r="AA196" s="56"/>
      <c r="AB196" s="56"/>
      <c r="AC196" s="56"/>
      <c r="AD196" s="56"/>
      <c r="AE196" s="56"/>
      <c r="AF196" s="56"/>
      <c r="AG196" s="155"/>
      <c r="AH196" s="56"/>
      <c r="AI196" s="56"/>
      <c r="AJ196" s="56"/>
      <c r="AK196" s="155"/>
      <c r="AL196" s="56"/>
      <c r="AM196" s="56"/>
      <c r="AN196" s="56"/>
    </row>
    <row r="197" spans="1:40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154"/>
      <c r="AH197" s="55"/>
      <c r="AI197" s="55"/>
      <c r="AJ197" s="55"/>
      <c r="AK197" s="154"/>
      <c r="AL197" s="55"/>
      <c r="AM197" s="55"/>
      <c r="AN197" s="55"/>
    </row>
    <row r="198" spans="1:40" x14ac:dyDescent="0.25"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Y198" s="56"/>
      <c r="Z198" s="56"/>
      <c r="AA198" s="56"/>
      <c r="AB198" s="56"/>
      <c r="AC198" s="56"/>
      <c r="AD198" s="56"/>
      <c r="AE198" s="56"/>
      <c r="AF198" s="56"/>
      <c r="AG198" s="155"/>
      <c r="AH198" s="56"/>
      <c r="AI198" s="56"/>
      <c r="AJ198" s="56"/>
      <c r="AK198" s="155"/>
      <c r="AL198" s="56"/>
      <c r="AM198" s="56"/>
      <c r="AN198" s="56"/>
    </row>
    <row r="199" spans="1:40" x14ac:dyDescent="0.25">
      <c r="A199" s="53"/>
      <c r="C199" s="54"/>
      <c r="D199" s="54"/>
      <c r="E199" s="54"/>
      <c r="T199" s="54"/>
      <c r="U199" s="54"/>
    </row>
    <row r="200" spans="1:40" x14ac:dyDescent="0.25">
      <c r="A200" s="53"/>
      <c r="D200" s="54"/>
      <c r="E200" s="54"/>
      <c r="U200" s="54"/>
    </row>
    <row r="202" spans="1:40" x14ac:dyDescent="0.25">
      <c r="A202" s="53"/>
      <c r="C202" s="54"/>
      <c r="F202" s="379"/>
      <c r="J202" s="62"/>
      <c r="K202" s="62"/>
      <c r="L202" s="379"/>
      <c r="M202" s="379"/>
      <c r="R202" s="379"/>
      <c r="T202" s="54"/>
      <c r="V202" s="379"/>
      <c r="Z202" s="62"/>
      <c r="AA202" s="379"/>
      <c r="AB202" s="379"/>
      <c r="AK202" s="156"/>
      <c r="AL202" s="379"/>
    </row>
    <row r="203" spans="1:40" x14ac:dyDescent="0.25">
      <c r="F203" s="379"/>
      <c r="R203" s="379"/>
      <c r="V203" s="379"/>
      <c r="AK203" s="156"/>
      <c r="AL203" s="379"/>
    </row>
    <row r="204" spans="1:40" x14ac:dyDescent="0.25">
      <c r="A204" s="53"/>
      <c r="C204" s="54"/>
      <c r="F204" s="449"/>
      <c r="H204" s="449"/>
      <c r="I204" s="449"/>
      <c r="J204" s="461"/>
      <c r="K204" s="461"/>
      <c r="L204" s="379"/>
      <c r="M204" s="379"/>
      <c r="N204" s="50"/>
      <c r="O204" s="50"/>
      <c r="P204" s="379"/>
      <c r="Q204" s="379"/>
      <c r="R204" s="379"/>
      <c r="T204" s="54"/>
      <c r="V204" s="379"/>
      <c r="Y204" s="379"/>
      <c r="Z204" s="461"/>
      <c r="AA204" s="379"/>
      <c r="AB204" s="379"/>
      <c r="AC204" s="50"/>
      <c r="AD204" s="50"/>
      <c r="AE204" s="379"/>
      <c r="AF204" s="379"/>
      <c r="AG204" s="156"/>
      <c r="AH204" s="60"/>
      <c r="AI204" s="379"/>
      <c r="AJ204" s="379"/>
      <c r="AK204" s="156"/>
      <c r="AL204" s="379"/>
      <c r="AM204" s="50"/>
      <c r="AN204" s="50"/>
    </row>
    <row r="205" spans="1:40" x14ac:dyDescent="0.25">
      <c r="A205" s="53"/>
      <c r="C205" s="54"/>
      <c r="F205" s="449"/>
      <c r="H205" s="470"/>
      <c r="I205" s="470"/>
      <c r="J205" s="461"/>
      <c r="K205" s="461"/>
      <c r="L205" s="379"/>
      <c r="M205" s="379"/>
      <c r="N205" s="50"/>
      <c r="O205" s="50"/>
      <c r="P205" s="379"/>
      <c r="Q205" s="379"/>
      <c r="R205" s="379"/>
      <c r="T205" s="54"/>
      <c r="V205" s="379"/>
      <c r="Y205" s="379"/>
      <c r="Z205" s="461"/>
      <c r="AA205" s="379"/>
      <c r="AB205" s="379"/>
      <c r="AC205" s="50"/>
      <c r="AD205" s="50"/>
      <c r="AE205" s="379"/>
      <c r="AF205" s="379"/>
      <c r="AG205" s="156"/>
      <c r="AH205" s="60"/>
      <c r="AI205" s="379"/>
      <c r="AJ205" s="379"/>
      <c r="AK205" s="156"/>
      <c r="AL205" s="379"/>
      <c r="AM205" s="50"/>
      <c r="AN205" s="50"/>
    </row>
    <row r="206" spans="1:40" x14ac:dyDescent="0.25">
      <c r="F206" s="381"/>
      <c r="H206" s="379"/>
      <c r="I206" s="379"/>
      <c r="J206" s="464"/>
      <c r="K206" s="464"/>
      <c r="L206" s="381"/>
      <c r="M206" s="381"/>
      <c r="N206" s="381"/>
      <c r="O206" s="381"/>
      <c r="P206" s="381"/>
      <c r="Q206" s="381"/>
      <c r="R206" s="381"/>
      <c r="V206" s="381"/>
      <c r="Y206" s="379"/>
      <c r="Z206" s="464"/>
      <c r="AA206" s="381"/>
      <c r="AB206" s="381"/>
      <c r="AC206" s="381"/>
      <c r="AD206" s="381"/>
      <c r="AE206" s="381"/>
      <c r="AF206" s="381"/>
      <c r="AI206" s="381"/>
      <c r="AJ206" s="381"/>
      <c r="AK206" s="162"/>
      <c r="AL206" s="381"/>
    </row>
    <row r="207" spans="1:40" x14ac:dyDescent="0.25">
      <c r="A207" s="53"/>
      <c r="C207" s="54"/>
      <c r="F207" s="379"/>
      <c r="H207" s="379"/>
      <c r="I207" s="379"/>
      <c r="J207" s="59"/>
      <c r="K207" s="59"/>
      <c r="L207" s="379"/>
      <c r="M207" s="379"/>
      <c r="N207" s="50"/>
      <c r="O207" s="50"/>
      <c r="P207" s="379"/>
      <c r="Q207" s="379"/>
      <c r="R207" s="379"/>
      <c r="T207" s="54"/>
      <c r="V207" s="379"/>
      <c r="Y207" s="379"/>
      <c r="Z207" s="59"/>
      <c r="AA207" s="379"/>
      <c r="AB207" s="379"/>
      <c r="AC207" s="50"/>
      <c r="AD207" s="50"/>
      <c r="AE207" s="379"/>
      <c r="AF207" s="379"/>
      <c r="AG207" s="156"/>
      <c r="AH207" s="60"/>
      <c r="AI207" s="379"/>
      <c r="AJ207" s="379"/>
      <c r="AK207" s="156"/>
      <c r="AL207" s="379"/>
      <c r="AM207" s="50"/>
      <c r="AN207" s="50"/>
    </row>
    <row r="208" spans="1:40" x14ac:dyDescent="0.25">
      <c r="F208" s="381"/>
      <c r="H208" s="379"/>
      <c r="I208" s="379"/>
      <c r="J208" s="464"/>
      <c r="K208" s="464"/>
      <c r="L208" s="381"/>
      <c r="M208" s="381"/>
      <c r="N208" s="381"/>
      <c r="O208" s="381"/>
      <c r="P208" s="381"/>
      <c r="Q208" s="381"/>
      <c r="R208" s="381"/>
      <c r="V208" s="381"/>
      <c r="Y208" s="379"/>
      <c r="Z208" s="464"/>
      <c r="AA208" s="381"/>
      <c r="AB208" s="381"/>
      <c r="AC208" s="381"/>
      <c r="AD208" s="381"/>
      <c r="AE208" s="381"/>
      <c r="AF208" s="381"/>
      <c r="AI208" s="381"/>
      <c r="AJ208" s="381"/>
      <c r="AK208" s="162"/>
      <c r="AL208" s="381"/>
    </row>
    <row r="209" spans="1:40" x14ac:dyDescent="0.25">
      <c r="F209" s="379"/>
      <c r="R209" s="379"/>
      <c r="V209" s="379"/>
      <c r="AK209" s="156"/>
      <c r="AL209" s="379"/>
    </row>
    <row r="210" spans="1:40" x14ac:dyDescent="0.25">
      <c r="A210" s="53"/>
      <c r="C210" s="54"/>
      <c r="F210" s="379"/>
      <c r="R210" s="379"/>
      <c r="T210" s="54"/>
      <c r="V210" s="379"/>
      <c r="AK210" s="156"/>
      <c r="AL210" s="379"/>
    </row>
    <row r="211" spans="1:40" x14ac:dyDescent="0.25">
      <c r="F211" s="379"/>
      <c r="R211" s="379"/>
      <c r="V211" s="379"/>
      <c r="AK211" s="156"/>
      <c r="AL211" s="379"/>
    </row>
    <row r="212" spans="1:40" x14ac:dyDescent="0.25">
      <c r="A212" s="53"/>
      <c r="C212" s="54"/>
      <c r="F212" s="379"/>
      <c r="H212" s="449"/>
      <c r="I212" s="449"/>
      <c r="J212" s="472"/>
      <c r="K212" s="472"/>
      <c r="L212" s="379"/>
      <c r="M212" s="379"/>
      <c r="N212" s="50"/>
      <c r="O212" s="50"/>
      <c r="P212" s="449"/>
      <c r="Q212" s="449"/>
      <c r="R212" s="379"/>
      <c r="T212" s="54"/>
      <c r="V212" s="379"/>
      <c r="Y212" s="379"/>
      <c r="Z212" s="463"/>
      <c r="AA212" s="379"/>
      <c r="AB212" s="379"/>
      <c r="AC212" s="50"/>
      <c r="AD212" s="50"/>
      <c r="AE212" s="379"/>
      <c r="AF212" s="379"/>
      <c r="AG212" s="156"/>
      <c r="AH212" s="60"/>
      <c r="AI212" s="449"/>
      <c r="AJ212" s="449"/>
      <c r="AK212" s="156"/>
      <c r="AL212" s="379"/>
      <c r="AM212" s="50"/>
      <c r="AN212" s="50"/>
    </row>
    <row r="213" spans="1:40" x14ac:dyDescent="0.25">
      <c r="H213" s="381"/>
      <c r="I213" s="381"/>
      <c r="J213" s="464"/>
      <c r="K213" s="464"/>
      <c r="L213" s="381"/>
      <c r="M213" s="381"/>
      <c r="N213" s="381"/>
      <c r="O213" s="381"/>
      <c r="P213" s="381"/>
      <c r="Q213" s="381"/>
      <c r="R213" s="381"/>
      <c r="V213" s="381"/>
      <c r="Y213" s="381"/>
      <c r="Z213" s="464"/>
      <c r="AA213" s="381"/>
      <c r="AB213" s="381"/>
      <c r="AC213" s="381"/>
      <c r="AD213" s="381"/>
      <c r="AE213" s="381"/>
      <c r="AF213" s="381"/>
      <c r="AI213" s="381"/>
      <c r="AJ213" s="381"/>
      <c r="AK213" s="162"/>
      <c r="AL213" s="381"/>
    </row>
    <row r="214" spans="1:40" x14ac:dyDescent="0.25">
      <c r="F214" s="381"/>
    </row>
    <row r="215" spans="1:40" x14ac:dyDescent="0.25">
      <c r="A215" s="53"/>
      <c r="C215" s="54"/>
      <c r="F215" s="379"/>
      <c r="H215" s="379"/>
      <c r="I215" s="379"/>
      <c r="J215" s="62"/>
      <c r="K215" s="62"/>
      <c r="L215" s="379"/>
      <c r="M215" s="379"/>
      <c r="N215" s="50"/>
      <c r="O215" s="50"/>
      <c r="P215" s="379"/>
      <c r="Q215" s="379"/>
      <c r="R215" s="379"/>
      <c r="T215" s="54"/>
      <c r="V215" s="379"/>
      <c r="Y215" s="379"/>
      <c r="Z215" s="62"/>
      <c r="AA215" s="379"/>
      <c r="AB215" s="379"/>
      <c r="AC215" s="50"/>
      <c r="AD215" s="50"/>
      <c r="AE215" s="379"/>
      <c r="AF215" s="379"/>
      <c r="AG215" s="156"/>
      <c r="AH215" s="60"/>
      <c r="AI215" s="379"/>
      <c r="AJ215" s="379"/>
      <c r="AK215" s="156"/>
      <c r="AL215" s="379"/>
      <c r="AM215" s="50"/>
      <c r="AN215" s="50"/>
    </row>
    <row r="216" spans="1:40" x14ac:dyDescent="0.25">
      <c r="F216" s="381"/>
      <c r="H216" s="381"/>
      <c r="I216" s="381"/>
      <c r="J216" s="464"/>
      <c r="K216" s="464"/>
      <c r="L216" s="381"/>
      <c r="M216" s="381"/>
      <c r="N216" s="381"/>
      <c r="O216" s="381"/>
      <c r="P216" s="381"/>
      <c r="Q216" s="381"/>
      <c r="R216" s="381"/>
      <c r="V216" s="381"/>
      <c r="Y216" s="381"/>
      <c r="Z216" s="464"/>
      <c r="AA216" s="381"/>
      <c r="AB216" s="381"/>
      <c r="AC216" s="381"/>
      <c r="AD216" s="381"/>
      <c r="AE216" s="381"/>
      <c r="AF216" s="381"/>
      <c r="AI216" s="381"/>
      <c r="AJ216" s="381"/>
      <c r="AK216" s="162"/>
      <c r="AL216" s="381"/>
    </row>
    <row r="217" spans="1:40" x14ac:dyDescent="0.25">
      <c r="R217" s="379"/>
      <c r="AG217" s="156"/>
      <c r="AH217" s="379"/>
    </row>
    <row r="218" spans="1:40" x14ac:dyDescent="0.25">
      <c r="F218" s="379"/>
      <c r="H218" s="379"/>
      <c r="I218" s="379"/>
      <c r="J218" s="59"/>
      <c r="K218" s="59"/>
      <c r="L218" s="379"/>
      <c r="M218" s="379"/>
      <c r="N218" s="379"/>
      <c r="O218" s="379"/>
      <c r="P218" s="379"/>
      <c r="Q218" s="379"/>
      <c r="R218" s="379"/>
      <c r="V218" s="379"/>
      <c r="Y218" s="379"/>
      <c r="Z218" s="59"/>
      <c r="AA218" s="379"/>
      <c r="AB218" s="379"/>
      <c r="AC218" s="379"/>
      <c r="AD218" s="379"/>
      <c r="AE218" s="379"/>
      <c r="AF218" s="379"/>
      <c r="AG218" s="156"/>
      <c r="AH218" s="379"/>
    </row>
    <row r="219" spans="1:40" x14ac:dyDescent="0.25">
      <c r="C219" s="54"/>
      <c r="F219" s="379"/>
      <c r="H219" s="379"/>
      <c r="I219" s="379"/>
      <c r="J219" s="59"/>
      <c r="K219" s="59"/>
      <c r="L219" s="379"/>
      <c r="M219" s="379"/>
      <c r="N219" s="379"/>
      <c r="O219" s="379"/>
      <c r="P219" s="379"/>
      <c r="Q219" s="379"/>
      <c r="R219" s="379"/>
      <c r="T219" s="54"/>
      <c r="V219" s="379"/>
      <c r="Y219" s="379"/>
      <c r="Z219" s="59"/>
      <c r="AA219" s="379"/>
      <c r="AB219" s="379"/>
      <c r="AC219" s="379"/>
      <c r="AD219" s="379"/>
      <c r="AE219" s="379"/>
      <c r="AF219" s="379"/>
      <c r="AG219" s="156"/>
      <c r="AH219" s="379"/>
    </row>
    <row r="220" spans="1:40" x14ac:dyDescent="0.25">
      <c r="A220" s="54"/>
    </row>
    <row r="222" spans="1:40" x14ac:dyDescent="0.25">
      <c r="J222" s="53"/>
      <c r="K222" s="53"/>
      <c r="Z222" s="53"/>
    </row>
    <row r="223" spans="1:40" x14ac:dyDescent="0.25">
      <c r="H223" s="54"/>
      <c r="I223" s="54"/>
      <c r="Y223" s="54"/>
    </row>
    <row r="224" spans="1:40" x14ac:dyDescent="0.25">
      <c r="J224" s="53"/>
      <c r="K224" s="53"/>
      <c r="Z224" s="53"/>
    </row>
    <row r="225" spans="1:40" x14ac:dyDescent="0.25">
      <c r="L225" s="54"/>
      <c r="M225" s="54"/>
      <c r="AA225" s="54"/>
      <c r="AB225" s="54"/>
    </row>
    <row r="226" spans="1:40" x14ac:dyDescent="0.25">
      <c r="A226" s="53"/>
      <c r="R226" s="54"/>
      <c r="AK226" s="161"/>
      <c r="AL226" s="54"/>
    </row>
    <row r="227" spans="1:40" x14ac:dyDescent="0.25">
      <c r="A227" s="53"/>
      <c r="R227" s="54"/>
      <c r="AK227" s="161"/>
      <c r="AL227" s="54"/>
    </row>
    <row r="228" spans="1:40" x14ac:dyDescent="0.25">
      <c r="A228" s="54"/>
      <c r="R228" s="54"/>
      <c r="AK228" s="161"/>
      <c r="AL228" s="54"/>
    </row>
    <row r="229" spans="1:40" x14ac:dyDescent="0.25">
      <c r="L229" s="54"/>
      <c r="M229" s="54"/>
      <c r="R229" s="53"/>
      <c r="AA229" s="54"/>
      <c r="AB229" s="54"/>
      <c r="AK229" s="156"/>
      <c r="AL229" s="53"/>
    </row>
    <row r="230" spans="1:40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154"/>
      <c r="AH230" s="55"/>
      <c r="AI230" s="55"/>
      <c r="AJ230" s="55"/>
      <c r="AK230" s="154"/>
      <c r="AL230" s="55"/>
      <c r="AM230" s="55"/>
      <c r="AN230" s="55"/>
    </row>
    <row r="231" spans="1:40" x14ac:dyDescent="0.25">
      <c r="L231" s="56"/>
      <c r="M231" s="56"/>
      <c r="N231" s="56"/>
      <c r="O231" s="56"/>
      <c r="R231" s="56"/>
      <c r="AA231" s="56"/>
      <c r="AB231" s="56"/>
      <c r="AC231" s="56"/>
      <c r="AD231" s="56"/>
      <c r="AE231" s="56"/>
      <c r="AF231" s="56"/>
      <c r="AG231" s="155"/>
      <c r="AH231" s="56"/>
      <c r="AK231" s="155"/>
      <c r="AL231" s="56"/>
      <c r="AM231" s="56"/>
      <c r="AN231" s="56"/>
    </row>
    <row r="232" spans="1:40" x14ac:dyDescent="0.25">
      <c r="L232" s="56"/>
      <c r="M232" s="56"/>
      <c r="N232" s="56"/>
      <c r="O232" s="56"/>
      <c r="R232" s="56"/>
      <c r="Z232" s="56"/>
      <c r="AA232" s="56"/>
      <c r="AB232" s="56"/>
      <c r="AC232" s="56"/>
      <c r="AD232" s="56"/>
      <c r="AE232" s="56"/>
      <c r="AF232" s="56"/>
      <c r="AG232" s="155"/>
      <c r="AH232" s="56"/>
      <c r="AK232" s="155"/>
      <c r="AL232" s="56"/>
      <c r="AM232" s="56"/>
      <c r="AN232" s="56"/>
    </row>
    <row r="233" spans="1:40" x14ac:dyDescent="0.25">
      <c r="A233" s="56"/>
      <c r="C233" s="56"/>
      <c r="D233" s="56"/>
      <c r="E233" s="56"/>
      <c r="F233" s="56"/>
      <c r="J233" s="56"/>
      <c r="K233" s="56"/>
      <c r="L233" s="56"/>
      <c r="M233" s="56"/>
      <c r="N233" s="56"/>
      <c r="O233" s="56"/>
      <c r="P233" s="56"/>
      <c r="Q233" s="56"/>
      <c r="R233" s="56"/>
      <c r="T233" s="56"/>
      <c r="U233" s="56"/>
      <c r="V233" s="56"/>
      <c r="Z233" s="56"/>
      <c r="AA233" s="56"/>
      <c r="AB233" s="56"/>
      <c r="AC233" s="56"/>
      <c r="AD233" s="56"/>
      <c r="AE233" s="56"/>
      <c r="AF233" s="56"/>
      <c r="AG233" s="155"/>
      <c r="AH233" s="56"/>
      <c r="AI233" s="56"/>
      <c r="AJ233" s="56"/>
      <c r="AK233" s="155"/>
      <c r="AL233" s="56"/>
      <c r="AM233" s="56"/>
      <c r="AN233" s="56"/>
    </row>
    <row r="234" spans="1:40" x14ac:dyDescent="0.25">
      <c r="A234" s="56"/>
      <c r="C234" s="56"/>
      <c r="D234" s="56"/>
      <c r="E234" s="56"/>
      <c r="F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T234" s="56"/>
      <c r="U234" s="56"/>
      <c r="V234" s="56"/>
      <c r="Y234" s="56"/>
      <c r="Z234" s="56"/>
      <c r="AA234" s="56"/>
      <c r="AB234" s="56"/>
      <c r="AC234" s="56"/>
      <c r="AD234" s="56"/>
      <c r="AE234" s="56"/>
      <c r="AF234" s="56"/>
      <c r="AG234" s="155"/>
      <c r="AH234" s="56"/>
      <c r="AI234" s="56"/>
      <c r="AJ234" s="56"/>
      <c r="AK234" s="155"/>
      <c r="AL234" s="56"/>
      <c r="AM234" s="56"/>
      <c r="AN234" s="56"/>
    </row>
    <row r="235" spans="1:40" x14ac:dyDescent="0.25">
      <c r="C235" s="56"/>
      <c r="D235" s="56"/>
      <c r="E235" s="56"/>
      <c r="F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T235" s="56"/>
      <c r="U235" s="56"/>
      <c r="V235" s="56"/>
      <c r="Y235" s="56"/>
      <c r="Z235" s="56"/>
      <c r="AA235" s="56"/>
      <c r="AB235" s="56"/>
      <c r="AC235" s="56"/>
      <c r="AD235" s="56"/>
      <c r="AE235" s="56"/>
      <c r="AF235" s="56"/>
      <c r="AG235" s="155"/>
      <c r="AH235" s="56"/>
      <c r="AI235" s="56"/>
      <c r="AJ235" s="56"/>
      <c r="AK235" s="155"/>
      <c r="AL235" s="56"/>
      <c r="AM235" s="56"/>
      <c r="AN235" s="56"/>
    </row>
    <row r="236" spans="1:40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154"/>
      <c r="AH236" s="55"/>
      <c r="AI236" s="55"/>
      <c r="AJ236" s="55"/>
      <c r="AK236" s="154"/>
      <c r="AL236" s="55"/>
      <c r="AM236" s="55"/>
      <c r="AN236" s="55"/>
    </row>
    <row r="237" spans="1:40" x14ac:dyDescent="0.25"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Y237" s="56"/>
      <c r="Z237" s="56"/>
      <c r="AA237" s="56"/>
      <c r="AB237" s="56"/>
      <c r="AC237" s="56"/>
      <c r="AD237" s="56"/>
      <c r="AE237" s="56"/>
      <c r="AF237" s="56"/>
      <c r="AG237" s="155"/>
      <c r="AH237" s="56"/>
      <c r="AI237" s="56"/>
      <c r="AJ237" s="56"/>
      <c r="AK237" s="155"/>
      <c r="AL237" s="56"/>
      <c r="AM237" s="56"/>
      <c r="AN237" s="56"/>
    </row>
    <row r="238" spans="1:40" x14ac:dyDescent="0.25">
      <c r="A238" s="53"/>
      <c r="C238" s="54"/>
      <c r="D238" s="54"/>
      <c r="E238" s="54"/>
      <c r="T238" s="54"/>
      <c r="U238" s="54"/>
    </row>
    <row r="239" spans="1:40" x14ac:dyDescent="0.25">
      <c r="A239" s="53"/>
      <c r="C239" s="54"/>
      <c r="T239" s="54"/>
    </row>
    <row r="241" spans="1:40" x14ac:dyDescent="0.25">
      <c r="A241" s="53"/>
      <c r="C241" s="54"/>
      <c r="F241" s="449"/>
      <c r="H241" s="449"/>
      <c r="I241" s="449"/>
      <c r="J241" s="461"/>
      <c r="K241" s="461"/>
      <c r="L241" s="379"/>
      <c r="M241" s="379"/>
      <c r="N241" s="50"/>
      <c r="O241" s="50"/>
      <c r="P241" s="53"/>
      <c r="Q241" s="53"/>
      <c r="R241" s="379"/>
      <c r="T241" s="54"/>
      <c r="V241" s="379"/>
      <c r="Y241" s="449"/>
      <c r="Z241" s="461"/>
      <c r="AA241" s="379"/>
      <c r="AB241" s="379"/>
      <c r="AC241" s="50"/>
      <c r="AD241" s="50"/>
      <c r="AE241" s="379"/>
      <c r="AF241" s="379"/>
      <c r="AG241" s="156"/>
      <c r="AH241" s="60"/>
      <c r="AI241" s="53"/>
      <c r="AJ241" s="53"/>
      <c r="AK241" s="156"/>
      <c r="AL241" s="379"/>
      <c r="AM241" s="50"/>
      <c r="AN241" s="50"/>
    </row>
    <row r="242" spans="1:40" x14ac:dyDescent="0.25">
      <c r="F242" s="381"/>
      <c r="H242" s="379"/>
      <c r="I242" s="379"/>
      <c r="J242" s="464"/>
      <c r="K242" s="464"/>
      <c r="L242" s="381"/>
      <c r="M242" s="381"/>
      <c r="N242" s="381"/>
      <c r="O242" s="381"/>
      <c r="P242" s="381"/>
      <c r="Q242" s="381"/>
      <c r="R242" s="381"/>
      <c r="V242" s="381"/>
      <c r="Y242" s="379"/>
      <c r="Z242" s="464"/>
      <c r="AA242" s="381"/>
      <c r="AB242" s="381"/>
      <c r="AC242" s="381"/>
      <c r="AD242" s="381"/>
      <c r="AE242" s="381"/>
      <c r="AF242" s="381"/>
      <c r="AI242" s="381"/>
      <c r="AJ242" s="381"/>
      <c r="AK242" s="162"/>
      <c r="AL242" s="381"/>
      <c r="AM242" s="50"/>
      <c r="AN242" s="50"/>
    </row>
    <row r="243" spans="1:40" x14ac:dyDescent="0.25">
      <c r="A243" s="53"/>
      <c r="C243" s="54"/>
      <c r="F243" s="449"/>
      <c r="H243" s="449"/>
      <c r="I243" s="449"/>
      <c r="J243" s="477"/>
      <c r="K243" s="477"/>
      <c r="L243" s="379"/>
      <c r="M243" s="379"/>
      <c r="N243" s="50"/>
      <c r="O243" s="50"/>
      <c r="P243" s="379"/>
      <c r="Q243" s="379"/>
      <c r="R243" s="379"/>
      <c r="S243" s="379"/>
      <c r="T243" s="54"/>
      <c r="V243" s="449"/>
      <c r="Y243" s="449"/>
      <c r="Z243" s="477"/>
      <c r="AA243" s="379"/>
      <c r="AB243" s="379"/>
      <c r="AC243" s="50"/>
      <c r="AD243" s="50"/>
      <c r="AE243" s="379"/>
      <c r="AF243" s="379"/>
      <c r="AG243" s="156"/>
      <c r="AH243" s="50"/>
      <c r="AI243" s="379"/>
      <c r="AJ243" s="379"/>
      <c r="AK243" s="156"/>
      <c r="AL243" s="379"/>
      <c r="AM243" s="50"/>
      <c r="AN243" s="50"/>
    </row>
    <row r="244" spans="1:40" x14ac:dyDescent="0.25">
      <c r="A244" s="53"/>
      <c r="C244" s="54"/>
      <c r="F244" s="449"/>
      <c r="H244" s="449"/>
      <c r="I244" s="449"/>
      <c r="J244" s="461"/>
      <c r="K244" s="461"/>
      <c r="L244" s="379"/>
      <c r="M244" s="379"/>
      <c r="N244" s="50"/>
      <c r="O244" s="50"/>
      <c r="P244" s="379"/>
      <c r="Q244" s="379"/>
      <c r="R244" s="379"/>
      <c r="T244" s="54"/>
      <c r="V244" s="449"/>
      <c r="Y244" s="379"/>
      <c r="Z244" s="461"/>
      <c r="AA244" s="379"/>
      <c r="AB244" s="379"/>
      <c r="AC244" s="50"/>
      <c r="AD244" s="50"/>
      <c r="AE244" s="379"/>
      <c r="AF244" s="379"/>
      <c r="AG244" s="156"/>
      <c r="AH244" s="60"/>
      <c r="AI244" s="379"/>
      <c r="AJ244" s="379"/>
      <c r="AK244" s="156"/>
      <c r="AL244" s="379"/>
      <c r="AM244" s="50"/>
      <c r="AN244" s="50"/>
    </row>
    <row r="245" spans="1:40" x14ac:dyDescent="0.25">
      <c r="A245" s="53"/>
      <c r="C245" s="54"/>
      <c r="F245" s="449"/>
      <c r="H245" s="449"/>
      <c r="I245" s="449"/>
      <c r="J245" s="461"/>
      <c r="K245" s="461"/>
      <c r="L245" s="379"/>
      <c r="M245" s="379"/>
      <c r="N245" s="50"/>
      <c r="O245" s="50"/>
      <c r="P245" s="379"/>
      <c r="Q245" s="379"/>
      <c r="R245" s="379"/>
      <c r="T245" s="54"/>
      <c r="V245" s="449"/>
      <c r="Y245" s="379"/>
      <c r="Z245" s="461"/>
      <c r="AA245" s="379"/>
      <c r="AB245" s="379"/>
      <c r="AC245" s="50"/>
      <c r="AD245" s="50"/>
      <c r="AE245" s="379"/>
      <c r="AF245" s="379"/>
      <c r="AG245" s="156"/>
      <c r="AH245" s="60"/>
      <c r="AI245" s="379"/>
      <c r="AJ245" s="379"/>
      <c r="AK245" s="156"/>
      <c r="AL245" s="379"/>
      <c r="AM245" s="50"/>
      <c r="AN245" s="50"/>
    </row>
    <row r="246" spans="1:40" x14ac:dyDescent="0.25">
      <c r="F246" s="381"/>
      <c r="H246" s="381"/>
      <c r="I246" s="381"/>
      <c r="J246" s="464"/>
      <c r="K246" s="464"/>
      <c r="L246" s="381"/>
      <c r="M246" s="381"/>
      <c r="N246" s="381"/>
      <c r="O246" s="381"/>
      <c r="P246" s="381"/>
      <c r="Q246" s="381"/>
      <c r="R246" s="381"/>
      <c r="V246" s="381"/>
      <c r="Y246" s="381"/>
      <c r="Z246" s="464"/>
      <c r="AA246" s="381"/>
      <c r="AB246" s="381"/>
      <c r="AC246" s="381"/>
      <c r="AD246" s="381"/>
      <c r="AE246" s="381"/>
      <c r="AF246" s="381"/>
      <c r="AI246" s="381"/>
      <c r="AJ246" s="381"/>
      <c r="AK246" s="162"/>
      <c r="AL246" s="381"/>
      <c r="AM246" s="50"/>
      <c r="AN246" s="50"/>
    </row>
    <row r="247" spans="1:40" x14ac:dyDescent="0.25">
      <c r="A247" s="53"/>
      <c r="C247" s="54"/>
      <c r="F247" s="379"/>
      <c r="H247" s="379"/>
      <c r="I247" s="379"/>
      <c r="J247" s="59"/>
      <c r="K247" s="59"/>
      <c r="L247" s="379"/>
      <c r="M247" s="379"/>
      <c r="N247" s="50"/>
      <c r="O247" s="50"/>
      <c r="P247" s="379"/>
      <c r="Q247" s="379"/>
      <c r="R247" s="379"/>
      <c r="T247" s="54"/>
      <c r="V247" s="379"/>
      <c r="Y247" s="379"/>
      <c r="Z247" s="59"/>
      <c r="AA247" s="379"/>
      <c r="AB247" s="379"/>
      <c r="AC247" s="50"/>
      <c r="AD247" s="50"/>
      <c r="AE247" s="379"/>
      <c r="AF247" s="379"/>
      <c r="AG247" s="156"/>
      <c r="AH247" s="60"/>
      <c r="AI247" s="379"/>
      <c r="AJ247" s="379"/>
      <c r="AK247" s="156"/>
      <c r="AL247" s="379"/>
      <c r="AM247" s="50"/>
      <c r="AN247" s="50"/>
    </row>
    <row r="248" spans="1:40" x14ac:dyDescent="0.25">
      <c r="F248" s="381"/>
      <c r="H248" s="381"/>
      <c r="I248" s="381"/>
      <c r="J248" s="464"/>
      <c r="K248" s="464"/>
      <c r="L248" s="381"/>
      <c r="M248" s="381"/>
      <c r="N248" s="381"/>
      <c r="O248" s="381"/>
      <c r="P248" s="381"/>
      <c r="Q248" s="381"/>
      <c r="R248" s="381"/>
      <c r="V248" s="381"/>
      <c r="Y248" s="381"/>
      <c r="Z248" s="464"/>
      <c r="AA248" s="381"/>
      <c r="AB248" s="381"/>
      <c r="AC248" s="381"/>
      <c r="AD248" s="381"/>
      <c r="AE248" s="381"/>
      <c r="AF248" s="381"/>
      <c r="AI248" s="381"/>
      <c r="AJ248" s="381"/>
      <c r="AK248" s="162"/>
      <c r="AL248" s="381"/>
      <c r="AM248" s="50"/>
      <c r="AN248" s="50"/>
    </row>
    <row r="249" spans="1:40" x14ac:dyDescent="0.25">
      <c r="A249" s="53"/>
      <c r="C249" s="54"/>
      <c r="F249" s="379"/>
      <c r="H249" s="379"/>
      <c r="I249" s="379"/>
      <c r="J249" s="59"/>
      <c r="K249" s="59"/>
      <c r="L249" s="379"/>
      <c r="M249" s="379"/>
      <c r="N249" s="50"/>
      <c r="O249" s="50"/>
      <c r="P249" s="379"/>
      <c r="Q249" s="379"/>
      <c r="R249" s="379"/>
      <c r="T249" s="54"/>
      <c r="V249" s="379"/>
      <c r="Y249" s="379"/>
      <c r="Z249" s="59"/>
      <c r="AA249" s="379"/>
      <c r="AB249" s="379"/>
      <c r="AC249" s="50"/>
      <c r="AD249" s="50"/>
      <c r="AE249" s="379"/>
      <c r="AF249" s="379"/>
      <c r="AG249" s="156"/>
      <c r="AH249" s="60"/>
      <c r="AI249" s="379"/>
      <c r="AJ249" s="379"/>
      <c r="AK249" s="156"/>
      <c r="AL249" s="379"/>
      <c r="AM249" s="50"/>
      <c r="AN249" s="50"/>
    </row>
    <row r="250" spans="1:40" x14ac:dyDescent="0.25">
      <c r="A250" s="53"/>
      <c r="C250" s="54"/>
      <c r="F250" s="379"/>
      <c r="H250" s="449"/>
      <c r="I250" s="449"/>
      <c r="J250" s="472"/>
      <c r="K250" s="472"/>
      <c r="L250" s="379"/>
      <c r="M250" s="379"/>
      <c r="N250" s="50"/>
      <c r="O250" s="50"/>
      <c r="P250" s="379"/>
      <c r="Q250" s="379"/>
      <c r="R250" s="379"/>
      <c r="T250" s="54"/>
      <c r="V250" s="379"/>
      <c r="Y250" s="379"/>
      <c r="Z250" s="463"/>
      <c r="AA250" s="379"/>
      <c r="AB250" s="379"/>
      <c r="AC250" s="50"/>
      <c r="AD250" s="50"/>
      <c r="AE250" s="379"/>
      <c r="AF250" s="379"/>
      <c r="AG250" s="156"/>
      <c r="AH250" s="60"/>
      <c r="AI250" s="379"/>
      <c r="AJ250" s="379"/>
      <c r="AK250" s="156"/>
      <c r="AL250" s="379"/>
      <c r="AM250" s="50"/>
      <c r="AN250" s="50"/>
    </row>
    <row r="251" spans="1:40" x14ac:dyDescent="0.25">
      <c r="H251" s="381"/>
      <c r="I251" s="381"/>
      <c r="J251" s="464"/>
      <c r="K251" s="464"/>
      <c r="L251" s="381"/>
      <c r="M251" s="381"/>
      <c r="N251" s="381"/>
      <c r="O251" s="381"/>
      <c r="P251" s="381"/>
      <c r="Q251" s="381"/>
      <c r="R251" s="381"/>
      <c r="V251" s="381"/>
      <c r="Y251" s="381"/>
      <c r="Z251" s="464"/>
      <c r="AA251" s="381"/>
      <c r="AB251" s="381"/>
      <c r="AC251" s="381"/>
      <c r="AD251" s="381"/>
      <c r="AE251" s="381"/>
      <c r="AF251" s="381"/>
      <c r="AI251" s="381"/>
      <c r="AJ251" s="381"/>
      <c r="AK251" s="162"/>
      <c r="AL251" s="381"/>
      <c r="AM251" s="50"/>
      <c r="AN251" s="50"/>
    </row>
    <row r="252" spans="1:40" x14ac:dyDescent="0.25">
      <c r="F252" s="381"/>
    </row>
    <row r="253" spans="1:40" x14ac:dyDescent="0.25">
      <c r="A253" s="53"/>
      <c r="C253" s="54"/>
      <c r="F253" s="379"/>
      <c r="H253" s="379"/>
      <c r="I253" s="379"/>
      <c r="J253" s="464"/>
      <c r="K253" s="464"/>
      <c r="L253" s="379"/>
      <c r="M253" s="379"/>
      <c r="N253" s="50"/>
      <c r="O253" s="50"/>
      <c r="P253" s="379"/>
      <c r="Q253" s="379"/>
      <c r="R253" s="379"/>
      <c r="S253" s="379"/>
      <c r="T253" s="54"/>
      <c r="V253" s="379"/>
      <c r="Y253" s="379"/>
      <c r="Z253" s="464"/>
      <c r="AA253" s="379"/>
      <c r="AB253" s="379"/>
      <c r="AC253" s="50"/>
      <c r="AD253" s="50"/>
      <c r="AE253" s="379"/>
      <c r="AF253" s="379"/>
      <c r="AG253" s="156"/>
      <c r="AH253" s="50"/>
      <c r="AI253" s="379"/>
      <c r="AJ253" s="379"/>
      <c r="AK253" s="156"/>
      <c r="AL253" s="379"/>
      <c r="AM253" s="50"/>
      <c r="AN253" s="50"/>
    </row>
    <row r="254" spans="1:40" x14ac:dyDescent="0.25">
      <c r="F254" s="381"/>
      <c r="H254" s="381"/>
      <c r="I254" s="381"/>
      <c r="J254" s="464"/>
      <c r="K254" s="464"/>
      <c r="L254" s="381"/>
      <c r="M254" s="381"/>
      <c r="N254" s="381"/>
      <c r="O254" s="381"/>
      <c r="P254" s="381"/>
      <c r="Q254" s="381"/>
      <c r="R254" s="381"/>
      <c r="S254" s="379"/>
      <c r="V254" s="381"/>
      <c r="Y254" s="381"/>
      <c r="Z254" s="464"/>
      <c r="AA254" s="381"/>
      <c r="AB254" s="381"/>
      <c r="AC254" s="381"/>
      <c r="AD254" s="381"/>
      <c r="AE254" s="381"/>
      <c r="AF254" s="381"/>
      <c r="AI254" s="381"/>
      <c r="AJ254" s="381"/>
      <c r="AK254" s="162"/>
      <c r="AL254" s="381"/>
      <c r="AM254" s="50"/>
      <c r="AN254" s="50"/>
    </row>
    <row r="255" spans="1:40" x14ac:dyDescent="0.25">
      <c r="A255" s="53"/>
      <c r="C255" s="54"/>
      <c r="H255" s="449"/>
      <c r="I255" s="449"/>
      <c r="J255" s="464"/>
      <c r="K255" s="464"/>
      <c r="L255" s="379"/>
      <c r="M255" s="379"/>
      <c r="N255" s="50"/>
      <c r="O255" s="50"/>
      <c r="P255" s="379"/>
      <c r="Q255" s="379"/>
      <c r="R255" s="379"/>
      <c r="S255" s="379"/>
      <c r="T255" s="54"/>
      <c r="V255" s="449"/>
      <c r="Y255" s="449"/>
      <c r="Z255" s="464"/>
      <c r="AA255" s="379"/>
      <c r="AB255" s="379"/>
      <c r="AC255" s="50"/>
      <c r="AD255" s="50"/>
      <c r="AE255" s="379"/>
      <c r="AF255" s="379"/>
      <c r="AI255" s="379"/>
      <c r="AJ255" s="379"/>
      <c r="AK255" s="156"/>
      <c r="AL255" s="379"/>
      <c r="AM255" s="50"/>
      <c r="AN255" s="50"/>
    </row>
    <row r="256" spans="1:40" x14ac:dyDescent="0.25">
      <c r="F256" s="449"/>
    </row>
    <row r="257" spans="1:40" x14ac:dyDescent="0.25">
      <c r="A257" s="53"/>
      <c r="C257" s="54"/>
      <c r="F257" s="449"/>
      <c r="H257" s="449"/>
      <c r="I257" s="449"/>
      <c r="J257" s="461"/>
      <c r="K257" s="461"/>
      <c r="L257" s="379"/>
      <c r="M257" s="379"/>
      <c r="N257" s="50"/>
      <c r="O257" s="50"/>
      <c r="P257" s="53"/>
      <c r="Q257" s="53"/>
      <c r="R257" s="379"/>
      <c r="T257" s="54"/>
      <c r="V257" s="379"/>
      <c r="Y257" s="449"/>
      <c r="Z257" s="461"/>
      <c r="AA257" s="379"/>
      <c r="AB257" s="379"/>
      <c r="AC257" s="50"/>
      <c r="AD257" s="50"/>
      <c r="AE257" s="379"/>
      <c r="AF257" s="379"/>
      <c r="AG257" s="156"/>
      <c r="AH257" s="60"/>
      <c r="AI257" s="53"/>
      <c r="AJ257" s="53"/>
      <c r="AK257" s="156"/>
      <c r="AL257" s="379"/>
      <c r="AM257" s="50"/>
      <c r="AN257" s="50"/>
    </row>
    <row r="258" spans="1:40" x14ac:dyDescent="0.25">
      <c r="F258" s="381"/>
      <c r="H258" s="379"/>
      <c r="I258" s="379"/>
      <c r="J258" s="464"/>
      <c r="K258" s="464"/>
      <c r="L258" s="381"/>
      <c r="M258" s="381"/>
      <c r="N258" s="381"/>
      <c r="O258" s="381"/>
      <c r="P258" s="381"/>
      <c r="Q258" s="381"/>
      <c r="R258" s="381"/>
      <c r="V258" s="381"/>
      <c r="Y258" s="379"/>
      <c r="Z258" s="464"/>
      <c r="AA258" s="381"/>
      <c r="AB258" s="381"/>
      <c r="AC258" s="381"/>
      <c r="AD258" s="381"/>
      <c r="AE258" s="381"/>
      <c r="AF258" s="381"/>
      <c r="AI258" s="381"/>
      <c r="AJ258" s="381"/>
      <c r="AK258" s="162"/>
      <c r="AL258" s="381"/>
      <c r="AM258" s="50"/>
      <c r="AN258" s="50"/>
    </row>
    <row r="259" spans="1:40" x14ac:dyDescent="0.25">
      <c r="A259" s="53"/>
      <c r="C259" s="54"/>
      <c r="F259" s="449"/>
      <c r="H259" s="449"/>
      <c r="I259" s="449"/>
      <c r="J259" s="477"/>
      <c r="K259" s="477"/>
      <c r="L259" s="379"/>
      <c r="M259" s="379"/>
      <c r="N259" s="50"/>
      <c r="O259" s="50"/>
      <c r="P259" s="379"/>
      <c r="Q259" s="379"/>
      <c r="R259" s="379"/>
      <c r="S259" s="379"/>
      <c r="T259" s="54"/>
      <c r="V259" s="449"/>
      <c r="Y259" s="449"/>
      <c r="Z259" s="477"/>
      <c r="AA259" s="379"/>
      <c r="AB259" s="379"/>
      <c r="AC259" s="50"/>
      <c r="AD259" s="50"/>
      <c r="AE259" s="379"/>
      <c r="AF259" s="379"/>
      <c r="AG259" s="156"/>
      <c r="AH259" s="50"/>
      <c r="AI259" s="379"/>
      <c r="AJ259" s="379"/>
      <c r="AK259" s="156"/>
      <c r="AL259" s="379"/>
      <c r="AM259" s="50"/>
      <c r="AN259" s="50"/>
    </row>
    <row r="260" spans="1:40" x14ac:dyDescent="0.25">
      <c r="A260" s="53"/>
      <c r="C260" s="54"/>
      <c r="F260" s="449"/>
      <c r="H260" s="449"/>
      <c r="I260" s="449"/>
      <c r="J260" s="461"/>
      <c r="K260" s="461"/>
      <c r="L260" s="379"/>
      <c r="M260" s="379"/>
      <c r="N260" s="50"/>
      <c r="O260" s="50"/>
      <c r="P260" s="379"/>
      <c r="Q260" s="379"/>
      <c r="R260" s="379"/>
      <c r="T260" s="54"/>
      <c r="V260" s="449"/>
      <c r="Y260" s="379"/>
      <c r="Z260" s="461"/>
      <c r="AA260" s="379"/>
      <c r="AB260" s="379"/>
      <c r="AC260" s="50"/>
      <c r="AD260" s="50"/>
      <c r="AE260" s="379"/>
      <c r="AF260" s="379"/>
      <c r="AG260" s="156"/>
      <c r="AH260" s="60"/>
      <c r="AI260" s="379"/>
      <c r="AJ260" s="379"/>
      <c r="AK260" s="156"/>
      <c r="AL260" s="379"/>
      <c r="AM260" s="50"/>
      <c r="AN260" s="50"/>
    </row>
    <row r="261" spans="1:40" x14ac:dyDescent="0.25">
      <c r="A261" s="53"/>
      <c r="C261" s="54"/>
      <c r="F261" s="449"/>
      <c r="H261" s="449"/>
      <c r="I261" s="449"/>
      <c r="J261" s="461"/>
      <c r="K261" s="461"/>
      <c r="L261" s="379"/>
      <c r="M261" s="379"/>
      <c r="N261" s="50"/>
      <c r="O261" s="50"/>
      <c r="P261" s="379"/>
      <c r="Q261" s="379"/>
      <c r="R261" s="379"/>
      <c r="T261" s="54"/>
      <c r="V261" s="449"/>
      <c r="Y261" s="379"/>
      <c r="Z261" s="461"/>
      <c r="AA261" s="379"/>
      <c r="AB261" s="379"/>
      <c r="AC261" s="50"/>
      <c r="AD261" s="50"/>
      <c r="AE261" s="379"/>
      <c r="AF261" s="379"/>
      <c r="AG261" s="156"/>
      <c r="AH261" s="60"/>
      <c r="AI261" s="379"/>
      <c r="AJ261" s="379"/>
      <c r="AK261" s="156"/>
      <c r="AL261" s="379"/>
      <c r="AM261" s="50"/>
      <c r="AN261" s="50"/>
    </row>
    <row r="262" spans="1:40" x14ac:dyDescent="0.25">
      <c r="F262" s="381"/>
      <c r="H262" s="381"/>
      <c r="I262" s="381"/>
      <c r="J262" s="464"/>
      <c r="K262" s="464"/>
      <c r="L262" s="381"/>
      <c r="M262" s="381"/>
      <c r="N262" s="381"/>
      <c r="O262" s="381"/>
      <c r="P262" s="381"/>
      <c r="Q262" s="381"/>
      <c r="R262" s="381"/>
      <c r="V262" s="381"/>
      <c r="Y262" s="381"/>
      <c r="Z262" s="464"/>
      <c r="AA262" s="381"/>
      <c r="AB262" s="381"/>
      <c r="AC262" s="381"/>
      <c r="AD262" s="381"/>
      <c r="AE262" s="381"/>
      <c r="AF262" s="381"/>
      <c r="AI262" s="381"/>
      <c r="AJ262" s="381"/>
      <c r="AK262" s="162"/>
      <c r="AL262" s="381"/>
      <c r="AM262" s="50"/>
      <c r="AN262" s="50"/>
    </row>
    <row r="263" spans="1:40" x14ac:dyDescent="0.25">
      <c r="A263" s="53"/>
      <c r="C263" s="54"/>
      <c r="F263" s="379"/>
      <c r="H263" s="379"/>
      <c r="I263" s="379"/>
      <c r="J263" s="59"/>
      <c r="K263" s="59"/>
      <c r="L263" s="379"/>
      <c r="M263" s="379"/>
      <c r="N263" s="50"/>
      <c r="O263" s="50"/>
      <c r="P263" s="379"/>
      <c r="Q263" s="379"/>
      <c r="R263" s="379"/>
      <c r="T263" s="54"/>
      <c r="V263" s="379"/>
      <c r="Y263" s="379"/>
      <c r="Z263" s="59"/>
      <c r="AA263" s="379"/>
      <c r="AB263" s="379"/>
      <c r="AC263" s="50"/>
      <c r="AD263" s="50"/>
      <c r="AE263" s="379"/>
      <c r="AF263" s="379"/>
      <c r="AG263" s="156"/>
      <c r="AH263" s="60"/>
      <c r="AI263" s="379"/>
      <c r="AJ263" s="379"/>
      <c r="AK263" s="156"/>
      <c r="AL263" s="379"/>
      <c r="AM263" s="50"/>
      <c r="AN263" s="50"/>
    </row>
    <row r="264" spans="1:40" x14ac:dyDescent="0.25">
      <c r="F264" s="381"/>
      <c r="H264" s="381"/>
      <c r="I264" s="381"/>
      <c r="J264" s="464"/>
      <c r="K264" s="464"/>
      <c r="L264" s="381"/>
      <c r="M264" s="381"/>
      <c r="N264" s="381"/>
      <c r="O264" s="381"/>
      <c r="P264" s="381"/>
      <c r="Q264" s="381"/>
      <c r="R264" s="381"/>
      <c r="V264" s="381"/>
      <c r="Y264" s="381"/>
      <c r="Z264" s="464"/>
      <c r="AA264" s="381"/>
      <c r="AB264" s="381"/>
      <c r="AC264" s="381"/>
      <c r="AD264" s="381"/>
      <c r="AE264" s="381"/>
      <c r="AF264" s="381"/>
      <c r="AI264" s="381"/>
      <c r="AJ264" s="381"/>
      <c r="AK264" s="162"/>
      <c r="AL264" s="381"/>
      <c r="AM264" s="50"/>
      <c r="AN264" s="50"/>
    </row>
    <row r="265" spans="1:40" x14ac:dyDescent="0.25">
      <c r="A265" s="53"/>
      <c r="C265" s="54"/>
      <c r="F265" s="379"/>
      <c r="H265" s="379"/>
      <c r="I265" s="379"/>
      <c r="J265" s="59"/>
      <c r="K265" s="59"/>
      <c r="L265" s="379"/>
      <c r="M265" s="379"/>
      <c r="N265" s="50"/>
      <c r="O265" s="50"/>
      <c r="P265" s="379"/>
      <c r="Q265" s="379"/>
      <c r="R265" s="379"/>
      <c r="T265" s="54"/>
      <c r="V265" s="379"/>
      <c r="Y265" s="379"/>
      <c r="Z265" s="59"/>
      <c r="AA265" s="379"/>
      <c r="AB265" s="379"/>
      <c r="AC265" s="50"/>
      <c r="AD265" s="50"/>
      <c r="AE265" s="379"/>
      <c r="AF265" s="379"/>
      <c r="AG265" s="156"/>
      <c r="AH265" s="60"/>
      <c r="AI265" s="379"/>
      <c r="AJ265" s="379"/>
      <c r="AK265" s="156"/>
      <c r="AL265" s="379"/>
      <c r="AM265" s="50"/>
      <c r="AN265" s="50"/>
    </row>
    <row r="266" spans="1:40" x14ac:dyDescent="0.25">
      <c r="A266" s="53"/>
      <c r="C266" s="54"/>
      <c r="F266" s="379"/>
      <c r="H266" s="449"/>
      <c r="I266" s="449"/>
      <c r="J266" s="472"/>
      <c r="K266" s="472"/>
      <c r="L266" s="379"/>
      <c r="M266" s="379"/>
      <c r="N266" s="50"/>
      <c r="O266" s="50"/>
      <c r="P266" s="379"/>
      <c r="Q266" s="379"/>
      <c r="R266" s="379"/>
      <c r="T266" s="54"/>
      <c r="V266" s="379"/>
      <c r="Y266" s="379"/>
      <c r="Z266" s="463"/>
      <c r="AA266" s="379"/>
      <c r="AB266" s="379"/>
      <c r="AC266" s="50"/>
      <c r="AD266" s="50"/>
      <c r="AE266" s="379"/>
      <c r="AF266" s="379"/>
      <c r="AG266" s="156"/>
      <c r="AH266" s="60"/>
      <c r="AI266" s="379"/>
      <c r="AJ266" s="379"/>
      <c r="AK266" s="156"/>
      <c r="AL266" s="379"/>
      <c r="AM266" s="50"/>
      <c r="AN266" s="50"/>
    </row>
    <row r="267" spans="1:40" x14ac:dyDescent="0.25">
      <c r="H267" s="381"/>
      <c r="I267" s="381"/>
      <c r="J267" s="464"/>
      <c r="K267" s="464"/>
      <c r="L267" s="381"/>
      <c r="M267" s="381"/>
      <c r="N267" s="381"/>
      <c r="O267" s="381"/>
      <c r="P267" s="381"/>
      <c r="Q267" s="381"/>
      <c r="R267" s="381"/>
      <c r="V267" s="381"/>
      <c r="Y267" s="381"/>
      <c r="Z267" s="464"/>
      <c r="AA267" s="381"/>
      <c r="AB267" s="381"/>
      <c r="AC267" s="381"/>
      <c r="AD267" s="381"/>
      <c r="AE267" s="381"/>
      <c r="AF267" s="381"/>
      <c r="AI267" s="381"/>
      <c r="AJ267" s="381"/>
      <c r="AK267" s="162"/>
      <c r="AL267" s="381"/>
      <c r="AM267" s="50"/>
      <c r="AN267" s="50"/>
    </row>
    <row r="268" spans="1:40" x14ac:dyDescent="0.25">
      <c r="F268" s="381"/>
    </row>
    <row r="269" spans="1:40" x14ac:dyDescent="0.25">
      <c r="A269" s="53"/>
      <c r="C269" s="54"/>
      <c r="F269" s="379"/>
      <c r="H269" s="379"/>
      <c r="I269" s="379"/>
      <c r="J269" s="464"/>
      <c r="K269" s="464"/>
      <c r="L269" s="379"/>
      <c r="M269" s="379"/>
      <c r="N269" s="50"/>
      <c r="O269" s="50"/>
      <c r="P269" s="379"/>
      <c r="Q269" s="379"/>
      <c r="R269" s="379"/>
      <c r="S269" s="379"/>
      <c r="T269" s="54"/>
      <c r="V269" s="379"/>
      <c r="Y269" s="379"/>
      <c r="Z269" s="464"/>
      <c r="AA269" s="379"/>
      <c r="AB269" s="379"/>
      <c r="AC269" s="50"/>
      <c r="AD269" s="50"/>
      <c r="AE269" s="379"/>
      <c r="AF269" s="379"/>
      <c r="AG269" s="156"/>
      <c r="AH269" s="50"/>
      <c r="AI269" s="379"/>
      <c r="AJ269" s="379"/>
      <c r="AK269" s="156"/>
      <c r="AL269" s="379"/>
      <c r="AM269" s="50"/>
      <c r="AN269" s="50"/>
    </row>
    <row r="270" spans="1:40" x14ac:dyDescent="0.25">
      <c r="F270" s="381"/>
      <c r="H270" s="381"/>
      <c r="I270" s="381"/>
      <c r="J270" s="464"/>
      <c r="K270" s="464"/>
      <c r="L270" s="381"/>
      <c r="M270" s="381"/>
      <c r="N270" s="381"/>
      <c r="O270" s="381"/>
      <c r="P270" s="381"/>
      <c r="Q270" s="381"/>
      <c r="R270" s="381"/>
      <c r="S270" s="379"/>
      <c r="V270" s="381"/>
      <c r="Y270" s="381"/>
      <c r="Z270" s="464"/>
      <c r="AA270" s="381"/>
      <c r="AB270" s="381"/>
      <c r="AC270" s="381"/>
      <c r="AD270" s="381"/>
      <c r="AE270" s="381"/>
      <c r="AF270" s="381"/>
      <c r="AI270" s="381"/>
      <c r="AJ270" s="381"/>
      <c r="AK270" s="162"/>
      <c r="AL270" s="381"/>
      <c r="AM270" s="50"/>
      <c r="AN270" s="50"/>
    </row>
    <row r="271" spans="1:40" x14ac:dyDescent="0.25">
      <c r="A271" s="53"/>
      <c r="C271" s="54"/>
      <c r="T271" s="54"/>
    </row>
    <row r="272" spans="1:40" x14ac:dyDescent="0.25">
      <c r="A272" s="53"/>
      <c r="C272" s="54"/>
      <c r="F272" s="379"/>
      <c r="H272" s="379"/>
      <c r="I272" s="379"/>
      <c r="L272" s="379"/>
      <c r="M272" s="379"/>
      <c r="N272" s="50"/>
      <c r="O272" s="50"/>
      <c r="P272" s="449"/>
      <c r="Q272" s="449"/>
      <c r="R272" s="379"/>
      <c r="T272" s="54"/>
      <c r="V272" s="379"/>
      <c r="Y272" s="379"/>
      <c r="AA272" s="379"/>
      <c r="AB272" s="379"/>
      <c r="AC272" s="50"/>
      <c r="AD272" s="50"/>
      <c r="AE272" s="379"/>
      <c r="AF272" s="379"/>
      <c r="AG272" s="156"/>
      <c r="AH272" s="50"/>
      <c r="AI272" s="449"/>
      <c r="AJ272" s="449"/>
      <c r="AK272" s="156"/>
      <c r="AL272" s="379"/>
      <c r="AM272" s="50"/>
      <c r="AN272" s="50"/>
    </row>
    <row r="273" spans="1:40" x14ac:dyDescent="0.25">
      <c r="H273" s="381"/>
      <c r="I273" s="381"/>
      <c r="J273" s="464"/>
      <c r="K273" s="464"/>
      <c r="L273" s="381"/>
      <c r="M273" s="381"/>
      <c r="N273" s="381"/>
      <c r="O273" s="381"/>
      <c r="P273" s="381"/>
      <c r="Q273" s="381"/>
      <c r="R273" s="381"/>
      <c r="V273" s="381"/>
      <c r="Y273" s="381"/>
      <c r="Z273" s="464"/>
      <c r="AA273" s="381"/>
      <c r="AB273" s="381"/>
      <c r="AC273" s="381"/>
      <c r="AD273" s="381"/>
      <c r="AE273" s="381"/>
      <c r="AF273" s="381"/>
      <c r="AI273" s="381"/>
      <c r="AJ273" s="381"/>
      <c r="AK273" s="162"/>
      <c r="AL273" s="381"/>
    </row>
    <row r="274" spans="1:40" x14ac:dyDescent="0.25">
      <c r="F274" s="381"/>
    </row>
    <row r="275" spans="1:40" x14ac:dyDescent="0.25">
      <c r="C275" s="54"/>
      <c r="L275" s="379"/>
      <c r="M275" s="379"/>
      <c r="N275" s="379"/>
      <c r="O275" s="379"/>
      <c r="P275" s="379"/>
      <c r="Q275" s="379"/>
      <c r="R275" s="379"/>
      <c r="S275" s="379"/>
      <c r="T275" s="54"/>
      <c r="AA275" s="379"/>
      <c r="AB275" s="379"/>
      <c r="AC275" s="379"/>
      <c r="AD275" s="379"/>
      <c r="AI275" s="379"/>
      <c r="AJ275" s="379"/>
      <c r="AK275" s="156"/>
      <c r="AL275" s="379"/>
    </row>
    <row r="276" spans="1:40" x14ac:dyDescent="0.25">
      <c r="A276" s="54"/>
    </row>
    <row r="277" spans="1:40" x14ac:dyDescent="0.25">
      <c r="J277" s="53"/>
      <c r="K277" s="53"/>
      <c r="Z277" s="53"/>
    </row>
    <row r="278" spans="1:40" x14ac:dyDescent="0.25">
      <c r="H278" s="54"/>
      <c r="I278" s="54"/>
      <c r="Y278" s="54"/>
    </row>
    <row r="279" spans="1:40" x14ac:dyDescent="0.25">
      <c r="J279" s="53"/>
      <c r="K279" s="53"/>
      <c r="Z279" s="53"/>
    </row>
    <row r="280" spans="1:40" x14ac:dyDescent="0.25">
      <c r="L280" s="54"/>
      <c r="M280" s="54"/>
      <c r="AA280" s="54"/>
      <c r="AB280" s="54"/>
    </row>
    <row r="281" spans="1:40" x14ac:dyDescent="0.25">
      <c r="A281" s="53"/>
      <c r="R281" s="54"/>
      <c r="AK281" s="161"/>
      <c r="AL281" s="54"/>
    </row>
    <row r="282" spans="1:40" x14ac:dyDescent="0.25">
      <c r="A282" s="53"/>
      <c r="R282" s="54"/>
      <c r="AK282" s="161"/>
      <c r="AL282" s="54"/>
    </row>
    <row r="283" spans="1:40" x14ac:dyDescent="0.25">
      <c r="A283" s="54"/>
      <c r="R283" s="54"/>
      <c r="AK283" s="161"/>
      <c r="AL283" s="54"/>
    </row>
    <row r="284" spans="1:40" x14ac:dyDescent="0.25">
      <c r="L284" s="54"/>
      <c r="M284" s="54"/>
      <c r="R284" s="53"/>
      <c r="AA284" s="54"/>
      <c r="AB284" s="54"/>
      <c r="AK284" s="156"/>
      <c r="AL284" s="53"/>
    </row>
    <row r="285" spans="1:40" x14ac:dyDescent="0.25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154"/>
      <c r="AH285" s="55"/>
      <c r="AI285" s="55"/>
      <c r="AJ285" s="55"/>
      <c r="AK285" s="154"/>
      <c r="AL285" s="55"/>
      <c r="AM285" s="55"/>
      <c r="AN285" s="55"/>
    </row>
    <row r="286" spans="1:40" x14ac:dyDescent="0.25">
      <c r="L286" s="56"/>
      <c r="M286" s="56"/>
      <c r="N286" s="56"/>
      <c r="O286" s="56"/>
      <c r="R286" s="56"/>
      <c r="AA286" s="56"/>
      <c r="AB286" s="56"/>
      <c r="AC286" s="56"/>
      <c r="AD286" s="56"/>
      <c r="AE286" s="56"/>
      <c r="AF286" s="56"/>
      <c r="AG286" s="155"/>
      <c r="AH286" s="56"/>
      <c r="AK286" s="155"/>
      <c r="AL286" s="56"/>
      <c r="AM286" s="56"/>
      <c r="AN286" s="56"/>
    </row>
    <row r="287" spans="1:40" x14ac:dyDescent="0.25">
      <c r="L287" s="56"/>
      <c r="M287" s="56"/>
      <c r="N287" s="56"/>
      <c r="O287" s="56"/>
      <c r="R287" s="56"/>
      <c r="Z287" s="56"/>
      <c r="AA287" s="56"/>
      <c r="AB287" s="56"/>
      <c r="AC287" s="56"/>
      <c r="AD287" s="56"/>
      <c r="AE287" s="56"/>
      <c r="AF287" s="56"/>
      <c r="AG287" s="155"/>
      <c r="AH287" s="56"/>
      <c r="AK287" s="155"/>
      <c r="AL287" s="56"/>
      <c r="AM287" s="56"/>
      <c r="AN287" s="56"/>
    </row>
    <row r="288" spans="1:40" x14ac:dyDescent="0.25">
      <c r="A288" s="56"/>
      <c r="C288" s="56"/>
      <c r="D288" s="56"/>
      <c r="E288" s="56"/>
      <c r="F288" s="56"/>
      <c r="J288" s="56"/>
      <c r="K288" s="56"/>
      <c r="L288" s="56"/>
      <c r="M288" s="56"/>
      <c r="N288" s="56"/>
      <c r="O288" s="56"/>
      <c r="P288" s="56"/>
      <c r="Q288" s="56"/>
      <c r="R288" s="56"/>
      <c r="T288" s="56"/>
      <c r="U288" s="56"/>
      <c r="V288" s="56"/>
      <c r="Z288" s="56"/>
      <c r="AA288" s="56"/>
      <c r="AB288" s="56"/>
      <c r="AC288" s="56"/>
      <c r="AD288" s="56"/>
      <c r="AE288" s="56"/>
      <c r="AF288" s="56"/>
      <c r="AG288" s="155"/>
      <c r="AH288" s="56"/>
      <c r="AI288" s="56"/>
      <c r="AJ288" s="56"/>
      <c r="AK288" s="155"/>
      <c r="AL288" s="56"/>
      <c r="AM288" s="56"/>
      <c r="AN288" s="56"/>
    </row>
    <row r="289" spans="1:40" x14ac:dyDescent="0.25">
      <c r="A289" s="56"/>
      <c r="C289" s="56"/>
      <c r="D289" s="56"/>
      <c r="E289" s="56"/>
      <c r="F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T289" s="56"/>
      <c r="U289" s="56"/>
      <c r="V289" s="56"/>
      <c r="Y289" s="56"/>
      <c r="Z289" s="56"/>
      <c r="AA289" s="56"/>
      <c r="AB289" s="56"/>
      <c r="AC289" s="56"/>
      <c r="AD289" s="56"/>
      <c r="AE289" s="56"/>
      <c r="AF289" s="56"/>
      <c r="AG289" s="155"/>
      <c r="AH289" s="56"/>
      <c r="AI289" s="56"/>
      <c r="AJ289" s="56"/>
      <c r="AK289" s="155"/>
      <c r="AL289" s="56"/>
      <c r="AM289" s="56"/>
      <c r="AN289" s="56"/>
    </row>
    <row r="290" spans="1:40" x14ac:dyDescent="0.25">
      <c r="C290" s="56"/>
      <c r="D290" s="56"/>
      <c r="E290" s="56"/>
      <c r="F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T290" s="56"/>
      <c r="U290" s="56"/>
      <c r="V290" s="56"/>
      <c r="Y290" s="56"/>
      <c r="Z290" s="56"/>
      <c r="AA290" s="56"/>
      <c r="AB290" s="56"/>
      <c r="AC290" s="56"/>
      <c r="AD290" s="56"/>
      <c r="AE290" s="56"/>
      <c r="AF290" s="56"/>
      <c r="AG290" s="155"/>
      <c r="AH290" s="56"/>
      <c r="AI290" s="56"/>
      <c r="AJ290" s="56"/>
      <c r="AK290" s="155"/>
      <c r="AL290" s="56"/>
      <c r="AM290" s="56"/>
      <c r="AN290" s="56"/>
    </row>
    <row r="291" spans="1:40" x14ac:dyDescent="0.25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154"/>
      <c r="AH291" s="55"/>
      <c r="AI291" s="55"/>
      <c r="AJ291" s="55"/>
      <c r="AK291" s="154"/>
      <c r="AL291" s="55"/>
      <c r="AM291" s="55"/>
      <c r="AN291" s="55"/>
    </row>
    <row r="292" spans="1:40" x14ac:dyDescent="0.25"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Y292" s="56"/>
      <c r="Z292" s="56"/>
      <c r="AA292" s="56"/>
      <c r="AB292" s="56"/>
      <c r="AC292" s="56"/>
      <c r="AD292" s="56"/>
      <c r="AE292" s="56"/>
      <c r="AF292" s="56"/>
      <c r="AG292" s="155"/>
      <c r="AH292" s="56"/>
      <c r="AI292" s="56"/>
      <c r="AJ292" s="56"/>
      <c r="AK292" s="155"/>
      <c r="AL292" s="56"/>
      <c r="AM292" s="56"/>
      <c r="AN292" s="56"/>
    </row>
    <row r="293" spans="1:40" x14ac:dyDescent="0.25">
      <c r="A293" s="53"/>
      <c r="C293" s="54"/>
      <c r="D293" s="54"/>
      <c r="E293" s="54"/>
      <c r="T293" s="54"/>
      <c r="U293" s="54"/>
    </row>
    <row r="294" spans="1:40" x14ac:dyDescent="0.25">
      <c r="D294" s="54"/>
      <c r="E294" s="54"/>
      <c r="U294" s="54"/>
    </row>
    <row r="296" spans="1:40" x14ac:dyDescent="0.25">
      <c r="A296" s="53"/>
      <c r="C296" s="54"/>
      <c r="T296" s="54"/>
    </row>
    <row r="297" spans="1:40" x14ac:dyDescent="0.25">
      <c r="A297" s="53"/>
      <c r="C297" s="54"/>
      <c r="F297" s="449"/>
      <c r="H297" s="449"/>
      <c r="I297" s="449"/>
      <c r="J297" s="221"/>
      <c r="K297" s="221"/>
      <c r="L297" s="379"/>
      <c r="M297" s="379"/>
      <c r="N297" s="50"/>
      <c r="O297" s="50"/>
      <c r="P297" s="379"/>
      <c r="Q297" s="379"/>
      <c r="R297" s="379"/>
      <c r="T297" s="54"/>
      <c r="V297" s="449"/>
      <c r="W297" s="379"/>
      <c r="X297" s="379"/>
      <c r="Y297" s="449"/>
      <c r="Z297" s="221"/>
      <c r="AA297" s="379"/>
      <c r="AB297" s="379"/>
      <c r="AC297" s="50"/>
      <c r="AD297" s="50"/>
      <c r="AE297" s="379"/>
      <c r="AF297" s="379"/>
      <c r="AG297" s="156"/>
      <c r="AH297" s="60"/>
      <c r="AI297" s="379"/>
      <c r="AJ297" s="379"/>
      <c r="AK297" s="156"/>
      <c r="AL297" s="379"/>
      <c r="AM297" s="50"/>
      <c r="AN297" s="50"/>
    </row>
    <row r="298" spans="1:40" x14ac:dyDescent="0.25">
      <c r="A298" s="53"/>
      <c r="C298" s="54"/>
      <c r="F298" s="379"/>
      <c r="H298" s="379"/>
      <c r="I298" s="379"/>
      <c r="J298" s="464"/>
      <c r="K298" s="464"/>
      <c r="L298" s="379"/>
      <c r="M298" s="379"/>
      <c r="N298" s="50"/>
      <c r="O298" s="50"/>
      <c r="P298" s="379"/>
      <c r="Q298" s="379"/>
      <c r="R298" s="379"/>
      <c r="T298" s="54"/>
      <c r="V298" s="449"/>
      <c r="W298" s="379"/>
      <c r="X298" s="379"/>
      <c r="Y298" s="449"/>
      <c r="Z298" s="464"/>
      <c r="AA298" s="379"/>
      <c r="AB298" s="379"/>
      <c r="AC298" s="50"/>
      <c r="AD298" s="50"/>
      <c r="AE298" s="379"/>
      <c r="AF298" s="379"/>
      <c r="AG298" s="156"/>
      <c r="AH298" s="60"/>
      <c r="AI298" s="379"/>
      <c r="AJ298" s="379"/>
      <c r="AK298" s="156"/>
      <c r="AL298" s="379"/>
      <c r="AM298" s="50"/>
      <c r="AN298" s="50"/>
    </row>
    <row r="299" spans="1:40" x14ac:dyDescent="0.25">
      <c r="A299" s="53"/>
      <c r="C299" s="54"/>
      <c r="F299" s="449"/>
      <c r="H299" s="449"/>
      <c r="I299" s="449"/>
      <c r="J299" s="221"/>
      <c r="K299" s="221"/>
      <c r="L299" s="379"/>
      <c r="M299" s="379"/>
      <c r="N299" s="50"/>
      <c r="O299" s="50"/>
      <c r="P299" s="379"/>
      <c r="Q299" s="379"/>
      <c r="R299" s="379"/>
      <c r="T299" s="54"/>
      <c r="V299" s="449"/>
      <c r="W299" s="379"/>
      <c r="X299" s="379"/>
      <c r="Y299" s="449"/>
      <c r="Z299" s="221"/>
      <c r="AA299" s="379"/>
      <c r="AB299" s="379"/>
      <c r="AC299" s="50"/>
      <c r="AD299" s="50"/>
      <c r="AE299" s="379"/>
      <c r="AF299" s="379"/>
      <c r="AG299" s="156"/>
      <c r="AH299" s="60"/>
      <c r="AI299" s="379"/>
      <c r="AJ299" s="379"/>
      <c r="AK299" s="156"/>
      <c r="AL299" s="379"/>
      <c r="AM299" s="50"/>
      <c r="AN299" s="50"/>
    </row>
    <row r="300" spans="1:40" x14ac:dyDescent="0.25">
      <c r="A300" s="53"/>
      <c r="C300" s="54"/>
      <c r="F300" s="449"/>
      <c r="H300" s="449"/>
      <c r="I300" s="449"/>
      <c r="J300" s="221"/>
      <c r="K300" s="221"/>
      <c r="L300" s="379"/>
      <c r="M300" s="379"/>
      <c r="N300" s="50"/>
      <c r="O300" s="50"/>
      <c r="P300" s="379"/>
      <c r="Q300" s="379"/>
      <c r="R300" s="379"/>
      <c r="T300" s="54"/>
      <c r="V300" s="449"/>
      <c r="W300" s="379"/>
      <c r="X300" s="379"/>
      <c r="Y300" s="449"/>
      <c r="Z300" s="221"/>
      <c r="AA300" s="379"/>
      <c r="AB300" s="379"/>
      <c r="AC300" s="50"/>
      <c r="AD300" s="50"/>
      <c r="AE300" s="379"/>
      <c r="AF300" s="379"/>
      <c r="AG300" s="156"/>
      <c r="AH300" s="60"/>
      <c r="AI300" s="379"/>
      <c r="AJ300" s="379"/>
      <c r="AK300" s="156"/>
      <c r="AL300" s="379"/>
      <c r="AM300" s="50"/>
      <c r="AN300" s="50"/>
    </row>
    <row r="301" spans="1:40" x14ac:dyDescent="0.25">
      <c r="A301" s="53"/>
      <c r="C301" s="54"/>
      <c r="F301" s="449"/>
      <c r="H301" s="449"/>
      <c r="I301" s="449"/>
      <c r="J301" s="221"/>
      <c r="K301" s="221"/>
      <c r="L301" s="379"/>
      <c r="M301" s="379"/>
      <c r="N301" s="50"/>
      <c r="O301" s="50"/>
      <c r="P301" s="379"/>
      <c r="Q301" s="379"/>
      <c r="R301" s="379"/>
      <c r="T301" s="54"/>
      <c r="V301" s="449"/>
      <c r="W301" s="379"/>
      <c r="X301" s="379"/>
      <c r="Y301" s="449"/>
      <c r="Z301" s="221"/>
      <c r="AA301" s="379"/>
      <c r="AB301" s="379"/>
      <c r="AC301" s="50"/>
      <c r="AD301" s="50"/>
      <c r="AE301" s="379"/>
      <c r="AF301" s="379"/>
      <c r="AG301" s="156"/>
      <c r="AH301" s="60"/>
      <c r="AI301" s="379"/>
      <c r="AJ301" s="379"/>
      <c r="AK301" s="156"/>
      <c r="AL301" s="379"/>
      <c r="AM301" s="50"/>
      <c r="AN301" s="50"/>
    </row>
    <row r="302" spans="1:40" x14ac:dyDescent="0.25">
      <c r="A302" s="53"/>
      <c r="C302" s="54"/>
      <c r="F302" s="379"/>
      <c r="H302" s="379"/>
      <c r="I302" s="379"/>
      <c r="J302" s="221"/>
      <c r="K302" s="221"/>
      <c r="L302" s="379"/>
      <c r="M302" s="379"/>
      <c r="N302" s="50"/>
      <c r="O302" s="50"/>
      <c r="P302" s="379"/>
      <c r="Q302" s="379"/>
      <c r="R302" s="379"/>
      <c r="T302" s="54"/>
      <c r="V302" s="449"/>
      <c r="W302" s="379"/>
      <c r="X302" s="379"/>
      <c r="Y302" s="449"/>
      <c r="Z302" s="221"/>
      <c r="AA302" s="379"/>
      <c r="AB302" s="379"/>
      <c r="AC302" s="50"/>
      <c r="AD302" s="50"/>
      <c r="AE302" s="379"/>
      <c r="AF302" s="379"/>
      <c r="AG302" s="156"/>
      <c r="AH302" s="60"/>
      <c r="AI302" s="379"/>
      <c r="AJ302" s="379"/>
      <c r="AK302" s="156"/>
      <c r="AL302" s="379"/>
      <c r="AM302" s="50"/>
      <c r="AN302" s="50"/>
    </row>
    <row r="303" spans="1:40" x14ac:dyDescent="0.25">
      <c r="A303" s="53"/>
      <c r="C303" s="54"/>
      <c r="F303" s="379"/>
      <c r="H303" s="379"/>
      <c r="I303" s="379"/>
      <c r="J303" s="221"/>
      <c r="K303" s="221"/>
      <c r="L303" s="379"/>
      <c r="M303" s="379"/>
      <c r="N303" s="50"/>
      <c r="O303" s="50"/>
      <c r="P303" s="379"/>
      <c r="Q303" s="379"/>
      <c r="R303" s="379"/>
      <c r="T303" s="54"/>
      <c r="V303" s="449"/>
      <c r="W303" s="379"/>
      <c r="X303" s="379"/>
      <c r="Y303" s="449"/>
      <c r="Z303" s="221"/>
      <c r="AA303" s="379"/>
      <c r="AB303" s="379"/>
      <c r="AC303" s="50"/>
      <c r="AD303" s="50"/>
      <c r="AE303" s="379"/>
      <c r="AF303" s="379"/>
      <c r="AG303" s="156"/>
      <c r="AH303" s="60"/>
      <c r="AI303" s="379"/>
      <c r="AJ303" s="379"/>
      <c r="AK303" s="156"/>
      <c r="AL303" s="379"/>
      <c r="AM303" s="50"/>
      <c r="AN303" s="50"/>
    </row>
    <row r="304" spans="1:40" x14ac:dyDescent="0.25">
      <c r="F304" s="63"/>
      <c r="H304" s="479"/>
      <c r="I304" s="479"/>
      <c r="J304" s="221"/>
      <c r="K304" s="221"/>
      <c r="L304" s="63"/>
      <c r="M304" s="63"/>
      <c r="N304" s="381"/>
      <c r="O304" s="381"/>
      <c r="P304" s="63"/>
      <c r="Q304" s="63"/>
      <c r="R304" s="63"/>
      <c r="V304" s="63"/>
      <c r="W304" s="379"/>
      <c r="X304" s="379"/>
      <c r="Y304" s="63"/>
      <c r="Z304" s="221"/>
      <c r="AA304" s="63"/>
      <c r="AB304" s="63"/>
      <c r="AC304" s="64"/>
      <c r="AD304" s="64"/>
      <c r="AE304" s="63"/>
      <c r="AF304" s="63"/>
      <c r="AG304" s="156"/>
      <c r="AH304" s="60"/>
      <c r="AI304" s="63"/>
      <c r="AJ304" s="63"/>
      <c r="AK304" s="154"/>
      <c r="AL304" s="63"/>
      <c r="AM304" s="50"/>
      <c r="AN304" s="50"/>
    </row>
    <row r="305" spans="1:40" x14ac:dyDescent="0.25">
      <c r="A305" s="53"/>
      <c r="C305" s="54"/>
      <c r="F305" s="379"/>
      <c r="H305" s="379"/>
      <c r="I305" s="379"/>
      <c r="J305" s="221"/>
      <c r="K305" s="221"/>
      <c r="L305" s="379"/>
      <c r="M305" s="379"/>
      <c r="N305" s="60"/>
      <c r="O305" s="60"/>
      <c r="P305" s="379"/>
      <c r="Q305" s="379"/>
      <c r="R305" s="379"/>
      <c r="T305" s="56"/>
      <c r="V305" s="379"/>
      <c r="W305" s="379"/>
      <c r="X305" s="379"/>
      <c r="Y305" s="379"/>
      <c r="Z305" s="221"/>
      <c r="AA305" s="379"/>
      <c r="AB305" s="379"/>
      <c r="AC305" s="60"/>
      <c r="AD305" s="60"/>
      <c r="AE305" s="379"/>
      <c r="AF305" s="379"/>
      <c r="AG305" s="156"/>
      <c r="AH305" s="60"/>
      <c r="AI305" s="379"/>
      <c r="AJ305" s="379"/>
      <c r="AK305" s="156"/>
      <c r="AL305" s="379"/>
      <c r="AM305" s="50"/>
      <c r="AN305" s="50"/>
    </row>
    <row r="306" spans="1:40" x14ac:dyDescent="0.25">
      <c r="F306" s="55"/>
      <c r="H306" s="55"/>
      <c r="I306" s="55"/>
      <c r="L306" s="55"/>
      <c r="M306" s="55"/>
      <c r="N306" s="64"/>
      <c r="O306" s="64"/>
      <c r="P306" s="63"/>
      <c r="Q306" s="63"/>
      <c r="R306" s="63"/>
      <c r="V306" s="63"/>
      <c r="Y306" s="63"/>
      <c r="Z306" s="464"/>
      <c r="AA306" s="63"/>
      <c r="AB306" s="63"/>
      <c r="AC306" s="63"/>
      <c r="AD306" s="63"/>
      <c r="AE306" s="63"/>
      <c r="AF306" s="63"/>
      <c r="AI306" s="63"/>
      <c r="AJ306" s="63"/>
      <c r="AK306" s="154"/>
      <c r="AL306" s="63"/>
      <c r="AM306" s="64"/>
      <c r="AN306" s="64"/>
    </row>
    <row r="307" spans="1:40" x14ac:dyDescent="0.25">
      <c r="AI307" s="53"/>
      <c r="AJ307" s="53"/>
    </row>
    <row r="311" spans="1:40" x14ac:dyDescent="0.25">
      <c r="N311" s="379"/>
      <c r="O311" s="379"/>
      <c r="P311" s="379"/>
      <c r="Q311" s="379"/>
      <c r="R311" s="379"/>
      <c r="V311" s="379"/>
      <c r="Y311" s="379"/>
      <c r="Z311" s="59"/>
      <c r="AA311" s="379"/>
      <c r="AB311" s="379"/>
      <c r="AC311" s="50"/>
      <c r="AD311" s="50"/>
      <c r="AE311" s="379"/>
      <c r="AF311" s="379"/>
      <c r="AG311" s="156"/>
      <c r="AH311" s="60"/>
      <c r="AI311" s="379"/>
      <c r="AJ311" s="379"/>
      <c r="AK311" s="156"/>
      <c r="AL311" s="379"/>
      <c r="AM311" s="50"/>
      <c r="AN311" s="50"/>
    </row>
    <row r="312" spans="1:40" x14ac:dyDescent="0.25">
      <c r="A312" s="53"/>
      <c r="C312" s="54"/>
      <c r="D312" s="54"/>
      <c r="E312" s="54"/>
      <c r="J312" s="65"/>
      <c r="K312" s="65"/>
      <c r="T312" s="54"/>
      <c r="U312" s="54"/>
      <c r="Z312" s="65"/>
      <c r="AE312" s="379"/>
      <c r="AF312" s="379"/>
      <c r="AI312" s="379"/>
      <c r="AJ312" s="379"/>
      <c r="AK312" s="156"/>
      <c r="AL312" s="379"/>
      <c r="AM312" s="50"/>
      <c r="AN312" s="50"/>
    </row>
    <row r="313" spans="1:40" x14ac:dyDescent="0.25">
      <c r="D313" s="54"/>
      <c r="E313" s="54"/>
      <c r="F313" s="379"/>
      <c r="H313" s="379"/>
      <c r="I313" s="379"/>
      <c r="J313" s="221"/>
      <c r="K313" s="221"/>
      <c r="L313" s="379"/>
      <c r="M313" s="379"/>
      <c r="N313" s="50"/>
      <c r="O313" s="50"/>
      <c r="P313" s="379"/>
      <c r="Q313" s="379"/>
      <c r="R313" s="379"/>
      <c r="U313" s="54"/>
      <c r="V313" s="379"/>
      <c r="Y313" s="379"/>
      <c r="Z313" s="221"/>
      <c r="AA313" s="379"/>
      <c r="AB313" s="379"/>
      <c r="AC313" s="50"/>
      <c r="AD313" s="50"/>
      <c r="AE313" s="379"/>
      <c r="AF313" s="379"/>
      <c r="AG313" s="156"/>
      <c r="AH313" s="60"/>
      <c r="AI313" s="379"/>
      <c r="AJ313" s="379"/>
      <c r="AK313" s="156"/>
      <c r="AL313" s="379"/>
      <c r="AM313" s="50"/>
      <c r="AN313" s="50"/>
    </row>
    <row r="314" spans="1:40" x14ac:dyDescent="0.25">
      <c r="F314" s="379"/>
      <c r="H314" s="379"/>
      <c r="I314" s="379"/>
      <c r="J314" s="464"/>
      <c r="K314" s="464"/>
      <c r="L314" s="379"/>
      <c r="M314" s="379"/>
      <c r="N314" s="379"/>
      <c r="O314" s="379"/>
      <c r="P314" s="379"/>
      <c r="Q314" s="379"/>
      <c r="R314" s="379"/>
      <c r="V314" s="379"/>
      <c r="Y314" s="379"/>
      <c r="Z314" s="464"/>
      <c r="AA314" s="379"/>
      <c r="AB314" s="379"/>
      <c r="AC314" s="379"/>
      <c r="AD314" s="379"/>
      <c r="AE314" s="379"/>
      <c r="AF314" s="379"/>
      <c r="AG314" s="156"/>
      <c r="AH314" s="60"/>
      <c r="AI314" s="449"/>
      <c r="AJ314" s="449"/>
      <c r="AK314" s="156"/>
      <c r="AL314" s="379"/>
      <c r="AM314" s="50"/>
      <c r="AN314" s="50"/>
    </row>
    <row r="315" spans="1:40" x14ac:dyDescent="0.25">
      <c r="A315" s="53"/>
      <c r="C315" s="54"/>
      <c r="F315" s="449"/>
      <c r="H315" s="449"/>
      <c r="I315" s="449"/>
      <c r="J315" s="463"/>
      <c r="K315" s="463"/>
      <c r="L315" s="379"/>
      <c r="M315" s="379"/>
      <c r="N315" s="50"/>
      <c r="O315" s="50"/>
      <c r="P315" s="379"/>
      <c r="Q315" s="379"/>
      <c r="R315" s="379"/>
      <c r="T315" s="54"/>
      <c r="V315" s="449"/>
      <c r="Y315" s="449"/>
      <c r="Z315" s="463"/>
      <c r="AA315" s="379"/>
      <c r="AB315" s="379"/>
      <c r="AC315" s="50"/>
      <c r="AD315" s="50"/>
      <c r="AE315" s="379"/>
      <c r="AF315" s="379"/>
      <c r="AG315" s="156"/>
      <c r="AH315" s="60"/>
      <c r="AI315" s="379"/>
      <c r="AJ315" s="379"/>
      <c r="AK315" s="156"/>
      <c r="AL315" s="379"/>
      <c r="AM315" s="50"/>
      <c r="AN315" s="50"/>
    </row>
    <row r="316" spans="1:40" x14ac:dyDescent="0.25">
      <c r="F316" s="55"/>
      <c r="H316" s="55"/>
      <c r="I316" s="55"/>
      <c r="L316" s="55"/>
      <c r="M316" s="55"/>
      <c r="N316" s="55"/>
      <c r="O316" s="55"/>
      <c r="P316" s="55"/>
      <c r="Q316" s="55"/>
      <c r="R316" s="55"/>
      <c r="V316" s="55"/>
      <c r="Y316" s="55"/>
      <c r="AA316" s="55"/>
      <c r="AB316" s="55"/>
      <c r="AC316" s="55"/>
      <c r="AD316" s="55"/>
      <c r="AE316" s="55"/>
      <c r="AF316" s="55"/>
      <c r="AG316" s="154"/>
      <c r="AH316" s="55"/>
      <c r="AI316" s="55"/>
      <c r="AJ316" s="55"/>
      <c r="AK316" s="154"/>
      <c r="AL316" s="55"/>
      <c r="AM316" s="55"/>
      <c r="AN316" s="55"/>
    </row>
    <row r="317" spans="1:40" x14ac:dyDescent="0.25">
      <c r="A317" s="53"/>
      <c r="C317" s="56"/>
      <c r="F317" s="449"/>
      <c r="H317" s="449"/>
      <c r="I317" s="449"/>
      <c r="J317" s="461"/>
      <c r="K317" s="461"/>
      <c r="L317" s="449"/>
      <c r="M317" s="449"/>
      <c r="N317" s="50"/>
      <c r="O317" s="50"/>
      <c r="P317" s="449"/>
      <c r="Q317" s="449"/>
      <c r="R317" s="449"/>
      <c r="T317" s="56"/>
      <c r="V317" s="379"/>
      <c r="Y317" s="379"/>
      <c r="Z317" s="59"/>
      <c r="AA317" s="379"/>
      <c r="AB317" s="379"/>
      <c r="AC317" s="50"/>
      <c r="AD317" s="50"/>
      <c r="AE317" s="53"/>
      <c r="AF317" s="53"/>
      <c r="AG317" s="156"/>
      <c r="AH317" s="60"/>
      <c r="AI317" s="379"/>
      <c r="AJ317" s="379"/>
      <c r="AK317" s="156"/>
      <c r="AL317" s="379"/>
      <c r="AM317" s="50"/>
      <c r="AN317" s="50"/>
    </row>
    <row r="318" spans="1:40" x14ac:dyDescent="0.25">
      <c r="F318" s="63"/>
      <c r="H318" s="63"/>
      <c r="I318" s="63"/>
      <c r="J318" s="464"/>
      <c r="K318" s="464"/>
      <c r="L318" s="63"/>
      <c r="M318" s="63"/>
      <c r="N318" s="63"/>
      <c r="O318" s="63"/>
      <c r="P318" s="63"/>
      <c r="Q318" s="63"/>
      <c r="R318" s="63"/>
      <c r="V318" s="55"/>
      <c r="Y318" s="55"/>
      <c r="AA318" s="55"/>
      <c r="AB318" s="55"/>
      <c r="AC318" s="55"/>
      <c r="AD318" s="55"/>
      <c r="AE318" s="55"/>
      <c r="AF318" s="55"/>
      <c r="AG318" s="154"/>
      <c r="AH318" s="55"/>
      <c r="AI318" s="55"/>
      <c r="AJ318" s="55"/>
      <c r="AK318" s="154"/>
      <c r="AL318" s="55"/>
      <c r="AM318" s="55"/>
      <c r="AN318" s="55"/>
    </row>
    <row r="319" spans="1:40" x14ac:dyDescent="0.25">
      <c r="F319" s="449"/>
      <c r="H319" s="449"/>
      <c r="I319" s="449"/>
      <c r="J319" s="477"/>
      <c r="K319" s="477"/>
      <c r="L319" s="379"/>
      <c r="M319" s="379"/>
      <c r="N319" s="50"/>
      <c r="O319" s="50"/>
      <c r="P319" s="379"/>
      <c r="Q319" s="379"/>
      <c r="R319" s="379"/>
    </row>
    <row r="320" spans="1:40" x14ac:dyDescent="0.25">
      <c r="A320" s="54"/>
      <c r="F320" s="449"/>
      <c r="H320" s="449"/>
      <c r="I320" s="449"/>
      <c r="J320" s="461"/>
      <c r="K320" s="461"/>
      <c r="L320" s="379"/>
      <c r="M320" s="379"/>
      <c r="N320" s="50"/>
      <c r="O320" s="50"/>
      <c r="P320" s="379"/>
      <c r="Q320" s="379"/>
      <c r="R320" s="379"/>
    </row>
    <row r="321" spans="1:40" x14ac:dyDescent="0.25">
      <c r="F321" s="449"/>
      <c r="H321" s="449"/>
      <c r="I321" s="449"/>
      <c r="J321" s="461"/>
      <c r="K321" s="461"/>
      <c r="L321" s="379"/>
      <c r="M321" s="379"/>
      <c r="N321" s="50"/>
      <c r="O321" s="50"/>
      <c r="P321" s="379"/>
      <c r="Q321" s="379"/>
      <c r="R321" s="379"/>
    </row>
    <row r="322" spans="1:40" x14ac:dyDescent="0.25">
      <c r="A322" s="54"/>
    </row>
    <row r="324" spans="1:40" x14ac:dyDescent="0.25">
      <c r="J324" s="53"/>
      <c r="K324" s="53"/>
      <c r="Z324" s="53"/>
    </row>
    <row r="325" spans="1:40" x14ac:dyDescent="0.25">
      <c r="H325" s="54"/>
      <c r="I325" s="54"/>
      <c r="Y325" s="54"/>
    </row>
    <row r="326" spans="1:40" x14ac:dyDescent="0.25">
      <c r="J326" s="53"/>
      <c r="K326" s="53"/>
      <c r="Z326" s="53"/>
    </row>
    <row r="327" spans="1:40" x14ac:dyDescent="0.25">
      <c r="L327" s="54"/>
      <c r="M327" s="54"/>
      <c r="AA327" s="54"/>
      <c r="AB327" s="54"/>
    </row>
    <row r="328" spans="1:40" x14ac:dyDescent="0.25">
      <c r="A328" s="53"/>
      <c r="R328" s="54"/>
      <c r="AK328" s="161"/>
      <c r="AL328" s="54"/>
    </row>
    <row r="329" spans="1:40" x14ac:dyDescent="0.25">
      <c r="A329" s="53"/>
      <c r="R329" s="54"/>
      <c r="AK329" s="161"/>
      <c r="AL329" s="54"/>
    </row>
    <row r="330" spans="1:40" x14ac:dyDescent="0.25">
      <c r="A330" s="54"/>
      <c r="R330" s="54"/>
      <c r="AK330" s="161"/>
      <c r="AL330" s="54"/>
    </row>
    <row r="331" spans="1:40" x14ac:dyDescent="0.25">
      <c r="L331" s="54"/>
      <c r="M331" s="54"/>
      <c r="R331" s="53"/>
      <c r="AA331" s="54"/>
      <c r="AB331" s="54"/>
      <c r="AK331" s="156"/>
      <c r="AL331" s="53"/>
    </row>
    <row r="332" spans="1:40" x14ac:dyDescent="0.25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154"/>
      <c r="AH332" s="55"/>
      <c r="AI332" s="55"/>
      <c r="AJ332" s="55"/>
      <c r="AK332" s="154"/>
      <c r="AL332" s="55"/>
      <c r="AM332" s="55"/>
      <c r="AN332" s="55"/>
    </row>
    <row r="333" spans="1:40" x14ac:dyDescent="0.25">
      <c r="L333" s="56"/>
      <c r="M333" s="56"/>
      <c r="N333" s="56"/>
      <c r="O333" s="56"/>
      <c r="R333" s="56"/>
      <c r="AA333" s="56"/>
      <c r="AB333" s="56"/>
      <c r="AC333" s="56"/>
      <c r="AD333" s="56"/>
      <c r="AE333" s="56"/>
      <c r="AF333" s="56"/>
      <c r="AG333" s="155"/>
      <c r="AH333" s="56"/>
      <c r="AK333" s="155"/>
      <c r="AL333" s="56"/>
      <c r="AM333" s="56"/>
      <c r="AN333" s="56"/>
    </row>
    <row r="334" spans="1:40" x14ac:dyDescent="0.25">
      <c r="L334" s="56"/>
      <c r="M334" s="56"/>
      <c r="N334" s="56"/>
      <c r="O334" s="56"/>
      <c r="R334" s="56"/>
      <c r="Z334" s="56"/>
      <c r="AA334" s="56"/>
      <c r="AB334" s="56"/>
      <c r="AC334" s="56"/>
      <c r="AD334" s="56"/>
      <c r="AE334" s="56"/>
      <c r="AF334" s="56"/>
      <c r="AG334" s="155"/>
      <c r="AH334" s="56"/>
      <c r="AK334" s="155"/>
      <c r="AL334" s="56"/>
      <c r="AM334" s="56"/>
      <c r="AN334" s="56"/>
    </row>
    <row r="335" spans="1:40" x14ac:dyDescent="0.25">
      <c r="A335" s="56"/>
      <c r="C335" s="56"/>
      <c r="D335" s="56"/>
      <c r="E335" s="56"/>
      <c r="F335" s="56"/>
      <c r="J335" s="56"/>
      <c r="K335" s="56"/>
      <c r="L335" s="56"/>
      <c r="M335" s="56"/>
      <c r="N335" s="56"/>
      <c r="O335" s="56"/>
      <c r="P335" s="56"/>
      <c r="Q335" s="56"/>
      <c r="R335" s="56"/>
      <c r="T335" s="56"/>
      <c r="U335" s="56"/>
      <c r="V335" s="56"/>
      <c r="Z335" s="56"/>
      <c r="AA335" s="56"/>
      <c r="AB335" s="56"/>
      <c r="AC335" s="56"/>
      <c r="AD335" s="56"/>
      <c r="AE335" s="56"/>
      <c r="AF335" s="56"/>
      <c r="AG335" s="155"/>
      <c r="AH335" s="56"/>
      <c r="AI335" s="56"/>
      <c r="AJ335" s="56"/>
      <c r="AK335" s="155"/>
      <c r="AL335" s="56"/>
      <c r="AM335" s="56"/>
      <c r="AN335" s="56"/>
    </row>
    <row r="336" spans="1:40" x14ac:dyDescent="0.25">
      <c r="A336" s="56"/>
      <c r="C336" s="56"/>
      <c r="D336" s="56"/>
      <c r="E336" s="56"/>
      <c r="F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T336" s="56"/>
      <c r="U336" s="56"/>
      <c r="V336" s="56"/>
      <c r="Y336" s="56"/>
      <c r="Z336" s="56"/>
      <c r="AA336" s="56"/>
      <c r="AB336" s="56"/>
      <c r="AC336" s="56"/>
      <c r="AD336" s="56"/>
      <c r="AE336" s="56"/>
      <c r="AF336" s="56"/>
      <c r="AG336" s="155"/>
      <c r="AH336" s="56"/>
      <c r="AI336" s="56"/>
      <c r="AJ336" s="56"/>
      <c r="AK336" s="155"/>
      <c r="AL336" s="56"/>
      <c r="AM336" s="56"/>
      <c r="AN336" s="56"/>
    </row>
    <row r="337" spans="1:40" x14ac:dyDescent="0.25">
      <c r="C337" s="56"/>
      <c r="D337" s="56"/>
      <c r="E337" s="56"/>
      <c r="F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T337" s="56"/>
      <c r="U337" s="56"/>
      <c r="V337" s="56"/>
      <c r="Y337" s="56"/>
      <c r="Z337" s="56"/>
      <c r="AA337" s="56"/>
      <c r="AB337" s="56"/>
      <c r="AC337" s="56"/>
      <c r="AD337" s="56"/>
      <c r="AE337" s="56"/>
      <c r="AF337" s="56"/>
      <c r="AG337" s="155"/>
      <c r="AH337" s="56"/>
      <c r="AI337" s="56"/>
      <c r="AJ337" s="56"/>
      <c r="AK337" s="155"/>
      <c r="AL337" s="56"/>
      <c r="AM337" s="56"/>
      <c r="AN337" s="56"/>
    </row>
    <row r="338" spans="1:40" x14ac:dyDescent="0.25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154"/>
      <c r="AH338" s="55"/>
      <c r="AI338" s="55"/>
      <c r="AJ338" s="55"/>
      <c r="AK338" s="154"/>
      <c r="AL338" s="55"/>
      <c r="AM338" s="55"/>
      <c r="AN338" s="55"/>
    </row>
    <row r="339" spans="1:40" x14ac:dyDescent="0.25"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Y339" s="56"/>
      <c r="Z339" s="56"/>
      <c r="AA339" s="56"/>
      <c r="AB339" s="56"/>
      <c r="AC339" s="56"/>
      <c r="AD339" s="56"/>
      <c r="AE339" s="56"/>
      <c r="AF339" s="56"/>
      <c r="AG339" s="155"/>
      <c r="AH339" s="56"/>
      <c r="AI339" s="56"/>
      <c r="AJ339" s="56"/>
      <c r="AK339" s="155"/>
      <c r="AL339" s="56"/>
      <c r="AM339" s="56"/>
      <c r="AN339" s="56"/>
    </row>
    <row r="340" spans="1:40" x14ac:dyDescent="0.25">
      <c r="A340" s="53"/>
      <c r="C340" s="54"/>
      <c r="D340" s="54"/>
      <c r="E340" s="54"/>
      <c r="T340" s="54"/>
      <c r="U340" s="54"/>
    </row>
    <row r="342" spans="1:40" x14ac:dyDescent="0.25">
      <c r="A342" s="53"/>
      <c r="C342" s="54"/>
      <c r="T342" s="54"/>
    </row>
    <row r="343" spans="1:40" x14ac:dyDescent="0.25">
      <c r="A343" s="53"/>
      <c r="C343" s="54"/>
      <c r="F343" s="449"/>
      <c r="H343" s="449"/>
      <c r="I343" s="449"/>
      <c r="J343" s="464"/>
      <c r="K343" s="464"/>
      <c r="L343" s="379"/>
      <c r="M343" s="379"/>
      <c r="N343" s="50"/>
      <c r="O343" s="50"/>
      <c r="P343" s="379"/>
      <c r="Q343" s="379"/>
      <c r="R343" s="379"/>
      <c r="T343" s="54"/>
      <c r="V343" s="449"/>
      <c r="Y343" s="449"/>
      <c r="Z343" s="464"/>
      <c r="AA343" s="379"/>
      <c r="AB343" s="379"/>
      <c r="AC343" s="50"/>
      <c r="AD343" s="50"/>
      <c r="AE343" s="379"/>
      <c r="AF343" s="379"/>
      <c r="AG343" s="156"/>
      <c r="AH343" s="60"/>
      <c r="AI343" s="379"/>
      <c r="AJ343" s="379"/>
      <c r="AK343" s="156"/>
      <c r="AL343" s="379"/>
      <c r="AM343" s="50"/>
      <c r="AN343" s="50"/>
    </row>
    <row r="344" spans="1:40" x14ac:dyDescent="0.25">
      <c r="A344" s="53"/>
      <c r="C344" s="54"/>
      <c r="T344" s="54"/>
    </row>
    <row r="345" spans="1:40" x14ac:dyDescent="0.25">
      <c r="A345" s="53"/>
      <c r="C345" s="54"/>
      <c r="F345" s="449"/>
      <c r="H345" s="449"/>
      <c r="I345" s="449"/>
      <c r="J345" s="221"/>
      <c r="K345" s="221"/>
      <c r="L345" s="379"/>
      <c r="M345" s="379"/>
      <c r="N345" s="50"/>
      <c r="O345" s="50"/>
      <c r="P345" s="379"/>
      <c r="Q345" s="379"/>
      <c r="R345" s="379"/>
      <c r="T345" s="54"/>
      <c r="V345" s="379"/>
      <c r="Y345" s="379"/>
      <c r="Z345" s="221"/>
      <c r="AA345" s="379"/>
      <c r="AB345" s="379"/>
      <c r="AC345" s="50"/>
      <c r="AD345" s="50"/>
      <c r="AE345" s="379"/>
      <c r="AF345" s="379"/>
      <c r="AG345" s="156"/>
      <c r="AH345" s="60"/>
      <c r="AI345" s="379"/>
      <c r="AJ345" s="379"/>
      <c r="AK345" s="156"/>
      <c r="AL345" s="379"/>
      <c r="AM345" s="50"/>
      <c r="AN345" s="50"/>
    </row>
    <row r="346" spans="1:40" x14ac:dyDescent="0.25">
      <c r="A346" s="53"/>
      <c r="C346" s="54"/>
      <c r="F346" s="449"/>
      <c r="H346" s="449"/>
      <c r="I346" s="449"/>
      <c r="J346" s="221"/>
      <c r="K346" s="221"/>
      <c r="L346" s="379"/>
      <c r="M346" s="379"/>
      <c r="N346" s="50"/>
      <c r="O346" s="50"/>
      <c r="P346" s="379"/>
      <c r="Q346" s="379"/>
      <c r="R346" s="379"/>
      <c r="T346" s="54"/>
      <c r="V346" s="379"/>
      <c r="Y346" s="379"/>
      <c r="Z346" s="221"/>
      <c r="AA346" s="379"/>
      <c r="AB346" s="379"/>
      <c r="AC346" s="50"/>
      <c r="AD346" s="50"/>
      <c r="AE346" s="379"/>
      <c r="AF346" s="379"/>
      <c r="AG346" s="156"/>
      <c r="AH346" s="60"/>
      <c r="AI346" s="379"/>
      <c r="AJ346" s="379"/>
      <c r="AK346" s="156"/>
      <c r="AL346" s="379"/>
      <c r="AM346" s="50"/>
      <c r="AN346" s="50"/>
    </row>
    <row r="347" spans="1:40" x14ac:dyDescent="0.25">
      <c r="A347" s="53"/>
      <c r="C347" s="54"/>
      <c r="F347" s="449"/>
      <c r="H347" s="449"/>
      <c r="I347" s="449"/>
      <c r="J347" s="221"/>
      <c r="K347" s="221"/>
      <c r="L347" s="379"/>
      <c r="M347" s="379"/>
      <c r="N347" s="50"/>
      <c r="O347" s="50"/>
      <c r="P347" s="379"/>
      <c r="Q347" s="379"/>
      <c r="R347" s="379"/>
      <c r="T347" s="54"/>
      <c r="V347" s="379"/>
      <c r="Y347" s="379"/>
      <c r="Z347" s="221"/>
      <c r="AA347" s="379"/>
      <c r="AB347" s="379"/>
      <c r="AC347" s="50"/>
      <c r="AD347" s="50"/>
      <c r="AE347" s="379"/>
      <c r="AF347" s="379"/>
      <c r="AG347" s="156"/>
      <c r="AH347" s="60"/>
      <c r="AI347" s="379"/>
      <c r="AJ347" s="379"/>
      <c r="AK347" s="156"/>
      <c r="AL347" s="379"/>
      <c r="AM347" s="50"/>
      <c r="AN347" s="50"/>
    </row>
    <row r="348" spans="1:40" x14ac:dyDescent="0.25">
      <c r="A348" s="53"/>
      <c r="C348" s="54"/>
      <c r="F348" s="449"/>
      <c r="H348" s="449"/>
      <c r="I348" s="449"/>
      <c r="J348" s="221"/>
      <c r="K348" s="221"/>
      <c r="L348" s="379"/>
      <c r="M348" s="379"/>
      <c r="N348" s="50"/>
      <c r="O348" s="50"/>
      <c r="P348" s="379"/>
      <c r="Q348" s="379"/>
      <c r="R348" s="379"/>
      <c r="T348" s="54"/>
      <c r="V348" s="379"/>
      <c r="Y348" s="379"/>
      <c r="Z348" s="221"/>
      <c r="AA348" s="379"/>
      <c r="AB348" s="379"/>
      <c r="AC348" s="50"/>
      <c r="AD348" s="50"/>
      <c r="AE348" s="379"/>
      <c r="AF348" s="379"/>
      <c r="AG348" s="156"/>
      <c r="AH348" s="60"/>
      <c r="AI348" s="379"/>
      <c r="AJ348" s="379"/>
      <c r="AK348" s="156"/>
      <c r="AL348" s="379"/>
      <c r="AM348" s="50"/>
      <c r="AN348" s="50"/>
    </row>
    <row r="349" spans="1:40" x14ac:dyDescent="0.25">
      <c r="A349" s="53"/>
      <c r="C349" s="54"/>
      <c r="J349" s="65"/>
      <c r="K349" s="65"/>
      <c r="T349" s="54"/>
      <c r="Z349" s="65"/>
    </row>
    <row r="350" spans="1:40" x14ac:dyDescent="0.25">
      <c r="A350" s="53"/>
      <c r="C350" s="54"/>
      <c r="F350" s="449"/>
      <c r="H350" s="449"/>
      <c r="I350" s="449"/>
      <c r="J350" s="221"/>
      <c r="K350" s="221"/>
      <c r="L350" s="379"/>
      <c r="M350" s="379"/>
      <c r="N350" s="50"/>
      <c r="O350" s="50"/>
      <c r="P350" s="379"/>
      <c r="Q350" s="379"/>
      <c r="R350" s="379"/>
      <c r="T350" s="54"/>
      <c r="V350" s="379"/>
      <c r="Y350" s="379"/>
      <c r="Z350" s="221"/>
      <c r="AA350" s="379"/>
      <c r="AB350" s="379"/>
      <c r="AC350" s="50"/>
      <c r="AD350" s="50"/>
      <c r="AE350" s="379"/>
      <c r="AF350" s="379"/>
      <c r="AG350" s="156"/>
      <c r="AH350" s="60"/>
      <c r="AI350" s="379"/>
      <c r="AJ350" s="379"/>
      <c r="AK350" s="156"/>
      <c r="AL350" s="379"/>
      <c r="AM350" s="50"/>
      <c r="AN350" s="50"/>
    </row>
    <row r="351" spans="1:40" x14ac:dyDescent="0.25">
      <c r="A351" s="53"/>
      <c r="C351" s="54"/>
      <c r="F351" s="449"/>
      <c r="H351" s="449"/>
      <c r="I351" s="449"/>
      <c r="J351" s="221"/>
      <c r="K351" s="221"/>
      <c r="L351" s="379"/>
      <c r="M351" s="379"/>
      <c r="N351" s="50"/>
      <c r="O351" s="50"/>
      <c r="P351" s="379"/>
      <c r="Q351" s="379"/>
      <c r="R351" s="379"/>
      <c r="T351" s="54"/>
      <c r="V351" s="379"/>
      <c r="Y351" s="379"/>
      <c r="Z351" s="221"/>
      <c r="AA351" s="379"/>
      <c r="AB351" s="379"/>
      <c r="AC351" s="50"/>
      <c r="AD351" s="50"/>
      <c r="AE351" s="379"/>
      <c r="AF351" s="379"/>
      <c r="AG351" s="156"/>
      <c r="AH351" s="60"/>
      <c r="AI351" s="379"/>
      <c r="AJ351" s="379"/>
      <c r="AK351" s="156"/>
      <c r="AL351" s="379"/>
      <c r="AM351" s="50"/>
      <c r="AN351" s="50"/>
    </row>
    <row r="352" spans="1:40" x14ac:dyDescent="0.25">
      <c r="A352" s="53"/>
      <c r="C352" s="54"/>
      <c r="F352" s="449"/>
      <c r="H352" s="449"/>
      <c r="I352" s="449"/>
      <c r="J352" s="221"/>
      <c r="K352" s="221"/>
      <c r="L352" s="379"/>
      <c r="M352" s="379"/>
      <c r="N352" s="50"/>
      <c r="O352" s="50"/>
      <c r="P352" s="379"/>
      <c r="Q352" s="379"/>
      <c r="R352" s="379"/>
      <c r="T352" s="54"/>
      <c r="V352" s="379"/>
      <c r="Y352" s="379"/>
      <c r="Z352" s="221"/>
      <c r="AA352" s="379"/>
      <c r="AB352" s="379"/>
      <c r="AC352" s="50"/>
      <c r="AD352" s="50"/>
      <c r="AE352" s="379"/>
      <c r="AF352" s="379"/>
      <c r="AG352" s="156"/>
      <c r="AH352" s="60"/>
      <c r="AI352" s="379"/>
      <c r="AJ352" s="379"/>
      <c r="AK352" s="156"/>
      <c r="AL352" s="379"/>
      <c r="AM352" s="50"/>
      <c r="AN352" s="50"/>
    </row>
    <row r="353" spans="1:40" x14ac:dyDescent="0.25">
      <c r="A353" s="53"/>
      <c r="C353" s="54"/>
      <c r="J353" s="65"/>
      <c r="K353" s="65"/>
      <c r="T353" s="54"/>
      <c r="Z353" s="65"/>
    </row>
    <row r="354" spans="1:40" x14ac:dyDescent="0.25">
      <c r="A354" s="53"/>
      <c r="C354" s="54"/>
      <c r="F354" s="449"/>
      <c r="H354" s="449"/>
      <c r="I354" s="449"/>
      <c r="J354" s="221"/>
      <c r="K354" s="221"/>
      <c r="L354" s="379"/>
      <c r="M354" s="379"/>
      <c r="N354" s="50"/>
      <c r="O354" s="50"/>
      <c r="P354" s="379"/>
      <c r="Q354" s="379"/>
      <c r="R354" s="379"/>
      <c r="T354" s="54"/>
      <c r="V354" s="379"/>
      <c r="Y354" s="379"/>
      <c r="Z354" s="221"/>
      <c r="AA354" s="379"/>
      <c r="AB354" s="379"/>
      <c r="AC354" s="50"/>
      <c r="AD354" s="50"/>
      <c r="AE354" s="379"/>
      <c r="AF354" s="379"/>
      <c r="AG354" s="156"/>
      <c r="AH354" s="60"/>
      <c r="AI354" s="379"/>
      <c r="AJ354" s="379"/>
      <c r="AK354" s="156"/>
      <c r="AL354" s="379"/>
      <c r="AM354" s="50"/>
      <c r="AN354" s="50"/>
    </row>
    <row r="355" spans="1:40" x14ac:dyDescent="0.25">
      <c r="A355" s="53"/>
      <c r="C355" s="54"/>
      <c r="F355" s="449"/>
      <c r="H355" s="449"/>
      <c r="I355" s="449"/>
      <c r="J355" s="221"/>
      <c r="K355" s="221"/>
      <c r="L355" s="379"/>
      <c r="M355" s="379"/>
      <c r="N355" s="50"/>
      <c r="O355" s="50"/>
      <c r="P355" s="379"/>
      <c r="Q355" s="379"/>
      <c r="R355" s="379"/>
      <c r="T355" s="54"/>
      <c r="V355" s="379"/>
      <c r="Y355" s="379"/>
      <c r="Z355" s="221"/>
      <c r="AA355" s="379"/>
      <c r="AB355" s="379"/>
      <c r="AC355" s="50"/>
      <c r="AD355" s="50"/>
      <c r="AE355" s="379"/>
      <c r="AF355" s="379"/>
      <c r="AG355" s="156"/>
      <c r="AH355" s="60"/>
      <c r="AI355" s="379"/>
      <c r="AJ355" s="379"/>
      <c r="AK355" s="156"/>
      <c r="AL355" s="379"/>
      <c r="AM355" s="50"/>
      <c r="AN355" s="50"/>
    </row>
    <row r="356" spans="1:40" x14ac:dyDescent="0.25">
      <c r="A356" s="53"/>
      <c r="C356" s="54"/>
      <c r="J356" s="65"/>
      <c r="K356" s="65"/>
      <c r="T356" s="54"/>
      <c r="Z356" s="65"/>
    </row>
    <row r="357" spans="1:40" x14ac:dyDescent="0.25">
      <c r="A357" s="53"/>
      <c r="C357" s="54"/>
      <c r="F357" s="449"/>
      <c r="H357" s="449"/>
      <c r="I357" s="449"/>
      <c r="J357" s="221"/>
      <c r="K357" s="221"/>
      <c r="L357" s="379"/>
      <c r="M357" s="379"/>
      <c r="N357" s="50"/>
      <c r="O357" s="50"/>
      <c r="P357" s="379"/>
      <c r="Q357" s="379"/>
      <c r="R357" s="379"/>
      <c r="T357" s="54"/>
      <c r="V357" s="379"/>
      <c r="Y357" s="379"/>
      <c r="Z357" s="221"/>
      <c r="AA357" s="379"/>
      <c r="AB357" s="379"/>
      <c r="AC357" s="50"/>
      <c r="AD357" s="50"/>
      <c r="AE357" s="379"/>
      <c r="AF357" s="379"/>
      <c r="AG357" s="156"/>
      <c r="AH357" s="60"/>
      <c r="AI357" s="379"/>
      <c r="AJ357" s="379"/>
      <c r="AK357" s="156"/>
      <c r="AL357" s="379"/>
      <c r="AM357" s="50"/>
      <c r="AN357" s="50"/>
    </row>
    <row r="358" spans="1:40" x14ac:dyDescent="0.25">
      <c r="A358" s="53"/>
      <c r="C358" s="54"/>
      <c r="F358" s="449"/>
      <c r="H358" s="449"/>
      <c r="I358" s="449"/>
      <c r="J358" s="221"/>
      <c r="K358" s="221"/>
      <c r="L358" s="379"/>
      <c r="M358" s="379"/>
      <c r="N358" s="50"/>
      <c r="O358" s="50"/>
      <c r="P358" s="379"/>
      <c r="Q358" s="379"/>
      <c r="R358" s="379"/>
      <c r="T358" s="54"/>
      <c r="V358" s="379"/>
      <c r="Y358" s="379"/>
      <c r="Z358" s="221"/>
      <c r="AA358" s="379"/>
      <c r="AB358" s="379"/>
      <c r="AC358" s="50"/>
      <c r="AD358" s="50"/>
      <c r="AE358" s="379"/>
      <c r="AF358" s="379"/>
      <c r="AG358" s="156"/>
      <c r="AH358" s="60"/>
      <c r="AI358" s="379"/>
      <c r="AJ358" s="379"/>
      <c r="AK358" s="156"/>
      <c r="AL358" s="379"/>
      <c r="AM358" s="50"/>
      <c r="AN358" s="50"/>
    </row>
    <row r="359" spans="1:40" x14ac:dyDescent="0.25">
      <c r="A359" s="53"/>
      <c r="C359" s="54"/>
      <c r="F359" s="449"/>
      <c r="H359" s="449"/>
      <c r="I359" s="449"/>
      <c r="J359" s="221"/>
      <c r="K359" s="221"/>
      <c r="L359" s="379"/>
      <c r="M359" s="379"/>
      <c r="N359" s="50"/>
      <c r="O359" s="50"/>
      <c r="P359" s="379"/>
      <c r="Q359" s="379"/>
      <c r="R359" s="379"/>
      <c r="T359" s="54"/>
      <c r="V359" s="379"/>
      <c r="Y359" s="379"/>
      <c r="Z359" s="221"/>
      <c r="AA359" s="379"/>
      <c r="AB359" s="379"/>
      <c r="AC359" s="50"/>
      <c r="AD359" s="50"/>
      <c r="AE359" s="379"/>
      <c r="AF359" s="379"/>
      <c r="AG359" s="156"/>
      <c r="AH359" s="60"/>
      <c r="AI359" s="379"/>
      <c r="AJ359" s="379"/>
      <c r="AK359" s="156"/>
      <c r="AL359" s="379"/>
      <c r="AM359" s="50"/>
      <c r="AN359" s="50"/>
    </row>
    <row r="360" spans="1:40" x14ac:dyDescent="0.25">
      <c r="F360" s="381"/>
      <c r="H360" s="381"/>
      <c r="I360" s="381"/>
      <c r="J360" s="221"/>
      <c r="K360" s="221"/>
      <c r="L360" s="381"/>
      <c r="M360" s="381"/>
      <c r="N360" s="381"/>
      <c r="O360" s="381"/>
      <c r="P360" s="381"/>
      <c r="Q360" s="381"/>
      <c r="R360" s="381"/>
      <c r="V360" s="381"/>
      <c r="Y360" s="381"/>
      <c r="Z360" s="221"/>
      <c r="AA360" s="381"/>
      <c r="AB360" s="381"/>
      <c r="AC360" s="381"/>
      <c r="AD360" s="381"/>
      <c r="AE360" s="381"/>
      <c r="AF360" s="381"/>
      <c r="AI360" s="381"/>
      <c r="AJ360" s="381"/>
      <c r="AK360" s="162"/>
      <c r="AL360" s="381"/>
    </row>
    <row r="361" spans="1:40" x14ac:dyDescent="0.25">
      <c r="A361" s="53"/>
      <c r="C361" s="56"/>
      <c r="F361" s="379"/>
      <c r="H361" s="379"/>
      <c r="I361" s="379"/>
      <c r="J361" s="65"/>
      <c r="K361" s="65"/>
      <c r="L361" s="379"/>
      <c r="M361" s="379"/>
      <c r="N361" s="60"/>
      <c r="O361" s="60"/>
      <c r="P361" s="379"/>
      <c r="Q361" s="379"/>
      <c r="R361" s="379"/>
      <c r="T361" s="56"/>
      <c r="V361" s="379"/>
      <c r="Y361" s="379"/>
      <c r="Z361" s="65"/>
      <c r="AA361" s="379"/>
      <c r="AB361" s="379"/>
      <c r="AC361" s="379"/>
      <c r="AD361" s="379"/>
      <c r="AE361" s="379"/>
      <c r="AF361" s="379"/>
      <c r="AG361" s="156"/>
      <c r="AH361" s="60"/>
      <c r="AI361" s="379"/>
      <c r="AJ361" s="379"/>
      <c r="AK361" s="156"/>
      <c r="AL361" s="379"/>
      <c r="AM361" s="50"/>
      <c r="AN361" s="50"/>
    </row>
    <row r="362" spans="1:40" x14ac:dyDescent="0.25">
      <c r="F362" s="381"/>
      <c r="H362" s="381"/>
      <c r="I362" s="381"/>
      <c r="J362" s="221"/>
      <c r="K362" s="221"/>
      <c r="L362" s="381"/>
      <c r="M362" s="381"/>
      <c r="N362" s="381"/>
      <c r="O362" s="381"/>
      <c r="P362" s="381"/>
      <c r="Q362" s="381"/>
      <c r="R362" s="381"/>
      <c r="V362" s="381"/>
      <c r="Y362" s="381"/>
      <c r="Z362" s="221"/>
      <c r="AA362" s="381"/>
      <c r="AB362" s="381"/>
      <c r="AC362" s="381"/>
      <c r="AD362" s="381"/>
      <c r="AE362" s="381"/>
      <c r="AF362" s="381"/>
      <c r="AI362" s="381"/>
      <c r="AJ362" s="381"/>
      <c r="AK362" s="162"/>
      <c r="AL362" s="381"/>
    </row>
    <row r="363" spans="1:40" x14ac:dyDescent="0.25">
      <c r="A363" s="53"/>
      <c r="C363" s="54"/>
      <c r="J363" s="65"/>
      <c r="K363" s="65"/>
      <c r="T363" s="54"/>
      <c r="Z363" s="65"/>
    </row>
    <row r="364" spans="1:40" x14ac:dyDescent="0.25">
      <c r="A364" s="53"/>
      <c r="C364" s="54"/>
      <c r="J364" s="65"/>
      <c r="K364" s="65"/>
      <c r="T364" s="54"/>
      <c r="Z364" s="65"/>
    </row>
    <row r="365" spans="1:40" x14ac:dyDescent="0.25">
      <c r="A365" s="53"/>
      <c r="C365" s="54"/>
      <c r="F365" s="449"/>
      <c r="H365" s="449"/>
      <c r="I365" s="449"/>
      <c r="J365" s="221"/>
      <c r="K365" s="221"/>
      <c r="L365" s="379"/>
      <c r="M365" s="379"/>
      <c r="N365" s="50"/>
      <c r="O365" s="50"/>
      <c r="P365" s="379"/>
      <c r="Q365" s="379"/>
      <c r="R365" s="379"/>
      <c r="T365" s="54"/>
      <c r="V365" s="379"/>
      <c r="Y365" s="379"/>
      <c r="Z365" s="221"/>
      <c r="AA365" s="379"/>
      <c r="AB365" s="379"/>
      <c r="AC365" s="50"/>
      <c r="AD365" s="50"/>
      <c r="AE365" s="379"/>
      <c r="AF365" s="379"/>
      <c r="AG365" s="156"/>
      <c r="AH365" s="60"/>
      <c r="AI365" s="379"/>
      <c r="AJ365" s="379"/>
      <c r="AK365" s="156"/>
      <c r="AL365" s="379"/>
      <c r="AM365" s="50"/>
      <c r="AN365" s="50"/>
    </row>
    <row r="366" spans="1:40" x14ac:dyDescent="0.25">
      <c r="A366" s="53"/>
      <c r="C366" s="54"/>
      <c r="F366" s="449"/>
      <c r="H366" s="449"/>
      <c r="I366" s="449"/>
      <c r="J366" s="221"/>
      <c r="K366" s="221"/>
      <c r="L366" s="379"/>
      <c r="M366" s="379"/>
      <c r="N366" s="50"/>
      <c r="O366" s="50"/>
      <c r="P366" s="379"/>
      <c r="Q366" s="379"/>
      <c r="R366" s="379"/>
      <c r="T366" s="54"/>
      <c r="V366" s="379"/>
      <c r="Y366" s="379"/>
      <c r="Z366" s="221"/>
      <c r="AA366" s="379"/>
      <c r="AB366" s="379"/>
      <c r="AC366" s="50"/>
      <c r="AD366" s="50"/>
      <c r="AE366" s="379"/>
      <c r="AF366" s="379"/>
      <c r="AG366" s="156"/>
      <c r="AH366" s="60"/>
      <c r="AI366" s="379"/>
      <c r="AJ366" s="379"/>
      <c r="AK366" s="156"/>
      <c r="AL366" s="379"/>
      <c r="AM366" s="50"/>
      <c r="AN366" s="50"/>
    </row>
    <row r="367" spans="1:40" x14ac:dyDescent="0.25">
      <c r="A367" s="53"/>
      <c r="C367" s="54"/>
      <c r="F367" s="449"/>
      <c r="H367" s="449"/>
      <c r="I367" s="449"/>
      <c r="J367" s="221"/>
      <c r="K367" s="221"/>
      <c r="L367" s="379"/>
      <c r="M367" s="379"/>
      <c r="N367" s="50"/>
      <c r="O367" s="50"/>
      <c r="P367" s="379"/>
      <c r="Q367" s="379"/>
      <c r="R367" s="379"/>
      <c r="T367" s="54"/>
      <c r="V367" s="379"/>
      <c r="Y367" s="379"/>
      <c r="Z367" s="221"/>
      <c r="AA367" s="379"/>
      <c r="AB367" s="379"/>
      <c r="AC367" s="50"/>
      <c r="AD367" s="50"/>
      <c r="AE367" s="379"/>
      <c r="AF367" s="379"/>
      <c r="AG367" s="156"/>
      <c r="AH367" s="60"/>
      <c r="AI367" s="379"/>
      <c r="AJ367" s="379"/>
      <c r="AK367" s="156"/>
      <c r="AL367" s="379"/>
      <c r="AM367" s="50"/>
      <c r="AN367" s="50"/>
    </row>
    <row r="368" spans="1:40" x14ac:dyDescent="0.25">
      <c r="A368" s="53"/>
      <c r="C368" s="54"/>
      <c r="F368" s="449"/>
      <c r="H368" s="449"/>
      <c r="I368" s="449"/>
      <c r="J368" s="221"/>
      <c r="K368" s="221"/>
      <c r="L368" s="379"/>
      <c r="M368" s="379"/>
      <c r="N368" s="50"/>
      <c r="O368" s="50"/>
      <c r="P368" s="379"/>
      <c r="Q368" s="379"/>
      <c r="R368" s="379"/>
      <c r="T368" s="54"/>
      <c r="V368" s="379"/>
      <c r="Y368" s="379"/>
      <c r="Z368" s="221"/>
      <c r="AA368" s="379"/>
      <c r="AB368" s="379"/>
      <c r="AC368" s="50"/>
      <c r="AD368" s="50"/>
      <c r="AE368" s="379"/>
      <c r="AF368" s="379"/>
      <c r="AG368" s="156"/>
      <c r="AH368" s="60"/>
      <c r="AI368" s="379"/>
      <c r="AJ368" s="379"/>
      <c r="AK368" s="156"/>
      <c r="AL368" s="379"/>
      <c r="AM368" s="50"/>
      <c r="AN368" s="50"/>
    </row>
    <row r="369" spans="1:40" x14ac:dyDescent="0.25">
      <c r="A369" s="53"/>
      <c r="C369" s="54"/>
      <c r="F369" s="449"/>
      <c r="H369" s="449"/>
      <c r="I369" s="449"/>
      <c r="J369" s="221"/>
      <c r="K369" s="221"/>
      <c r="L369" s="379"/>
      <c r="M369" s="379"/>
      <c r="N369" s="50"/>
      <c r="O369" s="50"/>
      <c r="P369" s="379"/>
      <c r="Q369" s="379"/>
      <c r="R369" s="379"/>
      <c r="T369" s="54"/>
      <c r="V369" s="379"/>
      <c r="Y369" s="379"/>
      <c r="Z369" s="221"/>
      <c r="AA369" s="379"/>
      <c r="AB369" s="379"/>
      <c r="AC369" s="50"/>
      <c r="AD369" s="50"/>
      <c r="AE369" s="379"/>
      <c r="AF369" s="379"/>
      <c r="AG369" s="156"/>
      <c r="AH369" s="60"/>
      <c r="AI369" s="379"/>
      <c r="AJ369" s="379"/>
      <c r="AK369" s="156"/>
      <c r="AL369" s="379"/>
      <c r="AM369" s="50"/>
      <c r="AN369" s="50"/>
    </row>
    <row r="370" spans="1:40" x14ac:dyDescent="0.25">
      <c r="A370" s="53"/>
      <c r="C370" s="54"/>
      <c r="F370" s="449"/>
      <c r="H370" s="449"/>
      <c r="I370" s="449"/>
      <c r="J370" s="221"/>
      <c r="K370" s="221"/>
      <c r="L370" s="379"/>
      <c r="M370" s="379"/>
      <c r="N370" s="50"/>
      <c r="O370" s="50"/>
      <c r="P370" s="379"/>
      <c r="Q370" s="379"/>
      <c r="R370" s="379"/>
      <c r="T370" s="54"/>
      <c r="V370" s="379"/>
      <c r="Y370" s="379"/>
      <c r="Z370" s="221"/>
      <c r="AA370" s="379"/>
      <c r="AB370" s="379"/>
      <c r="AC370" s="50"/>
      <c r="AD370" s="50"/>
      <c r="AE370" s="379"/>
      <c r="AF370" s="379"/>
      <c r="AG370" s="156"/>
      <c r="AH370" s="60"/>
      <c r="AI370" s="379"/>
      <c r="AJ370" s="379"/>
      <c r="AK370" s="156"/>
      <c r="AL370" s="379"/>
      <c r="AM370" s="50"/>
      <c r="AN370" s="50"/>
    </row>
    <row r="371" spans="1:40" x14ac:dyDescent="0.25">
      <c r="A371" s="53"/>
      <c r="C371" s="54"/>
      <c r="F371" s="449"/>
      <c r="H371" s="449"/>
      <c r="I371" s="449"/>
      <c r="J371" s="221"/>
      <c r="K371" s="221"/>
      <c r="L371" s="379"/>
      <c r="M371" s="379"/>
      <c r="N371" s="50"/>
      <c r="O371" s="50"/>
      <c r="P371" s="379"/>
      <c r="Q371" s="379"/>
      <c r="R371" s="379"/>
      <c r="T371" s="54"/>
      <c r="V371" s="379"/>
      <c r="Y371" s="379"/>
      <c r="Z371" s="221"/>
      <c r="AA371" s="379"/>
      <c r="AB371" s="379"/>
      <c r="AC371" s="50"/>
      <c r="AD371" s="50"/>
      <c r="AE371" s="379"/>
      <c r="AF371" s="379"/>
      <c r="AG371" s="156"/>
      <c r="AH371" s="60"/>
      <c r="AI371" s="379"/>
      <c r="AJ371" s="379"/>
      <c r="AK371" s="156"/>
      <c r="AL371" s="379"/>
      <c r="AM371" s="50"/>
      <c r="AN371" s="50"/>
    </row>
    <row r="372" spans="1:40" x14ac:dyDescent="0.25">
      <c r="A372" s="53"/>
      <c r="C372" s="54"/>
      <c r="J372" s="65"/>
      <c r="K372" s="65"/>
      <c r="T372" s="54"/>
      <c r="Z372" s="65"/>
    </row>
    <row r="373" spans="1:40" x14ac:dyDescent="0.25">
      <c r="A373" s="53"/>
      <c r="C373" s="54"/>
      <c r="F373" s="449"/>
      <c r="H373" s="449"/>
      <c r="I373" s="449"/>
      <c r="J373" s="221"/>
      <c r="K373" s="221"/>
      <c r="L373" s="379"/>
      <c r="M373" s="379"/>
      <c r="N373" s="50"/>
      <c r="O373" s="50"/>
      <c r="P373" s="379"/>
      <c r="Q373" s="379"/>
      <c r="R373" s="379"/>
      <c r="T373" s="54"/>
      <c r="V373" s="379"/>
      <c r="Y373" s="379"/>
      <c r="Z373" s="221"/>
      <c r="AA373" s="379"/>
      <c r="AB373" s="379"/>
      <c r="AC373" s="50"/>
      <c r="AD373" s="50"/>
      <c r="AE373" s="379"/>
      <c r="AF373" s="379"/>
      <c r="AG373" s="156"/>
      <c r="AH373" s="60"/>
      <c r="AI373" s="379"/>
      <c r="AJ373" s="379"/>
      <c r="AK373" s="156"/>
      <c r="AL373" s="379"/>
      <c r="AM373" s="50"/>
      <c r="AN373" s="50"/>
    </row>
    <row r="374" spans="1:40" x14ac:dyDescent="0.25">
      <c r="A374" s="53"/>
      <c r="C374" s="54"/>
      <c r="F374" s="449"/>
      <c r="H374" s="449"/>
      <c r="I374" s="449"/>
      <c r="J374" s="221"/>
      <c r="K374" s="221"/>
      <c r="L374" s="379"/>
      <c r="M374" s="379"/>
      <c r="N374" s="50"/>
      <c r="O374" s="50"/>
      <c r="P374" s="379"/>
      <c r="Q374" s="379"/>
      <c r="R374" s="379"/>
      <c r="T374" s="54"/>
      <c r="V374" s="379"/>
      <c r="Y374" s="379"/>
      <c r="Z374" s="221"/>
      <c r="AA374" s="379"/>
      <c r="AB374" s="379"/>
      <c r="AC374" s="50"/>
      <c r="AD374" s="50"/>
      <c r="AE374" s="379"/>
      <c r="AF374" s="379"/>
      <c r="AG374" s="156"/>
      <c r="AH374" s="60"/>
      <c r="AI374" s="379"/>
      <c r="AJ374" s="379"/>
      <c r="AK374" s="156"/>
      <c r="AL374" s="379"/>
      <c r="AM374" s="50"/>
      <c r="AN374" s="50"/>
    </row>
    <row r="375" spans="1:40" x14ac:dyDescent="0.25">
      <c r="A375" s="53"/>
      <c r="C375" s="54"/>
      <c r="F375" s="449"/>
      <c r="H375" s="449"/>
      <c r="I375" s="449"/>
      <c r="J375" s="221"/>
      <c r="K375" s="221"/>
      <c r="L375" s="379"/>
      <c r="M375" s="379"/>
      <c r="N375" s="50"/>
      <c r="O375" s="50"/>
      <c r="P375" s="379"/>
      <c r="Q375" s="379"/>
      <c r="R375" s="379"/>
      <c r="T375" s="54"/>
      <c r="V375" s="379"/>
      <c r="Y375" s="379"/>
      <c r="Z375" s="221"/>
      <c r="AA375" s="379"/>
      <c r="AB375" s="379"/>
      <c r="AC375" s="50"/>
      <c r="AD375" s="50"/>
      <c r="AE375" s="379"/>
      <c r="AF375" s="379"/>
      <c r="AG375" s="156"/>
      <c r="AH375" s="60"/>
      <c r="AI375" s="379"/>
      <c r="AJ375" s="379"/>
      <c r="AK375" s="156"/>
      <c r="AL375" s="379"/>
      <c r="AM375" s="50"/>
      <c r="AN375" s="50"/>
    </row>
    <row r="376" spans="1:40" x14ac:dyDescent="0.25">
      <c r="A376" s="53"/>
      <c r="C376" s="54"/>
      <c r="F376" s="449"/>
      <c r="H376" s="449"/>
      <c r="I376" s="449"/>
      <c r="J376" s="221"/>
      <c r="K376" s="221"/>
      <c r="L376" s="379"/>
      <c r="M376" s="379"/>
      <c r="N376" s="50"/>
      <c r="O376" s="50"/>
      <c r="P376" s="379"/>
      <c r="Q376" s="379"/>
      <c r="R376" s="379"/>
      <c r="T376" s="54"/>
      <c r="V376" s="379"/>
      <c r="Y376" s="379"/>
      <c r="Z376" s="221"/>
      <c r="AA376" s="379"/>
      <c r="AB376" s="379"/>
      <c r="AC376" s="50"/>
      <c r="AD376" s="50"/>
      <c r="AE376" s="379"/>
      <c r="AF376" s="379"/>
      <c r="AG376" s="156"/>
      <c r="AH376" s="60"/>
      <c r="AI376" s="379"/>
      <c r="AJ376" s="379"/>
      <c r="AK376" s="156"/>
      <c r="AL376" s="379"/>
      <c r="AM376" s="50"/>
      <c r="AN376" s="50"/>
    </row>
    <row r="377" spans="1:40" x14ac:dyDescent="0.25">
      <c r="A377" s="53"/>
      <c r="C377" s="54"/>
      <c r="J377" s="65"/>
      <c r="K377" s="65"/>
      <c r="T377" s="54"/>
      <c r="Z377" s="65"/>
    </row>
    <row r="378" spans="1:40" x14ac:dyDescent="0.25">
      <c r="A378" s="53"/>
      <c r="C378" s="54"/>
      <c r="F378" s="449"/>
      <c r="H378" s="449"/>
      <c r="I378" s="449"/>
      <c r="J378" s="221"/>
      <c r="K378" s="221"/>
      <c r="L378" s="379"/>
      <c r="M378" s="379"/>
      <c r="N378" s="50"/>
      <c r="O378" s="50"/>
      <c r="P378" s="379"/>
      <c r="Q378" s="379"/>
      <c r="R378" s="379"/>
      <c r="T378" s="54"/>
      <c r="V378" s="379"/>
      <c r="Y378" s="379"/>
      <c r="Z378" s="221"/>
      <c r="AA378" s="379"/>
      <c r="AB378" s="379"/>
      <c r="AC378" s="50"/>
      <c r="AD378" s="50"/>
      <c r="AE378" s="379"/>
      <c r="AF378" s="379"/>
      <c r="AG378" s="156"/>
      <c r="AH378" s="60"/>
      <c r="AI378" s="379"/>
      <c r="AJ378" s="379"/>
      <c r="AK378" s="156"/>
      <c r="AL378" s="379"/>
      <c r="AM378" s="50"/>
      <c r="AN378" s="50"/>
    </row>
    <row r="379" spans="1:40" x14ac:dyDescent="0.25">
      <c r="A379" s="53"/>
      <c r="C379" s="54"/>
      <c r="F379" s="449"/>
      <c r="H379" s="449"/>
      <c r="I379" s="449"/>
      <c r="J379" s="221"/>
      <c r="K379" s="221"/>
      <c r="L379" s="379"/>
      <c r="M379" s="379"/>
      <c r="N379" s="50"/>
      <c r="O379" s="50"/>
      <c r="P379" s="379"/>
      <c r="Q379" s="379"/>
      <c r="R379" s="379"/>
      <c r="T379" s="54"/>
      <c r="V379" s="379"/>
      <c r="Y379" s="379"/>
      <c r="Z379" s="221"/>
      <c r="AA379" s="379"/>
      <c r="AB379" s="379"/>
      <c r="AC379" s="50"/>
      <c r="AD379" s="50"/>
      <c r="AE379" s="379"/>
      <c r="AF379" s="379"/>
      <c r="AG379" s="156"/>
      <c r="AH379" s="60"/>
      <c r="AI379" s="379"/>
      <c r="AJ379" s="379"/>
      <c r="AK379" s="156"/>
      <c r="AL379" s="379"/>
      <c r="AM379" s="50"/>
      <c r="AN379" s="50"/>
    </row>
    <row r="380" spans="1:40" x14ac:dyDescent="0.25">
      <c r="A380" s="53"/>
      <c r="C380" s="54"/>
      <c r="F380" s="449"/>
      <c r="H380" s="449"/>
      <c r="I380" s="449"/>
      <c r="J380" s="221"/>
      <c r="K380" s="221"/>
      <c r="L380" s="379"/>
      <c r="M380" s="379"/>
      <c r="N380" s="50"/>
      <c r="O380" s="50"/>
      <c r="P380" s="379"/>
      <c r="Q380" s="379"/>
      <c r="R380" s="379"/>
      <c r="T380" s="54"/>
      <c r="V380" s="379"/>
      <c r="Y380" s="379"/>
      <c r="Z380" s="221"/>
      <c r="AA380" s="379"/>
      <c r="AB380" s="379"/>
      <c r="AC380" s="50"/>
      <c r="AD380" s="50"/>
      <c r="AE380" s="379"/>
      <c r="AF380" s="379"/>
      <c r="AG380" s="156"/>
      <c r="AH380" s="60"/>
      <c r="AI380" s="379"/>
      <c r="AJ380" s="379"/>
      <c r="AK380" s="156"/>
      <c r="AL380" s="379"/>
      <c r="AM380" s="50"/>
      <c r="AN380" s="50"/>
    </row>
    <row r="381" spans="1:40" x14ac:dyDescent="0.25">
      <c r="A381" s="53"/>
      <c r="C381" s="54"/>
      <c r="F381" s="449"/>
      <c r="H381" s="449"/>
      <c r="I381" s="449"/>
      <c r="J381" s="221"/>
      <c r="K381" s="221"/>
      <c r="L381" s="379"/>
      <c r="M381" s="379"/>
      <c r="N381" s="50"/>
      <c r="O381" s="50"/>
      <c r="P381" s="379"/>
      <c r="Q381" s="379"/>
      <c r="R381" s="379"/>
      <c r="T381" s="54"/>
      <c r="V381" s="379"/>
      <c r="Y381" s="379"/>
      <c r="Z381" s="221"/>
      <c r="AA381" s="379"/>
      <c r="AB381" s="379"/>
      <c r="AC381" s="50"/>
      <c r="AD381" s="50"/>
      <c r="AE381" s="379"/>
      <c r="AF381" s="379"/>
      <c r="AG381" s="156"/>
      <c r="AH381" s="60"/>
      <c r="AI381" s="379"/>
      <c r="AJ381" s="379"/>
      <c r="AK381" s="156"/>
      <c r="AL381" s="379"/>
      <c r="AM381" s="50"/>
      <c r="AN381" s="50"/>
    </row>
    <row r="382" spans="1:40" x14ac:dyDescent="0.25">
      <c r="A382" s="53"/>
      <c r="C382" s="54"/>
      <c r="F382" s="449"/>
      <c r="H382" s="449"/>
      <c r="I382" s="449"/>
      <c r="J382" s="221"/>
      <c r="K382" s="221"/>
      <c r="L382" s="379"/>
      <c r="M382" s="379"/>
      <c r="N382" s="50"/>
      <c r="O382" s="50"/>
      <c r="P382" s="379"/>
      <c r="Q382" s="379"/>
      <c r="R382" s="379"/>
      <c r="T382" s="54"/>
      <c r="V382" s="379"/>
      <c r="Y382" s="379"/>
      <c r="Z382" s="221"/>
      <c r="AA382" s="379"/>
      <c r="AB382" s="379"/>
      <c r="AC382" s="50"/>
      <c r="AD382" s="50"/>
      <c r="AE382" s="379"/>
      <c r="AF382" s="379"/>
      <c r="AG382" s="156"/>
      <c r="AH382" s="60"/>
      <c r="AI382" s="379"/>
      <c r="AJ382" s="379"/>
      <c r="AK382" s="156"/>
      <c r="AL382" s="379"/>
      <c r="AM382" s="50"/>
      <c r="AN382" s="50"/>
    </row>
    <row r="383" spans="1:40" x14ac:dyDescent="0.25">
      <c r="F383" s="381"/>
      <c r="H383" s="381"/>
      <c r="I383" s="381"/>
      <c r="J383" s="464"/>
      <c r="K383" s="464"/>
      <c r="L383" s="381"/>
      <c r="M383" s="381"/>
      <c r="N383" s="381"/>
      <c r="O383" s="381"/>
      <c r="P383" s="381"/>
      <c r="Q383" s="381"/>
      <c r="R383" s="381"/>
      <c r="V383" s="381"/>
      <c r="Y383" s="381"/>
      <c r="Z383" s="221"/>
      <c r="AA383" s="381"/>
      <c r="AB383" s="381"/>
      <c r="AC383" s="381"/>
      <c r="AD383" s="381"/>
      <c r="AE383" s="381"/>
      <c r="AF383" s="381"/>
      <c r="AI383" s="381"/>
      <c r="AJ383" s="381"/>
      <c r="AK383" s="162"/>
      <c r="AL383" s="381"/>
    </row>
    <row r="384" spans="1:40" x14ac:dyDescent="0.25">
      <c r="A384" s="53"/>
      <c r="C384" s="54"/>
      <c r="F384" s="379"/>
      <c r="H384" s="379"/>
      <c r="I384" s="379"/>
      <c r="L384" s="379"/>
      <c r="M384" s="379"/>
      <c r="N384" s="60"/>
      <c r="O384" s="60"/>
      <c r="P384" s="379"/>
      <c r="Q384" s="379"/>
      <c r="R384" s="379"/>
      <c r="T384" s="54"/>
      <c r="V384" s="379"/>
      <c r="Y384" s="379"/>
      <c r="AA384" s="379"/>
      <c r="AB384" s="379"/>
      <c r="AC384" s="50"/>
      <c r="AD384" s="50"/>
      <c r="AE384" s="379"/>
      <c r="AF384" s="379"/>
      <c r="AG384" s="156"/>
      <c r="AH384" s="60"/>
      <c r="AI384" s="379"/>
      <c r="AJ384" s="379"/>
      <c r="AK384" s="156"/>
      <c r="AL384" s="379"/>
      <c r="AM384" s="50"/>
      <c r="AN384" s="50"/>
    </row>
    <row r="385" spans="1:40" x14ac:dyDescent="0.25">
      <c r="F385" s="381"/>
      <c r="H385" s="381"/>
      <c r="I385" s="381"/>
      <c r="J385" s="464"/>
      <c r="K385" s="464"/>
      <c r="L385" s="381"/>
      <c r="M385" s="381"/>
      <c r="N385" s="381"/>
      <c r="O385" s="381"/>
      <c r="P385" s="381"/>
      <c r="Q385" s="381"/>
      <c r="R385" s="381"/>
      <c r="V385" s="381"/>
      <c r="Y385" s="381"/>
      <c r="Z385" s="464"/>
      <c r="AA385" s="381"/>
      <c r="AB385" s="381"/>
      <c r="AC385" s="381"/>
      <c r="AD385" s="381"/>
      <c r="AE385" s="381"/>
      <c r="AF385" s="381"/>
      <c r="AI385" s="381"/>
      <c r="AJ385" s="381"/>
      <c r="AK385" s="162"/>
      <c r="AL385" s="381"/>
    </row>
    <row r="386" spans="1:40" x14ac:dyDescent="0.25">
      <c r="A386" s="53"/>
      <c r="C386" s="54"/>
      <c r="T386" s="54"/>
    </row>
    <row r="387" spans="1:40" x14ac:dyDescent="0.25">
      <c r="A387" s="53"/>
      <c r="C387" s="54"/>
      <c r="F387" s="449"/>
      <c r="H387" s="449"/>
      <c r="I387" s="449"/>
      <c r="J387" s="461"/>
      <c r="K387" s="461"/>
      <c r="L387" s="379"/>
      <c r="M387" s="379"/>
      <c r="N387" s="50"/>
      <c r="O387" s="50"/>
      <c r="P387" s="379"/>
      <c r="Q387" s="379"/>
      <c r="R387" s="379"/>
      <c r="T387" s="54"/>
      <c r="V387" s="379"/>
      <c r="Y387" s="379"/>
      <c r="Z387" s="461"/>
      <c r="AA387" s="379"/>
      <c r="AB387" s="379"/>
      <c r="AC387" s="50"/>
      <c r="AD387" s="50"/>
      <c r="AE387" s="379"/>
      <c r="AF387" s="379"/>
      <c r="AG387" s="156"/>
      <c r="AH387" s="60"/>
      <c r="AI387" s="379"/>
      <c r="AJ387" s="379"/>
      <c r="AK387" s="156"/>
      <c r="AL387" s="379"/>
      <c r="AM387" s="50"/>
      <c r="AN387" s="50"/>
    </row>
    <row r="388" spans="1:40" x14ac:dyDescent="0.25">
      <c r="A388" s="53"/>
      <c r="C388" s="54"/>
      <c r="F388" s="449"/>
      <c r="H388" s="449"/>
      <c r="I388" s="449"/>
      <c r="J388" s="461"/>
      <c r="K388" s="461"/>
      <c r="L388" s="379"/>
      <c r="M388" s="379"/>
      <c r="N388" s="50"/>
      <c r="O388" s="50"/>
      <c r="P388" s="379"/>
      <c r="Q388" s="379"/>
      <c r="R388" s="379"/>
      <c r="T388" s="54"/>
      <c r="V388" s="379"/>
      <c r="Y388" s="379"/>
      <c r="Z388" s="461"/>
      <c r="AA388" s="379"/>
      <c r="AB388" s="379"/>
      <c r="AC388" s="50"/>
      <c r="AD388" s="50"/>
      <c r="AE388" s="379"/>
      <c r="AF388" s="379"/>
      <c r="AG388" s="156"/>
      <c r="AH388" s="60"/>
      <c r="AI388" s="379"/>
      <c r="AJ388" s="379"/>
      <c r="AK388" s="156"/>
      <c r="AL388" s="379"/>
      <c r="AM388" s="50"/>
      <c r="AN388" s="50"/>
    </row>
    <row r="389" spans="1:40" x14ac:dyDescent="0.25">
      <c r="F389" s="381"/>
      <c r="H389" s="379"/>
      <c r="I389" s="379"/>
      <c r="J389" s="464"/>
      <c r="K389" s="464"/>
      <c r="L389" s="381"/>
      <c r="M389" s="381"/>
      <c r="N389" s="381"/>
      <c r="O389" s="381"/>
      <c r="P389" s="381"/>
      <c r="Q389" s="381"/>
      <c r="R389" s="381"/>
      <c r="V389" s="381"/>
      <c r="Y389" s="379"/>
      <c r="Z389" s="464"/>
      <c r="AA389" s="381"/>
      <c r="AB389" s="381"/>
      <c r="AC389" s="381"/>
      <c r="AD389" s="381"/>
      <c r="AE389" s="381"/>
      <c r="AF389" s="381"/>
      <c r="AI389" s="381"/>
      <c r="AJ389" s="381"/>
      <c r="AK389" s="162"/>
      <c r="AL389" s="381"/>
    </row>
    <row r="390" spans="1:40" x14ac:dyDescent="0.25">
      <c r="F390" s="379"/>
      <c r="H390" s="379"/>
      <c r="I390" s="379"/>
      <c r="J390" s="464"/>
      <c r="K390" s="464"/>
      <c r="L390" s="379"/>
      <c r="M390" s="379"/>
      <c r="N390" s="379"/>
      <c r="O390" s="379"/>
      <c r="P390" s="379"/>
      <c r="Q390" s="379"/>
      <c r="R390" s="379"/>
      <c r="V390" s="379"/>
      <c r="Y390" s="379"/>
      <c r="Z390" s="464"/>
      <c r="AA390" s="379"/>
      <c r="AB390" s="379"/>
      <c r="AC390" s="379"/>
      <c r="AD390" s="379"/>
      <c r="AE390" s="379"/>
      <c r="AF390" s="379"/>
      <c r="AI390" s="379"/>
      <c r="AJ390" s="379"/>
      <c r="AK390" s="156"/>
      <c r="AL390" s="379"/>
    </row>
    <row r="391" spans="1:40" x14ac:dyDescent="0.25">
      <c r="A391" s="53"/>
      <c r="C391" s="54"/>
      <c r="F391" s="379"/>
      <c r="H391" s="379"/>
      <c r="I391" s="379"/>
      <c r="L391" s="379"/>
      <c r="M391" s="379"/>
      <c r="N391" s="50"/>
      <c r="O391" s="50"/>
      <c r="P391" s="379"/>
      <c r="Q391" s="379"/>
      <c r="R391" s="379"/>
      <c r="T391" s="54"/>
      <c r="V391" s="379"/>
      <c r="Y391" s="379"/>
      <c r="AA391" s="379"/>
      <c r="AB391" s="379"/>
      <c r="AC391" s="50"/>
      <c r="AD391" s="50"/>
      <c r="AE391" s="379"/>
      <c r="AF391" s="379"/>
      <c r="AG391" s="156"/>
      <c r="AH391" s="60"/>
      <c r="AI391" s="449"/>
      <c r="AJ391" s="449"/>
      <c r="AK391" s="156"/>
      <c r="AL391" s="379"/>
      <c r="AM391" s="50"/>
      <c r="AN391" s="50"/>
    </row>
    <row r="392" spans="1:40" x14ac:dyDescent="0.25">
      <c r="H392" s="381"/>
      <c r="I392" s="381"/>
      <c r="J392" s="464"/>
      <c r="K392" s="464"/>
      <c r="L392" s="381"/>
      <c r="M392" s="381"/>
      <c r="N392" s="381"/>
      <c r="O392" s="381"/>
      <c r="P392" s="381"/>
      <c r="Q392" s="381"/>
      <c r="R392" s="381"/>
      <c r="V392" s="381"/>
      <c r="Y392" s="381"/>
      <c r="Z392" s="464"/>
      <c r="AA392" s="381"/>
      <c r="AB392" s="381"/>
      <c r="AC392" s="381"/>
      <c r="AD392" s="381"/>
      <c r="AE392" s="381"/>
      <c r="AF392" s="381"/>
      <c r="AI392" s="381"/>
      <c r="AJ392" s="381"/>
      <c r="AK392" s="162"/>
      <c r="AL392" s="381"/>
    </row>
    <row r="393" spans="1:40" x14ac:dyDescent="0.25">
      <c r="F393" s="381"/>
    </row>
    <row r="394" spans="1:40" x14ac:dyDescent="0.25">
      <c r="A394" s="54"/>
      <c r="T394" s="54"/>
    </row>
    <row r="395" spans="1:40" x14ac:dyDescent="0.25">
      <c r="A395" s="54"/>
      <c r="T395" s="54"/>
    </row>
    <row r="396" spans="1:40" x14ac:dyDescent="0.25">
      <c r="A396" s="54"/>
      <c r="T396" s="54"/>
    </row>
    <row r="397" spans="1:40" x14ac:dyDescent="0.25">
      <c r="A397" s="54"/>
      <c r="T397" s="54"/>
    </row>
    <row r="398" spans="1:40" x14ac:dyDescent="0.25">
      <c r="A398" s="54"/>
      <c r="T398" s="54"/>
    </row>
    <row r="399" spans="1:40" x14ac:dyDescent="0.25">
      <c r="A399" s="54"/>
      <c r="T399" s="54"/>
    </row>
    <row r="400" spans="1:40" x14ac:dyDescent="0.25">
      <c r="A400" s="54"/>
      <c r="T400" s="54"/>
    </row>
    <row r="401" spans="1:40" x14ac:dyDescent="0.25">
      <c r="A401" s="54"/>
      <c r="T401" s="54"/>
    </row>
    <row r="402" spans="1:40" x14ac:dyDescent="0.25">
      <c r="A402" s="54"/>
      <c r="T402" s="54"/>
    </row>
    <row r="404" spans="1:40" x14ac:dyDescent="0.25">
      <c r="A404" s="54"/>
    </row>
    <row r="405" spans="1:40" x14ac:dyDescent="0.25">
      <c r="J405" s="53"/>
      <c r="K405" s="53"/>
      <c r="Z405" s="53"/>
    </row>
    <row r="406" spans="1:40" x14ac:dyDescent="0.25">
      <c r="H406" s="54"/>
      <c r="I406" s="54"/>
      <c r="Y406" s="54"/>
    </row>
    <row r="407" spans="1:40" x14ac:dyDescent="0.25">
      <c r="J407" s="53"/>
      <c r="K407" s="53"/>
      <c r="Z407" s="53"/>
    </row>
    <row r="408" spans="1:40" x14ac:dyDescent="0.25">
      <c r="L408" s="54"/>
      <c r="M408" s="54"/>
      <c r="AA408" s="54"/>
      <c r="AB408" s="54"/>
    </row>
    <row r="409" spans="1:40" x14ac:dyDescent="0.25">
      <c r="A409" s="53"/>
      <c r="R409" s="54"/>
      <c r="AK409" s="161"/>
      <c r="AL409" s="54"/>
    </row>
    <row r="410" spans="1:40" x14ac:dyDescent="0.25">
      <c r="A410" s="53"/>
      <c r="R410" s="54"/>
      <c r="AK410" s="161"/>
      <c r="AL410" s="54"/>
    </row>
    <row r="411" spans="1:40" x14ac:dyDescent="0.25">
      <c r="A411" s="54"/>
      <c r="R411" s="54"/>
      <c r="AK411" s="161"/>
      <c r="AL411" s="54"/>
    </row>
    <row r="412" spans="1:40" x14ac:dyDescent="0.25">
      <c r="L412" s="54"/>
      <c r="M412" s="54"/>
      <c r="R412" s="53"/>
      <c r="AA412" s="54"/>
      <c r="AB412" s="54"/>
      <c r="AK412" s="156"/>
      <c r="AL412" s="53"/>
    </row>
    <row r="413" spans="1:40" x14ac:dyDescent="0.25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154"/>
      <c r="AH413" s="55"/>
      <c r="AI413" s="55"/>
      <c r="AJ413" s="55"/>
      <c r="AK413" s="154"/>
      <c r="AL413" s="55"/>
      <c r="AM413" s="55"/>
      <c r="AN413" s="55"/>
    </row>
    <row r="414" spans="1:40" x14ac:dyDescent="0.25">
      <c r="L414" s="56"/>
      <c r="M414" s="56"/>
      <c r="N414" s="56"/>
      <c r="O414" s="56"/>
      <c r="R414" s="56"/>
      <c r="AA414" s="56"/>
      <c r="AB414" s="56"/>
      <c r="AC414" s="56"/>
      <c r="AD414" s="56"/>
      <c r="AE414" s="56"/>
      <c r="AF414" s="56"/>
      <c r="AG414" s="155"/>
      <c r="AH414" s="56"/>
      <c r="AK414" s="155"/>
      <c r="AL414" s="56"/>
      <c r="AM414" s="56"/>
      <c r="AN414" s="56"/>
    </row>
    <row r="415" spans="1:40" x14ac:dyDescent="0.25">
      <c r="L415" s="56"/>
      <c r="M415" s="56"/>
      <c r="N415" s="56"/>
      <c r="O415" s="56"/>
      <c r="R415" s="56"/>
      <c r="Z415" s="56"/>
      <c r="AA415" s="56"/>
      <c r="AB415" s="56"/>
      <c r="AC415" s="56"/>
      <c r="AD415" s="56"/>
      <c r="AE415" s="56"/>
      <c r="AF415" s="56"/>
      <c r="AG415" s="155"/>
      <c r="AH415" s="56"/>
      <c r="AK415" s="155"/>
      <c r="AL415" s="56"/>
      <c r="AM415" s="56"/>
      <c r="AN415" s="56"/>
    </row>
    <row r="416" spans="1:40" x14ac:dyDescent="0.25">
      <c r="A416" s="56"/>
      <c r="C416" s="56"/>
      <c r="D416" s="56"/>
      <c r="E416" s="56"/>
      <c r="F416" s="56"/>
      <c r="J416" s="56"/>
      <c r="K416" s="56"/>
      <c r="L416" s="56"/>
      <c r="M416" s="56"/>
      <c r="N416" s="56"/>
      <c r="O416" s="56"/>
      <c r="P416" s="56"/>
      <c r="Q416" s="56"/>
      <c r="R416" s="56"/>
      <c r="T416" s="56"/>
      <c r="U416" s="56"/>
      <c r="V416" s="56"/>
      <c r="Z416" s="56"/>
      <c r="AA416" s="56"/>
      <c r="AB416" s="56"/>
      <c r="AC416" s="56"/>
      <c r="AD416" s="56"/>
      <c r="AE416" s="56"/>
      <c r="AF416" s="56"/>
      <c r="AG416" s="155"/>
      <c r="AH416" s="56"/>
      <c r="AI416" s="56"/>
      <c r="AJ416" s="56"/>
      <c r="AK416" s="155"/>
      <c r="AL416" s="56"/>
      <c r="AM416" s="56"/>
      <c r="AN416" s="56"/>
    </row>
    <row r="417" spans="1:40" x14ac:dyDescent="0.25">
      <c r="A417" s="56"/>
      <c r="C417" s="56"/>
      <c r="D417" s="56"/>
      <c r="E417" s="56"/>
      <c r="F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T417" s="56"/>
      <c r="U417" s="56"/>
      <c r="V417" s="56"/>
      <c r="Y417" s="56"/>
      <c r="Z417" s="56"/>
      <c r="AA417" s="56"/>
      <c r="AB417" s="56"/>
      <c r="AC417" s="56"/>
      <c r="AD417" s="56"/>
      <c r="AE417" s="56"/>
      <c r="AF417" s="56"/>
      <c r="AG417" s="155"/>
      <c r="AH417" s="56"/>
      <c r="AI417" s="56"/>
      <c r="AJ417" s="56"/>
      <c r="AK417" s="155"/>
      <c r="AL417" s="56"/>
      <c r="AM417" s="56"/>
      <c r="AN417" s="56"/>
    </row>
    <row r="418" spans="1:40" x14ac:dyDescent="0.25">
      <c r="C418" s="56"/>
      <c r="D418" s="56"/>
      <c r="E418" s="56"/>
      <c r="F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T418" s="56"/>
      <c r="U418" s="56"/>
      <c r="V418" s="56"/>
      <c r="Y418" s="56"/>
      <c r="Z418" s="56"/>
      <c r="AA418" s="56"/>
      <c r="AB418" s="56"/>
      <c r="AC418" s="56"/>
      <c r="AD418" s="56"/>
      <c r="AE418" s="56"/>
      <c r="AF418" s="56"/>
      <c r="AG418" s="155"/>
      <c r="AH418" s="56"/>
      <c r="AI418" s="56"/>
      <c r="AJ418" s="56"/>
      <c r="AK418" s="155"/>
      <c r="AL418" s="56"/>
      <c r="AM418" s="56"/>
      <c r="AN418" s="56"/>
    </row>
    <row r="419" spans="1:40" x14ac:dyDescent="0.25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154"/>
      <c r="AH419" s="55"/>
      <c r="AI419" s="55"/>
      <c r="AJ419" s="55"/>
      <c r="AK419" s="154"/>
      <c r="AL419" s="55"/>
      <c r="AM419" s="55"/>
      <c r="AN419" s="55"/>
    </row>
    <row r="420" spans="1:40" x14ac:dyDescent="0.25"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Y420" s="56"/>
      <c r="Z420" s="56"/>
      <c r="AA420" s="56"/>
      <c r="AB420" s="56"/>
      <c r="AC420" s="56"/>
      <c r="AD420" s="56"/>
      <c r="AE420" s="56"/>
      <c r="AF420" s="56"/>
      <c r="AG420" s="155"/>
      <c r="AH420" s="56"/>
      <c r="AI420" s="56"/>
      <c r="AJ420" s="56"/>
      <c r="AK420" s="155"/>
      <c r="AL420" s="56"/>
      <c r="AM420" s="56"/>
      <c r="AN420" s="56"/>
    </row>
    <row r="421" spans="1:40" x14ac:dyDescent="0.25">
      <c r="A421" s="53"/>
      <c r="C421" s="54"/>
      <c r="D421" s="54"/>
      <c r="E421" s="54"/>
      <c r="T421" s="54"/>
      <c r="U421" s="54"/>
    </row>
    <row r="422" spans="1:40" x14ac:dyDescent="0.25">
      <c r="A422" s="53"/>
      <c r="D422" s="54"/>
      <c r="E422" s="54"/>
      <c r="U422" s="54"/>
    </row>
    <row r="424" spans="1:40" x14ac:dyDescent="0.25">
      <c r="A424" s="53"/>
      <c r="C424" s="54"/>
      <c r="F424" s="379"/>
      <c r="J424" s="62"/>
      <c r="K424" s="62"/>
      <c r="L424" s="379"/>
      <c r="M424" s="379"/>
      <c r="R424" s="379"/>
      <c r="T424" s="54"/>
      <c r="V424" s="379"/>
      <c r="Z424" s="62"/>
      <c r="AA424" s="379"/>
      <c r="AB424" s="379"/>
      <c r="AG424" s="156"/>
      <c r="AH424" s="379"/>
      <c r="AK424" s="156"/>
      <c r="AL424" s="379"/>
    </row>
    <row r="425" spans="1:40" x14ac:dyDescent="0.25">
      <c r="A425" s="53"/>
      <c r="C425" s="54"/>
      <c r="F425" s="379"/>
      <c r="R425" s="379"/>
      <c r="T425" s="54"/>
      <c r="V425" s="379"/>
      <c r="AG425" s="156"/>
      <c r="AH425" s="379"/>
      <c r="AK425" s="156"/>
      <c r="AL425" s="379"/>
    </row>
    <row r="426" spans="1:40" x14ac:dyDescent="0.25">
      <c r="AI426" s="379"/>
      <c r="AJ426" s="379"/>
      <c r="AK426" s="156"/>
      <c r="AL426" s="379"/>
      <c r="AM426" s="50"/>
      <c r="AN426" s="50"/>
    </row>
    <row r="427" spans="1:40" x14ac:dyDescent="0.25">
      <c r="A427" s="53"/>
      <c r="C427" s="54"/>
      <c r="F427" s="449"/>
      <c r="H427" s="449"/>
      <c r="I427" s="449"/>
      <c r="J427" s="477"/>
      <c r="K427" s="477"/>
      <c r="L427" s="379"/>
      <c r="M427" s="379"/>
      <c r="N427" s="50"/>
      <c r="O427" s="50"/>
      <c r="P427" s="379"/>
      <c r="Q427" s="379"/>
      <c r="R427" s="379"/>
      <c r="T427" s="54"/>
      <c r="V427" s="379"/>
      <c r="Y427" s="379"/>
      <c r="Z427" s="477"/>
      <c r="AA427" s="379"/>
      <c r="AB427" s="379"/>
      <c r="AC427" s="50"/>
      <c r="AD427" s="50"/>
      <c r="AE427" s="379"/>
      <c r="AF427" s="379"/>
      <c r="AG427" s="156"/>
      <c r="AH427" s="60"/>
      <c r="AI427" s="379"/>
      <c r="AJ427" s="379"/>
      <c r="AK427" s="156"/>
      <c r="AL427" s="379"/>
      <c r="AM427" s="50"/>
      <c r="AN427" s="50"/>
    </row>
    <row r="428" spans="1:40" x14ac:dyDescent="0.25">
      <c r="F428" s="379"/>
      <c r="H428" s="379"/>
      <c r="I428" s="379"/>
      <c r="J428" s="59"/>
      <c r="K428" s="59"/>
      <c r="L428" s="379"/>
      <c r="M428" s="379"/>
      <c r="P428" s="379"/>
      <c r="Q428" s="379"/>
      <c r="R428" s="379"/>
      <c r="V428" s="379"/>
      <c r="Y428" s="379"/>
      <c r="Z428" s="59"/>
      <c r="AA428" s="379"/>
      <c r="AB428" s="379"/>
      <c r="AI428" s="379"/>
      <c r="AJ428" s="379"/>
      <c r="AK428" s="156"/>
      <c r="AL428" s="379"/>
      <c r="AM428" s="50"/>
      <c r="AN428" s="50"/>
    </row>
    <row r="429" spans="1:40" x14ac:dyDescent="0.25">
      <c r="F429" s="379"/>
      <c r="R429" s="379"/>
      <c r="V429" s="379"/>
      <c r="AK429" s="156"/>
      <c r="AL429" s="379"/>
      <c r="AM429" s="50"/>
      <c r="AN429" s="50"/>
    </row>
    <row r="430" spans="1:40" x14ac:dyDescent="0.25">
      <c r="A430" s="53"/>
      <c r="C430" s="54"/>
      <c r="F430" s="379"/>
      <c r="J430" s="62"/>
      <c r="K430" s="62"/>
      <c r="L430" s="379"/>
      <c r="M430" s="379"/>
      <c r="N430" s="50"/>
      <c r="O430" s="50"/>
      <c r="R430" s="379"/>
      <c r="T430" s="54"/>
      <c r="V430" s="379"/>
      <c r="Z430" s="62"/>
      <c r="AA430" s="379"/>
      <c r="AB430" s="379"/>
      <c r="AC430" s="50"/>
      <c r="AD430" s="50"/>
      <c r="AK430" s="156"/>
      <c r="AL430" s="379"/>
      <c r="AM430" s="50"/>
      <c r="AN430" s="50"/>
    </row>
    <row r="431" spans="1:40" x14ac:dyDescent="0.25">
      <c r="A431" s="53"/>
      <c r="C431" s="54"/>
      <c r="F431" s="379"/>
      <c r="H431" s="379"/>
      <c r="I431" s="379"/>
      <c r="J431" s="62"/>
      <c r="K431" s="62"/>
      <c r="L431" s="379"/>
      <c r="M431" s="379"/>
      <c r="N431" s="50"/>
      <c r="O431" s="50"/>
      <c r="P431" s="379"/>
      <c r="Q431" s="379"/>
      <c r="R431" s="379"/>
      <c r="T431" s="54"/>
      <c r="V431" s="379"/>
      <c r="Y431" s="379"/>
      <c r="Z431" s="62"/>
      <c r="AA431" s="379"/>
      <c r="AB431" s="379"/>
      <c r="AC431" s="50"/>
      <c r="AD431" s="50"/>
      <c r="AI431" s="379"/>
      <c r="AJ431" s="379"/>
      <c r="AK431" s="156"/>
      <c r="AL431" s="379"/>
      <c r="AM431" s="50"/>
      <c r="AN431" s="50"/>
    </row>
    <row r="432" spans="1:40" x14ac:dyDescent="0.25">
      <c r="A432" s="53"/>
      <c r="C432" s="54"/>
      <c r="T432" s="54"/>
      <c r="AM432" s="50"/>
      <c r="AN432" s="50"/>
    </row>
    <row r="433" spans="1:40" x14ac:dyDescent="0.25">
      <c r="A433" s="53"/>
      <c r="C433" s="54"/>
      <c r="T433" s="54"/>
      <c r="AM433" s="50"/>
      <c r="AN433" s="50"/>
    </row>
    <row r="434" spans="1:40" x14ac:dyDescent="0.25">
      <c r="AM434" s="50"/>
      <c r="AN434" s="50"/>
    </row>
    <row r="435" spans="1:40" x14ac:dyDescent="0.25">
      <c r="A435" s="53"/>
      <c r="C435" s="54"/>
      <c r="F435" s="449"/>
      <c r="H435" s="449"/>
      <c r="I435" s="449"/>
      <c r="J435" s="477"/>
      <c r="K435" s="477"/>
      <c r="L435" s="379"/>
      <c r="M435" s="379"/>
      <c r="N435" s="50"/>
      <c r="O435" s="50"/>
      <c r="P435" s="379"/>
      <c r="Q435" s="379"/>
      <c r="R435" s="379"/>
      <c r="T435" s="54"/>
      <c r="V435" s="379"/>
      <c r="Y435" s="379"/>
      <c r="Z435" s="477"/>
      <c r="AA435" s="379"/>
      <c r="AB435" s="379"/>
      <c r="AC435" s="50"/>
      <c r="AD435" s="50"/>
      <c r="AE435" s="379"/>
      <c r="AF435" s="379"/>
      <c r="AG435" s="156"/>
      <c r="AH435" s="60"/>
      <c r="AI435" s="379"/>
      <c r="AJ435" s="379"/>
      <c r="AK435" s="156"/>
      <c r="AL435" s="379"/>
      <c r="AM435" s="50"/>
      <c r="AN435" s="50"/>
    </row>
    <row r="436" spans="1:40" x14ac:dyDescent="0.25">
      <c r="F436" s="381"/>
      <c r="H436" s="381"/>
      <c r="I436" s="381"/>
      <c r="J436" s="464"/>
      <c r="K436" s="464"/>
      <c r="L436" s="381"/>
      <c r="M436" s="381"/>
      <c r="N436" s="381"/>
      <c r="O436" s="381"/>
      <c r="P436" s="381"/>
      <c r="Q436" s="381"/>
      <c r="R436" s="381"/>
      <c r="V436" s="381"/>
      <c r="Y436" s="381"/>
      <c r="Z436" s="464"/>
      <c r="AA436" s="381"/>
      <c r="AB436" s="381"/>
      <c r="AC436" s="381"/>
      <c r="AD436" s="381"/>
      <c r="AE436" s="381"/>
      <c r="AF436" s="381"/>
      <c r="AI436" s="381"/>
      <c r="AJ436" s="381"/>
      <c r="AK436" s="162"/>
      <c r="AL436" s="381"/>
      <c r="AM436" s="50"/>
      <c r="AN436" s="50"/>
    </row>
    <row r="437" spans="1:40" x14ac:dyDescent="0.25">
      <c r="H437" s="379"/>
      <c r="I437" s="379"/>
      <c r="Y437" s="379"/>
      <c r="AM437" s="50"/>
      <c r="AN437" s="50"/>
    </row>
    <row r="438" spans="1:40" x14ac:dyDescent="0.25">
      <c r="A438" s="53"/>
      <c r="C438" s="54"/>
      <c r="F438" s="379"/>
      <c r="H438" s="379"/>
      <c r="I438" s="379"/>
      <c r="L438" s="379"/>
      <c r="M438" s="379"/>
      <c r="N438" s="50"/>
      <c r="O438" s="50"/>
      <c r="P438" s="449"/>
      <c r="Q438" s="449"/>
      <c r="R438" s="379"/>
      <c r="T438" s="54"/>
      <c r="V438" s="379"/>
      <c r="Y438" s="379"/>
      <c r="AA438" s="379"/>
      <c r="AB438" s="379"/>
      <c r="AC438" s="50"/>
      <c r="AD438" s="50"/>
      <c r="AE438" s="379"/>
      <c r="AF438" s="379"/>
      <c r="AG438" s="156"/>
      <c r="AH438" s="60"/>
      <c r="AI438" s="449"/>
      <c r="AJ438" s="449"/>
      <c r="AK438" s="156"/>
      <c r="AL438" s="379"/>
      <c r="AM438" s="50"/>
      <c r="AN438" s="50"/>
    </row>
    <row r="439" spans="1:40" x14ac:dyDescent="0.25">
      <c r="H439" s="381"/>
      <c r="I439" s="381"/>
      <c r="J439" s="464"/>
      <c r="K439" s="464"/>
      <c r="L439" s="381"/>
      <c r="M439" s="381"/>
      <c r="N439" s="381"/>
      <c r="O439" s="381"/>
      <c r="P439" s="381"/>
      <c r="Q439" s="381"/>
      <c r="R439" s="381"/>
      <c r="V439" s="381"/>
      <c r="Y439" s="381"/>
      <c r="Z439" s="464"/>
      <c r="AA439" s="381"/>
      <c r="AB439" s="381"/>
      <c r="AC439" s="381"/>
      <c r="AD439" s="381"/>
      <c r="AE439" s="381"/>
      <c r="AF439" s="381"/>
      <c r="AI439" s="381"/>
      <c r="AJ439" s="381"/>
      <c r="AK439" s="162"/>
      <c r="AL439" s="381"/>
      <c r="AM439" s="50"/>
      <c r="AN439" s="50"/>
    </row>
    <row r="440" spans="1:40" x14ac:dyDescent="0.25">
      <c r="F440" s="381"/>
    </row>
    <row r="441" spans="1:40" x14ac:dyDescent="0.25">
      <c r="F441" s="379"/>
      <c r="H441" s="379"/>
      <c r="I441" s="379"/>
      <c r="J441" s="59"/>
      <c r="K441" s="59"/>
      <c r="L441" s="379"/>
      <c r="M441" s="379"/>
      <c r="N441" s="379"/>
      <c r="O441" s="379"/>
      <c r="P441" s="379"/>
      <c r="Q441" s="379"/>
      <c r="R441" s="379"/>
      <c r="V441" s="379"/>
      <c r="Y441" s="379"/>
      <c r="Z441" s="59"/>
      <c r="AA441" s="379"/>
      <c r="AB441" s="379"/>
      <c r="AC441" s="379"/>
      <c r="AD441" s="379"/>
      <c r="AE441" s="379"/>
      <c r="AF441" s="379"/>
      <c r="AG441" s="156"/>
      <c r="AH441" s="379"/>
      <c r="AI441" s="379"/>
      <c r="AJ441" s="379"/>
      <c r="AK441" s="156"/>
      <c r="AL441" s="379"/>
    </row>
    <row r="442" spans="1:40" x14ac:dyDescent="0.25">
      <c r="A442" s="54"/>
    </row>
    <row r="443" spans="1:40" x14ac:dyDescent="0.25">
      <c r="J443" s="53"/>
      <c r="K443" s="53"/>
      <c r="Z443" s="53"/>
    </row>
    <row r="444" spans="1:40" x14ac:dyDescent="0.25">
      <c r="H444" s="54"/>
      <c r="I444" s="54"/>
      <c r="Y444" s="54"/>
    </row>
    <row r="445" spans="1:40" x14ac:dyDescent="0.25">
      <c r="J445" s="53"/>
      <c r="K445" s="53"/>
      <c r="Z445" s="53"/>
    </row>
    <row r="446" spans="1:40" x14ac:dyDescent="0.25">
      <c r="L446" s="54"/>
      <c r="M446" s="54"/>
      <c r="AA446" s="54"/>
      <c r="AB446" s="54"/>
    </row>
    <row r="447" spans="1:40" x14ac:dyDescent="0.25">
      <c r="A447" s="53"/>
      <c r="R447" s="54"/>
      <c r="AK447" s="161"/>
      <c r="AL447" s="54"/>
    </row>
    <row r="448" spans="1:40" x14ac:dyDescent="0.25">
      <c r="A448" s="53"/>
      <c r="R448" s="54"/>
      <c r="AK448" s="161"/>
      <c r="AL448" s="54"/>
    </row>
    <row r="449" spans="1:40" x14ac:dyDescent="0.25">
      <c r="A449" s="54"/>
      <c r="R449" s="54"/>
      <c r="AK449" s="161"/>
      <c r="AL449" s="54"/>
    </row>
    <row r="450" spans="1:40" x14ac:dyDescent="0.25">
      <c r="L450" s="54"/>
      <c r="M450" s="54"/>
      <c r="R450" s="53"/>
      <c r="AA450" s="54"/>
      <c r="AB450" s="54"/>
      <c r="AK450" s="156"/>
      <c r="AL450" s="53"/>
    </row>
    <row r="451" spans="1:40" x14ac:dyDescent="0.25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154"/>
      <c r="AH451" s="55"/>
      <c r="AI451" s="55"/>
      <c r="AJ451" s="55"/>
      <c r="AK451" s="154"/>
      <c r="AL451" s="55"/>
      <c r="AM451" s="55"/>
      <c r="AN451" s="55"/>
    </row>
    <row r="452" spans="1:40" x14ac:dyDescent="0.25">
      <c r="L452" s="56"/>
      <c r="M452" s="56"/>
      <c r="N452" s="56"/>
      <c r="O452" s="56"/>
      <c r="R452" s="56"/>
      <c r="AA452" s="56"/>
      <c r="AB452" s="56"/>
      <c r="AC452" s="56"/>
      <c r="AD452" s="56"/>
      <c r="AE452" s="56"/>
      <c r="AF452" s="56"/>
      <c r="AG452" s="155"/>
      <c r="AH452" s="56"/>
      <c r="AK452" s="155"/>
      <c r="AL452" s="56"/>
      <c r="AM452" s="56"/>
      <c r="AN452" s="56"/>
    </row>
    <row r="453" spans="1:40" x14ac:dyDescent="0.25">
      <c r="L453" s="56"/>
      <c r="M453" s="56"/>
      <c r="N453" s="56"/>
      <c r="O453" s="56"/>
      <c r="R453" s="56"/>
      <c r="Z453" s="56"/>
      <c r="AA453" s="56"/>
      <c r="AB453" s="56"/>
      <c r="AC453" s="56"/>
      <c r="AD453" s="56"/>
      <c r="AE453" s="56"/>
      <c r="AF453" s="56"/>
      <c r="AG453" s="155"/>
      <c r="AH453" s="56"/>
      <c r="AK453" s="155"/>
      <c r="AL453" s="56"/>
      <c r="AM453" s="56"/>
      <c r="AN453" s="56"/>
    </row>
    <row r="454" spans="1:40" x14ac:dyDescent="0.25">
      <c r="A454" s="56"/>
      <c r="C454" s="56"/>
      <c r="D454" s="56"/>
      <c r="E454" s="56"/>
      <c r="F454" s="56"/>
      <c r="J454" s="56"/>
      <c r="K454" s="56"/>
      <c r="L454" s="56"/>
      <c r="M454" s="56"/>
      <c r="N454" s="56"/>
      <c r="O454" s="56"/>
      <c r="P454" s="56"/>
      <c r="Q454" s="56"/>
      <c r="R454" s="56"/>
      <c r="T454" s="56"/>
      <c r="U454" s="56"/>
      <c r="V454" s="56"/>
      <c r="Z454" s="56"/>
      <c r="AA454" s="56"/>
      <c r="AB454" s="56"/>
      <c r="AC454" s="56"/>
      <c r="AD454" s="56"/>
      <c r="AE454" s="56"/>
      <c r="AF454" s="56"/>
      <c r="AG454" s="155"/>
      <c r="AH454" s="56"/>
      <c r="AI454" s="56"/>
      <c r="AJ454" s="56"/>
      <c r="AK454" s="155"/>
      <c r="AL454" s="56"/>
      <c r="AM454" s="56"/>
      <c r="AN454" s="56"/>
    </row>
    <row r="455" spans="1:40" x14ac:dyDescent="0.25">
      <c r="A455" s="56"/>
      <c r="C455" s="56"/>
      <c r="D455" s="56"/>
      <c r="E455" s="56"/>
      <c r="F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T455" s="56"/>
      <c r="U455" s="56"/>
      <c r="V455" s="56"/>
      <c r="Y455" s="56"/>
      <c r="Z455" s="56"/>
      <c r="AA455" s="56"/>
      <c r="AB455" s="56"/>
      <c r="AC455" s="56"/>
      <c r="AD455" s="56"/>
      <c r="AE455" s="56"/>
      <c r="AF455" s="56"/>
      <c r="AG455" s="155"/>
      <c r="AH455" s="56"/>
      <c r="AI455" s="56"/>
      <c r="AJ455" s="56"/>
      <c r="AK455" s="155"/>
      <c r="AL455" s="56"/>
      <c r="AM455" s="56"/>
      <c r="AN455" s="56"/>
    </row>
    <row r="456" spans="1:40" x14ac:dyDescent="0.25">
      <c r="C456" s="56"/>
      <c r="D456" s="56"/>
      <c r="E456" s="56"/>
      <c r="F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T456" s="56"/>
      <c r="U456" s="56"/>
      <c r="V456" s="56"/>
      <c r="Y456" s="56"/>
      <c r="Z456" s="56"/>
      <c r="AA456" s="56"/>
      <c r="AB456" s="56"/>
      <c r="AC456" s="56"/>
      <c r="AD456" s="56"/>
      <c r="AE456" s="56"/>
      <c r="AF456" s="56"/>
      <c r="AG456" s="155"/>
      <c r="AH456" s="56"/>
      <c r="AI456" s="56"/>
      <c r="AJ456" s="56"/>
      <c r="AK456" s="155"/>
      <c r="AL456" s="56"/>
      <c r="AM456" s="56"/>
      <c r="AN456" s="56"/>
    </row>
    <row r="457" spans="1:40" x14ac:dyDescent="0.25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154"/>
      <c r="AH457" s="55"/>
      <c r="AI457" s="55"/>
      <c r="AJ457" s="55"/>
      <c r="AK457" s="154"/>
      <c r="AL457" s="55"/>
      <c r="AM457" s="55"/>
      <c r="AN457" s="55"/>
    </row>
    <row r="458" spans="1:40" x14ac:dyDescent="0.25"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Y458" s="56"/>
      <c r="Z458" s="56"/>
      <c r="AA458" s="56"/>
      <c r="AB458" s="56"/>
      <c r="AC458" s="56"/>
      <c r="AD458" s="56"/>
      <c r="AE458" s="56"/>
      <c r="AF458" s="56"/>
      <c r="AG458" s="155"/>
      <c r="AH458" s="56"/>
      <c r="AI458" s="56"/>
      <c r="AJ458" s="56"/>
      <c r="AK458" s="155"/>
      <c r="AL458" s="56"/>
      <c r="AM458" s="56"/>
      <c r="AN458" s="56"/>
    </row>
    <row r="459" spans="1:40" x14ac:dyDescent="0.25">
      <c r="A459" s="53"/>
      <c r="C459" s="54"/>
      <c r="D459" s="54"/>
      <c r="E459" s="54"/>
      <c r="T459" s="54"/>
      <c r="U459" s="54"/>
      <c r="V459" s="379"/>
      <c r="W459" s="379"/>
      <c r="X459" s="379"/>
      <c r="Y459" s="379"/>
      <c r="Z459" s="477"/>
    </row>
    <row r="461" spans="1:40" x14ac:dyDescent="0.25">
      <c r="A461" s="53"/>
      <c r="C461" s="54"/>
      <c r="T461" s="54"/>
      <c r="V461" s="379"/>
      <c r="W461" s="379"/>
      <c r="X461" s="379"/>
      <c r="Y461" s="379"/>
      <c r="Z461" s="477"/>
    </row>
    <row r="462" spans="1:40" x14ac:dyDescent="0.25">
      <c r="A462" s="53"/>
      <c r="C462" s="54"/>
      <c r="F462" s="449"/>
      <c r="H462" s="449"/>
      <c r="I462" s="449"/>
      <c r="J462" s="221"/>
      <c r="K462" s="221"/>
      <c r="L462" s="379"/>
      <c r="M462" s="379"/>
      <c r="N462" s="50"/>
      <c r="O462" s="50"/>
      <c r="P462" s="379"/>
      <c r="Q462" s="379"/>
      <c r="R462" s="379"/>
      <c r="T462" s="54"/>
      <c r="V462" s="379"/>
      <c r="W462" s="379"/>
      <c r="X462" s="379"/>
      <c r="Y462" s="379"/>
      <c r="Z462" s="221"/>
      <c r="AA462" s="379"/>
      <c r="AB462" s="379"/>
      <c r="AC462" s="50"/>
      <c r="AD462" s="50"/>
      <c r="AE462" s="379"/>
      <c r="AF462" s="379"/>
      <c r="AG462" s="156"/>
      <c r="AH462" s="60"/>
      <c r="AI462" s="379"/>
      <c r="AJ462" s="379"/>
      <c r="AK462" s="156"/>
      <c r="AL462" s="379"/>
      <c r="AM462" s="50"/>
      <c r="AN462" s="50"/>
    </row>
    <row r="463" spans="1:40" x14ac:dyDescent="0.25">
      <c r="A463" s="53"/>
      <c r="C463" s="54"/>
      <c r="F463" s="449"/>
      <c r="H463" s="449"/>
      <c r="I463" s="449"/>
      <c r="J463" s="221"/>
      <c r="K463" s="221"/>
      <c r="L463" s="379"/>
      <c r="M463" s="379"/>
      <c r="N463" s="50"/>
      <c r="O463" s="50"/>
      <c r="P463" s="379"/>
      <c r="Q463" s="379"/>
      <c r="R463" s="379"/>
      <c r="T463" s="54"/>
      <c r="V463" s="379"/>
      <c r="W463" s="379"/>
      <c r="X463" s="379"/>
      <c r="Y463" s="379"/>
      <c r="Z463" s="221"/>
      <c r="AA463" s="379"/>
      <c r="AB463" s="379"/>
      <c r="AC463" s="50"/>
      <c r="AD463" s="50"/>
      <c r="AE463" s="379"/>
      <c r="AF463" s="379"/>
      <c r="AG463" s="156"/>
      <c r="AH463" s="60"/>
      <c r="AI463" s="379"/>
      <c r="AJ463" s="379"/>
      <c r="AK463" s="156"/>
      <c r="AL463" s="379"/>
      <c r="AM463" s="50"/>
      <c r="AN463" s="50"/>
    </row>
    <row r="464" spans="1:40" x14ac:dyDescent="0.25">
      <c r="A464" s="53"/>
      <c r="C464" s="54"/>
      <c r="F464" s="449"/>
      <c r="H464" s="449"/>
      <c r="I464" s="449"/>
      <c r="J464" s="221"/>
      <c r="K464" s="221"/>
      <c r="L464" s="379"/>
      <c r="M464" s="379"/>
      <c r="N464" s="50"/>
      <c r="O464" s="50"/>
      <c r="P464" s="379"/>
      <c r="Q464" s="379"/>
      <c r="R464" s="379"/>
      <c r="T464" s="54"/>
      <c r="V464" s="379"/>
      <c r="W464" s="379"/>
      <c r="X464" s="379"/>
      <c r="Y464" s="379"/>
      <c r="Z464" s="221"/>
      <c r="AA464" s="379"/>
      <c r="AB464" s="379"/>
      <c r="AC464" s="50"/>
      <c r="AD464" s="50"/>
      <c r="AE464" s="379"/>
      <c r="AF464" s="379"/>
      <c r="AG464" s="156"/>
      <c r="AH464" s="60"/>
      <c r="AI464" s="379"/>
      <c r="AJ464" s="379"/>
      <c r="AK464" s="156"/>
      <c r="AL464" s="379"/>
      <c r="AM464" s="50"/>
      <c r="AN464" s="50"/>
    </row>
    <row r="465" spans="1:40" x14ac:dyDescent="0.25">
      <c r="A465" s="53"/>
      <c r="C465" s="54"/>
      <c r="F465" s="449"/>
      <c r="H465" s="449"/>
      <c r="I465" s="449"/>
      <c r="J465" s="221"/>
      <c r="K465" s="221"/>
      <c r="L465" s="379"/>
      <c r="M465" s="379"/>
      <c r="N465" s="50"/>
      <c r="O465" s="50"/>
      <c r="P465" s="379"/>
      <c r="Q465" s="379"/>
      <c r="R465" s="379"/>
      <c r="T465" s="54"/>
      <c r="V465" s="379"/>
      <c r="W465" s="379"/>
      <c r="X465" s="379"/>
      <c r="Y465" s="379"/>
      <c r="Z465" s="221"/>
      <c r="AA465" s="379"/>
      <c r="AB465" s="379"/>
      <c r="AC465" s="50"/>
      <c r="AD465" s="50"/>
      <c r="AE465" s="379"/>
      <c r="AF465" s="379"/>
      <c r="AG465" s="156"/>
      <c r="AH465" s="60"/>
      <c r="AI465" s="379"/>
      <c r="AJ465" s="379"/>
      <c r="AK465" s="156"/>
      <c r="AL465" s="379"/>
      <c r="AM465" s="50"/>
      <c r="AN465" s="50"/>
    </row>
    <row r="466" spans="1:40" x14ac:dyDescent="0.25">
      <c r="J466" s="65"/>
      <c r="K466" s="65"/>
      <c r="V466" s="379"/>
      <c r="W466" s="379"/>
      <c r="X466" s="379"/>
      <c r="Y466" s="379"/>
      <c r="Z466" s="221"/>
    </row>
    <row r="467" spans="1:40" x14ac:dyDescent="0.25">
      <c r="A467" s="53"/>
      <c r="C467" s="54"/>
      <c r="F467" s="449"/>
      <c r="H467" s="449"/>
      <c r="I467" s="449"/>
      <c r="J467" s="221"/>
      <c r="K467" s="221"/>
      <c r="L467" s="379"/>
      <c r="M467" s="379"/>
      <c r="N467" s="50"/>
      <c r="O467" s="50"/>
      <c r="P467" s="379"/>
      <c r="Q467" s="379"/>
      <c r="R467" s="379"/>
      <c r="T467" s="54"/>
      <c r="V467" s="379"/>
      <c r="W467" s="379"/>
      <c r="X467" s="379"/>
      <c r="Y467" s="379"/>
      <c r="Z467" s="221"/>
      <c r="AA467" s="379"/>
      <c r="AB467" s="379"/>
      <c r="AC467" s="50"/>
      <c r="AD467" s="50"/>
      <c r="AE467" s="379"/>
      <c r="AF467" s="379"/>
      <c r="AG467" s="156"/>
      <c r="AH467" s="60"/>
      <c r="AI467" s="379"/>
      <c r="AJ467" s="379"/>
      <c r="AK467" s="156"/>
      <c r="AL467" s="379"/>
      <c r="AM467" s="60"/>
      <c r="AN467" s="60"/>
    </row>
    <row r="468" spans="1:40" x14ac:dyDescent="0.25">
      <c r="A468" s="53"/>
      <c r="C468" s="54"/>
      <c r="J468" s="65"/>
      <c r="K468" s="65"/>
      <c r="T468" s="54"/>
      <c r="V468" s="379"/>
      <c r="W468" s="379"/>
      <c r="X468" s="379"/>
      <c r="Y468" s="379"/>
      <c r="Z468" s="221"/>
    </row>
    <row r="469" spans="1:40" x14ac:dyDescent="0.25">
      <c r="A469" s="53"/>
      <c r="C469" s="54"/>
      <c r="F469" s="449"/>
      <c r="H469" s="449"/>
      <c r="I469" s="449"/>
      <c r="J469" s="221"/>
      <c r="K469" s="221"/>
      <c r="L469" s="379"/>
      <c r="M469" s="379"/>
      <c r="N469" s="50"/>
      <c r="O469" s="50"/>
      <c r="P469" s="379"/>
      <c r="Q469" s="379"/>
      <c r="R469" s="379"/>
      <c r="T469" s="54"/>
      <c r="V469" s="379"/>
      <c r="W469" s="379"/>
      <c r="X469" s="379"/>
      <c r="Y469" s="379"/>
      <c r="Z469" s="221"/>
      <c r="AA469" s="379"/>
      <c r="AB469" s="379"/>
      <c r="AC469" s="50"/>
      <c r="AD469" s="50"/>
      <c r="AE469" s="379"/>
      <c r="AF469" s="379"/>
      <c r="AG469" s="156"/>
      <c r="AH469" s="60"/>
      <c r="AI469" s="379"/>
      <c r="AJ469" s="379"/>
      <c r="AK469" s="156"/>
      <c r="AL469" s="379"/>
      <c r="AM469" s="60"/>
      <c r="AN469" s="60"/>
    </row>
    <row r="470" spans="1:40" x14ac:dyDescent="0.25">
      <c r="J470" s="65"/>
      <c r="K470" s="65"/>
      <c r="Z470" s="65"/>
    </row>
    <row r="471" spans="1:40" x14ac:dyDescent="0.25">
      <c r="A471" s="53"/>
      <c r="C471" s="54"/>
      <c r="J471" s="65"/>
      <c r="K471" s="65"/>
      <c r="T471" s="54"/>
      <c r="V471" s="379"/>
      <c r="W471" s="379"/>
      <c r="X471" s="379"/>
      <c r="Y471" s="379"/>
      <c r="Z471" s="221"/>
    </row>
    <row r="472" spans="1:40" x14ac:dyDescent="0.25">
      <c r="A472" s="53"/>
      <c r="C472" s="54"/>
      <c r="F472" s="449"/>
      <c r="H472" s="449"/>
      <c r="I472" s="449"/>
      <c r="J472" s="221"/>
      <c r="K472" s="221"/>
      <c r="L472" s="379"/>
      <c r="M472" s="379"/>
      <c r="N472" s="50"/>
      <c r="O472" s="50"/>
      <c r="P472" s="379"/>
      <c r="Q472" s="379"/>
      <c r="R472" s="379"/>
      <c r="T472" s="54"/>
      <c r="V472" s="379"/>
      <c r="W472" s="379"/>
      <c r="X472" s="379"/>
      <c r="Y472" s="379"/>
      <c r="Z472" s="221"/>
      <c r="AA472" s="379"/>
      <c r="AB472" s="379"/>
      <c r="AC472" s="50"/>
      <c r="AD472" s="50"/>
      <c r="AE472" s="379"/>
      <c r="AF472" s="379"/>
      <c r="AG472" s="156"/>
      <c r="AH472" s="60"/>
      <c r="AI472" s="379"/>
      <c r="AJ472" s="379"/>
      <c r="AK472" s="156"/>
      <c r="AL472" s="379"/>
      <c r="AM472" s="60"/>
      <c r="AN472" s="60"/>
    </row>
    <row r="473" spans="1:40" x14ac:dyDescent="0.25">
      <c r="A473" s="53"/>
      <c r="C473" s="54"/>
      <c r="F473" s="449"/>
      <c r="H473" s="449"/>
      <c r="I473" s="449"/>
      <c r="J473" s="221"/>
      <c r="K473" s="221"/>
      <c r="L473" s="379"/>
      <c r="M473" s="379"/>
      <c r="N473" s="50"/>
      <c r="O473" s="50"/>
      <c r="P473" s="379"/>
      <c r="Q473" s="379"/>
      <c r="R473" s="379"/>
      <c r="T473" s="54"/>
      <c r="V473" s="379"/>
      <c r="W473" s="379"/>
      <c r="X473" s="379"/>
      <c r="Y473" s="379"/>
      <c r="Z473" s="221"/>
      <c r="AA473" s="379"/>
      <c r="AB473" s="379"/>
      <c r="AC473" s="50"/>
      <c r="AD473" s="50"/>
      <c r="AE473" s="379"/>
      <c r="AF473" s="379"/>
      <c r="AG473" s="156"/>
      <c r="AH473" s="60"/>
      <c r="AI473" s="379"/>
      <c r="AJ473" s="379"/>
      <c r="AK473" s="156"/>
      <c r="AL473" s="379"/>
      <c r="AM473" s="60"/>
      <c r="AN473" s="60"/>
    </row>
    <row r="474" spans="1:40" x14ac:dyDescent="0.25">
      <c r="F474" s="381"/>
      <c r="H474" s="381"/>
      <c r="I474" s="381"/>
      <c r="J474" s="221"/>
      <c r="K474" s="221"/>
      <c r="L474" s="381"/>
      <c r="M474" s="381"/>
      <c r="N474" s="381"/>
      <c r="O474" s="381"/>
      <c r="P474" s="381"/>
      <c r="Q474" s="381"/>
      <c r="R474" s="381"/>
      <c r="V474" s="381"/>
      <c r="Y474" s="381"/>
      <c r="Z474" s="464"/>
      <c r="AA474" s="381"/>
      <c r="AB474" s="381"/>
      <c r="AC474" s="381"/>
      <c r="AD474" s="381"/>
      <c r="AE474" s="381"/>
      <c r="AF474" s="381"/>
      <c r="AI474" s="381"/>
      <c r="AJ474" s="381"/>
      <c r="AK474" s="162"/>
      <c r="AL474" s="381"/>
    </row>
    <row r="475" spans="1:40" x14ac:dyDescent="0.25">
      <c r="A475" s="53"/>
      <c r="C475" s="54"/>
      <c r="F475" s="379"/>
      <c r="H475" s="379"/>
      <c r="I475" s="379"/>
      <c r="L475" s="379"/>
      <c r="M475" s="379"/>
      <c r="N475" s="50"/>
      <c r="O475" s="50"/>
      <c r="P475" s="449"/>
      <c r="Q475" s="449"/>
      <c r="R475" s="379"/>
      <c r="T475" s="54"/>
      <c r="V475" s="379"/>
      <c r="W475" s="379"/>
      <c r="X475" s="379"/>
      <c r="Y475" s="379"/>
      <c r="Z475" s="477"/>
      <c r="AA475" s="379"/>
      <c r="AB475" s="379"/>
      <c r="AC475" s="50"/>
      <c r="AD475" s="50"/>
      <c r="AE475" s="379"/>
      <c r="AF475" s="379"/>
      <c r="AG475" s="156"/>
      <c r="AH475" s="60"/>
      <c r="AI475" s="449"/>
      <c r="AJ475" s="449"/>
      <c r="AK475" s="156"/>
      <c r="AL475" s="379"/>
      <c r="AM475" s="60"/>
      <c r="AN475" s="60"/>
    </row>
    <row r="476" spans="1:40" x14ac:dyDescent="0.25">
      <c r="H476" s="381"/>
      <c r="I476" s="381"/>
      <c r="J476" s="464"/>
      <c r="K476" s="464"/>
      <c r="L476" s="381"/>
      <c r="M476" s="381"/>
      <c r="N476" s="381"/>
      <c r="O476" s="381"/>
      <c r="P476" s="381"/>
      <c r="Q476" s="381"/>
      <c r="R476" s="381"/>
      <c r="V476" s="381"/>
      <c r="Y476" s="381"/>
      <c r="Z476" s="464"/>
      <c r="AA476" s="381"/>
      <c r="AB476" s="381"/>
      <c r="AC476" s="381"/>
      <c r="AD476" s="381"/>
      <c r="AE476" s="381"/>
      <c r="AF476" s="381"/>
      <c r="AI476" s="381"/>
      <c r="AJ476" s="381"/>
      <c r="AK476" s="162"/>
      <c r="AL476" s="381"/>
    </row>
    <row r="477" spans="1:40" x14ac:dyDescent="0.25">
      <c r="F477" s="381"/>
    </row>
    <row r="478" spans="1:40" x14ac:dyDescent="0.25">
      <c r="C478" s="53"/>
      <c r="T478" s="53"/>
    </row>
    <row r="479" spans="1:40" x14ac:dyDescent="0.25">
      <c r="A479" s="54"/>
    </row>
    <row r="480" spans="1:40" x14ac:dyDescent="0.25">
      <c r="J480" s="53"/>
      <c r="K480" s="53"/>
      <c r="Z480" s="53"/>
    </row>
    <row r="481" spans="1:40" x14ac:dyDescent="0.25">
      <c r="H481" s="54"/>
      <c r="I481" s="54"/>
      <c r="Y481" s="54"/>
    </row>
    <row r="482" spans="1:40" x14ac:dyDescent="0.25">
      <c r="J482" s="53"/>
      <c r="K482" s="53"/>
      <c r="Z482" s="53"/>
    </row>
    <row r="483" spans="1:40" x14ac:dyDescent="0.25">
      <c r="L483" s="54"/>
      <c r="M483" s="54"/>
      <c r="AA483" s="54"/>
      <c r="AB483" s="54"/>
    </row>
    <row r="484" spans="1:40" x14ac:dyDescent="0.25">
      <c r="A484" s="53"/>
      <c r="R484" s="54"/>
      <c r="AK484" s="161"/>
      <c r="AL484" s="54"/>
    </row>
    <row r="485" spans="1:40" x14ac:dyDescent="0.25">
      <c r="A485" s="53"/>
      <c r="R485" s="54"/>
      <c r="AK485" s="161"/>
      <c r="AL485" s="54"/>
    </row>
    <row r="486" spans="1:40" x14ac:dyDescent="0.25">
      <c r="A486" s="54"/>
      <c r="R486" s="54"/>
      <c r="AK486" s="161"/>
      <c r="AL486" s="54"/>
    </row>
    <row r="487" spans="1:40" x14ac:dyDescent="0.25">
      <c r="L487" s="54"/>
      <c r="M487" s="54"/>
      <c r="R487" s="53"/>
      <c r="AA487" s="54"/>
      <c r="AB487" s="54"/>
      <c r="AK487" s="156"/>
      <c r="AL487" s="53"/>
    </row>
    <row r="488" spans="1:40" x14ac:dyDescent="0.25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154"/>
      <c r="AH488" s="55"/>
      <c r="AI488" s="55"/>
      <c r="AJ488" s="55"/>
      <c r="AK488" s="154"/>
      <c r="AL488" s="55"/>
      <c r="AM488" s="55"/>
      <c r="AN488" s="55"/>
    </row>
    <row r="489" spans="1:40" x14ac:dyDescent="0.25">
      <c r="L489" s="56"/>
      <c r="M489" s="56"/>
      <c r="N489" s="56"/>
      <c r="O489" s="56"/>
      <c r="R489" s="56"/>
      <c r="AA489" s="56"/>
      <c r="AB489" s="56"/>
      <c r="AC489" s="56"/>
      <c r="AD489" s="56"/>
      <c r="AE489" s="56"/>
      <c r="AF489" s="56"/>
      <c r="AG489" s="155"/>
      <c r="AH489" s="56"/>
      <c r="AK489" s="155"/>
      <c r="AL489" s="56"/>
      <c r="AM489" s="56"/>
      <c r="AN489" s="56"/>
    </row>
    <row r="490" spans="1:40" x14ac:dyDescent="0.25">
      <c r="L490" s="56"/>
      <c r="M490" s="56"/>
      <c r="N490" s="56"/>
      <c r="O490" s="56"/>
      <c r="R490" s="56"/>
      <c r="Z490" s="56"/>
      <c r="AA490" s="56"/>
      <c r="AB490" s="56"/>
      <c r="AC490" s="56"/>
      <c r="AD490" s="56"/>
      <c r="AE490" s="56"/>
      <c r="AF490" s="56"/>
      <c r="AG490" s="155"/>
      <c r="AH490" s="56"/>
      <c r="AK490" s="155"/>
      <c r="AL490" s="56"/>
      <c r="AM490" s="56"/>
      <c r="AN490" s="56"/>
    </row>
    <row r="491" spans="1:40" x14ac:dyDescent="0.25">
      <c r="A491" s="56"/>
      <c r="C491" s="56"/>
      <c r="D491" s="56"/>
      <c r="E491" s="56"/>
      <c r="F491" s="56"/>
      <c r="J491" s="56"/>
      <c r="K491" s="56"/>
      <c r="L491" s="56"/>
      <c r="M491" s="56"/>
      <c r="N491" s="56"/>
      <c r="O491" s="56"/>
      <c r="P491" s="56"/>
      <c r="Q491" s="56"/>
      <c r="R491" s="56"/>
      <c r="T491" s="56"/>
      <c r="U491" s="56"/>
      <c r="V491" s="56"/>
      <c r="Z491" s="56"/>
      <c r="AA491" s="56"/>
      <c r="AB491" s="56"/>
      <c r="AC491" s="56"/>
      <c r="AD491" s="56"/>
      <c r="AE491" s="56"/>
      <c r="AF491" s="56"/>
      <c r="AG491" s="155"/>
      <c r="AH491" s="56"/>
      <c r="AI491" s="56"/>
      <c r="AJ491" s="56"/>
      <c r="AK491" s="155"/>
      <c r="AL491" s="56"/>
      <c r="AM491" s="56"/>
      <c r="AN491" s="56"/>
    </row>
    <row r="492" spans="1:40" x14ac:dyDescent="0.25">
      <c r="A492" s="56"/>
      <c r="C492" s="56"/>
      <c r="D492" s="56"/>
      <c r="E492" s="56"/>
      <c r="F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T492" s="56"/>
      <c r="U492" s="56"/>
      <c r="V492" s="56"/>
      <c r="Y492" s="56"/>
      <c r="Z492" s="56"/>
      <c r="AA492" s="56"/>
      <c r="AB492" s="56"/>
      <c r="AC492" s="56"/>
      <c r="AD492" s="56"/>
      <c r="AE492" s="56"/>
      <c r="AF492" s="56"/>
      <c r="AG492" s="155"/>
      <c r="AH492" s="56"/>
      <c r="AI492" s="56"/>
      <c r="AJ492" s="56"/>
      <c r="AK492" s="155"/>
      <c r="AL492" s="56"/>
      <c r="AM492" s="56"/>
      <c r="AN492" s="56"/>
    </row>
    <row r="493" spans="1:40" x14ac:dyDescent="0.25">
      <c r="C493" s="56"/>
      <c r="D493" s="56"/>
      <c r="E493" s="56"/>
      <c r="F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T493" s="56"/>
      <c r="U493" s="56"/>
      <c r="V493" s="56"/>
      <c r="Y493" s="56"/>
      <c r="Z493" s="56"/>
      <c r="AA493" s="56"/>
      <c r="AB493" s="56"/>
      <c r="AC493" s="56"/>
      <c r="AD493" s="56"/>
      <c r="AE493" s="56"/>
      <c r="AF493" s="56"/>
      <c r="AG493" s="155"/>
      <c r="AH493" s="56"/>
      <c r="AI493" s="56"/>
      <c r="AJ493" s="56"/>
      <c r="AK493" s="155"/>
      <c r="AL493" s="56"/>
      <c r="AM493" s="56"/>
      <c r="AN493" s="56"/>
    </row>
    <row r="494" spans="1:40" x14ac:dyDescent="0.25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154"/>
      <c r="AH494" s="55"/>
      <c r="AI494" s="55"/>
      <c r="AJ494" s="55"/>
      <c r="AK494" s="154"/>
      <c r="AL494" s="55"/>
      <c r="AM494" s="55"/>
      <c r="AN494" s="55"/>
    </row>
    <row r="495" spans="1:40" x14ac:dyDescent="0.25"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Y495" s="56"/>
      <c r="Z495" s="56"/>
      <c r="AA495" s="56"/>
      <c r="AB495" s="56"/>
      <c r="AC495" s="56"/>
      <c r="AD495" s="56"/>
      <c r="AE495" s="56"/>
      <c r="AF495" s="56"/>
      <c r="AG495" s="155"/>
      <c r="AH495" s="56"/>
      <c r="AI495" s="56"/>
      <c r="AJ495" s="56"/>
      <c r="AK495" s="155"/>
      <c r="AL495" s="56"/>
      <c r="AM495" s="56"/>
      <c r="AN495" s="56"/>
    </row>
    <row r="496" spans="1:40" x14ac:dyDescent="0.25">
      <c r="A496" s="53"/>
      <c r="C496" s="54"/>
      <c r="D496" s="54"/>
      <c r="E496" s="54"/>
      <c r="T496" s="54"/>
      <c r="U496" s="54"/>
    </row>
    <row r="498" spans="1:40" x14ac:dyDescent="0.25">
      <c r="A498" s="53"/>
      <c r="C498" s="54"/>
      <c r="T498" s="54"/>
    </row>
    <row r="499" spans="1:40" x14ac:dyDescent="0.25">
      <c r="A499" s="53"/>
      <c r="C499" s="54"/>
      <c r="T499" s="54"/>
    </row>
    <row r="500" spans="1:40" x14ac:dyDescent="0.25">
      <c r="A500" s="53"/>
      <c r="C500" s="54"/>
      <c r="F500" s="449"/>
      <c r="H500" s="449"/>
      <c r="I500" s="449"/>
      <c r="J500" s="221"/>
      <c r="K500" s="221"/>
      <c r="L500" s="379"/>
      <c r="M500" s="379"/>
      <c r="N500" s="50"/>
      <c r="O500" s="50"/>
      <c r="P500" s="379"/>
      <c r="Q500" s="379"/>
      <c r="R500" s="379"/>
      <c r="T500" s="54"/>
      <c r="V500" s="379"/>
      <c r="W500" s="379"/>
      <c r="X500" s="379"/>
      <c r="Y500" s="379"/>
      <c r="Z500" s="221"/>
      <c r="AA500" s="379"/>
      <c r="AB500" s="379"/>
      <c r="AC500" s="50"/>
      <c r="AD500" s="50"/>
      <c r="AE500" s="379"/>
      <c r="AF500" s="379"/>
      <c r="AG500" s="156"/>
      <c r="AH500" s="60"/>
      <c r="AI500" s="379"/>
      <c r="AJ500" s="379"/>
      <c r="AK500" s="156"/>
      <c r="AL500" s="379"/>
      <c r="AM500" s="60"/>
      <c r="AN500" s="60"/>
    </row>
    <row r="501" spans="1:40" x14ac:dyDescent="0.25">
      <c r="A501" s="53"/>
      <c r="C501" s="54"/>
      <c r="F501" s="379"/>
      <c r="H501" s="379"/>
      <c r="I501" s="379"/>
      <c r="J501" s="65"/>
      <c r="K501" s="65"/>
      <c r="L501" s="379"/>
      <c r="M501" s="379"/>
      <c r="N501" s="50"/>
      <c r="O501" s="50"/>
      <c r="P501" s="379"/>
      <c r="Q501" s="379"/>
      <c r="R501" s="379"/>
      <c r="T501" s="54"/>
      <c r="V501" s="379"/>
      <c r="W501" s="379"/>
      <c r="X501" s="379"/>
      <c r="Y501" s="379"/>
      <c r="Z501" s="65"/>
      <c r="AA501" s="379"/>
      <c r="AB501" s="379"/>
      <c r="AC501" s="50"/>
      <c r="AD501" s="50"/>
      <c r="AE501" s="379"/>
      <c r="AF501" s="379"/>
      <c r="AG501" s="156"/>
      <c r="AH501" s="60"/>
      <c r="AI501" s="379"/>
      <c r="AJ501" s="379"/>
      <c r="AK501" s="156"/>
      <c r="AL501" s="379"/>
      <c r="AM501" s="60"/>
      <c r="AN501" s="60"/>
    </row>
    <row r="502" spans="1:40" x14ac:dyDescent="0.25">
      <c r="A502" s="53"/>
      <c r="C502" s="54"/>
      <c r="F502" s="379"/>
      <c r="H502" s="379"/>
      <c r="I502" s="379"/>
      <c r="J502" s="65"/>
      <c r="K502" s="65"/>
      <c r="L502" s="379"/>
      <c r="M502" s="379"/>
      <c r="N502" s="50"/>
      <c r="O502" s="50"/>
      <c r="P502" s="379"/>
      <c r="Q502" s="379"/>
      <c r="R502" s="379"/>
      <c r="T502" s="54"/>
      <c r="V502" s="379"/>
      <c r="W502" s="379"/>
      <c r="X502" s="379"/>
      <c r="Y502" s="379"/>
      <c r="Z502" s="65"/>
      <c r="AA502" s="379"/>
      <c r="AB502" s="379"/>
      <c r="AC502" s="50"/>
      <c r="AD502" s="50"/>
      <c r="AE502" s="379"/>
      <c r="AF502" s="379"/>
      <c r="AG502" s="156"/>
      <c r="AH502" s="60"/>
      <c r="AI502" s="379"/>
      <c r="AJ502" s="379"/>
      <c r="AK502" s="156"/>
      <c r="AL502" s="379"/>
      <c r="AM502" s="60"/>
      <c r="AN502" s="60"/>
    </row>
    <row r="503" spans="1:40" x14ac:dyDescent="0.25">
      <c r="A503" s="53"/>
      <c r="C503" s="54"/>
      <c r="F503" s="379"/>
      <c r="H503" s="379"/>
      <c r="I503" s="379"/>
      <c r="J503" s="65"/>
      <c r="K503" s="65"/>
      <c r="T503" s="54"/>
      <c r="V503" s="379"/>
      <c r="Z503" s="65"/>
    </row>
    <row r="504" spans="1:40" x14ac:dyDescent="0.25">
      <c r="A504" s="53"/>
      <c r="C504" s="54"/>
      <c r="F504" s="449"/>
      <c r="H504" s="449"/>
      <c r="I504" s="449"/>
      <c r="J504" s="221"/>
      <c r="K504" s="221"/>
      <c r="L504" s="379"/>
      <c r="M504" s="379"/>
      <c r="N504" s="50"/>
      <c r="O504" s="50"/>
      <c r="P504" s="379"/>
      <c r="Q504" s="379"/>
      <c r="R504" s="379"/>
      <c r="T504" s="54"/>
      <c r="V504" s="379"/>
      <c r="W504" s="379"/>
      <c r="X504" s="379"/>
      <c r="Y504" s="379"/>
      <c r="Z504" s="221"/>
      <c r="AA504" s="379"/>
      <c r="AB504" s="379"/>
      <c r="AC504" s="50"/>
      <c r="AD504" s="50"/>
      <c r="AE504" s="379"/>
      <c r="AF504" s="379"/>
      <c r="AG504" s="156"/>
      <c r="AH504" s="60"/>
      <c r="AI504" s="379"/>
      <c r="AJ504" s="379"/>
      <c r="AK504" s="156"/>
      <c r="AL504" s="379"/>
      <c r="AM504" s="60"/>
      <c r="AN504" s="60"/>
    </row>
    <row r="505" spans="1:40" x14ac:dyDescent="0.25">
      <c r="A505" s="53"/>
      <c r="C505" s="54"/>
      <c r="F505" s="379"/>
      <c r="H505" s="379"/>
      <c r="I505" s="379"/>
      <c r="J505" s="65"/>
      <c r="K505" s="65"/>
      <c r="T505" s="54"/>
      <c r="V505" s="379"/>
      <c r="W505" s="379"/>
      <c r="X505" s="379"/>
      <c r="Y505" s="379"/>
      <c r="Z505" s="65"/>
      <c r="AC505" s="50"/>
      <c r="AD505" s="50"/>
      <c r="AE505" s="379"/>
      <c r="AF505" s="379"/>
      <c r="AG505" s="156"/>
      <c r="AH505" s="60"/>
      <c r="AI505" s="379"/>
      <c r="AJ505" s="379"/>
      <c r="AK505" s="156"/>
      <c r="AL505" s="379"/>
      <c r="AM505" s="60"/>
      <c r="AN505" s="60"/>
    </row>
    <row r="506" spans="1:40" x14ac:dyDescent="0.25">
      <c r="A506" s="53"/>
      <c r="C506" s="54"/>
      <c r="F506" s="449"/>
      <c r="H506" s="449"/>
      <c r="I506" s="449"/>
      <c r="J506" s="221"/>
      <c r="K506" s="221"/>
      <c r="L506" s="379"/>
      <c r="M506" s="379"/>
      <c r="N506" s="50"/>
      <c r="O506" s="50"/>
      <c r="P506" s="379"/>
      <c r="Q506" s="379"/>
      <c r="R506" s="379"/>
      <c r="T506" s="54"/>
      <c r="V506" s="379"/>
      <c r="W506" s="379"/>
      <c r="X506" s="379"/>
      <c r="Y506" s="379"/>
      <c r="Z506" s="221"/>
      <c r="AA506" s="379"/>
      <c r="AB506" s="379"/>
      <c r="AC506" s="50"/>
      <c r="AD506" s="50"/>
      <c r="AE506" s="379"/>
      <c r="AF506" s="379"/>
      <c r="AG506" s="156"/>
      <c r="AH506" s="60"/>
      <c r="AI506" s="379"/>
      <c r="AJ506" s="379"/>
      <c r="AK506" s="156"/>
      <c r="AL506" s="379"/>
      <c r="AM506" s="60"/>
      <c r="AN506" s="60"/>
    </row>
    <row r="507" spans="1:40" x14ac:dyDescent="0.25">
      <c r="A507" s="53"/>
      <c r="C507" s="54"/>
      <c r="F507" s="379"/>
      <c r="H507" s="379"/>
      <c r="I507" s="379"/>
      <c r="J507" s="65"/>
      <c r="K507" s="65"/>
      <c r="L507" s="379"/>
      <c r="M507" s="379"/>
      <c r="N507" s="50"/>
      <c r="O507" s="50"/>
      <c r="P507" s="379"/>
      <c r="Q507" s="379"/>
      <c r="R507" s="379"/>
      <c r="T507" s="54"/>
      <c r="V507" s="379"/>
      <c r="W507" s="379"/>
      <c r="X507" s="379"/>
      <c r="Y507" s="379"/>
      <c r="Z507" s="65"/>
      <c r="AA507" s="379"/>
      <c r="AB507" s="379"/>
      <c r="AC507" s="50"/>
      <c r="AD507" s="50"/>
      <c r="AE507" s="379"/>
      <c r="AF507" s="379"/>
      <c r="AG507" s="156"/>
      <c r="AH507" s="60"/>
      <c r="AI507" s="379"/>
      <c r="AJ507" s="379"/>
      <c r="AK507" s="156"/>
      <c r="AL507" s="379"/>
      <c r="AM507" s="60"/>
      <c r="AN507" s="60"/>
    </row>
    <row r="508" spans="1:40" x14ac:dyDescent="0.25">
      <c r="F508" s="379"/>
      <c r="H508" s="379"/>
      <c r="I508" s="379"/>
      <c r="J508" s="65"/>
      <c r="K508" s="65"/>
      <c r="Z508" s="65"/>
    </row>
    <row r="509" spans="1:40" x14ac:dyDescent="0.25">
      <c r="A509" s="53"/>
      <c r="C509" s="54"/>
      <c r="F509" s="379"/>
      <c r="H509" s="449"/>
      <c r="I509" s="449"/>
      <c r="J509" s="221"/>
      <c r="K509" s="221"/>
      <c r="L509" s="379"/>
      <c r="M509" s="379"/>
      <c r="N509" s="50"/>
      <c r="O509" s="50"/>
      <c r="P509" s="379"/>
      <c r="Q509" s="379"/>
      <c r="R509" s="379"/>
      <c r="T509" s="54"/>
      <c r="V509" s="379"/>
      <c r="W509" s="379"/>
      <c r="X509" s="379"/>
      <c r="Y509" s="379"/>
      <c r="Z509" s="221"/>
      <c r="AA509" s="379"/>
      <c r="AB509" s="379"/>
      <c r="AC509" s="50"/>
      <c r="AD509" s="50"/>
      <c r="AE509" s="379"/>
      <c r="AF509" s="379"/>
      <c r="AG509" s="156"/>
      <c r="AH509" s="60"/>
      <c r="AI509" s="379"/>
      <c r="AJ509" s="379"/>
      <c r="AK509" s="156"/>
      <c r="AL509" s="379"/>
      <c r="AM509" s="60"/>
      <c r="AN509" s="60"/>
    </row>
    <row r="510" spans="1:40" x14ac:dyDescent="0.25">
      <c r="F510" s="381"/>
      <c r="H510" s="381"/>
      <c r="I510" s="381"/>
      <c r="J510" s="221"/>
      <c r="K510" s="221"/>
      <c r="L510" s="381"/>
      <c r="M510" s="381"/>
      <c r="N510" s="381"/>
      <c r="O510" s="381"/>
      <c r="P510" s="381"/>
      <c r="Q510" s="381"/>
      <c r="R510" s="381"/>
      <c r="V510" s="381"/>
      <c r="Y510" s="381"/>
      <c r="Z510" s="221"/>
      <c r="AA510" s="381"/>
      <c r="AB510" s="381"/>
      <c r="AC510" s="381"/>
      <c r="AD510" s="381"/>
      <c r="AE510" s="381"/>
      <c r="AF510" s="381"/>
      <c r="AI510" s="381"/>
      <c r="AJ510" s="381"/>
      <c r="AK510" s="162"/>
      <c r="AL510" s="381"/>
    </row>
    <row r="511" spans="1:40" x14ac:dyDescent="0.25">
      <c r="A511" s="53"/>
      <c r="C511" s="54"/>
      <c r="F511" s="379"/>
      <c r="H511" s="379"/>
      <c r="I511" s="379"/>
      <c r="J511" s="65"/>
      <c r="K511" s="65"/>
      <c r="L511" s="379"/>
      <c r="M511" s="379"/>
      <c r="N511" s="53"/>
      <c r="O511" s="53"/>
      <c r="P511" s="379"/>
      <c r="Q511" s="379"/>
      <c r="R511" s="379"/>
      <c r="T511" s="54"/>
      <c r="V511" s="379"/>
      <c r="Y511" s="379"/>
      <c r="Z511" s="65"/>
      <c r="AA511" s="379"/>
      <c r="AB511" s="379"/>
      <c r="AC511" s="60"/>
      <c r="AD511" s="60"/>
      <c r="AE511" s="379"/>
      <c r="AF511" s="379"/>
      <c r="AG511" s="156"/>
      <c r="AH511" s="60"/>
      <c r="AI511" s="379"/>
      <c r="AJ511" s="379"/>
      <c r="AK511" s="156"/>
      <c r="AL511" s="379"/>
      <c r="AM511" s="60"/>
      <c r="AN511" s="60"/>
    </row>
    <row r="512" spans="1:40" x14ac:dyDescent="0.25">
      <c r="F512" s="381"/>
      <c r="H512" s="381"/>
      <c r="I512" s="381"/>
      <c r="J512" s="221"/>
      <c r="K512" s="221"/>
      <c r="L512" s="381"/>
      <c r="M512" s="381"/>
      <c r="N512" s="381"/>
      <c r="O512" s="381"/>
      <c r="P512" s="381"/>
      <c r="Q512" s="381"/>
      <c r="R512" s="381"/>
      <c r="V512" s="381"/>
      <c r="Y512" s="381"/>
      <c r="Z512" s="221"/>
      <c r="AA512" s="381"/>
      <c r="AB512" s="381"/>
      <c r="AC512" s="381"/>
      <c r="AD512" s="381"/>
      <c r="AE512" s="381"/>
      <c r="AF512" s="381"/>
      <c r="AI512" s="381"/>
      <c r="AJ512" s="381"/>
      <c r="AK512" s="162"/>
      <c r="AL512" s="381"/>
    </row>
    <row r="513" spans="1:40" x14ac:dyDescent="0.25">
      <c r="J513" s="65"/>
      <c r="K513" s="65"/>
      <c r="Z513" s="65"/>
    </row>
    <row r="514" spans="1:40" x14ac:dyDescent="0.25">
      <c r="A514" s="53"/>
      <c r="C514" s="54"/>
      <c r="J514" s="65"/>
      <c r="K514" s="65"/>
      <c r="T514" s="54"/>
      <c r="Z514" s="65"/>
    </row>
    <row r="515" spans="1:40" x14ac:dyDescent="0.25">
      <c r="A515" s="53"/>
      <c r="C515" s="54"/>
      <c r="J515" s="65"/>
      <c r="K515" s="65"/>
      <c r="T515" s="54"/>
      <c r="Z515" s="65"/>
    </row>
    <row r="516" spans="1:40" x14ac:dyDescent="0.25">
      <c r="A516" s="53"/>
      <c r="C516" s="54"/>
      <c r="F516" s="449"/>
      <c r="H516" s="449"/>
      <c r="I516" s="449"/>
      <c r="J516" s="221"/>
      <c r="K516" s="221"/>
      <c r="L516" s="379"/>
      <c r="M516" s="379"/>
      <c r="N516" s="50"/>
      <c r="O516" s="50"/>
      <c r="P516" s="379"/>
      <c r="Q516" s="379"/>
      <c r="R516" s="379"/>
      <c r="T516" s="54"/>
      <c r="V516" s="379"/>
      <c r="W516" s="379"/>
      <c r="X516" s="379"/>
      <c r="Y516" s="379"/>
      <c r="Z516" s="221"/>
      <c r="AA516" s="379"/>
      <c r="AB516" s="379"/>
      <c r="AC516" s="50"/>
      <c r="AD516" s="50"/>
      <c r="AE516" s="379"/>
      <c r="AF516" s="379"/>
      <c r="AG516" s="156"/>
      <c r="AH516" s="60"/>
      <c r="AI516" s="379"/>
      <c r="AJ516" s="379"/>
      <c r="AK516" s="156"/>
      <c r="AL516" s="379"/>
      <c r="AM516" s="60"/>
      <c r="AN516" s="60"/>
    </row>
    <row r="517" spans="1:40" x14ac:dyDescent="0.25">
      <c r="A517" s="53"/>
      <c r="C517" s="54"/>
      <c r="J517" s="65"/>
      <c r="K517" s="65"/>
      <c r="T517" s="54"/>
      <c r="Z517" s="65"/>
    </row>
    <row r="518" spans="1:40" x14ac:dyDescent="0.25">
      <c r="A518" s="53"/>
      <c r="C518" s="54"/>
      <c r="F518" s="449"/>
      <c r="H518" s="449"/>
      <c r="I518" s="449"/>
      <c r="J518" s="221"/>
      <c r="K518" s="221"/>
      <c r="L518" s="379"/>
      <c r="M518" s="379"/>
      <c r="N518" s="50"/>
      <c r="O518" s="50"/>
      <c r="P518" s="379"/>
      <c r="Q518" s="379"/>
      <c r="R518" s="379"/>
      <c r="T518" s="54"/>
      <c r="V518" s="379"/>
      <c r="W518" s="379"/>
      <c r="X518" s="379"/>
      <c r="Y518" s="379"/>
      <c r="Z518" s="221"/>
      <c r="AA518" s="379"/>
      <c r="AB518" s="379"/>
      <c r="AC518" s="50"/>
      <c r="AD518" s="50"/>
      <c r="AE518" s="379"/>
      <c r="AF518" s="379"/>
      <c r="AG518" s="156"/>
      <c r="AH518" s="60"/>
      <c r="AI518" s="379"/>
      <c r="AJ518" s="379"/>
      <c r="AK518" s="156"/>
      <c r="AL518" s="379"/>
      <c r="AM518" s="60"/>
      <c r="AN518" s="60"/>
    </row>
    <row r="519" spans="1:40" x14ac:dyDescent="0.25">
      <c r="F519" s="381"/>
      <c r="H519" s="381"/>
      <c r="I519" s="381"/>
      <c r="J519" s="221"/>
      <c r="K519" s="221"/>
      <c r="L519" s="381"/>
      <c r="M519" s="381"/>
      <c r="N519" s="381"/>
      <c r="O519" s="381"/>
      <c r="P519" s="381"/>
      <c r="Q519" s="381"/>
      <c r="R519" s="381"/>
      <c r="V519" s="381"/>
      <c r="Y519" s="381"/>
      <c r="Z519" s="221"/>
      <c r="AA519" s="381"/>
      <c r="AB519" s="381"/>
      <c r="AC519" s="381"/>
      <c r="AD519" s="381"/>
      <c r="AE519" s="381"/>
      <c r="AF519" s="381"/>
      <c r="AI519" s="381"/>
      <c r="AJ519" s="381"/>
      <c r="AK519" s="162"/>
      <c r="AL519" s="381"/>
    </row>
    <row r="520" spans="1:40" x14ac:dyDescent="0.25">
      <c r="A520" s="53"/>
      <c r="C520" s="54"/>
      <c r="F520" s="379"/>
      <c r="H520" s="379"/>
      <c r="I520" s="379"/>
      <c r="J520" s="65"/>
      <c r="K520" s="65"/>
      <c r="L520" s="379"/>
      <c r="M520" s="379"/>
      <c r="N520" s="60"/>
      <c r="O520" s="60"/>
      <c r="P520" s="379"/>
      <c r="Q520" s="379"/>
      <c r="R520" s="379"/>
      <c r="T520" s="54"/>
      <c r="V520" s="379"/>
      <c r="Y520" s="379"/>
      <c r="Z520" s="65"/>
      <c r="AA520" s="379"/>
      <c r="AB520" s="379"/>
      <c r="AC520" s="60"/>
      <c r="AD520" s="60"/>
      <c r="AE520" s="379"/>
      <c r="AF520" s="379"/>
      <c r="AG520" s="156"/>
      <c r="AH520" s="60"/>
      <c r="AI520" s="379"/>
      <c r="AJ520" s="379"/>
      <c r="AK520" s="156"/>
      <c r="AL520" s="379"/>
      <c r="AM520" s="60"/>
      <c r="AN520" s="60"/>
    </row>
    <row r="521" spans="1:40" x14ac:dyDescent="0.25">
      <c r="F521" s="381"/>
      <c r="H521" s="381"/>
      <c r="I521" s="381"/>
      <c r="J521" s="221"/>
      <c r="K521" s="221"/>
      <c r="L521" s="381"/>
      <c r="M521" s="381"/>
      <c r="N521" s="381"/>
      <c r="O521" s="381"/>
      <c r="P521" s="381"/>
      <c r="Q521" s="381"/>
      <c r="R521" s="381"/>
      <c r="V521" s="381"/>
      <c r="Y521" s="381"/>
      <c r="Z521" s="464"/>
      <c r="AA521" s="381"/>
      <c r="AB521" s="381"/>
      <c r="AC521" s="381"/>
      <c r="AD521" s="381"/>
      <c r="AE521" s="381"/>
      <c r="AF521" s="381"/>
      <c r="AI521" s="381"/>
      <c r="AJ521" s="381"/>
      <c r="AK521" s="162"/>
      <c r="AL521" s="381"/>
    </row>
    <row r="522" spans="1:40" x14ac:dyDescent="0.25">
      <c r="J522" s="65"/>
      <c r="K522" s="65"/>
    </row>
    <row r="523" spans="1:40" x14ac:dyDescent="0.25">
      <c r="A523" s="53"/>
      <c r="C523" s="54"/>
      <c r="F523" s="379"/>
      <c r="H523" s="379"/>
      <c r="I523" s="379"/>
      <c r="J523" s="65"/>
      <c r="K523" s="65"/>
      <c r="L523" s="379"/>
      <c r="M523" s="379"/>
      <c r="N523" s="50"/>
      <c r="O523" s="50"/>
      <c r="P523" s="449"/>
      <c r="Q523" s="449"/>
      <c r="R523" s="379"/>
      <c r="T523" s="54"/>
      <c r="V523" s="379"/>
      <c r="Y523" s="379"/>
      <c r="AA523" s="379"/>
      <c r="AB523" s="379"/>
      <c r="AC523" s="60"/>
      <c r="AD523" s="60"/>
      <c r="AE523" s="379"/>
      <c r="AF523" s="379"/>
      <c r="AG523" s="156"/>
      <c r="AH523" s="60"/>
      <c r="AI523" s="449"/>
      <c r="AJ523" s="449"/>
      <c r="AK523" s="156"/>
      <c r="AL523" s="379"/>
      <c r="AM523" s="60"/>
      <c r="AN523" s="60"/>
    </row>
    <row r="524" spans="1:40" x14ac:dyDescent="0.25">
      <c r="H524" s="381"/>
      <c r="I524" s="381"/>
      <c r="J524" s="221"/>
      <c r="K524" s="221"/>
      <c r="L524" s="381"/>
      <c r="M524" s="381"/>
      <c r="N524" s="381"/>
      <c r="O524" s="381"/>
      <c r="P524" s="381"/>
      <c r="Q524" s="381"/>
      <c r="R524" s="381"/>
      <c r="V524" s="381"/>
      <c r="Y524" s="381"/>
      <c r="Z524" s="464"/>
      <c r="AA524" s="381"/>
      <c r="AB524" s="381"/>
      <c r="AC524" s="381"/>
      <c r="AD524" s="381"/>
      <c r="AE524" s="381"/>
      <c r="AF524" s="381"/>
      <c r="AI524" s="381"/>
      <c r="AJ524" s="381"/>
      <c r="AK524" s="162"/>
      <c r="AL524" s="381"/>
    </row>
    <row r="525" spans="1:40" x14ac:dyDescent="0.25">
      <c r="F525" s="381"/>
    </row>
    <row r="526" spans="1:40" x14ac:dyDescent="0.25">
      <c r="C526" s="53"/>
      <c r="T526" s="53"/>
    </row>
    <row r="527" spans="1:40" x14ac:dyDescent="0.25">
      <c r="A527" s="54"/>
    </row>
    <row r="528" spans="1:40" x14ac:dyDescent="0.25">
      <c r="J528" s="53"/>
      <c r="K528" s="53"/>
      <c r="Z528" s="53"/>
    </row>
    <row r="529" spans="1:40" x14ac:dyDescent="0.25">
      <c r="H529" s="54"/>
      <c r="I529" s="54"/>
      <c r="Y529" s="54"/>
    </row>
    <row r="530" spans="1:40" x14ac:dyDescent="0.25">
      <c r="J530" s="53"/>
      <c r="K530" s="53"/>
      <c r="Z530" s="53"/>
    </row>
    <row r="531" spans="1:40" x14ac:dyDescent="0.25">
      <c r="L531" s="54"/>
      <c r="M531" s="54"/>
      <c r="AA531" s="54"/>
      <c r="AB531" s="54"/>
    </row>
    <row r="532" spans="1:40" x14ac:dyDescent="0.25">
      <c r="A532" s="53"/>
      <c r="R532" s="54"/>
      <c r="AK532" s="161"/>
      <c r="AL532" s="54"/>
    </row>
    <row r="533" spans="1:40" x14ac:dyDescent="0.25">
      <c r="A533" s="53"/>
      <c r="R533" s="54"/>
      <c r="AK533" s="161"/>
      <c r="AL533" s="54"/>
    </row>
    <row r="534" spans="1:40" x14ac:dyDescent="0.25">
      <c r="A534" s="54"/>
      <c r="R534" s="54"/>
      <c r="AK534" s="161"/>
      <c r="AL534" s="54"/>
    </row>
    <row r="535" spans="1:40" x14ac:dyDescent="0.25">
      <c r="L535" s="54"/>
      <c r="M535" s="54"/>
      <c r="R535" s="53"/>
      <c r="AA535" s="54"/>
      <c r="AB535" s="54"/>
      <c r="AK535" s="156"/>
      <c r="AL535" s="53"/>
    </row>
    <row r="536" spans="1:40" x14ac:dyDescent="0.25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154"/>
      <c r="AH536" s="55"/>
      <c r="AI536" s="55"/>
      <c r="AJ536" s="55"/>
      <c r="AK536" s="154"/>
      <c r="AL536" s="55"/>
      <c r="AM536" s="55"/>
      <c r="AN536" s="55"/>
    </row>
    <row r="537" spans="1:40" x14ac:dyDescent="0.25">
      <c r="L537" s="56"/>
      <c r="M537" s="56"/>
      <c r="N537" s="56"/>
      <c r="O537" s="56"/>
      <c r="R537" s="56"/>
      <c r="AA537" s="56"/>
      <c r="AB537" s="56"/>
      <c r="AC537" s="56"/>
      <c r="AD537" s="56"/>
      <c r="AE537" s="56"/>
      <c r="AF537" s="56"/>
      <c r="AG537" s="155"/>
      <c r="AH537" s="56"/>
      <c r="AK537" s="155"/>
      <c r="AL537" s="56"/>
      <c r="AM537" s="56"/>
      <c r="AN537" s="56"/>
    </row>
    <row r="538" spans="1:40" x14ac:dyDescent="0.25">
      <c r="L538" s="56"/>
      <c r="M538" s="56"/>
      <c r="N538" s="56"/>
      <c r="O538" s="56"/>
      <c r="R538" s="56"/>
      <c r="Z538" s="56"/>
      <c r="AA538" s="56"/>
      <c r="AB538" s="56"/>
      <c r="AC538" s="56"/>
      <c r="AD538" s="56"/>
      <c r="AE538" s="56"/>
      <c r="AF538" s="56"/>
      <c r="AG538" s="155"/>
      <c r="AH538" s="56"/>
      <c r="AK538" s="155"/>
      <c r="AL538" s="56"/>
      <c r="AM538" s="56"/>
      <c r="AN538" s="56"/>
    </row>
    <row r="539" spans="1:40" x14ac:dyDescent="0.25">
      <c r="A539" s="56"/>
      <c r="C539" s="56"/>
      <c r="D539" s="56"/>
      <c r="E539" s="56"/>
      <c r="F539" s="56"/>
      <c r="J539" s="56"/>
      <c r="K539" s="56"/>
      <c r="L539" s="56"/>
      <c r="M539" s="56"/>
      <c r="N539" s="56"/>
      <c r="O539" s="56"/>
      <c r="P539" s="56"/>
      <c r="Q539" s="56"/>
      <c r="R539" s="56"/>
      <c r="T539" s="56"/>
      <c r="U539" s="56"/>
      <c r="V539" s="56"/>
      <c r="Z539" s="56"/>
      <c r="AA539" s="56"/>
      <c r="AB539" s="56"/>
      <c r="AC539" s="56"/>
      <c r="AD539" s="56"/>
      <c r="AE539" s="56"/>
      <c r="AF539" s="56"/>
      <c r="AG539" s="155"/>
      <c r="AH539" s="56"/>
      <c r="AI539" s="56"/>
      <c r="AJ539" s="56"/>
      <c r="AK539" s="155"/>
      <c r="AL539" s="56"/>
      <c r="AM539" s="56"/>
      <c r="AN539" s="56"/>
    </row>
    <row r="540" spans="1:40" x14ac:dyDescent="0.25">
      <c r="A540" s="56"/>
      <c r="C540" s="56"/>
      <c r="D540" s="56"/>
      <c r="E540" s="56"/>
      <c r="F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T540" s="56"/>
      <c r="U540" s="56"/>
      <c r="V540" s="56"/>
      <c r="Y540" s="56"/>
      <c r="Z540" s="56"/>
      <c r="AA540" s="56"/>
      <c r="AB540" s="56"/>
      <c r="AC540" s="56"/>
      <c r="AD540" s="56"/>
      <c r="AE540" s="56"/>
      <c r="AF540" s="56"/>
      <c r="AG540" s="155"/>
      <c r="AH540" s="56"/>
      <c r="AI540" s="56"/>
      <c r="AJ540" s="56"/>
      <c r="AK540" s="155"/>
      <c r="AL540" s="56"/>
      <c r="AM540" s="56"/>
      <c r="AN540" s="56"/>
    </row>
    <row r="541" spans="1:40" x14ac:dyDescent="0.25">
      <c r="C541" s="56"/>
      <c r="D541" s="56"/>
      <c r="E541" s="56"/>
      <c r="F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T541" s="56"/>
      <c r="U541" s="56"/>
      <c r="V541" s="56"/>
      <c r="Y541" s="56"/>
      <c r="Z541" s="56"/>
      <c r="AA541" s="56"/>
      <c r="AB541" s="56"/>
      <c r="AC541" s="56"/>
      <c r="AD541" s="56"/>
      <c r="AE541" s="56"/>
      <c r="AF541" s="56"/>
      <c r="AG541" s="155"/>
      <c r="AH541" s="56"/>
      <c r="AI541" s="56"/>
      <c r="AJ541" s="56"/>
      <c r="AK541" s="155"/>
      <c r="AL541" s="56"/>
      <c r="AM541" s="56"/>
      <c r="AN541" s="56"/>
    </row>
    <row r="542" spans="1:40" x14ac:dyDescent="0.25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154"/>
      <c r="AH542" s="55"/>
      <c r="AI542" s="55"/>
      <c r="AJ542" s="55"/>
      <c r="AK542" s="154"/>
      <c r="AL542" s="55"/>
      <c r="AM542" s="55"/>
      <c r="AN542" s="55"/>
    </row>
    <row r="543" spans="1:40" x14ac:dyDescent="0.25"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Y543" s="56"/>
      <c r="Z543" s="56"/>
      <c r="AA543" s="56"/>
      <c r="AB543" s="56"/>
      <c r="AC543" s="56"/>
      <c r="AD543" s="56"/>
      <c r="AE543" s="56"/>
      <c r="AF543" s="56"/>
      <c r="AG543" s="155"/>
      <c r="AH543" s="56"/>
      <c r="AI543" s="56"/>
      <c r="AJ543" s="56"/>
      <c r="AK543" s="155"/>
      <c r="AL543" s="56"/>
      <c r="AM543" s="56"/>
      <c r="AN543" s="56"/>
    </row>
    <row r="544" spans="1:40" x14ac:dyDescent="0.25">
      <c r="A544" s="53"/>
      <c r="C544" s="54"/>
      <c r="D544" s="54"/>
      <c r="E544" s="54"/>
      <c r="T544" s="54"/>
      <c r="U544" s="54"/>
    </row>
    <row r="546" spans="1:40" x14ac:dyDescent="0.25">
      <c r="A546" s="53"/>
      <c r="C546" s="54"/>
      <c r="D546" s="54"/>
      <c r="E546" s="54"/>
      <c r="T546" s="54"/>
      <c r="U546" s="54"/>
    </row>
    <row r="547" spans="1:40" x14ac:dyDescent="0.25">
      <c r="A547" s="53"/>
      <c r="C547" s="54"/>
      <c r="T547" s="54"/>
    </row>
    <row r="548" spans="1:40" x14ac:dyDescent="0.25">
      <c r="A548" s="53"/>
      <c r="C548" s="54"/>
      <c r="T548" s="54"/>
    </row>
    <row r="549" spans="1:40" x14ac:dyDescent="0.25">
      <c r="A549" s="53"/>
      <c r="C549" s="54"/>
      <c r="H549" s="449"/>
      <c r="I549" s="449"/>
      <c r="J549" s="221"/>
      <c r="K549" s="221"/>
      <c r="L549" s="379"/>
      <c r="M549" s="379"/>
      <c r="N549" s="50"/>
      <c r="O549" s="50"/>
      <c r="P549" s="379"/>
      <c r="Q549" s="379"/>
      <c r="R549" s="379"/>
      <c r="T549" s="54"/>
      <c r="V549" s="379"/>
      <c r="W549" s="379"/>
      <c r="X549" s="379"/>
      <c r="Y549" s="379"/>
      <c r="Z549" s="221"/>
      <c r="AA549" s="379"/>
      <c r="AB549" s="379"/>
      <c r="AC549" s="50"/>
      <c r="AD549" s="50"/>
      <c r="AE549" s="379"/>
      <c r="AF549" s="379"/>
      <c r="AG549" s="156"/>
      <c r="AH549" s="60"/>
      <c r="AI549" s="379"/>
      <c r="AJ549" s="379"/>
      <c r="AK549" s="156"/>
      <c r="AL549" s="379"/>
      <c r="AM549" s="50"/>
      <c r="AN549" s="50"/>
    </row>
    <row r="550" spans="1:40" x14ac:dyDescent="0.25">
      <c r="A550" s="53"/>
      <c r="C550" s="54"/>
      <c r="F550" s="449"/>
      <c r="J550" s="65"/>
      <c r="K550" s="65"/>
      <c r="T550" s="54"/>
      <c r="V550" s="379"/>
      <c r="W550" s="379"/>
      <c r="X550" s="379"/>
      <c r="Y550" s="379"/>
      <c r="Z550" s="221"/>
    </row>
    <row r="551" spans="1:40" x14ac:dyDescent="0.25">
      <c r="A551" s="53"/>
      <c r="C551" s="54"/>
      <c r="H551" s="449"/>
      <c r="I551" s="449"/>
      <c r="J551" s="221"/>
      <c r="K551" s="221"/>
      <c r="L551" s="379"/>
      <c r="M551" s="379"/>
      <c r="N551" s="50"/>
      <c r="O551" s="50"/>
      <c r="P551" s="379"/>
      <c r="Q551" s="379"/>
      <c r="R551" s="379"/>
      <c r="T551" s="54"/>
      <c r="V551" s="379"/>
      <c r="W551" s="379"/>
      <c r="X551" s="379"/>
      <c r="Y551" s="379"/>
      <c r="Z551" s="221"/>
      <c r="AA551" s="379"/>
      <c r="AB551" s="379"/>
      <c r="AC551" s="50"/>
      <c r="AD551" s="50"/>
      <c r="AE551" s="379"/>
      <c r="AF551" s="379"/>
      <c r="AG551" s="156"/>
      <c r="AH551" s="60"/>
      <c r="AI551" s="379"/>
      <c r="AJ551" s="379"/>
      <c r="AK551" s="156"/>
      <c r="AL551" s="379"/>
      <c r="AM551" s="50"/>
      <c r="AN551" s="50"/>
    </row>
    <row r="552" spans="1:40" x14ac:dyDescent="0.25">
      <c r="A552" s="53"/>
      <c r="C552" s="54"/>
      <c r="F552" s="449"/>
      <c r="J552" s="65"/>
      <c r="K552" s="65"/>
      <c r="T552" s="54"/>
      <c r="V552" s="379"/>
      <c r="W552" s="379"/>
      <c r="X552" s="379"/>
      <c r="Y552" s="379"/>
      <c r="Z552" s="221"/>
    </row>
    <row r="553" spans="1:40" x14ac:dyDescent="0.25">
      <c r="A553" s="53"/>
      <c r="C553" s="54"/>
      <c r="H553" s="449"/>
      <c r="I553" s="449"/>
      <c r="J553" s="221"/>
      <c r="K553" s="221"/>
      <c r="L553" s="379"/>
      <c r="M553" s="379"/>
      <c r="N553" s="50"/>
      <c r="O553" s="50"/>
      <c r="P553" s="379"/>
      <c r="Q553" s="379"/>
      <c r="R553" s="379"/>
      <c r="T553" s="54"/>
      <c r="V553" s="379"/>
      <c r="W553" s="379"/>
      <c r="X553" s="379"/>
      <c r="Y553" s="379"/>
      <c r="Z553" s="221"/>
      <c r="AA553" s="379"/>
      <c r="AB553" s="379"/>
      <c r="AC553" s="50"/>
      <c r="AD553" s="50"/>
      <c r="AE553" s="379"/>
      <c r="AF553" s="379"/>
      <c r="AG553" s="156"/>
      <c r="AH553" s="60"/>
      <c r="AI553" s="379"/>
      <c r="AJ553" s="379"/>
      <c r="AK553" s="156"/>
      <c r="AL553" s="379"/>
      <c r="AM553" s="50"/>
      <c r="AN553" s="50"/>
    </row>
    <row r="554" spans="1:40" x14ac:dyDescent="0.25">
      <c r="A554" s="53"/>
      <c r="C554" s="54"/>
      <c r="F554" s="449"/>
      <c r="J554" s="65"/>
      <c r="K554" s="65"/>
      <c r="T554" s="54"/>
      <c r="V554" s="379"/>
      <c r="W554" s="379"/>
      <c r="X554" s="379"/>
      <c r="Y554" s="379"/>
      <c r="Z554" s="221"/>
    </row>
    <row r="555" spans="1:40" x14ac:dyDescent="0.25">
      <c r="A555" s="53"/>
      <c r="C555" s="54"/>
      <c r="H555" s="449"/>
      <c r="I555" s="449"/>
      <c r="J555" s="221"/>
      <c r="K555" s="221"/>
      <c r="L555" s="379"/>
      <c r="M555" s="379"/>
      <c r="N555" s="50"/>
      <c r="O555" s="50"/>
      <c r="P555" s="379"/>
      <c r="Q555" s="379"/>
      <c r="R555" s="379"/>
      <c r="T555" s="54"/>
      <c r="V555" s="379"/>
      <c r="W555" s="379"/>
      <c r="X555" s="379"/>
      <c r="Y555" s="379"/>
      <c r="Z555" s="221"/>
      <c r="AA555" s="379"/>
      <c r="AB555" s="379"/>
      <c r="AC555" s="50"/>
      <c r="AD555" s="50"/>
      <c r="AE555" s="379"/>
      <c r="AF555" s="379"/>
      <c r="AG555" s="156"/>
      <c r="AH555" s="60"/>
      <c r="AI555" s="379"/>
      <c r="AJ555" s="379"/>
      <c r="AK555" s="156"/>
      <c r="AL555" s="379"/>
      <c r="AM555" s="50"/>
      <c r="AN555" s="50"/>
    </row>
    <row r="556" spans="1:40" x14ac:dyDescent="0.25">
      <c r="A556" s="53"/>
      <c r="C556" s="54"/>
      <c r="F556" s="449"/>
      <c r="J556" s="65"/>
      <c r="K556" s="65"/>
      <c r="T556" s="54"/>
      <c r="V556" s="379"/>
      <c r="W556" s="379"/>
      <c r="X556" s="379"/>
      <c r="Y556" s="379"/>
      <c r="Z556" s="221"/>
    </row>
    <row r="557" spans="1:40" x14ac:dyDescent="0.25">
      <c r="A557" s="53"/>
      <c r="C557" s="54"/>
      <c r="H557" s="449"/>
      <c r="I557" s="449"/>
      <c r="J557" s="221"/>
      <c r="K557" s="221"/>
      <c r="L557" s="379"/>
      <c r="M557" s="379"/>
      <c r="N557" s="50"/>
      <c r="O557" s="50"/>
      <c r="P557" s="379"/>
      <c r="Q557" s="379"/>
      <c r="R557" s="379"/>
      <c r="T557" s="54"/>
      <c r="V557" s="379"/>
      <c r="W557" s="379"/>
      <c r="X557" s="379"/>
      <c r="Y557" s="379"/>
      <c r="Z557" s="221"/>
      <c r="AA557" s="379"/>
      <c r="AB557" s="379"/>
      <c r="AC557" s="50"/>
      <c r="AD557" s="50"/>
      <c r="AE557" s="379"/>
      <c r="AF557" s="379"/>
      <c r="AG557" s="156"/>
      <c r="AH557" s="60"/>
      <c r="AI557" s="379"/>
      <c r="AJ557" s="379"/>
      <c r="AK557" s="156"/>
      <c r="AL557" s="379"/>
      <c r="AM557" s="50"/>
      <c r="AN557" s="50"/>
    </row>
    <row r="558" spans="1:40" x14ac:dyDescent="0.25">
      <c r="A558" s="53"/>
      <c r="C558" s="54"/>
      <c r="F558" s="449"/>
      <c r="J558" s="65"/>
      <c r="K558" s="65"/>
      <c r="T558" s="54"/>
      <c r="V558" s="379"/>
      <c r="W558" s="379"/>
      <c r="X558" s="379"/>
      <c r="Y558" s="379"/>
      <c r="Z558" s="221"/>
    </row>
    <row r="559" spans="1:40" x14ac:dyDescent="0.25">
      <c r="A559" s="53"/>
      <c r="C559" s="54"/>
      <c r="H559" s="449"/>
      <c r="I559" s="449"/>
      <c r="J559" s="221"/>
      <c r="K559" s="221"/>
      <c r="L559" s="379"/>
      <c r="M559" s="379"/>
      <c r="N559" s="50"/>
      <c r="O559" s="50"/>
      <c r="P559" s="379"/>
      <c r="Q559" s="379"/>
      <c r="R559" s="379"/>
      <c r="T559" s="54"/>
      <c r="V559" s="379"/>
      <c r="W559" s="379"/>
      <c r="X559" s="379"/>
      <c r="Y559" s="379"/>
      <c r="Z559" s="221"/>
      <c r="AA559" s="379"/>
      <c r="AB559" s="379"/>
      <c r="AC559" s="50"/>
      <c r="AD559" s="50"/>
      <c r="AE559" s="379"/>
      <c r="AF559" s="379"/>
      <c r="AG559" s="156"/>
      <c r="AH559" s="60"/>
      <c r="AI559" s="379"/>
      <c r="AJ559" s="379"/>
      <c r="AK559" s="156"/>
      <c r="AL559" s="379"/>
      <c r="AM559" s="50"/>
      <c r="AN559" s="50"/>
    </row>
    <row r="560" spans="1:40" x14ac:dyDescent="0.25">
      <c r="F560" s="449"/>
      <c r="H560" s="381"/>
      <c r="I560" s="381"/>
      <c r="J560" s="221"/>
      <c r="K560" s="221"/>
      <c r="L560" s="381"/>
      <c r="M560" s="381"/>
      <c r="N560" s="381"/>
      <c r="O560" s="381"/>
      <c r="P560" s="381"/>
      <c r="Q560" s="381"/>
      <c r="R560" s="381"/>
      <c r="V560" s="381"/>
      <c r="Y560" s="381"/>
      <c r="Z560" s="221"/>
      <c r="AA560" s="381"/>
      <c r="AB560" s="381"/>
      <c r="AC560" s="381"/>
      <c r="AD560" s="381"/>
      <c r="AE560" s="381"/>
      <c r="AF560" s="381"/>
      <c r="AI560" s="381"/>
      <c r="AJ560" s="381"/>
      <c r="AK560" s="162"/>
      <c r="AL560" s="381"/>
      <c r="AM560" s="50"/>
      <c r="AN560" s="50"/>
    </row>
    <row r="561" spans="1:40" x14ac:dyDescent="0.25">
      <c r="A561" s="53"/>
      <c r="C561" s="54"/>
      <c r="F561" s="381"/>
      <c r="H561" s="379"/>
      <c r="I561" s="379"/>
      <c r="J561" s="65"/>
      <c r="K561" s="65"/>
      <c r="L561" s="379"/>
      <c r="M561" s="379"/>
      <c r="N561" s="50"/>
      <c r="O561" s="50"/>
      <c r="P561" s="449"/>
      <c r="Q561" s="449"/>
      <c r="R561" s="379"/>
      <c r="T561" s="54"/>
      <c r="V561" s="379"/>
      <c r="W561" s="379"/>
      <c r="X561" s="379"/>
      <c r="Y561" s="379"/>
      <c r="Z561" s="221"/>
      <c r="AA561" s="379"/>
      <c r="AB561" s="379"/>
      <c r="AC561" s="50"/>
      <c r="AD561" s="50"/>
      <c r="AE561" s="379"/>
      <c r="AF561" s="379"/>
      <c r="AG561" s="156"/>
      <c r="AH561" s="60"/>
      <c r="AI561" s="449"/>
      <c r="AJ561" s="449"/>
      <c r="AK561" s="156"/>
      <c r="AL561" s="379"/>
      <c r="AM561" s="50"/>
      <c r="AN561" s="50"/>
    </row>
    <row r="562" spans="1:40" x14ac:dyDescent="0.25">
      <c r="F562" s="379"/>
      <c r="H562" s="381"/>
      <c r="I562" s="381"/>
      <c r="J562" s="221"/>
      <c r="K562" s="221"/>
      <c r="L562" s="381"/>
      <c r="M562" s="381"/>
      <c r="N562" s="381"/>
      <c r="O562" s="381"/>
      <c r="P562" s="381"/>
      <c r="Q562" s="381"/>
      <c r="R562" s="381"/>
      <c r="V562" s="381"/>
      <c r="Y562" s="381"/>
      <c r="Z562" s="221"/>
      <c r="AA562" s="381"/>
      <c r="AB562" s="381"/>
      <c r="AC562" s="381"/>
      <c r="AD562" s="381"/>
      <c r="AE562" s="381"/>
      <c r="AF562" s="381"/>
      <c r="AI562" s="381"/>
      <c r="AJ562" s="381"/>
      <c r="AK562" s="162"/>
      <c r="AL562" s="381"/>
    </row>
    <row r="563" spans="1:40" x14ac:dyDescent="0.25">
      <c r="A563" s="53"/>
      <c r="C563" s="54"/>
      <c r="D563" s="54"/>
      <c r="E563" s="54"/>
      <c r="F563" s="381"/>
      <c r="J563" s="65"/>
      <c r="K563" s="65"/>
      <c r="T563" s="54"/>
      <c r="U563" s="54"/>
      <c r="V563" s="379"/>
      <c r="W563" s="379"/>
      <c r="X563" s="379"/>
      <c r="Y563" s="379"/>
      <c r="Z563" s="221"/>
    </row>
    <row r="564" spans="1:40" x14ac:dyDescent="0.25">
      <c r="A564" s="53"/>
      <c r="C564" s="54"/>
      <c r="J564" s="65"/>
      <c r="K564" s="65"/>
      <c r="T564" s="54"/>
      <c r="V564" s="379"/>
      <c r="W564" s="379"/>
      <c r="X564" s="379"/>
      <c r="Y564" s="379"/>
      <c r="Z564" s="221"/>
    </row>
    <row r="565" spans="1:40" x14ac:dyDescent="0.25">
      <c r="A565" s="53"/>
      <c r="C565" s="54"/>
      <c r="J565" s="65"/>
      <c r="K565" s="65"/>
      <c r="T565" s="54"/>
      <c r="V565" s="379"/>
      <c r="W565" s="379"/>
      <c r="X565" s="379"/>
      <c r="Y565" s="379"/>
      <c r="Z565" s="221"/>
    </row>
    <row r="566" spans="1:40" x14ac:dyDescent="0.25">
      <c r="A566" s="53"/>
      <c r="C566" s="54"/>
      <c r="H566" s="449"/>
      <c r="I566" s="449"/>
      <c r="J566" s="221"/>
      <c r="K566" s="221"/>
      <c r="L566" s="379"/>
      <c r="M566" s="379"/>
      <c r="N566" s="50"/>
      <c r="O566" s="50"/>
      <c r="P566" s="379"/>
      <c r="Q566" s="379"/>
      <c r="R566" s="379"/>
      <c r="T566" s="54"/>
      <c r="V566" s="379"/>
      <c r="W566" s="379"/>
      <c r="X566" s="379"/>
      <c r="Y566" s="379"/>
      <c r="Z566" s="221"/>
      <c r="AA566" s="379"/>
      <c r="AB566" s="379"/>
      <c r="AC566" s="50"/>
      <c r="AD566" s="50"/>
      <c r="AE566" s="379"/>
      <c r="AF566" s="379"/>
      <c r="AG566" s="156"/>
      <c r="AH566" s="60"/>
      <c r="AI566" s="379"/>
      <c r="AJ566" s="379"/>
      <c r="AK566" s="156"/>
      <c r="AL566" s="379"/>
      <c r="AM566" s="50"/>
      <c r="AN566" s="50"/>
    </row>
    <row r="567" spans="1:40" x14ac:dyDescent="0.25">
      <c r="A567" s="53"/>
      <c r="C567" s="54"/>
      <c r="F567" s="449"/>
      <c r="J567" s="65"/>
      <c r="K567" s="65"/>
      <c r="T567" s="54"/>
      <c r="V567" s="379"/>
      <c r="W567" s="379"/>
      <c r="X567" s="379"/>
      <c r="Y567" s="379"/>
      <c r="Z567" s="221"/>
    </row>
    <row r="568" spans="1:40" x14ac:dyDescent="0.25">
      <c r="A568" s="53"/>
      <c r="C568" s="54"/>
      <c r="H568" s="449"/>
      <c r="I568" s="449"/>
      <c r="J568" s="221"/>
      <c r="K568" s="221"/>
      <c r="L568" s="379"/>
      <c r="M568" s="379"/>
      <c r="N568" s="50"/>
      <c r="O568" s="50"/>
      <c r="P568" s="379"/>
      <c r="Q568" s="379"/>
      <c r="R568" s="379"/>
      <c r="T568" s="54"/>
      <c r="V568" s="379"/>
      <c r="W568" s="379"/>
      <c r="X568" s="379"/>
      <c r="Y568" s="379"/>
      <c r="Z568" s="221"/>
      <c r="AA568" s="379"/>
      <c r="AB568" s="379"/>
      <c r="AC568" s="50"/>
      <c r="AD568" s="50"/>
      <c r="AE568" s="379"/>
      <c r="AF568" s="379"/>
      <c r="AG568" s="156"/>
      <c r="AH568" s="60"/>
      <c r="AI568" s="379"/>
      <c r="AJ568" s="379"/>
      <c r="AK568" s="156"/>
      <c r="AL568" s="379"/>
      <c r="AM568" s="50"/>
      <c r="AN568" s="50"/>
    </row>
    <row r="569" spans="1:40" x14ac:dyDescent="0.25">
      <c r="F569" s="449"/>
      <c r="H569" s="381"/>
      <c r="I569" s="381"/>
      <c r="J569" s="221"/>
      <c r="K569" s="221"/>
      <c r="L569" s="381"/>
      <c r="M569" s="381"/>
      <c r="N569" s="381"/>
      <c r="O569" s="381"/>
      <c r="P569" s="381"/>
      <c r="Q569" s="381"/>
      <c r="R569" s="381"/>
      <c r="V569" s="381"/>
      <c r="Y569" s="381"/>
      <c r="Z569" s="464"/>
      <c r="AA569" s="381"/>
      <c r="AB569" s="381"/>
      <c r="AC569" s="381"/>
      <c r="AD569" s="381"/>
      <c r="AE569" s="381"/>
      <c r="AF569" s="381"/>
      <c r="AI569" s="381"/>
      <c r="AJ569" s="381"/>
      <c r="AK569" s="162"/>
      <c r="AL569" s="381"/>
    </row>
    <row r="570" spans="1:40" x14ac:dyDescent="0.25">
      <c r="A570" s="53"/>
      <c r="C570" s="54"/>
      <c r="F570" s="381"/>
      <c r="H570" s="379"/>
      <c r="I570" s="379"/>
      <c r="L570" s="379"/>
      <c r="M570" s="379"/>
      <c r="N570" s="50"/>
      <c r="O570" s="50"/>
      <c r="P570" s="449"/>
      <c r="Q570" s="449"/>
      <c r="R570" s="379"/>
      <c r="T570" s="54"/>
      <c r="V570" s="379"/>
      <c r="W570" s="379"/>
      <c r="X570" s="379"/>
      <c r="Y570" s="379"/>
      <c r="Z570" s="477"/>
      <c r="AA570" s="379"/>
      <c r="AB570" s="379"/>
      <c r="AC570" s="50"/>
      <c r="AD570" s="50"/>
      <c r="AE570" s="379"/>
      <c r="AF570" s="379"/>
      <c r="AG570" s="156"/>
      <c r="AH570" s="60"/>
      <c r="AI570" s="449"/>
      <c r="AJ570" s="449"/>
      <c r="AK570" s="156"/>
      <c r="AL570" s="379"/>
      <c r="AM570" s="50"/>
      <c r="AN570" s="50"/>
    </row>
    <row r="571" spans="1:40" x14ac:dyDescent="0.25">
      <c r="F571" s="379"/>
      <c r="H571" s="381"/>
      <c r="I571" s="381"/>
      <c r="J571" s="464"/>
      <c r="K571" s="464"/>
      <c r="L571" s="381"/>
      <c r="M571" s="381"/>
      <c r="N571" s="381"/>
      <c r="O571" s="381"/>
      <c r="P571" s="381"/>
      <c r="Q571" s="381"/>
      <c r="R571" s="381"/>
      <c r="V571" s="381"/>
      <c r="Y571" s="381"/>
      <c r="Z571" s="464"/>
      <c r="AA571" s="381"/>
      <c r="AB571" s="381"/>
      <c r="AC571" s="381"/>
      <c r="AD571" s="381"/>
      <c r="AE571" s="381"/>
      <c r="AF571" s="381"/>
      <c r="AI571" s="381"/>
      <c r="AJ571" s="381"/>
      <c r="AK571" s="162"/>
      <c r="AL571" s="381"/>
    </row>
    <row r="572" spans="1:40" x14ac:dyDescent="0.25">
      <c r="A572" s="53"/>
      <c r="C572" s="54"/>
      <c r="D572" s="54"/>
      <c r="E572" s="54"/>
      <c r="F572" s="381"/>
      <c r="T572" s="54"/>
      <c r="U572" s="54"/>
      <c r="V572" s="379"/>
      <c r="W572" s="379"/>
      <c r="X572" s="379"/>
      <c r="Y572" s="379"/>
      <c r="Z572" s="477"/>
    </row>
    <row r="573" spans="1:40" x14ac:dyDescent="0.25">
      <c r="A573" s="53"/>
      <c r="C573" s="54"/>
      <c r="T573" s="54"/>
      <c r="V573" s="379"/>
      <c r="W573" s="379"/>
      <c r="X573" s="379"/>
      <c r="Y573" s="379"/>
      <c r="Z573" s="477"/>
    </row>
    <row r="574" spans="1:40" x14ac:dyDescent="0.25">
      <c r="A574" s="53"/>
      <c r="C574" s="54"/>
      <c r="H574" s="449"/>
      <c r="I574" s="449"/>
      <c r="J574" s="477"/>
      <c r="K574" s="477"/>
      <c r="L574" s="379"/>
      <c r="M574" s="379"/>
      <c r="N574" s="50"/>
      <c r="O574" s="50"/>
      <c r="P574" s="379"/>
      <c r="Q574" s="379"/>
      <c r="R574" s="379"/>
      <c r="T574" s="54"/>
      <c r="V574" s="379"/>
      <c r="W574" s="379"/>
      <c r="X574" s="379"/>
      <c r="Y574" s="379"/>
      <c r="Z574" s="477"/>
      <c r="AA574" s="379"/>
      <c r="AB574" s="379"/>
      <c r="AC574" s="50"/>
      <c r="AD574" s="50"/>
      <c r="AE574" s="379"/>
      <c r="AF574" s="379"/>
      <c r="AG574" s="156"/>
      <c r="AH574" s="60"/>
      <c r="AI574" s="379"/>
      <c r="AJ574" s="379"/>
      <c r="AK574" s="156"/>
      <c r="AL574" s="379"/>
      <c r="AM574" s="50"/>
      <c r="AN574" s="50"/>
    </row>
    <row r="575" spans="1:40" x14ac:dyDescent="0.25">
      <c r="A575" s="53"/>
      <c r="C575" s="54"/>
      <c r="F575" s="449"/>
      <c r="T575" s="54"/>
      <c r="V575" s="379"/>
      <c r="W575" s="379"/>
      <c r="X575" s="379"/>
      <c r="Y575" s="379"/>
      <c r="Z575" s="477"/>
    </row>
    <row r="576" spans="1:40" x14ac:dyDescent="0.25">
      <c r="A576" s="53"/>
      <c r="C576" s="54"/>
      <c r="H576" s="449"/>
      <c r="I576" s="449"/>
      <c r="J576" s="477"/>
      <c r="K576" s="477"/>
      <c r="L576" s="379"/>
      <c r="M576" s="379"/>
      <c r="N576" s="50"/>
      <c r="O576" s="50"/>
      <c r="P576" s="379"/>
      <c r="Q576" s="379"/>
      <c r="R576" s="379"/>
      <c r="T576" s="54"/>
      <c r="V576" s="379"/>
      <c r="W576" s="379"/>
      <c r="X576" s="379"/>
      <c r="Y576" s="379"/>
      <c r="Z576" s="477"/>
      <c r="AA576" s="379"/>
      <c r="AB576" s="379"/>
      <c r="AC576" s="50"/>
      <c r="AD576" s="50"/>
      <c r="AE576" s="379"/>
      <c r="AF576" s="379"/>
      <c r="AG576" s="156"/>
      <c r="AH576" s="60"/>
      <c r="AI576" s="379"/>
      <c r="AJ576" s="379"/>
      <c r="AK576" s="156"/>
      <c r="AL576" s="379"/>
      <c r="AM576" s="50"/>
      <c r="AN576" s="50"/>
    </row>
    <row r="577" spans="1:40" x14ac:dyDescent="0.25">
      <c r="A577" s="53"/>
      <c r="C577" s="54"/>
      <c r="F577" s="449"/>
      <c r="T577" s="54"/>
      <c r="V577" s="379"/>
      <c r="W577" s="379"/>
      <c r="X577" s="379"/>
      <c r="Y577" s="379"/>
      <c r="Z577" s="477"/>
    </row>
    <row r="578" spans="1:40" x14ac:dyDescent="0.25">
      <c r="A578" s="53"/>
      <c r="C578" s="54"/>
      <c r="H578" s="449"/>
      <c r="I578" s="449"/>
      <c r="J578" s="477"/>
      <c r="K578" s="477"/>
      <c r="L578" s="379"/>
      <c r="M578" s="379"/>
      <c r="N578" s="50"/>
      <c r="O578" s="50"/>
      <c r="P578" s="379"/>
      <c r="Q578" s="379"/>
      <c r="R578" s="379"/>
      <c r="T578" s="54"/>
      <c r="V578" s="379"/>
      <c r="W578" s="379"/>
      <c r="X578" s="379"/>
      <c r="Y578" s="379"/>
      <c r="Z578" s="477"/>
      <c r="AA578" s="379"/>
      <c r="AB578" s="379"/>
      <c r="AC578" s="50"/>
      <c r="AD578" s="50"/>
      <c r="AE578" s="379"/>
      <c r="AF578" s="379"/>
      <c r="AG578" s="156"/>
      <c r="AH578" s="60"/>
      <c r="AI578" s="379"/>
      <c r="AJ578" s="379"/>
      <c r="AK578" s="156"/>
      <c r="AL578" s="379"/>
      <c r="AM578" s="50"/>
      <c r="AN578" s="50"/>
    </row>
    <row r="579" spans="1:40" x14ac:dyDescent="0.25">
      <c r="A579" s="53"/>
      <c r="C579" s="54"/>
      <c r="F579" s="449"/>
      <c r="T579" s="54"/>
      <c r="V579" s="379"/>
      <c r="W579" s="379"/>
      <c r="X579" s="379"/>
      <c r="Y579" s="379"/>
      <c r="Z579" s="477"/>
    </row>
    <row r="580" spans="1:40" x14ac:dyDescent="0.25">
      <c r="A580" s="53"/>
      <c r="C580" s="54"/>
      <c r="H580" s="449"/>
      <c r="I580" s="449"/>
      <c r="J580" s="477"/>
      <c r="K580" s="477"/>
      <c r="L580" s="379"/>
      <c r="M580" s="379"/>
      <c r="N580" s="50"/>
      <c r="O580" s="50"/>
      <c r="P580" s="379"/>
      <c r="Q580" s="379"/>
      <c r="R580" s="379"/>
      <c r="T580" s="54"/>
      <c r="V580" s="379"/>
      <c r="W580" s="379"/>
      <c r="X580" s="379"/>
      <c r="Y580" s="379"/>
      <c r="Z580" s="477"/>
      <c r="AA580" s="379"/>
      <c r="AB580" s="379"/>
      <c r="AC580" s="50"/>
      <c r="AD580" s="50"/>
      <c r="AE580" s="379"/>
      <c r="AF580" s="379"/>
      <c r="AG580" s="156"/>
      <c r="AH580" s="60"/>
      <c r="AI580" s="379"/>
      <c r="AJ580" s="379"/>
      <c r="AK580" s="156"/>
      <c r="AL580" s="379"/>
      <c r="AM580" s="50"/>
      <c r="AN580" s="50"/>
    </row>
    <row r="581" spans="1:40" x14ac:dyDescent="0.25">
      <c r="F581" s="449"/>
      <c r="H581" s="381"/>
      <c r="I581" s="381"/>
      <c r="J581" s="464"/>
      <c r="K581" s="464"/>
      <c r="L581" s="381"/>
      <c r="M581" s="381"/>
      <c r="N581" s="381"/>
      <c r="O581" s="381"/>
      <c r="P581" s="381"/>
      <c r="Q581" s="381"/>
      <c r="R581" s="381"/>
      <c r="V581" s="381"/>
      <c r="Y581" s="381"/>
      <c r="Z581" s="464"/>
      <c r="AA581" s="381"/>
      <c r="AB581" s="381"/>
      <c r="AC581" s="381"/>
      <c r="AD581" s="381"/>
      <c r="AE581" s="381"/>
      <c r="AF581" s="381"/>
      <c r="AI581" s="381"/>
      <c r="AJ581" s="381"/>
      <c r="AK581" s="162"/>
      <c r="AL581" s="381"/>
    </row>
    <row r="582" spans="1:40" x14ac:dyDescent="0.25">
      <c r="A582" s="53"/>
      <c r="C582" s="54"/>
      <c r="F582" s="381"/>
      <c r="H582" s="379"/>
      <c r="I582" s="379"/>
      <c r="L582" s="379"/>
      <c r="M582" s="379"/>
      <c r="N582" s="50"/>
      <c r="O582" s="50"/>
      <c r="P582" s="449"/>
      <c r="Q582" s="449"/>
      <c r="R582" s="379"/>
      <c r="T582" s="54"/>
      <c r="V582" s="379"/>
      <c r="W582" s="379"/>
      <c r="X582" s="379"/>
      <c r="Y582" s="379"/>
      <c r="Z582" s="477"/>
      <c r="AA582" s="379"/>
      <c r="AB582" s="379"/>
      <c r="AC582" s="50"/>
      <c r="AD582" s="50"/>
      <c r="AE582" s="379"/>
      <c r="AF582" s="379"/>
      <c r="AG582" s="156"/>
      <c r="AH582" s="60"/>
      <c r="AI582" s="449"/>
      <c r="AJ582" s="449"/>
      <c r="AK582" s="156"/>
      <c r="AL582" s="379"/>
      <c r="AM582" s="50"/>
      <c r="AN582" s="50"/>
    </row>
    <row r="583" spans="1:40" x14ac:dyDescent="0.25">
      <c r="F583" s="379"/>
      <c r="H583" s="381"/>
      <c r="I583" s="381"/>
      <c r="J583" s="464"/>
      <c r="K583" s="464"/>
      <c r="L583" s="381"/>
      <c r="M583" s="381"/>
      <c r="N583" s="381"/>
      <c r="O583" s="381"/>
      <c r="P583" s="381"/>
      <c r="Q583" s="381"/>
      <c r="R583" s="381"/>
      <c r="V583" s="381"/>
      <c r="Y583" s="381"/>
      <c r="Z583" s="464"/>
      <c r="AA583" s="381"/>
      <c r="AB583" s="381"/>
      <c r="AC583" s="381"/>
      <c r="AD583" s="381"/>
      <c r="AE583" s="381"/>
      <c r="AF583" s="381"/>
      <c r="AI583" s="381"/>
      <c r="AJ583" s="381"/>
      <c r="AK583" s="162"/>
      <c r="AL583" s="381"/>
    </row>
    <row r="584" spans="1:40" x14ac:dyDescent="0.25">
      <c r="A584" s="53"/>
      <c r="C584" s="54"/>
      <c r="F584" s="381"/>
      <c r="H584" s="379"/>
      <c r="I584" s="379"/>
      <c r="L584" s="379"/>
      <c r="M584" s="379"/>
      <c r="N584" s="50"/>
      <c r="O584" s="50"/>
      <c r="P584" s="379"/>
      <c r="Q584" s="379"/>
      <c r="R584" s="379"/>
      <c r="T584" s="54"/>
      <c r="V584" s="379"/>
      <c r="W584" s="379"/>
      <c r="X584" s="379"/>
      <c r="Y584" s="379"/>
      <c r="AA584" s="379"/>
      <c r="AB584" s="379"/>
      <c r="AC584" s="50"/>
      <c r="AD584" s="50"/>
      <c r="AE584" s="379"/>
      <c r="AF584" s="379"/>
      <c r="AG584" s="156"/>
      <c r="AH584" s="60"/>
      <c r="AI584" s="379"/>
      <c r="AJ584" s="379"/>
      <c r="AK584" s="156"/>
      <c r="AL584" s="379"/>
      <c r="AM584" s="60"/>
      <c r="AN584" s="60"/>
    </row>
    <row r="585" spans="1:40" x14ac:dyDescent="0.25">
      <c r="F585" s="379"/>
      <c r="H585" s="381"/>
      <c r="I585" s="381"/>
      <c r="J585" s="464"/>
      <c r="K585" s="464"/>
      <c r="L585" s="381"/>
      <c r="M585" s="381"/>
      <c r="N585" s="381"/>
      <c r="O585" s="381"/>
      <c r="P585" s="381"/>
      <c r="Q585" s="381"/>
      <c r="R585" s="381"/>
      <c r="V585" s="381"/>
      <c r="Y585" s="381"/>
      <c r="Z585" s="464"/>
      <c r="AA585" s="381"/>
      <c r="AB585" s="381"/>
      <c r="AC585" s="381"/>
      <c r="AD585" s="381"/>
      <c r="AE585" s="381"/>
      <c r="AF585" s="381"/>
      <c r="AI585" s="381"/>
      <c r="AJ585" s="381"/>
      <c r="AK585" s="162"/>
      <c r="AL585" s="381"/>
    </row>
    <row r="587" spans="1:40" x14ac:dyDescent="0.25">
      <c r="C587" s="53"/>
      <c r="F587" s="381"/>
      <c r="T587" s="53"/>
    </row>
    <row r="588" spans="1:40" x14ac:dyDescent="0.25">
      <c r="A588" s="54"/>
    </row>
    <row r="589" spans="1:40" x14ac:dyDescent="0.25">
      <c r="J589" s="53"/>
      <c r="K589" s="53"/>
      <c r="Z589" s="53"/>
    </row>
    <row r="590" spans="1:40" x14ac:dyDescent="0.25">
      <c r="H590" s="54"/>
      <c r="I590" s="54"/>
      <c r="Y590" s="54"/>
    </row>
    <row r="591" spans="1:40" x14ac:dyDescent="0.25">
      <c r="J591" s="53"/>
      <c r="K591" s="53"/>
      <c r="Z591" s="53"/>
    </row>
    <row r="592" spans="1:40" x14ac:dyDescent="0.25">
      <c r="L592" s="54"/>
      <c r="M592" s="54"/>
      <c r="AA592" s="54"/>
      <c r="AB592" s="54"/>
    </row>
    <row r="593" spans="1:40" x14ac:dyDescent="0.25">
      <c r="A593" s="53"/>
      <c r="R593" s="54"/>
      <c r="AK593" s="161"/>
      <c r="AL593" s="54"/>
    </row>
    <row r="594" spans="1:40" x14ac:dyDescent="0.25">
      <c r="A594" s="53"/>
      <c r="R594" s="54"/>
      <c r="AK594" s="161"/>
      <c r="AL594" s="54"/>
    </row>
    <row r="595" spans="1:40" x14ac:dyDescent="0.25">
      <c r="A595" s="54"/>
      <c r="R595" s="54"/>
      <c r="AK595" s="161"/>
      <c r="AL595" s="54"/>
    </row>
    <row r="596" spans="1:40" x14ac:dyDescent="0.25">
      <c r="L596" s="54"/>
      <c r="M596" s="54"/>
      <c r="R596" s="53"/>
      <c r="AA596" s="54"/>
      <c r="AB596" s="54"/>
      <c r="AK596" s="156"/>
      <c r="AL596" s="53"/>
    </row>
    <row r="597" spans="1:40" x14ac:dyDescent="0.25">
      <c r="A597" s="55"/>
      <c r="B597" s="55"/>
      <c r="C597" s="55"/>
      <c r="D597" s="55"/>
      <c r="E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154"/>
      <c r="AH597" s="55"/>
      <c r="AI597" s="55"/>
      <c r="AJ597" s="55"/>
      <c r="AK597" s="154"/>
      <c r="AL597" s="55"/>
      <c r="AM597" s="55"/>
      <c r="AN597" s="55"/>
    </row>
    <row r="598" spans="1:40" x14ac:dyDescent="0.25">
      <c r="F598" s="55"/>
      <c r="L598" s="56"/>
      <c r="M598" s="56"/>
      <c r="N598" s="56"/>
      <c r="O598" s="56"/>
      <c r="R598" s="56"/>
      <c r="AA598" s="56"/>
      <c r="AB598" s="56"/>
      <c r="AC598" s="56"/>
      <c r="AD598" s="56"/>
      <c r="AE598" s="56"/>
      <c r="AF598" s="56"/>
      <c r="AG598" s="155"/>
      <c r="AH598" s="56"/>
      <c r="AK598" s="155"/>
      <c r="AL598" s="56"/>
      <c r="AM598" s="56"/>
      <c r="AN598" s="56"/>
    </row>
    <row r="599" spans="1:40" x14ac:dyDescent="0.25">
      <c r="L599" s="56"/>
      <c r="M599" s="56"/>
      <c r="N599" s="56"/>
      <c r="O599" s="56"/>
      <c r="R599" s="56"/>
      <c r="Z599" s="56"/>
      <c r="AA599" s="56"/>
      <c r="AB599" s="56"/>
      <c r="AC599" s="56"/>
      <c r="AD599" s="56"/>
      <c r="AE599" s="56"/>
      <c r="AF599" s="56"/>
      <c r="AG599" s="155"/>
      <c r="AH599" s="56"/>
      <c r="AK599" s="155"/>
      <c r="AL599" s="56"/>
      <c r="AM599" s="56"/>
      <c r="AN599" s="56"/>
    </row>
    <row r="600" spans="1:40" x14ac:dyDescent="0.25">
      <c r="A600" s="56"/>
      <c r="C600" s="56"/>
      <c r="D600" s="56"/>
      <c r="E600" s="56"/>
      <c r="J600" s="56"/>
      <c r="K600" s="56"/>
      <c r="L600" s="56"/>
      <c r="M600" s="56"/>
      <c r="N600" s="56"/>
      <c r="O600" s="56"/>
      <c r="P600" s="56"/>
      <c r="Q600" s="56"/>
      <c r="R600" s="56"/>
      <c r="T600" s="56"/>
      <c r="U600" s="56"/>
      <c r="V600" s="56"/>
      <c r="Z600" s="56"/>
      <c r="AA600" s="56"/>
      <c r="AB600" s="56"/>
      <c r="AC600" s="56"/>
      <c r="AD600" s="56"/>
      <c r="AE600" s="56"/>
      <c r="AF600" s="56"/>
      <c r="AG600" s="155"/>
      <c r="AH600" s="56"/>
      <c r="AI600" s="56"/>
      <c r="AJ600" s="56"/>
      <c r="AK600" s="155"/>
      <c r="AL600" s="56"/>
      <c r="AM600" s="56"/>
      <c r="AN600" s="56"/>
    </row>
    <row r="601" spans="1:40" x14ac:dyDescent="0.25">
      <c r="A601" s="56"/>
      <c r="C601" s="56"/>
      <c r="D601" s="56"/>
      <c r="E601" s="56"/>
      <c r="F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T601" s="56"/>
      <c r="U601" s="56"/>
      <c r="V601" s="56"/>
      <c r="Y601" s="56"/>
      <c r="Z601" s="56"/>
      <c r="AA601" s="56"/>
      <c r="AB601" s="56"/>
      <c r="AC601" s="56"/>
      <c r="AD601" s="56"/>
      <c r="AE601" s="56"/>
      <c r="AF601" s="56"/>
      <c r="AG601" s="155"/>
      <c r="AH601" s="56"/>
      <c r="AI601" s="56"/>
      <c r="AJ601" s="56"/>
      <c r="AK601" s="155"/>
      <c r="AL601" s="56"/>
      <c r="AM601" s="56"/>
      <c r="AN601" s="56"/>
    </row>
    <row r="602" spans="1:40" x14ac:dyDescent="0.25">
      <c r="C602" s="56"/>
      <c r="D602" s="56"/>
      <c r="E602" s="56"/>
      <c r="F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T602" s="56"/>
      <c r="U602" s="56"/>
      <c r="V602" s="56"/>
      <c r="Y602" s="56"/>
      <c r="Z602" s="56"/>
      <c r="AA602" s="56"/>
      <c r="AB602" s="56"/>
      <c r="AC602" s="56"/>
      <c r="AD602" s="56"/>
      <c r="AE602" s="56"/>
      <c r="AF602" s="56"/>
      <c r="AG602" s="155"/>
      <c r="AH602" s="56"/>
      <c r="AI602" s="56"/>
      <c r="AJ602" s="56"/>
      <c r="AK602" s="155"/>
      <c r="AL602" s="56"/>
      <c r="AM602" s="56"/>
      <c r="AN602" s="56"/>
    </row>
    <row r="603" spans="1:40" x14ac:dyDescent="0.25">
      <c r="A603" s="55"/>
      <c r="B603" s="55"/>
      <c r="C603" s="55"/>
      <c r="D603" s="55"/>
      <c r="E603" s="55"/>
      <c r="F603" s="56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154"/>
      <c r="AH603" s="55"/>
      <c r="AI603" s="55"/>
      <c r="AJ603" s="55"/>
      <c r="AK603" s="154"/>
      <c r="AL603" s="55"/>
      <c r="AM603" s="55"/>
      <c r="AN603" s="55"/>
    </row>
    <row r="604" spans="1:40" x14ac:dyDescent="0.25">
      <c r="F604" s="55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Y604" s="56"/>
      <c r="Z604" s="56"/>
      <c r="AA604" s="56"/>
      <c r="AB604" s="56"/>
      <c r="AC604" s="56"/>
      <c r="AD604" s="56"/>
      <c r="AE604" s="56"/>
      <c r="AF604" s="56"/>
      <c r="AG604" s="155"/>
      <c r="AH604" s="56"/>
      <c r="AI604" s="56"/>
      <c r="AJ604" s="56"/>
      <c r="AK604" s="155"/>
      <c r="AL604" s="56"/>
      <c r="AM604" s="56"/>
      <c r="AN604" s="56"/>
    </row>
    <row r="605" spans="1:40" x14ac:dyDescent="0.25">
      <c r="A605" s="53"/>
      <c r="C605" s="54"/>
      <c r="D605" s="54"/>
      <c r="E605" s="54"/>
      <c r="H605" s="379"/>
      <c r="I605" s="379"/>
      <c r="J605" s="59"/>
      <c r="K605" s="59"/>
      <c r="L605" s="379"/>
      <c r="M605" s="379"/>
      <c r="N605" s="59"/>
      <c r="O605" s="59"/>
      <c r="P605" s="379"/>
      <c r="Q605" s="379"/>
      <c r="R605" s="379"/>
      <c r="T605" s="54"/>
      <c r="U605" s="54"/>
      <c r="V605" s="379"/>
      <c r="Y605" s="379"/>
      <c r="Z605" s="59"/>
      <c r="AA605" s="379"/>
      <c r="AB605" s="379"/>
      <c r="AC605" s="59"/>
      <c r="AD605" s="59"/>
      <c r="AE605" s="379"/>
      <c r="AF605" s="379"/>
      <c r="AG605" s="156"/>
      <c r="AH605" s="60"/>
      <c r="AI605" s="379"/>
      <c r="AJ605" s="379"/>
      <c r="AK605" s="156"/>
      <c r="AL605" s="379"/>
      <c r="AM605" s="50"/>
      <c r="AN605" s="50"/>
    </row>
    <row r="606" spans="1:40" x14ac:dyDescent="0.25">
      <c r="F606" s="379"/>
      <c r="H606" s="381"/>
      <c r="I606" s="381"/>
      <c r="J606" s="464"/>
      <c r="K606" s="464"/>
      <c r="L606" s="381"/>
      <c r="M606" s="381"/>
      <c r="N606" s="381"/>
      <c r="O606" s="381"/>
      <c r="P606" s="381"/>
      <c r="Q606" s="381"/>
      <c r="R606" s="381"/>
      <c r="V606" s="381"/>
      <c r="Y606" s="381"/>
      <c r="Z606" s="464"/>
      <c r="AA606" s="381"/>
      <c r="AB606" s="381"/>
      <c r="AC606" s="381"/>
      <c r="AD606" s="381"/>
      <c r="AE606" s="381"/>
      <c r="AF606" s="381"/>
      <c r="AI606" s="381"/>
      <c r="AJ606" s="381"/>
      <c r="AK606" s="162"/>
      <c r="AL606" s="381"/>
      <c r="AM606" s="50"/>
      <c r="AN606" s="50"/>
    </row>
    <row r="607" spans="1:40" x14ac:dyDescent="0.25">
      <c r="A607" s="53"/>
      <c r="C607" s="54"/>
      <c r="F607" s="381"/>
      <c r="H607" s="379"/>
      <c r="I607" s="379"/>
      <c r="J607" s="59"/>
      <c r="K607" s="59"/>
      <c r="L607" s="379"/>
      <c r="M607" s="379"/>
      <c r="N607" s="59"/>
      <c r="O607" s="59"/>
      <c r="P607" s="379"/>
      <c r="Q607" s="379"/>
      <c r="R607" s="379"/>
      <c r="T607" s="54"/>
      <c r="V607" s="379"/>
      <c r="Y607" s="379"/>
      <c r="Z607" s="59"/>
      <c r="AA607" s="379"/>
      <c r="AB607" s="379"/>
      <c r="AC607" s="59"/>
      <c r="AD607" s="59"/>
      <c r="AE607" s="379"/>
      <c r="AF607" s="379"/>
      <c r="AG607" s="156"/>
      <c r="AH607" s="60"/>
      <c r="AI607" s="379"/>
      <c r="AJ607" s="379"/>
      <c r="AK607" s="156"/>
      <c r="AL607" s="379"/>
      <c r="AM607" s="50"/>
      <c r="AN607" s="50"/>
    </row>
    <row r="608" spans="1:40" x14ac:dyDescent="0.25">
      <c r="F608" s="379"/>
      <c r="H608" s="379"/>
      <c r="I608" s="379"/>
      <c r="J608" s="59"/>
      <c r="K608" s="59"/>
      <c r="L608" s="379"/>
      <c r="M608" s="379"/>
      <c r="N608" s="59"/>
      <c r="O608" s="59"/>
      <c r="P608" s="379"/>
      <c r="Q608" s="379"/>
      <c r="R608" s="379"/>
      <c r="V608" s="379"/>
      <c r="Y608" s="379"/>
      <c r="Z608" s="59"/>
      <c r="AA608" s="379"/>
      <c r="AB608" s="379"/>
      <c r="AC608" s="59"/>
      <c r="AD608" s="59"/>
      <c r="AG608" s="156"/>
      <c r="AH608" s="60"/>
      <c r="AI608" s="379"/>
      <c r="AJ608" s="379"/>
      <c r="AK608" s="156"/>
      <c r="AL608" s="379"/>
      <c r="AM608" s="50"/>
      <c r="AN608" s="50"/>
    </row>
    <row r="609" spans="1:40" x14ac:dyDescent="0.25">
      <c r="A609" s="53"/>
      <c r="C609" s="54"/>
      <c r="D609" s="54"/>
      <c r="E609" s="54"/>
      <c r="F609" s="379"/>
      <c r="H609" s="379"/>
      <c r="I609" s="379"/>
      <c r="J609" s="59"/>
      <c r="K609" s="59"/>
      <c r="L609" s="379"/>
      <c r="M609" s="379"/>
      <c r="N609" s="59"/>
      <c r="O609" s="59"/>
      <c r="P609" s="379"/>
      <c r="Q609" s="379"/>
      <c r="R609" s="379"/>
      <c r="T609" s="54"/>
      <c r="U609" s="54"/>
      <c r="V609" s="379"/>
      <c r="Y609" s="379"/>
      <c r="Z609" s="59"/>
      <c r="AA609" s="379"/>
      <c r="AB609" s="379"/>
      <c r="AC609" s="59"/>
      <c r="AD609" s="59"/>
      <c r="AE609" s="379"/>
      <c r="AF609" s="379"/>
      <c r="AG609" s="156"/>
      <c r="AH609" s="60"/>
      <c r="AI609" s="379"/>
      <c r="AJ609" s="379"/>
      <c r="AK609" s="156"/>
      <c r="AL609" s="379"/>
      <c r="AM609" s="50"/>
      <c r="AN609" s="50"/>
    </row>
    <row r="610" spans="1:40" x14ac:dyDescent="0.25">
      <c r="A610" s="53"/>
      <c r="C610" s="54"/>
      <c r="D610" s="54"/>
      <c r="E610" s="54"/>
      <c r="F610" s="379"/>
      <c r="H610" s="379"/>
      <c r="I610" s="379"/>
      <c r="J610" s="59"/>
      <c r="K610" s="59"/>
      <c r="L610" s="379"/>
      <c r="M610" s="379"/>
      <c r="N610" s="59"/>
      <c r="O610" s="59"/>
      <c r="P610" s="379"/>
      <c r="Q610" s="379"/>
      <c r="R610" s="379"/>
      <c r="T610" s="54"/>
      <c r="U610" s="54"/>
      <c r="V610" s="379"/>
      <c r="Y610" s="379"/>
      <c r="Z610" s="59"/>
      <c r="AA610" s="379"/>
      <c r="AB610" s="379"/>
      <c r="AC610" s="59"/>
      <c r="AD610" s="59"/>
      <c r="AE610" s="379"/>
      <c r="AF610" s="379"/>
      <c r="AG610" s="156"/>
      <c r="AH610" s="60"/>
      <c r="AI610" s="379"/>
      <c r="AJ610" s="379"/>
      <c r="AK610" s="156"/>
      <c r="AL610" s="379"/>
      <c r="AM610" s="50"/>
      <c r="AN610" s="50"/>
    </row>
    <row r="611" spans="1:40" x14ac:dyDescent="0.25">
      <c r="A611" s="53"/>
      <c r="C611" s="54"/>
      <c r="D611" s="54"/>
      <c r="E611" s="54"/>
      <c r="F611" s="379"/>
      <c r="H611" s="379"/>
      <c r="I611" s="379"/>
      <c r="J611" s="59"/>
      <c r="K611" s="59"/>
      <c r="L611" s="379"/>
      <c r="M611" s="379"/>
      <c r="N611" s="59"/>
      <c r="O611" s="59"/>
      <c r="P611" s="379"/>
      <c r="Q611" s="379"/>
      <c r="R611" s="379"/>
      <c r="T611" s="54"/>
      <c r="U611" s="54"/>
      <c r="V611" s="379"/>
      <c r="Y611" s="379"/>
      <c r="Z611" s="59"/>
      <c r="AA611" s="379"/>
      <c r="AB611" s="379"/>
      <c r="AC611" s="59"/>
      <c r="AD611" s="59"/>
      <c r="AE611" s="379"/>
      <c r="AF611" s="379"/>
      <c r="AG611" s="156"/>
      <c r="AH611" s="60"/>
      <c r="AI611" s="379"/>
      <c r="AJ611" s="379"/>
      <c r="AK611" s="156"/>
      <c r="AL611" s="379"/>
      <c r="AM611" s="50"/>
      <c r="AN611" s="50"/>
    </row>
    <row r="612" spans="1:40" x14ac:dyDescent="0.25">
      <c r="A612" s="53"/>
      <c r="C612" s="54"/>
      <c r="D612" s="54"/>
      <c r="E612" s="54"/>
      <c r="F612" s="379"/>
      <c r="H612" s="379"/>
      <c r="I612" s="379"/>
      <c r="J612" s="59"/>
      <c r="K612" s="59"/>
      <c r="L612" s="379"/>
      <c r="M612" s="379"/>
      <c r="N612" s="59"/>
      <c r="O612" s="59"/>
      <c r="P612" s="379"/>
      <c r="Q612" s="379"/>
      <c r="R612" s="379"/>
      <c r="T612" s="54"/>
      <c r="U612" s="54"/>
      <c r="V612" s="379"/>
      <c r="Y612" s="379"/>
      <c r="Z612" s="59"/>
      <c r="AA612" s="379"/>
      <c r="AB612" s="379"/>
      <c r="AC612" s="59"/>
      <c r="AD612" s="59"/>
      <c r="AE612" s="379"/>
      <c r="AF612" s="379"/>
      <c r="AG612" s="156"/>
      <c r="AH612" s="60"/>
      <c r="AI612" s="379"/>
      <c r="AJ612" s="379"/>
      <c r="AK612" s="156"/>
      <c r="AL612" s="379"/>
      <c r="AM612" s="50"/>
      <c r="AN612" s="50"/>
    </row>
    <row r="613" spans="1:40" x14ac:dyDescent="0.25">
      <c r="A613" s="53"/>
      <c r="C613" s="54"/>
      <c r="D613" s="54"/>
      <c r="E613" s="54"/>
      <c r="F613" s="379"/>
      <c r="H613" s="379"/>
      <c r="I613" s="379"/>
      <c r="J613" s="59"/>
      <c r="K613" s="59"/>
      <c r="L613" s="379"/>
      <c r="M613" s="379"/>
      <c r="N613" s="59"/>
      <c r="O613" s="59"/>
      <c r="P613" s="379"/>
      <c r="Q613" s="379"/>
      <c r="R613" s="379"/>
      <c r="T613" s="54"/>
      <c r="U613" s="54"/>
      <c r="V613" s="379"/>
      <c r="Y613" s="379"/>
      <c r="Z613" s="59"/>
      <c r="AA613" s="379"/>
      <c r="AB613" s="379"/>
      <c r="AC613" s="59"/>
      <c r="AD613" s="59"/>
      <c r="AE613" s="379"/>
      <c r="AF613" s="379"/>
      <c r="AG613" s="156"/>
      <c r="AH613" s="60"/>
      <c r="AI613" s="379"/>
      <c r="AJ613" s="379"/>
      <c r="AK613" s="156"/>
      <c r="AL613" s="379"/>
      <c r="AM613" s="50"/>
      <c r="AN613" s="50"/>
    </row>
    <row r="614" spans="1:40" x14ac:dyDescent="0.25">
      <c r="A614" s="53"/>
      <c r="C614" s="54"/>
      <c r="D614" s="54"/>
      <c r="E614" s="54"/>
      <c r="F614" s="379"/>
      <c r="H614" s="379"/>
      <c r="I614" s="379"/>
      <c r="J614" s="59"/>
      <c r="K614" s="59"/>
      <c r="L614" s="379"/>
      <c r="M614" s="379"/>
      <c r="N614" s="59"/>
      <c r="O614" s="59"/>
      <c r="P614" s="379"/>
      <c r="Q614" s="379"/>
      <c r="R614" s="379"/>
      <c r="T614" s="54"/>
      <c r="U614" s="54"/>
      <c r="V614" s="379"/>
      <c r="Y614" s="379"/>
      <c r="Z614" s="59"/>
      <c r="AA614" s="379"/>
      <c r="AB614" s="379"/>
      <c r="AC614" s="59"/>
      <c r="AD614" s="59"/>
      <c r="AE614" s="379"/>
      <c r="AF614" s="379"/>
      <c r="AG614" s="156"/>
      <c r="AH614" s="60"/>
      <c r="AI614" s="379"/>
      <c r="AJ614" s="379"/>
      <c r="AK614" s="156"/>
      <c r="AL614" s="379"/>
      <c r="AM614" s="50"/>
      <c r="AN614" s="50"/>
    </row>
    <row r="615" spans="1:40" x14ac:dyDescent="0.25">
      <c r="F615" s="379"/>
      <c r="H615" s="381"/>
      <c r="I615" s="381"/>
      <c r="J615" s="464"/>
      <c r="K615" s="464"/>
      <c r="L615" s="381"/>
      <c r="M615" s="381"/>
      <c r="N615" s="381"/>
      <c r="O615" s="381"/>
      <c r="P615" s="381"/>
      <c r="Q615" s="381"/>
      <c r="R615" s="381"/>
      <c r="V615" s="381"/>
      <c r="Y615" s="381"/>
      <c r="Z615" s="464"/>
      <c r="AA615" s="381"/>
      <c r="AB615" s="381"/>
      <c r="AC615" s="381"/>
      <c r="AD615" s="381"/>
      <c r="AE615" s="381"/>
      <c r="AF615" s="381"/>
      <c r="AI615" s="381"/>
      <c r="AJ615" s="381"/>
      <c r="AK615" s="162"/>
      <c r="AL615" s="381"/>
      <c r="AM615" s="50"/>
      <c r="AN615" s="50"/>
    </row>
    <row r="616" spans="1:40" x14ac:dyDescent="0.25">
      <c r="A616" s="53"/>
      <c r="C616" s="54"/>
      <c r="F616" s="381"/>
      <c r="H616" s="379"/>
      <c r="I616" s="379"/>
      <c r="J616" s="59"/>
      <c r="K616" s="59"/>
      <c r="L616" s="379"/>
      <c r="M616" s="379"/>
      <c r="N616" s="59"/>
      <c r="O616" s="59"/>
      <c r="P616" s="379"/>
      <c r="Q616" s="379"/>
      <c r="R616" s="379"/>
      <c r="T616" s="54"/>
      <c r="V616" s="379"/>
      <c r="Y616" s="379"/>
      <c r="Z616" s="59"/>
      <c r="AA616" s="379"/>
      <c r="AB616" s="379"/>
      <c r="AC616" s="59"/>
      <c r="AD616" s="59"/>
      <c r="AE616" s="379"/>
      <c r="AF616" s="379"/>
      <c r="AG616" s="156"/>
      <c r="AH616" s="60"/>
      <c r="AI616" s="379"/>
      <c r="AJ616" s="379"/>
      <c r="AK616" s="156"/>
      <c r="AL616" s="379"/>
      <c r="AM616" s="50"/>
      <c r="AN616" s="50"/>
    </row>
    <row r="617" spans="1:40" x14ac:dyDescent="0.25">
      <c r="F617" s="379"/>
      <c r="H617" s="379"/>
      <c r="I617" s="379"/>
      <c r="J617" s="59"/>
      <c r="K617" s="59"/>
      <c r="L617" s="379"/>
      <c r="M617" s="379"/>
      <c r="N617" s="59"/>
      <c r="O617" s="59"/>
      <c r="P617" s="379"/>
      <c r="Q617" s="379"/>
      <c r="R617" s="379"/>
      <c r="V617" s="379"/>
      <c r="Y617" s="379"/>
      <c r="Z617" s="59"/>
      <c r="AA617" s="379"/>
      <c r="AB617" s="379"/>
      <c r="AC617" s="59"/>
      <c r="AD617" s="59"/>
      <c r="AG617" s="156"/>
      <c r="AH617" s="60"/>
      <c r="AI617" s="379"/>
      <c r="AJ617" s="379"/>
      <c r="AK617" s="156"/>
      <c r="AL617" s="379"/>
      <c r="AM617" s="50"/>
      <c r="AN617" s="50"/>
    </row>
    <row r="618" spans="1:40" x14ac:dyDescent="0.25">
      <c r="A618" s="53"/>
      <c r="C618" s="54"/>
      <c r="D618" s="54"/>
      <c r="E618" s="54"/>
      <c r="F618" s="379"/>
      <c r="H618" s="379"/>
      <c r="I618" s="379"/>
      <c r="J618" s="59"/>
      <c r="K618" s="59"/>
      <c r="L618" s="379"/>
      <c r="M618" s="379"/>
      <c r="N618" s="59"/>
      <c r="O618" s="59"/>
      <c r="P618" s="379"/>
      <c r="Q618" s="379"/>
      <c r="R618" s="379"/>
      <c r="T618" s="54"/>
      <c r="U618" s="54"/>
      <c r="V618" s="379"/>
      <c r="Y618" s="379"/>
      <c r="Z618" s="59"/>
      <c r="AA618" s="379"/>
      <c r="AB618" s="379"/>
      <c r="AC618" s="59"/>
      <c r="AD618" s="59"/>
      <c r="AE618" s="379"/>
      <c r="AF618" s="379"/>
      <c r="AG618" s="156"/>
      <c r="AH618" s="60"/>
      <c r="AI618" s="379"/>
      <c r="AJ618" s="379"/>
      <c r="AK618" s="156"/>
      <c r="AL618" s="379"/>
      <c r="AM618" s="50"/>
      <c r="AN618" s="50"/>
    </row>
    <row r="619" spans="1:40" x14ac:dyDescent="0.25">
      <c r="F619" s="379"/>
      <c r="H619" s="381"/>
      <c r="I619" s="381"/>
      <c r="J619" s="464"/>
      <c r="K619" s="464"/>
      <c r="L619" s="381"/>
      <c r="M619" s="381"/>
      <c r="N619" s="381"/>
      <c r="O619" s="381"/>
      <c r="P619" s="381"/>
      <c r="Q619" s="381"/>
      <c r="R619" s="381"/>
      <c r="V619" s="381"/>
      <c r="Y619" s="381"/>
      <c r="Z619" s="464"/>
      <c r="AA619" s="381"/>
      <c r="AB619" s="381"/>
      <c r="AC619" s="381"/>
      <c r="AD619" s="381"/>
      <c r="AE619" s="381"/>
      <c r="AF619" s="381"/>
      <c r="AI619" s="381"/>
      <c r="AJ619" s="381"/>
      <c r="AK619" s="162"/>
      <c r="AL619" s="381"/>
      <c r="AM619" s="50"/>
      <c r="AN619" s="50"/>
    </row>
    <row r="620" spans="1:40" x14ac:dyDescent="0.25">
      <c r="A620" s="53"/>
      <c r="C620" s="54"/>
      <c r="F620" s="381"/>
      <c r="H620" s="379"/>
      <c r="I620" s="379"/>
      <c r="J620" s="59"/>
      <c r="K620" s="59"/>
      <c r="L620" s="379"/>
      <c r="M620" s="379"/>
      <c r="N620" s="59"/>
      <c r="O620" s="59"/>
      <c r="P620" s="379"/>
      <c r="Q620" s="379"/>
      <c r="R620" s="379"/>
      <c r="T620" s="54"/>
      <c r="V620" s="379"/>
      <c r="Y620" s="379"/>
      <c r="Z620" s="59"/>
      <c r="AA620" s="379"/>
      <c r="AB620" s="379"/>
      <c r="AC620" s="59"/>
      <c r="AD620" s="59"/>
      <c r="AE620" s="379"/>
      <c r="AF620" s="379"/>
      <c r="AG620" s="156"/>
      <c r="AH620" s="60"/>
      <c r="AI620" s="379"/>
      <c r="AJ620" s="379"/>
      <c r="AK620" s="156"/>
      <c r="AL620" s="379"/>
      <c r="AM620" s="50"/>
      <c r="AN620" s="50"/>
    </row>
    <row r="621" spans="1:40" x14ac:dyDescent="0.25">
      <c r="F621" s="379"/>
      <c r="H621" s="379"/>
      <c r="I621" s="379"/>
      <c r="J621" s="59"/>
      <c r="K621" s="59"/>
      <c r="L621" s="379"/>
      <c r="M621" s="379"/>
      <c r="N621" s="59"/>
      <c r="O621" s="59"/>
      <c r="P621" s="379"/>
      <c r="Q621" s="379"/>
      <c r="R621" s="379"/>
      <c r="V621" s="379"/>
      <c r="Y621" s="379"/>
      <c r="Z621" s="59"/>
      <c r="AA621" s="379"/>
      <c r="AB621" s="379"/>
      <c r="AC621" s="59"/>
      <c r="AD621" s="59"/>
      <c r="AG621" s="156"/>
      <c r="AH621" s="60"/>
      <c r="AI621" s="379"/>
      <c r="AJ621" s="379"/>
      <c r="AK621" s="156"/>
      <c r="AL621" s="379"/>
      <c r="AM621" s="50"/>
      <c r="AN621" s="50"/>
    </row>
    <row r="622" spans="1:40" x14ac:dyDescent="0.25">
      <c r="A622" s="53"/>
      <c r="C622" s="54"/>
      <c r="D622" s="54"/>
      <c r="E622" s="54"/>
      <c r="F622" s="379"/>
      <c r="H622" s="379"/>
      <c r="I622" s="379"/>
      <c r="J622" s="59"/>
      <c r="K622" s="59"/>
      <c r="L622" s="379"/>
      <c r="M622" s="379"/>
      <c r="N622" s="59"/>
      <c r="O622" s="59"/>
      <c r="P622" s="379"/>
      <c r="Q622" s="379"/>
      <c r="R622" s="379"/>
      <c r="T622" s="54"/>
      <c r="U622" s="54"/>
      <c r="V622" s="379"/>
      <c r="Y622" s="379"/>
      <c r="Z622" s="59"/>
      <c r="AA622" s="379"/>
      <c r="AB622" s="379"/>
      <c r="AC622" s="59"/>
      <c r="AD622" s="59"/>
      <c r="AE622" s="379"/>
      <c r="AF622" s="379"/>
      <c r="AG622" s="156"/>
      <c r="AH622" s="60"/>
      <c r="AI622" s="379"/>
      <c r="AJ622" s="379"/>
      <c r="AK622" s="156"/>
      <c r="AL622" s="379"/>
      <c r="AM622" s="50"/>
      <c r="AN622" s="50"/>
    </row>
    <row r="623" spans="1:40" x14ac:dyDescent="0.25">
      <c r="A623" s="53"/>
      <c r="C623" s="54"/>
      <c r="D623" s="54"/>
      <c r="E623" s="54"/>
      <c r="F623" s="379"/>
      <c r="G623" s="379"/>
      <c r="H623" s="379"/>
      <c r="I623" s="379"/>
      <c r="J623" s="59"/>
      <c r="K623" s="59"/>
      <c r="L623" s="379"/>
      <c r="M623" s="379"/>
      <c r="N623" s="59"/>
      <c r="O623" s="59"/>
      <c r="P623" s="379"/>
      <c r="Q623" s="379"/>
      <c r="R623" s="379"/>
      <c r="T623" s="54"/>
      <c r="U623" s="54"/>
      <c r="V623" s="379"/>
      <c r="W623" s="379"/>
      <c r="X623" s="379"/>
      <c r="Y623" s="379"/>
      <c r="Z623" s="59"/>
      <c r="AA623" s="379"/>
      <c r="AB623" s="379"/>
      <c r="AC623" s="59"/>
      <c r="AD623" s="59"/>
      <c r="AE623" s="379"/>
      <c r="AF623" s="379"/>
      <c r="AG623" s="156"/>
      <c r="AH623" s="60"/>
      <c r="AI623" s="379"/>
      <c r="AJ623" s="379"/>
      <c r="AK623" s="156"/>
      <c r="AL623" s="379"/>
      <c r="AM623" s="50"/>
      <c r="AN623" s="50"/>
    </row>
    <row r="624" spans="1:40" x14ac:dyDescent="0.25">
      <c r="A624" s="53"/>
      <c r="C624" s="54"/>
      <c r="D624" s="54"/>
      <c r="E624" s="54"/>
      <c r="F624" s="379"/>
      <c r="G624" s="379"/>
      <c r="H624" s="379"/>
      <c r="I624" s="379"/>
      <c r="J624" s="59"/>
      <c r="K624" s="59"/>
      <c r="L624" s="379"/>
      <c r="M624" s="379"/>
      <c r="N624" s="59"/>
      <c r="O624" s="59"/>
      <c r="P624" s="379"/>
      <c r="Q624" s="379"/>
      <c r="R624" s="379"/>
      <c r="T624" s="54"/>
      <c r="U624" s="54"/>
      <c r="V624" s="379"/>
      <c r="W624" s="379"/>
      <c r="X624" s="379"/>
      <c r="Y624" s="379"/>
      <c r="Z624" s="59"/>
      <c r="AA624" s="379"/>
      <c r="AB624" s="379"/>
      <c r="AC624" s="59"/>
      <c r="AD624" s="59"/>
      <c r="AE624" s="379"/>
      <c r="AF624" s="379"/>
      <c r="AG624" s="156"/>
      <c r="AH624" s="60"/>
      <c r="AI624" s="379"/>
      <c r="AJ624" s="379"/>
      <c r="AK624" s="156"/>
      <c r="AL624" s="379"/>
      <c r="AM624" s="50"/>
      <c r="AN624" s="50"/>
    </row>
    <row r="625" spans="1:40" x14ac:dyDescent="0.25">
      <c r="A625" s="53"/>
      <c r="C625" s="54"/>
      <c r="D625" s="54"/>
      <c r="E625" s="54"/>
      <c r="F625" s="379"/>
      <c r="H625" s="379"/>
      <c r="I625" s="379"/>
      <c r="J625" s="59"/>
      <c r="K625" s="59"/>
      <c r="L625" s="379"/>
      <c r="M625" s="379"/>
      <c r="N625" s="59"/>
      <c r="O625" s="59"/>
      <c r="P625" s="379"/>
      <c r="Q625" s="379"/>
      <c r="R625" s="379"/>
      <c r="T625" s="54"/>
      <c r="U625" s="54"/>
      <c r="V625" s="379"/>
      <c r="Y625" s="379"/>
      <c r="Z625" s="59"/>
      <c r="AA625" s="379"/>
      <c r="AB625" s="379"/>
      <c r="AC625" s="59"/>
      <c r="AD625" s="59"/>
      <c r="AE625" s="379"/>
      <c r="AF625" s="379"/>
      <c r="AG625" s="156"/>
      <c r="AH625" s="60"/>
      <c r="AI625" s="379"/>
      <c r="AJ625" s="379"/>
      <c r="AK625" s="156"/>
      <c r="AL625" s="379"/>
      <c r="AM625" s="50"/>
      <c r="AN625" s="50"/>
    </row>
    <row r="626" spans="1:40" x14ac:dyDescent="0.25">
      <c r="A626" s="53"/>
      <c r="C626" s="54"/>
      <c r="D626" s="54"/>
      <c r="E626" s="54"/>
      <c r="F626" s="379"/>
      <c r="H626" s="379"/>
      <c r="I626" s="379"/>
      <c r="J626" s="59"/>
      <c r="K626" s="59"/>
      <c r="L626" s="379"/>
      <c r="M626" s="379"/>
      <c r="N626" s="59"/>
      <c r="O626" s="59"/>
      <c r="P626" s="379"/>
      <c r="Q626" s="379"/>
      <c r="R626" s="379"/>
      <c r="T626" s="54"/>
      <c r="U626" s="54"/>
      <c r="V626" s="379"/>
      <c r="Y626" s="379"/>
      <c r="Z626" s="59"/>
      <c r="AA626" s="379"/>
      <c r="AB626" s="379"/>
      <c r="AC626" s="59"/>
      <c r="AD626" s="59"/>
      <c r="AE626" s="379"/>
      <c r="AF626" s="379"/>
      <c r="AG626" s="156"/>
      <c r="AH626" s="60"/>
      <c r="AI626" s="379"/>
      <c r="AJ626" s="379"/>
      <c r="AK626" s="156"/>
      <c r="AL626" s="379"/>
      <c r="AM626" s="50"/>
      <c r="AN626" s="50"/>
    </row>
    <row r="627" spans="1:40" x14ac:dyDescent="0.25">
      <c r="A627" s="53"/>
      <c r="C627" s="54"/>
      <c r="D627" s="54"/>
      <c r="E627" s="54"/>
      <c r="F627" s="379"/>
      <c r="H627" s="379"/>
      <c r="I627" s="379"/>
      <c r="J627" s="59"/>
      <c r="K627" s="59"/>
      <c r="L627" s="379"/>
      <c r="M627" s="379"/>
      <c r="N627" s="59"/>
      <c r="O627" s="59"/>
      <c r="P627" s="379"/>
      <c r="Q627" s="379"/>
      <c r="R627" s="379"/>
      <c r="T627" s="54"/>
      <c r="U627" s="54"/>
      <c r="V627" s="379"/>
      <c r="Y627" s="379"/>
      <c r="Z627" s="59"/>
      <c r="AA627" s="379"/>
      <c r="AB627" s="379"/>
      <c r="AC627" s="59"/>
      <c r="AD627" s="59"/>
      <c r="AE627" s="379"/>
      <c r="AF627" s="379"/>
      <c r="AG627" s="156"/>
      <c r="AH627" s="60"/>
      <c r="AI627" s="379"/>
      <c r="AJ627" s="379"/>
      <c r="AK627" s="156"/>
      <c r="AL627" s="379"/>
      <c r="AM627" s="50"/>
      <c r="AN627" s="50"/>
    </row>
    <row r="628" spans="1:40" x14ac:dyDescent="0.25">
      <c r="A628" s="53"/>
      <c r="C628" s="54"/>
      <c r="D628" s="54"/>
      <c r="E628" s="54"/>
      <c r="F628" s="379"/>
      <c r="H628" s="379"/>
      <c r="I628" s="379"/>
      <c r="J628" s="59"/>
      <c r="K628" s="59"/>
      <c r="L628" s="379"/>
      <c r="M628" s="379"/>
      <c r="N628" s="59"/>
      <c r="O628" s="59"/>
      <c r="P628" s="379"/>
      <c r="Q628" s="379"/>
      <c r="R628" s="379"/>
      <c r="T628" s="54"/>
      <c r="U628" s="54"/>
      <c r="V628" s="379"/>
      <c r="Y628" s="379"/>
      <c r="Z628" s="59"/>
      <c r="AA628" s="379"/>
      <c r="AB628" s="379"/>
      <c r="AC628" s="59"/>
      <c r="AD628" s="59"/>
      <c r="AE628" s="379"/>
      <c r="AF628" s="379"/>
      <c r="AG628" s="156"/>
      <c r="AH628" s="60"/>
      <c r="AI628" s="379"/>
      <c r="AJ628" s="379"/>
      <c r="AK628" s="156"/>
      <c r="AL628" s="379"/>
      <c r="AM628" s="50"/>
      <c r="AN628" s="50"/>
    </row>
    <row r="629" spans="1:40" x14ac:dyDescent="0.25">
      <c r="F629" s="379"/>
      <c r="H629" s="381"/>
      <c r="I629" s="381"/>
      <c r="J629" s="464"/>
      <c r="K629" s="464"/>
      <c r="L629" s="381"/>
      <c r="M629" s="381"/>
      <c r="N629" s="381"/>
      <c r="O629" s="381"/>
      <c r="P629" s="381"/>
      <c r="Q629" s="381"/>
      <c r="R629" s="381"/>
      <c r="V629" s="381"/>
      <c r="Y629" s="381"/>
      <c r="Z629" s="464"/>
      <c r="AA629" s="381"/>
      <c r="AB629" s="381"/>
      <c r="AC629" s="381"/>
      <c r="AD629" s="381"/>
      <c r="AE629" s="381"/>
      <c r="AF629" s="381"/>
      <c r="AI629" s="381"/>
      <c r="AJ629" s="381"/>
      <c r="AK629" s="162"/>
      <c r="AL629" s="381"/>
      <c r="AM629" s="50"/>
      <c r="AN629" s="50"/>
    </row>
    <row r="630" spans="1:40" x14ac:dyDescent="0.25">
      <c r="A630" s="53"/>
      <c r="C630" s="54"/>
      <c r="F630" s="381"/>
      <c r="H630" s="379"/>
      <c r="I630" s="379"/>
      <c r="J630" s="59"/>
      <c r="K630" s="59"/>
      <c r="L630" s="379"/>
      <c r="M630" s="379"/>
      <c r="N630" s="59"/>
      <c r="O630" s="59"/>
      <c r="P630" s="379"/>
      <c r="Q630" s="379"/>
      <c r="R630" s="379"/>
      <c r="T630" s="54"/>
      <c r="V630" s="379"/>
      <c r="Y630" s="379"/>
      <c r="Z630" s="59"/>
      <c r="AA630" s="379"/>
      <c r="AB630" s="379"/>
      <c r="AC630" s="59"/>
      <c r="AD630" s="59"/>
      <c r="AE630" s="379"/>
      <c r="AF630" s="379"/>
      <c r="AG630" s="156"/>
      <c r="AH630" s="60"/>
      <c r="AI630" s="379"/>
      <c r="AJ630" s="379"/>
      <c r="AK630" s="156"/>
      <c r="AL630" s="379"/>
      <c r="AM630" s="50"/>
      <c r="AN630" s="50"/>
    </row>
    <row r="631" spans="1:40" x14ac:dyDescent="0.25">
      <c r="F631" s="379"/>
      <c r="V631" s="379"/>
      <c r="Y631" s="379"/>
      <c r="Z631" s="464"/>
      <c r="AA631" s="379"/>
      <c r="AB631" s="379"/>
      <c r="AC631" s="379"/>
      <c r="AD631" s="379"/>
      <c r="AE631" s="379"/>
      <c r="AF631" s="379"/>
      <c r="AI631" s="379"/>
      <c r="AJ631" s="379"/>
      <c r="AK631" s="156"/>
      <c r="AL631" s="379"/>
      <c r="AM631" s="50"/>
      <c r="AN631" s="50"/>
    </row>
    <row r="632" spans="1:40" x14ac:dyDescent="0.25">
      <c r="A632" s="53"/>
      <c r="C632" s="54"/>
      <c r="D632" s="54"/>
      <c r="E632" s="54"/>
      <c r="L632" s="379"/>
      <c r="M632" s="379"/>
      <c r="N632" s="59"/>
      <c r="O632" s="59"/>
      <c r="P632" s="53"/>
      <c r="Q632" s="53"/>
      <c r="R632" s="379"/>
      <c r="T632" s="54"/>
      <c r="U632" s="54"/>
      <c r="AA632" s="379"/>
      <c r="AB632" s="379"/>
      <c r="AC632" s="59"/>
      <c r="AD632" s="59"/>
      <c r="AE632" s="379"/>
      <c r="AF632" s="379"/>
      <c r="AG632" s="156"/>
      <c r="AH632" s="60"/>
      <c r="AI632" s="53"/>
      <c r="AJ632" s="53"/>
      <c r="AK632" s="156"/>
      <c r="AL632" s="379"/>
      <c r="AM632" s="50"/>
      <c r="AN632" s="50"/>
    </row>
    <row r="633" spans="1:40" x14ac:dyDescent="0.25">
      <c r="A633" s="53"/>
      <c r="D633" s="54"/>
      <c r="E633" s="54"/>
      <c r="H633" s="449"/>
      <c r="I633" s="449"/>
      <c r="J633" s="59"/>
      <c r="K633" s="59"/>
      <c r="L633" s="379"/>
      <c r="M633" s="379"/>
      <c r="N633" s="59"/>
      <c r="O633" s="59"/>
      <c r="P633" s="449"/>
      <c r="Q633" s="449"/>
      <c r="R633" s="379"/>
      <c r="U633" s="54"/>
      <c r="V633" s="379"/>
      <c r="Y633" s="379"/>
      <c r="Z633" s="59"/>
      <c r="AA633" s="379"/>
      <c r="AB633" s="379"/>
      <c r="AC633" s="59"/>
      <c r="AD633" s="59"/>
      <c r="AE633" s="379"/>
      <c r="AF633" s="379"/>
      <c r="AG633" s="156"/>
      <c r="AH633" s="60"/>
      <c r="AI633" s="379"/>
      <c r="AJ633" s="379"/>
      <c r="AK633" s="156"/>
      <c r="AL633" s="379"/>
      <c r="AM633" s="50"/>
      <c r="AN633" s="50"/>
    </row>
    <row r="634" spans="1:40" x14ac:dyDescent="0.25">
      <c r="F634" s="449"/>
      <c r="H634" s="381"/>
      <c r="I634" s="381"/>
      <c r="J634" s="464"/>
      <c r="K634" s="464"/>
      <c r="L634" s="381"/>
      <c r="M634" s="381"/>
      <c r="N634" s="381"/>
      <c r="O634" s="381"/>
      <c r="P634" s="381"/>
      <c r="Q634" s="381"/>
      <c r="R634" s="381"/>
      <c r="V634" s="381"/>
      <c r="Y634" s="381"/>
      <c r="Z634" s="464"/>
      <c r="AA634" s="381"/>
      <c r="AB634" s="381"/>
      <c r="AC634" s="381"/>
      <c r="AD634" s="381"/>
      <c r="AE634" s="381"/>
      <c r="AF634" s="381"/>
      <c r="AI634" s="381"/>
      <c r="AJ634" s="381"/>
      <c r="AK634" s="162"/>
      <c r="AL634" s="381"/>
      <c r="AM634" s="50"/>
      <c r="AN634" s="50"/>
    </row>
    <row r="635" spans="1:40" x14ac:dyDescent="0.25">
      <c r="A635" s="53"/>
      <c r="C635" s="54"/>
      <c r="F635" s="381"/>
      <c r="H635" s="379"/>
      <c r="I635" s="379"/>
      <c r="J635" s="59"/>
      <c r="K635" s="59"/>
      <c r="L635" s="379"/>
      <c r="M635" s="379"/>
      <c r="N635" s="59"/>
      <c r="O635" s="59"/>
      <c r="P635" s="379"/>
      <c r="Q635" s="379"/>
      <c r="R635" s="379"/>
      <c r="T635" s="54"/>
      <c r="V635" s="379"/>
      <c r="Y635" s="379"/>
      <c r="Z635" s="59"/>
      <c r="AA635" s="379"/>
      <c r="AB635" s="379"/>
      <c r="AC635" s="59"/>
      <c r="AD635" s="59"/>
      <c r="AE635" s="379"/>
      <c r="AF635" s="379"/>
      <c r="AG635" s="156"/>
      <c r="AH635" s="60"/>
      <c r="AI635" s="379"/>
      <c r="AJ635" s="379"/>
      <c r="AK635" s="156"/>
      <c r="AL635" s="379"/>
      <c r="AM635" s="50"/>
      <c r="AN635" s="50"/>
    </row>
    <row r="636" spans="1:40" x14ac:dyDescent="0.25">
      <c r="F636" s="379"/>
      <c r="H636" s="379"/>
      <c r="I636" s="379"/>
      <c r="J636" s="59"/>
      <c r="K636" s="59"/>
      <c r="L636" s="379"/>
      <c r="M636" s="379"/>
      <c r="N636" s="59"/>
      <c r="O636" s="59"/>
      <c r="P636" s="379"/>
      <c r="Q636" s="379"/>
      <c r="R636" s="379"/>
      <c r="V636" s="379"/>
      <c r="Y636" s="379"/>
      <c r="Z636" s="59"/>
      <c r="AA636" s="379"/>
      <c r="AB636" s="379"/>
      <c r="AC636" s="59"/>
      <c r="AD636" s="59"/>
      <c r="AG636" s="156"/>
      <c r="AH636" s="60"/>
      <c r="AI636" s="379"/>
      <c r="AJ636" s="379"/>
      <c r="AK636" s="156"/>
      <c r="AL636" s="379"/>
      <c r="AM636" s="50"/>
      <c r="AN636" s="50"/>
    </row>
    <row r="637" spans="1:40" x14ac:dyDescent="0.25">
      <c r="A637" s="53"/>
      <c r="D637" s="54"/>
      <c r="E637" s="54"/>
      <c r="F637" s="379"/>
      <c r="H637" s="379"/>
      <c r="I637" s="379"/>
      <c r="J637" s="59"/>
      <c r="K637" s="59"/>
      <c r="L637" s="449"/>
      <c r="M637" s="449"/>
      <c r="N637" s="59"/>
      <c r="O637" s="59"/>
      <c r="P637" s="379"/>
      <c r="Q637" s="379"/>
      <c r="R637" s="379"/>
      <c r="U637" s="54"/>
      <c r="V637" s="379"/>
      <c r="Y637" s="379"/>
      <c r="Z637" s="59"/>
      <c r="AA637" s="449"/>
      <c r="AB637" s="449"/>
      <c r="AC637" s="59"/>
      <c r="AD637" s="59"/>
      <c r="AE637" s="379"/>
      <c r="AF637" s="379"/>
      <c r="AG637" s="156"/>
      <c r="AH637" s="60"/>
      <c r="AI637" s="379"/>
      <c r="AJ637" s="379"/>
      <c r="AK637" s="156"/>
      <c r="AL637" s="379"/>
      <c r="AM637" s="50"/>
      <c r="AN637" s="50"/>
    </row>
    <row r="638" spans="1:40" x14ac:dyDescent="0.25">
      <c r="A638" s="53"/>
      <c r="D638" s="54"/>
      <c r="E638" s="54"/>
      <c r="F638" s="379"/>
      <c r="H638" s="379"/>
      <c r="I638" s="379"/>
      <c r="J638" s="59"/>
      <c r="K638" s="59"/>
      <c r="L638" s="449"/>
      <c r="M638" s="449"/>
      <c r="N638" s="59"/>
      <c r="O638" s="59"/>
      <c r="P638" s="379"/>
      <c r="Q638" s="379"/>
      <c r="R638" s="379"/>
      <c r="U638" s="54"/>
      <c r="V638" s="379"/>
      <c r="Y638" s="379"/>
      <c r="Z638" s="59"/>
      <c r="AA638" s="449"/>
      <c r="AB638" s="449"/>
      <c r="AC638" s="59"/>
      <c r="AD638" s="59"/>
      <c r="AE638" s="379"/>
      <c r="AF638" s="379"/>
      <c r="AG638" s="156"/>
      <c r="AH638" s="60"/>
      <c r="AI638" s="379"/>
      <c r="AJ638" s="379"/>
      <c r="AK638" s="156"/>
      <c r="AL638" s="379"/>
      <c r="AM638" s="50"/>
      <c r="AN638" s="50"/>
    </row>
    <row r="639" spans="1:40" x14ac:dyDescent="0.25">
      <c r="A639" s="53"/>
      <c r="D639" s="54"/>
      <c r="E639" s="54"/>
      <c r="F639" s="379"/>
      <c r="H639" s="379"/>
      <c r="I639" s="379"/>
      <c r="J639" s="59"/>
      <c r="K639" s="59"/>
      <c r="L639" s="449"/>
      <c r="M639" s="449"/>
      <c r="N639" s="59"/>
      <c r="O639" s="59"/>
      <c r="P639" s="379"/>
      <c r="Q639" s="379"/>
      <c r="R639" s="379"/>
      <c r="U639" s="54"/>
      <c r="V639" s="379"/>
      <c r="Y639" s="379"/>
      <c r="Z639" s="59"/>
      <c r="AA639" s="449"/>
      <c r="AB639" s="449"/>
      <c r="AC639" s="59"/>
      <c r="AD639" s="59"/>
      <c r="AE639" s="379"/>
      <c r="AF639" s="379"/>
      <c r="AG639" s="156"/>
      <c r="AH639" s="60"/>
      <c r="AI639" s="379"/>
      <c r="AJ639" s="379"/>
      <c r="AK639" s="156"/>
      <c r="AL639" s="379"/>
      <c r="AM639" s="50"/>
      <c r="AN639" s="50"/>
    </row>
    <row r="640" spans="1:40" x14ac:dyDescent="0.25">
      <c r="F640" s="379"/>
      <c r="H640" s="381"/>
      <c r="I640" s="381"/>
      <c r="J640" s="464"/>
      <c r="K640" s="464"/>
      <c r="L640" s="381"/>
      <c r="M640" s="381"/>
      <c r="N640" s="381"/>
      <c r="O640" s="381"/>
      <c r="P640" s="381"/>
      <c r="Q640" s="381"/>
      <c r="R640" s="381"/>
      <c r="V640" s="381"/>
      <c r="Y640" s="381"/>
      <c r="Z640" s="464"/>
      <c r="AA640" s="381"/>
      <c r="AB640" s="381"/>
      <c r="AC640" s="381"/>
      <c r="AD640" s="381"/>
      <c r="AE640" s="381"/>
      <c r="AF640" s="381"/>
      <c r="AI640" s="381"/>
      <c r="AJ640" s="381"/>
      <c r="AK640" s="162"/>
      <c r="AL640" s="381"/>
      <c r="AM640" s="50"/>
      <c r="AN640" s="50"/>
    </row>
    <row r="641" spans="1:40" x14ac:dyDescent="0.25">
      <c r="A641" s="53"/>
      <c r="C641" s="54"/>
      <c r="F641" s="381"/>
      <c r="H641" s="379"/>
      <c r="I641" s="379"/>
      <c r="J641" s="59"/>
      <c r="K641" s="59"/>
      <c r="L641" s="379"/>
      <c r="M641" s="379"/>
      <c r="N641" s="59"/>
      <c r="O641" s="59"/>
      <c r="P641" s="379"/>
      <c r="Q641" s="379"/>
      <c r="R641" s="379"/>
      <c r="T641" s="54"/>
      <c r="V641" s="379"/>
      <c r="Y641" s="379"/>
      <c r="Z641" s="59"/>
      <c r="AA641" s="379"/>
      <c r="AB641" s="379"/>
      <c r="AC641" s="59"/>
      <c r="AD641" s="59"/>
      <c r="AE641" s="379"/>
      <c r="AF641" s="379"/>
      <c r="AG641" s="156"/>
      <c r="AH641" s="60"/>
      <c r="AI641" s="379"/>
      <c r="AJ641" s="379"/>
      <c r="AK641" s="156"/>
      <c r="AL641" s="379"/>
      <c r="AM641" s="50"/>
      <c r="AN641" s="50"/>
    </row>
    <row r="642" spans="1:40" x14ac:dyDescent="0.25">
      <c r="F642" s="379"/>
      <c r="H642" s="379"/>
      <c r="I642" s="379"/>
      <c r="J642" s="59"/>
      <c r="K642" s="59"/>
      <c r="L642" s="379"/>
      <c r="M642" s="379"/>
      <c r="N642" s="59"/>
      <c r="O642" s="59"/>
      <c r="P642" s="379"/>
      <c r="Q642" s="379"/>
      <c r="R642" s="379"/>
      <c r="V642" s="379"/>
      <c r="Y642" s="379"/>
      <c r="Z642" s="59"/>
      <c r="AA642" s="379"/>
      <c r="AB642" s="379"/>
      <c r="AC642" s="59"/>
      <c r="AD642" s="59"/>
      <c r="AG642" s="156"/>
      <c r="AH642" s="60"/>
      <c r="AI642" s="379"/>
      <c r="AJ642" s="379"/>
      <c r="AK642" s="156"/>
      <c r="AL642" s="379"/>
      <c r="AM642" s="50"/>
      <c r="AN642" s="50"/>
    </row>
    <row r="643" spans="1:40" x14ac:dyDescent="0.25">
      <c r="A643" s="53"/>
      <c r="C643" s="54"/>
      <c r="F643" s="379"/>
      <c r="H643" s="379"/>
      <c r="I643" s="379"/>
      <c r="J643" s="59"/>
      <c r="K643" s="59"/>
      <c r="L643" s="379"/>
      <c r="M643" s="379"/>
      <c r="N643" s="59"/>
      <c r="O643" s="59"/>
      <c r="P643" s="379"/>
      <c r="Q643" s="379"/>
      <c r="R643" s="379"/>
      <c r="T643" s="54"/>
      <c r="V643" s="379"/>
      <c r="Y643" s="379"/>
      <c r="Z643" s="59"/>
      <c r="AA643" s="379"/>
      <c r="AB643" s="379"/>
      <c r="AC643" s="59"/>
      <c r="AD643" s="59"/>
      <c r="AE643" s="379"/>
      <c r="AF643" s="379"/>
      <c r="AG643" s="156"/>
      <c r="AH643" s="60"/>
      <c r="AI643" s="379"/>
      <c r="AJ643" s="379"/>
      <c r="AK643" s="156"/>
      <c r="AL643" s="379"/>
      <c r="AM643" s="50"/>
      <c r="AN643" s="50"/>
    </row>
    <row r="644" spans="1:40" x14ac:dyDescent="0.25">
      <c r="F644" s="379"/>
      <c r="H644" s="381"/>
      <c r="I644" s="381"/>
      <c r="J644" s="464"/>
      <c r="K644" s="464"/>
      <c r="L644" s="381"/>
      <c r="M644" s="381"/>
      <c r="N644" s="381"/>
      <c r="O644" s="381"/>
      <c r="P644" s="381"/>
      <c r="Q644" s="381"/>
      <c r="R644" s="381"/>
      <c r="V644" s="381"/>
      <c r="Y644" s="381"/>
      <c r="Z644" s="464"/>
      <c r="AA644" s="381"/>
      <c r="AB644" s="381"/>
      <c r="AC644" s="381"/>
      <c r="AD644" s="381"/>
      <c r="AE644" s="381"/>
      <c r="AF644" s="381"/>
      <c r="AI644" s="381"/>
      <c r="AJ644" s="381"/>
      <c r="AK644" s="162"/>
      <c r="AL644" s="381"/>
    </row>
    <row r="646" spans="1:40" x14ac:dyDescent="0.25">
      <c r="C646" s="54"/>
      <c r="F646" s="381"/>
      <c r="L646" s="379"/>
      <c r="M646" s="379"/>
      <c r="P646" s="379"/>
      <c r="Q646" s="379"/>
      <c r="R646" s="379"/>
      <c r="T646" s="54"/>
    </row>
    <row r="647" spans="1:40" x14ac:dyDescent="0.25">
      <c r="A647" s="54"/>
      <c r="L647" s="379"/>
      <c r="M647" s="379"/>
      <c r="P647" s="379"/>
      <c r="Q647" s="379"/>
      <c r="R647" s="379"/>
    </row>
    <row r="648" spans="1:40" x14ac:dyDescent="0.25">
      <c r="L648" s="379"/>
      <c r="M648" s="379"/>
      <c r="P648" s="379"/>
      <c r="Q648" s="379"/>
      <c r="R648" s="379"/>
    </row>
    <row r="649" spans="1:40" x14ac:dyDescent="0.25">
      <c r="L649" s="379"/>
      <c r="M649" s="379"/>
      <c r="P649" s="379"/>
      <c r="Q649" s="379"/>
      <c r="R649" s="379"/>
    </row>
    <row r="650" spans="1:40" x14ac:dyDescent="0.25">
      <c r="L650" s="379"/>
      <c r="M650" s="379"/>
      <c r="P650" s="379"/>
      <c r="Q650" s="379"/>
      <c r="R650" s="379"/>
    </row>
    <row r="651" spans="1:40" x14ac:dyDescent="0.25">
      <c r="L651" s="379"/>
      <c r="M651" s="379"/>
      <c r="P651" s="379"/>
      <c r="Q651" s="379"/>
      <c r="R651" s="379"/>
    </row>
    <row r="652" spans="1:40" x14ac:dyDescent="0.25">
      <c r="L652" s="379"/>
      <c r="M652" s="379"/>
      <c r="P652" s="379"/>
      <c r="Q652" s="379"/>
      <c r="R652" s="379"/>
    </row>
    <row r="685" spans="49:49" x14ac:dyDescent="0.25">
      <c r="AW685" s="379"/>
    </row>
    <row r="686" spans="49:49" x14ac:dyDescent="0.25">
      <c r="AW686" s="379"/>
    </row>
    <row r="687" spans="49:49" x14ac:dyDescent="0.25">
      <c r="AW687" s="379"/>
    </row>
    <row r="688" spans="49:49" x14ac:dyDescent="0.25">
      <c r="AW688" s="379"/>
    </row>
    <row r="689" spans="49:49" x14ac:dyDescent="0.25">
      <c r="AW689" s="379"/>
    </row>
    <row r="690" spans="49:49" x14ac:dyDescent="0.25">
      <c r="AW690" s="379"/>
    </row>
    <row r="693" spans="49:49" x14ac:dyDescent="0.25">
      <c r="AW693" s="379"/>
    </row>
    <row r="694" spans="49:49" x14ac:dyDescent="0.25">
      <c r="AW694" s="379"/>
    </row>
    <row r="695" spans="49:49" x14ac:dyDescent="0.25">
      <c r="AW695" s="379"/>
    </row>
    <row r="696" spans="49:49" x14ac:dyDescent="0.25">
      <c r="AW696" s="379"/>
    </row>
    <row r="697" spans="49:49" x14ac:dyDescent="0.25">
      <c r="AW697" s="379"/>
    </row>
    <row r="698" spans="49:49" x14ac:dyDescent="0.25">
      <c r="AW698" s="379"/>
    </row>
    <row r="699" spans="49:49" x14ac:dyDescent="0.25">
      <c r="AW699" s="379"/>
    </row>
    <row r="700" spans="49:49" x14ac:dyDescent="0.25">
      <c r="AW700" s="379"/>
    </row>
    <row r="703" spans="49:49" x14ac:dyDescent="0.25">
      <c r="AW703" s="379"/>
    </row>
    <row r="704" spans="49:49" x14ac:dyDescent="0.25">
      <c r="AW704" s="379"/>
    </row>
    <row r="707" spans="45:56" x14ac:dyDescent="0.25">
      <c r="AW707" s="379"/>
    </row>
    <row r="708" spans="45:56" x14ac:dyDescent="0.25">
      <c r="AW708" s="379"/>
    </row>
    <row r="709" spans="45:56" x14ac:dyDescent="0.25">
      <c r="AW709" s="379"/>
    </row>
    <row r="710" spans="45:56" x14ac:dyDescent="0.25">
      <c r="AW710" s="379"/>
    </row>
    <row r="716" spans="45:56" x14ac:dyDescent="0.25">
      <c r="AY716" s="53"/>
    </row>
    <row r="717" spans="45:56" x14ac:dyDescent="0.25">
      <c r="AY717" s="53"/>
    </row>
    <row r="718" spans="45:56" x14ac:dyDescent="0.25">
      <c r="AY718" s="54"/>
    </row>
    <row r="719" spans="45:56" x14ac:dyDescent="0.25">
      <c r="AY719" s="54"/>
    </row>
    <row r="720" spans="45:56" x14ac:dyDescent="0.25">
      <c r="AS720" s="53"/>
      <c r="BD720" s="54"/>
    </row>
    <row r="721" spans="45:69" x14ac:dyDescent="0.25">
      <c r="AS721" s="53"/>
      <c r="BD721" s="54"/>
    </row>
    <row r="722" spans="45:69" x14ac:dyDescent="0.25">
      <c r="AS722" s="54"/>
      <c r="BD722" s="54"/>
    </row>
    <row r="723" spans="45:69" x14ac:dyDescent="0.25">
      <c r="BD723" s="53"/>
    </row>
    <row r="724" spans="45:69" x14ac:dyDescent="0.25"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</row>
    <row r="725" spans="45:69" x14ac:dyDescent="0.25">
      <c r="AX725" s="54"/>
    </row>
    <row r="726" spans="45:69" x14ac:dyDescent="0.25">
      <c r="AX726" s="55"/>
      <c r="AY726" s="55"/>
      <c r="AZ726" s="55"/>
      <c r="BA726" s="55"/>
      <c r="BC726" s="56"/>
      <c r="BD726" s="56"/>
    </row>
    <row r="727" spans="45:69" x14ac:dyDescent="0.25">
      <c r="AV727" s="56"/>
      <c r="AW727" s="56"/>
      <c r="AZ727" s="56"/>
      <c r="BA727" s="56"/>
      <c r="BC727" s="56"/>
      <c r="BD727" s="56"/>
      <c r="BE727" s="56"/>
      <c r="BG727" s="55"/>
      <c r="BH727" s="54"/>
      <c r="BK727" s="55"/>
      <c r="BM727" s="55"/>
      <c r="BN727" s="54"/>
      <c r="BQ727" s="55"/>
    </row>
    <row r="728" spans="45:69" x14ac:dyDescent="0.25"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H728" s="56"/>
      <c r="BI728" s="56"/>
      <c r="BJ728" s="56"/>
      <c r="BN728" s="56"/>
      <c r="BO728" s="56"/>
      <c r="BP728" s="56"/>
    </row>
    <row r="729" spans="45:69" x14ac:dyDescent="0.25">
      <c r="AS729" s="56"/>
      <c r="AU729" s="54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G729" s="56"/>
      <c r="BH729" s="56"/>
      <c r="BI729" s="56"/>
      <c r="BJ729" s="56"/>
      <c r="BK729" s="56"/>
      <c r="BM729" s="56"/>
      <c r="BN729" s="56"/>
      <c r="BO729" s="56"/>
      <c r="BP729" s="56"/>
      <c r="BQ729" s="56"/>
    </row>
    <row r="730" spans="45:69" x14ac:dyDescent="0.25">
      <c r="AS730" s="56"/>
      <c r="AU730" s="54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G730" s="56"/>
      <c r="BH730" s="56"/>
      <c r="BI730" s="56"/>
      <c r="BJ730" s="56"/>
      <c r="BK730" s="56"/>
      <c r="BM730" s="56"/>
      <c r="BN730" s="56"/>
      <c r="BO730" s="56"/>
      <c r="BP730" s="56"/>
      <c r="BQ730" s="56"/>
    </row>
    <row r="731" spans="45:69" x14ac:dyDescent="0.25"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G731" s="55"/>
      <c r="BH731" s="55"/>
      <c r="BI731" s="55"/>
      <c r="BJ731" s="55"/>
      <c r="BK731" s="55"/>
      <c r="BM731" s="55"/>
      <c r="BN731" s="55"/>
      <c r="BO731" s="55"/>
      <c r="BP731" s="55"/>
      <c r="BQ731" s="55"/>
    </row>
    <row r="732" spans="45:69" x14ac:dyDescent="0.25"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</row>
    <row r="733" spans="45:69" x14ac:dyDescent="0.25">
      <c r="AS733" s="53"/>
      <c r="AU733" s="54"/>
      <c r="AV733" s="56"/>
      <c r="AY733" s="59"/>
    </row>
    <row r="734" spans="45:69" x14ac:dyDescent="0.25">
      <c r="AS734" s="53"/>
      <c r="AV734" s="56"/>
      <c r="AW734" s="379"/>
      <c r="AX734" s="65"/>
      <c r="AY734" s="65"/>
      <c r="AZ734" s="65"/>
      <c r="BA734" s="50"/>
      <c r="BB734" s="65"/>
      <c r="BC734" s="59"/>
      <c r="BD734" s="59"/>
      <c r="BE734" s="50"/>
      <c r="BG734" s="65"/>
      <c r="BH734" s="65"/>
      <c r="BI734" s="65"/>
      <c r="BJ734" s="65"/>
      <c r="BK734" s="65"/>
      <c r="BM734" s="65"/>
      <c r="BN734" s="65"/>
      <c r="BO734" s="65"/>
      <c r="BP734" s="65"/>
      <c r="BQ734" s="65"/>
    </row>
    <row r="735" spans="45:69" x14ac:dyDescent="0.25">
      <c r="AS735" s="53"/>
      <c r="AV735" s="56"/>
      <c r="AW735" s="379"/>
      <c r="AX735" s="65"/>
      <c r="AY735" s="65"/>
      <c r="AZ735" s="65"/>
      <c r="BA735" s="50"/>
      <c r="BB735" s="65"/>
      <c r="BC735" s="59"/>
      <c r="BD735" s="59"/>
      <c r="BE735" s="50"/>
      <c r="BG735" s="65"/>
      <c r="BH735" s="65"/>
      <c r="BI735" s="65"/>
      <c r="BJ735" s="65"/>
      <c r="BK735" s="65"/>
      <c r="BM735" s="65"/>
      <c r="BN735" s="65"/>
      <c r="BO735" s="65"/>
      <c r="BP735" s="65"/>
      <c r="BQ735" s="65"/>
    </row>
    <row r="736" spans="45:69" x14ac:dyDescent="0.25">
      <c r="AS736" s="53"/>
      <c r="AV736" s="56"/>
      <c r="AW736" s="379"/>
      <c r="AX736" s="65"/>
      <c r="AY736" s="65"/>
      <c r="AZ736" s="65"/>
      <c r="BA736" s="50"/>
      <c r="BB736" s="65"/>
      <c r="BC736" s="59"/>
      <c r="BD736" s="59"/>
      <c r="BE736" s="50"/>
      <c r="BG736" s="65"/>
      <c r="BH736" s="65"/>
      <c r="BI736" s="65"/>
      <c r="BJ736" s="65"/>
      <c r="BK736" s="65"/>
      <c r="BM736" s="65"/>
      <c r="BN736" s="65"/>
      <c r="BO736" s="65"/>
      <c r="BP736" s="65"/>
      <c r="BQ736" s="65"/>
    </row>
    <row r="737" spans="45:69" x14ac:dyDescent="0.25">
      <c r="AS737" s="53"/>
      <c r="AV737" s="56"/>
      <c r="AW737" s="379"/>
      <c r="AX737" s="65"/>
      <c r="AY737" s="65"/>
      <c r="AZ737" s="65"/>
      <c r="BA737" s="50"/>
      <c r="BB737" s="65"/>
      <c r="BC737" s="59"/>
      <c r="BD737" s="59"/>
      <c r="BE737" s="50"/>
      <c r="BG737" s="65"/>
      <c r="BH737" s="65"/>
      <c r="BI737" s="65"/>
      <c r="BJ737" s="65"/>
      <c r="BK737" s="65"/>
      <c r="BM737" s="65"/>
      <c r="BN737" s="65"/>
      <c r="BO737" s="65"/>
      <c r="BP737" s="65"/>
      <c r="BQ737" s="65"/>
    </row>
    <row r="738" spans="45:69" x14ac:dyDescent="0.25">
      <c r="AS738" s="53"/>
      <c r="AV738" s="56"/>
      <c r="AW738" s="379"/>
      <c r="AX738" s="65"/>
      <c r="AY738" s="65"/>
      <c r="AZ738" s="65"/>
      <c r="BA738" s="50"/>
      <c r="BB738" s="65"/>
      <c r="BC738" s="59"/>
      <c r="BD738" s="59"/>
      <c r="BE738" s="50"/>
      <c r="BG738" s="65"/>
      <c r="BH738" s="65"/>
      <c r="BI738" s="65"/>
      <c r="BJ738" s="65"/>
      <c r="BK738" s="65"/>
      <c r="BM738" s="65"/>
      <c r="BN738" s="65"/>
      <c r="BO738" s="65"/>
      <c r="BP738" s="65"/>
      <c r="BQ738" s="65"/>
    </row>
    <row r="739" spans="45:69" x14ac:dyDescent="0.25">
      <c r="AS739" s="53"/>
      <c r="AV739" s="56"/>
      <c r="AW739" s="379"/>
      <c r="AX739" s="65"/>
      <c r="AY739" s="65"/>
      <c r="AZ739" s="65"/>
      <c r="BA739" s="50"/>
      <c r="BB739" s="65"/>
      <c r="BC739" s="59"/>
      <c r="BD739" s="59"/>
      <c r="BE739" s="50"/>
      <c r="BG739" s="65"/>
      <c r="BH739" s="65"/>
      <c r="BI739" s="65"/>
      <c r="BJ739" s="65"/>
      <c r="BK739" s="65"/>
      <c r="BM739" s="65"/>
      <c r="BN739" s="65"/>
      <c r="BO739" s="65"/>
      <c r="BP739" s="65"/>
      <c r="BQ739" s="65"/>
    </row>
    <row r="740" spans="45:69" x14ac:dyDescent="0.25">
      <c r="AS740" s="53"/>
      <c r="AV740" s="56"/>
      <c r="AW740" s="379"/>
      <c r="AX740" s="65"/>
      <c r="AY740" s="65"/>
      <c r="AZ740" s="65"/>
      <c r="BA740" s="50"/>
      <c r="BB740" s="65"/>
      <c r="BC740" s="59"/>
      <c r="BD740" s="59"/>
      <c r="BE740" s="50"/>
      <c r="BG740" s="65"/>
      <c r="BH740" s="65"/>
      <c r="BI740" s="65"/>
      <c r="BJ740" s="65"/>
      <c r="BK740" s="65"/>
      <c r="BM740" s="65"/>
      <c r="BN740" s="65"/>
      <c r="BO740" s="65"/>
      <c r="BP740" s="65"/>
      <c r="BQ740" s="65"/>
    </row>
    <row r="741" spans="45:69" x14ac:dyDescent="0.25">
      <c r="AY741" s="59"/>
      <c r="AZ741" s="65"/>
      <c r="BA741" s="50"/>
      <c r="BB741" s="65"/>
      <c r="BC741" s="59"/>
      <c r="BD741" s="59"/>
      <c r="BE741" s="50"/>
      <c r="BK741" s="65"/>
      <c r="BQ741" s="65"/>
    </row>
    <row r="742" spans="45:69" x14ac:dyDescent="0.25">
      <c r="AS742" s="53"/>
      <c r="AV742" s="56"/>
      <c r="AY742" s="59"/>
      <c r="AZ742" s="65"/>
      <c r="BA742" s="50"/>
      <c r="BB742" s="65"/>
      <c r="BC742" s="59"/>
      <c r="BD742" s="59"/>
      <c r="BE742" s="50"/>
      <c r="BK742" s="65"/>
      <c r="BQ742" s="65"/>
    </row>
    <row r="743" spans="45:69" x14ac:dyDescent="0.25">
      <c r="AS743" s="53"/>
      <c r="AV743" s="56"/>
      <c r="AW743" s="379"/>
      <c r="AX743" s="65"/>
      <c r="AY743" s="65"/>
      <c r="AZ743" s="65"/>
      <c r="BA743" s="50"/>
      <c r="BB743" s="65"/>
      <c r="BC743" s="59"/>
      <c r="BD743" s="59"/>
      <c r="BE743" s="50"/>
      <c r="BG743" s="65"/>
      <c r="BH743" s="65"/>
      <c r="BI743" s="65"/>
      <c r="BJ743" s="65"/>
      <c r="BK743" s="65"/>
      <c r="BM743" s="65"/>
      <c r="BN743" s="65"/>
      <c r="BO743" s="65"/>
      <c r="BP743" s="65"/>
      <c r="BQ743" s="65"/>
    </row>
    <row r="744" spans="45:69" x14ac:dyDescent="0.25">
      <c r="AS744" s="53"/>
      <c r="AV744" s="56"/>
      <c r="AW744" s="379"/>
      <c r="AX744" s="65"/>
      <c r="AY744" s="65"/>
      <c r="AZ744" s="65"/>
      <c r="BA744" s="50"/>
      <c r="BB744" s="65"/>
      <c r="BC744" s="59"/>
      <c r="BD744" s="59"/>
      <c r="BE744" s="50"/>
      <c r="BG744" s="65"/>
      <c r="BH744" s="65"/>
      <c r="BI744" s="65"/>
      <c r="BJ744" s="65"/>
      <c r="BK744" s="65"/>
      <c r="BM744" s="65"/>
      <c r="BN744" s="65"/>
      <c r="BO744" s="65"/>
      <c r="BP744" s="65"/>
      <c r="BQ744" s="65"/>
    </row>
    <row r="745" spans="45:69" x14ac:dyDescent="0.25">
      <c r="AS745" s="53"/>
      <c r="AV745" s="56"/>
      <c r="AW745" s="379"/>
      <c r="AX745" s="65"/>
      <c r="AY745" s="65"/>
      <c r="AZ745" s="65"/>
      <c r="BA745" s="50"/>
      <c r="BB745" s="65"/>
      <c r="BC745" s="59"/>
      <c r="BD745" s="59"/>
      <c r="BE745" s="50"/>
      <c r="BG745" s="65"/>
      <c r="BH745" s="65"/>
      <c r="BI745" s="65"/>
      <c r="BJ745" s="65"/>
      <c r="BK745" s="65"/>
      <c r="BM745" s="65"/>
      <c r="BN745" s="65"/>
      <c r="BO745" s="65"/>
      <c r="BP745" s="65"/>
      <c r="BQ745" s="65"/>
    </row>
    <row r="746" spans="45:69" x14ac:dyDescent="0.25">
      <c r="AS746" s="53"/>
      <c r="AV746" s="56"/>
      <c r="AW746" s="379"/>
      <c r="AX746" s="65"/>
      <c r="AY746" s="65"/>
      <c r="AZ746" s="65"/>
      <c r="BA746" s="50"/>
      <c r="BB746" s="65"/>
      <c r="BC746" s="59"/>
      <c r="BD746" s="59"/>
      <c r="BE746" s="50"/>
      <c r="BG746" s="65"/>
      <c r="BH746" s="65"/>
      <c r="BI746" s="65"/>
      <c r="BJ746" s="65"/>
      <c r="BK746" s="65"/>
      <c r="BM746" s="65"/>
      <c r="BN746" s="65"/>
      <c r="BO746" s="65"/>
      <c r="BP746" s="65"/>
      <c r="BQ746" s="65"/>
    </row>
    <row r="747" spans="45:69" x14ac:dyDescent="0.25">
      <c r="AS747" s="53"/>
      <c r="AV747" s="56"/>
      <c r="AW747" s="379"/>
      <c r="AX747" s="65"/>
      <c r="AY747" s="65"/>
      <c r="AZ747" s="65"/>
      <c r="BA747" s="50"/>
      <c r="BB747" s="65"/>
      <c r="BC747" s="59"/>
      <c r="BD747" s="59"/>
      <c r="BE747" s="50"/>
      <c r="BG747" s="65"/>
      <c r="BH747" s="65"/>
      <c r="BI747" s="65"/>
      <c r="BJ747" s="65"/>
      <c r="BK747" s="65"/>
      <c r="BM747" s="65"/>
      <c r="BN747" s="65"/>
      <c r="BO747" s="65"/>
      <c r="BP747" s="65"/>
      <c r="BQ747" s="65"/>
    </row>
    <row r="748" spans="45:69" x14ac:dyDescent="0.25">
      <c r="AS748" s="53"/>
      <c r="AV748" s="56"/>
      <c r="AW748" s="379"/>
      <c r="AX748" s="65"/>
      <c r="AY748" s="65"/>
      <c r="AZ748" s="65"/>
      <c r="BA748" s="50"/>
      <c r="BB748" s="65"/>
      <c r="BC748" s="59"/>
      <c r="BD748" s="59"/>
      <c r="BE748" s="50"/>
      <c r="BG748" s="65"/>
      <c r="BH748" s="65"/>
      <c r="BI748" s="65"/>
      <c r="BJ748" s="65"/>
      <c r="BK748" s="65"/>
      <c r="BM748" s="65"/>
      <c r="BN748" s="65"/>
      <c r="BO748" s="65"/>
      <c r="BP748" s="65"/>
      <c r="BQ748" s="65"/>
    </row>
    <row r="749" spans="45:69" x14ac:dyDescent="0.25">
      <c r="AS749" s="53"/>
      <c r="AV749" s="56"/>
      <c r="AW749" s="379"/>
      <c r="AX749" s="65"/>
      <c r="AY749" s="65"/>
      <c r="AZ749" s="65"/>
      <c r="BA749" s="50"/>
      <c r="BB749" s="65"/>
      <c r="BC749" s="59"/>
      <c r="BD749" s="59"/>
      <c r="BE749" s="50"/>
      <c r="BG749" s="65"/>
      <c r="BH749" s="65"/>
      <c r="BI749" s="65"/>
      <c r="BJ749" s="65"/>
      <c r="BK749" s="65"/>
      <c r="BM749" s="65"/>
      <c r="BN749" s="65"/>
      <c r="BO749" s="65"/>
      <c r="BP749" s="65"/>
      <c r="BQ749" s="65"/>
    </row>
    <row r="750" spans="45:69" x14ac:dyDescent="0.25">
      <c r="AS750" s="53"/>
      <c r="AV750" s="56"/>
      <c r="AW750" s="379"/>
      <c r="AX750" s="65"/>
      <c r="AY750" s="65"/>
      <c r="AZ750" s="65"/>
      <c r="BA750" s="50"/>
      <c r="BB750" s="65"/>
      <c r="BC750" s="59"/>
      <c r="BD750" s="59"/>
      <c r="BE750" s="50"/>
      <c r="BG750" s="65"/>
      <c r="BH750" s="65"/>
      <c r="BI750" s="65"/>
      <c r="BJ750" s="65"/>
      <c r="BK750" s="65"/>
      <c r="BM750" s="65"/>
      <c r="BN750" s="65"/>
      <c r="BO750" s="65"/>
      <c r="BP750" s="65"/>
      <c r="BQ750" s="65"/>
    </row>
    <row r="751" spans="45:69" x14ac:dyDescent="0.25">
      <c r="AY751" s="59"/>
      <c r="AZ751" s="65"/>
      <c r="BA751" s="50"/>
      <c r="BB751" s="65"/>
      <c r="BC751" s="59"/>
      <c r="BD751" s="59"/>
      <c r="BE751" s="50"/>
      <c r="BK751" s="65"/>
      <c r="BQ751" s="65"/>
    </row>
    <row r="752" spans="45:69" x14ac:dyDescent="0.25">
      <c r="AU752" s="54"/>
      <c r="AZ752" s="65"/>
      <c r="BB752" s="65"/>
      <c r="BG752" s="65"/>
      <c r="BH752" s="65"/>
      <c r="BJ752" s="65"/>
      <c r="BK752" s="65"/>
    </row>
    <row r="753" spans="45:75" x14ac:dyDescent="0.25">
      <c r="AZ753" s="65"/>
      <c r="BB753" s="65"/>
    </row>
    <row r="754" spans="45:75" x14ac:dyDescent="0.25">
      <c r="AS754" s="54"/>
      <c r="AZ754" s="65"/>
      <c r="BB754" s="65"/>
      <c r="BI754" s="65"/>
    </row>
    <row r="755" spans="45:75" x14ac:dyDescent="0.25">
      <c r="AY755" s="53"/>
      <c r="AZ755" s="65"/>
      <c r="BB755" s="65"/>
    </row>
    <row r="756" spans="45:75" x14ac:dyDescent="0.25">
      <c r="AY756" s="65"/>
      <c r="BB756" s="65"/>
    </row>
    <row r="757" spans="45:75" x14ac:dyDescent="0.25">
      <c r="AY757" s="54"/>
      <c r="AZ757" s="65"/>
      <c r="BB757" s="65"/>
    </row>
    <row r="758" spans="45:75" x14ac:dyDescent="0.25">
      <c r="AY758" s="54"/>
      <c r="AZ758" s="65"/>
      <c r="BB758" s="65"/>
    </row>
    <row r="759" spans="45:75" x14ac:dyDescent="0.25">
      <c r="AS759" s="53"/>
      <c r="AZ759" s="65"/>
      <c r="BB759" s="65"/>
      <c r="BD759" s="54"/>
    </row>
    <row r="760" spans="45:75" x14ac:dyDescent="0.25">
      <c r="AS760" s="53"/>
      <c r="AZ760" s="65"/>
      <c r="BB760" s="65"/>
      <c r="BD760" s="54"/>
    </row>
    <row r="761" spans="45:75" x14ac:dyDescent="0.25">
      <c r="AS761" s="54"/>
      <c r="AZ761" s="65"/>
      <c r="BB761" s="65"/>
      <c r="BD761" s="54"/>
    </row>
    <row r="762" spans="45:75" x14ac:dyDescent="0.25">
      <c r="AZ762" s="65"/>
      <c r="BB762" s="65"/>
      <c r="BD762" s="53"/>
    </row>
    <row r="763" spans="45:75" x14ac:dyDescent="0.25">
      <c r="AS763" s="55"/>
      <c r="AT763" s="55"/>
      <c r="AU763" s="55"/>
      <c r="AV763" s="55"/>
      <c r="AW763" s="55"/>
      <c r="AX763" s="55"/>
      <c r="AY763" s="55"/>
      <c r="AZ763" s="66"/>
      <c r="BA763" s="55"/>
      <c r="BB763" s="66"/>
      <c r="BC763" s="55"/>
      <c r="BD763" s="55"/>
      <c r="BE763" s="55"/>
    </row>
    <row r="764" spans="45:75" x14ac:dyDescent="0.25">
      <c r="AX764" s="54"/>
      <c r="AZ764" s="65"/>
      <c r="BB764" s="65"/>
    </row>
    <row r="765" spans="45:75" x14ac:dyDescent="0.25">
      <c r="AX765" s="55"/>
      <c r="AY765" s="55"/>
      <c r="AZ765" s="66"/>
      <c r="BA765" s="55"/>
      <c r="BB765" s="65"/>
      <c r="BC765" s="56"/>
      <c r="BD765" s="56"/>
    </row>
    <row r="766" spans="45:75" x14ac:dyDescent="0.25">
      <c r="AV766" s="56"/>
      <c r="AW766" s="56"/>
      <c r="AZ766" s="67"/>
      <c r="BA766" s="56"/>
      <c r="BB766" s="65"/>
      <c r="BC766" s="56"/>
      <c r="BD766" s="56"/>
      <c r="BE766" s="56"/>
      <c r="BG766" s="55"/>
      <c r="BH766" s="55"/>
      <c r="BI766" s="54"/>
      <c r="BM766" s="55"/>
      <c r="BN766" s="55"/>
      <c r="BP766" s="55"/>
      <c r="BQ766" s="55"/>
      <c r="BR766" s="54"/>
      <c r="BV766" s="55"/>
      <c r="BW766" s="55"/>
    </row>
    <row r="767" spans="45:75" x14ac:dyDescent="0.25">
      <c r="AV767" s="56"/>
      <c r="AW767" s="56"/>
      <c r="AX767" s="56"/>
      <c r="AY767" s="56"/>
      <c r="AZ767" s="67"/>
      <c r="BA767" s="56"/>
      <c r="BB767" s="67"/>
      <c r="BC767" s="56"/>
      <c r="BD767" s="56"/>
      <c r="BE767" s="56"/>
      <c r="BH767" s="56"/>
      <c r="BI767" s="56"/>
      <c r="BJ767" s="56"/>
      <c r="BK767" s="56"/>
      <c r="BL767" s="56"/>
      <c r="BM767" s="56"/>
      <c r="BQ767" s="56"/>
      <c r="BR767" s="56"/>
      <c r="BS767" s="56"/>
      <c r="BT767" s="56"/>
      <c r="BU767" s="56"/>
      <c r="BV767" s="56"/>
    </row>
    <row r="768" spans="45:75" x14ac:dyDescent="0.25">
      <c r="AS768" s="56"/>
      <c r="AU768" s="54"/>
      <c r="AV768" s="56"/>
      <c r="AW768" s="56"/>
      <c r="AX768" s="56"/>
      <c r="AY768" s="56"/>
      <c r="AZ768" s="67"/>
      <c r="BA768" s="56"/>
      <c r="BB768" s="67"/>
      <c r="BC768" s="56"/>
      <c r="BD768" s="56"/>
      <c r="BE768" s="56"/>
      <c r="BG768" s="56"/>
      <c r="BH768" s="56"/>
      <c r="BI768" s="56"/>
      <c r="BJ768" s="56"/>
      <c r="BK768" s="56"/>
      <c r="BL768" s="56"/>
      <c r="BM768" s="56"/>
      <c r="BN768" s="56"/>
      <c r="BP768" s="56"/>
      <c r="BQ768" s="56"/>
      <c r="BR768" s="56"/>
      <c r="BS768" s="56"/>
      <c r="BT768" s="56"/>
      <c r="BU768" s="56"/>
      <c r="BV768" s="56"/>
      <c r="BW768" s="56"/>
    </row>
    <row r="769" spans="45:75" x14ac:dyDescent="0.25">
      <c r="AS769" s="56"/>
      <c r="AU769" s="54"/>
      <c r="AV769" s="56"/>
      <c r="AW769" s="56"/>
      <c r="AX769" s="56"/>
      <c r="AY769" s="56"/>
      <c r="AZ769" s="67"/>
      <c r="BA769" s="56"/>
      <c r="BB769" s="67"/>
      <c r="BC769" s="56"/>
      <c r="BD769" s="56"/>
      <c r="BE769" s="56"/>
      <c r="BG769" s="56"/>
      <c r="BH769" s="56"/>
      <c r="BI769" s="56"/>
      <c r="BJ769" s="56"/>
      <c r="BK769" s="56"/>
      <c r="BL769" s="56"/>
      <c r="BM769" s="56"/>
      <c r="BN769" s="56"/>
      <c r="BP769" s="56"/>
      <c r="BQ769" s="56"/>
      <c r="BR769" s="56"/>
      <c r="BS769" s="56"/>
      <c r="BT769" s="56"/>
      <c r="BU769" s="56"/>
      <c r="BV769" s="56"/>
      <c r="BW769" s="56"/>
    </row>
    <row r="770" spans="45:75" x14ac:dyDescent="0.25">
      <c r="AS770" s="55"/>
      <c r="AT770" s="55"/>
      <c r="AU770" s="55"/>
      <c r="AV770" s="55"/>
      <c r="AW770" s="55"/>
      <c r="AX770" s="55"/>
      <c r="AY770" s="55"/>
      <c r="AZ770" s="66"/>
      <c r="BA770" s="55"/>
      <c r="BB770" s="66"/>
      <c r="BC770" s="55"/>
      <c r="BD770" s="55"/>
      <c r="BE770" s="55"/>
      <c r="BG770" s="55"/>
      <c r="BH770" s="55"/>
      <c r="BI770" s="55"/>
      <c r="BJ770" s="55"/>
      <c r="BK770" s="55"/>
      <c r="BL770" s="55"/>
      <c r="BM770" s="55"/>
      <c r="BN770" s="55"/>
      <c r="BP770" s="55"/>
      <c r="BQ770" s="55"/>
      <c r="BR770" s="55"/>
      <c r="BS770" s="55"/>
      <c r="BT770" s="55"/>
      <c r="BU770" s="55"/>
      <c r="BV770" s="55"/>
      <c r="BW770" s="55"/>
    </row>
    <row r="771" spans="45:75" x14ac:dyDescent="0.25">
      <c r="AV771" s="56"/>
      <c r="AW771" s="56"/>
      <c r="AX771" s="56"/>
      <c r="AY771" s="56"/>
      <c r="AZ771" s="67"/>
      <c r="BA771" s="56"/>
      <c r="BB771" s="67"/>
      <c r="BC771" s="56"/>
      <c r="BD771" s="56"/>
      <c r="BE771" s="56"/>
      <c r="BG771" s="65"/>
      <c r="BH771" s="65"/>
      <c r="BI771" s="65"/>
      <c r="BJ771" s="65"/>
      <c r="BK771" s="65"/>
      <c r="BL771" s="65"/>
      <c r="BM771" s="65"/>
      <c r="BN771" s="65"/>
      <c r="BO771" s="65"/>
      <c r="BP771" s="65"/>
      <c r="BQ771" s="65"/>
      <c r="BR771" s="65"/>
      <c r="BS771" s="65"/>
      <c r="BT771" s="65"/>
      <c r="BU771" s="65"/>
      <c r="BV771" s="65"/>
      <c r="BW771" s="65"/>
    </row>
    <row r="772" spans="45:75" x14ac:dyDescent="0.25">
      <c r="AS772" s="53"/>
      <c r="AU772" s="54"/>
      <c r="AV772" s="53"/>
      <c r="AW772" s="379"/>
      <c r="AX772" s="65"/>
      <c r="AY772" s="65"/>
      <c r="AZ772" s="65"/>
      <c r="BA772" s="60"/>
      <c r="BB772" s="65"/>
      <c r="BC772" s="65"/>
      <c r="BD772" s="65"/>
      <c r="BE772" s="60"/>
      <c r="BG772" s="65"/>
      <c r="BH772" s="65"/>
      <c r="BI772" s="65"/>
      <c r="BJ772" s="65"/>
      <c r="BK772" s="65"/>
      <c r="BL772" s="65"/>
      <c r="BM772" s="65"/>
      <c r="BN772" s="65"/>
      <c r="BO772" s="65"/>
      <c r="BP772" s="65"/>
      <c r="BQ772" s="65"/>
      <c r="BR772" s="65"/>
      <c r="BS772" s="65"/>
      <c r="BT772" s="65"/>
      <c r="BU772" s="65"/>
      <c r="BV772" s="65"/>
      <c r="BW772" s="65"/>
    </row>
    <row r="773" spans="45:75" x14ac:dyDescent="0.25">
      <c r="AS773" s="53"/>
      <c r="AV773" s="53"/>
      <c r="AW773" s="379"/>
      <c r="AX773" s="65"/>
      <c r="AY773" s="65"/>
      <c r="AZ773" s="65"/>
      <c r="BA773" s="60"/>
      <c r="BB773" s="65"/>
      <c r="BC773" s="65"/>
      <c r="BD773" s="65"/>
      <c r="BE773" s="60"/>
      <c r="BG773" s="65"/>
      <c r="BH773" s="65"/>
      <c r="BI773" s="65"/>
      <c r="BJ773" s="65"/>
      <c r="BK773" s="65"/>
      <c r="BL773" s="65"/>
      <c r="BM773" s="65"/>
      <c r="BN773" s="65"/>
      <c r="BO773" s="65"/>
      <c r="BP773" s="65"/>
      <c r="BQ773" s="65"/>
      <c r="BR773" s="65"/>
      <c r="BS773" s="65"/>
      <c r="BT773" s="65"/>
      <c r="BU773" s="65"/>
      <c r="BV773" s="65"/>
      <c r="BW773" s="65"/>
    </row>
    <row r="774" spans="45:75" x14ac:dyDescent="0.25">
      <c r="AS774" s="53"/>
      <c r="AV774" s="53"/>
      <c r="AW774" s="379"/>
      <c r="AX774" s="65"/>
      <c r="AY774" s="65"/>
      <c r="AZ774" s="65"/>
      <c r="BA774" s="60"/>
      <c r="BB774" s="65"/>
      <c r="BC774" s="65"/>
      <c r="BD774" s="65"/>
      <c r="BE774" s="60"/>
      <c r="BG774" s="65"/>
      <c r="BH774" s="65"/>
      <c r="BI774" s="65"/>
      <c r="BJ774" s="65"/>
      <c r="BK774" s="65"/>
      <c r="BL774" s="65"/>
      <c r="BM774" s="65"/>
      <c r="BN774" s="65"/>
      <c r="BO774" s="65"/>
      <c r="BP774" s="65"/>
      <c r="BQ774" s="65"/>
      <c r="BR774" s="65"/>
      <c r="BS774" s="65"/>
      <c r="BT774" s="65"/>
      <c r="BU774" s="65"/>
      <c r="BV774" s="65"/>
      <c r="BW774" s="65"/>
    </row>
    <row r="775" spans="45:75" x14ac:dyDescent="0.25">
      <c r="AS775" s="53"/>
      <c r="AV775" s="53"/>
      <c r="AW775" s="379"/>
      <c r="AX775" s="65"/>
      <c r="AY775" s="65"/>
      <c r="AZ775" s="65"/>
      <c r="BA775" s="60"/>
      <c r="BB775" s="65"/>
      <c r="BC775" s="65"/>
      <c r="BD775" s="65"/>
      <c r="BE775" s="60"/>
      <c r="BG775" s="65"/>
      <c r="BH775" s="65"/>
      <c r="BI775" s="65"/>
      <c r="BJ775" s="65"/>
      <c r="BK775" s="65"/>
      <c r="BL775" s="65"/>
      <c r="BM775" s="65"/>
      <c r="BN775" s="65"/>
      <c r="BO775" s="65"/>
      <c r="BP775" s="65"/>
      <c r="BQ775" s="65"/>
      <c r="BR775" s="65"/>
      <c r="BS775" s="65"/>
      <c r="BT775" s="65"/>
      <c r="BU775" s="65"/>
      <c r="BV775" s="65"/>
      <c r="BW775" s="65"/>
    </row>
    <row r="776" spans="45:75" x14ac:dyDescent="0.25">
      <c r="AS776" s="53"/>
      <c r="AV776" s="53"/>
      <c r="AW776" s="379"/>
      <c r="AX776" s="65"/>
      <c r="AY776" s="65"/>
      <c r="AZ776" s="65"/>
      <c r="BA776" s="60"/>
      <c r="BB776" s="65"/>
      <c r="BC776" s="65"/>
      <c r="BD776" s="65"/>
      <c r="BE776" s="60"/>
      <c r="BG776" s="65"/>
      <c r="BH776" s="65"/>
      <c r="BI776" s="65"/>
      <c r="BJ776" s="65"/>
      <c r="BK776" s="65"/>
      <c r="BL776" s="65"/>
      <c r="BM776" s="65"/>
      <c r="BN776" s="65"/>
      <c r="BO776" s="65"/>
      <c r="BP776" s="65"/>
      <c r="BQ776" s="65"/>
      <c r="BR776" s="65"/>
      <c r="BS776" s="65"/>
      <c r="BT776" s="65"/>
      <c r="BU776" s="65"/>
      <c r="BV776" s="65"/>
      <c r="BW776" s="65"/>
    </row>
    <row r="777" spans="45:75" x14ac:dyDescent="0.25">
      <c r="AS777" s="53"/>
      <c r="AV777" s="53"/>
      <c r="AW777" s="379"/>
      <c r="AX777" s="65"/>
      <c r="AY777" s="65"/>
      <c r="AZ777" s="65"/>
      <c r="BA777" s="60"/>
      <c r="BB777" s="65"/>
      <c r="BC777" s="65"/>
      <c r="BD777" s="65"/>
      <c r="BE777" s="60"/>
      <c r="BG777" s="65"/>
      <c r="BH777" s="65"/>
      <c r="BI777" s="65"/>
      <c r="BJ777" s="65"/>
      <c r="BK777" s="65"/>
      <c r="BL777" s="65"/>
      <c r="BM777" s="65"/>
      <c r="BN777" s="65"/>
      <c r="BO777" s="65"/>
      <c r="BP777" s="65"/>
      <c r="BQ777" s="65"/>
      <c r="BR777" s="65"/>
      <c r="BS777" s="65"/>
      <c r="BT777" s="65"/>
      <c r="BU777" s="65"/>
      <c r="BV777" s="65"/>
      <c r="BW777" s="65"/>
    </row>
    <row r="778" spans="45:75" x14ac:dyDescent="0.25">
      <c r="AS778" s="53"/>
      <c r="AV778" s="53"/>
      <c r="AW778" s="379"/>
      <c r="AX778" s="65"/>
      <c r="AY778" s="65"/>
      <c r="AZ778" s="65"/>
      <c r="BA778" s="60"/>
      <c r="BB778" s="65"/>
      <c r="BC778" s="65"/>
      <c r="BD778" s="65"/>
      <c r="BE778" s="60"/>
      <c r="BG778" s="65"/>
      <c r="BH778" s="65"/>
      <c r="BI778" s="65"/>
      <c r="BJ778" s="65"/>
      <c r="BK778" s="65"/>
      <c r="BL778" s="65"/>
      <c r="BM778" s="65"/>
      <c r="BN778" s="65"/>
      <c r="BO778" s="65"/>
      <c r="BP778" s="65"/>
      <c r="BQ778" s="65"/>
      <c r="BR778" s="65"/>
      <c r="BS778" s="65"/>
      <c r="BT778" s="65"/>
      <c r="BU778" s="65"/>
      <c r="BV778" s="65"/>
      <c r="BW778" s="65"/>
    </row>
    <row r="779" spans="45:75" x14ac:dyDescent="0.25">
      <c r="AS779" s="53"/>
      <c r="AV779" s="53"/>
      <c r="AW779" s="379"/>
      <c r="AX779" s="65"/>
      <c r="AY779" s="65"/>
      <c r="AZ779" s="65"/>
      <c r="BA779" s="60"/>
      <c r="BB779" s="65"/>
      <c r="BC779" s="65"/>
      <c r="BD779" s="65"/>
      <c r="BE779" s="60"/>
      <c r="BG779" s="65"/>
      <c r="BH779" s="65"/>
      <c r="BI779" s="65"/>
      <c r="BJ779" s="65"/>
      <c r="BK779" s="65"/>
      <c r="BL779" s="65"/>
      <c r="BM779" s="65"/>
      <c r="BN779" s="65"/>
      <c r="BO779" s="65"/>
      <c r="BP779" s="65"/>
      <c r="BQ779" s="65"/>
      <c r="BR779" s="65"/>
      <c r="BS779" s="65"/>
      <c r="BT779" s="65"/>
      <c r="BU779" s="65"/>
      <c r="BV779" s="65"/>
      <c r="BW779" s="65"/>
    </row>
    <row r="780" spans="45:75" x14ac:dyDescent="0.25">
      <c r="AS780" s="53"/>
      <c r="AV780" s="53"/>
      <c r="AW780" s="379"/>
      <c r="AX780" s="65"/>
      <c r="AY780" s="65"/>
      <c r="AZ780" s="65"/>
      <c r="BA780" s="60"/>
      <c r="BB780" s="65"/>
      <c r="BC780" s="65"/>
      <c r="BD780" s="65"/>
      <c r="BE780" s="60"/>
      <c r="BG780" s="65"/>
      <c r="BH780" s="65"/>
      <c r="BI780" s="65"/>
      <c r="BJ780" s="65"/>
      <c r="BK780" s="65"/>
      <c r="BL780" s="65"/>
      <c r="BM780" s="65"/>
      <c r="BN780" s="65"/>
      <c r="BO780" s="65"/>
      <c r="BP780" s="65"/>
      <c r="BQ780" s="65"/>
      <c r="BR780" s="65"/>
      <c r="BS780" s="65"/>
      <c r="BT780" s="65"/>
      <c r="BU780" s="65"/>
      <c r="BV780" s="65"/>
      <c r="BW780" s="65"/>
    </row>
    <row r="781" spans="45:75" x14ac:dyDescent="0.25">
      <c r="AS781" s="53"/>
      <c r="AV781" s="53"/>
      <c r="AW781" s="379"/>
      <c r="AX781" s="65"/>
      <c r="AY781" s="65"/>
      <c r="AZ781" s="65"/>
      <c r="BA781" s="60"/>
      <c r="BB781" s="65"/>
      <c r="BC781" s="65"/>
      <c r="BD781" s="65"/>
      <c r="BE781" s="60"/>
      <c r="BG781" s="65"/>
      <c r="BH781" s="65"/>
      <c r="BI781" s="65"/>
      <c r="BJ781" s="65"/>
      <c r="BK781" s="65"/>
      <c r="BL781" s="65"/>
      <c r="BM781" s="65"/>
      <c r="BN781" s="65"/>
      <c r="BO781" s="65"/>
      <c r="BP781" s="65"/>
      <c r="BQ781" s="65"/>
      <c r="BR781" s="65"/>
      <c r="BS781" s="65"/>
      <c r="BT781" s="65"/>
      <c r="BU781" s="65"/>
      <c r="BV781" s="65"/>
      <c r="BW781" s="65"/>
    </row>
    <row r="782" spans="45:75" x14ac:dyDescent="0.25">
      <c r="AS782" s="53"/>
      <c r="AV782" s="53"/>
      <c r="AW782" s="379"/>
      <c r="AX782" s="65"/>
      <c r="AY782" s="65"/>
      <c r="AZ782" s="65"/>
      <c r="BA782" s="60"/>
      <c r="BB782" s="65"/>
      <c r="BC782" s="65"/>
      <c r="BD782" s="65"/>
      <c r="BE782" s="60"/>
      <c r="BG782" s="65"/>
      <c r="BH782" s="65"/>
      <c r="BI782" s="65"/>
      <c r="BJ782" s="65"/>
      <c r="BK782" s="65"/>
      <c r="BL782" s="65"/>
      <c r="BM782" s="65"/>
      <c r="BN782" s="65"/>
      <c r="BO782" s="65"/>
      <c r="BP782" s="65"/>
      <c r="BQ782" s="65"/>
      <c r="BR782" s="65"/>
      <c r="BS782" s="65"/>
      <c r="BT782" s="65"/>
      <c r="BU782" s="65"/>
      <c r="BV782" s="65"/>
      <c r="BW782" s="65"/>
    </row>
    <row r="783" spans="45:75" x14ac:dyDescent="0.25">
      <c r="AS783" s="53"/>
      <c r="AV783" s="53"/>
      <c r="AW783" s="379"/>
      <c r="AX783" s="65"/>
      <c r="AY783" s="65"/>
      <c r="AZ783" s="65"/>
      <c r="BA783" s="60"/>
      <c r="BB783" s="65"/>
      <c r="BC783" s="65"/>
      <c r="BD783" s="65"/>
      <c r="BE783" s="60"/>
      <c r="BG783" s="65"/>
      <c r="BH783" s="65"/>
      <c r="BI783" s="65"/>
      <c r="BJ783" s="65"/>
      <c r="BK783" s="65"/>
      <c r="BL783" s="65"/>
      <c r="BM783" s="65"/>
      <c r="BN783" s="65"/>
      <c r="BO783" s="65"/>
      <c r="BP783" s="65"/>
      <c r="BQ783" s="65"/>
      <c r="BR783" s="65"/>
      <c r="BS783" s="65"/>
      <c r="BT783" s="65"/>
      <c r="BU783" s="65"/>
      <c r="BV783" s="65"/>
      <c r="BW783" s="65"/>
    </row>
    <row r="784" spans="45:75" x14ac:dyDescent="0.25">
      <c r="AS784" s="53"/>
      <c r="AV784" s="53"/>
      <c r="AW784" s="379"/>
      <c r="AX784" s="65"/>
      <c r="AY784" s="65"/>
      <c r="AZ784" s="65"/>
      <c r="BA784" s="60"/>
      <c r="BB784" s="65"/>
      <c r="BC784" s="65"/>
      <c r="BD784" s="65"/>
      <c r="BE784" s="60"/>
      <c r="BG784" s="65"/>
      <c r="BH784" s="65"/>
      <c r="BI784" s="65"/>
      <c r="BJ784" s="65"/>
      <c r="BK784" s="65"/>
      <c r="BL784" s="65"/>
      <c r="BM784" s="65"/>
      <c r="BN784" s="65"/>
      <c r="BO784" s="65"/>
      <c r="BP784" s="65"/>
      <c r="BQ784" s="65"/>
      <c r="BR784" s="65"/>
      <c r="BS784" s="65"/>
      <c r="BT784" s="65"/>
      <c r="BU784" s="65"/>
      <c r="BV784" s="65"/>
      <c r="BW784" s="65"/>
    </row>
    <row r="785" spans="45:75" x14ac:dyDescent="0.25">
      <c r="AS785" s="53"/>
      <c r="AV785" s="53"/>
      <c r="AW785" s="379"/>
      <c r="AX785" s="65"/>
      <c r="AY785" s="65"/>
      <c r="AZ785" s="65"/>
      <c r="BA785" s="60"/>
      <c r="BB785" s="65"/>
      <c r="BC785" s="65"/>
      <c r="BD785" s="65"/>
      <c r="BE785" s="60"/>
      <c r="BG785" s="65"/>
      <c r="BH785" s="65"/>
      <c r="BI785" s="65"/>
      <c r="BJ785" s="65"/>
      <c r="BK785" s="65"/>
      <c r="BL785" s="65"/>
      <c r="BM785" s="65"/>
      <c r="BN785" s="65"/>
      <c r="BO785" s="65"/>
      <c r="BP785" s="65"/>
      <c r="BQ785" s="65"/>
      <c r="BR785" s="65"/>
      <c r="BS785" s="65"/>
      <c r="BT785" s="65"/>
      <c r="BU785" s="65"/>
      <c r="BV785" s="65"/>
      <c r="BW785" s="65"/>
    </row>
    <row r="786" spans="45:75" x14ac:dyDescent="0.25">
      <c r="AS786" s="53"/>
      <c r="AV786" s="53"/>
      <c r="AW786" s="379"/>
      <c r="AX786" s="65"/>
      <c r="AY786" s="65"/>
      <c r="AZ786" s="65"/>
      <c r="BA786" s="60"/>
      <c r="BB786" s="65"/>
      <c r="BC786" s="65"/>
      <c r="BD786" s="65"/>
      <c r="BE786" s="60"/>
      <c r="BG786" s="65"/>
      <c r="BH786" s="65"/>
      <c r="BI786" s="65"/>
      <c r="BJ786" s="65"/>
      <c r="BK786" s="65"/>
      <c r="BL786" s="65"/>
      <c r="BM786" s="65"/>
      <c r="BN786" s="65"/>
      <c r="BO786" s="65"/>
      <c r="BP786" s="65"/>
      <c r="BQ786" s="65"/>
      <c r="BR786" s="65"/>
      <c r="BS786" s="65"/>
      <c r="BT786" s="65"/>
      <c r="BU786" s="65"/>
      <c r="BV786" s="65"/>
      <c r="BW786" s="65"/>
    </row>
    <row r="787" spans="45:75" x14ac:dyDescent="0.25">
      <c r="AS787" s="53"/>
      <c r="AV787" s="53"/>
      <c r="AW787" s="379"/>
      <c r="AX787" s="65"/>
      <c r="AY787" s="65"/>
      <c r="AZ787" s="65"/>
      <c r="BA787" s="60"/>
      <c r="BB787" s="65"/>
      <c r="BC787" s="65"/>
      <c r="BD787" s="65"/>
      <c r="BE787" s="60"/>
      <c r="BG787" s="65"/>
      <c r="BH787" s="65"/>
      <c r="BI787" s="65"/>
      <c r="BJ787" s="65"/>
      <c r="BK787" s="65"/>
      <c r="BL787" s="65"/>
      <c r="BM787" s="65"/>
      <c r="BN787" s="65"/>
      <c r="BO787" s="65"/>
      <c r="BP787" s="65"/>
      <c r="BQ787" s="65"/>
      <c r="BR787" s="65"/>
      <c r="BS787" s="65"/>
      <c r="BT787" s="65"/>
      <c r="BU787" s="65"/>
      <c r="BV787" s="65"/>
      <c r="BW787" s="65"/>
    </row>
    <row r="788" spans="45:75" x14ac:dyDescent="0.25">
      <c r="AS788" s="53"/>
      <c r="AV788" s="53"/>
      <c r="AW788" s="379"/>
      <c r="AX788" s="65"/>
      <c r="AY788" s="65"/>
      <c r="AZ788" s="65"/>
      <c r="BA788" s="60"/>
      <c r="BB788" s="65"/>
      <c r="BC788" s="65"/>
      <c r="BD788" s="65"/>
      <c r="BE788" s="60"/>
      <c r="BG788" s="65"/>
      <c r="BH788" s="65"/>
      <c r="BI788" s="65"/>
      <c r="BJ788" s="65"/>
      <c r="BK788" s="65"/>
      <c r="BL788" s="65"/>
      <c r="BM788" s="65"/>
      <c r="BN788" s="65"/>
      <c r="BO788" s="65"/>
      <c r="BP788" s="65"/>
      <c r="BQ788" s="65"/>
      <c r="BR788" s="65"/>
      <c r="BS788" s="65"/>
      <c r="BT788" s="65"/>
      <c r="BU788" s="65"/>
      <c r="BV788" s="65"/>
      <c r="BW788" s="65"/>
    </row>
    <row r="789" spans="45:75" x14ac:dyDescent="0.25">
      <c r="AS789" s="53"/>
      <c r="AV789" s="53"/>
      <c r="AW789" s="379"/>
      <c r="AX789" s="65"/>
      <c r="AY789" s="65"/>
      <c r="AZ789" s="65"/>
      <c r="BA789" s="60"/>
      <c r="BB789" s="65"/>
      <c r="BC789" s="65"/>
      <c r="BD789" s="65"/>
      <c r="BE789" s="60"/>
      <c r="BG789" s="65"/>
      <c r="BH789" s="65"/>
      <c r="BI789" s="65"/>
      <c r="BJ789" s="65"/>
      <c r="BK789" s="65"/>
      <c r="BL789" s="65"/>
      <c r="BM789" s="65"/>
      <c r="BN789" s="65"/>
      <c r="BO789" s="65"/>
      <c r="BP789" s="65"/>
      <c r="BQ789" s="65"/>
      <c r="BR789" s="65"/>
      <c r="BS789" s="65"/>
      <c r="BT789" s="65"/>
      <c r="BU789" s="65"/>
      <c r="BV789" s="65"/>
      <c r="BW789" s="65"/>
    </row>
    <row r="790" spans="45:75" x14ac:dyDescent="0.25">
      <c r="AS790" s="53"/>
      <c r="AV790" s="53"/>
      <c r="AW790" s="379"/>
      <c r="AX790" s="65"/>
      <c r="AY790" s="65"/>
      <c r="AZ790" s="65"/>
      <c r="BA790" s="60"/>
      <c r="BB790" s="65"/>
      <c r="BC790" s="65"/>
      <c r="BD790" s="65"/>
      <c r="BE790" s="60"/>
      <c r="BG790" s="65"/>
      <c r="BH790" s="65"/>
      <c r="BI790" s="65"/>
      <c r="BJ790" s="65"/>
      <c r="BK790" s="65"/>
      <c r="BL790" s="65"/>
      <c r="BM790" s="65"/>
      <c r="BN790" s="65"/>
      <c r="BO790" s="65"/>
      <c r="BP790" s="65"/>
      <c r="BQ790" s="65"/>
      <c r="BR790" s="65"/>
      <c r="BS790" s="65"/>
      <c r="BT790" s="65"/>
      <c r="BU790" s="65"/>
      <c r="BV790" s="65"/>
      <c r="BW790" s="65"/>
    </row>
    <row r="791" spans="45:75" x14ac:dyDescent="0.25">
      <c r="AS791" s="53"/>
      <c r="AV791" s="53"/>
      <c r="AW791" s="379"/>
      <c r="AX791" s="65"/>
      <c r="AY791" s="65"/>
      <c r="AZ791" s="65"/>
      <c r="BA791" s="60"/>
      <c r="BB791" s="65"/>
      <c r="BC791" s="65"/>
      <c r="BD791" s="65"/>
      <c r="BE791" s="60"/>
      <c r="BG791" s="65"/>
      <c r="BH791" s="65"/>
      <c r="BI791" s="65"/>
      <c r="BJ791" s="65"/>
      <c r="BK791" s="65"/>
      <c r="BL791" s="65"/>
      <c r="BM791" s="65"/>
      <c r="BN791" s="65"/>
      <c r="BO791" s="65"/>
      <c r="BP791" s="65"/>
      <c r="BQ791" s="65"/>
      <c r="BR791" s="65"/>
      <c r="BS791" s="65"/>
      <c r="BT791" s="65"/>
      <c r="BU791" s="65"/>
      <c r="BV791" s="65"/>
      <c r="BW791" s="65"/>
    </row>
    <row r="792" spans="45:75" x14ac:dyDescent="0.25">
      <c r="AS792" s="53"/>
      <c r="AV792" s="53"/>
      <c r="AW792" s="379"/>
      <c r="AX792" s="65"/>
      <c r="AY792" s="65"/>
      <c r="AZ792" s="65"/>
      <c r="BA792" s="60"/>
      <c r="BB792" s="65"/>
      <c r="BC792" s="65"/>
      <c r="BD792" s="65"/>
      <c r="BE792" s="60"/>
      <c r="BG792" s="65"/>
      <c r="BH792" s="65"/>
      <c r="BI792" s="65"/>
      <c r="BJ792" s="65"/>
      <c r="BK792" s="65"/>
      <c r="BL792" s="65"/>
      <c r="BM792" s="65"/>
      <c r="BN792" s="65"/>
      <c r="BO792" s="65"/>
      <c r="BP792" s="65"/>
      <c r="BQ792" s="65"/>
      <c r="BR792" s="65"/>
      <c r="BS792" s="65"/>
      <c r="BT792" s="65"/>
      <c r="BU792" s="65"/>
      <c r="BV792" s="65"/>
      <c r="BW792" s="65"/>
    </row>
    <row r="793" spans="45:75" x14ac:dyDescent="0.25">
      <c r="AW793" s="379"/>
      <c r="AX793" s="65"/>
      <c r="AY793" s="65"/>
      <c r="AZ793" s="65"/>
      <c r="BA793" s="60"/>
      <c r="BB793" s="65"/>
      <c r="BC793" s="65"/>
      <c r="BD793" s="65"/>
      <c r="BE793" s="60"/>
      <c r="BG793" s="55"/>
      <c r="BH793" s="55"/>
      <c r="BI793" s="54"/>
      <c r="BM793" s="55"/>
      <c r="BN793" s="55"/>
      <c r="BO793" s="65"/>
      <c r="BP793" s="55"/>
      <c r="BQ793" s="55"/>
      <c r="BR793" s="54"/>
      <c r="BV793" s="55"/>
      <c r="BW793" s="55"/>
    </row>
    <row r="794" spans="45:75" x14ac:dyDescent="0.25">
      <c r="AS794" s="53"/>
      <c r="AU794" s="54"/>
      <c r="AV794" s="56"/>
      <c r="AW794" s="379"/>
      <c r="AX794" s="65"/>
      <c r="AY794" s="65"/>
      <c r="AZ794" s="65"/>
      <c r="BA794" s="60"/>
      <c r="BB794" s="65"/>
      <c r="BC794" s="65"/>
      <c r="BD794" s="65"/>
      <c r="BE794" s="60"/>
      <c r="BG794" s="67"/>
      <c r="BH794" s="65"/>
      <c r="BI794" s="65"/>
      <c r="BJ794" s="65"/>
      <c r="BK794" s="67"/>
      <c r="BL794" s="68"/>
      <c r="BM794" s="65"/>
      <c r="BN794" s="67"/>
      <c r="BO794" s="65"/>
      <c r="BP794" s="67"/>
      <c r="BQ794" s="65"/>
      <c r="BR794" s="65"/>
      <c r="BS794" s="65"/>
      <c r="BT794" s="67"/>
      <c r="BU794" s="68"/>
      <c r="BV794" s="65"/>
      <c r="BW794" s="67"/>
    </row>
    <row r="795" spans="45:75" x14ac:dyDescent="0.25">
      <c r="AS795" s="53"/>
      <c r="AV795" s="56"/>
      <c r="AW795" s="379"/>
      <c r="AX795" s="65"/>
      <c r="AY795" s="65"/>
      <c r="AZ795" s="65"/>
      <c r="BA795" s="60"/>
      <c r="BB795" s="65"/>
      <c r="BC795" s="65"/>
      <c r="BD795" s="65"/>
      <c r="BE795" s="60"/>
      <c r="BG795" s="65"/>
      <c r="BH795" s="65"/>
      <c r="BI795" s="65"/>
      <c r="BJ795" s="65"/>
      <c r="BK795" s="65"/>
      <c r="BL795" s="68"/>
      <c r="BM795" s="65"/>
      <c r="BN795" s="65"/>
      <c r="BO795" s="65"/>
      <c r="BP795" s="65"/>
      <c r="BQ795" s="65"/>
      <c r="BR795" s="65"/>
      <c r="BS795" s="65"/>
      <c r="BT795" s="65"/>
      <c r="BU795" s="68"/>
      <c r="BV795" s="65"/>
      <c r="BW795" s="65"/>
    </row>
    <row r="796" spans="45:75" x14ac:dyDescent="0.25">
      <c r="AS796" s="53"/>
      <c r="AV796" s="56"/>
      <c r="AW796" s="379"/>
      <c r="AX796" s="65"/>
      <c r="AY796" s="65"/>
      <c r="AZ796" s="65"/>
      <c r="BA796" s="60"/>
      <c r="BB796" s="65"/>
      <c r="BC796" s="65"/>
      <c r="BD796" s="65"/>
      <c r="BE796" s="60"/>
      <c r="BG796" s="65"/>
      <c r="BH796" s="65"/>
      <c r="BI796" s="65"/>
      <c r="BJ796" s="65"/>
      <c r="BK796" s="65"/>
      <c r="BL796" s="68"/>
      <c r="BM796" s="65"/>
      <c r="BN796" s="65"/>
      <c r="BO796" s="65"/>
      <c r="BP796" s="65"/>
      <c r="BQ796" s="65"/>
      <c r="BR796" s="65"/>
      <c r="BS796" s="65"/>
      <c r="BT796" s="65"/>
      <c r="BU796" s="68"/>
      <c r="BV796" s="65"/>
      <c r="BW796" s="65"/>
    </row>
    <row r="797" spans="45:75" x14ac:dyDescent="0.25">
      <c r="AS797" s="53"/>
      <c r="AV797" s="56"/>
      <c r="AW797" s="379"/>
      <c r="AX797" s="65"/>
      <c r="AY797" s="65"/>
      <c r="AZ797" s="65"/>
      <c r="BA797" s="60"/>
      <c r="BB797" s="65"/>
      <c r="BC797" s="65"/>
      <c r="BD797" s="65"/>
      <c r="BE797" s="60"/>
      <c r="BG797" s="65"/>
      <c r="BH797" s="65"/>
      <c r="BI797" s="65"/>
      <c r="BJ797" s="65"/>
      <c r="BK797" s="65"/>
      <c r="BL797" s="68"/>
      <c r="BM797" s="65"/>
      <c r="BN797" s="65"/>
      <c r="BO797" s="65"/>
      <c r="BP797" s="65"/>
      <c r="BQ797" s="65"/>
      <c r="BR797" s="65"/>
      <c r="BS797" s="65"/>
      <c r="BT797" s="65"/>
      <c r="BU797" s="68"/>
      <c r="BV797" s="65"/>
      <c r="BW797" s="65"/>
    </row>
    <row r="798" spans="45:75" x14ac:dyDescent="0.25">
      <c r="AX798" s="65"/>
      <c r="AY798" s="65"/>
      <c r="AZ798" s="65"/>
      <c r="BA798" s="60"/>
      <c r="BB798" s="65"/>
      <c r="BC798" s="65"/>
      <c r="BD798" s="65"/>
      <c r="BE798" s="60"/>
      <c r="BG798" s="65"/>
      <c r="BH798" s="65"/>
      <c r="BI798" s="65"/>
      <c r="BJ798" s="65"/>
      <c r="BK798" s="65"/>
      <c r="BL798" s="65"/>
      <c r="BM798" s="65"/>
      <c r="BN798" s="65"/>
      <c r="BO798" s="65"/>
      <c r="BP798" s="65"/>
      <c r="BQ798" s="65"/>
      <c r="BR798" s="65"/>
      <c r="BS798" s="65"/>
      <c r="BT798" s="65"/>
      <c r="BU798" s="65"/>
      <c r="BV798" s="65"/>
    </row>
    <row r="799" spans="45:75" x14ac:dyDescent="0.25">
      <c r="AU799" s="54"/>
    </row>
    <row r="800" spans="45:75" x14ac:dyDescent="0.25">
      <c r="AU800" s="54"/>
      <c r="AZ800" s="65"/>
      <c r="BA800" s="60"/>
      <c r="BB800" s="65"/>
      <c r="BC800" s="65"/>
      <c r="BD800" s="65"/>
      <c r="BE800" s="60"/>
      <c r="BG800" s="65"/>
      <c r="BH800" s="65"/>
      <c r="BI800" s="65"/>
      <c r="BJ800" s="65"/>
      <c r="BK800" s="65"/>
      <c r="BL800" s="65"/>
      <c r="BM800" s="65"/>
      <c r="BN800" s="65"/>
      <c r="BO800" s="65"/>
      <c r="BP800" s="65"/>
      <c r="BQ800" s="65"/>
      <c r="BR800" s="65"/>
      <c r="BS800" s="65"/>
      <c r="BT800" s="65"/>
      <c r="BU800" s="65"/>
      <c r="BV800" s="65"/>
    </row>
    <row r="801" spans="45:74" x14ac:dyDescent="0.25">
      <c r="AS801" s="54"/>
      <c r="AZ801" s="65"/>
      <c r="BB801" s="65"/>
    </row>
    <row r="802" spans="45:74" x14ac:dyDescent="0.25">
      <c r="AY802" s="53"/>
      <c r="AZ802" s="65"/>
      <c r="BB802" s="65"/>
      <c r="BO802" s="65"/>
      <c r="BP802" s="65"/>
      <c r="BQ802" s="65"/>
      <c r="BR802" s="65"/>
      <c r="BS802" s="65"/>
      <c r="BT802" s="65"/>
      <c r="BU802" s="65"/>
      <c r="BV802" s="65"/>
    </row>
    <row r="803" spans="45:74" x14ac:dyDescent="0.25">
      <c r="AY803" s="65"/>
      <c r="AZ803" s="65"/>
      <c r="BB803" s="65"/>
      <c r="BO803" s="65"/>
      <c r="BP803" s="65"/>
      <c r="BQ803" s="65"/>
      <c r="BR803" s="65"/>
      <c r="BS803" s="65"/>
      <c r="BT803" s="65"/>
      <c r="BU803" s="65"/>
      <c r="BV803" s="65"/>
    </row>
    <row r="804" spans="45:74" x14ac:dyDescent="0.25">
      <c r="AY804" s="54"/>
      <c r="AZ804" s="65"/>
      <c r="BB804" s="65"/>
      <c r="BO804" s="65"/>
      <c r="BP804" s="65"/>
      <c r="BQ804" s="65"/>
      <c r="BR804" s="65"/>
      <c r="BS804" s="65"/>
      <c r="BT804" s="65"/>
      <c r="BU804" s="65"/>
      <c r="BV804" s="65"/>
    </row>
    <row r="805" spans="45:74" x14ac:dyDescent="0.25">
      <c r="AY805" s="54"/>
      <c r="AZ805" s="65"/>
      <c r="BB805" s="65"/>
      <c r="BO805" s="65"/>
      <c r="BP805" s="65"/>
      <c r="BQ805" s="65"/>
      <c r="BR805" s="65"/>
      <c r="BS805" s="65"/>
      <c r="BT805" s="65"/>
      <c r="BU805" s="65"/>
      <c r="BV805" s="65"/>
    </row>
    <row r="806" spans="45:74" x14ac:dyDescent="0.25">
      <c r="AS806" s="53"/>
      <c r="AZ806" s="65"/>
      <c r="BB806" s="65"/>
      <c r="BD806" s="54"/>
      <c r="BO806" s="65"/>
      <c r="BP806" s="65"/>
      <c r="BQ806" s="65"/>
      <c r="BR806" s="65"/>
      <c r="BS806" s="65"/>
      <c r="BT806" s="65"/>
      <c r="BU806" s="65"/>
      <c r="BV806" s="65"/>
    </row>
    <row r="807" spans="45:74" x14ac:dyDescent="0.25">
      <c r="AS807" s="53"/>
      <c r="AZ807" s="65"/>
      <c r="BB807" s="65"/>
      <c r="BD807" s="54"/>
      <c r="BO807" s="65"/>
      <c r="BP807" s="65"/>
      <c r="BQ807" s="65"/>
      <c r="BR807" s="65"/>
      <c r="BS807" s="65"/>
      <c r="BT807" s="65"/>
      <c r="BU807" s="65"/>
      <c r="BV807" s="65"/>
    </row>
    <row r="808" spans="45:74" x14ac:dyDescent="0.25">
      <c r="AS808" s="54"/>
      <c r="AZ808" s="65"/>
      <c r="BB808" s="65"/>
      <c r="BD808" s="54"/>
      <c r="BO808" s="65"/>
      <c r="BP808" s="65"/>
      <c r="BQ808" s="65"/>
      <c r="BR808" s="65"/>
      <c r="BS808" s="65"/>
      <c r="BT808" s="65"/>
      <c r="BU808" s="65"/>
      <c r="BV808" s="65"/>
    </row>
    <row r="809" spans="45:74" x14ac:dyDescent="0.25">
      <c r="AZ809" s="65"/>
      <c r="BB809" s="65"/>
      <c r="BD809" s="53"/>
      <c r="BO809" s="65"/>
      <c r="BP809" s="65"/>
      <c r="BQ809" s="65"/>
      <c r="BR809" s="65"/>
      <c r="BS809" s="65"/>
      <c r="BT809" s="65"/>
      <c r="BU809" s="65"/>
      <c r="BV809" s="65"/>
    </row>
    <row r="810" spans="45:74" x14ac:dyDescent="0.25">
      <c r="AS810" s="55"/>
      <c r="AT810" s="55"/>
      <c r="AU810" s="55"/>
      <c r="AV810" s="55"/>
      <c r="AW810" s="55"/>
      <c r="AX810" s="55"/>
      <c r="AY810" s="55"/>
      <c r="AZ810" s="66"/>
      <c r="BA810" s="55"/>
      <c r="BB810" s="66"/>
      <c r="BC810" s="55"/>
      <c r="BD810" s="55"/>
      <c r="BE810" s="55"/>
      <c r="BO810" s="65"/>
      <c r="BP810" s="65"/>
      <c r="BQ810" s="65"/>
      <c r="BR810" s="65"/>
      <c r="BS810" s="65"/>
      <c r="BT810" s="65"/>
      <c r="BU810" s="65"/>
      <c r="BV810" s="65"/>
    </row>
    <row r="811" spans="45:74" x14ac:dyDescent="0.25">
      <c r="AX811" s="54"/>
      <c r="AZ811" s="65"/>
      <c r="BB811" s="65"/>
      <c r="BO811" s="65"/>
      <c r="BP811" s="65"/>
      <c r="BQ811" s="65"/>
      <c r="BR811" s="65"/>
      <c r="BS811" s="65"/>
      <c r="BT811" s="65"/>
      <c r="BU811" s="65"/>
      <c r="BV811" s="65"/>
    </row>
    <row r="812" spans="45:74" x14ac:dyDescent="0.25">
      <c r="AX812" s="55"/>
      <c r="AY812" s="55"/>
      <c r="AZ812" s="66"/>
      <c r="BA812" s="55"/>
      <c r="BB812" s="65"/>
      <c r="BC812" s="56"/>
      <c r="BD812" s="56"/>
      <c r="BO812" s="65"/>
      <c r="BP812" s="65"/>
      <c r="BQ812" s="65"/>
      <c r="BR812" s="65"/>
      <c r="BS812" s="65"/>
      <c r="BT812" s="65"/>
      <c r="BU812" s="65"/>
      <c r="BV812" s="65"/>
    </row>
    <row r="813" spans="45:74" x14ac:dyDescent="0.25">
      <c r="AV813" s="56"/>
      <c r="AW813" s="56"/>
      <c r="AZ813" s="67"/>
      <c r="BA813" s="56"/>
      <c r="BB813" s="65"/>
      <c r="BC813" s="56"/>
      <c r="BD813" s="56"/>
      <c r="BE813" s="56"/>
      <c r="BG813" s="55"/>
      <c r="BH813" s="54"/>
      <c r="BK813" s="55"/>
      <c r="BM813" s="55"/>
      <c r="BN813" s="54"/>
      <c r="BQ813" s="55"/>
    </row>
    <row r="814" spans="45:74" x14ac:dyDescent="0.25">
      <c r="AV814" s="56"/>
      <c r="AW814" s="56"/>
      <c r="AX814" s="56"/>
      <c r="AY814" s="56"/>
      <c r="AZ814" s="67"/>
      <c r="BA814" s="56"/>
      <c r="BB814" s="67"/>
      <c r="BC814" s="56"/>
      <c r="BD814" s="56"/>
      <c r="BE814" s="56"/>
      <c r="BH814" s="56"/>
      <c r="BI814" s="56"/>
      <c r="BN814" s="56"/>
      <c r="BO814" s="56"/>
    </row>
    <row r="815" spans="45:74" x14ac:dyDescent="0.25">
      <c r="AS815" s="56"/>
      <c r="AU815" s="54"/>
      <c r="AV815" s="56"/>
      <c r="AW815" s="56"/>
      <c r="AX815" s="56"/>
      <c r="AY815" s="56"/>
      <c r="AZ815" s="67"/>
      <c r="BA815" s="56"/>
      <c r="BB815" s="67"/>
      <c r="BC815" s="56"/>
      <c r="BD815" s="56"/>
      <c r="BE815" s="56"/>
      <c r="BG815" s="56"/>
      <c r="BH815" s="56"/>
      <c r="BI815" s="56"/>
      <c r="BJ815" s="56"/>
      <c r="BK815" s="56"/>
      <c r="BM815" s="56"/>
      <c r="BN815" s="56"/>
      <c r="BO815" s="56"/>
      <c r="BP815" s="56"/>
      <c r="BQ815" s="56"/>
    </row>
    <row r="816" spans="45:74" x14ac:dyDescent="0.25">
      <c r="AS816" s="56"/>
      <c r="AU816" s="54"/>
      <c r="AV816" s="56"/>
      <c r="AW816" s="56"/>
      <c r="AX816" s="56"/>
      <c r="AY816" s="56"/>
      <c r="AZ816" s="67"/>
      <c r="BA816" s="56"/>
      <c r="BB816" s="67"/>
      <c r="BC816" s="56"/>
      <c r="BD816" s="56"/>
      <c r="BE816" s="56"/>
      <c r="BG816" s="56"/>
      <c r="BH816" s="56"/>
      <c r="BI816" s="56"/>
      <c r="BJ816" s="56"/>
      <c r="BK816" s="56"/>
      <c r="BM816" s="56"/>
      <c r="BN816" s="56"/>
      <c r="BO816" s="56"/>
      <c r="BP816" s="56"/>
      <c r="BQ816" s="56"/>
    </row>
    <row r="817" spans="45:71" x14ac:dyDescent="0.25">
      <c r="AS817" s="55"/>
      <c r="AT817" s="55"/>
      <c r="AU817" s="55"/>
      <c r="AV817" s="55"/>
      <c r="AW817" s="55"/>
      <c r="AX817" s="55"/>
      <c r="AY817" s="55"/>
      <c r="AZ817" s="66"/>
      <c r="BA817" s="55"/>
      <c r="BB817" s="66"/>
      <c r="BC817" s="55"/>
      <c r="BD817" s="55"/>
      <c r="BE817" s="55"/>
      <c r="BG817" s="55"/>
      <c r="BH817" s="55"/>
      <c r="BI817" s="55"/>
      <c r="BJ817" s="55"/>
      <c r="BK817" s="55"/>
      <c r="BM817" s="55"/>
      <c r="BN817" s="55"/>
      <c r="BO817" s="55"/>
      <c r="BP817" s="55"/>
      <c r="BQ817" s="55"/>
    </row>
    <row r="818" spans="45:71" x14ac:dyDescent="0.25">
      <c r="AV818" s="56"/>
      <c r="AW818" s="56"/>
      <c r="AX818" s="56"/>
      <c r="AY818" s="56"/>
      <c r="AZ818" s="67"/>
      <c r="BA818" s="56"/>
      <c r="BB818" s="67"/>
      <c r="BC818" s="56"/>
      <c r="BD818" s="56"/>
      <c r="BE818" s="56"/>
      <c r="BG818" s="65"/>
      <c r="BH818" s="65"/>
      <c r="BI818" s="65"/>
      <c r="BJ818" s="65"/>
      <c r="BK818" s="65"/>
      <c r="BL818" s="65"/>
      <c r="BM818" s="65"/>
      <c r="BN818" s="65"/>
      <c r="BO818" s="65"/>
      <c r="BP818" s="65"/>
      <c r="BQ818" s="65"/>
    </row>
    <row r="819" spans="45:71" x14ac:dyDescent="0.25">
      <c r="AS819" s="53"/>
      <c r="AT819" s="54"/>
      <c r="AV819" s="379"/>
      <c r="AW819" s="379"/>
      <c r="AX819" s="65"/>
      <c r="AY819" s="65"/>
      <c r="AZ819" s="65"/>
      <c r="BA819" s="60"/>
      <c r="BB819" s="65"/>
      <c r="BC819" s="65"/>
      <c r="BD819" s="65"/>
      <c r="BE819" s="60"/>
      <c r="BG819" s="65"/>
      <c r="BH819" s="65"/>
      <c r="BI819" s="65"/>
      <c r="BJ819" s="65"/>
      <c r="BK819" s="65"/>
      <c r="BL819" s="65"/>
      <c r="BM819" s="65"/>
      <c r="BN819" s="65"/>
      <c r="BO819" s="65"/>
      <c r="BP819" s="65"/>
      <c r="BQ819" s="65"/>
      <c r="BR819" s="65"/>
      <c r="BS819" s="65"/>
    </row>
    <row r="820" spans="45:71" x14ac:dyDescent="0.25">
      <c r="AS820" s="53"/>
      <c r="AV820" s="379"/>
      <c r="AW820" s="379"/>
      <c r="AX820" s="65"/>
      <c r="AY820" s="65"/>
      <c r="AZ820" s="65"/>
      <c r="BA820" s="60"/>
      <c r="BB820" s="65"/>
      <c r="BC820" s="65"/>
      <c r="BD820" s="65"/>
      <c r="BE820" s="60"/>
      <c r="BG820" s="65"/>
      <c r="BH820" s="65"/>
      <c r="BI820" s="65"/>
      <c r="BJ820" s="65"/>
      <c r="BK820" s="65"/>
      <c r="BL820" s="65"/>
      <c r="BM820" s="65"/>
      <c r="BN820" s="65"/>
      <c r="BO820" s="65"/>
      <c r="BP820" s="65"/>
      <c r="BQ820" s="65"/>
      <c r="BR820" s="65"/>
      <c r="BS820" s="65"/>
    </row>
    <row r="821" spans="45:71" x14ac:dyDescent="0.25">
      <c r="AS821" s="53"/>
      <c r="AV821" s="379"/>
      <c r="AW821" s="379"/>
      <c r="AX821" s="65"/>
      <c r="AY821" s="65"/>
      <c r="AZ821" s="65"/>
      <c r="BA821" s="60"/>
      <c r="BB821" s="65"/>
      <c r="BC821" s="65"/>
      <c r="BD821" s="65"/>
      <c r="BE821" s="60"/>
      <c r="BG821" s="65"/>
      <c r="BH821" s="65"/>
      <c r="BI821" s="65"/>
      <c r="BJ821" s="65"/>
      <c r="BK821" s="65"/>
      <c r="BL821" s="65"/>
      <c r="BM821" s="65"/>
      <c r="BN821" s="65"/>
      <c r="BO821" s="65"/>
      <c r="BP821" s="65"/>
      <c r="BQ821" s="65"/>
      <c r="BR821" s="65"/>
      <c r="BS821" s="65"/>
    </row>
    <row r="822" spans="45:71" x14ac:dyDescent="0.25">
      <c r="AS822" s="53"/>
      <c r="AV822" s="379"/>
      <c r="AW822" s="379"/>
      <c r="AX822" s="65"/>
      <c r="AY822" s="65"/>
      <c r="AZ822" s="65"/>
      <c r="BA822" s="60"/>
      <c r="BB822" s="65"/>
      <c r="BC822" s="65"/>
      <c r="BD822" s="65"/>
      <c r="BE822" s="60"/>
      <c r="BG822" s="65"/>
      <c r="BH822" s="65"/>
      <c r="BI822" s="65"/>
      <c r="BJ822" s="65"/>
      <c r="BK822" s="65"/>
      <c r="BL822" s="65"/>
      <c r="BM822" s="65"/>
      <c r="BN822" s="65"/>
      <c r="BO822" s="65"/>
      <c r="BP822" s="65"/>
      <c r="BQ822" s="65"/>
      <c r="BR822" s="65"/>
      <c r="BS822" s="65"/>
    </row>
    <row r="823" spans="45:71" x14ac:dyDescent="0.25">
      <c r="AS823" s="53"/>
      <c r="AV823" s="379"/>
      <c r="AW823" s="379"/>
      <c r="AX823" s="65"/>
      <c r="AY823" s="65"/>
      <c r="AZ823" s="65"/>
      <c r="BA823" s="60"/>
      <c r="BB823" s="65"/>
      <c r="BC823" s="65"/>
      <c r="BD823" s="65"/>
      <c r="BE823" s="60"/>
      <c r="BG823" s="65"/>
      <c r="BH823" s="65"/>
      <c r="BI823" s="65"/>
      <c r="BJ823" s="65"/>
      <c r="BK823" s="65"/>
      <c r="BL823" s="65"/>
      <c r="BM823" s="65"/>
      <c r="BN823" s="65"/>
      <c r="BO823" s="65"/>
      <c r="BP823" s="65"/>
      <c r="BQ823" s="65"/>
      <c r="BR823" s="65"/>
      <c r="BS823" s="65"/>
    </row>
    <row r="824" spans="45:71" x14ac:dyDescent="0.25">
      <c r="AS824" s="53"/>
      <c r="AV824" s="379"/>
      <c r="AW824" s="379"/>
      <c r="AX824" s="65"/>
      <c r="AY824" s="65"/>
      <c r="AZ824" s="65"/>
      <c r="BA824" s="60"/>
      <c r="BB824" s="65"/>
      <c r="BC824" s="65"/>
      <c r="BD824" s="65"/>
      <c r="BE824" s="60"/>
      <c r="BG824" s="65"/>
      <c r="BH824" s="65"/>
      <c r="BI824" s="65"/>
      <c r="BJ824" s="65"/>
      <c r="BK824" s="65"/>
      <c r="BL824" s="65"/>
      <c r="BM824" s="65"/>
      <c r="BN824" s="65"/>
      <c r="BO824" s="65"/>
      <c r="BP824" s="65"/>
      <c r="BQ824" s="65"/>
      <c r="BR824" s="65"/>
      <c r="BS824" s="65"/>
    </row>
    <row r="825" spans="45:71" x14ac:dyDescent="0.25">
      <c r="AS825" s="53"/>
      <c r="AV825" s="379"/>
      <c r="AW825" s="379"/>
      <c r="AX825" s="65"/>
      <c r="AY825" s="65"/>
      <c r="AZ825" s="65"/>
      <c r="BA825" s="60"/>
      <c r="BB825" s="65"/>
      <c r="BC825" s="65"/>
      <c r="BD825" s="65"/>
      <c r="BE825" s="60"/>
      <c r="BG825" s="65"/>
      <c r="BH825" s="65"/>
      <c r="BI825" s="65"/>
      <c r="BJ825" s="65"/>
      <c r="BK825" s="65"/>
      <c r="BL825" s="65"/>
      <c r="BM825" s="65"/>
      <c r="BN825" s="65"/>
      <c r="BO825" s="65"/>
      <c r="BP825" s="65"/>
      <c r="BQ825" s="65"/>
      <c r="BR825" s="65"/>
      <c r="BS825" s="65"/>
    </row>
    <row r="826" spans="45:71" x14ac:dyDescent="0.25">
      <c r="AS826" s="53"/>
      <c r="AV826" s="379"/>
      <c r="AW826" s="379"/>
      <c r="AX826" s="65"/>
      <c r="AY826" s="65"/>
      <c r="AZ826" s="65"/>
      <c r="BA826" s="60"/>
      <c r="BB826" s="65"/>
      <c r="BC826" s="65"/>
      <c r="BD826" s="65"/>
      <c r="BE826" s="60"/>
      <c r="BG826" s="65"/>
      <c r="BH826" s="65"/>
      <c r="BI826" s="65"/>
      <c r="BJ826" s="65"/>
      <c r="BK826" s="65"/>
      <c r="BL826" s="65"/>
      <c r="BM826" s="65"/>
      <c r="BN826" s="65"/>
      <c r="BO826" s="65"/>
      <c r="BP826" s="65"/>
      <c r="BQ826" s="65"/>
      <c r="BR826" s="65"/>
      <c r="BS826" s="65"/>
    </row>
    <row r="827" spans="45:71" x14ac:dyDescent="0.25">
      <c r="AS827" s="53"/>
      <c r="AV827" s="379"/>
      <c r="AW827" s="379"/>
      <c r="AX827" s="65"/>
      <c r="AY827" s="65"/>
      <c r="AZ827" s="65"/>
      <c r="BA827" s="60"/>
      <c r="BB827" s="65"/>
      <c r="BC827" s="65"/>
      <c r="BD827" s="65"/>
      <c r="BE827" s="60"/>
      <c r="BG827" s="65"/>
      <c r="BH827" s="65"/>
      <c r="BI827" s="65"/>
      <c r="BJ827" s="65"/>
      <c r="BK827" s="65"/>
      <c r="BL827" s="65"/>
      <c r="BM827" s="65"/>
      <c r="BN827" s="65"/>
      <c r="BO827" s="65"/>
      <c r="BP827" s="65"/>
      <c r="BQ827" s="65"/>
      <c r="BR827" s="65"/>
      <c r="BS827" s="65"/>
    </row>
    <row r="828" spans="45:71" x14ac:dyDescent="0.25">
      <c r="AS828" s="53"/>
      <c r="AV828" s="379"/>
      <c r="AW828" s="379"/>
      <c r="AX828" s="65"/>
      <c r="AY828" s="65"/>
      <c r="AZ828" s="65"/>
      <c r="BA828" s="60"/>
      <c r="BB828" s="65"/>
      <c r="BC828" s="65"/>
      <c r="BD828" s="65"/>
      <c r="BE828" s="60"/>
      <c r="BG828" s="65"/>
      <c r="BH828" s="65"/>
      <c r="BI828" s="65"/>
      <c r="BJ828" s="65"/>
      <c r="BK828" s="65"/>
      <c r="BL828" s="65"/>
      <c r="BM828" s="65"/>
      <c r="BN828" s="65"/>
      <c r="BO828" s="65"/>
      <c r="BP828" s="65"/>
      <c r="BQ828" s="65"/>
      <c r="BR828" s="65"/>
      <c r="BS828" s="65"/>
    </row>
    <row r="829" spans="45:71" x14ac:dyDescent="0.25">
      <c r="AS829" s="53"/>
      <c r="AV829" s="379"/>
      <c r="AW829" s="379"/>
      <c r="AX829" s="65"/>
      <c r="AY829" s="65"/>
      <c r="AZ829" s="65"/>
      <c r="BA829" s="60"/>
      <c r="BB829" s="65"/>
      <c r="BC829" s="65"/>
      <c r="BD829" s="65"/>
      <c r="BE829" s="60"/>
      <c r="BG829" s="65"/>
      <c r="BH829" s="65"/>
      <c r="BI829" s="65"/>
      <c r="BJ829" s="65"/>
      <c r="BK829" s="65"/>
      <c r="BL829" s="65"/>
      <c r="BM829" s="65"/>
      <c r="BN829" s="65"/>
      <c r="BO829" s="65"/>
      <c r="BP829" s="65"/>
      <c r="BQ829" s="65"/>
      <c r="BR829" s="65"/>
      <c r="BS829" s="65"/>
    </row>
    <row r="830" spans="45:71" x14ac:dyDescent="0.25">
      <c r="AS830" s="53"/>
      <c r="AV830" s="379"/>
      <c r="AW830" s="379"/>
      <c r="AX830" s="65"/>
      <c r="AY830" s="65"/>
      <c r="AZ830" s="65"/>
      <c r="BA830" s="60"/>
      <c r="BB830" s="65"/>
      <c r="BC830" s="65"/>
      <c r="BD830" s="65"/>
      <c r="BE830" s="60"/>
      <c r="BG830" s="65"/>
      <c r="BH830" s="65"/>
      <c r="BI830" s="65"/>
      <c r="BJ830" s="65"/>
      <c r="BK830" s="65"/>
      <c r="BL830" s="65"/>
      <c r="BM830" s="65"/>
      <c r="BN830" s="65"/>
      <c r="BO830" s="65"/>
      <c r="BP830" s="65"/>
      <c r="BQ830" s="65"/>
      <c r="BR830" s="65"/>
      <c r="BS830" s="65"/>
    </row>
    <row r="831" spans="45:71" x14ac:dyDescent="0.25">
      <c r="AS831" s="53"/>
      <c r="AV831" s="379"/>
      <c r="AW831" s="379"/>
      <c r="AX831" s="65"/>
      <c r="AY831" s="65"/>
      <c r="AZ831" s="65"/>
      <c r="BA831" s="60"/>
      <c r="BB831" s="65"/>
      <c r="BC831" s="65"/>
      <c r="BD831" s="65"/>
      <c r="BE831" s="60"/>
      <c r="BG831" s="65"/>
      <c r="BH831" s="65"/>
      <c r="BI831" s="65"/>
      <c r="BJ831" s="65"/>
      <c r="BK831" s="65"/>
      <c r="BL831" s="65"/>
      <c r="BM831" s="65"/>
      <c r="BN831" s="65"/>
      <c r="BO831" s="65"/>
      <c r="BP831" s="65"/>
      <c r="BQ831" s="65"/>
      <c r="BR831" s="65"/>
      <c r="BS831" s="65"/>
    </row>
    <row r="832" spans="45:71" x14ac:dyDescent="0.25">
      <c r="AS832" s="53"/>
      <c r="AV832" s="379"/>
      <c r="AW832" s="379"/>
      <c r="AX832" s="65"/>
      <c r="AY832" s="65"/>
      <c r="AZ832" s="65"/>
      <c r="BA832" s="60"/>
      <c r="BB832" s="65"/>
      <c r="BC832" s="65"/>
      <c r="BD832" s="65"/>
      <c r="BE832" s="60"/>
      <c r="BG832" s="65"/>
      <c r="BH832" s="65"/>
      <c r="BI832" s="65"/>
      <c r="BJ832" s="65"/>
      <c r="BK832" s="65"/>
      <c r="BL832" s="65"/>
      <c r="BM832" s="65"/>
      <c r="BN832" s="65"/>
      <c r="BO832" s="65"/>
      <c r="BP832" s="65"/>
      <c r="BQ832" s="65"/>
      <c r="BR832" s="65"/>
      <c r="BS832" s="65"/>
    </row>
    <row r="833" spans="45:71" x14ac:dyDescent="0.25">
      <c r="AS833" s="53"/>
      <c r="AV833" s="379"/>
      <c r="AW833" s="379"/>
      <c r="AX833" s="65"/>
      <c r="AY833" s="65"/>
      <c r="AZ833" s="65"/>
      <c r="BA833" s="60"/>
      <c r="BB833" s="65"/>
      <c r="BC833" s="65"/>
      <c r="BD833" s="65"/>
      <c r="BE833" s="60"/>
      <c r="BG833" s="65"/>
      <c r="BH833" s="65"/>
      <c r="BI833" s="65"/>
      <c r="BJ833" s="65"/>
      <c r="BK833" s="65"/>
      <c r="BL833" s="65"/>
      <c r="BM833" s="65"/>
      <c r="BN833" s="65"/>
      <c r="BO833" s="65"/>
      <c r="BP833" s="65"/>
      <c r="BQ833" s="65"/>
      <c r="BR833" s="65"/>
      <c r="BS833" s="65"/>
    </row>
    <row r="834" spans="45:71" x14ac:dyDescent="0.25">
      <c r="AS834" s="53"/>
      <c r="AV834" s="379"/>
      <c r="AW834" s="379"/>
      <c r="AX834" s="65"/>
      <c r="AY834" s="65"/>
      <c r="AZ834" s="65"/>
      <c r="BA834" s="60"/>
      <c r="BB834" s="65"/>
      <c r="BC834" s="65"/>
      <c r="BD834" s="65"/>
      <c r="BE834" s="60"/>
      <c r="BG834" s="65"/>
      <c r="BH834" s="65"/>
      <c r="BI834" s="65"/>
      <c r="BJ834" s="65"/>
      <c r="BK834" s="65"/>
      <c r="BL834" s="65"/>
      <c r="BM834" s="65"/>
      <c r="BN834" s="65"/>
      <c r="BO834" s="65"/>
      <c r="BP834" s="65"/>
      <c r="BQ834" s="65"/>
      <c r="BR834" s="65"/>
      <c r="BS834" s="65"/>
    </row>
    <row r="835" spans="45:71" x14ac:dyDescent="0.25">
      <c r="AS835" s="53"/>
      <c r="AV835" s="379"/>
      <c r="AW835" s="379"/>
      <c r="AX835" s="65"/>
      <c r="AY835" s="65"/>
      <c r="AZ835" s="65"/>
      <c r="BA835" s="60"/>
      <c r="BB835" s="65"/>
      <c r="BC835" s="65"/>
      <c r="BD835" s="65"/>
      <c r="BE835" s="60"/>
      <c r="BG835" s="65"/>
      <c r="BH835" s="65"/>
      <c r="BI835" s="65"/>
      <c r="BJ835" s="65"/>
      <c r="BK835" s="65"/>
      <c r="BL835" s="65"/>
      <c r="BM835" s="65"/>
      <c r="BN835" s="65"/>
      <c r="BO835" s="65"/>
      <c r="BP835" s="65"/>
      <c r="BQ835" s="65"/>
      <c r="BR835" s="65"/>
      <c r="BS835" s="65"/>
    </row>
    <row r="836" spans="45:71" x14ac:dyDescent="0.25">
      <c r="AS836" s="53"/>
      <c r="AV836" s="379"/>
      <c r="AW836" s="379"/>
      <c r="AX836" s="65"/>
      <c r="AY836" s="65"/>
      <c r="AZ836" s="65"/>
      <c r="BA836" s="60"/>
      <c r="BB836" s="65"/>
      <c r="BC836" s="65"/>
      <c r="BD836" s="65"/>
      <c r="BE836" s="60"/>
      <c r="BG836" s="65"/>
      <c r="BH836" s="65"/>
      <c r="BI836" s="65"/>
      <c r="BJ836" s="65"/>
      <c r="BK836" s="65"/>
      <c r="BL836" s="65"/>
      <c r="BM836" s="65"/>
      <c r="BN836" s="65"/>
      <c r="BO836" s="65"/>
      <c r="BP836" s="65"/>
      <c r="BQ836" s="65"/>
      <c r="BR836" s="65"/>
      <c r="BS836" s="65"/>
    </row>
    <row r="837" spans="45:71" x14ac:dyDescent="0.25">
      <c r="AZ837" s="65"/>
      <c r="BB837" s="65"/>
      <c r="BC837" s="65"/>
      <c r="BD837" s="65"/>
      <c r="BG837" s="65"/>
      <c r="BH837" s="65"/>
      <c r="BI837" s="65"/>
      <c r="BJ837" s="65"/>
      <c r="BK837" s="65"/>
      <c r="BL837" s="65"/>
      <c r="BM837" s="65"/>
      <c r="BN837" s="65"/>
      <c r="BO837" s="65"/>
      <c r="BP837" s="65"/>
      <c r="BQ837" s="65"/>
      <c r="BR837" s="65"/>
      <c r="BS837" s="65"/>
    </row>
    <row r="838" spans="45:71" x14ac:dyDescent="0.25">
      <c r="AS838" s="53"/>
      <c r="AT838" s="54"/>
      <c r="AV838" s="379"/>
      <c r="AW838" s="379"/>
      <c r="AX838" s="65"/>
      <c r="AY838" s="65"/>
      <c r="AZ838" s="65"/>
      <c r="BA838" s="60"/>
      <c r="BB838" s="65"/>
      <c r="BC838" s="65"/>
      <c r="BD838" s="65"/>
      <c r="BE838" s="60"/>
    </row>
    <row r="839" spans="45:71" x14ac:dyDescent="0.25">
      <c r="AS839" s="53"/>
      <c r="AV839" s="379"/>
      <c r="AW839" s="379"/>
      <c r="AX839" s="65"/>
      <c r="AY839" s="65"/>
      <c r="AZ839" s="65"/>
      <c r="BA839" s="60"/>
      <c r="BB839" s="65"/>
      <c r="BC839" s="65"/>
      <c r="BD839" s="65"/>
      <c r="BE839" s="60"/>
    </row>
    <row r="840" spans="45:71" x14ac:dyDescent="0.25">
      <c r="AS840" s="53"/>
      <c r="AV840" s="379"/>
      <c r="AW840" s="379"/>
      <c r="AX840" s="65"/>
      <c r="AY840" s="65"/>
      <c r="AZ840" s="65"/>
      <c r="BA840" s="60"/>
      <c r="BB840" s="65"/>
      <c r="BC840" s="65"/>
      <c r="BD840" s="65"/>
      <c r="BE840" s="60"/>
    </row>
    <row r="841" spans="45:71" x14ac:dyDescent="0.25">
      <c r="AS841" s="53"/>
      <c r="AV841" s="379"/>
      <c r="AW841" s="379"/>
      <c r="AX841" s="65"/>
      <c r="AY841" s="65"/>
      <c r="AZ841" s="65"/>
      <c r="BA841" s="60"/>
      <c r="BB841" s="65"/>
      <c r="BC841" s="65"/>
      <c r="BD841" s="65"/>
      <c r="BE841" s="60"/>
    </row>
    <row r="842" spans="45:71" x14ac:dyDescent="0.25">
      <c r="AS842" s="53"/>
      <c r="AV842" s="379"/>
      <c r="AW842" s="379"/>
      <c r="AX842" s="65"/>
      <c r="AY842" s="65"/>
      <c r="AZ842" s="65"/>
      <c r="BA842" s="60"/>
      <c r="BB842" s="65"/>
      <c r="BC842" s="65"/>
      <c r="BD842" s="65"/>
      <c r="BE842" s="60"/>
    </row>
    <row r="843" spans="45:71" x14ac:dyDescent="0.25">
      <c r="AS843" s="53"/>
      <c r="AV843" s="379"/>
      <c r="AW843" s="379"/>
      <c r="AX843" s="65"/>
      <c r="AY843" s="65"/>
      <c r="AZ843" s="65"/>
      <c r="BA843" s="60"/>
      <c r="BB843" s="65"/>
      <c r="BC843" s="65"/>
      <c r="BD843" s="65"/>
      <c r="BE843" s="60"/>
    </row>
    <row r="844" spans="45:71" x14ac:dyDescent="0.25">
      <c r="AS844" s="53"/>
      <c r="AV844" s="379"/>
      <c r="AW844" s="379"/>
      <c r="AX844" s="65"/>
      <c r="AY844" s="65"/>
      <c r="AZ844" s="65"/>
      <c r="BA844" s="60"/>
      <c r="BB844" s="65"/>
      <c r="BC844" s="65"/>
      <c r="BD844" s="65"/>
      <c r="BE844" s="60"/>
    </row>
    <row r="845" spans="45:71" x14ac:dyDescent="0.25">
      <c r="AS845" s="53"/>
      <c r="AV845" s="379"/>
      <c r="AW845" s="379"/>
      <c r="AX845" s="65"/>
      <c r="AY845" s="65"/>
      <c r="AZ845" s="65"/>
      <c r="BA845" s="60"/>
      <c r="BB845" s="65"/>
      <c r="BC845" s="65"/>
      <c r="BD845" s="65"/>
      <c r="BE845" s="60"/>
    </row>
    <row r="846" spans="45:71" x14ac:dyDescent="0.25">
      <c r="AS846" s="53"/>
      <c r="AV846" s="379"/>
      <c r="AW846" s="379"/>
      <c r="AX846" s="65"/>
      <c r="AY846" s="65"/>
      <c r="AZ846" s="65"/>
      <c r="BA846" s="60"/>
      <c r="BB846" s="65"/>
      <c r="BC846" s="65"/>
      <c r="BD846" s="65"/>
      <c r="BE846" s="60"/>
    </row>
    <row r="847" spans="45:71" x14ac:dyDescent="0.25">
      <c r="AS847" s="53"/>
      <c r="AV847" s="379"/>
      <c r="AW847" s="379"/>
      <c r="AX847" s="65"/>
      <c r="AY847" s="65"/>
      <c r="AZ847" s="65"/>
      <c r="BA847" s="60"/>
      <c r="BB847" s="65"/>
      <c r="BC847" s="65"/>
      <c r="BD847" s="65"/>
      <c r="BE847" s="60"/>
    </row>
    <row r="848" spans="45:71" x14ac:dyDescent="0.25">
      <c r="AS848" s="53"/>
      <c r="AV848" s="379"/>
      <c r="AW848" s="379"/>
      <c r="AX848" s="65"/>
      <c r="AY848" s="65"/>
      <c r="AZ848" s="65"/>
      <c r="BA848" s="60"/>
      <c r="BB848" s="65"/>
      <c r="BC848" s="65"/>
      <c r="BD848" s="65"/>
      <c r="BE848" s="60"/>
    </row>
    <row r="849" spans="45:57" x14ac:dyDescent="0.25">
      <c r="AS849" s="53"/>
      <c r="AV849" s="379"/>
      <c r="AW849" s="379"/>
      <c r="AX849" s="65"/>
      <c r="AY849" s="65"/>
      <c r="AZ849" s="65"/>
      <c r="BA849" s="60"/>
      <c r="BB849" s="65"/>
      <c r="BC849" s="65"/>
      <c r="BD849" s="65"/>
      <c r="BE849" s="60"/>
    </row>
    <row r="850" spans="45:57" x14ac:dyDescent="0.25">
      <c r="AS850" s="53"/>
      <c r="AV850" s="379"/>
      <c r="AW850" s="379"/>
      <c r="AX850" s="65"/>
      <c r="AY850" s="65"/>
      <c r="AZ850" s="65"/>
      <c r="BA850" s="60"/>
      <c r="BB850" s="65"/>
      <c r="BC850" s="65"/>
      <c r="BD850" s="65"/>
      <c r="BE850" s="60"/>
    </row>
    <row r="851" spans="45:57" x14ac:dyDescent="0.25">
      <c r="AS851" s="53"/>
      <c r="AV851" s="379"/>
      <c r="AW851" s="379"/>
      <c r="AX851" s="65"/>
      <c r="AY851" s="65"/>
      <c r="AZ851" s="65"/>
      <c r="BA851" s="60"/>
      <c r="BB851" s="65"/>
      <c r="BC851" s="65"/>
      <c r="BD851" s="65"/>
      <c r="BE851" s="60"/>
    </row>
    <row r="852" spans="45:57" x14ac:dyDescent="0.25">
      <c r="AS852" s="53"/>
      <c r="AV852" s="379"/>
      <c r="AW852" s="379"/>
      <c r="AX852" s="65"/>
      <c r="AY852" s="65"/>
      <c r="AZ852" s="65"/>
      <c r="BA852" s="60"/>
      <c r="BB852" s="65"/>
      <c r="BC852" s="65"/>
      <c r="BD852" s="65"/>
      <c r="BE852" s="60"/>
    </row>
    <row r="853" spans="45:57" x14ac:dyDescent="0.25">
      <c r="AS853" s="53"/>
      <c r="AV853" s="379"/>
      <c r="AW853" s="379"/>
      <c r="AX853" s="65"/>
      <c r="AY853" s="65"/>
      <c r="AZ853" s="65"/>
      <c r="BA853" s="60"/>
      <c r="BB853" s="65"/>
      <c r="BC853" s="65"/>
      <c r="BD853" s="65"/>
      <c r="BE853" s="60"/>
    </row>
    <row r="854" spans="45:57" x14ac:dyDescent="0.25">
      <c r="AS854" s="53"/>
      <c r="AV854" s="379"/>
      <c r="AW854" s="379"/>
      <c r="AX854" s="65"/>
      <c r="AY854" s="65"/>
      <c r="AZ854" s="65"/>
      <c r="BA854" s="60"/>
      <c r="BB854" s="65"/>
      <c r="BC854" s="65"/>
      <c r="BD854" s="65"/>
      <c r="BE854" s="60"/>
    </row>
    <row r="855" spans="45:57" x14ac:dyDescent="0.25">
      <c r="AS855" s="53"/>
      <c r="AV855" s="379"/>
      <c r="AW855" s="379"/>
      <c r="AX855" s="65"/>
      <c r="AY855" s="65"/>
      <c r="AZ855" s="65"/>
      <c r="BA855" s="60"/>
      <c r="BB855" s="65"/>
      <c r="BC855" s="65"/>
      <c r="BD855" s="65"/>
      <c r="BE855" s="60"/>
    </row>
    <row r="856" spans="45:57" x14ac:dyDescent="0.25">
      <c r="BB856" s="65"/>
    </row>
    <row r="857" spans="45:57" x14ac:dyDescent="0.25">
      <c r="AU857" s="54"/>
      <c r="BB857" s="65"/>
    </row>
    <row r="858" spans="45:57" x14ac:dyDescent="0.25">
      <c r="AU858" s="54"/>
    </row>
    <row r="859" spans="45:57" x14ac:dyDescent="0.25">
      <c r="AU859" s="54"/>
      <c r="BB859" s="65"/>
    </row>
    <row r="860" spans="45:57" x14ac:dyDescent="0.25">
      <c r="AS860" s="54"/>
      <c r="AZ860" s="65"/>
      <c r="BB860" s="65"/>
    </row>
    <row r="861" spans="45:57" x14ac:dyDescent="0.25">
      <c r="AY861" s="53"/>
      <c r="AZ861" s="65"/>
      <c r="BB861" s="65"/>
    </row>
    <row r="862" spans="45:57" x14ac:dyDescent="0.25">
      <c r="AY862" s="65"/>
      <c r="AZ862" s="65"/>
      <c r="BB862" s="65"/>
    </row>
    <row r="863" spans="45:57" x14ac:dyDescent="0.25">
      <c r="AY863" s="54"/>
      <c r="AZ863" s="65"/>
      <c r="BB863" s="65"/>
    </row>
    <row r="864" spans="45:57" x14ac:dyDescent="0.25">
      <c r="AY864" s="54"/>
      <c r="AZ864" s="65"/>
      <c r="BB864" s="65"/>
    </row>
    <row r="865" spans="45:57" x14ac:dyDescent="0.25">
      <c r="AS865" s="53"/>
      <c r="AZ865" s="65"/>
      <c r="BB865" s="65"/>
      <c r="BD865" s="54"/>
    </row>
    <row r="866" spans="45:57" x14ac:dyDescent="0.25">
      <c r="AS866" s="53"/>
      <c r="AZ866" s="65"/>
      <c r="BB866" s="65"/>
      <c r="BD866" s="54"/>
    </row>
    <row r="867" spans="45:57" x14ac:dyDescent="0.25">
      <c r="AS867" s="54"/>
      <c r="AZ867" s="65"/>
      <c r="BB867" s="65"/>
      <c r="BD867" s="54"/>
    </row>
    <row r="868" spans="45:57" x14ac:dyDescent="0.25">
      <c r="AZ868" s="65"/>
      <c r="BB868" s="65"/>
      <c r="BD868" s="53"/>
    </row>
    <row r="869" spans="45:57" x14ac:dyDescent="0.25">
      <c r="AS869" s="55"/>
      <c r="AT869" s="55"/>
      <c r="AU869" s="55"/>
      <c r="AV869" s="55"/>
      <c r="AW869" s="55"/>
      <c r="AX869" s="55"/>
      <c r="AY869" s="55"/>
      <c r="AZ869" s="66"/>
      <c r="BA869" s="55"/>
      <c r="BB869" s="66"/>
      <c r="BC869" s="55"/>
      <c r="BD869" s="55"/>
      <c r="BE869" s="55"/>
    </row>
    <row r="870" spans="45:57" x14ac:dyDescent="0.25">
      <c r="AX870" s="54"/>
      <c r="AZ870" s="65"/>
      <c r="BB870" s="65"/>
    </row>
    <row r="871" spans="45:57" x14ac:dyDescent="0.25">
      <c r="AX871" s="55"/>
      <c r="AY871" s="55"/>
      <c r="AZ871" s="66"/>
      <c r="BA871" s="55"/>
      <c r="BB871" s="65"/>
      <c r="BC871" s="56"/>
      <c r="BD871" s="56"/>
    </row>
    <row r="872" spans="45:57" x14ac:dyDescent="0.25">
      <c r="AV872" s="56"/>
      <c r="AW872" s="56"/>
      <c r="AZ872" s="67"/>
      <c r="BA872" s="56"/>
      <c r="BB872" s="65"/>
      <c r="BC872" s="56"/>
      <c r="BD872" s="56"/>
      <c r="BE872" s="56"/>
    </row>
    <row r="873" spans="45:57" x14ac:dyDescent="0.25">
      <c r="AV873" s="56"/>
      <c r="AW873" s="56"/>
      <c r="AX873" s="56"/>
      <c r="AY873" s="56"/>
      <c r="AZ873" s="67"/>
      <c r="BA873" s="56"/>
      <c r="BB873" s="67"/>
      <c r="BC873" s="56"/>
      <c r="BD873" s="56"/>
      <c r="BE873" s="56"/>
    </row>
    <row r="874" spans="45:57" x14ac:dyDescent="0.25">
      <c r="AS874" s="56"/>
      <c r="AU874" s="54"/>
      <c r="AV874" s="56"/>
      <c r="AW874" s="56"/>
      <c r="AX874" s="56"/>
      <c r="AY874" s="56"/>
      <c r="AZ874" s="67"/>
      <c r="BA874" s="56"/>
      <c r="BB874" s="67"/>
      <c r="BC874" s="56"/>
      <c r="BD874" s="56"/>
      <c r="BE874" s="56"/>
    </row>
    <row r="875" spans="45:57" x14ac:dyDescent="0.25">
      <c r="AS875" s="56"/>
      <c r="AU875" s="54"/>
      <c r="AV875" s="56"/>
      <c r="AW875" s="56"/>
      <c r="AX875" s="56"/>
      <c r="AY875" s="56"/>
      <c r="AZ875" s="67"/>
      <c r="BA875" s="56"/>
      <c r="BB875" s="67"/>
      <c r="BC875" s="56"/>
      <c r="BD875" s="56"/>
      <c r="BE875" s="56"/>
    </row>
    <row r="876" spans="45:57" x14ac:dyDescent="0.25">
      <c r="AS876" s="55"/>
      <c r="AT876" s="55"/>
      <c r="AU876" s="55"/>
      <c r="AV876" s="55"/>
      <c r="AW876" s="55"/>
      <c r="AX876" s="55"/>
      <c r="AY876" s="55"/>
      <c r="AZ876" s="66"/>
      <c r="BA876" s="55"/>
      <c r="BB876" s="66"/>
      <c r="BC876" s="55"/>
      <c r="BD876" s="55"/>
      <c r="BE876" s="55"/>
    </row>
    <row r="877" spans="45:57" x14ac:dyDescent="0.25">
      <c r="AV877" s="56"/>
      <c r="AW877" s="56"/>
      <c r="AX877" s="56"/>
      <c r="AY877" s="56"/>
      <c r="AZ877" s="67"/>
      <c r="BA877" s="56"/>
      <c r="BB877" s="67"/>
      <c r="BC877" s="56"/>
      <c r="BD877" s="56"/>
      <c r="BE877" s="56"/>
    </row>
    <row r="878" spans="45:57" x14ac:dyDescent="0.25">
      <c r="AS878" s="53"/>
      <c r="AT878" s="54"/>
      <c r="AV878" s="379"/>
      <c r="AW878" s="379"/>
      <c r="AX878" s="65"/>
      <c r="AY878" s="65"/>
      <c r="AZ878" s="65"/>
      <c r="BA878" s="60"/>
      <c r="BB878" s="65"/>
      <c r="BC878" s="65"/>
      <c r="BD878" s="65"/>
      <c r="BE878" s="60"/>
    </row>
    <row r="879" spans="45:57" x14ac:dyDescent="0.25">
      <c r="AS879" s="53"/>
      <c r="AV879" s="379"/>
      <c r="AW879" s="379"/>
      <c r="AX879" s="65"/>
      <c r="AY879" s="65"/>
      <c r="AZ879" s="65"/>
      <c r="BA879" s="60"/>
      <c r="BB879" s="65"/>
      <c r="BC879" s="65"/>
      <c r="BD879" s="65"/>
      <c r="BE879" s="60"/>
    </row>
    <row r="880" spans="45:57" x14ac:dyDescent="0.25">
      <c r="AS880" s="53"/>
      <c r="AV880" s="379"/>
      <c r="AW880" s="379"/>
      <c r="AX880" s="65"/>
      <c r="AY880" s="65"/>
      <c r="AZ880" s="65"/>
      <c r="BA880" s="60"/>
      <c r="BB880" s="65"/>
      <c r="BC880" s="65"/>
      <c r="BD880" s="65"/>
      <c r="BE880" s="60"/>
    </row>
    <row r="881" spans="45:57" x14ac:dyDescent="0.25">
      <c r="AS881" s="53"/>
      <c r="AV881" s="379"/>
      <c r="AW881" s="379"/>
      <c r="AX881" s="65"/>
      <c r="AY881" s="65"/>
      <c r="AZ881" s="65"/>
      <c r="BA881" s="60"/>
      <c r="BB881" s="65"/>
      <c r="BC881" s="65"/>
      <c r="BD881" s="65"/>
      <c r="BE881" s="60"/>
    </row>
    <row r="882" spans="45:57" x14ac:dyDescent="0.25">
      <c r="AS882" s="53"/>
      <c r="AV882" s="379"/>
      <c r="AW882" s="379"/>
      <c r="AX882" s="65"/>
      <c r="AY882" s="65"/>
      <c r="AZ882" s="65"/>
      <c r="BA882" s="60"/>
      <c r="BB882" s="65"/>
      <c r="BC882" s="65"/>
      <c r="BD882" s="65"/>
      <c r="BE882" s="60"/>
    </row>
    <row r="883" spans="45:57" x14ac:dyDescent="0.25">
      <c r="AS883" s="53"/>
      <c r="AV883" s="379"/>
      <c r="AW883" s="379"/>
      <c r="AX883" s="65"/>
      <c r="AY883" s="65"/>
      <c r="AZ883" s="65"/>
      <c r="BA883" s="60"/>
      <c r="BB883" s="65"/>
      <c r="BC883" s="65"/>
      <c r="BD883" s="65"/>
      <c r="BE883" s="60"/>
    </row>
    <row r="884" spans="45:57" x14ac:dyDescent="0.25">
      <c r="AS884" s="53"/>
      <c r="AV884" s="379"/>
      <c r="AW884" s="379"/>
      <c r="AX884" s="65"/>
      <c r="AY884" s="65"/>
      <c r="AZ884" s="65"/>
      <c r="BA884" s="60"/>
      <c r="BB884" s="65"/>
      <c r="BC884" s="65"/>
      <c r="BD884" s="65"/>
      <c r="BE884" s="60"/>
    </row>
    <row r="885" spans="45:57" x14ac:dyDescent="0.25">
      <c r="AS885" s="53"/>
      <c r="AV885" s="379"/>
      <c r="AW885" s="379"/>
      <c r="AX885" s="65"/>
      <c r="AY885" s="65"/>
      <c r="AZ885" s="65"/>
      <c r="BA885" s="60"/>
      <c r="BB885" s="65"/>
      <c r="BC885" s="65"/>
      <c r="BD885" s="65"/>
      <c r="BE885" s="60"/>
    </row>
    <row r="886" spans="45:57" x14ac:dyDescent="0.25">
      <c r="AS886" s="53"/>
      <c r="AV886" s="379"/>
      <c r="AW886" s="379"/>
      <c r="AX886" s="65"/>
      <c r="AY886" s="65"/>
      <c r="AZ886" s="65"/>
      <c r="BA886" s="60"/>
      <c r="BB886" s="65"/>
      <c r="BC886" s="65"/>
      <c r="BD886" s="65"/>
      <c r="BE886" s="60"/>
    </row>
    <row r="887" spans="45:57" x14ac:dyDescent="0.25">
      <c r="AS887" s="53"/>
      <c r="AV887" s="379"/>
      <c r="AW887" s="379"/>
      <c r="AX887" s="65"/>
      <c r="AY887" s="65"/>
      <c r="AZ887" s="65"/>
      <c r="BA887" s="60"/>
      <c r="BB887" s="65"/>
      <c r="BC887" s="65"/>
      <c r="BD887" s="65"/>
      <c r="BE887" s="60"/>
    </row>
    <row r="888" spans="45:57" x14ac:dyDescent="0.25">
      <c r="AV888" s="379"/>
      <c r="AW888" s="379"/>
      <c r="BB888" s="65"/>
    </row>
    <row r="889" spans="45:57" x14ac:dyDescent="0.25">
      <c r="AS889" s="53"/>
      <c r="AT889" s="54"/>
      <c r="AV889" s="379"/>
      <c r="AW889" s="379"/>
      <c r="AX889" s="65"/>
      <c r="AY889" s="65"/>
      <c r="AZ889" s="65"/>
      <c r="BA889" s="60"/>
      <c r="BB889" s="65"/>
      <c r="BC889" s="65"/>
      <c r="BD889" s="65"/>
      <c r="BE889" s="60"/>
    </row>
    <row r="890" spans="45:57" x14ac:dyDescent="0.25">
      <c r="AS890" s="53"/>
      <c r="AV890" s="379"/>
      <c r="AW890" s="379"/>
      <c r="AX890" s="65"/>
      <c r="AY890" s="65"/>
      <c r="AZ890" s="65"/>
      <c r="BA890" s="60"/>
      <c r="BB890" s="65"/>
      <c r="BC890" s="65"/>
      <c r="BD890" s="65"/>
      <c r="BE890" s="60"/>
    </row>
    <row r="891" spans="45:57" x14ac:dyDescent="0.25">
      <c r="AS891" s="53"/>
      <c r="AV891" s="379"/>
      <c r="AW891" s="379"/>
      <c r="AX891" s="65"/>
      <c r="AY891" s="65"/>
      <c r="AZ891" s="65"/>
      <c r="BA891" s="60"/>
      <c r="BB891" s="65"/>
      <c r="BC891" s="65"/>
      <c r="BD891" s="65"/>
      <c r="BE891" s="60"/>
    </row>
    <row r="892" spans="45:57" x14ac:dyDescent="0.25">
      <c r="AS892" s="53"/>
      <c r="AV892" s="379"/>
      <c r="AW892" s="379"/>
      <c r="AX892" s="65"/>
      <c r="AY892" s="65"/>
      <c r="AZ892" s="65"/>
      <c r="BA892" s="60"/>
      <c r="BB892" s="65"/>
      <c r="BC892" s="65"/>
      <c r="BD892" s="65"/>
      <c r="BE892" s="60"/>
    </row>
    <row r="893" spans="45:57" x14ac:dyDescent="0.25">
      <c r="AS893" s="53"/>
      <c r="AV893" s="379"/>
      <c r="AW893" s="379"/>
      <c r="AX893" s="65"/>
      <c r="AY893" s="65"/>
      <c r="AZ893" s="65"/>
      <c r="BA893" s="60"/>
      <c r="BB893" s="65"/>
      <c r="BC893" s="65"/>
      <c r="BD893" s="65"/>
      <c r="BE893" s="60"/>
    </row>
    <row r="894" spans="45:57" x14ac:dyDescent="0.25">
      <c r="AS894" s="53"/>
      <c r="AV894" s="379"/>
      <c r="AW894" s="379"/>
      <c r="AX894" s="65"/>
      <c r="AY894" s="65"/>
      <c r="AZ894" s="65"/>
      <c r="BA894" s="60"/>
      <c r="BB894" s="65"/>
      <c r="BC894" s="65"/>
      <c r="BD894" s="65"/>
      <c r="BE894" s="60"/>
    </row>
    <row r="895" spans="45:57" x14ac:dyDescent="0.25">
      <c r="AS895" s="53"/>
      <c r="AV895" s="379"/>
      <c r="AW895" s="379"/>
      <c r="AX895" s="65"/>
      <c r="AY895" s="65"/>
      <c r="AZ895" s="65"/>
      <c r="BA895" s="60"/>
      <c r="BB895" s="65"/>
      <c r="BC895" s="65"/>
      <c r="BD895" s="65"/>
      <c r="BE895" s="60"/>
    </row>
    <row r="896" spans="45:57" x14ac:dyDescent="0.25">
      <c r="AS896" s="53"/>
      <c r="AV896" s="379"/>
      <c r="AW896" s="379"/>
      <c r="AX896" s="65"/>
      <c r="AY896" s="65"/>
      <c r="AZ896" s="65"/>
      <c r="BA896" s="60"/>
      <c r="BB896" s="65"/>
      <c r="BC896" s="65"/>
      <c r="BD896" s="65"/>
      <c r="BE896" s="60"/>
    </row>
    <row r="897" spans="45:57" x14ac:dyDescent="0.25">
      <c r="AS897" s="53"/>
      <c r="AV897" s="379"/>
      <c r="AW897" s="379"/>
      <c r="AX897" s="65"/>
      <c r="AY897" s="65"/>
      <c r="AZ897" s="65"/>
      <c r="BA897" s="60"/>
      <c r="BB897" s="65"/>
      <c r="BC897" s="65"/>
      <c r="BD897" s="65"/>
      <c r="BE897" s="60"/>
    </row>
    <row r="898" spans="45:57" x14ac:dyDescent="0.25">
      <c r="AS898" s="53"/>
      <c r="AV898" s="379"/>
      <c r="AW898" s="379"/>
      <c r="AX898" s="65"/>
      <c r="AY898" s="65"/>
      <c r="AZ898" s="65"/>
      <c r="BA898" s="60"/>
      <c r="BB898" s="65"/>
      <c r="BC898" s="65"/>
      <c r="BD898" s="65"/>
      <c r="BE898" s="60"/>
    </row>
    <row r="900" spans="45:57" x14ac:dyDescent="0.25">
      <c r="AU900" s="54"/>
    </row>
    <row r="901" spans="45:57" x14ac:dyDescent="0.25">
      <c r="AU901" s="54"/>
    </row>
    <row r="902" spans="45:57" x14ac:dyDescent="0.25">
      <c r="AU902" s="54"/>
    </row>
    <row r="903" spans="45:57" x14ac:dyDescent="0.25">
      <c r="AS903" s="54"/>
    </row>
    <row r="924" spans="52:71" x14ac:dyDescent="0.25">
      <c r="AZ924" s="65"/>
      <c r="BB924" s="65"/>
      <c r="BC924" s="65"/>
      <c r="BD924" s="65"/>
      <c r="BG924" s="65"/>
      <c r="BH924" s="65"/>
      <c r="BI924" s="65"/>
      <c r="BJ924" s="65"/>
      <c r="BK924" s="65"/>
      <c r="BL924" s="65"/>
      <c r="BM924" s="65"/>
      <c r="BN924" s="65"/>
      <c r="BO924" s="65"/>
      <c r="BP924" s="65"/>
      <c r="BQ924" s="65"/>
      <c r="BR924" s="65"/>
      <c r="BS924" s="65"/>
    </row>
    <row r="925" spans="52:71" x14ac:dyDescent="0.25">
      <c r="AZ925" s="65"/>
      <c r="BB925" s="65"/>
      <c r="BC925" s="65"/>
      <c r="BD925" s="65"/>
      <c r="BG925" s="65"/>
      <c r="BH925" s="65"/>
      <c r="BI925" s="65"/>
      <c r="BJ925" s="65"/>
      <c r="BK925" s="65"/>
      <c r="BL925" s="65"/>
      <c r="BM925" s="65"/>
      <c r="BN925" s="65"/>
      <c r="BO925" s="65"/>
      <c r="BP925" s="65"/>
      <c r="BQ925" s="65"/>
      <c r="BR925" s="65"/>
      <c r="BS925" s="65"/>
    </row>
    <row r="926" spans="52:71" x14ac:dyDescent="0.25">
      <c r="AZ926" s="65"/>
      <c r="BB926" s="65"/>
      <c r="BC926" s="65"/>
      <c r="BD926" s="65"/>
      <c r="BG926" s="65"/>
      <c r="BH926" s="65"/>
      <c r="BI926" s="65"/>
      <c r="BJ926" s="65"/>
      <c r="BK926" s="65"/>
      <c r="BL926" s="65"/>
      <c r="BM926" s="65"/>
      <c r="BN926" s="65"/>
      <c r="BO926" s="65"/>
      <c r="BP926" s="65"/>
      <c r="BQ926" s="65"/>
      <c r="BR926" s="65"/>
      <c r="BS926" s="65"/>
    </row>
    <row r="927" spans="52:71" x14ac:dyDescent="0.25">
      <c r="AZ927" s="65"/>
      <c r="BB927" s="65"/>
      <c r="BC927" s="65"/>
      <c r="BD927" s="65"/>
      <c r="BG927" s="65"/>
      <c r="BH927" s="65"/>
      <c r="BI927" s="65"/>
      <c r="BJ927" s="65"/>
      <c r="BK927" s="65"/>
      <c r="BL927" s="65"/>
      <c r="BM927" s="65"/>
      <c r="BN927" s="65"/>
      <c r="BO927" s="65"/>
      <c r="BP927" s="65"/>
      <c r="BQ927" s="65"/>
      <c r="BR927" s="65"/>
      <c r="BS927" s="65"/>
    </row>
    <row r="928" spans="52:71" x14ac:dyDescent="0.25">
      <c r="AZ928" s="65"/>
      <c r="BB928" s="65"/>
      <c r="BC928" s="65"/>
      <c r="BD928" s="65"/>
      <c r="BG928" s="65"/>
      <c r="BH928" s="65"/>
      <c r="BI928" s="65"/>
      <c r="BJ928" s="65"/>
      <c r="BK928" s="65"/>
      <c r="BL928" s="65"/>
      <c r="BM928" s="65"/>
      <c r="BN928" s="65"/>
      <c r="BO928" s="65"/>
      <c r="BP928" s="65"/>
      <c r="BQ928" s="65"/>
      <c r="BR928" s="65"/>
      <c r="BS928" s="65"/>
    </row>
    <row r="929" spans="52:71" x14ac:dyDescent="0.25">
      <c r="AZ929" s="65"/>
      <c r="BB929" s="65"/>
      <c r="BC929" s="65"/>
      <c r="BD929" s="65"/>
      <c r="BG929" s="65"/>
      <c r="BH929" s="65"/>
      <c r="BI929" s="65"/>
      <c r="BJ929" s="65"/>
      <c r="BK929" s="65"/>
      <c r="BL929" s="65"/>
      <c r="BM929" s="65"/>
      <c r="BN929" s="65"/>
      <c r="BO929" s="65"/>
      <c r="BP929" s="65"/>
      <c r="BQ929" s="65"/>
      <c r="BR929" s="65"/>
      <c r="BS929" s="65"/>
    </row>
    <row r="930" spans="52:71" x14ac:dyDescent="0.25">
      <c r="AZ930" s="65"/>
      <c r="BB930" s="65"/>
      <c r="BC930" s="65"/>
      <c r="BD930" s="65"/>
      <c r="BG930" s="65"/>
      <c r="BH930" s="65"/>
      <c r="BI930" s="65"/>
      <c r="BJ930" s="65"/>
      <c r="BK930" s="65"/>
      <c r="BL930" s="65"/>
      <c r="BM930" s="65"/>
      <c r="BN930" s="65"/>
      <c r="BO930" s="65"/>
      <c r="BP930" s="65"/>
      <c r="BQ930" s="65"/>
      <c r="BR930" s="65"/>
      <c r="BS930" s="65"/>
    </row>
    <row r="931" spans="52:71" x14ac:dyDescent="0.25">
      <c r="AZ931" s="65"/>
      <c r="BB931" s="65"/>
      <c r="BC931" s="65"/>
      <c r="BD931" s="65"/>
      <c r="BG931" s="65"/>
      <c r="BH931" s="65"/>
      <c r="BI931" s="65"/>
      <c r="BJ931" s="65"/>
      <c r="BK931" s="65"/>
      <c r="BL931" s="65"/>
      <c r="BM931" s="65"/>
      <c r="BN931" s="65"/>
      <c r="BO931" s="65"/>
      <c r="BP931" s="65"/>
      <c r="BQ931" s="65"/>
      <c r="BR931" s="65"/>
      <c r="BS931" s="65"/>
    </row>
    <row r="932" spans="52:71" x14ac:dyDescent="0.25">
      <c r="AZ932" s="65"/>
      <c r="BB932" s="65"/>
      <c r="BC932" s="65"/>
      <c r="BD932" s="65"/>
      <c r="BG932" s="65"/>
      <c r="BH932" s="65"/>
      <c r="BI932" s="65"/>
      <c r="BJ932" s="65"/>
      <c r="BK932" s="65"/>
      <c r="BL932" s="65"/>
      <c r="BM932" s="65"/>
      <c r="BN932" s="65"/>
      <c r="BO932" s="65"/>
      <c r="BP932" s="65"/>
      <c r="BQ932" s="65"/>
      <c r="BR932" s="65"/>
      <c r="BS932" s="65"/>
    </row>
    <row r="933" spans="52:71" x14ac:dyDescent="0.25">
      <c r="AZ933" s="65"/>
      <c r="BB933" s="65"/>
      <c r="BC933" s="65"/>
      <c r="BD933" s="65"/>
      <c r="BG933" s="65"/>
      <c r="BH933" s="65"/>
      <c r="BI933" s="65"/>
      <c r="BJ933" s="65"/>
      <c r="BK933" s="65"/>
      <c r="BL933" s="65"/>
      <c r="BM933" s="65"/>
      <c r="BN933" s="65"/>
      <c r="BO933" s="65"/>
      <c r="BP933" s="65"/>
      <c r="BQ933" s="65"/>
      <c r="BR933" s="65"/>
      <c r="BS933" s="65"/>
    </row>
    <row r="934" spans="52:71" x14ac:dyDescent="0.25">
      <c r="AZ934" s="65"/>
      <c r="BB934" s="65"/>
      <c r="BC934" s="65"/>
      <c r="BD934" s="65"/>
      <c r="BG934" s="65"/>
      <c r="BH934" s="65"/>
      <c r="BI934" s="65"/>
      <c r="BJ934" s="65"/>
      <c r="BK934" s="65"/>
      <c r="BL934" s="65"/>
      <c r="BM934" s="65"/>
      <c r="BN934" s="65"/>
      <c r="BO934" s="65"/>
      <c r="BP934" s="65"/>
      <c r="BQ934" s="65"/>
      <c r="BR934" s="65"/>
      <c r="BS934" s="65"/>
    </row>
    <row r="935" spans="52:71" x14ac:dyDescent="0.25">
      <c r="AZ935" s="65"/>
      <c r="BB935" s="65"/>
      <c r="BC935" s="65"/>
      <c r="BD935" s="65"/>
      <c r="BG935" s="65"/>
      <c r="BH935" s="65"/>
      <c r="BI935" s="65"/>
      <c r="BJ935" s="65"/>
      <c r="BK935" s="65"/>
      <c r="BL935" s="65"/>
      <c r="BM935" s="65"/>
      <c r="BN935" s="65"/>
      <c r="BO935" s="65"/>
      <c r="BP935" s="65"/>
      <c r="BQ935" s="65"/>
      <c r="BR935" s="65"/>
      <c r="BS935" s="65"/>
    </row>
    <row r="936" spans="52:71" x14ac:dyDescent="0.25">
      <c r="AZ936" s="65"/>
      <c r="BG936" s="65"/>
      <c r="BH936" s="65"/>
      <c r="BI936" s="65"/>
      <c r="BJ936" s="65"/>
      <c r="BK936" s="65"/>
      <c r="BL936" s="65"/>
      <c r="BM936" s="65"/>
      <c r="BN936" s="65"/>
      <c r="BO936" s="65"/>
      <c r="BP936" s="65"/>
      <c r="BQ936" s="65"/>
      <c r="BR936" s="65"/>
      <c r="BS936" s="65"/>
    </row>
    <row r="937" spans="52:71" x14ac:dyDescent="0.25">
      <c r="AZ937" s="65"/>
      <c r="BG937" s="65"/>
      <c r="BH937" s="65"/>
      <c r="BI937" s="65"/>
      <c r="BJ937" s="65"/>
      <c r="BK937" s="65"/>
      <c r="BL937" s="65"/>
      <c r="BM937" s="65"/>
      <c r="BN937" s="65"/>
      <c r="BO937" s="65"/>
      <c r="BP937" s="65"/>
      <c r="BQ937" s="65"/>
      <c r="BR937" s="65"/>
      <c r="BS937" s="65"/>
    </row>
    <row r="938" spans="52:71" x14ac:dyDescent="0.25">
      <c r="AZ938" s="65"/>
      <c r="BG938" s="65"/>
      <c r="BH938" s="65"/>
      <c r="BI938" s="65"/>
      <c r="BJ938" s="65"/>
      <c r="BK938" s="65"/>
      <c r="BL938" s="65"/>
      <c r="BM938" s="65"/>
      <c r="BN938" s="65"/>
      <c r="BO938" s="65"/>
      <c r="BP938" s="65"/>
      <c r="BQ938" s="65"/>
      <c r="BR938" s="65"/>
      <c r="BS938" s="65"/>
    </row>
    <row r="939" spans="52:71" x14ac:dyDescent="0.25">
      <c r="AZ939" s="65"/>
      <c r="BG939" s="65"/>
      <c r="BH939" s="65"/>
      <c r="BI939" s="65"/>
      <c r="BJ939" s="65"/>
      <c r="BK939" s="65"/>
      <c r="BL939" s="65"/>
      <c r="BM939" s="65"/>
      <c r="BN939" s="65"/>
      <c r="BO939" s="65"/>
      <c r="BP939" s="65"/>
      <c r="BQ939" s="65"/>
      <c r="BR939" s="65"/>
      <c r="BS939" s="65"/>
    </row>
    <row r="940" spans="52:71" x14ac:dyDescent="0.25">
      <c r="AZ940" s="65"/>
      <c r="BG940" s="65"/>
      <c r="BH940" s="65"/>
      <c r="BI940" s="65"/>
      <c r="BJ940" s="65"/>
      <c r="BK940" s="65"/>
      <c r="BL940" s="65"/>
      <c r="BM940" s="65"/>
      <c r="BN940" s="65"/>
      <c r="BO940" s="65"/>
      <c r="BP940" s="65"/>
      <c r="BQ940" s="65"/>
      <c r="BR940" s="65"/>
      <c r="BS940" s="65"/>
    </row>
    <row r="941" spans="52:71" x14ac:dyDescent="0.25">
      <c r="AZ941" s="65"/>
      <c r="BG941" s="65"/>
      <c r="BH941" s="65"/>
      <c r="BI941" s="65"/>
      <c r="BJ941" s="65"/>
      <c r="BK941" s="65"/>
      <c r="BL941" s="65"/>
      <c r="BM941" s="65"/>
      <c r="BN941" s="65"/>
      <c r="BO941" s="65"/>
      <c r="BP941" s="65"/>
      <c r="BQ941" s="65"/>
      <c r="BR941" s="65"/>
      <c r="BS941" s="65"/>
    </row>
    <row r="942" spans="52:71" x14ac:dyDescent="0.25">
      <c r="AZ942" s="65"/>
      <c r="BG942" s="65"/>
      <c r="BH942" s="65"/>
      <c r="BI942" s="65"/>
      <c r="BJ942" s="65"/>
      <c r="BK942" s="65"/>
      <c r="BL942" s="65"/>
      <c r="BM942" s="65"/>
      <c r="BN942" s="65"/>
      <c r="BO942" s="65"/>
      <c r="BP942" s="65"/>
      <c r="BQ942" s="65"/>
      <c r="BR942" s="65"/>
      <c r="BS942" s="65"/>
    </row>
    <row r="943" spans="52:71" x14ac:dyDescent="0.25">
      <c r="AZ943" s="65"/>
    </row>
    <row r="944" spans="52:71" x14ac:dyDescent="0.25">
      <c r="AZ944" s="65"/>
    </row>
    <row r="958" spans="1:1" x14ac:dyDescent="0.25">
      <c r="A958" s="54"/>
    </row>
    <row r="961" spans="1:28" x14ac:dyDescent="0.25">
      <c r="Y961" s="54"/>
    </row>
    <row r="962" spans="1:28" x14ac:dyDescent="0.25">
      <c r="A962" s="54"/>
      <c r="H962" s="54"/>
      <c r="I962" s="54"/>
    </row>
    <row r="963" spans="1:28" x14ac:dyDescent="0.25">
      <c r="A963" s="54"/>
      <c r="V963" s="56"/>
      <c r="AA963" s="56"/>
      <c r="AB963" s="56"/>
    </row>
    <row r="964" spans="1:28" x14ac:dyDescent="0.25">
      <c r="A964" s="54"/>
      <c r="V964" s="55"/>
      <c r="AA964" s="55"/>
      <c r="AB964" s="55"/>
    </row>
    <row r="965" spans="1:28" x14ac:dyDescent="0.25">
      <c r="A965" s="54"/>
      <c r="U965" s="54"/>
      <c r="AA965" s="56"/>
      <c r="AB965" s="56"/>
    </row>
    <row r="966" spans="1:28" x14ac:dyDescent="0.25">
      <c r="A966" s="54"/>
    </row>
    <row r="967" spans="1:28" x14ac:dyDescent="0.25">
      <c r="A967" s="54"/>
      <c r="U967" s="54"/>
      <c r="AA967" s="56"/>
      <c r="AB967" s="56"/>
    </row>
    <row r="968" spans="1:28" x14ac:dyDescent="0.25">
      <c r="A968" s="54"/>
    </row>
    <row r="969" spans="1:28" x14ac:dyDescent="0.25">
      <c r="A969" s="54"/>
      <c r="U969" s="54"/>
      <c r="V969" s="480"/>
      <c r="AA969" s="56"/>
      <c r="AB969" s="56"/>
    </row>
    <row r="970" spans="1:28" x14ac:dyDescent="0.25">
      <c r="A970" s="54"/>
    </row>
    <row r="971" spans="1:28" x14ac:dyDescent="0.25">
      <c r="A971" s="54"/>
      <c r="U971" s="54"/>
      <c r="AA971" s="56"/>
      <c r="AB971" s="56"/>
    </row>
    <row r="972" spans="1:28" x14ac:dyDescent="0.25">
      <c r="A972" s="54"/>
    </row>
    <row r="973" spans="1:28" x14ac:dyDescent="0.25">
      <c r="A973" s="54"/>
      <c r="U973" s="54"/>
      <c r="AA973" s="56"/>
      <c r="AB973" s="56"/>
    </row>
    <row r="974" spans="1:28" x14ac:dyDescent="0.25">
      <c r="A974" s="54"/>
    </row>
    <row r="975" spans="1:28" x14ac:dyDescent="0.25">
      <c r="A975" s="54"/>
    </row>
    <row r="976" spans="1:28" x14ac:dyDescent="0.25">
      <c r="A976" s="54"/>
    </row>
    <row r="977" spans="1:9" x14ac:dyDescent="0.25">
      <c r="A977" s="54"/>
    </row>
    <row r="978" spans="1:9" x14ac:dyDescent="0.25">
      <c r="A978" s="54"/>
    </row>
    <row r="979" spans="1:9" x14ac:dyDescent="0.25">
      <c r="A979" s="54"/>
    </row>
    <row r="980" spans="1:9" x14ac:dyDescent="0.25">
      <c r="A980" s="54"/>
    </row>
    <row r="981" spans="1:9" x14ac:dyDescent="0.25">
      <c r="A981" s="54"/>
    </row>
    <row r="982" spans="1:9" x14ac:dyDescent="0.25">
      <c r="A982" s="54"/>
    </row>
    <row r="983" spans="1:9" x14ac:dyDescent="0.25">
      <c r="A983" s="54"/>
    </row>
    <row r="984" spans="1:9" x14ac:dyDescent="0.25">
      <c r="A984" s="54"/>
      <c r="H984" s="54"/>
      <c r="I984" s="54"/>
    </row>
    <row r="987" spans="1:9" x14ac:dyDescent="0.25">
      <c r="A987" s="54"/>
    </row>
    <row r="990" spans="1:9" x14ac:dyDescent="0.25">
      <c r="A990" s="54"/>
    </row>
    <row r="993" spans="1:1" x14ac:dyDescent="0.25">
      <c r="A993" s="54"/>
    </row>
    <row r="994" spans="1:1" x14ac:dyDescent="0.25">
      <c r="A994" s="54"/>
    </row>
    <row r="995" spans="1:1" x14ac:dyDescent="0.25">
      <c r="A995" s="54"/>
    </row>
    <row r="996" spans="1:1" x14ac:dyDescent="0.25">
      <c r="A996" s="54"/>
    </row>
    <row r="997" spans="1:1" x14ac:dyDescent="0.25">
      <c r="A997" s="54"/>
    </row>
    <row r="998" spans="1:1" x14ac:dyDescent="0.25">
      <c r="A998" s="54"/>
    </row>
    <row r="999" spans="1:1" x14ac:dyDescent="0.25">
      <c r="A999" s="54"/>
    </row>
    <row r="1000" spans="1:1" x14ac:dyDescent="0.25">
      <c r="A1000" s="54"/>
    </row>
    <row r="1001" spans="1:1" x14ac:dyDescent="0.25">
      <c r="A1001" s="54"/>
    </row>
    <row r="1002" spans="1:1" x14ac:dyDescent="0.25">
      <c r="A1002" s="54"/>
    </row>
    <row r="1003" spans="1:1" x14ac:dyDescent="0.25">
      <c r="A1003" s="54"/>
    </row>
    <row r="1004" spans="1:1" x14ac:dyDescent="0.25">
      <c r="A1004" s="54"/>
    </row>
    <row r="1005" spans="1:1" x14ac:dyDescent="0.25">
      <c r="A1005" s="54"/>
    </row>
    <row r="1006" spans="1:1" x14ac:dyDescent="0.25">
      <c r="A1006" s="54"/>
    </row>
    <row r="1007" spans="1:1" x14ac:dyDescent="0.25">
      <c r="A1007" s="54"/>
    </row>
    <row r="1008" spans="1:1" x14ac:dyDescent="0.25">
      <c r="A1008" s="54"/>
    </row>
    <row r="1009" spans="1:1" x14ac:dyDescent="0.25">
      <c r="A1009" s="54"/>
    </row>
    <row r="1010" spans="1:1" x14ac:dyDescent="0.25">
      <c r="A1010" s="54"/>
    </row>
    <row r="1011" spans="1:1" x14ac:dyDescent="0.25">
      <c r="A1011" s="54"/>
    </row>
    <row r="1012" spans="1:1" x14ac:dyDescent="0.25">
      <c r="A1012" s="54"/>
    </row>
    <row r="1013" spans="1:1" x14ac:dyDescent="0.25">
      <c r="A1013" s="54"/>
    </row>
    <row r="1014" spans="1:1" x14ac:dyDescent="0.25">
      <c r="A1014" s="54"/>
    </row>
    <row r="1015" spans="1:1" x14ac:dyDescent="0.25">
      <c r="A1015" s="54"/>
    </row>
    <row r="1016" spans="1:1" x14ac:dyDescent="0.25">
      <c r="A1016" s="54"/>
    </row>
    <row r="1017" spans="1:1" x14ac:dyDescent="0.25">
      <c r="A1017" s="54"/>
    </row>
    <row r="1018" spans="1:1" x14ac:dyDescent="0.25">
      <c r="A1018" s="54"/>
    </row>
    <row r="1019" spans="1:1" x14ac:dyDescent="0.25">
      <c r="A1019" s="54"/>
    </row>
    <row r="1020" spans="1:1" x14ac:dyDescent="0.25">
      <c r="A1020" s="54"/>
    </row>
    <row r="1021" spans="1:1" x14ac:dyDescent="0.25">
      <c r="A1021" s="54"/>
    </row>
    <row r="1022" spans="1:1" x14ac:dyDescent="0.25">
      <c r="A1022" s="54"/>
    </row>
    <row r="1023" spans="1:1" x14ac:dyDescent="0.25">
      <c r="A1023" s="54"/>
    </row>
    <row r="1024" spans="1:1" x14ac:dyDescent="0.25">
      <c r="A1024" s="54"/>
    </row>
    <row r="1025" spans="1:1" x14ac:dyDescent="0.25">
      <c r="A1025" s="54"/>
    </row>
    <row r="1026" spans="1:1" x14ac:dyDescent="0.25">
      <c r="A1026" s="54"/>
    </row>
    <row r="1027" spans="1:1" x14ac:dyDescent="0.25">
      <c r="A1027" s="54"/>
    </row>
    <row r="1032" spans="1:1" x14ac:dyDescent="0.25">
      <c r="A1032" s="54"/>
    </row>
    <row r="1033" spans="1:1" x14ac:dyDescent="0.25">
      <c r="A1033" s="54"/>
    </row>
    <row r="1036" spans="1:1" x14ac:dyDescent="0.25">
      <c r="A1036" s="54"/>
    </row>
    <row r="1038" spans="1:1" x14ac:dyDescent="0.25">
      <c r="A1038" s="54"/>
    </row>
    <row r="1040" spans="1:1" x14ac:dyDescent="0.25">
      <c r="A1040" s="54"/>
    </row>
    <row r="1042" spans="1:1" x14ac:dyDescent="0.25">
      <c r="A1042" s="54"/>
    </row>
    <row r="1045" spans="1:1" x14ac:dyDescent="0.25">
      <c r="A1045" s="54"/>
    </row>
    <row r="1046" spans="1:1" x14ac:dyDescent="0.25">
      <c r="A1046" s="54"/>
    </row>
    <row r="1047" spans="1:1" x14ac:dyDescent="0.25">
      <c r="A1047" s="54"/>
    </row>
    <row r="1048" spans="1:1" x14ac:dyDescent="0.25">
      <c r="A1048" s="54"/>
    </row>
    <row r="1049" spans="1:1" x14ac:dyDescent="0.25">
      <c r="A1049" s="54"/>
    </row>
    <row r="1050" spans="1:1" x14ac:dyDescent="0.25">
      <c r="A1050" s="54"/>
    </row>
    <row r="1051" spans="1:1" x14ac:dyDescent="0.25">
      <c r="A1051" s="54"/>
    </row>
    <row r="1052" spans="1:1" x14ac:dyDescent="0.25">
      <c r="A1052" s="54"/>
    </row>
  </sheetData>
  <printOptions horizontalCentered="1"/>
  <pageMargins left="0.75" right="0.75" top="1" bottom="1" header="0.5" footer="0.5"/>
  <pageSetup scale="43" orientation="landscape" r:id="rId1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6" manualBreakCount="16">
    <brk id="66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22" transitionEvaluation="1" transitionEntry="1" codeName="Sheet17"/>
  <dimension ref="A1:BX1063"/>
  <sheetViews>
    <sheetView tabSelected="1" view="pageBreakPreview" topLeftCell="A22" zoomScale="60" zoomScaleNormal="75" workbookViewId="0">
      <selection sqref="A1:J1"/>
    </sheetView>
  </sheetViews>
  <sheetFormatPr defaultColWidth="9.77734375" defaultRowHeight="15.75" x14ac:dyDescent="0.25"/>
  <cols>
    <col min="1" max="1" width="5.21875" style="380" customWidth="1"/>
    <col min="2" max="2" width="0.44140625" style="380" customWidth="1"/>
    <col min="3" max="3" width="6.77734375" style="380" customWidth="1"/>
    <col min="4" max="4" width="42.77734375" style="380" customWidth="1"/>
    <col min="5" max="5" width="0.8867187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1.33203125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2.77734375" style="380" customWidth="1"/>
    <col min="15" max="15" width="0.5546875" style="380" customWidth="1"/>
    <col min="16" max="16" width="14.77734375" style="380" customWidth="1"/>
    <col min="17" max="17" width="0.5546875" style="380" customWidth="1"/>
    <col min="18" max="18" width="18.88671875" style="380" customWidth="1"/>
    <col min="19" max="19" width="6.77734375" style="380" customWidth="1"/>
    <col min="20" max="20" width="5.44140625" style="380" customWidth="1"/>
    <col min="21" max="21" width="0.5546875" style="380" customWidth="1"/>
    <col min="22" max="22" width="4.5546875" style="380" customWidth="1"/>
    <col min="23" max="23" width="39" style="380" customWidth="1"/>
    <col min="24" max="24" width="0.5546875" style="380" customWidth="1"/>
    <col min="25" max="25" width="9.6640625" style="380" customWidth="1"/>
    <col min="26" max="26" width="0.6640625" style="380" customWidth="1"/>
    <col min="27" max="27" width="13.33203125" style="380" customWidth="1"/>
    <col min="28" max="28" width="0.6640625" style="380" customWidth="1"/>
    <col min="29" max="29" width="11.88671875" style="380" customWidth="1"/>
    <col min="30" max="30" width="0.88671875" style="380" customWidth="1"/>
    <col min="31" max="31" width="12.88671875" style="380" customWidth="1"/>
    <col min="32" max="32" width="0.77734375" style="380" customWidth="1"/>
    <col min="33" max="33" width="13.6640625" style="153" customWidth="1"/>
    <col min="34" max="34" width="0.6640625" style="380" customWidth="1"/>
    <col min="35" max="35" width="14.33203125" style="380" customWidth="1"/>
    <col min="36" max="36" width="0.77734375" style="380" customWidth="1"/>
    <col min="37" max="37" width="14.5546875" style="153" customWidth="1"/>
    <col min="38" max="38" width="0.5546875" style="380" customWidth="1"/>
    <col min="39" max="39" width="12.109375" style="380" customWidth="1"/>
    <col min="40" max="40" width="0.5546875" style="380" customWidth="1"/>
    <col min="41" max="41" width="13.21875" style="380" customWidth="1"/>
    <col min="42" max="42" width="0.6640625" style="380" customWidth="1"/>
    <col min="43" max="43" width="11.21875" style="153" customWidth="1"/>
    <col min="44" max="44" width="14.77734375" style="380" customWidth="1"/>
    <col min="45" max="45" width="4.77734375" style="380" customWidth="1"/>
    <col min="46" max="46" width="5.77734375" style="380" customWidth="1"/>
    <col min="47" max="47" width="10.77734375" style="380" customWidth="1"/>
    <col min="48" max="48" width="11.77734375" style="380" customWidth="1"/>
    <col min="49" max="49" width="12.77734375" style="380" customWidth="1"/>
    <col min="50" max="52" width="15.77734375" style="380" customWidth="1"/>
    <col min="53" max="53" width="12.77734375" style="380" customWidth="1"/>
    <col min="54" max="56" width="15.77734375" style="380" customWidth="1"/>
    <col min="57" max="57" width="12.77734375" style="380" customWidth="1"/>
    <col min="58" max="59" width="9.77734375" style="380"/>
    <col min="60" max="62" width="12.77734375" style="380" customWidth="1"/>
    <col min="63" max="63" width="14.77734375" style="380" customWidth="1"/>
    <col min="64" max="65" width="9.77734375" style="380"/>
    <col min="66" max="68" width="12.77734375" style="380" customWidth="1"/>
    <col min="69" max="69" width="14.77734375" style="380" customWidth="1"/>
    <col min="70" max="76" width="9.77734375" style="380"/>
    <col min="77" max="77" width="1.77734375" style="380" customWidth="1"/>
    <col min="78" max="79" width="9.77734375" style="380"/>
    <col min="80" max="80" width="10.77734375" style="380" customWidth="1"/>
    <col min="81" max="82" width="9.77734375" style="380"/>
    <col min="83" max="83" width="7.77734375" style="380" customWidth="1"/>
    <col min="84" max="16384" width="9.77734375" style="380"/>
  </cols>
  <sheetData>
    <row r="1" spans="1:40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3"/>
      <c r="K1" s="44"/>
      <c r="L1" s="44"/>
      <c r="M1" s="43"/>
      <c r="N1" s="43"/>
      <c r="O1" s="43"/>
      <c r="P1" s="43"/>
      <c r="Q1" s="43"/>
      <c r="R1" s="43"/>
      <c r="Z1" s="53"/>
    </row>
    <row r="2" spans="1:40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3"/>
      <c r="K2" s="44"/>
      <c r="L2" s="44"/>
      <c r="M2" s="43"/>
      <c r="N2" s="43"/>
      <c r="O2" s="43"/>
      <c r="P2" s="43"/>
      <c r="Q2" s="43"/>
      <c r="R2" s="43"/>
      <c r="Z2" s="53"/>
    </row>
    <row r="3" spans="1:40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Y3" s="54"/>
    </row>
    <row r="4" spans="1:4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3"/>
      <c r="K4" s="44"/>
      <c r="L4" s="44"/>
      <c r="M4" s="43"/>
      <c r="N4" s="43"/>
      <c r="O4" s="43"/>
      <c r="P4" s="43"/>
      <c r="Q4" s="43"/>
      <c r="R4" s="43"/>
      <c r="Z4" s="53"/>
    </row>
    <row r="5" spans="1:4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4"/>
      <c r="N5" s="44"/>
      <c r="O5" s="43"/>
      <c r="P5" s="43"/>
      <c r="Q5" s="43"/>
      <c r="R5" s="43"/>
      <c r="AA5" s="54"/>
      <c r="AB5" s="54"/>
    </row>
    <row r="6" spans="1:40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K6" s="161"/>
      <c r="AL6" s="54"/>
    </row>
    <row r="7" spans="1:40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18 OF "&amp;TEXT(Page_Num_2.3,"00")</f>
        <v>PAGE 18 OF 23</v>
      </c>
      <c r="AK7" s="161"/>
      <c r="AL7" s="54"/>
    </row>
    <row r="8" spans="1:40" x14ac:dyDescent="0.25">
      <c r="A8" s="46" t="s">
        <v>177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K8" s="161"/>
      <c r="AL8" s="54"/>
    </row>
    <row r="9" spans="1:40" x14ac:dyDescent="0.25">
      <c r="A9" s="218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N9" s="46"/>
      <c r="O9" s="378"/>
      <c r="P9" s="378"/>
      <c r="Q9" s="378"/>
      <c r="R9" s="45" t="str">
        <f>WIT</f>
        <v>J. L. Kern</v>
      </c>
      <c r="AK9" s="161"/>
      <c r="AL9" s="54"/>
    </row>
    <row r="10" spans="1:40" x14ac:dyDescent="0.25">
      <c r="A10" s="44" t="s">
        <v>136</v>
      </c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4"/>
      <c r="N10" s="44"/>
      <c r="O10" s="43"/>
      <c r="P10" s="43"/>
      <c r="Q10" s="43"/>
      <c r="R10" s="43"/>
      <c r="AA10" s="54"/>
      <c r="AB10" s="54"/>
      <c r="AK10" s="156"/>
      <c r="AL10" s="53"/>
    </row>
    <row r="11" spans="1:40" x14ac:dyDescent="0.25">
      <c r="A11" s="72"/>
      <c r="B11" s="72"/>
      <c r="C11" s="72"/>
      <c r="D11" s="72"/>
      <c r="E11" s="72"/>
      <c r="F11" s="72"/>
      <c r="G11" s="378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X11" s="55"/>
      <c r="Y11" s="55"/>
      <c r="Z11" s="55"/>
      <c r="AA11" s="55"/>
      <c r="AB11" s="55"/>
      <c r="AC11" s="55"/>
      <c r="AD11" s="55"/>
      <c r="AE11" s="55"/>
      <c r="AF11" s="55"/>
      <c r="AG11" s="154"/>
      <c r="AH11" s="55"/>
      <c r="AI11" s="55"/>
      <c r="AJ11" s="55"/>
      <c r="AK11" s="154"/>
      <c r="AL11" s="55"/>
      <c r="AM11" s="55"/>
      <c r="AN11" s="55"/>
    </row>
    <row r="12" spans="1:40" ht="18" customHeight="1" x14ac:dyDescent="0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4" t="s">
        <v>6</v>
      </c>
      <c r="M12" s="74"/>
      <c r="N12" s="74" t="s">
        <v>7</v>
      </c>
      <c r="O12" s="74"/>
      <c r="P12" s="73"/>
      <c r="Q12" s="73"/>
      <c r="R12" s="74" t="s">
        <v>6</v>
      </c>
      <c r="AA12" s="56"/>
      <c r="AB12" s="56"/>
      <c r="AC12" s="56"/>
      <c r="AD12" s="56"/>
      <c r="AE12" s="56"/>
      <c r="AF12" s="56"/>
      <c r="AG12" s="155"/>
      <c r="AH12" s="56"/>
      <c r="AK12" s="155"/>
      <c r="AL12" s="56"/>
      <c r="AM12" s="56"/>
      <c r="AN12" s="56"/>
    </row>
    <row r="13" spans="1:40" x14ac:dyDescent="0.25">
      <c r="A13" s="378"/>
      <c r="B13" s="378"/>
      <c r="C13" s="378"/>
      <c r="D13" s="378"/>
      <c r="E13" s="378"/>
      <c r="F13" s="378"/>
      <c r="G13" s="378"/>
      <c r="H13" s="378"/>
      <c r="I13" s="378"/>
      <c r="J13" s="378"/>
      <c r="K13" s="378"/>
      <c r="L13" s="426" t="s">
        <v>12</v>
      </c>
      <c r="M13" s="426"/>
      <c r="N13" s="426" t="s">
        <v>13</v>
      </c>
      <c r="O13" s="426"/>
      <c r="P13" s="378"/>
      <c r="Q13" s="378"/>
      <c r="R13" s="426" t="s">
        <v>11</v>
      </c>
      <c r="Z13" s="56"/>
      <c r="AA13" s="56"/>
      <c r="AB13" s="56"/>
      <c r="AC13" s="56"/>
      <c r="AD13" s="56"/>
      <c r="AE13" s="56"/>
      <c r="AF13" s="56"/>
      <c r="AG13" s="155"/>
      <c r="AH13" s="56"/>
      <c r="AK13" s="155"/>
      <c r="AL13" s="56"/>
      <c r="AM13" s="56"/>
      <c r="AN13" s="56"/>
    </row>
    <row r="14" spans="1:40" x14ac:dyDescent="0.25">
      <c r="A14" s="426" t="s">
        <v>17</v>
      </c>
      <c r="B14" s="378"/>
      <c r="C14" s="426" t="s">
        <v>18</v>
      </c>
      <c r="D14" s="426" t="s">
        <v>19</v>
      </c>
      <c r="E14" s="426"/>
      <c r="F14" s="426" t="s">
        <v>20</v>
      </c>
      <c r="G14" s="378"/>
      <c r="H14" s="378"/>
      <c r="I14" s="378"/>
      <c r="J14" s="426" t="s">
        <v>6</v>
      </c>
      <c r="K14" s="426"/>
      <c r="L14" s="426" t="s">
        <v>21</v>
      </c>
      <c r="M14" s="426"/>
      <c r="N14" s="426" t="s">
        <v>21</v>
      </c>
      <c r="O14" s="426"/>
      <c r="P14" s="426" t="s">
        <v>21</v>
      </c>
      <c r="Q14" s="426"/>
      <c r="R14" s="426" t="s">
        <v>9</v>
      </c>
      <c r="Z14" s="56"/>
      <c r="AA14" s="56"/>
      <c r="AB14" s="56"/>
      <c r="AC14" s="56"/>
      <c r="AD14" s="56"/>
      <c r="AE14" s="56"/>
      <c r="AF14" s="56"/>
      <c r="AG14" s="155"/>
      <c r="AH14" s="56"/>
      <c r="AI14" s="56"/>
      <c r="AJ14" s="56"/>
      <c r="AK14" s="155"/>
      <c r="AL14" s="56"/>
      <c r="AM14" s="56"/>
      <c r="AN14" s="56"/>
    </row>
    <row r="15" spans="1:40" x14ac:dyDescent="0.25">
      <c r="A15" s="426" t="s">
        <v>24</v>
      </c>
      <c r="B15" s="378"/>
      <c r="C15" s="426" t="s">
        <v>25</v>
      </c>
      <c r="D15" s="426" t="s">
        <v>26</v>
      </c>
      <c r="E15" s="426"/>
      <c r="F15" s="426" t="s">
        <v>27</v>
      </c>
      <c r="G15" s="378"/>
      <c r="H15" s="426" t="s">
        <v>28</v>
      </c>
      <c r="I15" s="426"/>
      <c r="J15" s="70" t="s">
        <v>380</v>
      </c>
      <c r="K15" s="426"/>
      <c r="L15" s="426" t="s">
        <v>9</v>
      </c>
      <c r="M15" s="426"/>
      <c r="N15" s="426" t="s">
        <v>9</v>
      </c>
      <c r="O15" s="426"/>
      <c r="P15" s="426" t="s">
        <v>379</v>
      </c>
      <c r="Q15" s="426"/>
      <c r="R15" s="265" t="s">
        <v>30</v>
      </c>
      <c r="T15" s="56"/>
      <c r="U15" s="56"/>
      <c r="V15" s="56"/>
      <c r="Y15" s="56"/>
      <c r="Z15" s="56"/>
      <c r="AA15" s="56"/>
      <c r="AB15" s="56"/>
      <c r="AC15" s="56"/>
      <c r="AD15" s="56"/>
      <c r="AE15" s="56"/>
      <c r="AF15" s="56"/>
      <c r="AG15" s="155"/>
      <c r="AH15" s="56"/>
      <c r="AI15" s="56"/>
      <c r="AJ15" s="56"/>
      <c r="AK15" s="155"/>
      <c r="AL15" s="56"/>
      <c r="AM15" s="56"/>
      <c r="AN15" s="56"/>
    </row>
    <row r="16" spans="1:40" x14ac:dyDescent="0.25">
      <c r="A16" s="378"/>
      <c r="B16" s="378"/>
      <c r="C16" s="265" t="s">
        <v>35</v>
      </c>
      <c r="D16" s="265" t="s">
        <v>36</v>
      </c>
      <c r="E16" s="265"/>
      <c r="F16" s="265" t="s">
        <v>37</v>
      </c>
      <c r="G16" s="218"/>
      <c r="H16" s="265" t="s">
        <v>38</v>
      </c>
      <c r="I16" s="265"/>
      <c r="J16" s="265" t="s">
        <v>39</v>
      </c>
      <c r="K16" s="265"/>
      <c r="L16" s="265" t="s">
        <v>40</v>
      </c>
      <c r="M16" s="265"/>
      <c r="N16" s="265" t="s">
        <v>41</v>
      </c>
      <c r="O16" s="265"/>
      <c r="P16" s="265" t="s">
        <v>42</v>
      </c>
      <c r="Q16" s="265"/>
      <c r="R16" s="265" t="s">
        <v>43</v>
      </c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154"/>
      <c r="AH16" s="55"/>
      <c r="AI16" s="55"/>
      <c r="AJ16" s="55"/>
      <c r="AK16" s="154"/>
      <c r="AL16" s="55"/>
      <c r="AM16" s="55"/>
      <c r="AN16" s="55"/>
    </row>
    <row r="17" spans="1:43" ht="17.100000000000001" customHeight="1" x14ac:dyDescent="0.25">
      <c r="A17" s="73"/>
      <c r="B17" s="73"/>
      <c r="C17" s="73"/>
      <c r="D17" s="73"/>
      <c r="E17" s="73"/>
      <c r="F17" s="73"/>
      <c r="G17" s="73"/>
      <c r="H17" s="496" t="s">
        <v>51</v>
      </c>
      <c r="I17" s="496"/>
      <c r="J17" s="495" t="s">
        <v>71</v>
      </c>
      <c r="K17" s="496"/>
      <c r="L17" s="496" t="s">
        <v>52</v>
      </c>
      <c r="M17" s="496"/>
      <c r="N17" s="496" t="s">
        <v>53</v>
      </c>
      <c r="O17" s="496"/>
      <c r="P17" s="496" t="s">
        <v>52</v>
      </c>
      <c r="Q17" s="496"/>
      <c r="R17" s="496" t="s">
        <v>52</v>
      </c>
      <c r="Y17" s="137" t="s">
        <v>470</v>
      </c>
      <c r="Z17" s="56"/>
      <c r="AA17" s="56"/>
      <c r="AB17" s="56"/>
      <c r="AC17" s="56"/>
      <c r="AD17" s="56"/>
      <c r="AE17" s="56"/>
      <c r="AF17" s="56"/>
      <c r="AG17" s="155"/>
      <c r="AH17" s="56"/>
      <c r="AI17" s="56"/>
      <c r="AJ17" s="56"/>
      <c r="AK17" s="155"/>
      <c r="AL17" s="56"/>
      <c r="AM17" s="56"/>
      <c r="AN17" s="56"/>
    </row>
    <row r="18" spans="1:43" x14ac:dyDescent="0.25">
      <c r="A18" s="45">
        <v>1</v>
      </c>
      <c r="B18" s="378"/>
      <c r="C18" s="222" t="s">
        <v>92</v>
      </c>
      <c r="D18" s="444" t="s">
        <v>230</v>
      </c>
      <c r="E18" s="46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T18" s="54"/>
      <c r="U18" s="54"/>
      <c r="Y18" s="137" t="s">
        <v>471</v>
      </c>
    </row>
    <row r="19" spans="1:43" x14ac:dyDescent="0.25">
      <c r="A19" s="378"/>
      <c r="B19" s="378"/>
      <c r="C19" s="378"/>
      <c r="D19" s="378"/>
      <c r="E19" s="378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T19" s="54"/>
      <c r="Y19" s="137" t="s">
        <v>472</v>
      </c>
    </row>
    <row r="20" spans="1:43" x14ac:dyDescent="0.25">
      <c r="A20" s="45">
        <v>2</v>
      </c>
      <c r="B20" s="378"/>
      <c r="C20" s="444" t="s">
        <v>231</v>
      </c>
      <c r="D20" s="378"/>
      <c r="E20" s="378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43" x14ac:dyDescent="0.25">
      <c r="A21" s="45">
        <v>3</v>
      </c>
      <c r="B21" s="378"/>
      <c r="C21" s="444" t="s">
        <v>232</v>
      </c>
      <c r="D21" s="378"/>
      <c r="E21" s="37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379"/>
      <c r="V21" s="381"/>
      <c r="Y21" s="379"/>
      <c r="Z21" s="449"/>
      <c r="AA21" s="379"/>
      <c r="AB21" s="379"/>
      <c r="AC21" s="50"/>
      <c r="AD21" s="50"/>
      <c r="AE21" s="379"/>
      <c r="AF21" s="379"/>
      <c r="AI21" s="379"/>
      <c r="AJ21" s="379"/>
      <c r="AK21" s="156"/>
      <c r="AL21" s="379"/>
    </row>
    <row r="22" spans="1:43" x14ac:dyDescent="0.25">
      <c r="A22" s="45">
        <v>4</v>
      </c>
      <c r="B22" s="378"/>
      <c r="C22" s="52" t="s">
        <v>94</v>
      </c>
      <c r="D22" s="378"/>
      <c r="E22" s="378"/>
      <c r="F22" s="391">
        <v>0</v>
      </c>
      <c r="G22" s="131"/>
      <c r="H22" s="391">
        <f>ROUND(F22*786/12,0)</f>
        <v>0</v>
      </c>
      <c r="I22" s="86"/>
      <c r="J22" s="223">
        <f>ROUND(AC72+(AC72*LT_COS_RATE),2)</f>
        <v>10.58</v>
      </c>
      <c r="K22" s="485"/>
      <c r="L22" s="5">
        <f>ROUND((F22*J22),0)</f>
        <v>0</v>
      </c>
      <c r="M22" s="5"/>
      <c r="N22" s="6">
        <f>ROUND((L22/L$45)*100,1)</f>
        <v>0</v>
      </c>
      <c r="O22" s="6"/>
      <c r="P22" s="5">
        <f>ROUND($P$45/$H$45*H22,0)</f>
        <v>0</v>
      </c>
      <c r="Q22" s="5"/>
      <c r="R22" s="5">
        <f>L22+P22</f>
        <v>0</v>
      </c>
      <c r="S22" s="379"/>
      <c r="V22" s="381"/>
      <c r="Y22" s="78">
        <f>J22-AY72</f>
        <v>9.36</v>
      </c>
      <c r="Z22" s="464"/>
      <c r="AA22" s="381"/>
      <c r="AB22" s="381"/>
      <c r="AC22" s="381"/>
      <c r="AD22" s="381"/>
      <c r="AE22" s="381"/>
      <c r="AF22" s="381"/>
      <c r="AI22" s="381"/>
      <c r="AJ22" s="381"/>
      <c r="AK22" s="162"/>
      <c r="AL22" s="381"/>
      <c r="AM22" s="50"/>
      <c r="AN22" s="50"/>
    </row>
    <row r="23" spans="1:43" x14ac:dyDescent="0.25">
      <c r="A23" s="45">
        <v>5</v>
      </c>
      <c r="B23" s="378"/>
      <c r="C23" s="52" t="s">
        <v>93</v>
      </c>
      <c r="D23" s="378"/>
      <c r="E23" s="378"/>
      <c r="F23" s="336">
        <v>144</v>
      </c>
      <c r="G23" s="131"/>
      <c r="H23" s="391">
        <f>ROUND(F23*786/12,0)</f>
        <v>9432</v>
      </c>
      <c r="I23" s="5"/>
      <c r="J23" s="223">
        <f>ROUND(AC73+(AC73*LT_COS_RATE),2)</f>
        <v>8.2200000000000006</v>
      </c>
      <c r="K23" s="7"/>
      <c r="L23" s="5">
        <f>ROUND((F23*J23),0)</f>
        <v>1184</v>
      </c>
      <c r="M23" s="5"/>
      <c r="N23" s="6">
        <f>ROUND((L23/L$45)*100,1)</f>
        <v>1.3</v>
      </c>
      <c r="O23" s="6"/>
      <c r="P23" s="5">
        <f>ROUND($P$45/$H$45*H23,0)</f>
        <v>6</v>
      </c>
      <c r="Q23" s="5"/>
      <c r="R23" s="5">
        <f>L23+P23</f>
        <v>1190</v>
      </c>
      <c r="S23" s="379"/>
      <c r="V23" s="449"/>
      <c r="Y23" s="78">
        <f>J23-AY73</f>
        <v>6.66</v>
      </c>
      <c r="Z23" s="464"/>
      <c r="AA23" s="379"/>
      <c r="AB23" s="379"/>
      <c r="AC23" s="50"/>
      <c r="AD23" s="50"/>
      <c r="AE23" s="379"/>
      <c r="AF23" s="379"/>
      <c r="AI23" s="379"/>
      <c r="AJ23" s="379"/>
      <c r="AK23" s="156"/>
      <c r="AL23" s="379"/>
      <c r="AM23" s="50"/>
      <c r="AN23" s="50"/>
    </row>
    <row r="24" spans="1:43" x14ac:dyDescent="0.25">
      <c r="A24" s="45">
        <v>6</v>
      </c>
      <c r="B24" s="378"/>
      <c r="C24" s="444" t="s">
        <v>233</v>
      </c>
      <c r="D24" s="378"/>
      <c r="E24" s="378"/>
      <c r="F24" s="336"/>
      <c r="G24" s="131"/>
      <c r="H24" s="191"/>
      <c r="I24" s="5"/>
      <c r="J24" s="75"/>
      <c r="K24" s="7"/>
      <c r="L24" s="5"/>
      <c r="M24" s="5"/>
      <c r="N24" s="6"/>
      <c r="O24" s="6"/>
      <c r="P24" s="5"/>
      <c r="Q24" s="5"/>
      <c r="R24" s="5"/>
      <c r="S24" s="379"/>
      <c r="V24" s="449"/>
      <c r="Y24" s="221"/>
      <c r="Z24" s="464"/>
      <c r="AA24" s="379"/>
      <c r="AB24" s="379"/>
      <c r="AC24" s="50"/>
      <c r="AD24" s="50"/>
      <c r="AE24" s="379"/>
      <c r="AF24" s="379"/>
      <c r="AI24" s="379"/>
      <c r="AJ24" s="379"/>
      <c r="AK24" s="156"/>
      <c r="AL24" s="379"/>
      <c r="AM24" s="50"/>
      <c r="AN24" s="50"/>
    </row>
    <row r="25" spans="1:43" x14ac:dyDescent="0.25">
      <c r="A25" s="45">
        <v>7</v>
      </c>
      <c r="B25" s="378"/>
      <c r="C25" s="52" t="s">
        <v>234</v>
      </c>
      <c r="D25" s="378"/>
      <c r="E25" s="378"/>
      <c r="F25" s="336"/>
      <c r="G25" s="131"/>
      <c r="H25" s="191"/>
      <c r="I25" s="5"/>
      <c r="J25" s="75"/>
      <c r="K25" s="7"/>
      <c r="L25" s="2"/>
      <c r="M25" s="2"/>
      <c r="N25" s="2"/>
      <c r="O25" s="2"/>
      <c r="P25" s="2"/>
      <c r="Q25" s="2"/>
      <c r="R25" s="2"/>
      <c r="Y25" s="77"/>
    </row>
    <row r="26" spans="1:43" x14ac:dyDescent="0.25">
      <c r="A26" s="45">
        <v>8</v>
      </c>
      <c r="B26" s="378"/>
      <c r="C26" s="52" t="s">
        <v>235</v>
      </c>
      <c r="D26" s="378"/>
      <c r="E26" s="378"/>
      <c r="F26" s="391">
        <v>372</v>
      </c>
      <c r="G26" s="131"/>
      <c r="H26" s="391">
        <f>ROUND(F26*1215/12,0)</f>
        <v>37665</v>
      </c>
      <c r="I26" s="86"/>
      <c r="J26" s="223">
        <f>ROUND(AC76+(AC76*LT_COS_RATE),2)</f>
        <v>19.260000000000002</v>
      </c>
      <c r="K26" s="485"/>
      <c r="L26" s="5">
        <f>ROUND((F26*J26),0)</f>
        <v>7165</v>
      </c>
      <c r="M26" s="5"/>
      <c r="N26" s="6">
        <f>ROUND((L26/L$45)*100,1)</f>
        <v>8.1</v>
      </c>
      <c r="O26" s="6"/>
      <c r="P26" s="5">
        <f>ROUND($P$45/$H$45*H26,0)</f>
        <v>26</v>
      </c>
      <c r="Q26" s="5"/>
      <c r="R26" s="5">
        <f>L26+P26</f>
        <v>7191</v>
      </c>
      <c r="S26" s="382"/>
      <c r="Y26" s="78">
        <f>J26-AY76</f>
        <v>16.850000000000001</v>
      </c>
    </row>
    <row r="27" spans="1:43" x14ac:dyDescent="0.25">
      <c r="A27" s="45">
        <v>9</v>
      </c>
      <c r="B27" s="378"/>
      <c r="C27" s="444" t="s">
        <v>236</v>
      </c>
      <c r="D27" s="378"/>
      <c r="E27" s="378"/>
      <c r="F27" s="391"/>
      <c r="G27" s="131"/>
      <c r="H27" s="189"/>
      <c r="I27" s="86"/>
      <c r="J27" s="223"/>
      <c r="K27" s="485"/>
      <c r="L27" s="5"/>
      <c r="M27" s="5"/>
      <c r="N27" s="6"/>
      <c r="O27" s="6"/>
      <c r="P27" s="5"/>
      <c r="Q27" s="5"/>
      <c r="R27" s="5"/>
      <c r="Y27" s="77"/>
    </row>
    <row r="28" spans="1:43" x14ac:dyDescent="0.25">
      <c r="A28" s="45">
        <v>10</v>
      </c>
      <c r="B28" s="378"/>
      <c r="C28" s="46" t="s">
        <v>237</v>
      </c>
      <c r="D28" s="378"/>
      <c r="E28" s="378"/>
      <c r="F28" s="336">
        <v>840</v>
      </c>
      <c r="G28" s="131"/>
      <c r="H28" s="391">
        <f>ROUND(F28*786/12,0)</f>
        <v>55020</v>
      </c>
      <c r="I28" s="5"/>
      <c r="J28" s="223">
        <f>ROUND(AC78+(AC78*LT_COS_RATE),2)</f>
        <v>8.15</v>
      </c>
      <c r="K28" s="485"/>
      <c r="L28" s="5">
        <f>ROUND((F28*J28),0)</f>
        <v>6846</v>
      </c>
      <c r="M28" s="5"/>
      <c r="N28" s="6">
        <f>ROUND((L28/L$45)*100,1)</f>
        <v>7.8</v>
      </c>
      <c r="O28" s="6"/>
      <c r="P28" s="5">
        <f>ROUND($P$45/$H$45*H28,0)</f>
        <v>37</v>
      </c>
      <c r="Q28" s="5"/>
      <c r="R28" s="5">
        <f>L28+P28</f>
        <v>6883</v>
      </c>
      <c r="S28" s="382"/>
      <c r="Y28" s="78">
        <f>J28-AY78</f>
        <v>6.59</v>
      </c>
    </row>
    <row r="29" spans="1:43" x14ac:dyDescent="0.25">
      <c r="A29" s="45">
        <v>11</v>
      </c>
      <c r="B29" s="378"/>
      <c r="C29" s="46" t="s">
        <v>238</v>
      </c>
      <c r="D29" s="378"/>
      <c r="E29" s="378"/>
      <c r="F29" s="336">
        <v>7372</v>
      </c>
      <c r="G29" s="131"/>
      <c r="H29" s="391">
        <f>ROUND(F29*453/12,0)</f>
        <v>278293</v>
      </c>
      <c r="I29" s="5"/>
      <c r="J29" s="223">
        <f>ROUND(AC79+(AC79*LT_COS_RATE),2)</f>
        <v>7.71</v>
      </c>
      <c r="K29" s="485"/>
      <c r="L29" s="5">
        <f>ROUND((F29*J29),0)</f>
        <v>56838</v>
      </c>
      <c r="M29" s="5"/>
      <c r="N29" s="6">
        <f>ROUND((L29/L$45)*100,1)</f>
        <v>64.5</v>
      </c>
      <c r="O29" s="6"/>
      <c r="P29" s="5">
        <f>ROUND($P$45/$H$45*H29,0)</f>
        <v>189</v>
      </c>
      <c r="Q29" s="5"/>
      <c r="R29" s="5">
        <f>L29+P29</f>
        <v>57027</v>
      </c>
      <c r="S29" s="382"/>
      <c r="Y29" s="78">
        <f>J29-AY79</f>
        <v>6.81</v>
      </c>
    </row>
    <row r="30" spans="1:43" x14ac:dyDescent="0.25">
      <c r="A30" s="45">
        <v>12</v>
      </c>
      <c r="B30" s="378"/>
      <c r="C30" s="52" t="s">
        <v>229</v>
      </c>
      <c r="D30" s="378"/>
      <c r="E30" s="378"/>
      <c r="F30" s="336">
        <v>408</v>
      </c>
      <c r="G30" s="131"/>
      <c r="H30" s="391">
        <f>ROUND(F30*1914/12,0)</f>
        <v>65076</v>
      </c>
      <c r="I30" s="5"/>
      <c r="J30" s="223">
        <f>ROUND(AC80+(AC80*LT_COS_RATE),2)</f>
        <v>12.23</v>
      </c>
      <c r="K30" s="7"/>
      <c r="L30" s="5">
        <f>ROUND((F30*J30),0)</f>
        <v>4990</v>
      </c>
      <c r="M30" s="5"/>
      <c r="N30" s="6">
        <f>ROUND((L30/L$45)*100,1)</f>
        <v>5.7</v>
      </c>
      <c r="O30" s="6"/>
      <c r="P30" s="81">
        <f>P31-P22-P23-P26-P28-P29</f>
        <v>45</v>
      </c>
      <c r="Q30" s="5"/>
      <c r="R30" s="5">
        <f>L30+P30</f>
        <v>5035</v>
      </c>
      <c r="S30" s="382"/>
      <c r="Y30" s="78">
        <f>J30-AY80</f>
        <v>8.43</v>
      </c>
    </row>
    <row r="31" spans="1:43" ht="20.100000000000001" customHeight="1" x14ac:dyDescent="0.25">
      <c r="A31" s="45">
        <v>13</v>
      </c>
      <c r="B31" s="378"/>
      <c r="C31" s="222" t="s">
        <v>96</v>
      </c>
      <c r="D31" s="378"/>
      <c r="E31" s="378"/>
      <c r="F31" s="316">
        <f>SUM(F22:F30)</f>
        <v>9136</v>
      </c>
      <c r="G31" s="2"/>
      <c r="H31" s="90">
        <f>SUM(H22:H30)</f>
        <v>445486</v>
      </c>
      <c r="I31" s="5"/>
      <c r="J31" s="75"/>
      <c r="K31" s="7"/>
      <c r="L31" s="90">
        <f>SUM(L22:L30)</f>
        <v>77023</v>
      </c>
      <c r="M31" s="5"/>
      <c r="N31" s="93">
        <f>ROUND((L31/L$45)*100,1)</f>
        <v>87.5</v>
      </c>
      <c r="O31" s="1"/>
      <c r="P31" s="90">
        <f>ROUND($P$45/$H$45*H31,0)</f>
        <v>303</v>
      </c>
      <c r="Q31" s="5"/>
      <c r="R31" s="90">
        <f>SUM(R22:R30)</f>
        <v>77326</v>
      </c>
      <c r="T31" s="57"/>
      <c r="U31" s="57"/>
      <c r="V31" s="57"/>
      <c r="W31" s="57"/>
      <c r="X31" s="57"/>
      <c r="Y31" s="564"/>
      <c r="Z31" s="57"/>
      <c r="AA31" s="57"/>
      <c r="AB31" s="57"/>
      <c r="AC31" s="58"/>
      <c r="AD31" s="58"/>
      <c r="AE31" s="57"/>
      <c r="AF31" s="57"/>
      <c r="AG31" s="158"/>
      <c r="AH31" s="57"/>
      <c r="AI31" s="57"/>
      <c r="AJ31" s="57"/>
      <c r="AK31" s="158"/>
      <c r="AL31" s="57"/>
      <c r="AM31" s="57"/>
      <c r="AN31" s="57"/>
      <c r="AO31" s="57"/>
      <c r="AP31" s="57"/>
      <c r="AQ31" s="158"/>
    </row>
    <row r="32" spans="1:43" x14ac:dyDescent="0.25">
      <c r="A32" s="378"/>
      <c r="B32" s="378"/>
      <c r="C32" s="378"/>
      <c r="D32" s="378"/>
      <c r="E32" s="378"/>
      <c r="F32" s="131"/>
      <c r="G32" s="2"/>
      <c r="H32" s="2"/>
      <c r="I32" s="2"/>
      <c r="J32" s="75"/>
      <c r="K32" s="7"/>
      <c r="L32" s="2"/>
      <c r="M32" s="2"/>
      <c r="N32" s="2"/>
      <c r="O32" s="2"/>
      <c r="P32" s="2"/>
      <c r="Q32" s="2"/>
      <c r="R32" s="2"/>
      <c r="T32" s="53"/>
      <c r="Y32" s="77"/>
      <c r="AO32" s="54"/>
      <c r="AP32" s="54"/>
    </row>
    <row r="33" spans="1:76" x14ac:dyDescent="0.25">
      <c r="A33" s="45">
        <v>14</v>
      </c>
      <c r="B33" s="378"/>
      <c r="C33" s="444" t="s">
        <v>239</v>
      </c>
      <c r="D33" s="378"/>
      <c r="E33" s="378"/>
      <c r="F33" s="131"/>
      <c r="G33" s="2"/>
      <c r="H33" s="2"/>
      <c r="I33" s="2"/>
      <c r="J33" s="75"/>
      <c r="K33" s="7"/>
      <c r="L33" s="2"/>
      <c r="M33" s="2"/>
      <c r="N33" s="2"/>
      <c r="O33" s="2"/>
      <c r="P33" s="2"/>
      <c r="Q33" s="2"/>
      <c r="R33" s="2"/>
      <c r="T33" s="54"/>
      <c r="Y33" s="77"/>
      <c r="AO33" s="53"/>
      <c r="AP33" s="53"/>
    </row>
    <row r="34" spans="1:76" x14ac:dyDescent="0.25">
      <c r="A34" s="45">
        <v>15</v>
      </c>
      <c r="B34" s="378"/>
      <c r="C34" s="444" t="s">
        <v>232</v>
      </c>
      <c r="D34" s="378"/>
      <c r="E34" s="378"/>
      <c r="F34" s="131"/>
      <c r="G34" s="2"/>
      <c r="H34" s="2"/>
      <c r="I34" s="2"/>
      <c r="J34" s="75"/>
      <c r="K34" s="7"/>
      <c r="L34" s="2"/>
      <c r="M34" s="2"/>
      <c r="N34" s="2"/>
      <c r="O34" s="2"/>
      <c r="P34" s="2"/>
      <c r="Q34" s="2"/>
      <c r="R34" s="2"/>
      <c r="T34" s="54"/>
      <c r="Y34" s="77"/>
      <c r="AO34" s="53"/>
      <c r="AP34" s="53"/>
    </row>
    <row r="35" spans="1:76" x14ac:dyDescent="0.25">
      <c r="A35" s="45">
        <v>16</v>
      </c>
      <c r="B35" s="378"/>
      <c r="C35" s="52" t="s">
        <v>94</v>
      </c>
      <c r="D35" s="378"/>
      <c r="E35" s="378"/>
      <c r="F35" s="391">
        <v>0</v>
      </c>
      <c r="G35" s="2"/>
      <c r="H35" s="391">
        <f>ROUND(F35*616/12,0)</f>
        <v>0</v>
      </c>
      <c r="I35" s="86"/>
      <c r="J35" s="223">
        <f>ROUND(AC85+(AC85*LT_COS_RATE),2)</f>
        <v>6.24</v>
      </c>
      <c r="K35" s="485"/>
      <c r="L35" s="5">
        <f>ROUND((F35*J35),0)</f>
        <v>0</v>
      </c>
      <c r="M35" s="5"/>
      <c r="N35" s="6">
        <f>ROUND((L35/L$45)*100,1)</f>
        <v>0</v>
      </c>
      <c r="O35" s="6"/>
      <c r="P35" s="5">
        <f>ROUND($P$45/$H$45*H35,0)</f>
        <v>0</v>
      </c>
      <c r="Q35" s="5"/>
      <c r="R35" s="5">
        <f>L35+P35</f>
        <v>0</v>
      </c>
      <c r="S35" s="382"/>
      <c r="Y35" s="78">
        <f>J35-AY85</f>
        <v>5.0163670000000007</v>
      </c>
      <c r="AE35" s="56"/>
      <c r="AF35" s="56"/>
      <c r="AG35" s="155"/>
      <c r="AH35" s="56"/>
      <c r="AI35" s="56"/>
      <c r="AJ35" s="56"/>
      <c r="AK35" s="155"/>
      <c r="AL35" s="56"/>
      <c r="AO35" s="56"/>
      <c r="AP35" s="56"/>
      <c r="AQ35" s="155"/>
    </row>
    <row r="36" spans="1:76" x14ac:dyDescent="0.25">
      <c r="A36" s="45">
        <v>17</v>
      </c>
      <c r="B36" s="378"/>
      <c r="C36" s="52" t="s">
        <v>93</v>
      </c>
      <c r="D36" s="378"/>
      <c r="E36" s="378"/>
      <c r="F36" s="391">
        <v>60</v>
      </c>
      <c r="G36" s="2"/>
      <c r="H36" s="391">
        <f>ROUND(F36*786/12,0)</f>
        <v>3930</v>
      </c>
      <c r="I36" s="86"/>
      <c r="J36" s="223">
        <f>ROUND(AC86+(AC86*LT_COS_RATE),2)</f>
        <v>7.94</v>
      </c>
      <c r="K36" s="485"/>
      <c r="L36" s="5">
        <f>ROUND((F36*J36),0)</f>
        <v>476</v>
      </c>
      <c r="M36" s="5"/>
      <c r="N36" s="88">
        <f>N37-N35</f>
        <v>0.5</v>
      </c>
      <c r="O36" s="6"/>
      <c r="P36" s="81">
        <f>ROUND($P$45/$H$45*H36,0)</f>
        <v>3</v>
      </c>
      <c r="Q36" s="5"/>
      <c r="R36" s="5">
        <f>L36+P36</f>
        <v>479</v>
      </c>
      <c r="S36" s="382"/>
      <c r="V36" s="56"/>
      <c r="W36" s="56"/>
      <c r="X36" s="56"/>
      <c r="Y36" s="78">
        <f>J36-AY86</f>
        <v>6.3786760000000005</v>
      </c>
      <c r="AA36" s="56"/>
      <c r="AB36" s="56"/>
      <c r="AC36" s="56"/>
      <c r="AD36" s="56"/>
      <c r="AE36" s="56"/>
      <c r="AF36" s="56"/>
      <c r="AG36" s="155"/>
      <c r="AH36" s="56"/>
      <c r="AI36" s="56"/>
      <c r="AJ36" s="56"/>
      <c r="AK36" s="155"/>
      <c r="AL36" s="56"/>
      <c r="AM36" s="56"/>
      <c r="AN36" s="56"/>
      <c r="AO36" s="56"/>
      <c r="AP36" s="56"/>
      <c r="AQ36" s="155"/>
      <c r="AS36" s="379"/>
      <c r="AT36" s="379"/>
      <c r="AU36" s="50"/>
      <c r="BX36" s="470"/>
    </row>
    <row r="37" spans="1:76" ht="20.100000000000001" customHeight="1" x14ac:dyDescent="0.25">
      <c r="A37" s="45">
        <v>18</v>
      </c>
      <c r="B37" s="378"/>
      <c r="C37" s="444" t="s">
        <v>240</v>
      </c>
      <c r="D37" s="378"/>
      <c r="E37" s="378"/>
      <c r="F37" s="90">
        <f>SUM(F35:F36)</f>
        <v>60</v>
      </c>
      <c r="G37" s="2"/>
      <c r="H37" s="90">
        <f>SUM(H35:H36)</f>
        <v>3930</v>
      </c>
      <c r="I37" s="5"/>
      <c r="J37" s="7"/>
      <c r="K37" s="7"/>
      <c r="L37" s="90">
        <f>SUM(L35:L36)</f>
        <v>476</v>
      </c>
      <c r="M37" s="5"/>
      <c r="N37" s="93">
        <f>ROUND((L37/L$45)*100,1)</f>
        <v>0.5</v>
      </c>
      <c r="O37" s="8"/>
      <c r="P37" s="90">
        <f>ROUND($P$45/$H$45*H37,0)</f>
        <v>3</v>
      </c>
      <c r="Q37" s="5"/>
      <c r="R37" s="90">
        <f>SUM(R35:R36)</f>
        <v>479</v>
      </c>
      <c r="Y37" s="77"/>
      <c r="AA37" s="56"/>
      <c r="AB37" s="56"/>
      <c r="AC37" s="56"/>
      <c r="AD37" s="56"/>
      <c r="AE37" s="56"/>
      <c r="AF37" s="56"/>
      <c r="AG37" s="155"/>
      <c r="AH37" s="56"/>
      <c r="AI37" s="56"/>
      <c r="AJ37" s="56"/>
      <c r="AK37" s="155"/>
      <c r="AL37" s="56"/>
      <c r="AM37" s="56"/>
      <c r="AN37" s="56"/>
      <c r="AO37" s="56"/>
      <c r="AP37" s="56"/>
      <c r="AQ37" s="155"/>
      <c r="AS37" s="379"/>
      <c r="AT37" s="379"/>
      <c r="AU37" s="476"/>
    </row>
    <row r="38" spans="1:76" ht="20.100000000000001" customHeight="1" x14ac:dyDescent="0.25">
      <c r="A38" s="45">
        <v>19</v>
      </c>
      <c r="B38" s="378"/>
      <c r="C38" s="444" t="s">
        <v>543</v>
      </c>
      <c r="D38" s="378"/>
      <c r="E38" s="378"/>
      <c r="F38" s="90">
        <f>F37+F31</f>
        <v>9196</v>
      </c>
      <c r="G38" s="2"/>
      <c r="H38" s="90">
        <f>H37+H31</f>
        <v>449416</v>
      </c>
      <c r="I38" s="5"/>
      <c r="J38" s="7"/>
      <c r="K38" s="7"/>
      <c r="L38" s="90">
        <f>L37+L31</f>
        <v>77499</v>
      </c>
      <c r="M38" s="5"/>
      <c r="N38" s="93">
        <f>ROUND((L38/L$45)*100,1)</f>
        <v>88</v>
      </c>
      <c r="O38" s="8"/>
      <c r="P38" s="90">
        <f>P37+P31</f>
        <v>306</v>
      </c>
      <c r="Q38" s="5"/>
      <c r="R38" s="90">
        <f>R37+R31</f>
        <v>77805</v>
      </c>
      <c r="Y38" s="77"/>
      <c r="AA38" s="56"/>
      <c r="AB38" s="56"/>
      <c r="AC38" s="56"/>
      <c r="AD38" s="56"/>
      <c r="AE38" s="56"/>
      <c r="AF38" s="56"/>
      <c r="AG38" s="155"/>
      <c r="AH38" s="56"/>
      <c r="AI38" s="56"/>
      <c r="AJ38" s="56"/>
      <c r="AK38" s="155"/>
      <c r="AL38" s="56"/>
      <c r="AM38" s="56"/>
      <c r="AN38" s="56"/>
      <c r="AO38" s="56"/>
      <c r="AP38" s="56"/>
      <c r="AQ38" s="155"/>
      <c r="AS38" s="379"/>
      <c r="AT38" s="379"/>
      <c r="AU38" s="476"/>
    </row>
    <row r="39" spans="1:76" ht="15.75" customHeight="1" x14ac:dyDescent="0.25">
      <c r="A39" s="45"/>
      <c r="B39" s="378"/>
      <c r="C39" s="444"/>
      <c r="D39" s="378"/>
      <c r="E39" s="378"/>
      <c r="F39" s="83"/>
      <c r="G39" s="2"/>
      <c r="H39" s="83"/>
      <c r="I39" s="5"/>
      <c r="J39" s="7"/>
      <c r="K39" s="7"/>
      <c r="L39" s="83"/>
      <c r="M39" s="5"/>
      <c r="N39" s="91"/>
      <c r="O39" s="8"/>
      <c r="P39" s="83"/>
      <c r="Q39" s="5"/>
      <c r="R39" s="83"/>
      <c r="Y39" s="77"/>
      <c r="AA39" s="56"/>
      <c r="AB39" s="56"/>
      <c r="AC39" s="56"/>
      <c r="AD39" s="56"/>
      <c r="AE39" s="56"/>
      <c r="AF39" s="56"/>
      <c r="AG39" s="155"/>
      <c r="AH39" s="56"/>
      <c r="AI39" s="56"/>
      <c r="AJ39" s="56"/>
      <c r="AK39" s="155"/>
      <c r="AL39" s="56"/>
      <c r="AM39" s="56"/>
      <c r="AN39" s="56"/>
      <c r="AO39" s="56"/>
      <c r="AP39" s="56"/>
      <c r="AQ39" s="155"/>
      <c r="AS39" s="379"/>
      <c r="AT39" s="379"/>
      <c r="AU39" s="476"/>
    </row>
    <row r="40" spans="1:76" ht="15.75" customHeight="1" x14ac:dyDescent="0.25">
      <c r="A40" s="45">
        <v>20</v>
      </c>
      <c r="B40" s="378"/>
      <c r="C40" s="222" t="s">
        <v>542</v>
      </c>
      <c r="D40" s="378"/>
      <c r="E40" s="378"/>
      <c r="F40" s="83"/>
      <c r="G40" s="2"/>
      <c r="H40" s="83"/>
      <c r="I40" s="5"/>
      <c r="J40" s="7"/>
      <c r="K40" s="7"/>
      <c r="L40" s="83"/>
      <c r="M40" s="5"/>
      <c r="N40" s="91"/>
      <c r="O40" s="8"/>
      <c r="P40" s="83"/>
      <c r="Q40" s="5"/>
      <c r="R40" s="83"/>
      <c r="Y40" s="77"/>
      <c r="AA40" s="56"/>
      <c r="AB40" s="56"/>
      <c r="AC40" s="56"/>
      <c r="AD40" s="56"/>
      <c r="AE40" s="56"/>
      <c r="AF40" s="56"/>
      <c r="AG40" s="155"/>
      <c r="AH40" s="56"/>
      <c r="AI40" s="56"/>
      <c r="AJ40" s="56"/>
      <c r="AK40" s="155"/>
      <c r="AL40" s="56"/>
      <c r="AM40" s="56"/>
      <c r="AN40" s="56"/>
      <c r="AO40" s="56"/>
      <c r="AP40" s="56"/>
      <c r="AQ40" s="155"/>
      <c r="AS40" s="379"/>
      <c r="AT40" s="379"/>
      <c r="AU40" s="476"/>
    </row>
    <row r="41" spans="1:76" ht="15.75" customHeight="1" x14ac:dyDescent="0.25">
      <c r="A41" s="45">
        <v>21</v>
      </c>
      <c r="B41" s="378"/>
      <c r="C41" s="216" t="str">
        <f>ESM_Name</f>
        <v>ENVIRONMENTAL SURCHARGE MECHANISM RIDER (ESM)</v>
      </c>
      <c r="D41" s="378"/>
      <c r="E41" s="378"/>
      <c r="F41" s="83"/>
      <c r="G41" s="2"/>
      <c r="H41" s="83"/>
      <c r="I41" s="5"/>
      <c r="J41" s="522"/>
      <c r="K41" s="7"/>
      <c r="L41" s="83">
        <f>AE91</f>
        <v>10649</v>
      </c>
      <c r="M41" s="5"/>
      <c r="N41" s="91">
        <f>ROUND((L41/L$45)*100,1)</f>
        <v>12.1</v>
      </c>
      <c r="O41" s="8"/>
      <c r="P41" s="83"/>
      <c r="Q41" s="5"/>
      <c r="R41" s="83">
        <f t="shared" ref="R41" si="0">L41+P41</f>
        <v>10649</v>
      </c>
      <c r="Y41" s="77"/>
      <c r="AA41" s="56"/>
      <c r="AB41" s="56"/>
      <c r="AC41" s="56"/>
      <c r="AD41" s="56"/>
      <c r="AE41" s="56"/>
      <c r="AF41" s="56"/>
      <c r="AG41" s="155"/>
      <c r="AH41" s="56"/>
      <c r="AI41" s="56"/>
      <c r="AJ41" s="56"/>
      <c r="AK41" s="155"/>
      <c r="AL41" s="56"/>
      <c r="AM41" s="56"/>
      <c r="AN41" s="56"/>
      <c r="AO41" s="56"/>
      <c r="AP41" s="56"/>
      <c r="AQ41" s="155"/>
      <c r="AS41" s="379"/>
      <c r="AT41" s="379"/>
      <c r="AU41" s="476"/>
    </row>
    <row r="42" spans="1:76" ht="15.75" customHeight="1" x14ac:dyDescent="0.25">
      <c r="A42" s="45">
        <v>22</v>
      </c>
      <c r="B42" s="378"/>
      <c r="C42" s="300" t="str">
        <f>PSM_Name</f>
        <v>PROFIT SHARING MECHANISM (PSM)</v>
      </c>
      <c r="D42" s="378"/>
      <c r="E42" s="378"/>
      <c r="F42" s="83"/>
      <c r="G42" s="2"/>
      <c r="H42" s="83"/>
      <c r="I42" s="5"/>
      <c r="J42" s="551">
        <f>PRO_PSM</f>
        <v>-1.63E-4</v>
      </c>
      <c r="K42" s="7"/>
      <c r="L42" s="81">
        <f>ROUND($H$38*J42,0)</f>
        <v>-73</v>
      </c>
      <c r="M42" s="5"/>
      <c r="N42" s="148">
        <f>ROUND((L42/L$45)*100,1)</f>
        <v>-0.1</v>
      </c>
      <c r="O42" s="8"/>
      <c r="P42" s="81"/>
      <c r="Q42" s="5"/>
      <c r="R42" s="81">
        <f t="shared" ref="R42" si="1">L42+P42</f>
        <v>-73</v>
      </c>
      <c r="Y42" s="77"/>
      <c r="AA42" s="56"/>
      <c r="AB42" s="56"/>
      <c r="AC42" s="56"/>
      <c r="AD42" s="56"/>
      <c r="AE42" s="56"/>
      <c r="AF42" s="56"/>
      <c r="AG42" s="155"/>
      <c r="AH42" s="56"/>
      <c r="AI42" s="56"/>
      <c r="AJ42" s="56"/>
      <c r="AK42" s="155"/>
      <c r="AL42" s="56"/>
      <c r="AM42" s="56"/>
      <c r="AN42" s="56"/>
      <c r="AO42" s="56"/>
      <c r="AP42" s="56"/>
      <c r="AQ42" s="155"/>
      <c r="AS42" s="379"/>
      <c r="AT42" s="379"/>
      <c r="AU42" s="476"/>
    </row>
    <row r="43" spans="1:76" ht="20.100000000000001" customHeight="1" x14ac:dyDescent="0.25">
      <c r="A43" s="45">
        <v>23</v>
      </c>
      <c r="B43" s="378"/>
      <c r="C43" s="222" t="s">
        <v>538</v>
      </c>
      <c r="D43" s="378"/>
      <c r="E43" s="378"/>
      <c r="F43" s="81"/>
      <c r="G43" s="2"/>
      <c r="H43" s="81"/>
      <c r="I43" s="5"/>
      <c r="J43" s="7"/>
      <c r="K43" s="7"/>
      <c r="L43" s="90">
        <f>SUM(L41:L42)</f>
        <v>10576</v>
      </c>
      <c r="M43" s="5"/>
      <c r="N43" s="150">
        <f>ROUND((L43/L$45)*100,1)</f>
        <v>12</v>
      </c>
      <c r="O43" s="8"/>
      <c r="P43" s="90"/>
      <c r="Q43" s="5"/>
      <c r="R43" s="90">
        <f>SUM(R41:R42)</f>
        <v>10576</v>
      </c>
      <c r="Y43" s="77"/>
      <c r="AA43" s="56"/>
      <c r="AB43" s="56"/>
      <c r="AC43" s="56"/>
      <c r="AD43" s="56"/>
      <c r="AE43" s="56"/>
      <c r="AF43" s="56"/>
      <c r="AG43" s="155"/>
      <c r="AH43" s="56"/>
      <c r="AI43" s="56"/>
      <c r="AJ43" s="56"/>
      <c r="AK43" s="155"/>
      <c r="AL43" s="56"/>
      <c r="AM43" s="56"/>
      <c r="AN43" s="56"/>
      <c r="AO43" s="56"/>
      <c r="AP43" s="56"/>
      <c r="AQ43" s="155"/>
      <c r="AS43" s="379"/>
      <c r="AT43" s="379"/>
      <c r="AU43" s="476"/>
    </row>
    <row r="44" spans="1:76" ht="15.75" customHeight="1" x14ac:dyDescent="0.25">
      <c r="A44" s="45"/>
      <c r="B44" s="378"/>
      <c r="C44" s="444"/>
      <c r="D44" s="378"/>
      <c r="E44" s="378"/>
      <c r="F44" s="83"/>
      <c r="G44" s="2"/>
      <c r="H44" s="83"/>
      <c r="I44" s="5"/>
      <c r="J44" s="7"/>
      <c r="K44" s="7"/>
      <c r="L44" s="83"/>
      <c r="M44" s="5"/>
      <c r="N44" s="91"/>
      <c r="O44" s="8"/>
      <c r="P44" s="83"/>
      <c r="Q44" s="5"/>
      <c r="R44" s="83"/>
      <c r="Y44" s="77"/>
      <c r="AA44" s="56"/>
      <c r="AB44" s="56"/>
      <c r="AC44" s="56"/>
      <c r="AD44" s="56"/>
      <c r="AE44" s="56"/>
      <c r="AF44" s="56"/>
      <c r="AG44" s="155"/>
      <c r="AH44" s="56"/>
      <c r="AI44" s="56"/>
      <c r="AJ44" s="56"/>
      <c r="AK44" s="155"/>
      <c r="AL44" s="56"/>
      <c r="AM44" s="56"/>
      <c r="AN44" s="56"/>
      <c r="AO44" s="56"/>
      <c r="AP44" s="56"/>
      <c r="AQ44" s="155"/>
      <c r="AS44" s="379"/>
      <c r="AT44" s="379"/>
      <c r="AU44" s="476"/>
    </row>
    <row r="45" spans="1:76" ht="20.100000000000001" customHeight="1" thickBot="1" x14ac:dyDescent="0.3">
      <c r="A45" s="45">
        <v>24</v>
      </c>
      <c r="B45" s="378"/>
      <c r="C45" s="222" t="s">
        <v>544</v>
      </c>
      <c r="D45" s="378"/>
      <c r="E45" s="378"/>
      <c r="F45" s="82">
        <f>F31+F37</f>
        <v>9196</v>
      </c>
      <c r="G45" s="2"/>
      <c r="H45" s="82">
        <f>H31+H37</f>
        <v>449416</v>
      </c>
      <c r="I45" s="5"/>
      <c r="J45" s="7"/>
      <c r="K45" s="7"/>
      <c r="L45" s="82">
        <f>L43+L38</f>
        <v>88075</v>
      </c>
      <c r="M45" s="5"/>
      <c r="N45" s="92">
        <v>100</v>
      </c>
      <c r="O45" s="6"/>
      <c r="P45" s="525">
        <f>ROUND(H45*CUR_FAC,0)</f>
        <v>306</v>
      </c>
      <c r="Q45" s="86"/>
      <c r="R45" s="82">
        <f>R43+R38</f>
        <v>88381</v>
      </c>
      <c r="Y45" s="77"/>
      <c r="AS45" s="379"/>
      <c r="AT45" s="379"/>
      <c r="AU45" s="50"/>
    </row>
    <row r="46" spans="1:76" ht="16.5" thickTop="1" x14ac:dyDescent="0.25">
      <c r="A46" s="378"/>
      <c r="B46" s="378"/>
      <c r="C46" s="378"/>
      <c r="D46" s="378"/>
      <c r="E46" s="378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Y46" s="379"/>
      <c r="AO46" s="379"/>
      <c r="AP46" s="379"/>
      <c r="AR46" s="53"/>
      <c r="AS46" s="379"/>
      <c r="AT46" s="379"/>
      <c r="AU46" s="50"/>
    </row>
    <row r="47" spans="1:76" x14ac:dyDescent="0.25">
      <c r="A47" s="378"/>
      <c r="B47" s="378"/>
      <c r="C47" s="243" t="s">
        <v>78</v>
      </c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  <c r="O47" s="378"/>
      <c r="P47" s="378"/>
      <c r="Q47" s="378"/>
      <c r="R47" s="378"/>
      <c r="T47" s="53"/>
      <c r="V47" s="54"/>
      <c r="Y47" s="379"/>
      <c r="AA47" s="379"/>
      <c r="AB47" s="379"/>
      <c r="AC47" s="461"/>
      <c r="AD47" s="461"/>
      <c r="AE47" s="379"/>
      <c r="AF47" s="379"/>
      <c r="AG47" s="156"/>
      <c r="AH47" s="50"/>
      <c r="AI47" s="379"/>
      <c r="AJ47" s="379"/>
      <c r="AK47" s="156"/>
      <c r="AL47" s="60"/>
      <c r="AM47" s="379"/>
      <c r="AN47" s="379"/>
      <c r="AO47" s="379"/>
      <c r="AP47" s="379"/>
      <c r="AQ47" s="156"/>
      <c r="AR47" s="379"/>
      <c r="AS47" s="379"/>
      <c r="AT47" s="379"/>
      <c r="AU47" s="50"/>
    </row>
    <row r="48" spans="1:76" x14ac:dyDescent="0.25">
      <c r="A48" s="378"/>
      <c r="B48" s="378"/>
      <c r="C48" s="243" t="str">
        <f>"(2) REFLECTS FUEL COMPONENT OF "&amp;TEXT(PRO_FAC,"$0.000000;($0.000000)")&amp;" PER KWH."</f>
        <v>(2) REFLECTS FUEL COMPONENT OF $0.000681 PER KWH.</v>
      </c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  <c r="O48" s="378"/>
      <c r="P48" s="378"/>
      <c r="Q48" s="378"/>
      <c r="R48" s="378"/>
      <c r="T48" s="53"/>
      <c r="V48" s="54"/>
      <c r="Y48" s="379"/>
      <c r="AA48" s="379"/>
      <c r="AB48" s="379"/>
      <c r="AC48" s="461"/>
      <c r="AD48" s="461"/>
      <c r="AE48" s="379"/>
      <c r="AF48" s="379"/>
      <c r="AG48" s="156"/>
      <c r="AH48" s="50"/>
      <c r="AI48" s="379"/>
      <c r="AJ48" s="379"/>
      <c r="AK48" s="156"/>
      <c r="AL48" s="60"/>
      <c r="AM48" s="379"/>
      <c r="AN48" s="379"/>
      <c r="AO48" s="379"/>
      <c r="AP48" s="379"/>
      <c r="AQ48" s="156"/>
      <c r="AR48" s="379"/>
      <c r="AS48" s="379"/>
      <c r="AT48" s="379"/>
      <c r="AU48" s="50"/>
    </row>
    <row r="49" spans="1:47" x14ac:dyDescent="0.25">
      <c r="A49" s="46"/>
      <c r="B49" s="378"/>
      <c r="C49" s="243" t="str">
        <f>"(3) REFLECTS FUEL COST RECOVERY INCLUDED IN BASE RATES OF "&amp;TEXT(PRO_BASE_FUEL,"$0.000000;($0.000000)")&amp;"  PER KWH."</f>
        <v>(3) REFLECTS FUEL COST RECOVERY INCLUDED IN BASE RATES OF $0.023837  PER KWH.</v>
      </c>
      <c r="D49" s="378"/>
      <c r="E49" s="378"/>
      <c r="F49" s="378"/>
      <c r="G49" s="378"/>
      <c r="H49" s="378"/>
      <c r="I49" s="378"/>
      <c r="J49" s="378"/>
      <c r="K49" s="378"/>
      <c r="L49" s="378"/>
      <c r="M49" s="378"/>
      <c r="N49" s="378"/>
      <c r="O49" s="378"/>
      <c r="P49" s="378"/>
      <c r="Q49" s="378"/>
      <c r="R49" s="378"/>
      <c r="T49" s="57"/>
      <c r="U49" s="57"/>
      <c r="V49" s="57"/>
      <c r="W49" s="57"/>
      <c r="X49" s="57"/>
      <c r="Y49" s="57"/>
      <c r="Z49" s="57"/>
      <c r="AA49" s="57"/>
      <c r="AB49" s="57"/>
      <c r="AC49" s="58"/>
      <c r="AD49" s="58"/>
      <c r="AE49" s="57"/>
      <c r="AF49" s="57"/>
      <c r="AG49" s="158"/>
      <c r="AH49" s="57"/>
      <c r="AI49" s="57"/>
      <c r="AJ49" s="57"/>
      <c r="AK49" s="158"/>
      <c r="AR49" s="379"/>
      <c r="AS49" s="379"/>
      <c r="AT49" s="379"/>
      <c r="AU49" s="50"/>
    </row>
    <row r="50" spans="1:47" x14ac:dyDescent="0.25">
      <c r="H50" s="54"/>
      <c r="I50" s="54"/>
      <c r="T50" s="58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158"/>
      <c r="AH50" s="57"/>
      <c r="AI50" s="57"/>
      <c r="AJ50" s="57"/>
      <c r="AK50" s="158"/>
      <c r="AR50" s="379"/>
    </row>
    <row r="51" spans="1:47" x14ac:dyDescent="0.25">
      <c r="L51" s="54"/>
      <c r="M51" s="54"/>
      <c r="T51" s="43" t="str">
        <f>NAME</f>
        <v>DUKE ENERGY KENTUCKY, INC.</v>
      </c>
      <c r="U51" s="43"/>
      <c r="V51" s="43"/>
      <c r="W51" s="43"/>
      <c r="X51" s="43"/>
      <c r="Y51" s="43"/>
      <c r="Z51" s="43"/>
      <c r="AA51" s="43"/>
      <c r="AB51" s="43"/>
      <c r="AC51" s="43"/>
      <c r="AD51" s="44"/>
      <c r="AE51" s="44"/>
      <c r="AF51" s="43"/>
      <c r="AG51" s="158"/>
      <c r="AH51" s="43"/>
      <c r="AI51" s="57"/>
      <c r="AJ51" s="43"/>
      <c r="AK51" s="144"/>
      <c r="AL51" s="43"/>
      <c r="AM51" s="43"/>
      <c r="AN51" s="43"/>
      <c r="AO51" s="57"/>
      <c r="AP51" s="43"/>
      <c r="AQ51" s="144"/>
      <c r="AR51" s="449"/>
    </row>
    <row r="52" spans="1:47" x14ac:dyDescent="0.25">
      <c r="F52" s="382"/>
      <c r="H52" s="382"/>
      <c r="I52" s="382"/>
      <c r="J52" s="77"/>
      <c r="K52" s="77"/>
      <c r="L52" s="381"/>
      <c r="M52" s="181"/>
      <c r="N52" s="180"/>
      <c r="O52" s="180"/>
      <c r="P52" s="382"/>
      <c r="Q52" s="382"/>
      <c r="R52" s="382"/>
      <c r="T52" s="43" t="str">
        <f>CASE_NO</f>
        <v>CASE NO.   2019-000271</v>
      </c>
      <c r="U52" s="43"/>
      <c r="V52" s="43"/>
      <c r="W52" s="43"/>
      <c r="X52" s="43"/>
      <c r="Y52" s="43"/>
      <c r="Z52" s="43"/>
      <c r="AA52" s="43"/>
      <c r="AB52" s="43"/>
      <c r="AC52" s="43"/>
      <c r="AD52" s="44"/>
      <c r="AE52" s="44"/>
      <c r="AF52" s="43"/>
      <c r="AG52" s="158"/>
      <c r="AH52" s="43"/>
      <c r="AI52" s="57"/>
      <c r="AJ52" s="43"/>
      <c r="AK52" s="144"/>
      <c r="AL52" s="43"/>
      <c r="AM52" s="43"/>
      <c r="AN52" s="43"/>
      <c r="AO52" s="57"/>
      <c r="AP52" s="43"/>
      <c r="AQ52" s="144"/>
      <c r="AR52" s="449"/>
    </row>
    <row r="53" spans="1:47" x14ac:dyDescent="0.25">
      <c r="A53" s="53"/>
      <c r="H53" s="382"/>
      <c r="I53" s="382"/>
      <c r="J53" s="382"/>
      <c r="K53" s="382"/>
      <c r="L53" s="382"/>
      <c r="M53" s="382"/>
      <c r="N53" s="382"/>
      <c r="O53" s="382"/>
      <c r="P53" s="382"/>
      <c r="Q53" s="382"/>
      <c r="R53" s="381"/>
      <c r="T53" s="44" t="str">
        <f>TITLE</f>
        <v>ANNUALIZED BASE YEAR REVENUES AT PROPOSED VS. MOST CURRENT RATES</v>
      </c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158"/>
      <c r="AH53" s="43"/>
      <c r="AI53" s="57"/>
      <c r="AJ53" s="43"/>
      <c r="AK53" s="144"/>
      <c r="AL53" s="43"/>
      <c r="AM53" s="43"/>
      <c r="AN53" s="43"/>
      <c r="AO53" s="57"/>
      <c r="AP53" s="43"/>
      <c r="AQ53" s="144"/>
      <c r="AR53" s="449"/>
    </row>
    <row r="54" spans="1:47" x14ac:dyDescent="0.25">
      <c r="A54" s="53"/>
      <c r="H54" s="382"/>
      <c r="I54" s="382"/>
      <c r="J54" s="382"/>
      <c r="K54" s="382"/>
      <c r="L54" s="382"/>
      <c r="M54" s="382"/>
      <c r="N54" s="382"/>
      <c r="O54" s="382"/>
      <c r="P54" s="382"/>
      <c r="Q54" s="382"/>
      <c r="R54" s="382"/>
      <c r="T54" s="43" t="str">
        <f>DATE</f>
        <v>FOR THE TWELVE MONTHS ENDED November 30, 2019</v>
      </c>
      <c r="U54" s="43"/>
      <c r="V54" s="43"/>
      <c r="W54" s="43"/>
      <c r="X54" s="43"/>
      <c r="Y54" s="43"/>
      <c r="Z54" s="43"/>
      <c r="AA54" s="43"/>
      <c r="AB54" s="43"/>
      <c r="AC54" s="43"/>
      <c r="AD54" s="44"/>
      <c r="AE54" s="44"/>
      <c r="AF54" s="43"/>
      <c r="AG54" s="158"/>
      <c r="AH54" s="43"/>
      <c r="AI54" s="57"/>
      <c r="AJ54" s="43"/>
      <c r="AK54" s="144"/>
      <c r="AL54" s="43"/>
      <c r="AM54" s="43"/>
      <c r="AN54" s="43"/>
      <c r="AO54" s="57"/>
      <c r="AP54" s="43"/>
      <c r="AQ54" s="144"/>
      <c r="AR54" s="379"/>
    </row>
    <row r="55" spans="1:47" x14ac:dyDescent="0.25">
      <c r="A55" s="54"/>
      <c r="R55" s="54"/>
      <c r="T55" s="43" t="str">
        <f>SERVICE</f>
        <v>(ELECTRIC SERVICE)</v>
      </c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4"/>
      <c r="AG55" s="169"/>
      <c r="AH55" s="43"/>
      <c r="AI55" s="57"/>
      <c r="AJ55" s="43"/>
      <c r="AK55" s="144"/>
      <c r="AL55" s="43"/>
      <c r="AM55" s="43"/>
      <c r="AN55" s="43"/>
      <c r="AO55" s="57"/>
      <c r="AP55" s="43"/>
      <c r="AQ55" s="144"/>
      <c r="AR55" s="379"/>
    </row>
    <row r="56" spans="1:47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T56" s="45" t="str">
        <f>DATA_PERIOD</f>
        <v>DATA: __X__ BASE PERIOD   ____FORECASTED PERIOD</v>
      </c>
      <c r="U56" s="378"/>
      <c r="V56" s="378"/>
      <c r="W56" s="378"/>
      <c r="X56" s="378"/>
      <c r="Y56" s="378"/>
      <c r="Z56" s="378"/>
      <c r="AA56" s="378"/>
      <c r="AB56" s="378"/>
      <c r="AC56" s="378"/>
      <c r="AD56" s="378"/>
      <c r="AE56" s="378"/>
      <c r="AF56" s="378"/>
      <c r="AH56" s="378"/>
      <c r="AJ56" s="378"/>
      <c r="AK56" s="143"/>
      <c r="AL56" s="378"/>
      <c r="AM56" s="378"/>
      <c r="AN56" s="378"/>
      <c r="AO56" s="46" t="s">
        <v>164</v>
      </c>
      <c r="AQ56" s="174"/>
    </row>
    <row r="57" spans="1:47" x14ac:dyDescent="0.25">
      <c r="L57" s="56"/>
      <c r="M57" s="56"/>
      <c r="N57" s="56"/>
      <c r="O57" s="56"/>
      <c r="R57" s="56"/>
      <c r="T57" s="45" t="str">
        <f>TYPE</f>
        <v>TYPE OF FILING: _X_ ORIGINAL   ___UPDATED  ___ REVISED</v>
      </c>
      <c r="U57" s="378"/>
      <c r="V57" s="378"/>
      <c r="W57" s="378"/>
      <c r="X57" s="378"/>
      <c r="Y57" s="378"/>
      <c r="Z57" s="378"/>
      <c r="AA57" s="378"/>
      <c r="AB57" s="378"/>
      <c r="AC57" s="378"/>
      <c r="AD57" s="378"/>
      <c r="AE57" s="378"/>
      <c r="AF57" s="378"/>
      <c r="AH57" s="378"/>
      <c r="AJ57" s="378"/>
      <c r="AK57" s="143"/>
      <c r="AL57" s="378"/>
      <c r="AM57" s="378"/>
      <c r="AN57" s="378"/>
      <c r="AO57" s="52" t="str">
        <f>"PAGE 18 OF "&amp;TEXT(Page_Num_2.2,"00")</f>
        <v>PAGE 18 OF 22</v>
      </c>
      <c r="AQ57" s="174"/>
    </row>
    <row r="58" spans="1:47" x14ac:dyDescent="0.25">
      <c r="C58" s="56"/>
      <c r="D58" s="56"/>
      <c r="E58" s="56"/>
      <c r="F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T58" s="46" t="s">
        <v>177</v>
      </c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378"/>
      <c r="AF58" s="378"/>
      <c r="AG58" s="143"/>
      <c r="AH58" s="378"/>
      <c r="AI58" s="378"/>
      <c r="AJ58" s="378"/>
      <c r="AK58" s="143"/>
      <c r="AL58" s="378"/>
      <c r="AM58" s="378"/>
      <c r="AN58" s="378"/>
      <c r="AO58" s="46" t="s">
        <v>3</v>
      </c>
      <c r="AQ58" s="174"/>
    </row>
    <row r="59" spans="1:47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T59" s="218" t="str">
        <f>TIME</f>
        <v>6 Months Actual and 6 Months Projected with Riders</v>
      </c>
      <c r="U59" s="378"/>
      <c r="V59" s="378"/>
      <c r="W59" s="378"/>
      <c r="X59" s="378"/>
      <c r="Y59" s="378"/>
      <c r="Z59" s="378"/>
      <c r="AA59" s="378"/>
      <c r="AB59" s="378"/>
      <c r="AC59" s="378"/>
      <c r="AD59" s="378"/>
      <c r="AE59" s="378"/>
      <c r="AG59" s="174"/>
      <c r="AH59" s="378"/>
      <c r="AI59" s="378"/>
      <c r="AJ59" s="378"/>
      <c r="AK59" s="143"/>
      <c r="AL59" s="378"/>
      <c r="AM59" s="378"/>
      <c r="AN59" s="378"/>
      <c r="AO59" s="45" t="str">
        <f>WIT</f>
        <v>J. L. Kern</v>
      </c>
    </row>
    <row r="60" spans="1:47" x14ac:dyDescent="0.25"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T60" s="44" t="s">
        <v>137</v>
      </c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4"/>
      <c r="AG60" s="175"/>
      <c r="AH60" s="43"/>
      <c r="AI60" s="43"/>
      <c r="AJ60" s="43"/>
      <c r="AK60" s="144"/>
      <c r="AL60" s="43"/>
      <c r="AM60" s="43"/>
      <c r="AN60" s="43"/>
      <c r="AO60" s="43"/>
      <c r="AP60" s="44"/>
      <c r="AQ60" s="175"/>
    </row>
    <row r="61" spans="1:47" x14ac:dyDescent="0.25">
      <c r="A61" s="53"/>
      <c r="C61" s="54"/>
      <c r="D61" s="54"/>
      <c r="E61" s="54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159"/>
      <c r="AH61" s="72"/>
      <c r="AI61" s="72"/>
      <c r="AJ61" s="72"/>
      <c r="AK61" s="159"/>
      <c r="AL61" s="72"/>
      <c r="AM61" s="72"/>
      <c r="AN61" s="72"/>
      <c r="AO61" s="72"/>
      <c r="AP61" s="72"/>
      <c r="AQ61" s="159"/>
    </row>
    <row r="62" spans="1:47" ht="18" customHeight="1" x14ac:dyDescent="0.25">
      <c r="A62" s="53"/>
      <c r="C62" s="54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4" t="s">
        <v>8</v>
      </c>
      <c r="AF62" s="74"/>
      <c r="AG62" s="160" t="s">
        <v>7</v>
      </c>
      <c r="AH62" s="74"/>
      <c r="AI62" s="74" t="s">
        <v>9</v>
      </c>
      <c r="AJ62" s="74"/>
      <c r="AK62" s="160" t="s">
        <v>10</v>
      </c>
      <c r="AL62" s="74"/>
      <c r="AM62" s="73"/>
      <c r="AN62" s="73"/>
      <c r="AO62" s="74" t="s">
        <v>8</v>
      </c>
      <c r="AP62" s="74"/>
      <c r="AQ62" s="160" t="s">
        <v>11</v>
      </c>
    </row>
    <row r="63" spans="1:47" x14ac:dyDescent="0.25">
      <c r="T63" s="378"/>
      <c r="U63" s="378"/>
      <c r="V63" s="378"/>
      <c r="W63" s="378"/>
      <c r="X63" s="378"/>
      <c r="Y63" s="378"/>
      <c r="Z63" s="378"/>
      <c r="AA63" s="378"/>
      <c r="AB63" s="378"/>
      <c r="AC63" s="426" t="s">
        <v>14</v>
      </c>
      <c r="AD63" s="426"/>
      <c r="AE63" s="426" t="s">
        <v>12</v>
      </c>
      <c r="AF63" s="426"/>
      <c r="AG63" s="146" t="s">
        <v>13</v>
      </c>
      <c r="AH63" s="426"/>
      <c r="AI63" s="426" t="s">
        <v>15</v>
      </c>
      <c r="AJ63" s="426"/>
      <c r="AK63" s="146" t="s">
        <v>16</v>
      </c>
      <c r="AL63" s="426"/>
      <c r="AM63" s="378"/>
      <c r="AN63" s="378"/>
      <c r="AO63" s="426" t="s">
        <v>11</v>
      </c>
      <c r="AP63" s="426"/>
      <c r="AQ63" s="146" t="s">
        <v>9</v>
      </c>
    </row>
    <row r="64" spans="1:47" x14ac:dyDescent="0.25">
      <c r="A64" s="53"/>
      <c r="C64" s="54"/>
      <c r="F64" s="449"/>
      <c r="H64" s="449"/>
      <c r="I64" s="449"/>
      <c r="J64" s="461"/>
      <c r="K64" s="461"/>
      <c r="L64" s="379"/>
      <c r="M64" s="379"/>
      <c r="N64" s="50"/>
      <c r="O64" s="50"/>
      <c r="P64" s="53"/>
      <c r="Q64" s="53"/>
      <c r="R64" s="379"/>
      <c r="T64" s="426" t="s">
        <v>17</v>
      </c>
      <c r="U64" s="378"/>
      <c r="V64" s="426" t="s">
        <v>18</v>
      </c>
      <c r="W64" s="426" t="s">
        <v>19</v>
      </c>
      <c r="X64" s="426"/>
      <c r="Y64" s="426" t="s">
        <v>20</v>
      </c>
      <c r="Z64" s="378"/>
      <c r="AA64" s="378"/>
      <c r="AB64" s="378"/>
      <c r="AC64" s="426" t="s">
        <v>8</v>
      </c>
      <c r="AD64" s="426"/>
      <c r="AE64" s="426" t="s">
        <v>21</v>
      </c>
      <c r="AF64" s="426"/>
      <c r="AG64" s="146" t="s">
        <v>21</v>
      </c>
      <c r="AH64" s="426"/>
      <c r="AI64" s="426" t="s">
        <v>22</v>
      </c>
      <c r="AJ64" s="426"/>
      <c r="AK64" s="146" t="s">
        <v>22</v>
      </c>
      <c r="AL64" s="426"/>
      <c r="AM64" s="426" t="s">
        <v>21</v>
      </c>
      <c r="AN64" s="426"/>
      <c r="AO64" s="426" t="s">
        <v>9</v>
      </c>
      <c r="AP64" s="426"/>
      <c r="AQ64" s="146" t="s">
        <v>23</v>
      </c>
    </row>
    <row r="65" spans="1:51" x14ac:dyDescent="0.25">
      <c r="A65" s="53"/>
      <c r="C65" s="54"/>
      <c r="F65" s="449"/>
      <c r="H65" s="449"/>
      <c r="I65" s="449"/>
      <c r="J65" s="461"/>
      <c r="K65" s="461"/>
      <c r="L65" s="379"/>
      <c r="M65" s="379"/>
      <c r="N65" s="50"/>
      <c r="O65" s="50"/>
      <c r="P65" s="53"/>
      <c r="Q65" s="53"/>
      <c r="R65" s="379"/>
      <c r="T65" s="426" t="s">
        <v>24</v>
      </c>
      <c r="U65" s="378"/>
      <c r="V65" s="426" t="s">
        <v>25</v>
      </c>
      <c r="W65" s="426" t="s">
        <v>26</v>
      </c>
      <c r="X65" s="426"/>
      <c r="Y65" s="426" t="s">
        <v>27</v>
      </c>
      <c r="Z65" s="378"/>
      <c r="AA65" s="426" t="s">
        <v>28</v>
      </c>
      <c r="AB65" s="426"/>
      <c r="AC65" s="70" t="s">
        <v>380</v>
      </c>
      <c r="AD65" s="426"/>
      <c r="AE65" s="426" t="s">
        <v>9</v>
      </c>
      <c r="AF65" s="426"/>
      <c r="AG65" s="146" t="s">
        <v>9</v>
      </c>
      <c r="AH65" s="426"/>
      <c r="AI65" s="265" t="s">
        <v>31</v>
      </c>
      <c r="AJ65" s="265"/>
      <c r="AK65" s="440" t="s">
        <v>32</v>
      </c>
      <c r="AL65" s="426"/>
      <c r="AM65" s="426" t="s">
        <v>379</v>
      </c>
      <c r="AN65" s="426"/>
      <c r="AO65" s="265" t="s">
        <v>33</v>
      </c>
      <c r="AP65" s="265"/>
      <c r="AQ65" s="440" t="s">
        <v>34</v>
      </c>
      <c r="AX65" s="380" t="s">
        <v>354</v>
      </c>
      <c r="AY65" s="380" t="s">
        <v>355</v>
      </c>
    </row>
    <row r="66" spans="1:51" x14ac:dyDescent="0.25">
      <c r="A66" s="53"/>
      <c r="C66" s="54"/>
      <c r="F66" s="449"/>
      <c r="H66" s="449"/>
      <c r="I66" s="449"/>
      <c r="J66" s="461"/>
      <c r="K66" s="461"/>
      <c r="L66" s="379"/>
      <c r="M66" s="379"/>
      <c r="N66" s="50"/>
      <c r="O66" s="50"/>
      <c r="P66" s="53"/>
      <c r="Q66" s="53"/>
      <c r="R66" s="379"/>
      <c r="T66" s="378"/>
      <c r="U66" s="378"/>
      <c r="V66" s="265" t="s">
        <v>35</v>
      </c>
      <c r="W66" s="265" t="s">
        <v>36</v>
      </c>
      <c r="X66" s="265"/>
      <c r="Y66" s="265" t="s">
        <v>37</v>
      </c>
      <c r="Z66" s="218"/>
      <c r="AA66" s="265" t="s">
        <v>38</v>
      </c>
      <c r="AB66" s="265"/>
      <c r="AC66" s="265" t="s">
        <v>44</v>
      </c>
      <c r="AD66" s="265"/>
      <c r="AE66" s="265" t="s">
        <v>45</v>
      </c>
      <c r="AF66" s="265"/>
      <c r="AG66" s="440" t="s">
        <v>46</v>
      </c>
      <c r="AH66" s="265"/>
      <c r="AI66" s="265" t="s">
        <v>47</v>
      </c>
      <c r="AJ66" s="265"/>
      <c r="AK66" s="440" t="s">
        <v>48</v>
      </c>
      <c r="AL66" s="265"/>
      <c r="AM66" s="265" t="s">
        <v>42</v>
      </c>
      <c r="AN66" s="265"/>
      <c r="AO66" s="265" t="s">
        <v>49</v>
      </c>
      <c r="AP66" s="265"/>
      <c r="AQ66" s="440" t="s">
        <v>50</v>
      </c>
      <c r="AU66" s="137" t="s">
        <v>470</v>
      </c>
      <c r="AW66" s="380" t="s">
        <v>353</v>
      </c>
      <c r="AX66" s="380" t="s">
        <v>352</v>
      </c>
      <c r="AY66" s="380" t="s">
        <v>352</v>
      </c>
    </row>
    <row r="67" spans="1:51" ht="17.100000000000001" customHeight="1" x14ac:dyDescent="0.25">
      <c r="F67" s="381"/>
      <c r="H67" s="379"/>
      <c r="I67" s="379"/>
      <c r="J67" s="464"/>
      <c r="K67" s="464"/>
      <c r="L67" s="381"/>
      <c r="M67" s="381"/>
      <c r="N67" s="381"/>
      <c r="O67" s="381"/>
      <c r="P67" s="381"/>
      <c r="Q67" s="381"/>
      <c r="R67" s="381"/>
      <c r="T67" s="73"/>
      <c r="U67" s="73"/>
      <c r="V67" s="73"/>
      <c r="W67" s="73"/>
      <c r="X67" s="73"/>
      <c r="Y67" s="73"/>
      <c r="Z67" s="73"/>
      <c r="AA67" s="496" t="s">
        <v>51</v>
      </c>
      <c r="AB67" s="496"/>
      <c r="AC67" s="495" t="s">
        <v>71</v>
      </c>
      <c r="AD67" s="496"/>
      <c r="AE67" s="496" t="s">
        <v>52</v>
      </c>
      <c r="AF67" s="496"/>
      <c r="AG67" s="498" t="s">
        <v>53</v>
      </c>
      <c r="AH67" s="496"/>
      <c r="AI67" s="496" t="s">
        <v>52</v>
      </c>
      <c r="AJ67" s="496"/>
      <c r="AK67" s="498" t="s">
        <v>53</v>
      </c>
      <c r="AL67" s="496"/>
      <c r="AM67" s="496" t="s">
        <v>52</v>
      </c>
      <c r="AN67" s="496"/>
      <c r="AO67" s="496" t="s">
        <v>52</v>
      </c>
      <c r="AP67" s="496"/>
      <c r="AQ67" s="498" t="s">
        <v>53</v>
      </c>
      <c r="AU67" s="137" t="s">
        <v>471</v>
      </c>
    </row>
    <row r="68" spans="1:51" x14ac:dyDescent="0.25">
      <c r="A68" s="53"/>
      <c r="C68" s="54"/>
      <c r="F68" s="379"/>
      <c r="H68" s="379"/>
      <c r="I68" s="379"/>
      <c r="J68" s="464"/>
      <c r="K68" s="464"/>
      <c r="L68" s="379"/>
      <c r="M68" s="379"/>
      <c r="N68" s="50"/>
      <c r="O68" s="50"/>
      <c r="P68" s="379"/>
      <c r="Q68" s="379"/>
      <c r="R68" s="379"/>
      <c r="T68" s="45">
        <v>1</v>
      </c>
      <c r="U68" s="378"/>
      <c r="V68" s="222" t="s">
        <v>92</v>
      </c>
      <c r="W68" s="444" t="s">
        <v>230</v>
      </c>
      <c r="X68" s="46"/>
      <c r="Y68" s="2"/>
      <c r="Z68" s="2"/>
      <c r="AA68" s="2"/>
      <c r="AB68" s="2"/>
      <c r="AC68" s="2"/>
      <c r="AD68" s="2"/>
      <c r="AE68" s="2"/>
      <c r="AF68" s="2"/>
      <c r="AG68" s="147"/>
      <c r="AH68" s="2"/>
      <c r="AI68" s="2"/>
      <c r="AJ68" s="2"/>
      <c r="AK68" s="147"/>
      <c r="AL68" s="2"/>
      <c r="AM68" s="2"/>
      <c r="AN68" s="2"/>
      <c r="AO68" s="2"/>
      <c r="AP68" s="2"/>
      <c r="AQ68" s="147"/>
      <c r="AU68" s="137" t="s">
        <v>472</v>
      </c>
    </row>
    <row r="69" spans="1:51" x14ac:dyDescent="0.25">
      <c r="A69" s="53"/>
      <c r="C69" s="54"/>
      <c r="F69" s="449"/>
      <c r="H69" s="449"/>
      <c r="I69" s="449"/>
      <c r="J69" s="477"/>
      <c r="K69" s="477"/>
      <c r="L69" s="379"/>
      <c r="M69" s="379"/>
      <c r="N69" s="50"/>
      <c r="O69" s="50"/>
      <c r="P69" s="379"/>
      <c r="Q69" s="379"/>
      <c r="R69" s="379"/>
      <c r="S69" s="379"/>
      <c r="T69" s="378"/>
      <c r="U69" s="378"/>
      <c r="V69" s="378"/>
      <c r="W69" s="378"/>
      <c r="X69" s="378"/>
      <c r="Y69" s="2"/>
      <c r="Z69" s="2"/>
      <c r="AA69" s="2"/>
      <c r="AB69" s="2"/>
      <c r="AC69" s="2"/>
      <c r="AD69" s="2"/>
      <c r="AE69" s="2"/>
      <c r="AF69" s="2"/>
      <c r="AG69" s="147"/>
      <c r="AH69" s="2"/>
      <c r="AI69" s="2"/>
      <c r="AJ69" s="2"/>
      <c r="AK69" s="147"/>
      <c r="AL69" s="2"/>
      <c r="AM69" s="2"/>
      <c r="AN69" s="2"/>
      <c r="AO69" s="2"/>
      <c r="AP69" s="2"/>
      <c r="AQ69" s="147"/>
    </row>
    <row r="70" spans="1:51" x14ac:dyDescent="0.25">
      <c r="A70" s="53"/>
      <c r="C70" s="54"/>
      <c r="F70" s="449"/>
      <c r="H70" s="449"/>
      <c r="I70" s="449"/>
      <c r="J70" s="461"/>
      <c r="K70" s="461"/>
      <c r="L70" s="379"/>
      <c r="M70" s="379"/>
      <c r="N70" s="50"/>
      <c r="O70" s="50"/>
      <c r="P70" s="379"/>
      <c r="Q70" s="379"/>
      <c r="R70" s="379"/>
      <c r="T70" s="45">
        <v>2</v>
      </c>
      <c r="U70" s="378"/>
      <c r="V70" s="444" t="s">
        <v>231</v>
      </c>
      <c r="W70" s="378"/>
      <c r="X70" s="378"/>
      <c r="Y70" s="2"/>
      <c r="Z70" s="2"/>
      <c r="AA70" s="2"/>
      <c r="AB70" s="2"/>
      <c r="AC70" s="2"/>
      <c r="AD70" s="2"/>
      <c r="AE70" s="2"/>
      <c r="AF70" s="2"/>
      <c r="AG70" s="147"/>
      <c r="AH70" s="2"/>
      <c r="AI70" s="2"/>
      <c r="AJ70" s="2"/>
      <c r="AK70" s="147"/>
      <c r="AL70" s="2"/>
      <c r="AM70" s="2"/>
      <c r="AN70" s="2"/>
      <c r="AO70" s="2"/>
      <c r="AP70" s="2"/>
      <c r="AQ70" s="147"/>
    </row>
    <row r="71" spans="1:51" x14ac:dyDescent="0.25">
      <c r="A71" s="53"/>
      <c r="C71" s="54"/>
      <c r="F71" s="449"/>
      <c r="H71" s="449"/>
      <c r="I71" s="449"/>
      <c r="J71" s="461"/>
      <c r="K71" s="461"/>
      <c r="L71" s="379"/>
      <c r="M71" s="379"/>
      <c r="N71" s="50"/>
      <c r="O71" s="50"/>
      <c r="P71" s="379"/>
      <c r="Q71" s="379"/>
      <c r="R71" s="379"/>
      <c r="T71" s="45">
        <v>3</v>
      </c>
      <c r="U71" s="378"/>
      <c r="V71" s="444" t="s">
        <v>232</v>
      </c>
      <c r="W71" s="378"/>
      <c r="X71" s="378"/>
      <c r="Y71" s="2"/>
      <c r="Z71" s="2"/>
      <c r="AA71" s="2"/>
      <c r="AB71" s="2"/>
      <c r="AC71" s="2"/>
      <c r="AD71" s="2"/>
      <c r="AE71" s="2"/>
      <c r="AF71" s="2"/>
      <c r="AG71" s="147"/>
      <c r="AH71" s="2"/>
      <c r="AI71" s="2"/>
      <c r="AJ71" s="2"/>
      <c r="AK71" s="147"/>
      <c r="AL71" s="2"/>
      <c r="AM71" s="2"/>
      <c r="AN71" s="2"/>
      <c r="AO71" s="2"/>
      <c r="AP71" s="2"/>
      <c r="AQ71" s="147"/>
    </row>
    <row r="72" spans="1:51" x14ac:dyDescent="0.25">
      <c r="A72" s="53"/>
      <c r="C72" s="54"/>
      <c r="F72" s="379"/>
      <c r="H72" s="379"/>
      <c r="I72" s="379"/>
      <c r="J72" s="464"/>
      <c r="K72" s="464"/>
      <c r="L72" s="379"/>
      <c r="M72" s="379"/>
      <c r="N72" s="50"/>
      <c r="O72" s="50"/>
      <c r="P72" s="379"/>
      <c r="Q72" s="379"/>
      <c r="R72" s="379"/>
      <c r="T72" s="45">
        <v>4</v>
      </c>
      <c r="U72" s="378"/>
      <c r="V72" s="52" t="s">
        <v>94</v>
      </c>
      <c r="W72" s="378"/>
      <c r="X72" s="378"/>
      <c r="Y72" s="5">
        <f>F22</f>
        <v>0</v>
      </c>
      <c r="Z72" s="5"/>
      <c r="AA72" s="5">
        <f>H22</f>
        <v>0</v>
      </c>
      <c r="AB72" s="5"/>
      <c r="AC72" s="223">
        <v>9.42</v>
      </c>
      <c r="AD72" s="485"/>
      <c r="AE72" s="5">
        <f>ROUND((Y72*AC72),0)</f>
        <v>0</v>
      </c>
      <c r="AF72" s="5"/>
      <c r="AG72" s="149">
        <f>ROUND((AE72/AE$95)*100,1)</f>
        <v>0</v>
      </c>
      <c r="AH72" s="6"/>
      <c r="AI72" s="5">
        <f>L22-AE72</f>
        <v>0</v>
      </c>
      <c r="AJ72" s="5"/>
      <c r="AK72" s="383">
        <f t="shared" ref="AK72:AK73" si="2">IF(AE72=0,0,ROUND((AI72/AE72)*100,1))</f>
        <v>0</v>
      </c>
      <c r="AL72" s="8"/>
      <c r="AM72" s="5">
        <f>ROUND($AM$95/$AA$95*AA72,0)</f>
        <v>0</v>
      </c>
      <c r="AN72" s="5"/>
      <c r="AO72" s="5">
        <f>AE72+AM72</f>
        <v>0</v>
      </c>
      <c r="AP72" s="5"/>
      <c r="AQ72" s="149">
        <f t="shared" ref="AQ72:AQ73" si="3">IF(AO72=0,0,ROUND((AI72/AO72)*100,1))</f>
        <v>0</v>
      </c>
      <c r="AU72" s="77">
        <f>AC72-AX72</f>
        <v>8.1999999999999993</v>
      </c>
      <c r="AW72" s="392">
        <v>616</v>
      </c>
      <c r="AX72" s="380">
        <f>ROUND((AW72/12)*CUR_BASE_FUEL,2)</f>
        <v>1.22</v>
      </c>
      <c r="AY72" s="380">
        <f>ROUND((AW72/12)*PRO_BASE_FUEL,2)</f>
        <v>1.22</v>
      </c>
    </row>
    <row r="73" spans="1:51" x14ac:dyDescent="0.25">
      <c r="A73" s="53"/>
      <c r="C73" s="54"/>
      <c r="F73" s="379"/>
      <c r="H73" s="379"/>
      <c r="I73" s="379"/>
      <c r="J73" s="464"/>
      <c r="K73" s="464"/>
      <c r="L73" s="379"/>
      <c r="M73" s="379"/>
      <c r="N73" s="379"/>
      <c r="O73" s="379"/>
      <c r="P73" s="379"/>
      <c r="Q73" s="379"/>
      <c r="R73" s="379"/>
      <c r="T73" s="45">
        <v>5</v>
      </c>
      <c r="U73" s="378"/>
      <c r="V73" s="52" t="s">
        <v>93</v>
      </c>
      <c r="W73" s="378"/>
      <c r="X73" s="378"/>
      <c r="Y73" s="5">
        <f>F23</f>
        <v>144</v>
      </c>
      <c r="Z73" s="5"/>
      <c r="AA73" s="5">
        <f>H23</f>
        <v>9432</v>
      </c>
      <c r="AB73" s="5"/>
      <c r="AC73" s="75">
        <v>7.32</v>
      </c>
      <c r="AD73" s="7"/>
      <c r="AE73" s="5">
        <f>ROUND((Y73*AC73),0)</f>
        <v>1054</v>
      </c>
      <c r="AF73" s="5"/>
      <c r="AG73" s="149">
        <f>ROUND((AE73/AE$95)*100,1)</f>
        <v>1.3</v>
      </c>
      <c r="AH73" s="6"/>
      <c r="AI73" s="5">
        <f>L23-AE73</f>
        <v>130</v>
      </c>
      <c r="AJ73" s="5"/>
      <c r="AK73" s="383">
        <f t="shared" si="2"/>
        <v>12.3</v>
      </c>
      <c r="AL73" s="8"/>
      <c r="AM73" s="5">
        <f>ROUND($AM$95/$AA$95*AA73,0)</f>
        <v>6</v>
      </c>
      <c r="AN73" s="5"/>
      <c r="AO73" s="5">
        <f>AE73+AM73</f>
        <v>1060</v>
      </c>
      <c r="AP73" s="5"/>
      <c r="AQ73" s="149">
        <f t="shared" si="3"/>
        <v>12.3</v>
      </c>
      <c r="AU73" s="77">
        <f>AC73-AX73</f>
        <v>5.76</v>
      </c>
      <c r="AW73" s="48">
        <v>786</v>
      </c>
      <c r="AX73" s="380">
        <f>ROUND((AW73/12)*CUR_BASE_FUEL,2)</f>
        <v>1.56</v>
      </c>
      <c r="AY73" s="380">
        <f>ROUND((AW73/12)*PRO_BASE_FUEL,2)</f>
        <v>1.56</v>
      </c>
    </row>
    <row r="74" spans="1:51" x14ac:dyDescent="0.25">
      <c r="A74" s="53"/>
      <c r="C74" s="54"/>
      <c r="F74" s="379"/>
      <c r="H74" s="449"/>
      <c r="I74" s="449"/>
      <c r="J74" s="221"/>
      <c r="K74" s="221"/>
      <c r="L74" s="379"/>
      <c r="M74" s="379"/>
      <c r="N74" s="50"/>
      <c r="O74" s="50"/>
      <c r="P74" s="379"/>
      <c r="Q74" s="379"/>
      <c r="R74" s="379"/>
      <c r="T74" s="45">
        <v>6</v>
      </c>
      <c r="U74" s="378"/>
      <c r="V74" s="444" t="s">
        <v>233</v>
      </c>
      <c r="W74" s="378"/>
      <c r="X74" s="378"/>
      <c r="Y74" s="5"/>
      <c r="Z74" s="5"/>
      <c r="AA74" s="5"/>
      <c r="AB74" s="5"/>
      <c r="AC74" s="75"/>
      <c r="AD74" s="7"/>
      <c r="AE74" s="5"/>
      <c r="AF74" s="5"/>
      <c r="AG74" s="149"/>
      <c r="AH74" s="6"/>
      <c r="AI74" s="5"/>
      <c r="AJ74" s="5"/>
      <c r="AK74" s="149"/>
      <c r="AL74" s="8"/>
      <c r="AM74" s="5"/>
      <c r="AN74" s="5"/>
      <c r="AO74" s="5"/>
      <c r="AP74" s="5"/>
      <c r="AQ74" s="149"/>
      <c r="AW74" s="48"/>
    </row>
    <row r="75" spans="1:51" x14ac:dyDescent="0.25">
      <c r="F75" s="379"/>
      <c r="H75" s="379"/>
      <c r="I75" s="379"/>
      <c r="J75" s="464"/>
      <c r="K75" s="464"/>
      <c r="L75" s="381"/>
      <c r="M75" s="381"/>
      <c r="N75" s="381"/>
      <c r="O75" s="381"/>
      <c r="P75" s="381"/>
      <c r="Q75" s="381"/>
      <c r="R75" s="381"/>
      <c r="T75" s="45">
        <v>7</v>
      </c>
      <c r="U75" s="378"/>
      <c r="V75" s="52" t="s">
        <v>234</v>
      </c>
      <c r="W75" s="378"/>
      <c r="X75" s="378"/>
      <c r="Y75" s="5"/>
      <c r="Z75" s="2"/>
      <c r="AA75" s="2"/>
      <c r="AB75" s="2"/>
      <c r="AC75" s="75"/>
      <c r="AD75" s="7"/>
      <c r="AE75" s="2"/>
      <c r="AF75" s="2"/>
      <c r="AG75" s="147"/>
      <c r="AH75" s="2"/>
      <c r="AI75" s="2"/>
      <c r="AJ75" s="2"/>
      <c r="AK75" s="147"/>
      <c r="AL75" s="2"/>
      <c r="AM75" s="2"/>
      <c r="AN75" s="2"/>
      <c r="AO75" s="2"/>
      <c r="AP75" s="2"/>
      <c r="AQ75" s="147"/>
      <c r="AW75" s="48"/>
    </row>
    <row r="76" spans="1:51" x14ac:dyDescent="0.25">
      <c r="A76" s="53"/>
      <c r="C76" s="54"/>
      <c r="F76" s="379"/>
      <c r="H76" s="379"/>
      <c r="I76" s="379"/>
      <c r="J76" s="59"/>
      <c r="K76" s="59"/>
      <c r="L76" s="379"/>
      <c r="M76" s="379"/>
      <c r="N76" s="50"/>
      <c r="O76" s="50"/>
      <c r="P76" s="379"/>
      <c r="Q76" s="379"/>
      <c r="R76" s="379"/>
      <c r="T76" s="45">
        <v>8</v>
      </c>
      <c r="U76" s="378"/>
      <c r="V76" s="52" t="s">
        <v>235</v>
      </c>
      <c r="W76" s="378"/>
      <c r="X76" s="378"/>
      <c r="Y76" s="5">
        <f>F26</f>
        <v>372</v>
      </c>
      <c r="Z76" s="5"/>
      <c r="AA76" s="5">
        <f>H26</f>
        <v>37665</v>
      </c>
      <c r="AB76" s="5"/>
      <c r="AC76" s="223">
        <v>17.16</v>
      </c>
      <c r="AD76" s="485"/>
      <c r="AE76" s="5">
        <f>ROUND((Y76*AC76),0)</f>
        <v>6384</v>
      </c>
      <c r="AF76" s="5"/>
      <c r="AG76" s="149">
        <f>ROUND((AE76/AE$95)*100,1)</f>
        <v>8</v>
      </c>
      <c r="AH76" s="6"/>
      <c r="AI76" s="5">
        <f>L26-AE76</f>
        <v>781</v>
      </c>
      <c r="AJ76" s="5"/>
      <c r="AK76" s="149">
        <f>ROUND((AI76/AE76)*100,1)</f>
        <v>12.2</v>
      </c>
      <c r="AL76" s="8"/>
      <c r="AM76" s="5">
        <f>ROUND($AM$95/$AA$95*AA76,0)</f>
        <v>26</v>
      </c>
      <c r="AN76" s="5"/>
      <c r="AO76" s="5">
        <f>AE76+AM76</f>
        <v>6410</v>
      </c>
      <c r="AP76" s="5"/>
      <c r="AQ76" s="149">
        <f>ROUND((AI76/AO76)*100,1)</f>
        <v>12.2</v>
      </c>
      <c r="AU76" s="77">
        <f>AC76-AX76</f>
        <v>14.75</v>
      </c>
      <c r="AW76" s="392">
        <v>1215</v>
      </c>
      <c r="AX76" s="380">
        <f>ROUND((AW76/12)*CUR_BASE_FUEL,2)</f>
        <v>2.41</v>
      </c>
      <c r="AY76" s="380">
        <f>ROUND((AW76/12)*PRO_BASE_FUEL,2)</f>
        <v>2.41</v>
      </c>
    </row>
    <row r="77" spans="1:51" x14ac:dyDescent="0.25">
      <c r="A77" s="53"/>
      <c r="C77" s="54"/>
      <c r="F77" s="379"/>
      <c r="H77" s="379"/>
      <c r="I77" s="379"/>
      <c r="J77" s="59"/>
      <c r="K77" s="59"/>
      <c r="L77" s="379"/>
      <c r="M77" s="379"/>
      <c r="N77" s="50"/>
      <c r="O77" s="50"/>
      <c r="P77" s="379"/>
      <c r="Q77" s="379"/>
      <c r="R77" s="379"/>
      <c r="T77" s="45">
        <v>9</v>
      </c>
      <c r="U77" s="378"/>
      <c r="V77" s="444" t="s">
        <v>236</v>
      </c>
      <c r="W77" s="378"/>
      <c r="X77" s="378"/>
      <c r="Y77" s="5"/>
      <c r="Z77" s="5"/>
      <c r="AA77" s="5"/>
      <c r="AB77" s="5"/>
      <c r="AC77" s="75"/>
      <c r="AD77" s="7"/>
      <c r="AE77" s="2"/>
      <c r="AF77" s="2"/>
      <c r="AG77" s="149"/>
      <c r="AH77" s="6"/>
      <c r="AI77" s="5"/>
      <c r="AJ77" s="5"/>
      <c r="AK77" s="149"/>
      <c r="AL77" s="8"/>
      <c r="AM77" s="5"/>
      <c r="AN77" s="5"/>
      <c r="AO77" s="5"/>
      <c r="AP77" s="5"/>
      <c r="AQ77" s="149"/>
      <c r="AW77" s="392"/>
    </row>
    <row r="78" spans="1:51" x14ac:dyDescent="0.25">
      <c r="A78" s="53"/>
      <c r="C78" s="54"/>
      <c r="F78" s="379"/>
      <c r="H78" s="449"/>
      <c r="I78" s="449"/>
      <c r="J78" s="472"/>
      <c r="K78" s="472"/>
      <c r="L78" s="379"/>
      <c r="M78" s="379"/>
      <c r="N78" s="50"/>
      <c r="O78" s="50"/>
      <c r="P78" s="379"/>
      <c r="Q78" s="379"/>
      <c r="R78" s="379"/>
      <c r="T78" s="45">
        <v>10</v>
      </c>
      <c r="U78" s="378"/>
      <c r="V78" s="46" t="s">
        <v>237</v>
      </c>
      <c r="W78" s="378"/>
      <c r="X78" s="378"/>
      <c r="Y78" s="5">
        <f>F28</f>
        <v>840</v>
      </c>
      <c r="Z78" s="5"/>
      <c r="AA78" s="5">
        <f>H28</f>
        <v>55020</v>
      </c>
      <c r="AB78" s="5"/>
      <c r="AC78" s="223">
        <v>7.26</v>
      </c>
      <c r="AD78" s="485"/>
      <c r="AE78" s="5">
        <f>ROUND((Y78*AC78),0)</f>
        <v>6098</v>
      </c>
      <c r="AF78" s="5"/>
      <c r="AG78" s="149">
        <f>ROUND((AE78/AE$95)*100,1)</f>
        <v>7.7</v>
      </c>
      <c r="AH78" s="6"/>
      <c r="AI78" s="5">
        <f>L28-AE78</f>
        <v>748</v>
      </c>
      <c r="AJ78" s="5"/>
      <c r="AK78" s="149">
        <f>ROUND((AI78/AE78)*100,1)</f>
        <v>12.3</v>
      </c>
      <c r="AL78" s="8"/>
      <c r="AM78" s="5">
        <f>ROUND($AM$95/$AA$95*AA78,0)</f>
        <v>37</v>
      </c>
      <c r="AN78" s="5"/>
      <c r="AO78" s="5">
        <f>AE78+AM78</f>
        <v>6135</v>
      </c>
      <c r="AP78" s="5"/>
      <c r="AQ78" s="149">
        <f>ROUND((AI78/AO78)*100,1)</f>
        <v>12.2</v>
      </c>
      <c r="AU78" s="77">
        <f>AC78-AX78</f>
        <v>5.6999999999999993</v>
      </c>
      <c r="AW78" s="48">
        <v>786</v>
      </c>
      <c r="AX78" s="380">
        <f>ROUND((AW78/12)*CUR_BASE_FUEL,2)</f>
        <v>1.56</v>
      </c>
      <c r="AY78" s="380">
        <f>ROUND((AW78/12)*PRO_BASE_FUEL,2)</f>
        <v>1.56</v>
      </c>
    </row>
    <row r="79" spans="1:51" x14ac:dyDescent="0.25">
      <c r="F79" s="381"/>
      <c r="H79" s="381"/>
      <c r="I79" s="381"/>
      <c r="J79" s="464"/>
      <c r="K79" s="464"/>
      <c r="L79" s="381"/>
      <c r="M79" s="381"/>
      <c r="N79" s="381"/>
      <c r="O79" s="381"/>
      <c r="P79" s="381"/>
      <c r="Q79" s="381"/>
      <c r="R79" s="381"/>
      <c r="T79" s="45">
        <v>11</v>
      </c>
      <c r="U79" s="378"/>
      <c r="V79" s="46" t="s">
        <v>238</v>
      </c>
      <c r="W79" s="378"/>
      <c r="X79" s="378"/>
      <c r="Y79" s="5">
        <f>F29</f>
        <v>7372</v>
      </c>
      <c r="Z79" s="5"/>
      <c r="AA79" s="5">
        <f>H29</f>
        <v>278293</v>
      </c>
      <c r="AB79" s="5"/>
      <c r="AC79" s="75">
        <v>6.87</v>
      </c>
      <c r="AD79" s="7"/>
      <c r="AE79" s="5">
        <f>ROUND((Y79*AC79),0)</f>
        <v>50646</v>
      </c>
      <c r="AF79" s="5"/>
      <c r="AG79" s="149">
        <f>ROUND((AE79/AE$95)*100,1)</f>
        <v>63.6</v>
      </c>
      <c r="AH79" s="6"/>
      <c r="AI79" s="5">
        <f>L29-AE79</f>
        <v>6192</v>
      </c>
      <c r="AJ79" s="5"/>
      <c r="AK79" s="149">
        <f>ROUND((AI79/AE79)*100,1)</f>
        <v>12.2</v>
      </c>
      <c r="AL79" s="8"/>
      <c r="AM79" s="5">
        <f>ROUND($AM$95/$AA$95*AA79,0)-1</f>
        <v>188</v>
      </c>
      <c r="AN79" s="5"/>
      <c r="AO79" s="5">
        <f>AE79+AM79</f>
        <v>50834</v>
      </c>
      <c r="AP79" s="5"/>
      <c r="AQ79" s="149">
        <f>ROUND((AI79/AO79)*100,1)</f>
        <v>12.2</v>
      </c>
      <c r="AU79" s="77">
        <f>AC79-AX79</f>
        <v>5.97</v>
      </c>
      <c r="AW79" s="48">
        <v>453</v>
      </c>
      <c r="AX79" s="380">
        <f>ROUND((AW79/12)*CUR_BASE_FUEL,2)</f>
        <v>0.9</v>
      </c>
      <c r="AY79" s="380">
        <f>ROUND((AW79/12)*PRO_BASE_FUEL,2)</f>
        <v>0.9</v>
      </c>
    </row>
    <row r="80" spans="1:51" x14ac:dyDescent="0.25">
      <c r="F80" s="381"/>
      <c r="H80" s="381"/>
      <c r="I80" s="381"/>
      <c r="J80" s="464"/>
      <c r="K80" s="464"/>
      <c r="L80" s="381"/>
      <c r="M80" s="381"/>
      <c r="N80" s="381"/>
      <c r="O80" s="381"/>
      <c r="P80" s="381"/>
      <c r="Q80" s="381"/>
      <c r="R80" s="381"/>
      <c r="S80" s="379"/>
      <c r="T80" s="45">
        <v>12</v>
      </c>
      <c r="U80" s="378"/>
      <c r="V80" s="52" t="s">
        <v>229</v>
      </c>
      <c r="W80" s="378"/>
      <c r="X80" s="378"/>
      <c r="Y80" s="5">
        <f>F30</f>
        <v>408</v>
      </c>
      <c r="Z80" s="2"/>
      <c r="AA80" s="5">
        <f>H30</f>
        <v>65076</v>
      </c>
      <c r="AB80" s="2"/>
      <c r="AC80" s="75">
        <v>10.89</v>
      </c>
      <c r="AD80" s="7"/>
      <c r="AE80" s="5">
        <f>ROUND((Y80*AC80),0)</f>
        <v>4443</v>
      </c>
      <c r="AF80" s="2"/>
      <c r="AG80" s="149">
        <f>ROUND((AE80/AE$95)*100,1)</f>
        <v>5.6</v>
      </c>
      <c r="AH80" s="2"/>
      <c r="AI80" s="5">
        <f>L30-AE80</f>
        <v>547</v>
      </c>
      <c r="AJ80" s="2"/>
      <c r="AK80" s="148">
        <f>ROUND((AI80/AE80)*100,1)</f>
        <v>12.3</v>
      </c>
      <c r="AL80" s="2"/>
      <c r="AM80" s="81">
        <f>ROUND($AM$95/$AA$95*AA80,0)</f>
        <v>44</v>
      </c>
      <c r="AN80" s="2"/>
      <c r="AO80" s="5">
        <f>AE80+AM80</f>
        <v>4487</v>
      </c>
      <c r="AP80" s="2"/>
      <c r="AQ80" s="149">
        <f>ROUND((AI80/AO80)*100,1)</f>
        <v>12.2</v>
      </c>
      <c r="AU80" s="77">
        <f>AC80-AX80</f>
        <v>7.0900000000000007</v>
      </c>
      <c r="AW80" s="48">
        <v>1914</v>
      </c>
      <c r="AX80" s="380">
        <f>ROUND((AW80/12)*CUR_BASE_FUEL,2)</f>
        <v>3.8</v>
      </c>
      <c r="AY80" s="380">
        <f>ROUND((AW80/12)*PRO_BASE_FUEL,2)</f>
        <v>3.8</v>
      </c>
    </row>
    <row r="81" spans="1:51" ht="20.100000000000001" customHeight="1" x14ac:dyDescent="0.25">
      <c r="A81" s="53"/>
      <c r="C81" s="54"/>
      <c r="F81" s="449"/>
      <c r="H81" s="449"/>
      <c r="I81" s="449"/>
      <c r="J81" s="461"/>
      <c r="K81" s="461"/>
      <c r="L81" s="379"/>
      <c r="M81" s="379"/>
      <c r="N81" s="50"/>
      <c r="O81" s="50"/>
      <c r="P81" s="53"/>
      <c r="Q81" s="53"/>
      <c r="R81" s="379"/>
      <c r="T81" s="45">
        <v>13</v>
      </c>
      <c r="U81" s="378"/>
      <c r="V81" s="222" t="s">
        <v>96</v>
      </c>
      <c r="W81" s="378"/>
      <c r="X81" s="378"/>
      <c r="Y81" s="90">
        <f>SUM(Y72:Y80)</f>
        <v>9136</v>
      </c>
      <c r="Z81" s="2"/>
      <c r="AA81" s="90">
        <f>SUM(AA72:AA80)</f>
        <v>445486</v>
      </c>
      <c r="AB81" s="5"/>
      <c r="AC81" s="75"/>
      <c r="AD81" s="7"/>
      <c r="AE81" s="90">
        <f>SUM(AE72:AE80)</f>
        <v>68625</v>
      </c>
      <c r="AF81" s="5"/>
      <c r="AG81" s="150">
        <f>SUM(AG72:AG80)</f>
        <v>86.199999999999989</v>
      </c>
      <c r="AH81" s="8"/>
      <c r="AI81" s="90">
        <f>SUM(AI72:AI80)</f>
        <v>8398</v>
      </c>
      <c r="AJ81" s="5"/>
      <c r="AK81" s="148">
        <f>ROUND((AI81/AE81)*100,1)</f>
        <v>12.2</v>
      </c>
      <c r="AL81" s="8"/>
      <c r="AM81" s="90">
        <f>ROUND($AM$95/$AA$95*AA81,0)</f>
        <v>303</v>
      </c>
      <c r="AN81" s="5"/>
      <c r="AO81" s="90">
        <f>AE81+AM81</f>
        <v>68928</v>
      </c>
      <c r="AP81" s="5"/>
      <c r="AQ81" s="149">
        <f>ROUND((AI81/AO81)*100,1)</f>
        <v>12.2</v>
      </c>
      <c r="AW81" s="379"/>
    </row>
    <row r="82" spans="1:51" x14ac:dyDescent="0.25">
      <c r="F82" s="381"/>
      <c r="H82" s="379"/>
      <c r="I82" s="379"/>
      <c r="J82" s="464"/>
      <c r="K82" s="464"/>
      <c r="L82" s="381"/>
      <c r="M82" s="381"/>
      <c r="N82" s="381"/>
      <c r="O82" s="381"/>
      <c r="P82" s="381"/>
      <c r="Q82" s="381"/>
      <c r="R82" s="381"/>
      <c r="T82" s="378"/>
      <c r="U82" s="378"/>
      <c r="V82" s="378"/>
      <c r="W82" s="378"/>
      <c r="X82" s="378"/>
      <c r="Y82" s="2"/>
      <c r="Z82" s="2"/>
      <c r="AA82" s="2"/>
      <c r="AB82" s="2"/>
      <c r="AC82" s="75"/>
      <c r="AD82" s="7"/>
      <c r="AE82" s="2"/>
      <c r="AF82" s="2"/>
      <c r="AG82" s="147"/>
      <c r="AH82" s="2"/>
      <c r="AI82" s="2"/>
      <c r="AJ82" s="2"/>
      <c r="AK82" s="147"/>
      <c r="AL82" s="2"/>
      <c r="AM82" s="2"/>
      <c r="AN82" s="2"/>
      <c r="AO82" s="2"/>
      <c r="AP82" s="2"/>
      <c r="AQ82" s="147"/>
      <c r="AW82" s="378"/>
    </row>
    <row r="83" spans="1:51" x14ac:dyDescent="0.25">
      <c r="F83" s="381"/>
      <c r="H83" s="379"/>
      <c r="I83" s="379"/>
      <c r="J83" s="464"/>
      <c r="K83" s="464"/>
      <c r="L83" s="381"/>
      <c r="M83" s="381"/>
      <c r="N83" s="381"/>
      <c r="O83" s="381"/>
      <c r="P83" s="381"/>
      <c r="Q83" s="381"/>
      <c r="R83" s="381"/>
      <c r="T83" s="45">
        <v>14</v>
      </c>
      <c r="U83" s="378"/>
      <c r="V83" s="444" t="s">
        <v>239</v>
      </c>
      <c r="W83" s="378"/>
      <c r="X83" s="378"/>
      <c r="Y83" s="2"/>
      <c r="Z83" s="2"/>
      <c r="AA83" s="2"/>
      <c r="AB83" s="2"/>
      <c r="AC83" s="75"/>
      <c r="AD83" s="7"/>
      <c r="AE83" s="2"/>
      <c r="AF83" s="2"/>
      <c r="AG83" s="147"/>
      <c r="AH83" s="2"/>
      <c r="AI83" s="2"/>
      <c r="AJ83" s="2"/>
      <c r="AK83" s="147"/>
      <c r="AL83" s="2"/>
      <c r="AM83" s="2"/>
      <c r="AN83" s="2"/>
      <c r="AO83" s="2"/>
      <c r="AP83" s="2"/>
      <c r="AQ83" s="147"/>
      <c r="AW83" s="378"/>
    </row>
    <row r="84" spans="1:51" x14ac:dyDescent="0.25">
      <c r="F84" s="381"/>
      <c r="H84" s="379"/>
      <c r="I84" s="379"/>
      <c r="J84" s="464"/>
      <c r="K84" s="464"/>
      <c r="L84" s="381"/>
      <c r="M84" s="381"/>
      <c r="N84" s="381"/>
      <c r="O84" s="381"/>
      <c r="P84" s="381"/>
      <c r="Q84" s="381"/>
      <c r="R84" s="381"/>
      <c r="T84" s="45">
        <v>15</v>
      </c>
      <c r="U84" s="378"/>
      <c r="V84" s="444" t="s">
        <v>232</v>
      </c>
      <c r="W84" s="378"/>
      <c r="X84" s="378"/>
      <c r="Y84" s="2"/>
      <c r="Z84" s="2"/>
      <c r="AA84" s="2"/>
      <c r="AB84" s="2"/>
      <c r="AC84" s="75"/>
      <c r="AD84" s="7"/>
      <c r="AE84" s="2"/>
      <c r="AF84" s="2"/>
      <c r="AG84" s="147"/>
      <c r="AH84" s="2"/>
      <c r="AI84" s="2"/>
      <c r="AJ84" s="2"/>
      <c r="AK84" s="147"/>
      <c r="AL84" s="2"/>
      <c r="AM84" s="2"/>
      <c r="AN84" s="2"/>
      <c r="AO84" s="2"/>
      <c r="AP84" s="2"/>
      <c r="AQ84" s="147"/>
      <c r="AW84" s="378"/>
    </row>
    <row r="85" spans="1:51" x14ac:dyDescent="0.25">
      <c r="F85" s="381"/>
      <c r="H85" s="379"/>
      <c r="I85" s="379"/>
      <c r="J85" s="464"/>
      <c r="K85" s="464"/>
      <c r="L85" s="381"/>
      <c r="M85" s="381"/>
      <c r="N85" s="381"/>
      <c r="O85" s="381"/>
      <c r="P85" s="381"/>
      <c r="Q85" s="381"/>
      <c r="R85" s="381"/>
      <c r="T85" s="45">
        <v>16</v>
      </c>
      <c r="U85" s="378"/>
      <c r="V85" s="52" t="s">
        <v>94</v>
      </c>
      <c r="W85" s="378"/>
      <c r="X85" s="378"/>
      <c r="Y85" s="5">
        <f>F35</f>
        <v>0</v>
      </c>
      <c r="Z85" s="2"/>
      <c r="AA85" s="5">
        <f>H35</f>
        <v>0</v>
      </c>
      <c r="AB85" s="2"/>
      <c r="AC85" s="75">
        <v>5.56</v>
      </c>
      <c r="AD85" s="7"/>
      <c r="AE85" s="5">
        <f>ROUND((Y85*AC85),0)</f>
        <v>0</v>
      </c>
      <c r="AF85" s="2"/>
      <c r="AG85" s="149">
        <f>ROUND((AE85/AE$95)*100,1)</f>
        <v>0</v>
      </c>
      <c r="AH85" s="2"/>
      <c r="AI85" s="5">
        <f>L35-AE85</f>
        <v>0</v>
      </c>
      <c r="AJ85" s="2"/>
      <c r="AK85" s="383">
        <f t="shared" ref="AK85" si="4">IF(AE85=0,0,ROUND((AI85/AE85)*100,1))</f>
        <v>0</v>
      </c>
      <c r="AL85" s="2"/>
      <c r="AM85" s="5">
        <f>ROUND($AM$95/$AA$95*AA85,0)</f>
        <v>0</v>
      </c>
      <c r="AN85" s="2"/>
      <c r="AO85" s="5">
        <f>AE85+AM85</f>
        <v>0</v>
      </c>
      <c r="AP85" s="2"/>
      <c r="AQ85" s="149">
        <f t="shared" ref="AQ85:AQ86" si="5">IF(AO85=0,0,ROUND((AI85/AO85)*100,1))</f>
        <v>0</v>
      </c>
      <c r="AU85" s="77">
        <f>AC85-AX85</f>
        <v>4.3363669999999992</v>
      </c>
      <c r="AW85" s="392">
        <v>616</v>
      </c>
      <c r="AX85" s="380">
        <f>ROUND((AW85/12)*CUR_BASE_FUEL,6)</f>
        <v>1.223633</v>
      </c>
      <c r="AY85" s="380">
        <f>ROUND((AW85/12)*PRO_BASE_FUEL,6)</f>
        <v>1.223633</v>
      </c>
    </row>
    <row r="86" spans="1:51" x14ac:dyDescent="0.25">
      <c r="A86" s="53"/>
      <c r="C86" s="54"/>
      <c r="F86" s="449"/>
      <c r="H86" s="449"/>
      <c r="I86" s="449"/>
      <c r="J86" s="477"/>
      <c r="K86" s="477"/>
      <c r="L86" s="379"/>
      <c r="M86" s="379"/>
      <c r="N86" s="50"/>
      <c r="O86" s="50"/>
      <c r="P86" s="379"/>
      <c r="Q86" s="379"/>
      <c r="R86" s="379"/>
      <c r="S86" s="379"/>
      <c r="T86" s="45">
        <v>17</v>
      </c>
      <c r="U86" s="378"/>
      <c r="V86" s="52" t="s">
        <v>93</v>
      </c>
      <c r="W86" s="378"/>
      <c r="X86" s="378"/>
      <c r="Y86" s="5">
        <f>F36</f>
        <v>60</v>
      </c>
      <c r="Z86" s="2"/>
      <c r="AA86" s="5">
        <f>H36</f>
        <v>3930</v>
      </c>
      <c r="AB86" s="2"/>
      <c r="AC86" s="75">
        <v>7.07</v>
      </c>
      <c r="AD86" s="7"/>
      <c r="AE86" s="5">
        <f>ROUND((Y86*AC86),0)</f>
        <v>424</v>
      </c>
      <c r="AF86" s="2"/>
      <c r="AG86" s="148">
        <f>ROUND((AE86/AE$95)*100,1)</f>
        <v>0.5</v>
      </c>
      <c r="AH86" s="2"/>
      <c r="AI86" s="5">
        <f>L36-AE86</f>
        <v>52</v>
      </c>
      <c r="AJ86" s="2"/>
      <c r="AK86" s="148">
        <v>0</v>
      </c>
      <c r="AL86" s="2"/>
      <c r="AM86" s="81">
        <f>ROUND($AM$95/$AA$95*AA86,0)</f>
        <v>3</v>
      </c>
      <c r="AN86" s="2"/>
      <c r="AO86" s="5">
        <f>AE86+AM86</f>
        <v>427</v>
      </c>
      <c r="AP86" s="2"/>
      <c r="AQ86" s="149">
        <f t="shared" si="5"/>
        <v>12.2</v>
      </c>
      <c r="AU86" s="77">
        <f>AC86-AX86</f>
        <v>5.5086760000000004</v>
      </c>
      <c r="AW86" s="392">
        <v>786</v>
      </c>
      <c r="AX86" s="380">
        <f>ROUND((AW86/12)*CUR_BASE_FUEL,6)</f>
        <v>1.5613239999999999</v>
      </c>
      <c r="AY86" s="380">
        <f>ROUND((AW86/12)*PRO_BASE_FUEL,6)</f>
        <v>1.5613239999999999</v>
      </c>
    </row>
    <row r="87" spans="1:51" ht="20.100000000000001" customHeight="1" x14ac:dyDescent="0.25">
      <c r="A87" s="53"/>
      <c r="C87" s="54"/>
      <c r="F87" s="449"/>
      <c r="H87" s="449"/>
      <c r="I87" s="449"/>
      <c r="J87" s="461"/>
      <c r="K87" s="461"/>
      <c r="L87" s="379"/>
      <c r="M87" s="379"/>
      <c r="N87" s="50"/>
      <c r="O87" s="50"/>
      <c r="P87" s="379"/>
      <c r="Q87" s="379"/>
      <c r="R87" s="379"/>
      <c r="T87" s="45">
        <v>18</v>
      </c>
      <c r="U87" s="378"/>
      <c r="V87" s="444" t="s">
        <v>240</v>
      </c>
      <c r="W87" s="378"/>
      <c r="X87" s="378"/>
      <c r="Y87" s="90">
        <f>SUM(Y85:Y86)</f>
        <v>60</v>
      </c>
      <c r="Z87" s="2"/>
      <c r="AA87" s="90">
        <f>SUM(AA85:AA86)</f>
        <v>3930</v>
      </c>
      <c r="AB87" s="5"/>
      <c r="AC87" s="485"/>
      <c r="AD87" s="485"/>
      <c r="AE87" s="90">
        <f>SUM(AE85:AE86)</f>
        <v>424</v>
      </c>
      <c r="AF87" s="5"/>
      <c r="AG87" s="149">
        <f>ROUND((AE87/AE$95)*100,1)</f>
        <v>0.5</v>
      </c>
      <c r="AH87" s="6"/>
      <c r="AI87" s="90">
        <f>SUM(AI85:AI86)</f>
        <v>52</v>
      </c>
      <c r="AJ87" s="5"/>
      <c r="AK87" s="148">
        <f>ROUND((AI87/AE87)*100,1)</f>
        <v>12.3</v>
      </c>
      <c r="AL87" s="8"/>
      <c r="AM87" s="90">
        <f>ROUND($AM$95/$AA$95*AA87,0)</f>
        <v>3</v>
      </c>
      <c r="AN87" s="5"/>
      <c r="AO87" s="90">
        <f>SUM(AO85:AO86)</f>
        <v>427</v>
      </c>
      <c r="AP87" s="5"/>
      <c r="AQ87" s="149">
        <f>ROUND((AI87/AO87)*100,1)</f>
        <v>12.2</v>
      </c>
      <c r="AW87" s="83"/>
    </row>
    <row r="88" spans="1:51" ht="20.100000000000001" customHeight="1" x14ac:dyDescent="0.25">
      <c r="A88" s="53"/>
      <c r="C88" s="54"/>
      <c r="F88" s="449"/>
      <c r="H88" s="449"/>
      <c r="I88" s="449"/>
      <c r="J88" s="461"/>
      <c r="K88" s="461"/>
      <c r="L88" s="379"/>
      <c r="M88" s="379"/>
      <c r="N88" s="50"/>
      <c r="O88" s="50"/>
      <c r="P88" s="379"/>
      <c r="Q88" s="379"/>
      <c r="R88" s="379"/>
      <c r="T88" s="45">
        <v>19</v>
      </c>
      <c r="U88" s="378"/>
      <c r="V88" s="444" t="s">
        <v>543</v>
      </c>
      <c r="W88" s="378"/>
      <c r="X88" s="378"/>
      <c r="Y88" s="90">
        <f>Y87+Y81</f>
        <v>9196</v>
      </c>
      <c r="Z88" s="2"/>
      <c r="AA88" s="90">
        <f>AA87+AA81</f>
        <v>449416</v>
      </c>
      <c r="AB88" s="5"/>
      <c r="AC88" s="485"/>
      <c r="AD88" s="485"/>
      <c r="AE88" s="90">
        <f>AE87+AE81</f>
        <v>69049</v>
      </c>
      <c r="AF88" s="5"/>
      <c r="AG88" s="150">
        <f>ROUND((AE88/AE$95)*100,1)</f>
        <v>86.7</v>
      </c>
      <c r="AH88" s="6"/>
      <c r="AI88" s="90">
        <f>AI87+AI81</f>
        <v>8450</v>
      </c>
      <c r="AJ88" s="5"/>
      <c r="AK88" s="150">
        <f>ROUND((AI88/AE88)*100,1)</f>
        <v>12.2</v>
      </c>
      <c r="AL88" s="8"/>
      <c r="AM88" s="90">
        <f>AM87+AM81</f>
        <v>306</v>
      </c>
      <c r="AN88" s="5"/>
      <c r="AO88" s="90">
        <f>AO87+AO81</f>
        <v>69355</v>
      </c>
      <c r="AP88" s="5"/>
      <c r="AQ88" s="149">
        <f>ROUND((AI88/AO88)*100,1)</f>
        <v>12.2</v>
      </c>
      <c r="AW88" s="83"/>
    </row>
    <row r="89" spans="1:51" ht="15.75" customHeight="1" x14ac:dyDescent="0.25">
      <c r="A89" s="53"/>
      <c r="C89" s="54"/>
      <c r="F89" s="449"/>
      <c r="H89" s="449"/>
      <c r="I89" s="449"/>
      <c r="J89" s="461"/>
      <c r="K89" s="461"/>
      <c r="L89" s="379"/>
      <c r="M89" s="379"/>
      <c r="N89" s="50"/>
      <c r="O89" s="50"/>
      <c r="P89" s="379"/>
      <c r="Q89" s="379"/>
      <c r="R89" s="379"/>
      <c r="T89" s="45"/>
      <c r="U89" s="378"/>
      <c r="V89" s="444"/>
      <c r="W89" s="378"/>
      <c r="X89" s="378"/>
      <c r="Y89" s="83"/>
      <c r="Z89" s="2"/>
      <c r="AA89" s="83"/>
      <c r="AB89" s="5"/>
      <c r="AC89" s="485"/>
      <c r="AD89" s="485"/>
      <c r="AE89" s="83"/>
      <c r="AF89" s="5"/>
      <c r="AG89" s="383"/>
      <c r="AH89" s="6"/>
      <c r="AI89" s="83"/>
      <c r="AJ89" s="5"/>
      <c r="AK89" s="383"/>
      <c r="AL89" s="8"/>
      <c r="AM89" s="83"/>
      <c r="AN89" s="5"/>
      <c r="AO89" s="83"/>
      <c r="AP89" s="5"/>
      <c r="AQ89" s="149"/>
      <c r="AW89" s="83"/>
    </row>
    <row r="90" spans="1:51" ht="15.75" customHeight="1" x14ac:dyDescent="0.25">
      <c r="A90" s="53"/>
      <c r="C90" s="54"/>
      <c r="F90" s="449"/>
      <c r="H90" s="449"/>
      <c r="I90" s="449"/>
      <c r="J90" s="461"/>
      <c r="K90" s="461"/>
      <c r="L90" s="379"/>
      <c r="M90" s="379"/>
      <c r="N90" s="50"/>
      <c r="O90" s="50"/>
      <c r="P90" s="379"/>
      <c r="Q90" s="379"/>
      <c r="R90" s="379"/>
      <c r="T90" s="45">
        <f>A40</f>
        <v>20</v>
      </c>
      <c r="U90" s="378"/>
      <c r="V90" s="222" t="s">
        <v>542</v>
      </c>
      <c r="W90" s="378"/>
      <c r="X90" s="378"/>
      <c r="Y90" s="83"/>
      <c r="Z90" s="2"/>
      <c r="AA90" s="83"/>
      <c r="AB90" s="5"/>
      <c r="AC90" s="485"/>
      <c r="AD90" s="485"/>
      <c r="AE90" s="83"/>
      <c r="AF90" s="5"/>
      <c r="AG90" s="383"/>
      <c r="AH90" s="6"/>
      <c r="AI90" s="83"/>
      <c r="AJ90" s="5"/>
      <c r="AK90" s="383"/>
      <c r="AL90" s="8"/>
      <c r="AM90" s="83"/>
      <c r="AN90" s="5"/>
      <c r="AO90" s="83"/>
      <c r="AP90" s="5"/>
      <c r="AQ90" s="149"/>
      <c r="AW90" s="83"/>
    </row>
    <row r="91" spans="1:51" ht="15.75" customHeight="1" x14ac:dyDescent="0.25">
      <c r="A91" s="53"/>
      <c r="C91" s="54"/>
      <c r="F91" s="449"/>
      <c r="H91" s="449"/>
      <c r="I91" s="449"/>
      <c r="J91" s="461"/>
      <c r="K91" s="461"/>
      <c r="L91" s="379"/>
      <c r="M91" s="379"/>
      <c r="N91" s="50"/>
      <c r="O91" s="50"/>
      <c r="P91" s="379"/>
      <c r="Q91" s="379"/>
      <c r="R91" s="379"/>
      <c r="T91" s="45">
        <f>A41</f>
        <v>21</v>
      </c>
      <c r="U91" s="378"/>
      <c r="V91" s="216" t="str">
        <f>C41</f>
        <v>ENVIRONMENTAL SURCHARGE MECHANISM RIDER (ESM)</v>
      </c>
      <c r="W91" s="378"/>
      <c r="X91" s="378"/>
      <c r="Y91" s="83"/>
      <c r="Z91" s="2"/>
      <c r="AA91" s="83"/>
      <c r="AB91" s="5"/>
      <c r="AC91" s="538">
        <f>CUR_ESM_NONRES</f>
        <v>0.18160000000000001</v>
      </c>
      <c r="AD91" s="481"/>
      <c r="AE91" s="83">
        <f>ROUND((AO88-CUR_BASE_FUEL*AA88)*AC91,0)</f>
        <v>10649</v>
      </c>
      <c r="AF91" s="5"/>
      <c r="AG91" s="383">
        <f>ROUND((AE91/AE$95)*100,1)</f>
        <v>13.4</v>
      </c>
      <c r="AH91" s="6"/>
      <c r="AI91" s="83">
        <f>L41-AE91</f>
        <v>0</v>
      </c>
      <c r="AJ91" s="5"/>
      <c r="AK91" s="383">
        <f>IF(AE91=0,0,ROUND((AI91/AE91)*100,1))</f>
        <v>0</v>
      </c>
      <c r="AL91" s="8"/>
      <c r="AM91" s="83"/>
      <c r="AN91" s="5"/>
      <c r="AO91" s="83">
        <f t="shared" ref="AO91" si="6">AE91+AM91</f>
        <v>10649</v>
      </c>
      <c r="AP91" s="5"/>
      <c r="AQ91" s="149">
        <f>IF(AO91=0,0,ROUND((AI91/AO91)*100,1))</f>
        <v>0</v>
      </c>
      <c r="AW91" s="83"/>
    </row>
    <row r="92" spans="1:51" ht="15.75" customHeight="1" x14ac:dyDescent="0.25">
      <c r="A92" s="53"/>
      <c r="C92" s="54"/>
      <c r="F92" s="449"/>
      <c r="H92" s="449"/>
      <c r="I92" s="449"/>
      <c r="J92" s="461"/>
      <c r="K92" s="461"/>
      <c r="L92" s="379"/>
      <c r="M92" s="379"/>
      <c r="N92" s="50"/>
      <c r="O92" s="50"/>
      <c r="P92" s="379"/>
      <c r="Q92" s="379"/>
      <c r="R92" s="379"/>
      <c r="T92" s="45">
        <f>A42</f>
        <v>22</v>
      </c>
      <c r="U92" s="378"/>
      <c r="V92" s="216" t="str">
        <f>C42</f>
        <v>PROFIT SHARING MECHANISM (PSM)</v>
      </c>
      <c r="W92" s="378"/>
      <c r="X92" s="378"/>
      <c r="Y92" s="83"/>
      <c r="Z92" s="2"/>
      <c r="AA92" s="83"/>
      <c r="AB92" s="5"/>
      <c r="AC92" s="453">
        <f>RS_PSM</f>
        <v>-1.63E-4</v>
      </c>
      <c r="AD92" s="485"/>
      <c r="AE92" s="81">
        <f>ROUND($AA$88*AC92,0)</f>
        <v>-73</v>
      </c>
      <c r="AF92" s="5"/>
      <c r="AG92" s="148">
        <f>ROUND((AE92/AE$95)*100,1)</f>
        <v>-0.1</v>
      </c>
      <c r="AH92" s="6"/>
      <c r="AI92" s="5">
        <f>L42-AE92</f>
        <v>0</v>
      </c>
      <c r="AJ92" s="5"/>
      <c r="AK92" s="148">
        <f t="shared" ref="AK92:AK93" si="7">ROUND((AI92/AE92)*100,1)</f>
        <v>0</v>
      </c>
      <c r="AL92" s="8"/>
      <c r="AM92" s="83"/>
      <c r="AN92" s="5"/>
      <c r="AO92" s="5">
        <f t="shared" ref="AO92" si="8">AE92+AM92</f>
        <v>-73</v>
      </c>
      <c r="AP92" s="5"/>
      <c r="AQ92" s="149">
        <f t="shared" ref="AQ92:AQ93" si="9">ROUND((AI92/AO92)*100,1)</f>
        <v>0</v>
      </c>
      <c r="AW92" s="83"/>
    </row>
    <row r="93" spans="1:51" ht="20.100000000000001" customHeight="1" x14ac:dyDescent="0.25">
      <c r="A93" s="53"/>
      <c r="C93" s="54"/>
      <c r="F93" s="449"/>
      <c r="H93" s="449"/>
      <c r="I93" s="449"/>
      <c r="J93" s="461"/>
      <c r="K93" s="461"/>
      <c r="L93" s="379"/>
      <c r="M93" s="379"/>
      <c r="N93" s="50"/>
      <c r="O93" s="50"/>
      <c r="P93" s="379"/>
      <c r="Q93" s="379"/>
      <c r="R93" s="379"/>
      <c r="T93" s="45">
        <f>A43</f>
        <v>23</v>
      </c>
      <c r="U93" s="378"/>
      <c r="V93" s="222" t="s">
        <v>538</v>
      </c>
      <c r="W93" s="378"/>
      <c r="X93" s="378"/>
      <c r="Y93" s="81"/>
      <c r="Z93" s="2"/>
      <c r="AA93" s="81"/>
      <c r="AB93" s="5"/>
      <c r="AC93" s="485"/>
      <c r="AD93" s="485"/>
      <c r="AE93" s="90">
        <f>SUM(AE91:AE92)</f>
        <v>10576</v>
      </c>
      <c r="AF93" s="5"/>
      <c r="AG93" s="150">
        <f>ROUND((AE93/AE$95)*100,1)</f>
        <v>13.3</v>
      </c>
      <c r="AH93" s="6"/>
      <c r="AI93" s="90">
        <f>SUM(AI91:AI92)</f>
        <v>0</v>
      </c>
      <c r="AJ93" s="5"/>
      <c r="AK93" s="150">
        <f t="shared" si="7"/>
        <v>0</v>
      </c>
      <c r="AL93" s="8"/>
      <c r="AM93" s="90"/>
      <c r="AN93" s="5"/>
      <c r="AO93" s="90">
        <f>SUM(AO91:AO92)</f>
        <v>10576</v>
      </c>
      <c r="AP93" s="5"/>
      <c r="AQ93" s="149">
        <f t="shared" si="9"/>
        <v>0</v>
      </c>
      <c r="AW93" s="83"/>
    </row>
    <row r="94" spans="1:51" ht="15.75" customHeight="1" x14ac:dyDescent="0.25">
      <c r="A94" s="53"/>
      <c r="C94" s="54"/>
      <c r="F94" s="449"/>
      <c r="H94" s="449"/>
      <c r="I94" s="449"/>
      <c r="J94" s="461"/>
      <c r="K94" s="461"/>
      <c r="L94" s="379"/>
      <c r="M94" s="379"/>
      <c r="N94" s="50"/>
      <c r="O94" s="50"/>
      <c r="P94" s="379"/>
      <c r="Q94" s="379"/>
      <c r="R94" s="379"/>
      <c r="T94" s="45"/>
      <c r="U94" s="378"/>
      <c r="V94" s="444"/>
      <c r="W94" s="378"/>
      <c r="X94" s="378"/>
      <c r="Y94" s="83"/>
      <c r="Z94" s="2"/>
      <c r="AA94" s="83"/>
      <c r="AB94" s="5"/>
      <c r="AC94" s="485"/>
      <c r="AD94" s="485"/>
      <c r="AE94" s="83"/>
      <c r="AF94" s="5"/>
      <c r="AG94" s="383"/>
      <c r="AH94" s="6"/>
      <c r="AI94" s="83"/>
      <c r="AJ94" s="5"/>
      <c r="AK94" s="383"/>
      <c r="AL94" s="8"/>
      <c r="AM94" s="83"/>
      <c r="AN94" s="5"/>
      <c r="AO94" s="83"/>
      <c r="AP94" s="5"/>
      <c r="AQ94" s="149"/>
      <c r="AW94" s="83"/>
    </row>
    <row r="95" spans="1:51" ht="20.100000000000001" customHeight="1" thickBot="1" x14ac:dyDescent="0.3">
      <c r="A95" s="53"/>
      <c r="C95" s="54"/>
      <c r="F95" s="379"/>
      <c r="H95" s="379"/>
      <c r="I95" s="379"/>
      <c r="J95" s="59"/>
      <c r="K95" s="59"/>
      <c r="L95" s="379"/>
      <c r="M95" s="379"/>
      <c r="N95" s="50"/>
      <c r="O95" s="50"/>
      <c r="P95" s="379"/>
      <c r="Q95" s="379"/>
      <c r="R95" s="379"/>
      <c r="T95" s="45">
        <f>A45</f>
        <v>24</v>
      </c>
      <c r="U95" s="378"/>
      <c r="V95" s="222" t="s">
        <v>544</v>
      </c>
      <c r="W95" s="378"/>
      <c r="X95" s="378"/>
      <c r="Y95" s="82">
        <f>Y88</f>
        <v>9196</v>
      </c>
      <c r="Z95" s="2"/>
      <c r="AA95" s="82">
        <f>AA88</f>
        <v>449416</v>
      </c>
      <c r="AB95" s="5"/>
      <c r="AC95" s="2"/>
      <c r="AD95" s="2"/>
      <c r="AE95" s="82">
        <f>AE88+AE93</f>
        <v>79625</v>
      </c>
      <c r="AF95" s="5"/>
      <c r="AG95" s="151">
        <v>100</v>
      </c>
      <c r="AH95" s="8"/>
      <c r="AI95" s="82">
        <f>AI88+AI93</f>
        <v>8450</v>
      </c>
      <c r="AJ95" s="5"/>
      <c r="AK95" s="151">
        <f>ROUND((AI95/AE95)*100,1)</f>
        <v>10.6</v>
      </c>
      <c r="AL95" s="8"/>
      <c r="AM95" s="554">
        <f>ROUND(AA95*CUR_FAC,0)</f>
        <v>306</v>
      </c>
      <c r="AN95" s="86"/>
      <c r="AO95" s="82">
        <f>AO88+AO93</f>
        <v>79931</v>
      </c>
      <c r="AP95" s="5"/>
      <c r="AQ95" s="149">
        <f>ROUND((AI95/AO95)*100,1)</f>
        <v>10.6</v>
      </c>
      <c r="AW95" s="83"/>
    </row>
    <row r="96" spans="1:51" ht="16.5" thickTop="1" x14ac:dyDescent="0.25">
      <c r="A96" s="53"/>
      <c r="C96" s="54"/>
      <c r="F96" s="379"/>
      <c r="H96" s="379"/>
      <c r="I96" s="379"/>
      <c r="J96" s="59"/>
      <c r="K96" s="59"/>
      <c r="L96" s="379"/>
      <c r="M96" s="379"/>
      <c r="N96" s="50"/>
      <c r="O96" s="50"/>
      <c r="P96" s="379"/>
      <c r="Q96" s="379"/>
      <c r="R96" s="379"/>
      <c r="T96" s="378"/>
      <c r="U96" s="378"/>
      <c r="V96" s="378"/>
      <c r="W96" s="378"/>
      <c r="X96" s="378"/>
      <c r="Y96" s="2"/>
      <c r="Z96" s="2"/>
      <c r="AA96" s="2"/>
      <c r="AB96" s="2"/>
      <c r="AC96" s="2"/>
      <c r="AD96" s="2"/>
      <c r="AE96" s="2"/>
      <c r="AF96" s="2"/>
      <c r="AG96" s="147"/>
      <c r="AH96" s="2"/>
      <c r="AI96" s="2"/>
      <c r="AJ96" s="2"/>
      <c r="AK96" s="147"/>
      <c r="AL96" s="2"/>
      <c r="AM96" s="2"/>
      <c r="AN96" s="2"/>
      <c r="AO96" s="2"/>
      <c r="AP96" s="2"/>
      <c r="AQ96" s="147"/>
    </row>
    <row r="97" spans="1:43" x14ac:dyDescent="0.25">
      <c r="A97" s="53"/>
      <c r="C97" s="54"/>
      <c r="F97" s="449"/>
      <c r="H97" s="449"/>
      <c r="I97" s="449"/>
      <c r="J97" s="472"/>
      <c r="K97" s="472"/>
      <c r="L97" s="379"/>
      <c r="M97" s="379"/>
      <c r="N97" s="50"/>
      <c r="O97" s="50"/>
      <c r="P97" s="379"/>
      <c r="Q97" s="379"/>
      <c r="R97" s="379"/>
      <c r="T97" s="378"/>
      <c r="U97" s="378"/>
      <c r="V97" s="243" t="s">
        <v>78</v>
      </c>
      <c r="W97" s="378"/>
      <c r="X97" s="378"/>
      <c r="Y97" s="378"/>
      <c r="Z97" s="378"/>
      <c r="AA97" s="378"/>
      <c r="AB97" s="378"/>
      <c r="AC97" s="378"/>
      <c r="AD97" s="378"/>
      <c r="AE97" s="378"/>
      <c r="AF97" s="378"/>
      <c r="AG97" s="143"/>
      <c r="AH97" s="378"/>
      <c r="AI97" s="378"/>
      <c r="AJ97" s="378"/>
      <c r="AK97" s="143"/>
      <c r="AL97" s="378"/>
      <c r="AM97" s="378"/>
      <c r="AN97" s="378"/>
      <c r="AO97" s="378"/>
      <c r="AP97" s="378"/>
      <c r="AQ97" s="143"/>
    </row>
    <row r="98" spans="1:43" x14ac:dyDescent="0.25">
      <c r="A98" s="53"/>
      <c r="C98" s="54"/>
      <c r="F98" s="449"/>
      <c r="H98" s="449"/>
      <c r="I98" s="449"/>
      <c r="J98" s="472"/>
      <c r="K98" s="472"/>
      <c r="L98" s="379"/>
      <c r="M98" s="379"/>
      <c r="N98" s="50"/>
      <c r="O98" s="50"/>
      <c r="P98" s="379"/>
      <c r="Q98" s="379"/>
      <c r="R98" s="379"/>
      <c r="T98" s="378"/>
      <c r="U98" s="378"/>
      <c r="V98" s="243" t="str">
        <f>"(2) REFLECTS FUEL COMPONENT OF "&amp;TEXT(CUR_FAC,"$0.000000;($0.000000)")&amp;" PER KWH."</f>
        <v>(2) REFLECTS FUEL COMPONENT OF $0.000681 PER KWH.</v>
      </c>
      <c r="W98" s="378"/>
      <c r="X98" s="378"/>
      <c r="Y98" s="378"/>
      <c r="Z98" s="378"/>
      <c r="AA98" s="378"/>
      <c r="AB98" s="378"/>
      <c r="AC98" s="378"/>
      <c r="AD98" s="378"/>
      <c r="AE98" s="378"/>
      <c r="AF98" s="378"/>
      <c r="AG98" s="143"/>
      <c r="AH98" s="378"/>
      <c r="AI98" s="378"/>
      <c r="AJ98" s="378"/>
      <c r="AK98" s="143"/>
      <c r="AL98" s="378"/>
      <c r="AM98" s="378"/>
      <c r="AN98" s="378"/>
      <c r="AO98" s="378"/>
      <c r="AP98" s="378"/>
      <c r="AQ98" s="143"/>
    </row>
    <row r="99" spans="1:43" x14ac:dyDescent="0.25">
      <c r="F99" s="381"/>
      <c r="H99" s="381"/>
      <c r="I99" s="381"/>
      <c r="J99" s="464"/>
      <c r="K99" s="464"/>
      <c r="L99" s="381"/>
      <c r="M99" s="381"/>
      <c r="N99" s="381"/>
      <c r="O99" s="381"/>
      <c r="P99" s="381"/>
      <c r="Q99" s="381"/>
      <c r="R99" s="381"/>
      <c r="T99" s="46"/>
      <c r="U99" s="378"/>
      <c r="V99" s="243" t="str">
        <f>"(3) REFLECTS FUEL COST RECOVERY INCLUDED IN BASE RATES OF "&amp;TEXT(CUR_BASE_FUEL,"$0.000000;($0.000000)")&amp;"  PER KWH."</f>
        <v>(3) REFLECTS FUEL COST RECOVERY INCLUDED IN BASE RATES OF $0.023837  PER KWH.</v>
      </c>
      <c r="W99" s="378"/>
      <c r="X99" s="378"/>
      <c r="Y99" s="378"/>
      <c r="Z99" s="378"/>
      <c r="AA99" s="378"/>
      <c r="AB99" s="378"/>
      <c r="AC99" s="378"/>
      <c r="AD99" s="378"/>
      <c r="AE99" s="378"/>
      <c r="AF99" s="378"/>
      <c r="AG99" s="143"/>
      <c r="AH99" s="378"/>
      <c r="AI99" s="378"/>
      <c r="AJ99" s="378"/>
      <c r="AK99" s="143"/>
      <c r="AL99" s="378"/>
      <c r="AM99" s="378"/>
      <c r="AN99" s="378"/>
      <c r="AO99" s="378"/>
      <c r="AP99" s="378"/>
      <c r="AQ99" s="143"/>
    </row>
    <row r="100" spans="1:43" x14ac:dyDescent="0.25">
      <c r="A100" s="53"/>
      <c r="C100" s="54"/>
      <c r="F100" s="379"/>
      <c r="H100" s="379"/>
      <c r="I100" s="379"/>
      <c r="J100" s="464"/>
      <c r="K100" s="464"/>
      <c r="L100" s="379"/>
      <c r="M100" s="379"/>
      <c r="N100" s="50"/>
      <c r="O100" s="50"/>
      <c r="P100" s="379"/>
      <c r="Q100" s="379"/>
      <c r="R100" s="379"/>
      <c r="S100" s="379"/>
      <c r="T100" s="54"/>
      <c r="V100" s="379"/>
      <c r="Y100" s="379"/>
      <c r="Z100" s="221"/>
      <c r="AA100" s="379"/>
      <c r="AB100" s="379"/>
      <c r="AC100" s="50"/>
      <c r="AD100" s="50"/>
      <c r="AE100" s="379"/>
      <c r="AF100" s="379"/>
      <c r="AG100" s="156"/>
      <c r="AH100" s="60"/>
      <c r="AI100" s="379"/>
      <c r="AJ100" s="379"/>
      <c r="AK100" s="156"/>
      <c r="AL100" s="379"/>
      <c r="AM100" s="50"/>
      <c r="AN100" s="50"/>
    </row>
    <row r="101" spans="1:43" x14ac:dyDescent="0.25">
      <c r="F101" s="381"/>
      <c r="H101" s="381"/>
      <c r="I101" s="381"/>
      <c r="J101" s="464"/>
      <c r="K101" s="464"/>
      <c r="L101" s="381"/>
      <c r="M101" s="381"/>
      <c r="N101" s="381"/>
      <c r="O101" s="381"/>
      <c r="P101" s="381"/>
      <c r="Q101" s="381"/>
      <c r="R101" s="381"/>
      <c r="S101" s="379"/>
      <c r="T101" s="54"/>
      <c r="Y101" s="379"/>
      <c r="Z101" s="221"/>
      <c r="AA101" s="379"/>
      <c r="AB101" s="379"/>
      <c r="AC101" s="50"/>
      <c r="AD101" s="50"/>
      <c r="AE101" s="379"/>
      <c r="AF101" s="379"/>
      <c r="AG101" s="156"/>
      <c r="AH101" s="60"/>
      <c r="AI101" s="379"/>
      <c r="AJ101" s="379"/>
      <c r="AK101" s="156"/>
      <c r="AL101" s="379"/>
      <c r="AM101" s="50"/>
      <c r="AN101" s="50"/>
    </row>
    <row r="102" spans="1:43" x14ac:dyDescent="0.25">
      <c r="A102" s="53"/>
      <c r="C102" s="54"/>
      <c r="V102" s="379"/>
      <c r="Y102" s="379"/>
      <c r="Z102" s="464"/>
      <c r="AA102" s="381"/>
      <c r="AB102" s="381"/>
      <c r="AC102" s="381"/>
      <c r="AD102" s="381"/>
      <c r="AE102" s="381"/>
      <c r="AF102" s="381"/>
      <c r="AI102" s="381"/>
      <c r="AJ102" s="381"/>
      <c r="AK102" s="162"/>
      <c r="AL102" s="381"/>
      <c r="AM102" s="50"/>
      <c r="AN102" s="50"/>
    </row>
    <row r="103" spans="1:43" x14ac:dyDescent="0.25">
      <c r="A103" s="53"/>
      <c r="C103" s="54"/>
      <c r="F103" s="379"/>
      <c r="H103" s="379"/>
      <c r="I103" s="379"/>
      <c r="L103" s="379"/>
      <c r="M103" s="379"/>
      <c r="N103" s="50"/>
      <c r="O103" s="50"/>
      <c r="P103" s="449"/>
      <c r="Q103" s="449"/>
      <c r="R103" s="379"/>
      <c r="T103" s="54"/>
      <c r="V103" s="379"/>
      <c r="Y103" s="379"/>
      <c r="Z103" s="59"/>
      <c r="AA103" s="379"/>
      <c r="AB103" s="379"/>
      <c r="AC103" s="50"/>
      <c r="AD103" s="50"/>
      <c r="AE103" s="379"/>
      <c r="AF103" s="379"/>
      <c r="AG103" s="156"/>
      <c r="AH103" s="60"/>
      <c r="AI103" s="379"/>
      <c r="AJ103" s="379"/>
      <c r="AK103" s="156"/>
      <c r="AL103" s="379"/>
      <c r="AM103" s="50"/>
      <c r="AN103" s="50"/>
    </row>
    <row r="104" spans="1:43" x14ac:dyDescent="0.25">
      <c r="F104" s="381"/>
      <c r="H104" s="381"/>
      <c r="I104" s="381"/>
      <c r="J104" s="464"/>
      <c r="K104" s="464"/>
      <c r="L104" s="381"/>
      <c r="M104" s="381"/>
      <c r="N104" s="381"/>
      <c r="O104" s="381"/>
      <c r="P104" s="381"/>
      <c r="Q104" s="381"/>
      <c r="R104" s="381"/>
      <c r="V104" s="379"/>
      <c r="Y104" s="379"/>
      <c r="Z104" s="464"/>
      <c r="AA104" s="381"/>
      <c r="AB104" s="381"/>
      <c r="AC104" s="381"/>
      <c r="AD104" s="381"/>
      <c r="AE104" s="381"/>
      <c r="AF104" s="381"/>
      <c r="AI104" s="381"/>
      <c r="AJ104" s="381"/>
      <c r="AK104" s="162"/>
      <c r="AL104" s="381"/>
      <c r="AM104" s="50"/>
      <c r="AN104" s="50"/>
    </row>
    <row r="105" spans="1:43" x14ac:dyDescent="0.25">
      <c r="T105" s="54"/>
      <c r="V105" s="379"/>
      <c r="Y105" s="379"/>
      <c r="Z105" s="59"/>
      <c r="AA105" s="379"/>
      <c r="AB105" s="379"/>
      <c r="AC105" s="50"/>
      <c r="AD105" s="50"/>
      <c r="AE105" s="379"/>
      <c r="AF105" s="379"/>
      <c r="AG105" s="156"/>
      <c r="AH105" s="60"/>
      <c r="AI105" s="379"/>
      <c r="AJ105" s="379"/>
      <c r="AK105" s="156"/>
      <c r="AL105" s="379"/>
      <c r="AM105" s="50"/>
      <c r="AN105" s="50"/>
    </row>
    <row r="106" spans="1:43" x14ac:dyDescent="0.25">
      <c r="C106" s="54"/>
      <c r="L106" s="379"/>
      <c r="M106" s="379"/>
      <c r="N106" s="379"/>
      <c r="O106" s="379"/>
      <c r="P106" s="379"/>
      <c r="Q106" s="379"/>
      <c r="R106" s="379"/>
      <c r="S106" s="379"/>
      <c r="T106" s="54"/>
      <c r="V106" s="449"/>
      <c r="Y106" s="379"/>
      <c r="Z106" s="472"/>
      <c r="AA106" s="379"/>
      <c r="AB106" s="379"/>
      <c r="AC106" s="50"/>
      <c r="AD106" s="50"/>
      <c r="AE106" s="379"/>
      <c r="AF106" s="379"/>
      <c r="AG106" s="156"/>
      <c r="AH106" s="60"/>
      <c r="AI106" s="379"/>
      <c r="AJ106" s="379"/>
      <c r="AK106" s="156"/>
      <c r="AL106" s="379"/>
      <c r="AM106" s="50"/>
      <c r="AN106" s="50"/>
    </row>
    <row r="107" spans="1:43" x14ac:dyDescent="0.25">
      <c r="A107" s="54"/>
      <c r="V107" s="381"/>
      <c r="Y107" s="381"/>
      <c r="Z107" s="464"/>
      <c r="AA107" s="381"/>
      <c r="AB107" s="381"/>
      <c r="AC107" s="381"/>
      <c r="AD107" s="381"/>
      <c r="AE107" s="381"/>
      <c r="AF107" s="381"/>
      <c r="AI107" s="381"/>
      <c r="AJ107" s="381"/>
      <c r="AK107" s="162"/>
      <c r="AL107" s="381"/>
      <c r="AM107" s="50"/>
      <c r="AN107" s="50"/>
    </row>
    <row r="108" spans="1:43" x14ac:dyDescent="0.25">
      <c r="J108" s="53"/>
      <c r="K108" s="53"/>
      <c r="T108" s="54"/>
      <c r="V108" s="379"/>
      <c r="Y108" s="379"/>
      <c r="Z108" s="464"/>
      <c r="AA108" s="379"/>
      <c r="AB108" s="379"/>
      <c r="AC108" s="50"/>
      <c r="AD108" s="50"/>
      <c r="AE108" s="379"/>
      <c r="AF108" s="379"/>
      <c r="AG108" s="156"/>
      <c r="AH108" s="50"/>
      <c r="AI108" s="379"/>
      <c r="AJ108" s="379"/>
      <c r="AK108" s="156"/>
      <c r="AL108" s="379"/>
      <c r="AM108" s="50"/>
      <c r="AN108" s="50"/>
    </row>
    <row r="109" spans="1:43" x14ac:dyDescent="0.25">
      <c r="H109" s="54"/>
      <c r="I109" s="54"/>
      <c r="V109" s="381"/>
      <c r="Y109" s="381"/>
      <c r="Z109" s="464"/>
      <c r="AA109" s="381"/>
      <c r="AB109" s="381"/>
      <c r="AC109" s="381"/>
      <c r="AD109" s="381"/>
      <c r="AE109" s="381"/>
      <c r="AF109" s="381"/>
      <c r="AI109" s="381"/>
      <c r="AJ109" s="381"/>
      <c r="AK109" s="162"/>
      <c r="AL109" s="381"/>
      <c r="AM109" s="50"/>
      <c r="AN109" s="50"/>
    </row>
    <row r="110" spans="1:43" x14ac:dyDescent="0.25">
      <c r="J110" s="53"/>
      <c r="K110" s="53"/>
      <c r="T110" s="54"/>
    </row>
    <row r="111" spans="1:43" x14ac:dyDescent="0.25">
      <c r="L111" s="54"/>
      <c r="M111" s="54"/>
      <c r="AA111" s="54"/>
      <c r="AB111" s="54"/>
    </row>
    <row r="112" spans="1:43" x14ac:dyDescent="0.25">
      <c r="A112" s="53"/>
      <c r="R112" s="54"/>
      <c r="AK112" s="161"/>
      <c r="AL112" s="54"/>
    </row>
    <row r="113" spans="1:40" x14ac:dyDescent="0.25">
      <c r="A113" s="53"/>
      <c r="R113" s="54"/>
      <c r="AK113" s="161"/>
      <c r="AL113" s="54"/>
    </row>
    <row r="114" spans="1:40" x14ac:dyDescent="0.25">
      <c r="A114" s="54"/>
      <c r="R114" s="54"/>
      <c r="AK114" s="161"/>
      <c r="AL114" s="54"/>
    </row>
    <row r="115" spans="1:40" x14ac:dyDescent="0.25">
      <c r="L115" s="54"/>
      <c r="M115" s="54"/>
      <c r="R115" s="53"/>
      <c r="AA115" s="54"/>
      <c r="AB115" s="54"/>
      <c r="AK115" s="156"/>
      <c r="AL115" s="53"/>
    </row>
    <row r="116" spans="1:40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154"/>
      <c r="AH116" s="55"/>
      <c r="AI116" s="55"/>
      <c r="AJ116" s="55"/>
      <c r="AK116" s="154"/>
      <c r="AL116" s="55"/>
      <c r="AM116" s="55"/>
      <c r="AN116" s="55"/>
    </row>
    <row r="117" spans="1:40" x14ac:dyDescent="0.25">
      <c r="L117" s="56"/>
      <c r="M117" s="56"/>
      <c r="N117" s="56"/>
      <c r="O117" s="56"/>
      <c r="R117" s="56"/>
      <c r="AA117" s="56"/>
      <c r="AB117" s="56"/>
      <c r="AC117" s="56"/>
      <c r="AD117" s="56"/>
      <c r="AE117" s="56"/>
      <c r="AF117" s="56"/>
      <c r="AG117" s="155"/>
      <c r="AH117" s="56"/>
      <c r="AK117" s="155"/>
      <c r="AL117" s="56"/>
      <c r="AM117" s="56"/>
      <c r="AN117" s="56"/>
    </row>
    <row r="118" spans="1:40" x14ac:dyDescent="0.25">
      <c r="L118" s="56"/>
      <c r="M118" s="56"/>
      <c r="N118" s="56"/>
      <c r="O118" s="56"/>
      <c r="R118" s="56"/>
      <c r="Z118" s="56"/>
      <c r="AA118" s="56"/>
      <c r="AB118" s="56"/>
      <c r="AC118" s="56"/>
      <c r="AD118" s="56"/>
      <c r="AE118" s="56"/>
      <c r="AF118" s="56"/>
      <c r="AG118" s="155"/>
      <c r="AH118" s="56"/>
      <c r="AK118" s="155"/>
      <c r="AL118" s="56"/>
      <c r="AM118" s="56"/>
      <c r="AN118" s="56"/>
    </row>
    <row r="119" spans="1:40" x14ac:dyDescent="0.25">
      <c r="A119" s="56"/>
      <c r="C119" s="56"/>
      <c r="D119" s="56"/>
      <c r="E119" s="56"/>
      <c r="F119" s="56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Z119" s="56"/>
      <c r="AA119" s="56"/>
      <c r="AB119" s="56"/>
      <c r="AC119" s="56"/>
      <c r="AD119" s="56"/>
      <c r="AE119" s="56"/>
      <c r="AF119" s="56"/>
      <c r="AG119" s="155"/>
      <c r="AH119" s="56"/>
      <c r="AI119" s="56"/>
      <c r="AJ119" s="56"/>
      <c r="AK119" s="155"/>
      <c r="AL119" s="56"/>
      <c r="AM119" s="56"/>
      <c r="AN119" s="56"/>
    </row>
    <row r="120" spans="1:40" x14ac:dyDescent="0.25">
      <c r="A120" s="56"/>
      <c r="C120" s="56"/>
      <c r="D120" s="56"/>
      <c r="E120" s="56"/>
      <c r="F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Y120" s="56"/>
      <c r="Z120" s="56"/>
      <c r="AA120" s="56"/>
      <c r="AB120" s="56"/>
      <c r="AC120" s="56"/>
      <c r="AD120" s="56"/>
      <c r="AE120" s="56"/>
      <c r="AF120" s="56"/>
      <c r="AG120" s="155"/>
      <c r="AH120" s="56"/>
      <c r="AI120" s="56"/>
      <c r="AJ120" s="56"/>
      <c r="AK120" s="155"/>
      <c r="AL120" s="56"/>
      <c r="AM120" s="56"/>
      <c r="AN120" s="56"/>
    </row>
    <row r="121" spans="1:40" x14ac:dyDescent="0.25">
      <c r="C121" s="56"/>
      <c r="D121" s="56"/>
      <c r="E121" s="56"/>
      <c r="F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Y121" s="56"/>
      <c r="Z121" s="56"/>
      <c r="AA121" s="56"/>
      <c r="AB121" s="56"/>
      <c r="AC121" s="56"/>
      <c r="AD121" s="56"/>
      <c r="AE121" s="56"/>
      <c r="AF121" s="56"/>
      <c r="AG121" s="155"/>
      <c r="AH121" s="56"/>
      <c r="AI121" s="56"/>
      <c r="AJ121" s="56"/>
      <c r="AK121" s="155"/>
      <c r="AL121" s="56"/>
      <c r="AM121" s="56"/>
      <c r="AN121" s="56"/>
    </row>
    <row r="122" spans="1:40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154"/>
      <c r="AH122" s="55"/>
      <c r="AI122" s="55"/>
      <c r="AJ122" s="55"/>
      <c r="AK122" s="154"/>
      <c r="AL122" s="55"/>
      <c r="AM122" s="55"/>
      <c r="AN122" s="55"/>
    </row>
    <row r="123" spans="1:40" x14ac:dyDescent="0.25"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Y123" s="56"/>
      <c r="Z123" s="56"/>
      <c r="AA123" s="56"/>
      <c r="AB123" s="56"/>
      <c r="AC123" s="56"/>
      <c r="AD123" s="56"/>
      <c r="AE123" s="56"/>
      <c r="AF123" s="56"/>
      <c r="AG123" s="155"/>
      <c r="AH123" s="56"/>
      <c r="AI123" s="56"/>
      <c r="AJ123" s="56"/>
      <c r="AK123" s="155"/>
      <c r="AL123" s="56"/>
      <c r="AM123" s="56"/>
      <c r="AN123" s="56"/>
    </row>
    <row r="124" spans="1:40" x14ac:dyDescent="0.25">
      <c r="A124" s="53"/>
      <c r="C124" s="54"/>
      <c r="D124" s="54"/>
      <c r="E124" s="54"/>
      <c r="T124" s="54"/>
      <c r="U124" s="54"/>
    </row>
    <row r="125" spans="1:40" x14ac:dyDescent="0.25">
      <c r="A125" s="53"/>
      <c r="D125" s="54"/>
      <c r="E125" s="54"/>
      <c r="U125" s="54"/>
    </row>
    <row r="127" spans="1:40" x14ac:dyDescent="0.25">
      <c r="A127" s="53"/>
      <c r="C127" s="54"/>
      <c r="F127" s="449"/>
      <c r="H127" s="449"/>
      <c r="I127" s="449"/>
      <c r="J127" s="461"/>
      <c r="K127" s="461"/>
      <c r="L127" s="379"/>
      <c r="M127" s="379"/>
      <c r="N127" s="50"/>
      <c r="O127" s="50"/>
      <c r="R127" s="379"/>
      <c r="T127" s="54"/>
      <c r="V127" s="379"/>
      <c r="Y127" s="449"/>
      <c r="Z127" s="461"/>
      <c r="AA127" s="379"/>
      <c r="AB127" s="379"/>
      <c r="AC127" s="50"/>
      <c r="AD127" s="50"/>
      <c r="AE127" s="379"/>
      <c r="AF127" s="379"/>
      <c r="AG127" s="474"/>
      <c r="AH127" s="475"/>
      <c r="AK127" s="156"/>
      <c r="AL127" s="379"/>
      <c r="AM127" s="476"/>
      <c r="AN127" s="476"/>
    </row>
    <row r="128" spans="1:40" x14ac:dyDescent="0.25">
      <c r="A128" s="53"/>
      <c r="C128" s="54"/>
      <c r="F128" s="449"/>
      <c r="H128" s="449"/>
      <c r="I128" s="449"/>
      <c r="J128" s="461"/>
      <c r="K128" s="461"/>
      <c r="L128" s="379"/>
      <c r="M128" s="379"/>
      <c r="N128" s="50"/>
      <c r="O128" s="50"/>
      <c r="P128" s="53"/>
      <c r="Q128" s="53"/>
      <c r="R128" s="379"/>
      <c r="T128" s="54"/>
      <c r="V128" s="379"/>
      <c r="Y128" s="449"/>
      <c r="Z128" s="461"/>
      <c r="AA128" s="379"/>
      <c r="AB128" s="379"/>
      <c r="AC128" s="50"/>
      <c r="AD128" s="50"/>
      <c r="AE128" s="379"/>
      <c r="AF128" s="379"/>
      <c r="AG128" s="156"/>
      <c r="AH128" s="60"/>
      <c r="AI128" s="53"/>
      <c r="AJ128" s="53"/>
      <c r="AK128" s="156"/>
      <c r="AL128" s="379"/>
      <c r="AM128" s="50"/>
      <c r="AN128" s="50"/>
    </row>
    <row r="129" spans="1:40" x14ac:dyDescent="0.25">
      <c r="F129" s="381"/>
      <c r="H129" s="379"/>
      <c r="I129" s="379"/>
      <c r="J129" s="464"/>
      <c r="K129" s="464"/>
      <c r="L129" s="381"/>
      <c r="M129" s="381"/>
      <c r="N129" s="381"/>
      <c r="O129" s="381"/>
      <c r="P129" s="381"/>
      <c r="Q129" s="381"/>
      <c r="R129" s="381"/>
      <c r="V129" s="381"/>
      <c r="Y129" s="379"/>
      <c r="Z129" s="464"/>
      <c r="AA129" s="381"/>
      <c r="AB129" s="381"/>
      <c r="AC129" s="381"/>
      <c r="AD129" s="381"/>
      <c r="AE129" s="381"/>
      <c r="AF129" s="381"/>
      <c r="AI129" s="381"/>
      <c r="AJ129" s="381"/>
      <c r="AK129" s="162"/>
      <c r="AL129" s="381"/>
      <c r="AM129" s="50"/>
      <c r="AN129" s="50"/>
    </row>
    <row r="130" spans="1:40" x14ac:dyDescent="0.25">
      <c r="A130" s="53"/>
      <c r="C130" s="54"/>
      <c r="F130" s="379"/>
      <c r="H130" s="379"/>
      <c r="I130" s="379"/>
      <c r="J130" s="464"/>
      <c r="K130" s="464"/>
      <c r="L130" s="379"/>
      <c r="M130" s="379"/>
      <c r="N130" s="50"/>
      <c r="O130" s="50"/>
      <c r="P130" s="379"/>
      <c r="Q130" s="379"/>
      <c r="R130" s="379"/>
      <c r="T130" s="54"/>
      <c r="V130" s="379"/>
      <c r="Y130" s="379"/>
      <c r="Z130" s="59"/>
      <c r="AA130" s="379"/>
      <c r="AB130" s="379"/>
      <c r="AC130" s="50"/>
      <c r="AD130" s="50"/>
      <c r="AE130" s="379"/>
      <c r="AF130" s="379"/>
      <c r="AG130" s="156"/>
      <c r="AH130" s="60"/>
      <c r="AI130" s="379"/>
      <c r="AJ130" s="379"/>
      <c r="AK130" s="156"/>
      <c r="AL130" s="379"/>
      <c r="AM130" s="50"/>
      <c r="AN130" s="50"/>
    </row>
    <row r="131" spans="1:40" x14ac:dyDescent="0.25">
      <c r="F131" s="381"/>
      <c r="H131" s="379"/>
      <c r="I131" s="379"/>
      <c r="J131" s="464"/>
      <c r="K131" s="464"/>
      <c r="L131" s="381"/>
      <c r="M131" s="381"/>
      <c r="N131" s="381"/>
      <c r="O131" s="381"/>
      <c r="P131" s="381"/>
      <c r="Q131" s="381"/>
      <c r="R131" s="381"/>
      <c r="V131" s="381"/>
      <c r="Y131" s="379"/>
      <c r="Z131" s="464"/>
      <c r="AA131" s="381"/>
      <c r="AB131" s="381"/>
      <c r="AC131" s="381"/>
      <c r="AD131" s="381"/>
      <c r="AE131" s="381"/>
      <c r="AF131" s="381"/>
      <c r="AI131" s="381"/>
      <c r="AJ131" s="381"/>
      <c r="AK131" s="162"/>
      <c r="AL131" s="381"/>
      <c r="AM131" s="50"/>
      <c r="AN131" s="50"/>
    </row>
    <row r="132" spans="1:40" x14ac:dyDescent="0.25">
      <c r="F132" s="379"/>
      <c r="H132" s="379"/>
      <c r="I132" s="379"/>
      <c r="J132" s="464"/>
      <c r="K132" s="464"/>
      <c r="L132" s="379"/>
      <c r="M132" s="379"/>
      <c r="N132" s="50"/>
      <c r="O132" s="50"/>
      <c r="P132" s="379"/>
      <c r="Q132" s="379"/>
      <c r="R132" s="379"/>
      <c r="V132" s="379"/>
      <c r="Y132" s="379"/>
      <c r="Z132" s="59"/>
      <c r="AA132" s="379"/>
      <c r="AB132" s="379"/>
      <c r="AC132" s="50"/>
      <c r="AD132" s="50"/>
      <c r="AE132" s="379"/>
      <c r="AF132" s="379"/>
      <c r="AG132" s="156"/>
      <c r="AH132" s="60"/>
      <c r="AI132" s="379"/>
      <c r="AJ132" s="379"/>
      <c r="AK132" s="156"/>
      <c r="AL132" s="379"/>
      <c r="AM132" s="50"/>
      <c r="AN132" s="50"/>
    </row>
    <row r="133" spans="1:40" x14ac:dyDescent="0.25">
      <c r="A133" s="53"/>
      <c r="C133" s="54"/>
      <c r="F133" s="449"/>
      <c r="H133" s="449"/>
      <c r="I133" s="449"/>
      <c r="J133" s="461"/>
      <c r="K133" s="461"/>
      <c r="L133" s="379"/>
      <c r="M133" s="379"/>
      <c r="N133" s="50"/>
      <c r="O133" s="50"/>
      <c r="P133" s="379"/>
      <c r="Q133" s="379"/>
      <c r="R133" s="379"/>
      <c r="T133" s="54"/>
      <c r="V133" s="449"/>
      <c r="Y133" s="379"/>
      <c r="Z133" s="461"/>
      <c r="AA133" s="379"/>
      <c r="AB133" s="379"/>
      <c r="AC133" s="50"/>
      <c r="AD133" s="50"/>
      <c r="AE133" s="379"/>
      <c r="AF133" s="379"/>
      <c r="AG133" s="474"/>
      <c r="AH133" s="475"/>
      <c r="AI133" s="379"/>
      <c r="AJ133" s="379"/>
      <c r="AK133" s="156"/>
      <c r="AL133" s="379"/>
      <c r="AM133" s="476"/>
      <c r="AN133" s="476"/>
    </row>
    <row r="134" spans="1:40" x14ac:dyDescent="0.25">
      <c r="A134" s="53"/>
      <c r="C134" s="54"/>
      <c r="F134" s="449"/>
      <c r="H134" s="449"/>
      <c r="I134" s="449"/>
      <c r="J134" s="461"/>
      <c r="K134" s="461"/>
      <c r="L134" s="379"/>
      <c r="M134" s="379"/>
      <c r="N134" s="50"/>
      <c r="O134" s="50"/>
      <c r="P134" s="379"/>
      <c r="Q134" s="379"/>
      <c r="R134" s="379"/>
      <c r="T134" s="54"/>
      <c r="V134" s="449"/>
      <c r="Y134" s="379"/>
      <c r="Z134" s="461"/>
      <c r="AA134" s="379"/>
      <c r="AB134" s="379"/>
      <c r="AC134" s="50"/>
      <c r="AD134" s="50"/>
      <c r="AE134" s="379"/>
      <c r="AF134" s="379"/>
      <c r="AG134" s="156"/>
      <c r="AH134" s="60"/>
      <c r="AI134" s="379"/>
      <c r="AJ134" s="379"/>
      <c r="AK134" s="156"/>
      <c r="AL134" s="379"/>
      <c r="AM134" s="50"/>
      <c r="AN134" s="50"/>
    </row>
    <row r="135" spans="1:40" x14ac:dyDescent="0.25">
      <c r="F135" s="379"/>
      <c r="H135" s="381"/>
      <c r="I135" s="381"/>
      <c r="J135" s="464"/>
      <c r="K135" s="464"/>
      <c r="L135" s="381"/>
      <c r="M135" s="381"/>
      <c r="N135" s="381"/>
      <c r="O135" s="381"/>
      <c r="P135" s="381"/>
      <c r="Q135" s="381"/>
      <c r="R135" s="381"/>
      <c r="V135" s="379"/>
      <c r="Y135" s="381"/>
      <c r="Z135" s="464"/>
      <c r="AA135" s="381"/>
      <c r="AB135" s="381"/>
      <c r="AC135" s="381"/>
      <c r="AD135" s="381"/>
      <c r="AE135" s="381"/>
      <c r="AF135" s="381"/>
      <c r="AI135" s="381"/>
      <c r="AJ135" s="381"/>
      <c r="AK135" s="162"/>
      <c r="AL135" s="381"/>
      <c r="AM135" s="50"/>
      <c r="AN135" s="50"/>
    </row>
    <row r="136" spans="1:40" x14ac:dyDescent="0.25">
      <c r="A136" s="53"/>
      <c r="C136" s="54"/>
      <c r="F136" s="379"/>
      <c r="H136" s="379"/>
      <c r="I136" s="379"/>
      <c r="J136" s="464"/>
      <c r="K136" s="464"/>
      <c r="L136" s="379"/>
      <c r="M136" s="379"/>
      <c r="N136" s="50"/>
      <c r="O136" s="50"/>
      <c r="P136" s="379"/>
      <c r="Q136" s="379"/>
      <c r="R136" s="379"/>
      <c r="T136" s="54"/>
      <c r="V136" s="379"/>
      <c r="Y136" s="379"/>
      <c r="Z136" s="464"/>
      <c r="AA136" s="379"/>
      <c r="AB136" s="379"/>
      <c r="AC136" s="50"/>
      <c r="AD136" s="50"/>
      <c r="AE136" s="379"/>
      <c r="AF136" s="379"/>
      <c r="AG136" s="156"/>
      <c r="AH136" s="60"/>
      <c r="AI136" s="379"/>
      <c r="AJ136" s="379"/>
      <c r="AK136" s="156"/>
      <c r="AL136" s="379"/>
      <c r="AM136" s="50"/>
      <c r="AN136" s="50"/>
    </row>
    <row r="137" spans="1:40" x14ac:dyDescent="0.25">
      <c r="F137" s="379"/>
      <c r="H137" s="381"/>
      <c r="I137" s="381"/>
      <c r="J137" s="464"/>
      <c r="K137" s="464"/>
      <c r="L137" s="381"/>
      <c r="M137" s="381"/>
      <c r="N137" s="381"/>
      <c r="O137" s="381"/>
      <c r="P137" s="381"/>
      <c r="Q137" s="381"/>
      <c r="R137" s="381"/>
      <c r="V137" s="379"/>
      <c r="Y137" s="381"/>
      <c r="Z137" s="464"/>
      <c r="AA137" s="381"/>
      <c r="AB137" s="381"/>
      <c r="AC137" s="381"/>
      <c r="AD137" s="381"/>
      <c r="AE137" s="381"/>
      <c r="AF137" s="381"/>
      <c r="AI137" s="381"/>
      <c r="AJ137" s="381"/>
      <c r="AK137" s="162"/>
      <c r="AL137" s="381"/>
      <c r="AM137" s="50"/>
      <c r="AN137" s="50"/>
    </row>
    <row r="138" spans="1:40" x14ac:dyDescent="0.25">
      <c r="F138" s="379"/>
      <c r="H138" s="379"/>
      <c r="I138" s="379"/>
      <c r="J138" s="464"/>
      <c r="K138" s="464"/>
      <c r="L138" s="379"/>
      <c r="M138" s="379"/>
      <c r="N138" s="379"/>
      <c r="O138" s="379"/>
      <c r="P138" s="379"/>
      <c r="Q138" s="379"/>
      <c r="R138" s="379"/>
      <c r="V138" s="379"/>
      <c r="Y138" s="379"/>
      <c r="Z138" s="464"/>
      <c r="AA138" s="379"/>
      <c r="AB138" s="379"/>
      <c r="AC138" s="379"/>
      <c r="AD138" s="379"/>
      <c r="AE138" s="379"/>
      <c r="AF138" s="379"/>
      <c r="AG138" s="156"/>
      <c r="AH138" s="60"/>
      <c r="AI138" s="379"/>
      <c r="AJ138" s="379"/>
      <c r="AK138" s="156"/>
      <c r="AL138" s="379"/>
      <c r="AM138" s="50"/>
      <c r="AN138" s="50"/>
    </row>
    <row r="139" spans="1:40" x14ac:dyDescent="0.25">
      <c r="A139" s="53"/>
      <c r="C139" s="54"/>
      <c r="F139" s="449"/>
      <c r="H139" s="449"/>
      <c r="I139" s="449"/>
      <c r="J139" s="472"/>
      <c r="K139" s="472"/>
      <c r="L139" s="379"/>
      <c r="M139" s="379"/>
      <c r="N139" s="50"/>
      <c r="O139" s="50"/>
      <c r="P139" s="449"/>
      <c r="Q139" s="449"/>
      <c r="R139" s="379"/>
      <c r="T139" s="54"/>
      <c r="V139" s="449"/>
      <c r="Y139" s="449"/>
      <c r="Z139" s="477"/>
      <c r="AA139" s="379"/>
      <c r="AB139" s="379"/>
      <c r="AC139" s="50"/>
      <c r="AD139" s="50"/>
      <c r="AE139" s="379"/>
      <c r="AF139" s="379"/>
      <c r="AG139" s="156"/>
      <c r="AH139" s="60"/>
      <c r="AI139" s="449"/>
      <c r="AJ139" s="449"/>
      <c r="AK139" s="156"/>
      <c r="AL139" s="379"/>
      <c r="AM139" s="50"/>
      <c r="AN139" s="50"/>
    </row>
    <row r="140" spans="1:40" x14ac:dyDescent="0.25">
      <c r="A140" s="53"/>
      <c r="C140" s="54"/>
      <c r="F140" s="449"/>
      <c r="H140" s="449"/>
      <c r="I140" s="449"/>
      <c r="J140" s="472"/>
      <c r="K140" s="472"/>
      <c r="L140" s="379"/>
      <c r="M140" s="379"/>
      <c r="N140" s="50"/>
      <c r="O140" s="50"/>
      <c r="P140" s="449"/>
      <c r="Q140" s="449"/>
      <c r="R140" s="379"/>
      <c r="T140" s="54"/>
      <c r="V140" s="449"/>
      <c r="Y140" s="379"/>
      <c r="Z140" s="463"/>
      <c r="AA140" s="379"/>
      <c r="AB140" s="379"/>
      <c r="AC140" s="50"/>
      <c r="AD140" s="50"/>
      <c r="AE140" s="379"/>
      <c r="AF140" s="379"/>
      <c r="AG140" s="156"/>
      <c r="AH140" s="60"/>
      <c r="AI140" s="449"/>
      <c r="AJ140" s="449"/>
      <c r="AK140" s="156"/>
      <c r="AL140" s="379"/>
      <c r="AM140" s="50"/>
      <c r="AN140" s="50"/>
    </row>
    <row r="141" spans="1:40" x14ac:dyDescent="0.25">
      <c r="A141" s="53"/>
      <c r="C141" s="54"/>
      <c r="F141" s="449"/>
      <c r="H141" s="449"/>
      <c r="I141" s="449"/>
      <c r="J141" s="472"/>
      <c r="K141" s="472"/>
      <c r="L141" s="379"/>
      <c r="M141" s="379"/>
      <c r="N141" s="50"/>
      <c r="O141" s="50"/>
      <c r="P141" s="449"/>
      <c r="Q141" s="449"/>
      <c r="R141" s="379"/>
      <c r="T141" s="54"/>
      <c r="V141" s="449"/>
      <c r="Y141" s="379"/>
      <c r="Z141" s="463"/>
      <c r="AA141" s="379"/>
      <c r="AB141" s="379"/>
      <c r="AC141" s="50"/>
      <c r="AD141" s="50"/>
      <c r="AE141" s="379"/>
      <c r="AF141" s="379"/>
      <c r="AG141" s="156"/>
      <c r="AH141" s="60"/>
      <c r="AI141" s="449"/>
      <c r="AJ141" s="449"/>
      <c r="AK141" s="156"/>
      <c r="AL141" s="379"/>
      <c r="AM141" s="50"/>
      <c r="AN141" s="50"/>
    </row>
    <row r="142" spans="1:40" x14ac:dyDescent="0.25">
      <c r="F142" s="381"/>
      <c r="H142" s="381"/>
      <c r="I142" s="381"/>
      <c r="J142" s="464"/>
      <c r="K142" s="464"/>
      <c r="L142" s="381"/>
      <c r="M142" s="381"/>
      <c r="N142" s="381"/>
      <c r="O142" s="381"/>
      <c r="P142" s="381"/>
      <c r="Q142" s="381"/>
      <c r="R142" s="381"/>
      <c r="V142" s="381"/>
      <c r="Y142" s="381"/>
      <c r="Z142" s="464"/>
      <c r="AA142" s="381"/>
      <c r="AB142" s="381"/>
      <c r="AC142" s="381"/>
      <c r="AD142" s="381"/>
      <c r="AE142" s="381"/>
      <c r="AF142" s="381"/>
      <c r="AI142" s="381"/>
      <c r="AJ142" s="381"/>
      <c r="AK142" s="162"/>
      <c r="AL142" s="381"/>
      <c r="AM142" s="50"/>
      <c r="AN142" s="50"/>
    </row>
    <row r="143" spans="1:40" x14ac:dyDescent="0.25">
      <c r="A143" s="53"/>
      <c r="C143" s="54"/>
      <c r="F143" s="379"/>
      <c r="H143" s="379"/>
      <c r="I143" s="379"/>
      <c r="J143" s="59"/>
      <c r="K143" s="59"/>
      <c r="L143" s="379"/>
      <c r="M143" s="379"/>
      <c r="N143" s="50"/>
      <c r="O143" s="50"/>
      <c r="P143" s="379"/>
      <c r="Q143" s="379"/>
      <c r="R143" s="379"/>
      <c r="T143" s="54"/>
      <c r="V143" s="379"/>
      <c r="Y143" s="379"/>
      <c r="Z143" s="59"/>
      <c r="AA143" s="379"/>
      <c r="AB143" s="379"/>
      <c r="AC143" s="50"/>
      <c r="AD143" s="50"/>
      <c r="AE143" s="379"/>
      <c r="AF143" s="379"/>
      <c r="AG143" s="156"/>
      <c r="AH143" s="60"/>
      <c r="AI143" s="379"/>
      <c r="AJ143" s="379"/>
      <c r="AK143" s="156"/>
      <c r="AL143" s="379"/>
      <c r="AM143" s="50"/>
      <c r="AN143" s="50"/>
    </row>
    <row r="144" spans="1:40" x14ac:dyDescent="0.25">
      <c r="F144" s="381"/>
      <c r="H144" s="381"/>
      <c r="I144" s="381"/>
      <c r="J144" s="464"/>
      <c r="K144" s="464"/>
      <c r="L144" s="381"/>
      <c r="M144" s="381"/>
      <c r="N144" s="381"/>
      <c r="O144" s="381"/>
      <c r="P144" s="381"/>
      <c r="Q144" s="381"/>
      <c r="R144" s="381"/>
      <c r="V144" s="381"/>
      <c r="Y144" s="381"/>
      <c r="Z144" s="464"/>
      <c r="AA144" s="381"/>
      <c r="AB144" s="381"/>
      <c r="AC144" s="381"/>
      <c r="AD144" s="381"/>
      <c r="AE144" s="381"/>
      <c r="AF144" s="381"/>
      <c r="AI144" s="381"/>
      <c r="AJ144" s="381"/>
      <c r="AK144" s="162"/>
      <c r="AL144" s="381"/>
      <c r="AM144" s="50"/>
      <c r="AN144" s="50"/>
    </row>
    <row r="145" spans="1:40" x14ac:dyDescent="0.25">
      <c r="A145" s="53"/>
      <c r="C145" s="54"/>
      <c r="F145" s="379"/>
      <c r="H145" s="379"/>
      <c r="I145" s="379"/>
      <c r="J145" s="59"/>
      <c r="K145" s="59"/>
      <c r="L145" s="379"/>
      <c r="M145" s="379"/>
      <c r="N145" s="50"/>
      <c r="O145" s="50"/>
      <c r="P145" s="379"/>
      <c r="Q145" s="379"/>
      <c r="R145" s="379"/>
      <c r="T145" s="54"/>
      <c r="V145" s="379"/>
      <c r="Y145" s="379"/>
      <c r="Z145" s="59"/>
      <c r="AA145" s="379"/>
      <c r="AB145" s="379"/>
      <c r="AC145" s="50"/>
      <c r="AD145" s="50"/>
      <c r="AE145" s="379"/>
      <c r="AF145" s="379"/>
      <c r="AG145" s="156"/>
      <c r="AH145" s="60"/>
      <c r="AI145" s="379"/>
      <c r="AJ145" s="379"/>
      <c r="AK145" s="156"/>
      <c r="AL145" s="379"/>
      <c r="AM145" s="50"/>
      <c r="AN145" s="50"/>
    </row>
    <row r="146" spans="1:40" x14ac:dyDescent="0.25">
      <c r="A146" s="53"/>
      <c r="C146" s="54"/>
      <c r="F146" s="379"/>
      <c r="H146" s="379"/>
      <c r="I146" s="379"/>
      <c r="J146" s="59"/>
      <c r="K146" s="59"/>
      <c r="L146" s="379"/>
      <c r="M146" s="379"/>
      <c r="N146" s="50"/>
      <c r="O146" s="50"/>
      <c r="P146" s="379"/>
      <c r="Q146" s="379"/>
      <c r="R146" s="379"/>
      <c r="T146" s="54"/>
      <c r="V146" s="379"/>
      <c r="Y146" s="379"/>
      <c r="Z146" s="59"/>
      <c r="AA146" s="379"/>
      <c r="AB146" s="379"/>
      <c r="AC146" s="50"/>
      <c r="AD146" s="50"/>
      <c r="AE146" s="379"/>
      <c r="AF146" s="379"/>
      <c r="AG146" s="156"/>
      <c r="AH146" s="60"/>
      <c r="AI146" s="379"/>
      <c r="AJ146" s="379"/>
      <c r="AK146" s="156"/>
      <c r="AL146" s="379"/>
      <c r="AM146" s="50"/>
      <c r="AN146" s="50"/>
    </row>
    <row r="147" spans="1:40" x14ac:dyDescent="0.25">
      <c r="F147" s="381"/>
      <c r="H147" s="381"/>
      <c r="I147" s="381"/>
      <c r="J147" s="464"/>
      <c r="K147" s="464"/>
      <c r="L147" s="381"/>
      <c r="M147" s="381"/>
      <c r="N147" s="381"/>
      <c r="O147" s="381"/>
      <c r="P147" s="381"/>
      <c r="Q147" s="381"/>
      <c r="R147" s="381"/>
      <c r="V147" s="381"/>
      <c r="Y147" s="381"/>
      <c r="Z147" s="464"/>
      <c r="AA147" s="381"/>
      <c r="AB147" s="381"/>
      <c r="AC147" s="381"/>
      <c r="AD147" s="381"/>
      <c r="AE147" s="381"/>
      <c r="AF147" s="381"/>
      <c r="AI147" s="381"/>
      <c r="AJ147" s="381"/>
      <c r="AK147" s="162"/>
      <c r="AL147" s="381"/>
      <c r="AM147" s="379"/>
      <c r="AN147" s="379"/>
    </row>
    <row r="148" spans="1:40" x14ac:dyDescent="0.25">
      <c r="F148" s="379"/>
      <c r="H148" s="379"/>
      <c r="I148" s="379"/>
      <c r="J148" s="59"/>
      <c r="K148" s="59"/>
      <c r="L148" s="379"/>
      <c r="M148" s="379"/>
      <c r="N148" s="379"/>
      <c r="O148" s="379"/>
      <c r="P148" s="379"/>
      <c r="Q148" s="379"/>
      <c r="R148" s="379"/>
      <c r="V148" s="379"/>
      <c r="Y148" s="379"/>
      <c r="Z148" s="59"/>
      <c r="AA148" s="379"/>
      <c r="AB148" s="379"/>
      <c r="AC148" s="379"/>
      <c r="AD148" s="379"/>
    </row>
    <row r="149" spans="1:40" x14ac:dyDescent="0.25">
      <c r="C149" s="54"/>
      <c r="F149" s="379"/>
      <c r="H149" s="379"/>
      <c r="I149" s="379"/>
      <c r="J149" s="59"/>
      <c r="K149" s="59"/>
      <c r="L149" s="379"/>
      <c r="M149" s="379"/>
      <c r="N149" s="379"/>
      <c r="O149" s="379"/>
      <c r="P149" s="379"/>
      <c r="Q149" s="379"/>
      <c r="R149" s="379"/>
      <c r="T149" s="54"/>
      <c r="V149" s="379"/>
      <c r="Y149" s="379"/>
      <c r="Z149" s="59"/>
      <c r="AA149" s="379"/>
      <c r="AB149" s="379"/>
      <c r="AC149" s="379"/>
      <c r="AD149" s="379"/>
    </row>
    <row r="150" spans="1:40" x14ac:dyDescent="0.25">
      <c r="A150" s="54"/>
    </row>
    <row r="151" spans="1:40" x14ac:dyDescent="0.25">
      <c r="J151" s="53"/>
      <c r="K151" s="53"/>
      <c r="Z151" s="53"/>
    </row>
    <row r="152" spans="1:40" x14ac:dyDescent="0.25">
      <c r="H152" s="54"/>
      <c r="I152" s="54"/>
      <c r="Y152" s="54"/>
    </row>
    <row r="153" spans="1:40" x14ac:dyDescent="0.25">
      <c r="J153" s="53"/>
      <c r="K153" s="53"/>
      <c r="Z153" s="53"/>
    </row>
    <row r="154" spans="1:40" x14ac:dyDescent="0.25">
      <c r="L154" s="54"/>
      <c r="M154" s="54"/>
      <c r="AA154" s="54"/>
      <c r="AB154" s="54"/>
    </row>
    <row r="155" spans="1:40" x14ac:dyDescent="0.25">
      <c r="A155" s="53"/>
      <c r="R155" s="54"/>
      <c r="AK155" s="161"/>
      <c r="AL155" s="54"/>
    </row>
    <row r="156" spans="1:40" x14ac:dyDescent="0.25">
      <c r="A156" s="53"/>
      <c r="R156" s="54"/>
      <c r="AK156" s="161"/>
      <c r="AL156" s="54"/>
    </row>
    <row r="157" spans="1:40" x14ac:dyDescent="0.25">
      <c r="A157" s="54"/>
      <c r="R157" s="54"/>
      <c r="AK157" s="161"/>
      <c r="AL157" s="54"/>
    </row>
    <row r="158" spans="1:40" x14ac:dyDescent="0.25">
      <c r="L158" s="54"/>
      <c r="M158" s="54"/>
      <c r="R158" s="53"/>
      <c r="AA158" s="54"/>
      <c r="AB158" s="54"/>
      <c r="AK158" s="156"/>
      <c r="AL158" s="53"/>
    </row>
    <row r="159" spans="1:40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154"/>
      <c r="AH159" s="55"/>
      <c r="AI159" s="55"/>
      <c r="AJ159" s="55"/>
      <c r="AK159" s="154"/>
      <c r="AL159" s="55"/>
      <c r="AM159" s="55"/>
      <c r="AN159" s="55"/>
    </row>
    <row r="160" spans="1:40" x14ac:dyDescent="0.25">
      <c r="L160" s="56"/>
      <c r="M160" s="56"/>
      <c r="N160" s="56"/>
      <c r="O160" s="56"/>
      <c r="R160" s="56"/>
      <c r="AA160" s="56"/>
      <c r="AB160" s="56"/>
      <c r="AC160" s="56"/>
      <c r="AD160" s="56"/>
      <c r="AE160" s="56"/>
      <c r="AF160" s="56"/>
      <c r="AG160" s="155"/>
      <c r="AH160" s="56"/>
      <c r="AK160" s="155"/>
      <c r="AL160" s="56"/>
      <c r="AM160" s="56"/>
      <c r="AN160" s="56"/>
    </row>
    <row r="161" spans="1:40" x14ac:dyDescent="0.25">
      <c r="L161" s="56"/>
      <c r="M161" s="56"/>
      <c r="N161" s="56"/>
      <c r="O161" s="56"/>
      <c r="R161" s="56"/>
      <c r="Z161" s="56"/>
      <c r="AA161" s="56"/>
      <c r="AB161" s="56"/>
      <c r="AC161" s="56"/>
      <c r="AD161" s="56"/>
      <c r="AE161" s="56"/>
      <c r="AF161" s="56"/>
      <c r="AG161" s="155"/>
      <c r="AH161" s="56"/>
      <c r="AK161" s="155"/>
      <c r="AL161" s="56"/>
      <c r="AM161" s="56"/>
      <c r="AN161" s="56"/>
    </row>
    <row r="162" spans="1:40" x14ac:dyDescent="0.25">
      <c r="A162" s="56"/>
      <c r="C162" s="56"/>
      <c r="D162" s="56"/>
      <c r="E162" s="56"/>
      <c r="F162" s="56"/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Z162" s="56"/>
      <c r="AA162" s="56"/>
      <c r="AB162" s="56"/>
      <c r="AC162" s="56"/>
      <c r="AD162" s="56"/>
      <c r="AE162" s="56"/>
      <c r="AF162" s="56"/>
      <c r="AG162" s="155"/>
      <c r="AH162" s="56"/>
      <c r="AI162" s="56"/>
      <c r="AJ162" s="56"/>
      <c r="AK162" s="155"/>
      <c r="AL162" s="56"/>
      <c r="AM162" s="56"/>
      <c r="AN162" s="56"/>
    </row>
    <row r="163" spans="1:40" x14ac:dyDescent="0.25">
      <c r="A163" s="56"/>
      <c r="C163" s="56"/>
      <c r="D163" s="56"/>
      <c r="E163" s="56"/>
      <c r="F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Y163" s="56"/>
      <c r="Z163" s="56"/>
      <c r="AA163" s="56"/>
      <c r="AB163" s="56"/>
      <c r="AC163" s="56"/>
      <c r="AD163" s="56"/>
      <c r="AE163" s="56"/>
      <c r="AF163" s="56"/>
      <c r="AG163" s="155"/>
      <c r="AH163" s="56"/>
      <c r="AI163" s="56"/>
      <c r="AJ163" s="56"/>
      <c r="AK163" s="155"/>
      <c r="AL163" s="56"/>
      <c r="AM163" s="56"/>
      <c r="AN163" s="56"/>
    </row>
    <row r="164" spans="1:40" x14ac:dyDescent="0.25">
      <c r="C164" s="56"/>
      <c r="D164" s="56"/>
      <c r="E164" s="56"/>
      <c r="F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Y164" s="56"/>
      <c r="Z164" s="56"/>
      <c r="AA164" s="56"/>
      <c r="AB164" s="56"/>
      <c r="AC164" s="56"/>
      <c r="AD164" s="56"/>
      <c r="AE164" s="56"/>
      <c r="AF164" s="56"/>
      <c r="AG164" s="155"/>
      <c r="AH164" s="56"/>
      <c r="AI164" s="56"/>
      <c r="AJ164" s="56"/>
      <c r="AK164" s="155"/>
      <c r="AL164" s="56"/>
      <c r="AM164" s="56"/>
      <c r="AN164" s="56"/>
    </row>
    <row r="165" spans="1:40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154"/>
      <c r="AH165" s="55"/>
      <c r="AI165" s="55"/>
      <c r="AJ165" s="55"/>
      <c r="AK165" s="154"/>
      <c r="AL165" s="55"/>
      <c r="AM165" s="55"/>
      <c r="AN165" s="55"/>
    </row>
    <row r="166" spans="1:40" x14ac:dyDescent="0.25"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Y166" s="56"/>
      <c r="Z166" s="56"/>
      <c r="AA166" s="56"/>
      <c r="AB166" s="56"/>
      <c r="AC166" s="56"/>
      <c r="AD166" s="56"/>
      <c r="AE166" s="56"/>
      <c r="AF166" s="56"/>
      <c r="AG166" s="155"/>
      <c r="AH166" s="56"/>
      <c r="AI166" s="56"/>
      <c r="AJ166" s="56"/>
      <c r="AK166" s="155"/>
      <c r="AL166" s="56"/>
      <c r="AM166" s="56"/>
      <c r="AN166" s="56"/>
    </row>
    <row r="167" spans="1:40" x14ac:dyDescent="0.25">
      <c r="A167" s="53"/>
      <c r="C167" s="54"/>
      <c r="D167" s="54"/>
      <c r="E167" s="54"/>
      <c r="T167" s="54"/>
      <c r="U167" s="54"/>
    </row>
    <row r="169" spans="1:40" x14ac:dyDescent="0.25">
      <c r="A169" s="53"/>
      <c r="C169" s="54"/>
      <c r="F169" s="449"/>
      <c r="H169" s="470"/>
      <c r="I169" s="470"/>
      <c r="J169" s="461"/>
      <c r="K169" s="461"/>
      <c r="L169" s="379"/>
      <c r="M169" s="379"/>
      <c r="N169" s="53"/>
      <c r="O169" s="53"/>
      <c r="P169" s="53"/>
      <c r="Q169" s="53"/>
      <c r="R169" s="379"/>
      <c r="T169" s="54"/>
      <c r="V169" s="379"/>
      <c r="Y169" s="53"/>
      <c r="Z169" s="461"/>
      <c r="AA169" s="379"/>
      <c r="AB169" s="379"/>
      <c r="AC169" s="53"/>
      <c r="AD169" s="53"/>
      <c r="AE169" s="379"/>
      <c r="AF169" s="379"/>
      <c r="AG169" s="474"/>
      <c r="AH169" s="475"/>
      <c r="AI169" s="379"/>
      <c r="AJ169" s="379"/>
      <c r="AK169" s="156"/>
      <c r="AL169" s="379"/>
      <c r="AM169" s="476"/>
      <c r="AN169" s="476"/>
    </row>
    <row r="170" spans="1:40" x14ac:dyDescent="0.25">
      <c r="F170" s="449"/>
      <c r="H170" s="470"/>
      <c r="I170" s="470"/>
      <c r="J170" s="470"/>
      <c r="K170" s="470"/>
      <c r="R170" s="379"/>
      <c r="V170" s="379"/>
      <c r="Z170" s="470"/>
    </row>
    <row r="171" spans="1:40" x14ac:dyDescent="0.25">
      <c r="A171" s="53"/>
      <c r="C171" s="54"/>
      <c r="F171" s="449"/>
      <c r="H171" s="449"/>
      <c r="I171" s="449"/>
      <c r="J171" s="472"/>
      <c r="K171" s="472"/>
      <c r="L171" s="379"/>
      <c r="M171" s="379"/>
      <c r="N171" s="50"/>
      <c r="O171" s="50"/>
      <c r="P171" s="449"/>
      <c r="Q171" s="449"/>
      <c r="R171" s="379"/>
      <c r="T171" s="54"/>
      <c r="V171" s="379"/>
      <c r="Y171" s="379"/>
      <c r="Z171" s="463"/>
      <c r="AA171" s="379"/>
      <c r="AB171" s="379"/>
      <c r="AC171" s="50"/>
      <c r="AD171" s="50"/>
      <c r="AE171" s="379"/>
      <c r="AF171" s="379"/>
      <c r="AG171" s="156"/>
      <c r="AH171" s="60"/>
      <c r="AI171" s="449"/>
      <c r="AJ171" s="449"/>
      <c r="AK171" s="156"/>
      <c r="AL171" s="379"/>
      <c r="AM171" s="50"/>
      <c r="AN171" s="50"/>
    </row>
    <row r="172" spans="1:40" x14ac:dyDescent="0.25">
      <c r="F172" s="381"/>
      <c r="H172" s="381"/>
      <c r="I172" s="381"/>
      <c r="J172" s="464"/>
      <c r="K172" s="464"/>
      <c r="L172" s="381"/>
      <c r="M172" s="381"/>
      <c r="N172" s="381"/>
      <c r="O172" s="381"/>
      <c r="P172" s="381"/>
      <c r="Q172" s="381"/>
      <c r="R172" s="381"/>
      <c r="V172" s="381"/>
      <c r="Y172" s="381"/>
      <c r="Z172" s="464"/>
      <c r="AA172" s="381"/>
      <c r="AB172" s="381"/>
      <c r="AC172" s="381"/>
      <c r="AD172" s="381"/>
      <c r="AE172" s="381"/>
      <c r="AF172" s="381"/>
      <c r="AI172" s="381"/>
      <c r="AJ172" s="381"/>
      <c r="AK172" s="162"/>
      <c r="AL172" s="381"/>
    </row>
    <row r="173" spans="1:40" x14ac:dyDescent="0.25">
      <c r="A173" s="53"/>
      <c r="D173" s="54"/>
      <c r="E173" s="54"/>
      <c r="F173" s="379"/>
      <c r="H173" s="379"/>
      <c r="I173" s="379"/>
      <c r="J173" s="59"/>
      <c r="K173" s="59"/>
      <c r="L173" s="379"/>
      <c r="M173" s="379"/>
      <c r="N173" s="50"/>
      <c r="O173" s="50"/>
      <c r="P173" s="379"/>
      <c r="Q173" s="379"/>
      <c r="R173" s="379"/>
      <c r="U173" s="54"/>
      <c r="V173" s="379"/>
      <c r="Y173" s="379"/>
      <c r="Z173" s="59"/>
      <c r="AA173" s="379"/>
      <c r="AB173" s="379"/>
      <c r="AC173" s="50"/>
      <c r="AD173" s="50"/>
      <c r="AE173" s="379"/>
      <c r="AF173" s="379"/>
      <c r="AG173" s="156"/>
      <c r="AH173" s="60"/>
      <c r="AI173" s="379"/>
      <c r="AJ173" s="379"/>
      <c r="AK173" s="156"/>
      <c r="AL173" s="379"/>
      <c r="AM173" s="50"/>
      <c r="AN173" s="50"/>
    </row>
    <row r="174" spans="1:40" x14ac:dyDescent="0.25">
      <c r="F174" s="381"/>
      <c r="H174" s="381"/>
      <c r="I174" s="381"/>
      <c r="J174" s="464"/>
      <c r="K174" s="464"/>
      <c r="L174" s="381"/>
      <c r="M174" s="381"/>
      <c r="N174" s="381"/>
      <c r="O174" s="381"/>
      <c r="P174" s="381"/>
      <c r="Q174" s="381"/>
      <c r="R174" s="381"/>
      <c r="V174" s="381"/>
      <c r="Y174" s="381"/>
      <c r="Z174" s="464"/>
      <c r="AA174" s="381"/>
      <c r="AB174" s="381"/>
      <c r="AC174" s="381"/>
      <c r="AD174" s="381"/>
      <c r="AE174" s="381"/>
      <c r="AF174" s="381"/>
      <c r="AI174" s="381"/>
      <c r="AJ174" s="381"/>
      <c r="AK174" s="162"/>
      <c r="AL174" s="381"/>
    </row>
    <row r="175" spans="1:40" x14ac:dyDescent="0.25">
      <c r="R175" s="379"/>
    </row>
    <row r="176" spans="1:40" x14ac:dyDescent="0.25">
      <c r="R176" s="379"/>
    </row>
    <row r="177" spans="1:40" x14ac:dyDescent="0.25">
      <c r="R177" s="379"/>
    </row>
    <row r="178" spans="1:40" x14ac:dyDescent="0.25">
      <c r="A178" s="53"/>
      <c r="C178" s="54"/>
      <c r="D178" s="54"/>
      <c r="E178" s="54"/>
      <c r="H178" s="379"/>
      <c r="I178" s="379"/>
      <c r="J178" s="59"/>
      <c r="K178" s="59"/>
      <c r="L178" s="379"/>
      <c r="M178" s="379"/>
      <c r="N178" s="50"/>
      <c r="O178" s="50"/>
      <c r="P178" s="379"/>
      <c r="Q178" s="379"/>
      <c r="R178" s="379"/>
      <c r="T178" s="54"/>
      <c r="U178" s="54"/>
      <c r="Y178" s="379"/>
      <c r="Z178" s="59"/>
      <c r="AA178" s="379"/>
      <c r="AB178" s="379"/>
      <c r="AC178" s="50"/>
      <c r="AD178" s="50"/>
    </row>
    <row r="179" spans="1:40" x14ac:dyDescent="0.25">
      <c r="H179" s="379"/>
      <c r="I179" s="379"/>
      <c r="J179" s="59"/>
      <c r="K179" s="59"/>
      <c r="L179" s="379"/>
      <c r="M179" s="379"/>
      <c r="N179" s="50"/>
      <c r="O179" s="50"/>
      <c r="P179" s="379"/>
      <c r="Q179" s="379"/>
      <c r="R179" s="379"/>
      <c r="Y179" s="379"/>
      <c r="Z179" s="59"/>
      <c r="AA179" s="379"/>
      <c r="AB179" s="379"/>
      <c r="AC179" s="50"/>
      <c r="AD179" s="50"/>
    </row>
    <row r="180" spans="1:40" x14ac:dyDescent="0.25">
      <c r="A180" s="53"/>
      <c r="C180" s="54"/>
      <c r="F180" s="449"/>
      <c r="H180" s="449"/>
      <c r="I180" s="449"/>
      <c r="J180" s="61"/>
      <c r="K180" s="61"/>
      <c r="L180" s="449"/>
      <c r="M180" s="449"/>
      <c r="N180" s="50"/>
      <c r="O180" s="50"/>
      <c r="P180" s="379"/>
      <c r="Q180" s="379"/>
      <c r="R180" s="379"/>
      <c r="T180" s="54"/>
      <c r="V180" s="379"/>
      <c r="Y180" s="379"/>
      <c r="Z180" s="61"/>
      <c r="AA180" s="379"/>
      <c r="AB180" s="379"/>
      <c r="AC180" s="50"/>
      <c r="AD180" s="50"/>
      <c r="AE180" s="379"/>
      <c r="AF180" s="379"/>
      <c r="AG180" s="156"/>
      <c r="AH180" s="60"/>
      <c r="AI180" s="379"/>
      <c r="AJ180" s="379"/>
      <c r="AK180" s="156"/>
      <c r="AL180" s="379"/>
      <c r="AM180" s="50"/>
      <c r="AN180" s="50"/>
    </row>
    <row r="181" spans="1:40" x14ac:dyDescent="0.25">
      <c r="F181" s="449"/>
      <c r="H181" s="470"/>
      <c r="I181" s="470"/>
      <c r="J181" s="470"/>
      <c r="K181" s="470"/>
      <c r="R181" s="379"/>
      <c r="V181" s="379"/>
      <c r="Z181" s="470"/>
    </row>
    <row r="182" spans="1:40" x14ac:dyDescent="0.25">
      <c r="A182" s="53"/>
      <c r="C182" s="54"/>
      <c r="F182" s="449"/>
      <c r="H182" s="449"/>
      <c r="I182" s="449"/>
      <c r="J182" s="461"/>
      <c r="K182" s="461"/>
      <c r="L182" s="379"/>
      <c r="M182" s="379"/>
      <c r="N182" s="50"/>
      <c r="O182" s="50"/>
      <c r="P182" s="379"/>
      <c r="Q182" s="379"/>
      <c r="R182" s="379"/>
      <c r="T182" s="54"/>
      <c r="V182" s="379"/>
      <c r="Y182" s="379"/>
      <c r="Z182" s="461"/>
      <c r="AA182" s="379"/>
      <c r="AB182" s="379"/>
      <c r="AC182" s="50"/>
      <c r="AD182" s="50"/>
      <c r="AE182" s="379"/>
      <c r="AF182" s="379"/>
      <c r="AG182" s="156"/>
      <c r="AH182" s="60"/>
      <c r="AI182" s="379"/>
      <c r="AJ182" s="379"/>
      <c r="AK182" s="156"/>
      <c r="AL182" s="379"/>
      <c r="AM182" s="50"/>
      <c r="AN182" s="50"/>
    </row>
    <row r="183" spans="1:40" x14ac:dyDescent="0.25">
      <c r="F183" s="449"/>
      <c r="H183" s="470"/>
      <c r="I183" s="470"/>
      <c r="J183" s="470"/>
      <c r="K183" s="470"/>
      <c r="R183" s="379"/>
      <c r="V183" s="379"/>
      <c r="Z183" s="470"/>
    </row>
    <row r="184" spans="1:40" x14ac:dyDescent="0.25">
      <c r="A184" s="53"/>
      <c r="C184" s="54"/>
      <c r="F184" s="449"/>
      <c r="H184" s="449"/>
      <c r="I184" s="449"/>
      <c r="J184" s="472"/>
      <c r="K184" s="472"/>
      <c r="L184" s="379"/>
      <c r="M184" s="379"/>
      <c r="N184" s="50"/>
      <c r="O184" s="50"/>
      <c r="P184" s="379"/>
      <c r="Q184" s="379"/>
      <c r="R184" s="379"/>
      <c r="T184" s="54"/>
      <c r="V184" s="379"/>
      <c r="Y184" s="379"/>
      <c r="Z184" s="463"/>
      <c r="AA184" s="379"/>
      <c r="AB184" s="379"/>
      <c r="AC184" s="50"/>
      <c r="AD184" s="50"/>
      <c r="AE184" s="379"/>
      <c r="AF184" s="379"/>
      <c r="AG184" s="156"/>
      <c r="AH184" s="60"/>
      <c r="AI184" s="379"/>
      <c r="AJ184" s="379"/>
      <c r="AK184" s="156"/>
      <c r="AL184" s="379"/>
      <c r="AM184" s="50"/>
      <c r="AN184" s="50"/>
    </row>
    <row r="185" spans="1:40" x14ac:dyDescent="0.25">
      <c r="F185" s="381"/>
      <c r="H185" s="381"/>
      <c r="I185" s="381"/>
      <c r="J185" s="464"/>
      <c r="K185" s="464"/>
      <c r="L185" s="381"/>
      <c r="M185" s="381"/>
      <c r="N185" s="381"/>
      <c r="O185" s="381"/>
      <c r="P185" s="381"/>
      <c r="Q185" s="381"/>
      <c r="R185" s="381"/>
      <c r="S185" s="379"/>
      <c r="V185" s="381"/>
      <c r="Y185" s="381"/>
      <c r="Z185" s="464"/>
      <c r="AA185" s="381"/>
      <c r="AB185" s="381"/>
      <c r="AC185" s="381"/>
      <c r="AD185" s="381"/>
      <c r="AE185" s="381"/>
      <c r="AF185" s="381"/>
      <c r="AI185" s="381"/>
      <c r="AJ185" s="381"/>
      <c r="AK185" s="162"/>
      <c r="AL185" s="381"/>
    </row>
    <row r="186" spans="1:40" x14ac:dyDescent="0.25">
      <c r="A186" s="53"/>
      <c r="D186" s="54"/>
      <c r="E186" s="54"/>
      <c r="F186" s="379"/>
      <c r="H186" s="379"/>
      <c r="I186" s="379"/>
      <c r="J186" s="59"/>
      <c r="K186" s="59"/>
      <c r="L186" s="379"/>
      <c r="M186" s="379"/>
      <c r="N186" s="50"/>
      <c r="O186" s="50"/>
      <c r="P186" s="449"/>
      <c r="Q186" s="449"/>
      <c r="R186" s="379"/>
      <c r="S186" s="379"/>
      <c r="U186" s="54"/>
      <c r="V186" s="379"/>
      <c r="Y186" s="379"/>
      <c r="Z186" s="59"/>
      <c r="AA186" s="379"/>
      <c r="AB186" s="379"/>
      <c r="AC186" s="50"/>
      <c r="AD186" s="50"/>
      <c r="AE186" s="379"/>
      <c r="AF186" s="379"/>
      <c r="AG186" s="156"/>
      <c r="AH186" s="60"/>
      <c r="AI186" s="449"/>
      <c r="AJ186" s="449"/>
      <c r="AK186" s="156"/>
      <c r="AL186" s="379"/>
      <c r="AM186" s="50"/>
      <c r="AN186" s="50"/>
    </row>
    <row r="187" spans="1:40" x14ac:dyDescent="0.25">
      <c r="F187" s="381"/>
      <c r="H187" s="381"/>
      <c r="I187" s="381"/>
      <c r="J187" s="464"/>
      <c r="K187" s="464"/>
      <c r="L187" s="381"/>
      <c r="M187" s="381"/>
      <c r="N187" s="381"/>
      <c r="O187" s="381"/>
      <c r="P187" s="381"/>
      <c r="Q187" s="381"/>
      <c r="R187" s="381"/>
      <c r="S187" s="379"/>
      <c r="V187" s="381"/>
      <c r="Y187" s="381"/>
      <c r="Z187" s="464"/>
      <c r="AA187" s="381"/>
      <c r="AB187" s="381"/>
      <c r="AC187" s="381"/>
      <c r="AD187" s="381"/>
      <c r="AE187" s="381"/>
      <c r="AF187" s="381"/>
      <c r="AI187" s="381"/>
      <c r="AJ187" s="381"/>
      <c r="AK187" s="162"/>
      <c r="AL187" s="381"/>
    </row>
    <row r="188" spans="1:40" x14ac:dyDescent="0.25">
      <c r="R188" s="379"/>
    </row>
    <row r="189" spans="1:40" x14ac:dyDescent="0.25">
      <c r="F189" s="379"/>
      <c r="H189" s="379"/>
      <c r="I189" s="379"/>
      <c r="J189" s="59"/>
      <c r="K189" s="59"/>
      <c r="L189" s="379"/>
      <c r="M189" s="379"/>
      <c r="N189" s="379"/>
      <c r="O189" s="379"/>
      <c r="P189" s="379"/>
      <c r="Q189" s="379"/>
      <c r="R189" s="379"/>
      <c r="V189" s="379"/>
      <c r="Y189" s="379"/>
      <c r="Z189" s="59"/>
      <c r="AA189" s="379"/>
      <c r="AB189" s="379"/>
      <c r="AC189" s="379"/>
      <c r="AD189" s="379"/>
    </row>
    <row r="190" spans="1:40" x14ac:dyDescent="0.25">
      <c r="C190" s="54"/>
      <c r="F190" s="379"/>
      <c r="H190" s="379"/>
      <c r="I190" s="379"/>
      <c r="J190" s="59"/>
      <c r="K190" s="59"/>
      <c r="L190" s="379"/>
      <c r="M190" s="379"/>
      <c r="N190" s="379"/>
      <c r="O190" s="379"/>
      <c r="P190" s="379"/>
      <c r="Q190" s="379"/>
      <c r="R190" s="379"/>
      <c r="T190" s="54"/>
      <c r="V190" s="379"/>
      <c r="Y190" s="379"/>
      <c r="Z190" s="59"/>
      <c r="AA190" s="379"/>
      <c r="AB190" s="379"/>
      <c r="AC190" s="379"/>
      <c r="AD190" s="379"/>
    </row>
    <row r="191" spans="1:40" x14ac:dyDescent="0.25">
      <c r="C191" s="54"/>
      <c r="T191" s="54"/>
    </row>
    <row r="192" spans="1:40" x14ac:dyDescent="0.25">
      <c r="A192" s="54"/>
    </row>
    <row r="194" spans="1:40" x14ac:dyDescent="0.25">
      <c r="J194" s="53"/>
      <c r="K194" s="53"/>
      <c r="Z194" s="53"/>
    </row>
    <row r="195" spans="1:40" x14ac:dyDescent="0.25">
      <c r="H195" s="54"/>
      <c r="I195" s="54"/>
      <c r="Y195" s="54"/>
    </row>
    <row r="196" spans="1:40" x14ac:dyDescent="0.25">
      <c r="J196" s="53"/>
      <c r="K196" s="53"/>
      <c r="Z196" s="53"/>
    </row>
    <row r="197" spans="1:40" x14ac:dyDescent="0.25">
      <c r="L197" s="54"/>
      <c r="M197" s="54"/>
      <c r="AA197" s="54"/>
      <c r="AB197" s="54"/>
    </row>
    <row r="198" spans="1:40" x14ac:dyDescent="0.25">
      <c r="A198" s="53"/>
      <c r="R198" s="54"/>
      <c r="AK198" s="161"/>
      <c r="AL198" s="54"/>
    </row>
    <row r="199" spans="1:40" x14ac:dyDescent="0.25">
      <c r="A199" s="53"/>
      <c r="R199" s="54"/>
      <c r="AK199" s="161"/>
      <c r="AL199" s="54"/>
    </row>
    <row r="200" spans="1:40" x14ac:dyDescent="0.25">
      <c r="A200" s="54"/>
      <c r="R200" s="54"/>
      <c r="AK200" s="161"/>
      <c r="AL200" s="54"/>
    </row>
    <row r="201" spans="1:40" x14ac:dyDescent="0.25">
      <c r="L201" s="54"/>
      <c r="M201" s="54"/>
      <c r="R201" s="53"/>
      <c r="AA201" s="54"/>
      <c r="AB201" s="54"/>
      <c r="AK201" s="156"/>
      <c r="AL201" s="53"/>
    </row>
    <row r="202" spans="1:40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154"/>
      <c r="AH202" s="55"/>
      <c r="AI202" s="55"/>
      <c r="AJ202" s="55"/>
      <c r="AK202" s="154"/>
      <c r="AL202" s="55"/>
      <c r="AM202" s="55"/>
      <c r="AN202" s="55"/>
    </row>
    <row r="203" spans="1:40" x14ac:dyDescent="0.25">
      <c r="L203" s="56"/>
      <c r="M203" s="56"/>
      <c r="N203" s="56"/>
      <c r="O203" s="56"/>
      <c r="R203" s="56"/>
      <c r="AA203" s="56"/>
      <c r="AB203" s="56"/>
      <c r="AC203" s="56"/>
      <c r="AD203" s="56"/>
      <c r="AE203" s="56"/>
      <c r="AF203" s="56"/>
      <c r="AG203" s="155"/>
      <c r="AH203" s="56"/>
      <c r="AK203" s="155"/>
      <c r="AL203" s="56"/>
      <c r="AM203" s="56"/>
      <c r="AN203" s="56"/>
    </row>
    <row r="204" spans="1:40" x14ac:dyDescent="0.25">
      <c r="L204" s="56"/>
      <c r="M204" s="56"/>
      <c r="N204" s="56"/>
      <c r="O204" s="56"/>
      <c r="R204" s="56"/>
      <c r="Z204" s="56"/>
      <c r="AA204" s="56"/>
      <c r="AB204" s="56"/>
      <c r="AC204" s="56"/>
      <c r="AD204" s="56"/>
      <c r="AE204" s="56"/>
      <c r="AF204" s="56"/>
      <c r="AG204" s="155"/>
      <c r="AH204" s="56"/>
      <c r="AK204" s="155"/>
      <c r="AL204" s="56"/>
      <c r="AM204" s="56"/>
      <c r="AN204" s="56"/>
    </row>
    <row r="205" spans="1:40" x14ac:dyDescent="0.25">
      <c r="A205" s="56"/>
      <c r="C205" s="56"/>
      <c r="D205" s="56"/>
      <c r="E205" s="56"/>
      <c r="F205" s="56"/>
      <c r="J205" s="56"/>
      <c r="K205" s="56"/>
      <c r="L205" s="56"/>
      <c r="M205" s="56"/>
      <c r="N205" s="56"/>
      <c r="O205" s="56"/>
      <c r="P205" s="56"/>
      <c r="Q205" s="56"/>
      <c r="R205" s="56"/>
      <c r="T205" s="56"/>
      <c r="U205" s="56"/>
      <c r="V205" s="56"/>
      <c r="Z205" s="56"/>
      <c r="AA205" s="56"/>
      <c r="AB205" s="56"/>
      <c r="AC205" s="56"/>
      <c r="AD205" s="56"/>
      <c r="AE205" s="56"/>
      <c r="AF205" s="56"/>
      <c r="AG205" s="155"/>
      <c r="AH205" s="56"/>
      <c r="AI205" s="56"/>
      <c r="AJ205" s="56"/>
      <c r="AK205" s="155"/>
      <c r="AL205" s="56"/>
      <c r="AM205" s="56"/>
      <c r="AN205" s="56"/>
    </row>
    <row r="206" spans="1:40" x14ac:dyDescent="0.25">
      <c r="A206" s="56"/>
      <c r="C206" s="56"/>
      <c r="D206" s="56"/>
      <c r="E206" s="56"/>
      <c r="F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T206" s="56"/>
      <c r="U206" s="56"/>
      <c r="V206" s="56"/>
      <c r="Y206" s="56"/>
      <c r="Z206" s="56"/>
      <c r="AA206" s="56"/>
      <c r="AB206" s="56"/>
      <c r="AC206" s="56"/>
      <c r="AD206" s="56"/>
      <c r="AE206" s="56"/>
      <c r="AF206" s="56"/>
      <c r="AG206" s="155"/>
      <c r="AH206" s="56"/>
      <c r="AI206" s="56"/>
      <c r="AJ206" s="56"/>
      <c r="AK206" s="155"/>
      <c r="AL206" s="56"/>
      <c r="AM206" s="56"/>
      <c r="AN206" s="56"/>
    </row>
    <row r="207" spans="1:40" x14ac:dyDescent="0.25">
      <c r="C207" s="56"/>
      <c r="D207" s="56"/>
      <c r="E207" s="56"/>
      <c r="F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T207" s="56"/>
      <c r="U207" s="56"/>
      <c r="V207" s="56"/>
      <c r="Y207" s="56"/>
      <c r="Z207" s="56"/>
      <c r="AA207" s="56"/>
      <c r="AB207" s="56"/>
      <c r="AC207" s="56"/>
      <c r="AD207" s="56"/>
      <c r="AE207" s="56"/>
      <c r="AF207" s="56"/>
      <c r="AG207" s="155"/>
      <c r="AH207" s="56"/>
      <c r="AI207" s="56"/>
      <c r="AJ207" s="56"/>
      <c r="AK207" s="155"/>
      <c r="AL207" s="56"/>
      <c r="AM207" s="56"/>
      <c r="AN207" s="56"/>
    </row>
    <row r="208" spans="1:40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154"/>
      <c r="AH208" s="55"/>
      <c r="AI208" s="55"/>
      <c r="AJ208" s="55"/>
      <c r="AK208" s="154"/>
      <c r="AL208" s="55"/>
      <c r="AM208" s="55"/>
      <c r="AN208" s="55"/>
    </row>
    <row r="209" spans="1:40" x14ac:dyDescent="0.25"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Y209" s="56"/>
      <c r="Z209" s="56"/>
      <c r="AA209" s="56"/>
      <c r="AB209" s="56"/>
      <c r="AC209" s="56"/>
      <c r="AD209" s="56"/>
      <c r="AE209" s="56"/>
      <c r="AF209" s="56"/>
      <c r="AG209" s="155"/>
      <c r="AH209" s="56"/>
      <c r="AI209" s="56"/>
      <c r="AJ209" s="56"/>
      <c r="AK209" s="155"/>
      <c r="AL209" s="56"/>
      <c r="AM209" s="56"/>
      <c r="AN209" s="56"/>
    </row>
    <row r="210" spans="1:40" x14ac:dyDescent="0.25">
      <c r="A210" s="53"/>
      <c r="C210" s="54"/>
      <c r="D210" s="54"/>
      <c r="E210" s="54"/>
      <c r="T210" s="54"/>
      <c r="U210" s="54"/>
    </row>
    <row r="211" spans="1:40" x14ac:dyDescent="0.25">
      <c r="A211" s="53"/>
      <c r="D211" s="54"/>
      <c r="E211" s="54"/>
      <c r="U211" s="54"/>
    </row>
    <row r="213" spans="1:40" x14ac:dyDescent="0.25">
      <c r="A213" s="53"/>
      <c r="C213" s="54"/>
      <c r="F213" s="379"/>
      <c r="J213" s="62"/>
      <c r="K213" s="62"/>
      <c r="L213" s="379"/>
      <c r="M213" s="379"/>
      <c r="R213" s="379"/>
      <c r="T213" s="54"/>
      <c r="V213" s="379"/>
      <c r="Z213" s="62"/>
      <c r="AA213" s="379"/>
      <c r="AB213" s="379"/>
      <c r="AK213" s="156"/>
      <c r="AL213" s="379"/>
    </row>
    <row r="214" spans="1:40" x14ac:dyDescent="0.25">
      <c r="F214" s="379"/>
      <c r="R214" s="379"/>
      <c r="V214" s="379"/>
      <c r="AK214" s="156"/>
      <c r="AL214" s="379"/>
    </row>
    <row r="215" spans="1:40" x14ac:dyDescent="0.25">
      <c r="A215" s="53"/>
      <c r="C215" s="54"/>
      <c r="F215" s="449"/>
      <c r="H215" s="449"/>
      <c r="I215" s="449"/>
      <c r="J215" s="461"/>
      <c r="K215" s="461"/>
      <c r="L215" s="379"/>
      <c r="M215" s="379"/>
      <c r="N215" s="50"/>
      <c r="O215" s="50"/>
      <c r="P215" s="379"/>
      <c r="Q215" s="379"/>
      <c r="R215" s="379"/>
      <c r="T215" s="54"/>
      <c r="V215" s="379"/>
      <c r="Y215" s="379"/>
      <c r="Z215" s="461"/>
      <c r="AA215" s="379"/>
      <c r="AB215" s="379"/>
      <c r="AC215" s="50"/>
      <c r="AD215" s="50"/>
      <c r="AE215" s="379"/>
      <c r="AF215" s="379"/>
      <c r="AG215" s="156"/>
      <c r="AH215" s="60"/>
      <c r="AI215" s="379"/>
      <c r="AJ215" s="379"/>
      <c r="AK215" s="156"/>
      <c r="AL215" s="379"/>
      <c r="AM215" s="50"/>
      <c r="AN215" s="50"/>
    </row>
    <row r="216" spans="1:40" x14ac:dyDescent="0.25">
      <c r="A216" s="53"/>
      <c r="C216" s="54"/>
      <c r="F216" s="449"/>
      <c r="H216" s="470"/>
      <c r="I216" s="470"/>
      <c r="J216" s="461"/>
      <c r="K216" s="461"/>
      <c r="L216" s="379"/>
      <c r="M216" s="379"/>
      <c r="N216" s="50"/>
      <c r="O216" s="50"/>
      <c r="P216" s="379"/>
      <c r="Q216" s="379"/>
      <c r="R216" s="379"/>
      <c r="T216" s="54"/>
      <c r="V216" s="379"/>
      <c r="Y216" s="379"/>
      <c r="Z216" s="461"/>
      <c r="AA216" s="379"/>
      <c r="AB216" s="379"/>
      <c r="AC216" s="50"/>
      <c r="AD216" s="50"/>
      <c r="AE216" s="379"/>
      <c r="AF216" s="379"/>
      <c r="AG216" s="156"/>
      <c r="AH216" s="60"/>
      <c r="AI216" s="379"/>
      <c r="AJ216" s="379"/>
      <c r="AK216" s="156"/>
      <c r="AL216" s="379"/>
      <c r="AM216" s="50"/>
      <c r="AN216" s="50"/>
    </row>
    <row r="217" spans="1:40" x14ac:dyDescent="0.25">
      <c r="F217" s="381"/>
      <c r="H217" s="379"/>
      <c r="I217" s="379"/>
      <c r="J217" s="464"/>
      <c r="K217" s="464"/>
      <c r="L217" s="381"/>
      <c r="M217" s="381"/>
      <c r="N217" s="381"/>
      <c r="O217" s="381"/>
      <c r="P217" s="381"/>
      <c r="Q217" s="381"/>
      <c r="R217" s="381"/>
      <c r="V217" s="381"/>
      <c r="Y217" s="379"/>
      <c r="Z217" s="464"/>
      <c r="AA217" s="381"/>
      <c r="AB217" s="381"/>
      <c r="AC217" s="381"/>
      <c r="AD217" s="381"/>
      <c r="AE217" s="381"/>
      <c r="AF217" s="381"/>
      <c r="AI217" s="381"/>
      <c r="AJ217" s="381"/>
      <c r="AK217" s="162"/>
      <c r="AL217" s="381"/>
    </row>
    <row r="218" spans="1:40" x14ac:dyDescent="0.25">
      <c r="A218" s="53"/>
      <c r="C218" s="54"/>
      <c r="F218" s="379"/>
      <c r="H218" s="379"/>
      <c r="I218" s="379"/>
      <c r="J218" s="59"/>
      <c r="K218" s="59"/>
      <c r="L218" s="379"/>
      <c r="M218" s="379"/>
      <c r="N218" s="50"/>
      <c r="O218" s="50"/>
      <c r="P218" s="379"/>
      <c r="Q218" s="379"/>
      <c r="R218" s="379"/>
      <c r="T218" s="54"/>
      <c r="V218" s="379"/>
      <c r="Y218" s="379"/>
      <c r="Z218" s="59"/>
      <c r="AA218" s="379"/>
      <c r="AB218" s="379"/>
      <c r="AC218" s="50"/>
      <c r="AD218" s="50"/>
      <c r="AE218" s="379"/>
      <c r="AF218" s="379"/>
      <c r="AG218" s="156"/>
      <c r="AH218" s="60"/>
      <c r="AI218" s="379"/>
      <c r="AJ218" s="379"/>
      <c r="AK218" s="156"/>
      <c r="AL218" s="379"/>
      <c r="AM218" s="50"/>
      <c r="AN218" s="50"/>
    </row>
    <row r="219" spans="1:40" x14ac:dyDescent="0.25">
      <c r="F219" s="381"/>
      <c r="H219" s="379"/>
      <c r="I219" s="379"/>
      <c r="J219" s="464"/>
      <c r="K219" s="464"/>
      <c r="L219" s="381"/>
      <c r="M219" s="381"/>
      <c r="N219" s="381"/>
      <c r="O219" s="381"/>
      <c r="P219" s="381"/>
      <c r="Q219" s="381"/>
      <c r="R219" s="381"/>
      <c r="V219" s="381"/>
      <c r="Y219" s="379"/>
      <c r="Z219" s="464"/>
      <c r="AA219" s="381"/>
      <c r="AB219" s="381"/>
      <c r="AC219" s="381"/>
      <c r="AD219" s="381"/>
      <c r="AE219" s="381"/>
      <c r="AF219" s="381"/>
      <c r="AI219" s="381"/>
      <c r="AJ219" s="381"/>
      <c r="AK219" s="162"/>
      <c r="AL219" s="381"/>
    </row>
    <row r="220" spans="1:40" x14ac:dyDescent="0.25">
      <c r="F220" s="379"/>
      <c r="R220" s="379"/>
      <c r="V220" s="379"/>
      <c r="AK220" s="156"/>
      <c r="AL220" s="379"/>
    </row>
    <row r="221" spans="1:40" x14ac:dyDescent="0.25">
      <c r="A221" s="53"/>
      <c r="C221" s="54"/>
      <c r="F221" s="379"/>
      <c r="R221" s="379"/>
      <c r="T221" s="54"/>
      <c r="V221" s="379"/>
      <c r="AK221" s="156"/>
      <c r="AL221" s="379"/>
    </row>
    <row r="222" spans="1:40" x14ac:dyDescent="0.25">
      <c r="F222" s="379"/>
      <c r="R222" s="379"/>
      <c r="V222" s="379"/>
      <c r="AK222" s="156"/>
      <c r="AL222" s="379"/>
    </row>
    <row r="223" spans="1:40" x14ac:dyDescent="0.25">
      <c r="A223" s="53"/>
      <c r="C223" s="54"/>
      <c r="F223" s="379"/>
      <c r="H223" s="449"/>
      <c r="I223" s="449"/>
      <c r="J223" s="472"/>
      <c r="K223" s="472"/>
      <c r="L223" s="379"/>
      <c r="M223" s="379"/>
      <c r="N223" s="50"/>
      <c r="O223" s="50"/>
      <c r="P223" s="449"/>
      <c r="Q223" s="449"/>
      <c r="R223" s="379"/>
      <c r="T223" s="54"/>
      <c r="V223" s="379"/>
      <c r="Y223" s="379"/>
      <c r="Z223" s="463"/>
      <c r="AA223" s="379"/>
      <c r="AB223" s="379"/>
      <c r="AC223" s="50"/>
      <c r="AD223" s="50"/>
      <c r="AE223" s="379"/>
      <c r="AF223" s="379"/>
      <c r="AG223" s="156"/>
      <c r="AH223" s="60"/>
      <c r="AI223" s="449"/>
      <c r="AJ223" s="449"/>
      <c r="AK223" s="156"/>
      <c r="AL223" s="379"/>
      <c r="AM223" s="50"/>
      <c r="AN223" s="50"/>
    </row>
    <row r="224" spans="1:40" x14ac:dyDescent="0.25">
      <c r="H224" s="381"/>
      <c r="I224" s="381"/>
      <c r="J224" s="464"/>
      <c r="K224" s="464"/>
      <c r="L224" s="381"/>
      <c r="M224" s="381"/>
      <c r="N224" s="381"/>
      <c r="O224" s="381"/>
      <c r="P224" s="381"/>
      <c r="Q224" s="381"/>
      <c r="R224" s="381"/>
      <c r="V224" s="381"/>
      <c r="Y224" s="381"/>
      <c r="Z224" s="464"/>
      <c r="AA224" s="381"/>
      <c r="AB224" s="381"/>
      <c r="AC224" s="381"/>
      <c r="AD224" s="381"/>
      <c r="AE224" s="381"/>
      <c r="AF224" s="381"/>
      <c r="AI224" s="381"/>
      <c r="AJ224" s="381"/>
      <c r="AK224" s="162"/>
      <c r="AL224" s="381"/>
    </row>
    <row r="225" spans="1:40" x14ac:dyDescent="0.25">
      <c r="F225" s="381"/>
    </row>
    <row r="226" spans="1:40" x14ac:dyDescent="0.25">
      <c r="A226" s="53"/>
      <c r="C226" s="54"/>
      <c r="F226" s="379"/>
      <c r="H226" s="379"/>
      <c r="I226" s="379"/>
      <c r="J226" s="62"/>
      <c r="K226" s="62"/>
      <c r="L226" s="379"/>
      <c r="M226" s="379"/>
      <c r="N226" s="50"/>
      <c r="O226" s="50"/>
      <c r="P226" s="379"/>
      <c r="Q226" s="379"/>
      <c r="R226" s="379"/>
      <c r="T226" s="54"/>
      <c r="V226" s="379"/>
      <c r="Y226" s="379"/>
      <c r="Z226" s="62"/>
      <c r="AA226" s="379"/>
      <c r="AB226" s="379"/>
      <c r="AC226" s="50"/>
      <c r="AD226" s="50"/>
      <c r="AE226" s="379"/>
      <c r="AF226" s="379"/>
      <c r="AG226" s="156"/>
      <c r="AH226" s="60"/>
      <c r="AI226" s="379"/>
      <c r="AJ226" s="379"/>
      <c r="AK226" s="156"/>
      <c r="AL226" s="379"/>
      <c r="AM226" s="50"/>
      <c r="AN226" s="50"/>
    </row>
    <row r="227" spans="1:40" x14ac:dyDescent="0.25">
      <c r="F227" s="381"/>
      <c r="H227" s="381"/>
      <c r="I227" s="381"/>
      <c r="J227" s="464"/>
      <c r="K227" s="464"/>
      <c r="L227" s="381"/>
      <c r="M227" s="381"/>
      <c r="N227" s="381"/>
      <c r="O227" s="381"/>
      <c r="P227" s="381"/>
      <c r="Q227" s="381"/>
      <c r="R227" s="381"/>
      <c r="V227" s="381"/>
      <c r="Y227" s="381"/>
      <c r="Z227" s="464"/>
      <c r="AA227" s="381"/>
      <c r="AB227" s="381"/>
      <c r="AC227" s="381"/>
      <c r="AD227" s="381"/>
      <c r="AE227" s="381"/>
      <c r="AF227" s="381"/>
      <c r="AI227" s="381"/>
      <c r="AJ227" s="381"/>
      <c r="AK227" s="162"/>
      <c r="AL227" s="381"/>
    </row>
    <row r="228" spans="1:40" x14ac:dyDescent="0.25">
      <c r="R228" s="379"/>
      <c r="AG228" s="156"/>
      <c r="AH228" s="379"/>
    </row>
    <row r="229" spans="1:40" x14ac:dyDescent="0.25">
      <c r="F229" s="379"/>
      <c r="H229" s="379"/>
      <c r="I229" s="379"/>
      <c r="J229" s="59"/>
      <c r="K229" s="59"/>
      <c r="L229" s="379"/>
      <c r="M229" s="379"/>
      <c r="N229" s="379"/>
      <c r="O229" s="379"/>
      <c r="P229" s="379"/>
      <c r="Q229" s="379"/>
      <c r="R229" s="379"/>
      <c r="V229" s="379"/>
      <c r="Y229" s="379"/>
      <c r="Z229" s="59"/>
      <c r="AA229" s="379"/>
      <c r="AB229" s="379"/>
      <c r="AC229" s="379"/>
      <c r="AD229" s="379"/>
      <c r="AE229" s="379"/>
      <c r="AF229" s="379"/>
      <c r="AG229" s="156"/>
      <c r="AH229" s="379"/>
    </row>
    <row r="230" spans="1:40" x14ac:dyDescent="0.25">
      <c r="C230" s="54"/>
      <c r="F230" s="379"/>
      <c r="H230" s="379"/>
      <c r="I230" s="379"/>
      <c r="J230" s="59"/>
      <c r="K230" s="59"/>
      <c r="L230" s="379"/>
      <c r="M230" s="379"/>
      <c r="N230" s="379"/>
      <c r="O230" s="379"/>
      <c r="P230" s="379"/>
      <c r="Q230" s="379"/>
      <c r="R230" s="379"/>
      <c r="T230" s="54"/>
      <c r="V230" s="379"/>
      <c r="Y230" s="379"/>
      <c r="Z230" s="59"/>
      <c r="AA230" s="379"/>
      <c r="AB230" s="379"/>
      <c r="AC230" s="379"/>
      <c r="AD230" s="379"/>
      <c r="AE230" s="379"/>
      <c r="AF230" s="379"/>
      <c r="AG230" s="156"/>
      <c r="AH230" s="379"/>
    </row>
    <row r="231" spans="1:40" x14ac:dyDescent="0.25">
      <c r="A231" s="54"/>
    </row>
    <row r="233" spans="1:40" x14ac:dyDescent="0.25">
      <c r="J233" s="53"/>
      <c r="K233" s="53"/>
      <c r="Z233" s="53"/>
    </row>
    <row r="234" spans="1:40" x14ac:dyDescent="0.25">
      <c r="H234" s="54"/>
      <c r="I234" s="54"/>
      <c r="Y234" s="54"/>
    </row>
    <row r="235" spans="1:40" x14ac:dyDescent="0.25">
      <c r="J235" s="53"/>
      <c r="K235" s="53"/>
      <c r="Z235" s="53"/>
    </row>
    <row r="236" spans="1:40" x14ac:dyDescent="0.25">
      <c r="L236" s="54"/>
      <c r="M236" s="54"/>
      <c r="AA236" s="54"/>
      <c r="AB236" s="54"/>
    </row>
    <row r="237" spans="1:40" x14ac:dyDescent="0.25">
      <c r="A237" s="53"/>
      <c r="R237" s="54"/>
      <c r="AK237" s="161"/>
      <c r="AL237" s="54"/>
    </row>
    <row r="238" spans="1:40" x14ac:dyDescent="0.25">
      <c r="A238" s="53"/>
      <c r="R238" s="54"/>
      <c r="AK238" s="161"/>
      <c r="AL238" s="54"/>
    </row>
    <row r="239" spans="1:40" x14ac:dyDescent="0.25">
      <c r="A239" s="54"/>
      <c r="R239" s="54"/>
      <c r="AK239" s="161"/>
      <c r="AL239" s="54"/>
    </row>
    <row r="240" spans="1:40" x14ac:dyDescent="0.25">
      <c r="L240" s="54"/>
      <c r="M240" s="54"/>
      <c r="R240" s="53"/>
      <c r="AA240" s="54"/>
      <c r="AB240" s="54"/>
      <c r="AK240" s="156"/>
      <c r="AL240" s="53"/>
    </row>
    <row r="241" spans="1:40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154"/>
      <c r="AH241" s="55"/>
      <c r="AI241" s="55"/>
      <c r="AJ241" s="55"/>
      <c r="AK241" s="154"/>
      <c r="AL241" s="55"/>
      <c r="AM241" s="55"/>
      <c r="AN241" s="55"/>
    </row>
    <row r="242" spans="1:40" x14ac:dyDescent="0.25">
      <c r="L242" s="56"/>
      <c r="M242" s="56"/>
      <c r="N242" s="56"/>
      <c r="O242" s="56"/>
      <c r="R242" s="56"/>
      <c r="AA242" s="56"/>
      <c r="AB242" s="56"/>
      <c r="AC242" s="56"/>
      <c r="AD242" s="56"/>
      <c r="AE242" s="56"/>
      <c r="AF242" s="56"/>
      <c r="AG242" s="155"/>
      <c r="AH242" s="56"/>
      <c r="AK242" s="155"/>
      <c r="AL242" s="56"/>
      <c r="AM242" s="56"/>
      <c r="AN242" s="56"/>
    </row>
    <row r="243" spans="1:40" x14ac:dyDescent="0.25">
      <c r="L243" s="56"/>
      <c r="M243" s="56"/>
      <c r="N243" s="56"/>
      <c r="O243" s="56"/>
      <c r="R243" s="56"/>
      <c r="Z243" s="56"/>
      <c r="AA243" s="56"/>
      <c r="AB243" s="56"/>
      <c r="AC243" s="56"/>
      <c r="AD243" s="56"/>
      <c r="AE243" s="56"/>
      <c r="AF243" s="56"/>
      <c r="AG243" s="155"/>
      <c r="AH243" s="56"/>
      <c r="AK243" s="155"/>
      <c r="AL243" s="56"/>
      <c r="AM243" s="56"/>
      <c r="AN243" s="56"/>
    </row>
    <row r="244" spans="1:40" x14ac:dyDescent="0.25">
      <c r="A244" s="56"/>
      <c r="C244" s="56"/>
      <c r="D244" s="56"/>
      <c r="E244" s="56"/>
      <c r="F244" s="56"/>
      <c r="J244" s="56"/>
      <c r="K244" s="56"/>
      <c r="L244" s="56"/>
      <c r="M244" s="56"/>
      <c r="N244" s="56"/>
      <c r="O244" s="56"/>
      <c r="P244" s="56"/>
      <c r="Q244" s="56"/>
      <c r="R244" s="56"/>
      <c r="T244" s="56"/>
      <c r="U244" s="56"/>
      <c r="V244" s="56"/>
      <c r="Z244" s="56"/>
      <c r="AA244" s="56"/>
      <c r="AB244" s="56"/>
      <c r="AC244" s="56"/>
      <c r="AD244" s="56"/>
      <c r="AE244" s="56"/>
      <c r="AF244" s="56"/>
      <c r="AG244" s="155"/>
      <c r="AH244" s="56"/>
      <c r="AI244" s="56"/>
      <c r="AJ244" s="56"/>
      <c r="AK244" s="155"/>
      <c r="AL244" s="56"/>
      <c r="AM244" s="56"/>
      <c r="AN244" s="56"/>
    </row>
    <row r="245" spans="1:40" x14ac:dyDescent="0.25">
      <c r="A245" s="56"/>
      <c r="C245" s="56"/>
      <c r="D245" s="56"/>
      <c r="E245" s="56"/>
      <c r="F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T245" s="56"/>
      <c r="U245" s="56"/>
      <c r="V245" s="56"/>
      <c r="Y245" s="56"/>
      <c r="Z245" s="56"/>
      <c r="AA245" s="56"/>
      <c r="AB245" s="56"/>
      <c r="AC245" s="56"/>
      <c r="AD245" s="56"/>
      <c r="AE245" s="56"/>
      <c r="AF245" s="56"/>
      <c r="AG245" s="155"/>
      <c r="AH245" s="56"/>
      <c r="AI245" s="56"/>
      <c r="AJ245" s="56"/>
      <c r="AK245" s="155"/>
      <c r="AL245" s="56"/>
      <c r="AM245" s="56"/>
      <c r="AN245" s="56"/>
    </row>
    <row r="246" spans="1:40" x14ac:dyDescent="0.25">
      <c r="C246" s="56"/>
      <c r="D246" s="56"/>
      <c r="E246" s="56"/>
      <c r="F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T246" s="56"/>
      <c r="U246" s="56"/>
      <c r="V246" s="56"/>
      <c r="Y246" s="56"/>
      <c r="Z246" s="56"/>
      <c r="AA246" s="56"/>
      <c r="AB246" s="56"/>
      <c r="AC246" s="56"/>
      <c r="AD246" s="56"/>
      <c r="AE246" s="56"/>
      <c r="AF246" s="56"/>
      <c r="AG246" s="155"/>
      <c r="AH246" s="56"/>
      <c r="AI246" s="56"/>
      <c r="AJ246" s="56"/>
      <c r="AK246" s="155"/>
      <c r="AL246" s="56"/>
      <c r="AM246" s="56"/>
      <c r="AN246" s="56"/>
    </row>
    <row r="247" spans="1:40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154"/>
      <c r="AH247" s="55"/>
      <c r="AI247" s="55"/>
      <c r="AJ247" s="55"/>
      <c r="AK247" s="154"/>
      <c r="AL247" s="55"/>
      <c r="AM247" s="55"/>
      <c r="AN247" s="55"/>
    </row>
    <row r="248" spans="1:40" x14ac:dyDescent="0.25"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Y248" s="56"/>
      <c r="Z248" s="56"/>
      <c r="AA248" s="56"/>
      <c r="AB248" s="56"/>
      <c r="AC248" s="56"/>
      <c r="AD248" s="56"/>
      <c r="AE248" s="56"/>
      <c r="AF248" s="56"/>
      <c r="AG248" s="155"/>
      <c r="AH248" s="56"/>
      <c r="AI248" s="56"/>
      <c r="AJ248" s="56"/>
      <c r="AK248" s="155"/>
      <c r="AL248" s="56"/>
      <c r="AM248" s="56"/>
      <c r="AN248" s="56"/>
    </row>
    <row r="249" spans="1:40" x14ac:dyDescent="0.25">
      <c r="A249" s="53"/>
      <c r="C249" s="54"/>
      <c r="D249" s="54"/>
      <c r="E249" s="54"/>
      <c r="T249" s="54"/>
      <c r="U249" s="54"/>
    </row>
    <row r="250" spans="1:40" x14ac:dyDescent="0.25">
      <c r="A250" s="53"/>
      <c r="C250" s="54"/>
      <c r="T250" s="54"/>
    </row>
    <row r="252" spans="1:40" x14ac:dyDescent="0.25">
      <c r="A252" s="53"/>
      <c r="C252" s="54"/>
      <c r="F252" s="449"/>
      <c r="H252" s="449"/>
      <c r="I252" s="449"/>
      <c r="J252" s="461"/>
      <c r="K252" s="461"/>
      <c r="L252" s="379"/>
      <c r="M252" s="379"/>
      <c r="N252" s="50"/>
      <c r="O252" s="50"/>
      <c r="P252" s="53"/>
      <c r="Q252" s="53"/>
      <c r="R252" s="379"/>
      <c r="T252" s="54"/>
      <c r="V252" s="379"/>
      <c r="Y252" s="449"/>
      <c r="Z252" s="461"/>
      <c r="AA252" s="379"/>
      <c r="AB252" s="379"/>
      <c r="AC252" s="50"/>
      <c r="AD252" s="50"/>
      <c r="AE252" s="379"/>
      <c r="AF252" s="379"/>
      <c r="AG252" s="156"/>
      <c r="AH252" s="60"/>
      <c r="AI252" s="53"/>
      <c r="AJ252" s="53"/>
      <c r="AK252" s="156"/>
      <c r="AL252" s="379"/>
      <c r="AM252" s="50"/>
      <c r="AN252" s="50"/>
    </row>
    <row r="253" spans="1:40" x14ac:dyDescent="0.25">
      <c r="F253" s="381"/>
      <c r="H253" s="379"/>
      <c r="I253" s="379"/>
      <c r="J253" s="464"/>
      <c r="K253" s="464"/>
      <c r="L253" s="381"/>
      <c r="M253" s="381"/>
      <c r="N253" s="381"/>
      <c r="O253" s="381"/>
      <c r="P253" s="381"/>
      <c r="Q253" s="381"/>
      <c r="R253" s="381"/>
      <c r="V253" s="381"/>
      <c r="Y253" s="379"/>
      <c r="Z253" s="464"/>
      <c r="AA253" s="381"/>
      <c r="AB253" s="381"/>
      <c r="AC253" s="381"/>
      <c r="AD253" s="381"/>
      <c r="AE253" s="381"/>
      <c r="AF253" s="381"/>
      <c r="AI253" s="381"/>
      <c r="AJ253" s="381"/>
      <c r="AK253" s="162"/>
      <c r="AL253" s="381"/>
      <c r="AM253" s="50"/>
      <c r="AN253" s="50"/>
    </row>
    <row r="254" spans="1:40" x14ac:dyDescent="0.25">
      <c r="A254" s="53"/>
      <c r="C254" s="54"/>
      <c r="F254" s="449"/>
      <c r="H254" s="449"/>
      <c r="I254" s="449"/>
      <c r="J254" s="477"/>
      <c r="K254" s="477"/>
      <c r="L254" s="379"/>
      <c r="M254" s="379"/>
      <c r="N254" s="50"/>
      <c r="O254" s="50"/>
      <c r="P254" s="379"/>
      <c r="Q254" s="379"/>
      <c r="R254" s="379"/>
      <c r="S254" s="379"/>
      <c r="T254" s="54"/>
      <c r="V254" s="449"/>
      <c r="Y254" s="449"/>
      <c r="Z254" s="477"/>
      <c r="AA254" s="379"/>
      <c r="AB254" s="379"/>
      <c r="AC254" s="50"/>
      <c r="AD254" s="50"/>
      <c r="AE254" s="379"/>
      <c r="AF254" s="379"/>
      <c r="AG254" s="156"/>
      <c r="AH254" s="50"/>
      <c r="AI254" s="379"/>
      <c r="AJ254" s="379"/>
      <c r="AK254" s="156"/>
      <c r="AL254" s="379"/>
      <c r="AM254" s="50"/>
      <c r="AN254" s="50"/>
    </row>
    <row r="255" spans="1:40" x14ac:dyDescent="0.25">
      <c r="A255" s="53"/>
      <c r="C255" s="54"/>
      <c r="F255" s="449"/>
      <c r="H255" s="449"/>
      <c r="I255" s="449"/>
      <c r="J255" s="461"/>
      <c r="K255" s="461"/>
      <c r="L255" s="379"/>
      <c r="M255" s="379"/>
      <c r="N255" s="50"/>
      <c r="O255" s="50"/>
      <c r="P255" s="379"/>
      <c r="Q255" s="379"/>
      <c r="R255" s="379"/>
      <c r="T255" s="54"/>
      <c r="V255" s="449"/>
      <c r="Y255" s="379"/>
      <c r="Z255" s="461"/>
      <c r="AA255" s="379"/>
      <c r="AB255" s="379"/>
      <c r="AC255" s="50"/>
      <c r="AD255" s="50"/>
      <c r="AE255" s="379"/>
      <c r="AF255" s="379"/>
      <c r="AG255" s="156"/>
      <c r="AH255" s="60"/>
      <c r="AI255" s="379"/>
      <c r="AJ255" s="379"/>
      <c r="AK255" s="156"/>
      <c r="AL255" s="379"/>
      <c r="AM255" s="50"/>
      <c r="AN255" s="50"/>
    </row>
    <row r="256" spans="1:40" x14ac:dyDescent="0.25">
      <c r="A256" s="53"/>
      <c r="C256" s="54"/>
      <c r="F256" s="449"/>
      <c r="H256" s="449"/>
      <c r="I256" s="449"/>
      <c r="J256" s="461"/>
      <c r="K256" s="461"/>
      <c r="L256" s="379"/>
      <c r="M256" s="379"/>
      <c r="N256" s="50"/>
      <c r="O256" s="50"/>
      <c r="P256" s="379"/>
      <c r="Q256" s="379"/>
      <c r="R256" s="379"/>
      <c r="T256" s="54"/>
      <c r="V256" s="449"/>
      <c r="Y256" s="379"/>
      <c r="Z256" s="461"/>
      <c r="AA256" s="379"/>
      <c r="AB256" s="379"/>
      <c r="AC256" s="50"/>
      <c r="AD256" s="50"/>
      <c r="AE256" s="379"/>
      <c r="AF256" s="379"/>
      <c r="AG256" s="156"/>
      <c r="AH256" s="60"/>
      <c r="AI256" s="379"/>
      <c r="AJ256" s="379"/>
      <c r="AK256" s="156"/>
      <c r="AL256" s="379"/>
      <c r="AM256" s="50"/>
      <c r="AN256" s="50"/>
    </row>
    <row r="257" spans="1:40" x14ac:dyDescent="0.25">
      <c r="F257" s="381"/>
      <c r="H257" s="381"/>
      <c r="I257" s="381"/>
      <c r="J257" s="464"/>
      <c r="K257" s="464"/>
      <c r="L257" s="381"/>
      <c r="M257" s="381"/>
      <c r="N257" s="381"/>
      <c r="O257" s="381"/>
      <c r="P257" s="381"/>
      <c r="Q257" s="381"/>
      <c r="R257" s="381"/>
      <c r="V257" s="381"/>
      <c r="Y257" s="381"/>
      <c r="Z257" s="464"/>
      <c r="AA257" s="381"/>
      <c r="AB257" s="381"/>
      <c r="AC257" s="381"/>
      <c r="AD257" s="381"/>
      <c r="AE257" s="381"/>
      <c r="AF257" s="381"/>
      <c r="AI257" s="381"/>
      <c r="AJ257" s="381"/>
      <c r="AK257" s="162"/>
      <c r="AL257" s="381"/>
      <c r="AM257" s="50"/>
      <c r="AN257" s="50"/>
    </row>
    <row r="258" spans="1:40" x14ac:dyDescent="0.25">
      <c r="A258" s="53"/>
      <c r="C258" s="54"/>
      <c r="F258" s="379"/>
      <c r="H258" s="379"/>
      <c r="I258" s="379"/>
      <c r="J258" s="59"/>
      <c r="K258" s="59"/>
      <c r="L258" s="379"/>
      <c r="M258" s="379"/>
      <c r="N258" s="50"/>
      <c r="O258" s="50"/>
      <c r="P258" s="379"/>
      <c r="Q258" s="379"/>
      <c r="R258" s="379"/>
      <c r="T258" s="54"/>
      <c r="V258" s="379"/>
      <c r="Y258" s="379"/>
      <c r="Z258" s="59"/>
      <c r="AA258" s="379"/>
      <c r="AB258" s="379"/>
      <c r="AC258" s="50"/>
      <c r="AD258" s="50"/>
      <c r="AE258" s="379"/>
      <c r="AF258" s="379"/>
      <c r="AG258" s="156"/>
      <c r="AH258" s="60"/>
      <c r="AI258" s="379"/>
      <c r="AJ258" s="379"/>
      <c r="AK258" s="156"/>
      <c r="AL258" s="379"/>
      <c r="AM258" s="50"/>
      <c r="AN258" s="50"/>
    </row>
    <row r="259" spans="1:40" x14ac:dyDescent="0.25">
      <c r="F259" s="381"/>
      <c r="H259" s="381"/>
      <c r="I259" s="381"/>
      <c r="J259" s="464"/>
      <c r="K259" s="464"/>
      <c r="L259" s="381"/>
      <c r="M259" s="381"/>
      <c r="N259" s="381"/>
      <c r="O259" s="381"/>
      <c r="P259" s="381"/>
      <c r="Q259" s="381"/>
      <c r="R259" s="381"/>
      <c r="V259" s="381"/>
      <c r="Y259" s="381"/>
      <c r="Z259" s="464"/>
      <c r="AA259" s="381"/>
      <c r="AB259" s="381"/>
      <c r="AC259" s="381"/>
      <c r="AD259" s="381"/>
      <c r="AE259" s="381"/>
      <c r="AF259" s="381"/>
      <c r="AI259" s="381"/>
      <c r="AJ259" s="381"/>
      <c r="AK259" s="162"/>
      <c r="AL259" s="381"/>
      <c r="AM259" s="50"/>
      <c r="AN259" s="50"/>
    </row>
    <row r="260" spans="1:40" x14ac:dyDescent="0.25">
      <c r="A260" s="53"/>
      <c r="C260" s="54"/>
      <c r="F260" s="379"/>
      <c r="H260" s="379"/>
      <c r="I260" s="379"/>
      <c r="J260" s="59"/>
      <c r="K260" s="59"/>
      <c r="L260" s="379"/>
      <c r="M260" s="379"/>
      <c r="N260" s="50"/>
      <c r="O260" s="50"/>
      <c r="P260" s="379"/>
      <c r="Q260" s="379"/>
      <c r="R260" s="379"/>
      <c r="T260" s="54"/>
      <c r="V260" s="379"/>
      <c r="Y260" s="379"/>
      <c r="Z260" s="59"/>
      <c r="AA260" s="379"/>
      <c r="AB260" s="379"/>
      <c r="AC260" s="50"/>
      <c r="AD260" s="50"/>
      <c r="AE260" s="379"/>
      <c r="AF260" s="379"/>
      <c r="AG260" s="156"/>
      <c r="AH260" s="60"/>
      <c r="AI260" s="379"/>
      <c r="AJ260" s="379"/>
      <c r="AK260" s="156"/>
      <c r="AL260" s="379"/>
      <c r="AM260" s="50"/>
      <c r="AN260" s="50"/>
    </row>
    <row r="261" spans="1:40" x14ac:dyDescent="0.25">
      <c r="A261" s="53"/>
      <c r="C261" s="54"/>
      <c r="F261" s="379"/>
      <c r="H261" s="449"/>
      <c r="I261" s="449"/>
      <c r="J261" s="472"/>
      <c r="K261" s="472"/>
      <c r="L261" s="379"/>
      <c r="M261" s="379"/>
      <c r="N261" s="50"/>
      <c r="O261" s="50"/>
      <c r="P261" s="379"/>
      <c r="Q261" s="379"/>
      <c r="R261" s="379"/>
      <c r="T261" s="54"/>
      <c r="V261" s="379"/>
      <c r="Y261" s="379"/>
      <c r="Z261" s="463"/>
      <c r="AA261" s="379"/>
      <c r="AB261" s="379"/>
      <c r="AC261" s="50"/>
      <c r="AD261" s="50"/>
      <c r="AE261" s="379"/>
      <c r="AF261" s="379"/>
      <c r="AG261" s="156"/>
      <c r="AH261" s="60"/>
      <c r="AI261" s="379"/>
      <c r="AJ261" s="379"/>
      <c r="AK261" s="156"/>
      <c r="AL261" s="379"/>
      <c r="AM261" s="50"/>
      <c r="AN261" s="50"/>
    </row>
    <row r="262" spans="1:40" x14ac:dyDescent="0.25">
      <c r="H262" s="381"/>
      <c r="I262" s="381"/>
      <c r="J262" s="464"/>
      <c r="K262" s="464"/>
      <c r="L262" s="381"/>
      <c r="M262" s="381"/>
      <c r="N262" s="381"/>
      <c r="O262" s="381"/>
      <c r="P262" s="381"/>
      <c r="Q262" s="381"/>
      <c r="R262" s="381"/>
      <c r="V262" s="381"/>
      <c r="Y262" s="381"/>
      <c r="Z262" s="464"/>
      <c r="AA262" s="381"/>
      <c r="AB262" s="381"/>
      <c r="AC262" s="381"/>
      <c r="AD262" s="381"/>
      <c r="AE262" s="381"/>
      <c r="AF262" s="381"/>
      <c r="AI262" s="381"/>
      <c r="AJ262" s="381"/>
      <c r="AK262" s="162"/>
      <c r="AL262" s="381"/>
      <c r="AM262" s="50"/>
      <c r="AN262" s="50"/>
    </row>
    <row r="263" spans="1:40" x14ac:dyDescent="0.25">
      <c r="F263" s="381"/>
    </row>
    <row r="264" spans="1:40" x14ac:dyDescent="0.25">
      <c r="A264" s="53"/>
      <c r="C264" s="54"/>
      <c r="F264" s="379"/>
      <c r="H264" s="379"/>
      <c r="I264" s="379"/>
      <c r="J264" s="464"/>
      <c r="K264" s="464"/>
      <c r="L264" s="379"/>
      <c r="M264" s="379"/>
      <c r="N264" s="50"/>
      <c r="O264" s="50"/>
      <c r="P264" s="379"/>
      <c r="Q264" s="379"/>
      <c r="R264" s="379"/>
      <c r="S264" s="379"/>
      <c r="T264" s="54"/>
      <c r="V264" s="379"/>
      <c r="Y264" s="379"/>
      <c r="Z264" s="464"/>
      <c r="AA264" s="379"/>
      <c r="AB264" s="379"/>
      <c r="AC264" s="50"/>
      <c r="AD264" s="50"/>
      <c r="AE264" s="379"/>
      <c r="AF264" s="379"/>
      <c r="AG264" s="156"/>
      <c r="AH264" s="50"/>
      <c r="AI264" s="379"/>
      <c r="AJ264" s="379"/>
      <c r="AK264" s="156"/>
      <c r="AL264" s="379"/>
      <c r="AM264" s="50"/>
      <c r="AN264" s="50"/>
    </row>
    <row r="265" spans="1:40" x14ac:dyDescent="0.25">
      <c r="F265" s="381"/>
      <c r="H265" s="381"/>
      <c r="I265" s="381"/>
      <c r="J265" s="464"/>
      <c r="K265" s="464"/>
      <c r="L265" s="381"/>
      <c r="M265" s="381"/>
      <c r="N265" s="381"/>
      <c r="O265" s="381"/>
      <c r="P265" s="381"/>
      <c r="Q265" s="381"/>
      <c r="R265" s="381"/>
      <c r="S265" s="379"/>
      <c r="V265" s="381"/>
      <c r="Y265" s="381"/>
      <c r="Z265" s="464"/>
      <c r="AA265" s="381"/>
      <c r="AB265" s="381"/>
      <c r="AC265" s="381"/>
      <c r="AD265" s="381"/>
      <c r="AE265" s="381"/>
      <c r="AF265" s="381"/>
      <c r="AI265" s="381"/>
      <c r="AJ265" s="381"/>
      <c r="AK265" s="162"/>
      <c r="AL265" s="381"/>
      <c r="AM265" s="50"/>
      <c r="AN265" s="50"/>
    </row>
    <row r="266" spans="1:40" x14ac:dyDescent="0.25">
      <c r="A266" s="53"/>
      <c r="C266" s="54"/>
      <c r="H266" s="449"/>
      <c r="I266" s="449"/>
      <c r="J266" s="464"/>
      <c r="K266" s="464"/>
      <c r="L266" s="379"/>
      <c r="M266" s="379"/>
      <c r="N266" s="50"/>
      <c r="O266" s="50"/>
      <c r="P266" s="379"/>
      <c r="Q266" s="379"/>
      <c r="R266" s="379"/>
      <c r="S266" s="379"/>
      <c r="T266" s="54"/>
      <c r="V266" s="449"/>
      <c r="Y266" s="449"/>
      <c r="Z266" s="464"/>
      <c r="AA266" s="379"/>
      <c r="AB266" s="379"/>
      <c r="AC266" s="50"/>
      <c r="AD266" s="50"/>
      <c r="AE266" s="379"/>
      <c r="AF266" s="379"/>
      <c r="AI266" s="379"/>
      <c r="AJ266" s="379"/>
      <c r="AK266" s="156"/>
      <c r="AL266" s="379"/>
      <c r="AM266" s="50"/>
      <c r="AN266" s="50"/>
    </row>
    <row r="267" spans="1:40" x14ac:dyDescent="0.25">
      <c r="F267" s="449"/>
    </row>
    <row r="268" spans="1:40" x14ac:dyDescent="0.25">
      <c r="A268" s="53"/>
      <c r="C268" s="54"/>
      <c r="F268" s="449"/>
      <c r="H268" s="449"/>
      <c r="I268" s="449"/>
      <c r="J268" s="461"/>
      <c r="K268" s="461"/>
      <c r="L268" s="379"/>
      <c r="M268" s="379"/>
      <c r="N268" s="50"/>
      <c r="O268" s="50"/>
      <c r="P268" s="53"/>
      <c r="Q268" s="53"/>
      <c r="R268" s="379"/>
      <c r="T268" s="54"/>
      <c r="V268" s="379"/>
      <c r="Y268" s="449"/>
      <c r="Z268" s="461"/>
      <c r="AA268" s="379"/>
      <c r="AB268" s="379"/>
      <c r="AC268" s="50"/>
      <c r="AD268" s="50"/>
      <c r="AE268" s="379"/>
      <c r="AF268" s="379"/>
      <c r="AG268" s="156"/>
      <c r="AH268" s="60"/>
      <c r="AI268" s="53"/>
      <c r="AJ268" s="53"/>
      <c r="AK268" s="156"/>
      <c r="AL268" s="379"/>
      <c r="AM268" s="50"/>
      <c r="AN268" s="50"/>
    </row>
    <row r="269" spans="1:40" x14ac:dyDescent="0.25">
      <c r="F269" s="381"/>
      <c r="H269" s="379"/>
      <c r="I269" s="379"/>
      <c r="J269" s="464"/>
      <c r="K269" s="464"/>
      <c r="L269" s="381"/>
      <c r="M269" s="381"/>
      <c r="N269" s="381"/>
      <c r="O269" s="381"/>
      <c r="P269" s="381"/>
      <c r="Q269" s="381"/>
      <c r="R269" s="381"/>
      <c r="V269" s="381"/>
      <c r="Y269" s="379"/>
      <c r="Z269" s="464"/>
      <c r="AA269" s="381"/>
      <c r="AB269" s="381"/>
      <c r="AC269" s="381"/>
      <c r="AD269" s="381"/>
      <c r="AE269" s="381"/>
      <c r="AF269" s="381"/>
      <c r="AI269" s="381"/>
      <c r="AJ269" s="381"/>
      <c r="AK269" s="162"/>
      <c r="AL269" s="381"/>
      <c r="AM269" s="50"/>
      <c r="AN269" s="50"/>
    </row>
    <row r="270" spans="1:40" x14ac:dyDescent="0.25">
      <c r="A270" s="53"/>
      <c r="C270" s="54"/>
      <c r="F270" s="449"/>
      <c r="H270" s="449"/>
      <c r="I270" s="449"/>
      <c r="J270" s="477"/>
      <c r="K270" s="477"/>
      <c r="L270" s="379"/>
      <c r="M270" s="379"/>
      <c r="N270" s="50"/>
      <c r="O270" s="50"/>
      <c r="P270" s="379"/>
      <c r="Q270" s="379"/>
      <c r="R270" s="379"/>
      <c r="S270" s="379"/>
      <c r="T270" s="54"/>
      <c r="V270" s="449"/>
      <c r="Y270" s="449"/>
      <c r="Z270" s="477"/>
      <c r="AA270" s="379"/>
      <c r="AB270" s="379"/>
      <c r="AC270" s="50"/>
      <c r="AD270" s="50"/>
      <c r="AE270" s="379"/>
      <c r="AF270" s="379"/>
      <c r="AG270" s="156"/>
      <c r="AH270" s="50"/>
      <c r="AI270" s="379"/>
      <c r="AJ270" s="379"/>
      <c r="AK270" s="156"/>
      <c r="AL270" s="379"/>
      <c r="AM270" s="50"/>
      <c r="AN270" s="50"/>
    </row>
    <row r="271" spans="1:40" x14ac:dyDescent="0.25">
      <c r="A271" s="53"/>
      <c r="C271" s="54"/>
      <c r="F271" s="449"/>
      <c r="H271" s="449"/>
      <c r="I271" s="449"/>
      <c r="J271" s="461"/>
      <c r="K271" s="461"/>
      <c r="L271" s="379"/>
      <c r="M271" s="379"/>
      <c r="N271" s="50"/>
      <c r="O271" s="50"/>
      <c r="P271" s="379"/>
      <c r="Q271" s="379"/>
      <c r="R271" s="379"/>
      <c r="T271" s="54"/>
      <c r="V271" s="449"/>
      <c r="Y271" s="379"/>
      <c r="Z271" s="461"/>
      <c r="AA271" s="379"/>
      <c r="AB271" s="379"/>
      <c r="AC271" s="50"/>
      <c r="AD271" s="50"/>
      <c r="AE271" s="379"/>
      <c r="AF271" s="379"/>
      <c r="AG271" s="156"/>
      <c r="AH271" s="60"/>
      <c r="AI271" s="379"/>
      <c r="AJ271" s="379"/>
      <c r="AK271" s="156"/>
      <c r="AL271" s="379"/>
      <c r="AM271" s="50"/>
      <c r="AN271" s="50"/>
    </row>
    <row r="272" spans="1:40" x14ac:dyDescent="0.25">
      <c r="A272" s="53"/>
      <c r="C272" s="54"/>
      <c r="F272" s="449"/>
      <c r="H272" s="449"/>
      <c r="I272" s="449"/>
      <c r="J272" s="461"/>
      <c r="K272" s="461"/>
      <c r="L272" s="379"/>
      <c r="M272" s="379"/>
      <c r="N272" s="50"/>
      <c r="O272" s="50"/>
      <c r="P272" s="379"/>
      <c r="Q272" s="379"/>
      <c r="R272" s="379"/>
      <c r="T272" s="54"/>
      <c r="V272" s="449"/>
      <c r="Y272" s="379"/>
      <c r="Z272" s="461"/>
      <c r="AA272" s="379"/>
      <c r="AB272" s="379"/>
      <c r="AC272" s="50"/>
      <c r="AD272" s="50"/>
      <c r="AE272" s="379"/>
      <c r="AF272" s="379"/>
      <c r="AG272" s="156"/>
      <c r="AH272" s="60"/>
      <c r="AI272" s="379"/>
      <c r="AJ272" s="379"/>
      <c r="AK272" s="156"/>
      <c r="AL272" s="379"/>
      <c r="AM272" s="50"/>
      <c r="AN272" s="50"/>
    </row>
    <row r="273" spans="1:40" x14ac:dyDescent="0.25">
      <c r="F273" s="381"/>
      <c r="H273" s="381"/>
      <c r="I273" s="381"/>
      <c r="J273" s="464"/>
      <c r="K273" s="464"/>
      <c r="L273" s="381"/>
      <c r="M273" s="381"/>
      <c r="N273" s="381"/>
      <c r="O273" s="381"/>
      <c r="P273" s="381"/>
      <c r="Q273" s="381"/>
      <c r="R273" s="381"/>
      <c r="V273" s="381"/>
      <c r="Y273" s="381"/>
      <c r="Z273" s="464"/>
      <c r="AA273" s="381"/>
      <c r="AB273" s="381"/>
      <c r="AC273" s="381"/>
      <c r="AD273" s="381"/>
      <c r="AE273" s="381"/>
      <c r="AF273" s="381"/>
      <c r="AI273" s="381"/>
      <c r="AJ273" s="381"/>
      <c r="AK273" s="162"/>
      <c r="AL273" s="381"/>
      <c r="AM273" s="50"/>
      <c r="AN273" s="50"/>
    </row>
    <row r="274" spans="1:40" x14ac:dyDescent="0.25">
      <c r="A274" s="53"/>
      <c r="C274" s="54"/>
      <c r="F274" s="379"/>
      <c r="H274" s="379"/>
      <c r="I274" s="379"/>
      <c r="J274" s="59"/>
      <c r="K274" s="59"/>
      <c r="L274" s="379"/>
      <c r="M274" s="379"/>
      <c r="N274" s="50"/>
      <c r="O274" s="50"/>
      <c r="P274" s="379"/>
      <c r="Q274" s="379"/>
      <c r="R274" s="379"/>
      <c r="T274" s="54"/>
      <c r="V274" s="379"/>
      <c r="Y274" s="379"/>
      <c r="Z274" s="59"/>
      <c r="AA274" s="379"/>
      <c r="AB274" s="379"/>
      <c r="AC274" s="50"/>
      <c r="AD274" s="50"/>
      <c r="AE274" s="379"/>
      <c r="AF274" s="379"/>
      <c r="AG274" s="156"/>
      <c r="AH274" s="60"/>
      <c r="AI274" s="379"/>
      <c r="AJ274" s="379"/>
      <c r="AK274" s="156"/>
      <c r="AL274" s="379"/>
      <c r="AM274" s="50"/>
      <c r="AN274" s="50"/>
    </row>
    <row r="275" spans="1:40" x14ac:dyDescent="0.25">
      <c r="F275" s="381"/>
      <c r="H275" s="381"/>
      <c r="I275" s="381"/>
      <c r="J275" s="464"/>
      <c r="K275" s="464"/>
      <c r="L275" s="381"/>
      <c r="M275" s="381"/>
      <c r="N275" s="381"/>
      <c r="O275" s="381"/>
      <c r="P275" s="381"/>
      <c r="Q275" s="381"/>
      <c r="R275" s="381"/>
      <c r="V275" s="381"/>
      <c r="Y275" s="381"/>
      <c r="Z275" s="464"/>
      <c r="AA275" s="381"/>
      <c r="AB275" s="381"/>
      <c r="AC275" s="381"/>
      <c r="AD275" s="381"/>
      <c r="AE275" s="381"/>
      <c r="AF275" s="381"/>
      <c r="AI275" s="381"/>
      <c r="AJ275" s="381"/>
      <c r="AK275" s="162"/>
      <c r="AL275" s="381"/>
      <c r="AM275" s="50"/>
      <c r="AN275" s="50"/>
    </row>
    <row r="276" spans="1:40" x14ac:dyDescent="0.25">
      <c r="A276" s="53"/>
      <c r="C276" s="54"/>
      <c r="F276" s="379"/>
      <c r="H276" s="379"/>
      <c r="I276" s="379"/>
      <c r="J276" s="59"/>
      <c r="K276" s="59"/>
      <c r="L276" s="379"/>
      <c r="M276" s="379"/>
      <c r="N276" s="50"/>
      <c r="O276" s="50"/>
      <c r="P276" s="379"/>
      <c r="Q276" s="379"/>
      <c r="R276" s="379"/>
      <c r="T276" s="54"/>
      <c r="V276" s="379"/>
      <c r="Y276" s="379"/>
      <c r="Z276" s="59"/>
      <c r="AA276" s="379"/>
      <c r="AB276" s="379"/>
      <c r="AC276" s="50"/>
      <c r="AD276" s="50"/>
      <c r="AE276" s="379"/>
      <c r="AF276" s="379"/>
      <c r="AG276" s="156"/>
      <c r="AH276" s="60"/>
      <c r="AI276" s="379"/>
      <c r="AJ276" s="379"/>
      <c r="AK276" s="156"/>
      <c r="AL276" s="379"/>
      <c r="AM276" s="50"/>
      <c r="AN276" s="50"/>
    </row>
    <row r="277" spans="1:40" x14ac:dyDescent="0.25">
      <c r="A277" s="53"/>
      <c r="C277" s="54"/>
      <c r="F277" s="379"/>
      <c r="H277" s="449"/>
      <c r="I277" s="449"/>
      <c r="J277" s="472"/>
      <c r="K277" s="472"/>
      <c r="L277" s="379"/>
      <c r="M277" s="379"/>
      <c r="N277" s="50"/>
      <c r="O277" s="50"/>
      <c r="P277" s="379"/>
      <c r="Q277" s="379"/>
      <c r="R277" s="379"/>
      <c r="T277" s="54"/>
      <c r="V277" s="379"/>
      <c r="Y277" s="379"/>
      <c r="Z277" s="463"/>
      <c r="AA277" s="379"/>
      <c r="AB277" s="379"/>
      <c r="AC277" s="50"/>
      <c r="AD277" s="50"/>
      <c r="AE277" s="379"/>
      <c r="AF277" s="379"/>
      <c r="AG277" s="156"/>
      <c r="AH277" s="60"/>
      <c r="AI277" s="379"/>
      <c r="AJ277" s="379"/>
      <c r="AK277" s="156"/>
      <c r="AL277" s="379"/>
      <c r="AM277" s="50"/>
      <c r="AN277" s="50"/>
    </row>
    <row r="278" spans="1:40" x14ac:dyDescent="0.25">
      <c r="H278" s="381"/>
      <c r="I278" s="381"/>
      <c r="J278" s="464"/>
      <c r="K278" s="464"/>
      <c r="L278" s="381"/>
      <c r="M278" s="381"/>
      <c r="N278" s="381"/>
      <c r="O278" s="381"/>
      <c r="P278" s="381"/>
      <c r="Q278" s="381"/>
      <c r="R278" s="381"/>
      <c r="V278" s="381"/>
      <c r="Y278" s="381"/>
      <c r="Z278" s="464"/>
      <c r="AA278" s="381"/>
      <c r="AB278" s="381"/>
      <c r="AC278" s="381"/>
      <c r="AD278" s="381"/>
      <c r="AE278" s="381"/>
      <c r="AF278" s="381"/>
      <c r="AI278" s="381"/>
      <c r="AJ278" s="381"/>
      <c r="AK278" s="162"/>
      <c r="AL278" s="381"/>
      <c r="AM278" s="50"/>
      <c r="AN278" s="50"/>
    </row>
    <row r="279" spans="1:40" x14ac:dyDescent="0.25">
      <c r="F279" s="381"/>
    </row>
    <row r="280" spans="1:40" x14ac:dyDescent="0.25">
      <c r="A280" s="53"/>
      <c r="C280" s="54"/>
      <c r="F280" s="379"/>
      <c r="H280" s="379"/>
      <c r="I280" s="379"/>
      <c r="J280" s="464"/>
      <c r="K280" s="464"/>
      <c r="L280" s="379"/>
      <c r="M280" s="379"/>
      <c r="N280" s="50"/>
      <c r="O280" s="50"/>
      <c r="P280" s="379"/>
      <c r="Q280" s="379"/>
      <c r="R280" s="379"/>
      <c r="S280" s="379"/>
      <c r="T280" s="54"/>
      <c r="V280" s="379"/>
      <c r="Y280" s="379"/>
      <c r="Z280" s="464"/>
      <c r="AA280" s="379"/>
      <c r="AB280" s="379"/>
      <c r="AC280" s="50"/>
      <c r="AD280" s="50"/>
      <c r="AE280" s="379"/>
      <c r="AF280" s="379"/>
      <c r="AG280" s="156"/>
      <c r="AH280" s="50"/>
      <c r="AI280" s="379"/>
      <c r="AJ280" s="379"/>
      <c r="AK280" s="156"/>
      <c r="AL280" s="379"/>
      <c r="AM280" s="50"/>
      <c r="AN280" s="50"/>
    </row>
    <row r="281" spans="1:40" x14ac:dyDescent="0.25">
      <c r="F281" s="381"/>
      <c r="H281" s="381"/>
      <c r="I281" s="381"/>
      <c r="J281" s="464"/>
      <c r="K281" s="464"/>
      <c r="L281" s="381"/>
      <c r="M281" s="381"/>
      <c r="N281" s="381"/>
      <c r="O281" s="381"/>
      <c r="P281" s="381"/>
      <c r="Q281" s="381"/>
      <c r="R281" s="381"/>
      <c r="S281" s="379"/>
      <c r="V281" s="381"/>
      <c r="Y281" s="381"/>
      <c r="Z281" s="464"/>
      <c r="AA281" s="381"/>
      <c r="AB281" s="381"/>
      <c r="AC281" s="381"/>
      <c r="AD281" s="381"/>
      <c r="AE281" s="381"/>
      <c r="AF281" s="381"/>
      <c r="AI281" s="381"/>
      <c r="AJ281" s="381"/>
      <c r="AK281" s="162"/>
      <c r="AL281" s="381"/>
      <c r="AM281" s="50"/>
      <c r="AN281" s="50"/>
    </row>
    <row r="282" spans="1:40" x14ac:dyDescent="0.25">
      <c r="A282" s="53"/>
      <c r="C282" s="54"/>
      <c r="T282" s="54"/>
    </row>
    <row r="283" spans="1:40" x14ac:dyDescent="0.25">
      <c r="A283" s="53"/>
      <c r="C283" s="54"/>
      <c r="F283" s="379"/>
      <c r="H283" s="379"/>
      <c r="I283" s="379"/>
      <c r="L283" s="379"/>
      <c r="M283" s="379"/>
      <c r="N283" s="50"/>
      <c r="O283" s="50"/>
      <c r="P283" s="449"/>
      <c r="Q283" s="449"/>
      <c r="R283" s="379"/>
      <c r="T283" s="54"/>
      <c r="V283" s="379"/>
      <c r="Y283" s="379"/>
      <c r="AA283" s="379"/>
      <c r="AB283" s="379"/>
      <c r="AC283" s="50"/>
      <c r="AD283" s="50"/>
      <c r="AE283" s="379"/>
      <c r="AF283" s="379"/>
      <c r="AG283" s="156"/>
      <c r="AH283" s="50"/>
      <c r="AI283" s="449"/>
      <c r="AJ283" s="449"/>
      <c r="AK283" s="156"/>
      <c r="AL283" s="379"/>
      <c r="AM283" s="50"/>
      <c r="AN283" s="50"/>
    </row>
    <row r="284" spans="1:40" x14ac:dyDescent="0.25">
      <c r="H284" s="381"/>
      <c r="I284" s="381"/>
      <c r="J284" s="464"/>
      <c r="K284" s="464"/>
      <c r="L284" s="381"/>
      <c r="M284" s="381"/>
      <c r="N284" s="381"/>
      <c r="O284" s="381"/>
      <c r="P284" s="381"/>
      <c r="Q284" s="381"/>
      <c r="R284" s="381"/>
      <c r="V284" s="381"/>
      <c r="Y284" s="381"/>
      <c r="Z284" s="464"/>
      <c r="AA284" s="381"/>
      <c r="AB284" s="381"/>
      <c r="AC284" s="381"/>
      <c r="AD284" s="381"/>
      <c r="AE284" s="381"/>
      <c r="AF284" s="381"/>
      <c r="AI284" s="381"/>
      <c r="AJ284" s="381"/>
      <c r="AK284" s="162"/>
      <c r="AL284" s="381"/>
    </row>
    <row r="285" spans="1:40" x14ac:dyDescent="0.25">
      <c r="F285" s="381"/>
    </row>
    <row r="286" spans="1:40" x14ac:dyDescent="0.25">
      <c r="C286" s="54"/>
      <c r="L286" s="379"/>
      <c r="M286" s="379"/>
      <c r="N286" s="379"/>
      <c r="O286" s="379"/>
      <c r="P286" s="379"/>
      <c r="Q286" s="379"/>
      <c r="R286" s="379"/>
      <c r="S286" s="379"/>
      <c r="T286" s="54"/>
      <c r="AA286" s="379"/>
      <c r="AB286" s="379"/>
      <c r="AC286" s="379"/>
      <c r="AD286" s="379"/>
      <c r="AI286" s="379"/>
      <c r="AJ286" s="379"/>
      <c r="AK286" s="156"/>
      <c r="AL286" s="379"/>
    </row>
    <row r="287" spans="1:40" x14ac:dyDescent="0.25">
      <c r="A287" s="54"/>
    </row>
    <row r="288" spans="1:40" x14ac:dyDescent="0.25">
      <c r="J288" s="53"/>
      <c r="K288" s="53"/>
      <c r="Z288" s="53"/>
    </row>
    <row r="289" spans="1:40" x14ac:dyDescent="0.25">
      <c r="H289" s="54"/>
      <c r="I289" s="54"/>
      <c r="Y289" s="54"/>
    </row>
    <row r="290" spans="1:40" x14ac:dyDescent="0.25">
      <c r="J290" s="53"/>
      <c r="K290" s="53"/>
      <c r="Z290" s="53"/>
    </row>
    <row r="291" spans="1:40" x14ac:dyDescent="0.25">
      <c r="L291" s="54"/>
      <c r="M291" s="54"/>
      <c r="AA291" s="54"/>
      <c r="AB291" s="54"/>
    </row>
    <row r="292" spans="1:40" x14ac:dyDescent="0.25">
      <c r="A292" s="53"/>
      <c r="R292" s="54"/>
      <c r="AK292" s="161"/>
      <c r="AL292" s="54"/>
    </row>
    <row r="293" spans="1:40" x14ac:dyDescent="0.25">
      <c r="A293" s="53"/>
      <c r="R293" s="54"/>
      <c r="AK293" s="161"/>
      <c r="AL293" s="54"/>
    </row>
    <row r="294" spans="1:40" x14ac:dyDescent="0.25">
      <c r="A294" s="54"/>
      <c r="R294" s="54"/>
      <c r="AK294" s="161"/>
      <c r="AL294" s="54"/>
    </row>
    <row r="295" spans="1:40" x14ac:dyDescent="0.25">
      <c r="L295" s="54"/>
      <c r="M295" s="54"/>
      <c r="R295" s="53"/>
      <c r="AA295" s="54"/>
      <c r="AB295" s="54"/>
      <c r="AK295" s="156"/>
      <c r="AL295" s="53"/>
    </row>
    <row r="296" spans="1:40" x14ac:dyDescent="0.25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154"/>
      <c r="AH296" s="55"/>
      <c r="AI296" s="55"/>
      <c r="AJ296" s="55"/>
      <c r="AK296" s="154"/>
      <c r="AL296" s="55"/>
      <c r="AM296" s="55"/>
      <c r="AN296" s="55"/>
    </row>
    <row r="297" spans="1:40" x14ac:dyDescent="0.25">
      <c r="L297" s="56"/>
      <c r="M297" s="56"/>
      <c r="N297" s="56"/>
      <c r="O297" s="56"/>
      <c r="R297" s="56"/>
      <c r="AA297" s="56"/>
      <c r="AB297" s="56"/>
      <c r="AC297" s="56"/>
      <c r="AD297" s="56"/>
      <c r="AE297" s="56"/>
      <c r="AF297" s="56"/>
      <c r="AG297" s="155"/>
      <c r="AH297" s="56"/>
      <c r="AK297" s="155"/>
      <c r="AL297" s="56"/>
      <c r="AM297" s="56"/>
      <c r="AN297" s="56"/>
    </row>
    <row r="298" spans="1:40" x14ac:dyDescent="0.25">
      <c r="L298" s="56"/>
      <c r="M298" s="56"/>
      <c r="N298" s="56"/>
      <c r="O298" s="56"/>
      <c r="R298" s="56"/>
      <c r="Z298" s="56"/>
      <c r="AA298" s="56"/>
      <c r="AB298" s="56"/>
      <c r="AC298" s="56"/>
      <c r="AD298" s="56"/>
      <c r="AE298" s="56"/>
      <c r="AF298" s="56"/>
      <c r="AG298" s="155"/>
      <c r="AH298" s="56"/>
      <c r="AK298" s="155"/>
      <c r="AL298" s="56"/>
      <c r="AM298" s="56"/>
      <c r="AN298" s="56"/>
    </row>
    <row r="299" spans="1:40" x14ac:dyDescent="0.25">
      <c r="A299" s="56"/>
      <c r="C299" s="56"/>
      <c r="D299" s="56"/>
      <c r="E299" s="56"/>
      <c r="F299" s="56"/>
      <c r="J299" s="56"/>
      <c r="K299" s="56"/>
      <c r="L299" s="56"/>
      <c r="M299" s="56"/>
      <c r="N299" s="56"/>
      <c r="O299" s="56"/>
      <c r="P299" s="56"/>
      <c r="Q299" s="56"/>
      <c r="R299" s="56"/>
      <c r="T299" s="56"/>
      <c r="U299" s="56"/>
      <c r="V299" s="56"/>
      <c r="Z299" s="56"/>
      <c r="AA299" s="56"/>
      <c r="AB299" s="56"/>
      <c r="AC299" s="56"/>
      <c r="AD299" s="56"/>
      <c r="AE299" s="56"/>
      <c r="AF299" s="56"/>
      <c r="AG299" s="155"/>
      <c r="AH299" s="56"/>
      <c r="AI299" s="56"/>
      <c r="AJ299" s="56"/>
      <c r="AK299" s="155"/>
      <c r="AL299" s="56"/>
      <c r="AM299" s="56"/>
      <c r="AN299" s="56"/>
    </row>
    <row r="300" spans="1:40" x14ac:dyDescent="0.25">
      <c r="A300" s="56"/>
      <c r="C300" s="56"/>
      <c r="D300" s="56"/>
      <c r="E300" s="56"/>
      <c r="F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T300" s="56"/>
      <c r="U300" s="56"/>
      <c r="V300" s="56"/>
      <c r="Y300" s="56"/>
      <c r="Z300" s="56"/>
      <c r="AA300" s="56"/>
      <c r="AB300" s="56"/>
      <c r="AC300" s="56"/>
      <c r="AD300" s="56"/>
      <c r="AE300" s="56"/>
      <c r="AF300" s="56"/>
      <c r="AG300" s="155"/>
      <c r="AH300" s="56"/>
      <c r="AI300" s="56"/>
      <c r="AJ300" s="56"/>
      <c r="AK300" s="155"/>
      <c r="AL300" s="56"/>
      <c r="AM300" s="56"/>
      <c r="AN300" s="56"/>
    </row>
    <row r="301" spans="1:40" x14ac:dyDescent="0.25">
      <c r="C301" s="56"/>
      <c r="D301" s="56"/>
      <c r="E301" s="56"/>
      <c r="F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T301" s="56"/>
      <c r="U301" s="56"/>
      <c r="V301" s="56"/>
      <c r="Y301" s="56"/>
      <c r="Z301" s="56"/>
      <c r="AA301" s="56"/>
      <c r="AB301" s="56"/>
      <c r="AC301" s="56"/>
      <c r="AD301" s="56"/>
      <c r="AE301" s="56"/>
      <c r="AF301" s="56"/>
      <c r="AG301" s="155"/>
      <c r="AH301" s="56"/>
      <c r="AI301" s="56"/>
      <c r="AJ301" s="56"/>
      <c r="AK301" s="155"/>
      <c r="AL301" s="56"/>
      <c r="AM301" s="56"/>
      <c r="AN301" s="56"/>
    </row>
    <row r="302" spans="1:40" x14ac:dyDescent="0.25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154"/>
      <c r="AH302" s="55"/>
      <c r="AI302" s="55"/>
      <c r="AJ302" s="55"/>
      <c r="AK302" s="154"/>
      <c r="AL302" s="55"/>
      <c r="AM302" s="55"/>
      <c r="AN302" s="55"/>
    </row>
    <row r="303" spans="1:40" x14ac:dyDescent="0.25"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Y303" s="56"/>
      <c r="Z303" s="56"/>
      <c r="AA303" s="56"/>
      <c r="AB303" s="56"/>
      <c r="AC303" s="56"/>
      <c r="AD303" s="56"/>
      <c r="AE303" s="56"/>
      <c r="AF303" s="56"/>
      <c r="AG303" s="155"/>
      <c r="AH303" s="56"/>
      <c r="AI303" s="56"/>
      <c r="AJ303" s="56"/>
      <c r="AK303" s="155"/>
      <c r="AL303" s="56"/>
      <c r="AM303" s="56"/>
      <c r="AN303" s="56"/>
    </row>
    <row r="304" spans="1:40" x14ac:dyDescent="0.25">
      <c r="A304" s="53"/>
      <c r="C304" s="54"/>
      <c r="D304" s="54"/>
      <c r="E304" s="54"/>
      <c r="T304" s="54"/>
      <c r="U304" s="54"/>
    </row>
    <row r="305" spans="1:40" x14ac:dyDescent="0.25">
      <c r="D305" s="54"/>
      <c r="E305" s="54"/>
      <c r="U305" s="54"/>
    </row>
    <row r="307" spans="1:40" x14ac:dyDescent="0.25">
      <c r="A307" s="53"/>
      <c r="C307" s="54"/>
      <c r="T307" s="54"/>
    </row>
    <row r="308" spans="1:40" x14ac:dyDescent="0.25">
      <c r="A308" s="53"/>
      <c r="C308" s="54"/>
      <c r="F308" s="449"/>
      <c r="H308" s="449"/>
      <c r="I308" s="449"/>
      <c r="J308" s="221"/>
      <c r="K308" s="221"/>
      <c r="L308" s="379"/>
      <c r="M308" s="379"/>
      <c r="N308" s="50"/>
      <c r="O308" s="50"/>
      <c r="P308" s="379"/>
      <c r="Q308" s="379"/>
      <c r="R308" s="379"/>
      <c r="T308" s="54"/>
      <c r="V308" s="449"/>
      <c r="W308" s="379"/>
      <c r="X308" s="379"/>
      <c r="Y308" s="449"/>
      <c r="Z308" s="221"/>
      <c r="AA308" s="379"/>
      <c r="AB308" s="379"/>
      <c r="AC308" s="50"/>
      <c r="AD308" s="50"/>
      <c r="AE308" s="379"/>
      <c r="AF308" s="379"/>
      <c r="AG308" s="156"/>
      <c r="AH308" s="60"/>
      <c r="AI308" s="379"/>
      <c r="AJ308" s="379"/>
      <c r="AK308" s="156"/>
      <c r="AL308" s="379"/>
      <c r="AM308" s="50"/>
      <c r="AN308" s="50"/>
    </row>
    <row r="309" spans="1:40" x14ac:dyDescent="0.25">
      <c r="A309" s="53"/>
      <c r="C309" s="54"/>
      <c r="F309" s="379"/>
      <c r="H309" s="379"/>
      <c r="I309" s="379"/>
      <c r="J309" s="464"/>
      <c r="K309" s="464"/>
      <c r="L309" s="379"/>
      <c r="M309" s="379"/>
      <c r="N309" s="50"/>
      <c r="O309" s="50"/>
      <c r="P309" s="379"/>
      <c r="Q309" s="379"/>
      <c r="R309" s="379"/>
      <c r="T309" s="54"/>
      <c r="V309" s="449"/>
      <c r="W309" s="379"/>
      <c r="X309" s="379"/>
      <c r="Y309" s="449"/>
      <c r="Z309" s="464"/>
      <c r="AA309" s="379"/>
      <c r="AB309" s="379"/>
      <c r="AC309" s="50"/>
      <c r="AD309" s="50"/>
      <c r="AE309" s="379"/>
      <c r="AF309" s="379"/>
      <c r="AG309" s="156"/>
      <c r="AH309" s="60"/>
      <c r="AI309" s="379"/>
      <c r="AJ309" s="379"/>
      <c r="AK309" s="156"/>
      <c r="AL309" s="379"/>
      <c r="AM309" s="50"/>
      <c r="AN309" s="50"/>
    </row>
    <row r="310" spans="1:40" x14ac:dyDescent="0.25">
      <c r="A310" s="53"/>
      <c r="C310" s="54"/>
      <c r="F310" s="449"/>
      <c r="H310" s="449"/>
      <c r="I310" s="449"/>
      <c r="J310" s="221"/>
      <c r="K310" s="221"/>
      <c r="L310" s="379"/>
      <c r="M310" s="379"/>
      <c r="N310" s="50"/>
      <c r="O310" s="50"/>
      <c r="P310" s="379"/>
      <c r="Q310" s="379"/>
      <c r="R310" s="379"/>
      <c r="T310" s="54"/>
      <c r="V310" s="449"/>
      <c r="W310" s="379"/>
      <c r="X310" s="379"/>
      <c r="Y310" s="449"/>
      <c r="Z310" s="221"/>
      <c r="AA310" s="379"/>
      <c r="AB310" s="379"/>
      <c r="AC310" s="50"/>
      <c r="AD310" s="50"/>
      <c r="AE310" s="379"/>
      <c r="AF310" s="379"/>
      <c r="AG310" s="156"/>
      <c r="AH310" s="60"/>
      <c r="AI310" s="379"/>
      <c r="AJ310" s="379"/>
      <c r="AK310" s="156"/>
      <c r="AL310" s="379"/>
      <c r="AM310" s="50"/>
      <c r="AN310" s="50"/>
    </row>
    <row r="311" spans="1:40" x14ac:dyDescent="0.25">
      <c r="A311" s="53"/>
      <c r="C311" s="54"/>
      <c r="F311" s="449"/>
      <c r="H311" s="449"/>
      <c r="I311" s="449"/>
      <c r="J311" s="221"/>
      <c r="K311" s="221"/>
      <c r="L311" s="379"/>
      <c r="M311" s="379"/>
      <c r="N311" s="50"/>
      <c r="O311" s="50"/>
      <c r="P311" s="379"/>
      <c r="Q311" s="379"/>
      <c r="R311" s="379"/>
      <c r="T311" s="54"/>
      <c r="V311" s="449"/>
      <c r="W311" s="379"/>
      <c r="X311" s="379"/>
      <c r="Y311" s="449"/>
      <c r="Z311" s="221"/>
      <c r="AA311" s="379"/>
      <c r="AB311" s="379"/>
      <c r="AC311" s="50"/>
      <c r="AD311" s="50"/>
      <c r="AE311" s="379"/>
      <c r="AF311" s="379"/>
      <c r="AG311" s="156"/>
      <c r="AH311" s="60"/>
      <c r="AI311" s="379"/>
      <c r="AJ311" s="379"/>
      <c r="AK311" s="156"/>
      <c r="AL311" s="379"/>
      <c r="AM311" s="50"/>
      <c r="AN311" s="50"/>
    </row>
    <row r="312" spans="1:40" x14ac:dyDescent="0.25">
      <c r="A312" s="53"/>
      <c r="C312" s="54"/>
      <c r="F312" s="449"/>
      <c r="H312" s="449"/>
      <c r="I312" s="449"/>
      <c r="J312" s="221"/>
      <c r="K312" s="221"/>
      <c r="L312" s="379"/>
      <c r="M312" s="379"/>
      <c r="N312" s="50"/>
      <c r="O312" s="50"/>
      <c r="P312" s="379"/>
      <c r="Q312" s="379"/>
      <c r="R312" s="379"/>
      <c r="T312" s="54"/>
      <c r="V312" s="449"/>
      <c r="W312" s="379"/>
      <c r="X312" s="379"/>
      <c r="Y312" s="449"/>
      <c r="Z312" s="221"/>
      <c r="AA312" s="379"/>
      <c r="AB312" s="379"/>
      <c r="AC312" s="50"/>
      <c r="AD312" s="50"/>
      <c r="AE312" s="379"/>
      <c r="AF312" s="379"/>
      <c r="AG312" s="156"/>
      <c r="AH312" s="60"/>
      <c r="AI312" s="379"/>
      <c r="AJ312" s="379"/>
      <c r="AK312" s="156"/>
      <c r="AL312" s="379"/>
      <c r="AM312" s="50"/>
      <c r="AN312" s="50"/>
    </row>
    <row r="313" spans="1:40" x14ac:dyDescent="0.25">
      <c r="A313" s="53"/>
      <c r="C313" s="54"/>
      <c r="F313" s="379"/>
      <c r="H313" s="379"/>
      <c r="I313" s="379"/>
      <c r="J313" s="221"/>
      <c r="K313" s="221"/>
      <c r="L313" s="379"/>
      <c r="M313" s="379"/>
      <c r="N313" s="50"/>
      <c r="O313" s="50"/>
      <c r="P313" s="379"/>
      <c r="Q313" s="379"/>
      <c r="R313" s="379"/>
      <c r="T313" s="54"/>
      <c r="V313" s="449"/>
      <c r="W313" s="379"/>
      <c r="X313" s="379"/>
      <c r="Y313" s="449"/>
      <c r="Z313" s="221"/>
      <c r="AA313" s="379"/>
      <c r="AB313" s="379"/>
      <c r="AC313" s="50"/>
      <c r="AD313" s="50"/>
      <c r="AE313" s="379"/>
      <c r="AF313" s="379"/>
      <c r="AG313" s="156"/>
      <c r="AH313" s="60"/>
      <c r="AI313" s="379"/>
      <c r="AJ313" s="379"/>
      <c r="AK313" s="156"/>
      <c r="AL313" s="379"/>
      <c r="AM313" s="50"/>
      <c r="AN313" s="50"/>
    </row>
    <row r="314" spans="1:40" x14ac:dyDescent="0.25">
      <c r="A314" s="53"/>
      <c r="C314" s="54"/>
      <c r="F314" s="379"/>
      <c r="H314" s="379"/>
      <c r="I314" s="379"/>
      <c r="J314" s="221"/>
      <c r="K314" s="221"/>
      <c r="L314" s="379"/>
      <c r="M314" s="379"/>
      <c r="N314" s="50"/>
      <c r="O314" s="50"/>
      <c r="P314" s="379"/>
      <c r="Q314" s="379"/>
      <c r="R314" s="379"/>
      <c r="T314" s="54"/>
      <c r="V314" s="449"/>
      <c r="W314" s="379"/>
      <c r="X314" s="379"/>
      <c r="Y314" s="449"/>
      <c r="Z314" s="221"/>
      <c r="AA314" s="379"/>
      <c r="AB314" s="379"/>
      <c r="AC314" s="50"/>
      <c r="AD314" s="50"/>
      <c r="AE314" s="379"/>
      <c r="AF314" s="379"/>
      <c r="AG314" s="156"/>
      <c r="AH314" s="60"/>
      <c r="AI314" s="379"/>
      <c r="AJ314" s="379"/>
      <c r="AK314" s="156"/>
      <c r="AL314" s="379"/>
      <c r="AM314" s="50"/>
      <c r="AN314" s="50"/>
    </row>
    <row r="315" spans="1:40" x14ac:dyDescent="0.25">
      <c r="F315" s="63"/>
      <c r="H315" s="479"/>
      <c r="I315" s="479"/>
      <c r="J315" s="221"/>
      <c r="K315" s="221"/>
      <c r="L315" s="63"/>
      <c r="M315" s="63"/>
      <c r="N315" s="381"/>
      <c r="O315" s="381"/>
      <c r="P315" s="63"/>
      <c r="Q315" s="63"/>
      <c r="R315" s="63"/>
      <c r="V315" s="63"/>
      <c r="W315" s="379"/>
      <c r="X315" s="379"/>
      <c r="Y315" s="63"/>
      <c r="Z315" s="221"/>
      <c r="AA315" s="63"/>
      <c r="AB315" s="63"/>
      <c r="AC315" s="64"/>
      <c r="AD315" s="64"/>
      <c r="AE315" s="63"/>
      <c r="AF315" s="63"/>
      <c r="AG315" s="156"/>
      <c r="AH315" s="60"/>
      <c r="AI315" s="63"/>
      <c r="AJ315" s="63"/>
      <c r="AK315" s="154"/>
      <c r="AL315" s="63"/>
      <c r="AM315" s="50"/>
      <c r="AN315" s="50"/>
    </row>
    <row r="316" spans="1:40" x14ac:dyDescent="0.25">
      <c r="A316" s="53"/>
      <c r="C316" s="54"/>
      <c r="F316" s="379"/>
      <c r="H316" s="379"/>
      <c r="I316" s="379"/>
      <c r="J316" s="221"/>
      <c r="K316" s="221"/>
      <c r="L316" s="379"/>
      <c r="M316" s="379"/>
      <c r="N316" s="60"/>
      <c r="O316" s="60"/>
      <c r="P316" s="379"/>
      <c r="Q316" s="379"/>
      <c r="R316" s="379"/>
      <c r="T316" s="56"/>
      <c r="V316" s="379"/>
      <c r="W316" s="379"/>
      <c r="X316" s="379"/>
      <c r="Y316" s="379"/>
      <c r="Z316" s="221"/>
      <c r="AA316" s="379"/>
      <c r="AB316" s="379"/>
      <c r="AC316" s="60"/>
      <c r="AD316" s="60"/>
      <c r="AE316" s="379"/>
      <c r="AF316" s="379"/>
      <c r="AG316" s="156"/>
      <c r="AH316" s="60"/>
      <c r="AI316" s="379"/>
      <c r="AJ316" s="379"/>
      <c r="AK316" s="156"/>
      <c r="AL316" s="379"/>
      <c r="AM316" s="50"/>
      <c r="AN316" s="50"/>
    </row>
    <row r="317" spans="1:40" x14ac:dyDescent="0.25">
      <c r="F317" s="55"/>
      <c r="H317" s="55"/>
      <c r="I317" s="55"/>
      <c r="L317" s="55"/>
      <c r="M317" s="55"/>
      <c r="N317" s="64"/>
      <c r="O317" s="64"/>
      <c r="P317" s="63"/>
      <c r="Q317" s="63"/>
      <c r="R317" s="63"/>
      <c r="V317" s="63"/>
      <c r="Y317" s="63"/>
      <c r="Z317" s="464"/>
      <c r="AA317" s="63"/>
      <c r="AB317" s="63"/>
      <c r="AC317" s="63"/>
      <c r="AD317" s="63"/>
      <c r="AE317" s="63"/>
      <c r="AF317" s="63"/>
      <c r="AI317" s="63"/>
      <c r="AJ317" s="63"/>
      <c r="AK317" s="154"/>
      <c r="AL317" s="63"/>
      <c r="AM317" s="64"/>
      <c r="AN317" s="64"/>
    </row>
    <row r="318" spans="1:40" x14ac:dyDescent="0.25">
      <c r="AI318" s="53"/>
      <c r="AJ318" s="53"/>
    </row>
    <row r="322" spans="1:40" x14ac:dyDescent="0.25">
      <c r="N322" s="379"/>
      <c r="O322" s="379"/>
      <c r="P322" s="379"/>
      <c r="Q322" s="379"/>
      <c r="R322" s="379"/>
      <c r="V322" s="379"/>
      <c r="Y322" s="379"/>
      <c r="Z322" s="59"/>
      <c r="AA322" s="379"/>
      <c r="AB322" s="379"/>
      <c r="AC322" s="50"/>
      <c r="AD322" s="50"/>
      <c r="AE322" s="379"/>
      <c r="AF322" s="379"/>
      <c r="AG322" s="156"/>
      <c r="AH322" s="60"/>
      <c r="AI322" s="379"/>
      <c r="AJ322" s="379"/>
      <c r="AK322" s="156"/>
      <c r="AL322" s="379"/>
      <c r="AM322" s="50"/>
      <c r="AN322" s="50"/>
    </row>
    <row r="323" spans="1:40" x14ac:dyDescent="0.25">
      <c r="A323" s="53"/>
      <c r="C323" s="54"/>
      <c r="D323" s="54"/>
      <c r="E323" s="54"/>
      <c r="J323" s="65"/>
      <c r="K323" s="65"/>
      <c r="T323" s="54"/>
      <c r="U323" s="54"/>
      <c r="Z323" s="65"/>
      <c r="AE323" s="379"/>
      <c r="AF323" s="379"/>
      <c r="AI323" s="379"/>
      <c r="AJ323" s="379"/>
      <c r="AK323" s="156"/>
      <c r="AL323" s="379"/>
      <c r="AM323" s="50"/>
      <c r="AN323" s="50"/>
    </row>
    <row r="324" spans="1:40" x14ac:dyDescent="0.25">
      <c r="D324" s="54"/>
      <c r="E324" s="54"/>
      <c r="F324" s="379"/>
      <c r="H324" s="379"/>
      <c r="I324" s="379"/>
      <c r="J324" s="221"/>
      <c r="K324" s="221"/>
      <c r="L324" s="379"/>
      <c r="M324" s="379"/>
      <c r="N324" s="50"/>
      <c r="O324" s="50"/>
      <c r="P324" s="379"/>
      <c r="Q324" s="379"/>
      <c r="R324" s="379"/>
      <c r="U324" s="54"/>
      <c r="V324" s="379"/>
      <c r="Y324" s="379"/>
      <c r="Z324" s="221"/>
      <c r="AA324" s="379"/>
      <c r="AB324" s="379"/>
      <c r="AC324" s="50"/>
      <c r="AD324" s="50"/>
      <c r="AE324" s="379"/>
      <c r="AF324" s="379"/>
      <c r="AG324" s="156"/>
      <c r="AH324" s="60"/>
      <c r="AI324" s="379"/>
      <c r="AJ324" s="379"/>
      <c r="AK324" s="156"/>
      <c r="AL324" s="379"/>
      <c r="AM324" s="50"/>
      <c r="AN324" s="50"/>
    </row>
    <row r="325" spans="1:40" x14ac:dyDescent="0.25">
      <c r="F325" s="379"/>
      <c r="H325" s="379"/>
      <c r="I325" s="379"/>
      <c r="J325" s="464"/>
      <c r="K325" s="464"/>
      <c r="L325" s="379"/>
      <c r="M325" s="379"/>
      <c r="N325" s="379"/>
      <c r="O325" s="379"/>
      <c r="P325" s="379"/>
      <c r="Q325" s="379"/>
      <c r="R325" s="379"/>
      <c r="V325" s="379"/>
      <c r="Y325" s="379"/>
      <c r="Z325" s="464"/>
      <c r="AA325" s="379"/>
      <c r="AB325" s="379"/>
      <c r="AC325" s="379"/>
      <c r="AD325" s="379"/>
      <c r="AE325" s="379"/>
      <c r="AF325" s="379"/>
      <c r="AG325" s="156"/>
      <c r="AH325" s="60"/>
      <c r="AI325" s="449"/>
      <c r="AJ325" s="449"/>
      <c r="AK325" s="156"/>
      <c r="AL325" s="379"/>
      <c r="AM325" s="50"/>
      <c r="AN325" s="50"/>
    </row>
    <row r="326" spans="1:40" x14ac:dyDescent="0.25">
      <c r="A326" s="53"/>
      <c r="C326" s="54"/>
      <c r="F326" s="449"/>
      <c r="H326" s="449"/>
      <c r="I326" s="449"/>
      <c r="J326" s="463"/>
      <c r="K326" s="463"/>
      <c r="L326" s="379"/>
      <c r="M326" s="379"/>
      <c r="N326" s="50"/>
      <c r="O326" s="50"/>
      <c r="P326" s="379"/>
      <c r="Q326" s="379"/>
      <c r="R326" s="379"/>
      <c r="T326" s="54"/>
      <c r="V326" s="449"/>
      <c r="Y326" s="449"/>
      <c r="Z326" s="463"/>
      <c r="AA326" s="379"/>
      <c r="AB326" s="379"/>
      <c r="AC326" s="50"/>
      <c r="AD326" s="50"/>
      <c r="AE326" s="379"/>
      <c r="AF326" s="379"/>
      <c r="AG326" s="156"/>
      <c r="AH326" s="60"/>
      <c r="AI326" s="379"/>
      <c r="AJ326" s="379"/>
      <c r="AK326" s="156"/>
      <c r="AL326" s="379"/>
      <c r="AM326" s="50"/>
      <c r="AN326" s="50"/>
    </row>
    <row r="327" spans="1:40" x14ac:dyDescent="0.25">
      <c r="F327" s="55"/>
      <c r="H327" s="55"/>
      <c r="I327" s="55"/>
      <c r="L327" s="55"/>
      <c r="M327" s="55"/>
      <c r="N327" s="55"/>
      <c r="O327" s="55"/>
      <c r="P327" s="55"/>
      <c r="Q327" s="55"/>
      <c r="R327" s="55"/>
      <c r="V327" s="55"/>
      <c r="Y327" s="55"/>
      <c r="AA327" s="55"/>
      <c r="AB327" s="55"/>
      <c r="AC327" s="55"/>
      <c r="AD327" s="55"/>
      <c r="AE327" s="55"/>
      <c r="AF327" s="55"/>
      <c r="AG327" s="154"/>
      <c r="AH327" s="55"/>
      <c r="AI327" s="55"/>
      <c r="AJ327" s="55"/>
      <c r="AK327" s="154"/>
      <c r="AL327" s="55"/>
      <c r="AM327" s="55"/>
      <c r="AN327" s="55"/>
    </row>
    <row r="328" spans="1:40" x14ac:dyDescent="0.25">
      <c r="A328" s="53"/>
      <c r="C328" s="56"/>
      <c r="F328" s="449"/>
      <c r="H328" s="449"/>
      <c r="I328" s="449"/>
      <c r="J328" s="461"/>
      <c r="K328" s="461"/>
      <c r="L328" s="449"/>
      <c r="M328" s="449"/>
      <c r="N328" s="50"/>
      <c r="O328" s="50"/>
      <c r="P328" s="449"/>
      <c r="Q328" s="449"/>
      <c r="R328" s="449"/>
      <c r="T328" s="56"/>
      <c r="V328" s="379"/>
      <c r="Y328" s="379"/>
      <c r="Z328" s="59"/>
      <c r="AA328" s="379"/>
      <c r="AB328" s="379"/>
      <c r="AC328" s="50"/>
      <c r="AD328" s="50"/>
      <c r="AE328" s="53"/>
      <c r="AF328" s="53"/>
      <c r="AG328" s="156"/>
      <c r="AH328" s="60"/>
      <c r="AI328" s="379"/>
      <c r="AJ328" s="379"/>
      <c r="AK328" s="156"/>
      <c r="AL328" s="379"/>
      <c r="AM328" s="50"/>
      <c r="AN328" s="50"/>
    </row>
    <row r="329" spans="1:40" x14ac:dyDescent="0.25">
      <c r="F329" s="63"/>
      <c r="H329" s="63"/>
      <c r="I329" s="63"/>
      <c r="J329" s="464"/>
      <c r="K329" s="464"/>
      <c r="L329" s="63"/>
      <c r="M329" s="63"/>
      <c r="N329" s="63"/>
      <c r="O329" s="63"/>
      <c r="P329" s="63"/>
      <c r="Q329" s="63"/>
      <c r="R329" s="63"/>
      <c r="V329" s="55"/>
      <c r="Y329" s="55"/>
      <c r="AA329" s="55"/>
      <c r="AB329" s="55"/>
      <c r="AC329" s="55"/>
      <c r="AD329" s="55"/>
      <c r="AE329" s="55"/>
      <c r="AF329" s="55"/>
      <c r="AG329" s="154"/>
      <c r="AH329" s="55"/>
      <c r="AI329" s="55"/>
      <c r="AJ329" s="55"/>
      <c r="AK329" s="154"/>
      <c r="AL329" s="55"/>
      <c r="AM329" s="55"/>
      <c r="AN329" s="55"/>
    </row>
    <row r="330" spans="1:40" x14ac:dyDescent="0.25">
      <c r="F330" s="449"/>
      <c r="H330" s="449"/>
      <c r="I330" s="449"/>
      <c r="J330" s="477"/>
      <c r="K330" s="477"/>
      <c r="L330" s="379"/>
      <c r="M330" s="379"/>
      <c r="N330" s="50"/>
      <c r="O330" s="50"/>
      <c r="P330" s="379"/>
      <c r="Q330" s="379"/>
      <c r="R330" s="379"/>
    </row>
    <row r="331" spans="1:40" x14ac:dyDescent="0.25">
      <c r="A331" s="54"/>
      <c r="F331" s="449"/>
      <c r="H331" s="449"/>
      <c r="I331" s="449"/>
      <c r="J331" s="461"/>
      <c r="K331" s="461"/>
      <c r="L331" s="379"/>
      <c r="M331" s="379"/>
      <c r="N331" s="50"/>
      <c r="O331" s="50"/>
      <c r="P331" s="379"/>
      <c r="Q331" s="379"/>
      <c r="R331" s="379"/>
    </row>
    <row r="332" spans="1:40" x14ac:dyDescent="0.25">
      <c r="F332" s="449"/>
      <c r="H332" s="449"/>
      <c r="I332" s="449"/>
      <c r="J332" s="461"/>
      <c r="K332" s="461"/>
      <c r="L332" s="379"/>
      <c r="M332" s="379"/>
      <c r="N332" s="50"/>
      <c r="O332" s="50"/>
      <c r="P332" s="379"/>
      <c r="Q332" s="379"/>
      <c r="R332" s="379"/>
    </row>
    <row r="333" spans="1:40" x14ac:dyDescent="0.25">
      <c r="A333" s="54"/>
    </row>
    <row r="335" spans="1:40" x14ac:dyDescent="0.25">
      <c r="J335" s="53"/>
      <c r="K335" s="53"/>
      <c r="Z335" s="53"/>
    </row>
    <row r="336" spans="1:40" x14ac:dyDescent="0.25">
      <c r="H336" s="54"/>
      <c r="I336" s="54"/>
      <c r="Y336" s="54"/>
    </row>
    <row r="337" spans="1:40" x14ac:dyDescent="0.25">
      <c r="J337" s="53"/>
      <c r="K337" s="53"/>
      <c r="Z337" s="53"/>
    </row>
    <row r="338" spans="1:40" x14ac:dyDescent="0.25">
      <c r="L338" s="54"/>
      <c r="M338" s="54"/>
      <c r="AA338" s="54"/>
      <c r="AB338" s="54"/>
    </row>
    <row r="339" spans="1:40" x14ac:dyDescent="0.25">
      <c r="A339" s="53"/>
      <c r="R339" s="54"/>
      <c r="AK339" s="161"/>
      <c r="AL339" s="54"/>
    </row>
    <row r="340" spans="1:40" x14ac:dyDescent="0.25">
      <c r="A340" s="53"/>
      <c r="R340" s="54"/>
      <c r="AK340" s="161"/>
      <c r="AL340" s="54"/>
    </row>
    <row r="341" spans="1:40" x14ac:dyDescent="0.25">
      <c r="A341" s="54"/>
      <c r="R341" s="54"/>
      <c r="AK341" s="161"/>
      <c r="AL341" s="54"/>
    </row>
    <row r="342" spans="1:40" x14ac:dyDescent="0.25">
      <c r="L342" s="54"/>
      <c r="M342" s="54"/>
      <c r="R342" s="53"/>
      <c r="AA342" s="54"/>
      <c r="AB342" s="54"/>
      <c r="AK342" s="156"/>
      <c r="AL342" s="53"/>
    </row>
    <row r="343" spans="1:40" x14ac:dyDescent="0.25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154"/>
      <c r="AH343" s="55"/>
      <c r="AI343" s="55"/>
      <c r="AJ343" s="55"/>
      <c r="AK343" s="154"/>
      <c r="AL343" s="55"/>
      <c r="AM343" s="55"/>
      <c r="AN343" s="55"/>
    </row>
    <row r="344" spans="1:40" x14ac:dyDescent="0.25">
      <c r="L344" s="56"/>
      <c r="M344" s="56"/>
      <c r="N344" s="56"/>
      <c r="O344" s="56"/>
      <c r="R344" s="56"/>
      <c r="AA344" s="56"/>
      <c r="AB344" s="56"/>
      <c r="AC344" s="56"/>
      <c r="AD344" s="56"/>
      <c r="AE344" s="56"/>
      <c r="AF344" s="56"/>
      <c r="AG344" s="155"/>
      <c r="AH344" s="56"/>
      <c r="AK344" s="155"/>
      <c r="AL344" s="56"/>
      <c r="AM344" s="56"/>
      <c r="AN344" s="56"/>
    </row>
    <row r="345" spans="1:40" x14ac:dyDescent="0.25">
      <c r="L345" s="56"/>
      <c r="M345" s="56"/>
      <c r="N345" s="56"/>
      <c r="O345" s="56"/>
      <c r="R345" s="56"/>
      <c r="Z345" s="56"/>
      <c r="AA345" s="56"/>
      <c r="AB345" s="56"/>
      <c r="AC345" s="56"/>
      <c r="AD345" s="56"/>
      <c r="AE345" s="56"/>
      <c r="AF345" s="56"/>
      <c r="AG345" s="155"/>
      <c r="AH345" s="56"/>
      <c r="AK345" s="155"/>
      <c r="AL345" s="56"/>
      <c r="AM345" s="56"/>
      <c r="AN345" s="56"/>
    </row>
    <row r="346" spans="1:40" x14ac:dyDescent="0.25">
      <c r="A346" s="56"/>
      <c r="C346" s="56"/>
      <c r="D346" s="56"/>
      <c r="E346" s="56"/>
      <c r="F346" s="56"/>
      <c r="J346" s="56"/>
      <c r="K346" s="56"/>
      <c r="L346" s="56"/>
      <c r="M346" s="56"/>
      <c r="N346" s="56"/>
      <c r="O346" s="56"/>
      <c r="P346" s="56"/>
      <c r="Q346" s="56"/>
      <c r="R346" s="56"/>
      <c r="T346" s="56"/>
      <c r="U346" s="56"/>
      <c r="V346" s="56"/>
      <c r="Z346" s="56"/>
      <c r="AA346" s="56"/>
      <c r="AB346" s="56"/>
      <c r="AC346" s="56"/>
      <c r="AD346" s="56"/>
      <c r="AE346" s="56"/>
      <c r="AF346" s="56"/>
      <c r="AG346" s="155"/>
      <c r="AH346" s="56"/>
      <c r="AI346" s="56"/>
      <c r="AJ346" s="56"/>
      <c r="AK346" s="155"/>
      <c r="AL346" s="56"/>
      <c r="AM346" s="56"/>
      <c r="AN346" s="56"/>
    </row>
    <row r="347" spans="1:40" x14ac:dyDescent="0.25">
      <c r="A347" s="56"/>
      <c r="C347" s="56"/>
      <c r="D347" s="56"/>
      <c r="E347" s="56"/>
      <c r="F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T347" s="56"/>
      <c r="U347" s="56"/>
      <c r="V347" s="56"/>
      <c r="Y347" s="56"/>
      <c r="Z347" s="56"/>
      <c r="AA347" s="56"/>
      <c r="AB347" s="56"/>
      <c r="AC347" s="56"/>
      <c r="AD347" s="56"/>
      <c r="AE347" s="56"/>
      <c r="AF347" s="56"/>
      <c r="AG347" s="155"/>
      <c r="AH347" s="56"/>
      <c r="AI347" s="56"/>
      <c r="AJ347" s="56"/>
      <c r="AK347" s="155"/>
      <c r="AL347" s="56"/>
      <c r="AM347" s="56"/>
      <c r="AN347" s="56"/>
    </row>
    <row r="348" spans="1:40" x14ac:dyDescent="0.25">
      <c r="C348" s="56"/>
      <c r="D348" s="56"/>
      <c r="E348" s="56"/>
      <c r="F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T348" s="56"/>
      <c r="U348" s="56"/>
      <c r="V348" s="56"/>
      <c r="Y348" s="56"/>
      <c r="Z348" s="56"/>
      <c r="AA348" s="56"/>
      <c r="AB348" s="56"/>
      <c r="AC348" s="56"/>
      <c r="AD348" s="56"/>
      <c r="AE348" s="56"/>
      <c r="AF348" s="56"/>
      <c r="AG348" s="155"/>
      <c r="AH348" s="56"/>
      <c r="AI348" s="56"/>
      <c r="AJ348" s="56"/>
      <c r="AK348" s="155"/>
      <c r="AL348" s="56"/>
      <c r="AM348" s="56"/>
      <c r="AN348" s="56"/>
    </row>
    <row r="349" spans="1:40" x14ac:dyDescent="0.25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154"/>
      <c r="AH349" s="55"/>
      <c r="AI349" s="55"/>
      <c r="AJ349" s="55"/>
      <c r="AK349" s="154"/>
      <c r="AL349" s="55"/>
      <c r="AM349" s="55"/>
      <c r="AN349" s="55"/>
    </row>
    <row r="350" spans="1:40" x14ac:dyDescent="0.25"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Y350" s="56"/>
      <c r="Z350" s="56"/>
      <c r="AA350" s="56"/>
      <c r="AB350" s="56"/>
      <c r="AC350" s="56"/>
      <c r="AD350" s="56"/>
      <c r="AE350" s="56"/>
      <c r="AF350" s="56"/>
      <c r="AG350" s="155"/>
      <c r="AH350" s="56"/>
      <c r="AI350" s="56"/>
      <c r="AJ350" s="56"/>
      <c r="AK350" s="155"/>
      <c r="AL350" s="56"/>
      <c r="AM350" s="56"/>
      <c r="AN350" s="56"/>
    </row>
    <row r="351" spans="1:40" x14ac:dyDescent="0.25">
      <c r="A351" s="53"/>
      <c r="C351" s="54"/>
      <c r="D351" s="54"/>
      <c r="E351" s="54"/>
      <c r="T351" s="54"/>
      <c r="U351" s="54"/>
    </row>
    <row r="353" spans="1:40" x14ac:dyDescent="0.25">
      <c r="A353" s="53"/>
      <c r="C353" s="54"/>
      <c r="T353" s="54"/>
    </row>
    <row r="354" spans="1:40" x14ac:dyDescent="0.25">
      <c r="A354" s="53"/>
      <c r="C354" s="54"/>
      <c r="F354" s="449"/>
      <c r="H354" s="449"/>
      <c r="I354" s="449"/>
      <c r="J354" s="464"/>
      <c r="K354" s="464"/>
      <c r="L354" s="379"/>
      <c r="M354" s="379"/>
      <c r="N354" s="50"/>
      <c r="O354" s="50"/>
      <c r="P354" s="379"/>
      <c r="Q354" s="379"/>
      <c r="R354" s="379"/>
      <c r="T354" s="54"/>
      <c r="V354" s="449"/>
      <c r="Y354" s="449"/>
      <c r="Z354" s="464"/>
      <c r="AA354" s="379"/>
      <c r="AB354" s="379"/>
      <c r="AC354" s="50"/>
      <c r="AD354" s="50"/>
      <c r="AE354" s="379"/>
      <c r="AF354" s="379"/>
      <c r="AG354" s="156"/>
      <c r="AH354" s="60"/>
      <c r="AI354" s="379"/>
      <c r="AJ354" s="379"/>
      <c r="AK354" s="156"/>
      <c r="AL354" s="379"/>
      <c r="AM354" s="50"/>
      <c r="AN354" s="50"/>
    </row>
    <row r="355" spans="1:40" x14ac:dyDescent="0.25">
      <c r="A355" s="53"/>
      <c r="C355" s="54"/>
      <c r="T355" s="54"/>
    </row>
    <row r="356" spans="1:40" x14ac:dyDescent="0.25">
      <c r="A356" s="53"/>
      <c r="C356" s="54"/>
      <c r="F356" s="449"/>
      <c r="H356" s="449"/>
      <c r="I356" s="449"/>
      <c r="J356" s="221"/>
      <c r="K356" s="221"/>
      <c r="L356" s="379"/>
      <c r="M356" s="379"/>
      <c r="N356" s="50"/>
      <c r="O356" s="50"/>
      <c r="P356" s="379"/>
      <c r="Q356" s="379"/>
      <c r="R356" s="379"/>
      <c r="T356" s="54"/>
      <c r="V356" s="379"/>
      <c r="Y356" s="379"/>
      <c r="Z356" s="221"/>
      <c r="AA356" s="379"/>
      <c r="AB356" s="379"/>
      <c r="AC356" s="50"/>
      <c r="AD356" s="50"/>
      <c r="AE356" s="379"/>
      <c r="AF356" s="379"/>
      <c r="AG356" s="156"/>
      <c r="AH356" s="60"/>
      <c r="AI356" s="379"/>
      <c r="AJ356" s="379"/>
      <c r="AK356" s="156"/>
      <c r="AL356" s="379"/>
      <c r="AM356" s="50"/>
      <c r="AN356" s="50"/>
    </row>
    <row r="357" spans="1:40" x14ac:dyDescent="0.25">
      <c r="A357" s="53"/>
      <c r="C357" s="54"/>
      <c r="F357" s="449"/>
      <c r="H357" s="449"/>
      <c r="I357" s="449"/>
      <c r="J357" s="221"/>
      <c r="K357" s="221"/>
      <c r="L357" s="379"/>
      <c r="M357" s="379"/>
      <c r="N357" s="50"/>
      <c r="O357" s="50"/>
      <c r="P357" s="379"/>
      <c r="Q357" s="379"/>
      <c r="R357" s="379"/>
      <c r="T357" s="54"/>
      <c r="V357" s="379"/>
      <c r="Y357" s="379"/>
      <c r="Z357" s="221"/>
      <c r="AA357" s="379"/>
      <c r="AB357" s="379"/>
      <c r="AC357" s="50"/>
      <c r="AD357" s="50"/>
      <c r="AE357" s="379"/>
      <c r="AF357" s="379"/>
      <c r="AG357" s="156"/>
      <c r="AH357" s="60"/>
      <c r="AI357" s="379"/>
      <c r="AJ357" s="379"/>
      <c r="AK357" s="156"/>
      <c r="AL357" s="379"/>
      <c r="AM357" s="50"/>
      <c r="AN357" s="50"/>
    </row>
    <row r="358" spans="1:40" x14ac:dyDescent="0.25">
      <c r="A358" s="53"/>
      <c r="C358" s="54"/>
      <c r="F358" s="449"/>
      <c r="H358" s="449"/>
      <c r="I358" s="449"/>
      <c r="J358" s="221"/>
      <c r="K358" s="221"/>
      <c r="L358" s="379"/>
      <c r="M358" s="379"/>
      <c r="N358" s="50"/>
      <c r="O358" s="50"/>
      <c r="P358" s="379"/>
      <c r="Q358" s="379"/>
      <c r="R358" s="379"/>
      <c r="T358" s="54"/>
      <c r="V358" s="379"/>
      <c r="Y358" s="379"/>
      <c r="Z358" s="221"/>
      <c r="AA358" s="379"/>
      <c r="AB358" s="379"/>
      <c r="AC358" s="50"/>
      <c r="AD358" s="50"/>
      <c r="AE358" s="379"/>
      <c r="AF358" s="379"/>
      <c r="AG358" s="156"/>
      <c r="AH358" s="60"/>
      <c r="AI358" s="379"/>
      <c r="AJ358" s="379"/>
      <c r="AK358" s="156"/>
      <c r="AL358" s="379"/>
      <c r="AM358" s="50"/>
      <c r="AN358" s="50"/>
    </row>
    <row r="359" spans="1:40" x14ac:dyDescent="0.25">
      <c r="A359" s="53"/>
      <c r="C359" s="54"/>
      <c r="F359" s="449"/>
      <c r="H359" s="449"/>
      <c r="I359" s="449"/>
      <c r="J359" s="221"/>
      <c r="K359" s="221"/>
      <c r="L359" s="379"/>
      <c r="M359" s="379"/>
      <c r="N359" s="50"/>
      <c r="O359" s="50"/>
      <c r="P359" s="379"/>
      <c r="Q359" s="379"/>
      <c r="R359" s="379"/>
      <c r="T359" s="54"/>
      <c r="V359" s="379"/>
      <c r="Y359" s="379"/>
      <c r="Z359" s="221"/>
      <c r="AA359" s="379"/>
      <c r="AB359" s="379"/>
      <c r="AC359" s="50"/>
      <c r="AD359" s="50"/>
      <c r="AE359" s="379"/>
      <c r="AF359" s="379"/>
      <c r="AG359" s="156"/>
      <c r="AH359" s="60"/>
      <c r="AI359" s="379"/>
      <c r="AJ359" s="379"/>
      <c r="AK359" s="156"/>
      <c r="AL359" s="379"/>
      <c r="AM359" s="50"/>
      <c r="AN359" s="50"/>
    </row>
    <row r="360" spans="1:40" x14ac:dyDescent="0.25">
      <c r="A360" s="53"/>
      <c r="C360" s="54"/>
      <c r="J360" s="65"/>
      <c r="K360" s="65"/>
      <c r="T360" s="54"/>
      <c r="Z360" s="65"/>
    </row>
    <row r="361" spans="1:40" x14ac:dyDescent="0.25">
      <c r="A361" s="53"/>
      <c r="C361" s="54"/>
      <c r="F361" s="449"/>
      <c r="H361" s="449"/>
      <c r="I361" s="449"/>
      <c r="J361" s="221"/>
      <c r="K361" s="221"/>
      <c r="L361" s="379"/>
      <c r="M361" s="379"/>
      <c r="N361" s="50"/>
      <c r="O361" s="50"/>
      <c r="P361" s="379"/>
      <c r="Q361" s="379"/>
      <c r="R361" s="379"/>
      <c r="T361" s="54"/>
      <c r="V361" s="379"/>
      <c r="Y361" s="379"/>
      <c r="Z361" s="221"/>
      <c r="AA361" s="379"/>
      <c r="AB361" s="379"/>
      <c r="AC361" s="50"/>
      <c r="AD361" s="50"/>
      <c r="AE361" s="379"/>
      <c r="AF361" s="379"/>
      <c r="AG361" s="156"/>
      <c r="AH361" s="60"/>
      <c r="AI361" s="379"/>
      <c r="AJ361" s="379"/>
      <c r="AK361" s="156"/>
      <c r="AL361" s="379"/>
      <c r="AM361" s="50"/>
      <c r="AN361" s="50"/>
    </row>
    <row r="362" spans="1:40" x14ac:dyDescent="0.25">
      <c r="A362" s="53"/>
      <c r="C362" s="54"/>
      <c r="F362" s="449"/>
      <c r="H362" s="449"/>
      <c r="I362" s="449"/>
      <c r="J362" s="221"/>
      <c r="K362" s="221"/>
      <c r="L362" s="379"/>
      <c r="M362" s="379"/>
      <c r="N362" s="50"/>
      <c r="O362" s="50"/>
      <c r="P362" s="379"/>
      <c r="Q362" s="379"/>
      <c r="R362" s="379"/>
      <c r="T362" s="54"/>
      <c r="V362" s="379"/>
      <c r="Y362" s="379"/>
      <c r="Z362" s="221"/>
      <c r="AA362" s="379"/>
      <c r="AB362" s="379"/>
      <c r="AC362" s="50"/>
      <c r="AD362" s="50"/>
      <c r="AE362" s="379"/>
      <c r="AF362" s="379"/>
      <c r="AG362" s="156"/>
      <c r="AH362" s="60"/>
      <c r="AI362" s="379"/>
      <c r="AJ362" s="379"/>
      <c r="AK362" s="156"/>
      <c r="AL362" s="379"/>
      <c r="AM362" s="50"/>
      <c r="AN362" s="50"/>
    </row>
    <row r="363" spans="1:40" x14ac:dyDescent="0.25">
      <c r="A363" s="53"/>
      <c r="C363" s="54"/>
      <c r="F363" s="449"/>
      <c r="H363" s="449"/>
      <c r="I363" s="449"/>
      <c r="J363" s="221"/>
      <c r="K363" s="221"/>
      <c r="L363" s="379"/>
      <c r="M363" s="379"/>
      <c r="N363" s="50"/>
      <c r="O363" s="50"/>
      <c r="P363" s="379"/>
      <c r="Q363" s="379"/>
      <c r="R363" s="379"/>
      <c r="T363" s="54"/>
      <c r="V363" s="379"/>
      <c r="Y363" s="379"/>
      <c r="Z363" s="221"/>
      <c r="AA363" s="379"/>
      <c r="AB363" s="379"/>
      <c r="AC363" s="50"/>
      <c r="AD363" s="50"/>
      <c r="AE363" s="379"/>
      <c r="AF363" s="379"/>
      <c r="AG363" s="156"/>
      <c r="AH363" s="60"/>
      <c r="AI363" s="379"/>
      <c r="AJ363" s="379"/>
      <c r="AK363" s="156"/>
      <c r="AL363" s="379"/>
      <c r="AM363" s="50"/>
      <c r="AN363" s="50"/>
    </row>
    <row r="364" spans="1:40" x14ac:dyDescent="0.25">
      <c r="A364" s="53"/>
      <c r="C364" s="54"/>
      <c r="J364" s="65"/>
      <c r="K364" s="65"/>
      <c r="T364" s="54"/>
      <c r="Z364" s="65"/>
    </row>
    <row r="365" spans="1:40" x14ac:dyDescent="0.25">
      <c r="A365" s="53"/>
      <c r="C365" s="54"/>
      <c r="F365" s="449"/>
      <c r="H365" s="449"/>
      <c r="I365" s="449"/>
      <c r="J365" s="221"/>
      <c r="K365" s="221"/>
      <c r="L365" s="379"/>
      <c r="M365" s="379"/>
      <c r="N365" s="50"/>
      <c r="O365" s="50"/>
      <c r="P365" s="379"/>
      <c r="Q365" s="379"/>
      <c r="R365" s="379"/>
      <c r="T365" s="54"/>
      <c r="V365" s="379"/>
      <c r="Y365" s="379"/>
      <c r="Z365" s="221"/>
      <c r="AA365" s="379"/>
      <c r="AB365" s="379"/>
      <c r="AC365" s="50"/>
      <c r="AD365" s="50"/>
      <c r="AE365" s="379"/>
      <c r="AF365" s="379"/>
      <c r="AG365" s="156"/>
      <c r="AH365" s="60"/>
      <c r="AI365" s="379"/>
      <c r="AJ365" s="379"/>
      <c r="AK365" s="156"/>
      <c r="AL365" s="379"/>
      <c r="AM365" s="50"/>
      <c r="AN365" s="50"/>
    </row>
    <row r="366" spans="1:40" x14ac:dyDescent="0.25">
      <c r="A366" s="53"/>
      <c r="C366" s="54"/>
      <c r="F366" s="449"/>
      <c r="H366" s="449"/>
      <c r="I366" s="449"/>
      <c r="J366" s="221"/>
      <c r="K366" s="221"/>
      <c r="L366" s="379"/>
      <c r="M366" s="379"/>
      <c r="N366" s="50"/>
      <c r="O366" s="50"/>
      <c r="P366" s="379"/>
      <c r="Q366" s="379"/>
      <c r="R366" s="379"/>
      <c r="T366" s="54"/>
      <c r="V366" s="379"/>
      <c r="Y366" s="379"/>
      <c r="Z366" s="221"/>
      <c r="AA366" s="379"/>
      <c r="AB366" s="379"/>
      <c r="AC366" s="50"/>
      <c r="AD366" s="50"/>
      <c r="AE366" s="379"/>
      <c r="AF366" s="379"/>
      <c r="AG366" s="156"/>
      <c r="AH366" s="60"/>
      <c r="AI366" s="379"/>
      <c r="AJ366" s="379"/>
      <c r="AK366" s="156"/>
      <c r="AL366" s="379"/>
      <c r="AM366" s="50"/>
      <c r="AN366" s="50"/>
    </row>
    <row r="367" spans="1:40" x14ac:dyDescent="0.25">
      <c r="A367" s="53"/>
      <c r="C367" s="54"/>
      <c r="J367" s="65"/>
      <c r="K367" s="65"/>
      <c r="T367" s="54"/>
      <c r="Z367" s="65"/>
    </row>
    <row r="368" spans="1:40" x14ac:dyDescent="0.25">
      <c r="A368" s="53"/>
      <c r="C368" s="54"/>
      <c r="F368" s="449"/>
      <c r="H368" s="449"/>
      <c r="I368" s="449"/>
      <c r="J368" s="221"/>
      <c r="K368" s="221"/>
      <c r="L368" s="379"/>
      <c r="M368" s="379"/>
      <c r="N368" s="50"/>
      <c r="O368" s="50"/>
      <c r="P368" s="379"/>
      <c r="Q368" s="379"/>
      <c r="R368" s="379"/>
      <c r="T368" s="54"/>
      <c r="V368" s="379"/>
      <c r="Y368" s="379"/>
      <c r="Z368" s="221"/>
      <c r="AA368" s="379"/>
      <c r="AB368" s="379"/>
      <c r="AC368" s="50"/>
      <c r="AD368" s="50"/>
      <c r="AE368" s="379"/>
      <c r="AF368" s="379"/>
      <c r="AG368" s="156"/>
      <c r="AH368" s="60"/>
      <c r="AI368" s="379"/>
      <c r="AJ368" s="379"/>
      <c r="AK368" s="156"/>
      <c r="AL368" s="379"/>
      <c r="AM368" s="50"/>
      <c r="AN368" s="50"/>
    </row>
    <row r="369" spans="1:40" x14ac:dyDescent="0.25">
      <c r="A369" s="53"/>
      <c r="C369" s="54"/>
      <c r="F369" s="449"/>
      <c r="H369" s="449"/>
      <c r="I369" s="449"/>
      <c r="J369" s="221"/>
      <c r="K369" s="221"/>
      <c r="L369" s="379"/>
      <c r="M369" s="379"/>
      <c r="N369" s="50"/>
      <c r="O369" s="50"/>
      <c r="P369" s="379"/>
      <c r="Q369" s="379"/>
      <c r="R369" s="379"/>
      <c r="T369" s="54"/>
      <c r="V369" s="379"/>
      <c r="Y369" s="379"/>
      <c r="Z369" s="221"/>
      <c r="AA369" s="379"/>
      <c r="AB369" s="379"/>
      <c r="AC369" s="50"/>
      <c r="AD369" s="50"/>
      <c r="AE369" s="379"/>
      <c r="AF369" s="379"/>
      <c r="AG369" s="156"/>
      <c r="AH369" s="60"/>
      <c r="AI369" s="379"/>
      <c r="AJ369" s="379"/>
      <c r="AK369" s="156"/>
      <c r="AL369" s="379"/>
      <c r="AM369" s="50"/>
      <c r="AN369" s="50"/>
    </row>
    <row r="370" spans="1:40" x14ac:dyDescent="0.25">
      <c r="A370" s="53"/>
      <c r="C370" s="54"/>
      <c r="F370" s="449"/>
      <c r="H370" s="449"/>
      <c r="I370" s="449"/>
      <c r="J370" s="221"/>
      <c r="K370" s="221"/>
      <c r="L370" s="379"/>
      <c r="M370" s="379"/>
      <c r="N370" s="50"/>
      <c r="O370" s="50"/>
      <c r="P370" s="379"/>
      <c r="Q370" s="379"/>
      <c r="R370" s="379"/>
      <c r="T370" s="54"/>
      <c r="V370" s="379"/>
      <c r="Y370" s="379"/>
      <c r="Z370" s="221"/>
      <c r="AA370" s="379"/>
      <c r="AB370" s="379"/>
      <c r="AC370" s="50"/>
      <c r="AD370" s="50"/>
      <c r="AE370" s="379"/>
      <c r="AF370" s="379"/>
      <c r="AG370" s="156"/>
      <c r="AH370" s="60"/>
      <c r="AI370" s="379"/>
      <c r="AJ370" s="379"/>
      <c r="AK370" s="156"/>
      <c r="AL370" s="379"/>
      <c r="AM370" s="50"/>
      <c r="AN370" s="50"/>
    </row>
    <row r="371" spans="1:40" x14ac:dyDescent="0.25">
      <c r="F371" s="381"/>
      <c r="H371" s="381"/>
      <c r="I371" s="381"/>
      <c r="J371" s="221"/>
      <c r="K371" s="221"/>
      <c r="L371" s="381"/>
      <c r="M371" s="381"/>
      <c r="N371" s="381"/>
      <c r="O371" s="381"/>
      <c r="P371" s="381"/>
      <c r="Q371" s="381"/>
      <c r="R371" s="381"/>
      <c r="V371" s="381"/>
      <c r="Y371" s="381"/>
      <c r="Z371" s="221"/>
      <c r="AA371" s="381"/>
      <c r="AB371" s="381"/>
      <c r="AC371" s="381"/>
      <c r="AD371" s="381"/>
      <c r="AE371" s="381"/>
      <c r="AF371" s="381"/>
      <c r="AI371" s="381"/>
      <c r="AJ371" s="381"/>
      <c r="AK371" s="162"/>
      <c r="AL371" s="381"/>
    </row>
    <row r="372" spans="1:40" x14ac:dyDescent="0.25">
      <c r="A372" s="53"/>
      <c r="C372" s="56"/>
      <c r="F372" s="379"/>
      <c r="H372" s="379"/>
      <c r="I372" s="379"/>
      <c r="J372" s="65"/>
      <c r="K372" s="65"/>
      <c r="L372" s="379"/>
      <c r="M372" s="379"/>
      <c r="N372" s="60"/>
      <c r="O372" s="60"/>
      <c r="P372" s="379"/>
      <c r="Q372" s="379"/>
      <c r="R372" s="379"/>
      <c r="T372" s="56"/>
      <c r="V372" s="379"/>
      <c r="Y372" s="379"/>
      <c r="Z372" s="65"/>
      <c r="AA372" s="379"/>
      <c r="AB372" s="379"/>
      <c r="AC372" s="379"/>
      <c r="AD372" s="379"/>
      <c r="AE372" s="379"/>
      <c r="AF372" s="379"/>
      <c r="AG372" s="156"/>
      <c r="AH372" s="60"/>
      <c r="AI372" s="379"/>
      <c r="AJ372" s="379"/>
      <c r="AK372" s="156"/>
      <c r="AL372" s="379"/>
      <c r="AM372" s="50"/>
      <c r="AN372" s="50"/>
    </row>
    <row r="373" spans="1:40" x14ac:dyDescent="0.25">
      <c r="F373" s="381"/>
      <c r="H373" s="381"/>
      <c r="I373" s="381"/>
      <c r="J373" s="221"/>
      <c r="K373" s="221"/>
      <c r="L373" s="381"/>
      <c r="M373" s="381"/>
      <c r="N373" s="381"/>
      <c r="O373" s="381"/>
      <c r="P373" s="381"/>
      <c r="Q373" s="381"/>
      <c r="R373" s="381"/>
      <c r="V373" s="381"/>
      <c r="Y373" s="381"/>
      <c r="Z373" s="221"/>
      <c r="AA373" s="381"/>
      <c r="AB373" s="381"/>
      <c r="AC373" s="381"/>
      <c r="AD373" s="381"/>
      <c r="AE373" s="381"/>
      <c r="AF373" s="381"/>
      <c r="AI373" s="381"/>
      <c r="AJ373" s="381"/>
      <c r="AK373" s="162"/>
      <c r="AL373" s="381"/>
    </row>
    <row r="374" spans="1:40" x14ac:dyDescent="0.25">
      <c r="A374" s="53"/>
      <c r="C374" s="54"/>
      <c r="J374" s="65"/>
      <c r="K374" s="65"/>
      <c r="T374" s="54"/>
      <c r="Z374" s="65"/>
    </row>
    <row r="375" spans="1:40" x14ac:dyDescent="0.25">
      <c r="A375" s="53"/>
      <c r="C375" s="54"/>
      <c r="J375" s="65"/>
      <c r="K375" s="65"/>
      <c r="T375" s="54"/>
      <c r="Z375" s="65"/>
    </row>
    <row r="376" spans="1:40" x14ac:dyDescent="0.25">
      <c r="A376" s="53"/>
      <c r="C376" s="54"/>
      <c r="F376" s="449"/>
      <c r="H376" s="449"/>
      <c r="I376" s="449"/>
      <c r="J376" s="221"/>
      <c r="K376" s="221"/>
      <c r="L376" s="379"/>
      <c r="M376" s="379"/>
      <c r="N376" s="50"/>
      <c r="O376" s="50"/>
      <c r="P376" s="379"/>
      <c r="Q376" s="379"/>
      <c r="R376" s="379"/>
      <c r="T376" s="54"/>
      <c r="V376" s="379"/>
      <c r="Y376" s="379"/>
      <c r="Z376" s="221"/>
      <c r="AA376" s="379"/>
      <c r="AB376" s="379"/>
      <c r="AC376" s="50"/>
      <c r="AD376" s="50"/>
      <c r="AE376" s="379"/>
      <c r="AF376" s="379"/>
      <c r="AG376" s="156"/>
      <c r="AH376" s="60"/>
      <c r="AI376" s="379"/>
      <c r="AJ376" s="379"/>
      <c r="AK376" s="156"/>
      <c r="AL376" s="379"/>
      <c r="AM376" s="50"/>
      <c r="AN376" s="50"/>
    </row>
    <row r="377" spans="1:40" x14ac:dyDescent="0.25">
      <c r="A377" s="53"/>
      <c r="C377" s="54"/>
      <c r="F377" s="449"/>
      <c r="H377" s="449"/>
      <c r="I377" s="449"/>
      <c r="J377" s="221"/>
      <c r="K377" s="221"/>
      <c r="L377" s="379"/>
      <c r="M377" s="379"/>
      <c r="N377" s="50"/>
      <c r="O377" s="50"/>
      <c r="P377" s="379"/>
      <c r="Q377" s="379"/>
      <c r="R377" s="379"/>
      <c r="T377" s="54"/>
      <c r="V377" s="379"/>
      <c r="Y377" s="379"/>
      <c r="Z377" s="221"/>
      <c r="AA377" s="379"/>
      <c r="AB377" s="379"/>
      <c r="AC377" s="50"/>
      <c r="AD377" s="50"/>
      <c r="AE377" s="379"/>
      <c r="AF377" s="379"/>
      <c r="AG377" s="156"/>
      <c r="AH377" s="60"/>
      <c r="AI377" s="379"/>
      <c r="AJ377" s="379"/>
      <c r="AK377" s="156"/>
      <c r="AL377" s="379"/>
      <c r="AM377" s="50"/>
      <c r="AN377" s="50"/>
    </row>
    <row r="378" spans="1:40" x14ac:dyDescent="0.25">
      <c r="A378" s="53"/>
      <c r="C378" s="54"/>
      <c r="F378" s="449"/>
      <c r="H378" s="449"/>
      <c r="I378" s="449"/>
      <c r="J378" s="221"/>
      <c r="K378" s="221"/>
      <c r="L378" s="379"/>
      <c r="M378" s="379"/>
      <c r="N378" s="50"/>
      <c r="O378" s="50"/>
      <c r="P378" s="379"/>
      <c r="Q378" s="379"/>
      <c r="R378" s="379"/>
      <c r="T378" s="54"/>
      <c r="V378" s="379"/>
      <c r="Y378" s="379"/>
      <c r="Z378" s="221"/>
      <c r="AA378" s="379"/>
      <c r="AB378" s="379"/>
      <c r="AC378" s="50"/>
      <c r="AD378" s="50"/>
      <c r="AE378" s="379"/>
      <c r="AF378" s="379"/>
      <c r="AG378" s="156"/>
      <c r="AH378" s="60"/>
      <c r="AI378" s="379"/>
      <c r="AJ378" s="379"/>
      <c r="AK378" s="156"/>
      <c r="AL378" s="379"/>
      <c r="AM378" s="50"/>
      <c r="AN378" s="50"/>
    </row>
    <row r="379" spans="1:40" x14ac:dyDescent="0.25">
      <c r="A379" s="53"/>
      <c r="C379" s="54"/>
      <c r="F379" s="449"/>
      <c r="H379" s="449"/>
      <c r="I379" s="449"/>
      <c r="J379" s="221"/>
      <c r="K379" s="221"/>
      <c r="L379" s="379"/>
      <c r="M379" s="379"/>
      <c r="N379" s="50"/>
      <c r="O379" s="50"/>
      <c r="P379" s="379"/>
      <c r="Q379" s="379"/>
      <c r="R379" s="379"/>
      <c r="T379" s="54"/>
      <c r="V379" s="379"/>
      <c r="Y379" s="379"/>
      <c r="Z379" s="221"/>
      <c r="AA379" s="379"/>
      <c r="AB379" s="379"/>
      <c r="AC379" s="50"/>
      <c r="AD379" s="50"/>
      <c r="AE379" s="379"/>
      <c r="AF379" s="379"/>
      <c r="AG379" s="156"/>
      <c r="AH379" s="60"/>
      <c r="AI379" s="379"/>
      <c r="AJ379" s="379"/>
      <c r="AK379" s="156"/>
      <c r="AL379" s="379"/>
      <c r="AM379" s="50"/>
      <c r="AN379" s="50"/>
    </row>
    <row r="380" spans="1:40" x14ac:dyDescent="0.25">
      <c r="A380" s="53"/>
      <c r="C380" s="54"/>
      <c r="F380" s="449"/>
      <c r="H380" s="449"/>
      <c r="I380" s="449"/>
      <c r="J380" s="221"/>
      <c r="K380" s="221"/>
      <c r="L380" s="379"/>
      <c r="M380" s="379"/>
      <c r="N380" s="50"/>
      <c r="O380" s="50"/>
      <c r="P380" s="379"/>
      <c r="Q380" s="379"/>
      <c r="R380" s="379"/>
      <c r="T380" s="54"/>
      <c r="V380" s="379"/>
      <c r="Y380" s="379"/>
      <c r="Z380" s="221"/>
      <c r="AA380" s="379"/>
      <c r="AB380" s="379"/>
      <c r="AC380" s="50"/>
      <c r="AD380" s="50"/>
      <c r="AE380" s="379"/>
      <c r="AF380" s="379"/>
      <c r="AG380" s="156"/>
      <c r="AH380" s="60"/>
      <c r="AI380" s="379"/>
      <c r="AJ380" s="379"/>
      <c r="AK380" s="156"/>
      <c r="AL380" s="379"/>
      <c r="AM380" s="50"/>
      <c r="AN380" s="50"/>
    </row>
    <row r="381" spans="1:40" x14ac:dyDescent="0.25">
      <c r="A381" s="53"/>
      <c r="C381" s="54"/>
      <c r="F381" s="449"/>
      <c r="H381" s="449"/>
      <c r="I381" s="449"/>
      <c r="J381" s="221"/>
      <c r="K381" s="221"/>
      <c r="L381" s="379"/>
      <c r="M381" s="379"/>
      <c r="N381" s="50"/>
      <c r="O381" s="50"/>
      <c r="P381" s="379"/>
      <c r="Q381" s="379"/>
      <c r="R381" s="379"/>
      <c r="T381" s="54"/>
      <c r="V381" s="379"/>
      <c r="Y381" s="379"/>
      <c r="Z381" s="221"/>
      <c r="AA381" s="379"/>
      <c r="AB381" s="379"/>
      <c r="AC381" s="50"/>
      <c r="AD381" s="50"/>
      <c r="AE381" s="379"/>
      <c r="AF381" s="379"/>
      <c r="AG381" s="156"/>
      <c r="AH381" s="60"/>
      <c r="AI381" s="379"/>
      <c r="AJ381" s="379"/>
      <c r="AK381" s="156"/>
      <c r="AL381" s="379"/>
      <c r="AM381" s="50"/>
      <c r="AN381" s="50"/>
    </row>
    <row r="382" spans="1:40" x14ac:dyDescent="0.25">
      <c r="A382" s="53"/>
      <c r="C382" s="54"/>
      <c r="F382" s="449"/>
      <c r="H382" s="449"/>
      <c r="I382" s="449"/>
      <c r="J382" s="221"/>
      <c r="K382" s="221"/>
      <c r="L382" s="379"/>
      <c r="M382" s="379"/>
      <c r="N382" s="50"/>
      <c r="O382" s="50"/>
      <c r="P382" s="379"/>
      <c r="Q382" s="379"/>
      <c r="R382" s="379"/>
      <c r="T382" s="54"/>
      <c r="V382" s="379"/>
      <c r="Y382" s="379"/>
      <c r="Z382" s="221"/>
      <c r="AA382" s="379"/>
      <c r="AB382" s="379"/>
      <c r="AC382" s="50"/>
      <c r="AD382" s="50"/>
      <c r="AE382" s="379"/>
      <c r="AF382" s="379"/>
      <c r="AG382" s="156"/>
      <c r="AH382" s="60"/>
      <c r="AI382" s="379"/>
      <c r="AJ382" s="379"/>
      <c r="AK382" s="156"/>
      <c r="AL382" s="379"/>
      <c r="AM382" s="50"/>
      <c r="AN382" s="50"/>
    </row>
    <row r="383" spans="1:40" x14ac:dyDescent="0.25">
      <c r="A383" s="53"/>
      <c r="C383" s="54"/>
      <c r="J383" s="65"/>
      <c r="K383" s="65"/>
      <c r="T383" s="54"/>
      <c r="Z383" s="65"/>
    </row>
    <row r="384" spans="1:40" x14ac:dyDescent="0.25">
      <c r="A384" s="53"/>
      <c r="C384" s="54"/>
      <c r="F384" s="449"/>
      <c r="H384" s="449"/>
      <c r="I384" s="449"/>
      <c r="J384" s="221"/>
      <c r="K384" s="221"/>
      <c r="L384" s="379"/>
      <c r="M384" s="379"/>
      <c r="N384" s="50"/>
      <c r="O384" s="50"/>
      <c r="P384" s="379"/>
      <c r="Q384" s="379"/>
      <c r="R384" s="379"/>
      <c r="T384" s="54"/>
      <c r="V384" s="379"/>
      <c r="Y384" s="379"/>
      <c r="Z384" s="221"/>
      <c r="AA384" s="379"/>
      <c r="AB384" s="379"/>
      <c r="AC384" s="50"/>
      <c r="AD384" s="50"/>
      <c r="AE384" s="379"/>
      <c r="AF384" s="379"/>
      <c r="AG384" s="156"/>
      <c r="AH384" s="60"/>
      <c r="AI384" s="379"/>
      <c r="AJ384" s="379"/>
      <c r="AK384" s="156"/>
      <c r="AL384" s="379"/>
      <c r="AM384" s="50"/>
      <c r="AN384" s="50"/>
    </row>
    <row r="385" spans="1:40" x14ac:dyDescent="0.25">
      <c r="A385" s="53"/>
      <c r="C385" s="54"/>
      <c r="F385" s="449"/>
      <c r="H385" s="449"/>
      <c r="I385" s="449"/>
      <c r="J385" s="221"/>
      <c r="K385" s="221"/>
      <c r="L385" s="379"/>
      <c r="M385" s="379"/>
      <c r="N385" s="50"/>
      <c r="O385" s="50"/>
      <c r="P385" s="379"/>
      <c r="Q385" s="379"/>
      <c r="R385" s="379"/>
      <c r="T385" s="54"/>
      <c r="V385" s="379"/>
      <c r="Y385" s="379"/>
      <c r="Z385" s="221"/>
      <c r="AA385" s="379"/>
      <c r="AB385" s="379"/>
      <c r="AC385" s="50"/>
      <c r="AD385" s="50"/>
      <c r="AE385" s="379"/>
      <c r="AF385" s="379"/>
      <c r="AG385" s="156"/>
      <c r="AH385" s="60"/>
      <c r="AI385" s="379"/>
      <c r="AJ385" s="379"/>
      <c r="AK385" s="156"/>
      <c r="AL385" s="379"/>
      <c r="AM385" s="50"/>
      <c r="AN385" s="50"/>
    </row>
    <row r="386" spans="1:40" x14ac:dyDescent="0.25">
      <c r="A386" s="53"/>
      <c r="C386" s="54"/>
      <c r="F386" s="449"/>
      <c r="H386" s="449"/>
      <c r="I386" s="449"/>
      <c r="J386" s="221"/>
      <c r="K386" s="221"/>
      <c r="L386" s="379"/>
      <c r="M386" s="379"/>
      <c r="N386" s="50"/>
      <c r="O386" s="50"/>
      <c r="P386" s="379"/>
      <c r="Q386" s="379"/>
      <c r="R386" s="379"/>
      <c r="T386" s="54"/>
      <c r="V386" s="379"/>
      <c r="Y386" s="379"/>
      <c r="Z386" s="221"/>
      <c r="AA386" s="379"/>
      <c r="AB386" s="379"/>
      <c r="AC386" s="50"/>
      <c r="AD386" s="50"/>
      <c r="AE386" s="379"/>
      <c r="AF386" s="379"/>
      <c r="AG386" s="156"/>
      <c r="AH386" s="60"/>
      <c r="AI386" s="379"/>
      <c r="AJ386" s="379"/>
      <c r="AK386" s="156"/>
      <c r="AL386" s="379"/>
      <c r="AM386" s="50"/>
      <c r="AN386" s="50"/>
    </row>
    <row r="387" spans="1:40" x14ac:dyDescent="0.25">
      <c r="A387" s="53"/>
      <c r="C387" s="54"/>
      <c r="F387" s="449"/>
      <c r="H387" s="449"/>
      <c r="I387" s="449"/>
      <c r="J387" s="221"/>
      <c r="K387" s="221"/>
      <c r="L387" s="379"/>
      <c r="M387" s="379"/>
      <c r="N387" s="50"/>
      <c r="O387" s="50"/>
      <c r="P387" s="379"/>
      <c r="Q387" s="379"/>
      <c r="R387" s="379"/>
      <c r="T387" s="54"/>
      <c r="V387" s="379"/>
      <c r="Y387" s="379"/>
      <c r="Z387" s="221"/>
      <c r="AA387" s="379"/>
      <c r="AB387" s="379"/>
      <c r="AC387" s="50"/>
      <c r="AD387" s="50"/>
      <c r="AE387" s="379"/>
      <c r="AF387" s="379"/>
      <c r="AG387" s="156"/>
      <c r="AH387" s="60"/>
      <c r="AI387" s="379"/>
      <c r="AJ387" s="379"/>
      <c r="AK387" s="156"/>
      <c r="AL387" s="379"/>
      <c r="AM387" s="50"/>
      <c r="AN387" s="50"/>
    </row>
    <row r="388" spans="1:40" x14ac:dyDescent="0.25">
      <c r="A388" s="53"/>
      <c r="C388" s="54"/>
      <c r="J388" s="65"/>
      <c r="K388" s="65"/>
      <c r="T388" s="54"/>
      <c r="Z388" s="65"/>
    </row>
    <row r="389" spans="1:40" x14ac:dyDescent="0.25">
      <c r="A389" s="53"/>
      <c r="C389" s="54"/>
      <c r="F389" s="449"/>
      <c r="H389" s="449"/>
      <c r="I389" s="449"/>
      <c r="J389" s="221"/>
      <c r="K389" s="221"/>
      <c r="L389" s="379"/>
      <c r="M389" s="379"/>
      <c r="N389" s="50"/>
      <c r="O389" s="50"/>
      <c r="P389" s="379"/>
      <c r="Q389" s="379"/>
      <c r="R389" s="379"/>
      <c r="T389" s="54"/>
      <c r="V389" s="379"/>
      <c r="Y389" s="379"/>
      <c r="Z389" s="221"/>
      <c r="AA389" s="379"/>
      <c r="AB389" s="379"/>
      <c r="AC389" s="50"/>
      <c r="AD389" s="50"/>
      <c r="AE389" s="379"/>
      <c r="AF389" s="379"/>
      <c r="AG389" s="156"/>
      <c r="AH389" s="60"/>
      <c r="AI389" s="379"/>
      <c r="AJ389" s="379"/>
      <c r="AK389" s="156"/>
      <c r="AL389" s="379"/>
      <c r="AM389" s="50"/>
      <c r="AN389" s="50"/>
    </row>
    <row r="390" spans="1:40" x14ac:dyDescent="0.25">
      <c r="A390" s="53"/>
      <c r="C390" s="54"/>
      <c r="F390" s="449"/>
      <c r="H390" s="449"/>
      <c r="I390" s="449"/>
      <c r="J390" s="221"/>
      <c r="K390" s="221"/>
      <c r="L390" s="379"/>
      <c r="M390" s="379"/>
      <c r="N390" s="50"/>
      <c r="O390" s="50"/>
      <c r="P390" s="379"/>
      <c r="Q390" s="379"/>
      <c r="R390" s="379"/>
      <c r="T390" s="54"/>
      <c r="V390" s="379"/>
      <c r="Y390" s="379"/>
      <c r="Z390" s="221"/>
      <c r="AA390" s="379"/>
      <c r="AB390" s="379"/>
      <c r="AC390" s="50"/>
      <c r="AD390" s="50"/>
      <c r="AE390" s="379"/>
      <c r="AF390" s="379"/>
      <c r="AG390" s="156"/>
      <c r="AH390" s="60"/>
      <c r="AI390" s="379"/>
      <c r="AJ390" s="379"/>
      <c r="AK390" s="156"/>
      <c r="AL390" s="379"/>
      <c r="AM390" s="50"/>
      <c r="AN390" s="50"/>
    </row>
    <row r="391" spans="1:40" x14ac:dyDescent="0.25">
      <c r="A391" s="53"/>
      <c r="C391" s="54"/>
      <c r="F391" s="449"/>
      <c r="H391" s="449"/>
      <c r="I391" s="449"/>
      <c r="J391" s="221"/>
      <c r="K391" s="221"/>
      <c r="L391" s="379"/>
      <c r="M391" s="379"/>
      <c r="N391" s="50"/>
      <c r="O391" s="50"/>
      <c r="P391" s="379"/>
      <c r="Q391" s="379"/>
      <c r="R391" s="379"/>
      <c r="T391" s="54"/>
      <c r="V391" s="379"/>
      <c r="Y391" s="379"/>
      <c r="Z391" s="221"/>
      <c r="AA391" s="379"/>
      <c r="AB391" s="379"/>
      <c r="AC391" s="50"/>
      <c r="AD391" s="50"/>
      <c r="AE391" s="379"/>
      <c r="AF391" s="379"/>
      <c r="AG391" s="156"/>
      <c r="AH391" s="60"/>
      <c r="AI391" s="379"/>
      <c r="AJ391" s="379"/>
      <c r="AK391" s="156"/>
      <c r="AL391" s="379"/>
      <c r="AM391" s="50"/>
      <c r="AN391" s="50"/>
    </row>
    <row r="392" spans="1:40" x14ac:dyDescent="0.25">
      <c r="A392" s="53"/>
      <c r="C392" s="54"/>
      <c r="F392" s="449"/>
      <c r="H392" s="449"/>
      <c r="I392" s="449"/>
      <c r="J392" s="221"/>
      <c r="K392" s="221"/>
      <c r="L392" s="379"/>
      <c r="M392" s="379"/>
      <c r="N392" s="50"/>
      <c r="O392" s="50"/>
      <c r="P392" s="379"/>
      <c r="Q392" s="379"/>
      <c r="R392" s="379"/>
      <c r="T392" s="54"/>
      <c r="V392" s="379"/>
      <c r="Y392" s="379"/>
      <c r="Z392" s="221"/>
      <c r="AA392" s="379"/>
      <c r="AB392" s="379"/>
      <c r="AC392" s="50"/>
      <c r="AD392" s="50"/>
      <c r="AE392" s="379"/>
      <c r="AF392" s="379"/>
      <c r="AG392" s="156"/>
      <c r="AH392" s="60"/>
      <c r="AI392" s="379"/>
      <c r="AJ392" s="379"/>
      <c r="AK392" s="156"/>
      <c r="AL392" s="379"/>
      <c r="AM392" s="50"/>
      <c r="AN392" s="50"/>
    </row>
    <row r="393" spans="1:40" x14ac:dyDescent="0.25">
      <c r="A393" s="53"/>
      <c r="C393" s="54"/>
      <c r="F393" s="449"/>
      <c r="H393" s="449"/>
      <c r="I393" s="449"/>
      <c r="J393" s="221"/>
      <c r="K393" s="221"/>
      <c r="L393" s="379"/>
      <c r="M393" s="379"/>
      <c r="N393" s="50"/>
      <c r="O393" s="50"/>
      <c r="P393" s="379"/>
      <c r="Q393" s="379"/>
      <c r="R393" s="379"/>
      <c r="T393" s="54"/>
      <c r="V393" s="379"/>
      <c r="Y393" s="379"/>
      <c r="Z393" s="221"/>
      <c r="AA393" s="379"/>
      <c r="AB393" s="379"/>
      <c r="AC393" s="50"/>
      <c r="AD393" s="50"/>
      <c r="AE393" s="379"/>
      <c r="AF393" s="379"/>
      <c r="AG393" s="156"/>
      <c r="AH393" s="60"/>
      <c r="AI393" s="379"/>
      <c r="AJ393" s="379"/>
      <c r="AK393" s="156"/>
      <c r="AL393" s="379"/>
      <c r="AM393" s="50"/>
      <c r="AN393" s="50"/>
    </row>
    <row r="394" spans="1:40" x14ac:dyDescent="0.25">
      <c r="F394" s="381"/>
      <c r="H394" s="381"/>
      <c r="I394" s="381"/>
      <c r="J394" s="464"/>
      <c r="K394" s="464"/>
      <c r="L394" s="381"/>
      <c r="M394" s="381"/>
      <c r="N394" s="381"/>
      <c r="O394" s="381"/>
      <c r="P394" s="381"/>
      <c r="Q394" s="381"/>
      <c r="R394" s="381"/>
      <c r="V394" s="381"/>
      <c r="Y394" s="381"/>
      <c r="Z394" s="221"/>
      <c r="AA394" s="381"/>
      <c r="AB394" s="381"/>
      <c r="AC394" s="381"/>
      <c r="AD394" s="381"/>
      <c r="AE394" s="381"/>
      <c r="AF394" s="381"/>
      <c r="AI394" s="381"/>
      <c r="AJ394" s="381"/>
      <c r="AK394" s="162"/>
      <c r="AL394" s="381"/>
    </row>
    <row r="395" spans="1:40" x14ac:dyDescent="0.25">
      <c r="A395" s="53"/>
      <c r="C395" s="54"/>
      <c r="F395" s="379"/>
      <c r="H395" s="379"/>
      <c r="I395" s="379"/>
      <c r="L395" s="379"/>
      <c r="M395" s="379"/>
      <c r="N395" s="60"/>
      <c r="O395" s="60"/>
      <c r="P395" s="379"/>
      <c r="Q395" s="379"/>
      <c r="R395" s="379"/>
      <c r="T395" s="54"/>
      <c r="V395" s="379"/>
      <c r="Y395" s="379"/>
      <c r="AA395" s="379"/>
      <c r="AB395" s="379"/>
      <c r="AC395" s="50"/>
      <c r="AD395" s="50"/>
      <c r="AE395" s="379"/>
      <c r="AF395" s="379"/>
      <c r="AG395" s="156"/>
      <c r="AH395" s="60"/>
      <c r="AI395" s="379"/>
      <c r="AJ395" s="379"/>
      <c r="AK395" s="156"/>
      <c r="AL395" s="379"/>
      <c r="AM395" s="50"/>
      <c r="AN395" s="50"/>
    </row>
    <row r="396" spans="1:40" x14ac:dyDescent="0.25">
      <c r="F396" s="381"/>
      <c r="H396" s="381"/>
      <c r="I396" s="381"/>
      <c r="J396" s="464"/>
      <c r="K396" s="464"/>
      <c r="L396" s="381"/>
      <c r="M396" s="381"/>
      <c r="N396" s="381"/>
      <c r="O396" s="381"/>
      <c r="P396" s="381"/>
      <c r="Q396" s="381"/>
      <c r="R396" s="381"/>
      <c r="V396" s="381"/>
      <c r="Y396" s="381"/>
      <c r="Z396" s="464"/>
      <c r="AA396" s="381"/>
      <c r="AB396" s="381"/>
      <c r="AC396" s="381"/>
      <c r="AD396" s="381"/>
      <c r="AE396" s="381"/>
      <c r="AF396" s="381"/>
      <c r="AI396" s="381"/>
      <c r="AJ396" s="381"/>
      <c r="AK396" s="162"/>
      <c r="AL396" s="381"/>
    </row>
    <row r="397" spans="1:40" x14ac:dyDescent="0.25">
      <c r="A397" s="53"/>
      <c r="C397" s="54"/>
      <c r="T397" s="54"/>
    </row>
    <row r="398" spans="1:40" x14ac:dyDescent="0.25">
      <c r="A398" s="53"/>
      <c r="C398" s="54"/>
      <c r="F398" s="449"/>
      <c r="H398" s="449"/>
      <c r="I398" s="449"/>
      <c r="J398" s="461"/>
      <c r="K398" s="461"/>
      <c r="L398" s="379"/>
      <c r="M398" s="379"/>
      <c r="N398" s="50"/>
      <c r="O398" s="50"/>
      <c r="P398" s="379"/>
      <c r="Q398" s="379"/>
      <c r="R398" s="379"/>
      <c r="T398" s="54"/>
      <c r="V398" s="379"/>
      <c r="Y398" s="379"/>
      <c r="Z398" s="461"/>
      <c r="AA398" s="379"/>
      <c r="AB398" s="379"/>
      <c r="AC398" s="50"/>
      <c r="AD398" s="50"/>
      <c r="AE398" s="379"/>
      <c r="AF398" s="379"/>
      <c r="AG398" s="156"/>
      <c r="AH398" s="60"/>
      <c r="AI398" s="379"/>
      <c r="AJ398" s="379"/>
      <c r="AK398" s="156"/>
      <c r="AL398" s="379"/>
      <c r="AM398" s="50"/>
      <c r="AN398" s="50"/>
    </row>
    <row r="399" spans="1:40" x14ac:dyDescent="0.25">
      <c r="A399" s="53"/>
      <c r="C399" s="54"/>
      <c r="F399" s="449"/>
      <c r="H399" s="449"/>
      <c r="I399" s="449"/>
      <c r="J399" s="461"/>
      <c r="K399" s="461"/>
      <c r="L399" s="379"/>
      <c r="M399" s="379"/>
      <c r="N399" s="50"/>
      <c r="O399" s="50"/>
      <c r="P399" s="379"/>
      <c r="Q399" s="379"/>
      <c r="R399" s="379"/>
      <c r="T399" s="54"/>
      <c r="V399" s="379"/>
      <c r="Y399" s="379"/>
      <c r="Z399" s="461"/>
      <c r="AA399" s="379"/>
      <c r="AB399" s="379"/>
      <c r="AC399" s="50"/>
      <c r="AD399" s="50"/>
      <c r="AE399" s="379"/>
      <c r="AF399" s="379"/>
      <c r="AG399" s="156"/>
      <c r="AH399" s="60"/>
      <c r="AI399" s="379"/>
      <c r="AJ399" s="379"/>
      <c r="AK399" s="156"/>
      <c r="AL399" s="379"/>
      <c r="AM399" s="50"/>
      <c r="AN399" s="50"/>
    </row>
    <row r="400" spans="1:40" x14ac:dyDescent="0.25">
      <c r="F400" s="381"/>
      <c r="H400" s="379"/>
      <c r="I400" s="379"/>
      <c r="J400" s="464"/>
      <c r="K400" s="464"/>
      <c r="L400" s="381"/>
      <c r="M400" s="381"/>
      <c r="N400" s="381"/>
      <c r="O400" s="381"/>
      <c r="P400" s="381"/>
      <c r="Q400" s="381"/>
      <c r="R400" s="381"/>
      <c r="V400" s="381"/>
      <c r="Y400" s="379"/>
      <c r="Z400" s="464"/>
      <c r="AA400" s="381"/>
      <c r="AB400" s="381"/>
      <c r="AC400" s="381"/>
      <c r="AD400" s="381"/>
      <c r="AE400" s="381"/>
      <c r="AF400" s="381"/>
      <c r="AI400" s="381"/>
      <c r="AJ400" s="381"/>
      <c r="AK400" s="162"/>
      <c r="AL400" s="381"/>
    </row>
    <row r="401" spans="1:40" x14ac:dyDescent="0.25">
      <c r="F401" s="379"/>
      <c r="H401" s="379"/>
      <c r="I401" s="379"/>
      <c r="J401" s="464"/>
      <c r="K401" s="464"/>
      <c r="L401" s="379"/>
      <c r="M401" s="379"/>
      <c r="N401" s="379"/>
      <c r="O401" s="379"/>
      <c r="P401" s="379"/>
      <c r="Q401" s="379"/>
      <c r="R401" s="379"/>
      <c r="V401" s="379"/>
      <c r="Y401" s="379"/>
      <c r="Z401" s="464"/>
      <c r="AA401" s="379"/>
      <c r="AB401" s="379"/>
      <c r="AC401" s="379"/>
      <c r="AD401" s="379"/>
      <c r="AE401" s="379"/>
      <c r="AF401" s="379"/>
      <c r="AI401" s="379"/>
      <c r="AJ401" s="379"/>
      <c r="AK401" s="156"/>
      <c r="AL401" s="379"/>
    </row>
    <row r="402" spans="1:40" x14ac:dyDescent="0.25">
      <c r="A402" s="53"/>
      <c r="C402" s="54"/>
      <c r="F402" s="379"/>
      <c r="H402" s="379"/>
      <c r="I402" s="379"/>
      <c r="L402" s="379"/>
      <c r="M402" s="379"/>
      <c r="N402" s="50"/>
      <c r="O402" s="50"/>
      <c r="P402" s="379"/>
      <c r="Q402" s="379"/>
      <c r="R402" s="379"/>
      <c r="T402" s="54"/>
      <c r="V402" s="379"/>
      <c r="Y402" s="379"/>
      <c r="AA402" s="379"/>
      <c r="AB402" s="379"/>
      <c r="AC402" s="50"/>
      <c r="AD402" s="50"/>
      <c r="AE402" s="379"/>
      <c r="AF402" s="379"/>
      <c r="AG402" s="156"/>
      <c r="AH402" s="60"/>
      <c r="AI402" s="449"/>
      <c r="AJ402" s="449"/>
      <c r="AK402" s="156"/>
      <c r="AL402" s="379"/>
      <c r="AM402" s="50"/>
      <c r="AN402" s="50"/>
    </row>
    <row r="403" spans="1:40" x14ac:dyDescent="0.25">
      <c r="H403" s="381"/>
      <c r="I403" s="381"/>
      <c r="J403" s="464"/>
      <c r="K403" s="464"/>
      <c r="L403" s="381"/>
      <c r="M403" s="381"/>
      <c r="N403" s="381"/>
      <c r="O403" s="381"/>
      <c r="P403" s="381"/>
      <c r="Q403" s="381"/>
      <c r="R403" s="381"/>
      <c r="V403" s="381"/>
      <c r="Y403" s="381"/>
      <c r="Z403" s="464"/>
      <c r="AA403" s="381"/>
      <c r="AB403" s="381"/>
      <c r="AC403" s="381"/>
      <c r="AD403" s="381"/>
      <c r="AE403" s="381"/>
      <c r="AF403" s="381"/>
      <c r="AI403" s="381"/>
      <c r="AJ403" s="381"/>
      <c r="AK403" s="162"/>
      <c r="AL403" s="381"/>
    </row>
    <row r="404" spans="1:40" x14ac:dyDescent="0.25">
      <c r="F404" s="381"/>
    </row>
    <row r="405" spans="1:40" x14ac:dyDescent="0.25">
      <c r="A405" s="54"/>
      <c r="T405" s="54"/>
    </row>
    <row r="406" spans="1:40" x14ac:dyDescent="0.25">
      <c r="A406" s="54"/>
      <c r="T406" s="54"/>
    </row>
    <row r="407" spans="1:40" x14ac:dyDescent="0.25">
      <c r="A407" s="54"/>
      <c r="T407" s="54"/>
    </row>
    <row r="408" spans="1:40" x14ac:dyDescent="0.25">
      <c r="A408" s="54"/>
      <c r="T408" s="54"/>
    </row>
    <row r="409" spans="1:40" x14ac:dyDescent="0.25">
      <c r="A409" s="54"/>
      <c r="T409" s="54"/>
    </row>
    <row r="410" spans="1:40" x14ac:dyDescent="0.25">
      <c r="A410" s="54"/>
      <c r="T410" s="54"/>
    </row>
    <row r="411" spans="1:40" x14ac:dyDescent="0.25">
      <c r="A411" s="54"/>
      <c r="T411" s="54"/>
    </row>
    <row r="412" spans="1:40" x14ac:dyDescent="0.25">
      <c r="A412" s="54"/>
      <c r="T412" s="54"/>
    </row>
    <row r="413" spans="1:40" x14ac:dyDescent="0.25">
      <c r="A413" s="54"/>
      <c r="T413" s="54"/>
    </row>
    <row r="415" spans="1:40" x14ac:dyDescent="0.25">
      <c r="A415" s="54"/>
    </row>
    <row r="416" spans="1:40" x14ac:dyDescent="0.25">
      <c r="J416" s="53"/>
      <c r="K416" s="53"/>
      <c r="Z416" s="53"/>
    </row>
    <row r="417" spans="1:40" x14ac:dyDescent="0.25">
      <c r="H417" s="54"/>
      <c r="I417" s="54"/>
      <c r="Y417" s="54"/>
    </row>
    <row r="418" spans="1:40" x14ac:dyDescent="0.25">
      <c r="J418" s="53"/>
      <c r="K418" s="53"/>
      <c r="Z418" s="53"/>
    </row>
    <row r="419" spans="1:40" x14ac:dyDescent="0.25">
      <c r="L419" s="54"/>
      <c r="M419" s="54"/>
      <c r="AA419" s="54"/>
      <c r="AB419" s="54"/>
    </row>
    <row r="420" spans="1:40" x14ac:dyDescent="0.25">
      <c r="A420" s="53"/>
      <c r="R420" s="54"/>
      <c r="AK420" s="161"/>
      <c r="AL420" s="54"/>
    </row>
    <row r="421" spans="1:40" x14ac:dyDescent="0.25">
      <c r="A421" s="53"/>
      <c r="R421" s="54"/>
      <c r="AK421" s="161"/>
      <c r="AL421" s="54"/>
    </row>
    <row r="422" spans="1:40" x14ac:dyDescent="0.25">
      <c r="A422" s="54"/>
      <c r="R422" s="54"/>
      <c r="AK422" s="161"/>
      <c r="AL422" s="54"/>
    </row>
    <row r="423" spans="1:40" x14ac:dyDescent="0.25">
      <c r="L423" s="54"/>
      <c r="M423" s="54"/>
      <c r="R423" s="53"/>
      <c r="AA423" s="54"/>
      <c r="AB423" s="54"/>
      <c r="AK423" s="156"/>
      <c r="AL423" s="53"/>
    </row>
    <row r="424" spans="1:40" x14ac:dyDescent="0.25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154"/>
      <c r="AH424" s="55"/>
      <c r="AI424" s="55"/>
      <c r="AJ424" s="55"/>
      <c r="AK424" s="154"/>
      <c r="AL424" s="55"/>
      <c r="AM424" s="55"/>
      <c r="AN424" s="55"/>
    </row>
    <row r="425" spans="1:40" x14ac:dyDescent="0.25">
      <c r="L425" s="56"/>
      <c r="M425" s="56"/>
      <c r="N425" s="56"/>
      <c r="O425" s="56"/>
      <c r="R425" s="56"/>
      <c r="AA425" s="56"/>
      <c r="AB425" s="56"/>
      <c r="AC425" s="56"/>
      <c r="AD425" s="56"/>
      <c r="AE425" s="56"/>
      <c r="AF425" s="56"/>
      <c r="AG425" s="155"/>
      <c r="AH425" s="56"/>
      <c r="AK425" s="155"/>
      <c r="AL425" s="56"/>
      <c r="AM425" s="56"/>
      <c r="AN425" s="56"/>
    </row>
    <row r="426" spans="1:40" x14ac:dyDescent="0.25">
      <c r="L426" s="56"/>
      <c r="M426" s="56"/>
      <c r="N426" s="56"/>
      <c r="O426" s="56"/>
      <c r="R426" s="56"/>
      <c r="Z426" s="56"/>
      <c r="AA426" s="56"/>
      <c r="AB426" s="56"/>
      <c r="AC426" s="56"/>
      <c r="AD426" s="56"/>
      <c r="AE426" s="56"/>
      <c r="AF426" s="56"/>
      <c r="AG426" s="155"/>
      <c r="AH426" s="56"/>
      <c r="AK426" s="155"/>
      <c r="AL426" s="56"/>
      <c r="AM426" s="56"/>
      <c r="AN426" s="56"/>
    </row>
    <row r="427" spans="1:40" x14ac:dyDescent="0.25">
      <c r="A427" s="56"/>
      <c r="C427" s="56"/>
      <c r="D427" s="56"/>
      <c r="E427" s="56"/>
      <c r="F427" s="56"/>
      <c r="J427" s="56"/>
      <c r="K427" s="56"/>
      <c r="L427" s="56"/>
      <c r="M427" s="56"/>
      <c r="N427" s="56"/>
      <c r="O427" s="56"/>
      <c r="P427" s="56"/>
      <c r="Q427" s="56"/>
      <c r="R427" s="56"/>
      <c r="T427" s="56"/>
      <c r="U427" s="56"/>
      <c r="V427" s="56"/>
      <c r="Z427" s="56"/>
      <c r="AA427" s="56"/>
      <c r="AB427" s="56"/>
      <c r="AC427" s="56"/>
      <c r="AD427" s="56"/>
      <c r="AE427" s="56"/>
      <c r="AF427" s="56"/>
      <c r="AG427" s="155"/>
      <c r="AH427" s="56"/>
      <c r="AI427" s="56"/>
      <c r="AJ427" s="56"/>
      <c r="AK427" s="155"/>
      <c r="AL427" s="56"/>
      <c r="AM427" s="56"/>
      <c r="AN427" s="56"/>
    </row>
    <row r="428" spans="1:40" x14ac:dyDescent="0.25">
      <c r="A428" s="56"/>
      <c r="C428" s="56"/>
      <c r="D428" s="56"/>
      <c r="E428" s="56"/>
      <c r="F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T428" s="56"/>
      <c r="U428" s="56"/>
      <c r="V428" s="56"/>
      <c r="Y428" s="56"/>
      <c r="Z428" s="56"/>
      <c r="AA428" s="56"/>
      <c r="AB428" s="56"/>
      <c r="AC428" s="56"/>
      <c r="AD428" s="56"/>
      <c r="AE428" s="56"/>
      <c r="AF428" s="56"/>
      <c r="AG428" s="155"/>
      <c r="AH428" s="56"/>
      <c r="AI428" s="56"/>
      <c r="AJ428" s="56"/>
      <c r="AK428" s="155"/>
      <c r="AL428" s="56"/>
      <c r="AM428" s="56"/>
      <c r="AN428" s="56"/>
    </row>
    <row r="429" spans="1:40" x14ac:dyDescent="0.25">
      <c r="C429" s="56"/>
      <c r="D429" s="56"/>
      <c r="E429" s="56"/>
      <c r="F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T429" s="56"/>
      <c r="U429" s="56"/>
      <c r="V429" s="56"/>
      <c r="Y429" s="56"/>
      <c r="Z429" s="56"/>
      <c r="AA429" s="56"/>
      <c r="AB429" s="56"/>
      <c r="AC429" s="56"/>
      <c r="AD429" s="56"/>
      <c r="AE429" s="56"/>
      <c r="AF429" s="56"/>
      <c r="AG429" s="155"/>
      <c r="AH429" s="56"/>
      <c r="AI429" s="56"/>
      <c r="AJ429" s="56"/>
      <c r="AK429" s="155"/>
      <c r="AL429" s="56"/>
      <c r="AM429" s="56"/>
      <c r="AN429" s="56"/>
    </row>
    <row r="430" spans="1:40" x14ac:dyDescent="0.25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154"/>
      <c r="AH430" s="55"/>
      <c r="AI430" s="55"/>
      <c r="AJ430" s="55"/>
      <c r="AK430" s="154"/>
      <c r="AL430" s="55"/>
      <c r="AM430" s="55"/>
      <c r="AN430" s="55"/>
    </row>
    <row r="431" spans="1:40" x14ac:dyDescent="0.25"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Y431" s="56"/>
      <c r="Z431" s="56"/>
      <c r="AA431" s="56"/>
      <c r="AB431" s="56"/>
      <c r="AC431" s="56"/>
      <c r="AD431" s="56"/>
      <c r="AE431" s="56"/>
      <c r="AF431" s="56"/>
      <c r="AG431" s="155"/>
      <c r="AH431" s="56"/>
      <c r="AI431" s="56"/>
      <c r="AJ431" s="56"/>
      <c r="AK431" s="155"/>
      <c r="AL431" s="56"/>
      <c r="AM431" s="56"/>
      <c r="AN431" s="56"/>
    </row>
    <row r="432" spans="1:40" x14ac:dyDescent="0.25">
      <c r="A432" s="53"/>
      <c r="C432" s="54"/>
      <c r="D432" s="54"/>
      <c r="E432" s="54"/>
      <c r="T432" s="54"/>
      <c r="U432" s="54"/>
    </row>
    <row r="433" spans="1:40" x14ac:dyDescent="0.25">
      <c r="A433" s="53"/>
      <c r="D433" s="54"/>
      <c r="E433" s="54"/>
      <c r="U433" s="54"/>
    </row>
    <row r="435" spans="1:40" x14ac:dyDescent="0.25">
      <c r="A435" s="53"/>
      <c r="C435" s="54"/>
      <c r="F435" s="379"/>
      <c r="J435" s="62"/>
      <c r="K435" s="62"/>
      <c r="L435" s="379"/>
      <c r="M435" s="379"/>
      <c r="R435" s="379"/>
      <c r="T435" s="54"/>
      <c r="V435" s="379"/>
      <c r="Z435" s="62"/>
      <c r="AA435" s="379"/>
      <c r="AB435" s="379"/>
      <c r="AG435" s="156"/>
      <c r="AH435" s="379"/>
      <c r="AK435" s="156"/>
      <c r="AL435" s="379"/>
    </row>
    <row r="436" spans="1:40" x14ac:dyDescent="0.25">
      <c r="A436" s="53"/>
      <c r="C436" s="54"/>
      <c r="F436" s="379"/>
      <c r="R436" s="379"/>
      <c r="T436" s="54"/>
      <c r="V436" s="379"/>
      <c r="AG436" s="156"/>
      <c r="AH436" s="379"/>
      <c r="AK436" s="156"/>
      <c r="AL436" s="379"/>
    </row>
    <row r="437" spans="1:40" x14ac:dyDescent="0.25">
      <c r="AI437" s="379"/>
      <c r="AJ437" s="379"/>
      <c r="AK437" s="156"/>
      <c r="AL437" s="379"/>
      <c r="AM437" s="50"/>
      <c r="AN437" s="50"/>
    </row>
    <row r="438" spans="1:40" x14ac:dyDescent="0.25">
      <c r="A438" s="53"/>
      <c r="C438" s="54"/>
      <c r="F438" s="449"/>
      <c r="H438" s="449"/>
      <c r="I438" s="449"/>
      <c r="J438" s="477"/>
      <c r="K438" s="477"/>
      <c r="L438" s="379"/>
      <c r="M438" s="379"/>
      <c r="N438" s="50"/>
      <c r="O438" s="50"/>
      <c r="P438" s="379"/>
      <c r="Q438" s="379"/>
      <c r="R438" s="379"/>
      <c r="T438" s="54"/>
      <c r="V438" s="379"/>
      <c r="Y438" s="379"/>
      <c r="Z438" s="477"/>
      <c r="AA438" s="379"/>
      <c r="AB438" s="379"/>
      <c r="AC438" s="50"/>
      <c r="AD438" s="50"/>
      <c r="AE438" s="379"/>
      <c r="AF438" s="379"/>
      <c r="AG438" s="156"/>
      <c r="AH438" s="60"/>
      <c r="AI438" s="379"/>
      <c r="AJ438" s="379"/>
      <c r="AK438" s="156"/>
      <c r="AL438" s="379"/>
      <c r="AM438" s="50"/>
      <c r="AN438" s="50"/>
    </row>
    <row r="439" spans="1:40" x14ac:dyDescent="0.25">
      <c r="F439" s="379"/>
      <c r="H439" s="379"/>
      <c r="I439" s="379"/>
      <c r="J439" s="59"/>
      <c r="K439" s="59"/>
      <c r="L439" s="379"/>
      <c r="M439" s="379"/>
      <c r="P439" s="379"/>
      <c r="Q439" s="379"/>
      <c r="R439" s="379"/>
      <c r="V439" s="379"/>
      <c r="Y439" s="379"/>
      <c r="Z439" s="59"/>
      <c r="AA439" s="379"/>
      <c r="AB439" s="379"/>
      <c r="AI439" s="379"/>
      <c r="AJ439" s="379"/>
      <c r="AK439" s="156"/>
      <c r="AL439" s="379"/>
      <c r="AM439" s="50"/>
      <c r="AN439" s="50"/>
    </row>
    <row r="440" spans="1:40" x14ac:dyDescent="0.25">
      <c r="F440" s="379"/>
      <c r="R440" s="379"/>
      <c r="V440" s="379"/>
      <c r="AK440" s="156"/>
      <c r="AL440" s="379"/>
      <c r="AM440" s="50"/>
      <c r="AN440" s="50"/>
    </row>
    <row r="441" spans="1:40" x14ac:dyDescent="0.25">
      <c r="A441" s="53"/>
      <c r="C441" s="54"/>
      <c r="F441" s="379"/>
      <c r="J441" s="62"/>
      <c r="K441" s="62"/>
      <c r="L441" s="379"/>
      <c r="M441" s="379"/>
      <c r="N441" s="50"/>
      <c r="O441" s="50"/>
      <c r="R441" s="379"/>
      <c r="T441" s="54"/>
      <c r="V441" s="379"/>
      <c r="Z441" s="62"/>
      <c r="AA441" s="379"/>
      <c r="AB441" s="379"/>
      <c r="AC441" s="50"/>
      <c r="AD441" s="50"/>
      <c r="AK441" s="156"/>
      <c r="AL441" s="379"/>
      <c r="AM441" s="50"/>
      <c r="AN441" s="50"/>
    </row>
    <row r="442" spans="1:40" x14ac:dyDescent="0.25">
      <c r="A442" s="53"/>
      <c r="C442" s="54"/>
      <c r="F442" s="379"/>
      <c r="H442" s="379"/>
      <c r="I442" s="379"/>
      <c r="J442" s="62"/>
      <c r="K442" s="62"/>
      <c r="L442" s="379"/>
      <c r="M442" s="379"/>
      <c r="N442" s="50"/>
      <c r="O442" s="50"/>
      <c r="P442" s="379"/>
      <c r="Q442" s="379"/>
      <c r="R442" s="379"/>
      <c r="T442" s="54"/>
      <c r="V442" s="379"/>
      <c r="Y442" s="379"/>
      <c r="Z442" s="62"/>
      <c r="AA442" s="379"/>
      <c r="AB442" s="379"/>
      <c r="AC442" s="50"/>
      <c r="AD442" s="50"/>
      <c r="AI442" s="379"/>
      <c r="AJ442" s="379"/>
      <c r="AK442" s="156"/>
      <c r="AL442" s="379"/>
      <c r="AM442" s="50"/>
      <c r="AN442" s="50"/>
    </row>
    <row r="443" spans="1:40" x14ac:dyDescent="0.25">
      <c r="A443" s="53"/>
      <c r="C443" s="54"/>
      <c r="T443" s="54"/>
      <c r="AM443" s="50"/>
      <c r="AN443" s="50"/>
    </row>
    <row r="444" spans="1:40" x14ac:dyDescent="0.25">
      <c r="A444" s="53"/>
      <c r="C444" s="54"/>
      <c r="T444" s="54"/>
      <c r="AM444" s="50"/>
      <c r="AN444" s="50"/>
    </row>
    <row r="445" spans="1:40" x14ac:dyDescent="0.25">
      <c r="AM445" s="50"/>
      <c r="AN445" s="50"/>
    </row>
    <row r="446" spans="1:40" x14ac:dyDescent="0.25">
      <c r="A446" s="53"/>
      <c r="C446" s="54"/>
      <c r="F446" s="449"/>
      <c r="H446" s="449"/>
      <c r="I446" s="449"/>
      <c r="J446" s="477"/>
      <c r="K446" s="477"/>
      <c r="L446" s="379"/>
      <c r="M446" s="379"/>
      <c r="N446" s="50"/>
      <c r="O446" s="50"/>
      <c r="P446" s="379"/>
      <c r="Q446" s="379"/>
      <c r="R446" s="379"/>
      <c r="T446" s="54"/>
      <c r="V446" s="379"/>
      <c r="Y446" s="379"/>
      <c r="Z446" s="477"/>
      <c r="AA446" s="379"/>
      <c r="AB446" s="379"/>
      <c r="AC446" s="50"/>
      <c r="AD446" s="50"/>
      <c r="AE446" s="379"/>
      <c r="AF446" s="379"/>
      <c r="AG446" s="156"/>
      <c r="AH446" s="60"/>
      <c r="AI446" s="379"/>
      <c r="AJ446" s="379"/>
      <c r="AK446" s="156"/>
      <c r="AL446" s="379"/>
      <c r="AM446" s="50"/>
      <c r="AN446" s="50"/>
    </row>
    <row r="447" spans="1:40" x14ac:dyDescent="0.25">
      <c r="F447" s="381"/>
      <c r="H447" s="381"/>
      <c r="I447" s="381"/>
      <c r="J447" s="464"/>
      <c r="K447" s="464"/>
      <c r="L447" s="381"/>
      <c r="M447" s="381"/>
      <c r="N447" s="381"/>
      <c r="O447" s="381"/>
      <c r="P447" s="381"/>
      <c r="Q447" s="381"/>
      <c r="R447" s="381"/>
      <c r="V447" s="381"/>
      <c r="Y447" s="381"/>
      <c r="Z447" s="464"/>
      <c r="AA447" s="381"/>
      <c r="AB447" s="381"/>
      <c r="AC447" s="381"/>
      <c r="AD447" s="381"/>
      <c r="AE447" s="381"/>
      <c r="AF447" s="381"/>
      <c r="AI447" s="381"/>
      <c r="AJ447" s="381"/>
      <c r="AK447" s="162"/>
      <c r="AL447" s="381"/>
      <c r="AM447" s="50"/>
      <c r="AN447" s="50"/>
    </row>
    <row r="448" spans="1:40" x14ac:dyDescent="0.25">
      <c r="H448" s="379"/>
      <c r="I448" s="379"/>
      <c r="Y448" s="379"/>
      <c r="AM448" s="50"/>
      <c r="AN448" s="50"/>
    </row>
    <row r="449" spans="1:40" x14ac:dyDescent="0.25">
      <c r="A449" s="53"/>
      <c r="C449" s="54"/>
      <c r="F449" s="379"/>
      <c r="H449" s="379"/>
      <c r="I449" s="379"/>
      <c r="L449" s="379"/>
      <c r="M449" s="379"/>
      <c r="N449" s="50"/>
      <c r="O449" s="50"/>
      <c r="P449" s="449"/>
      <c r="Q449" s="449"/>
      <c r="R449" s="379"/>
      <c r="T449" s="54"/>
      <c r="V449" s="379"/>
      <c r="Y449" s="379"/>
      <c r="AA449" s="379"/>
      <c r="AB449" s="379"/>
      <c r="AC449" s="50"/>
      <c r="AD449" s="50"/>
      <c r="AE449" s="379"/>
      <c r="AF449" s="379"/>
      <c r="AG449" s="156"/>
      <c r="AH449" s="60"/>
      <c r="AI449" s="449"/>
      <c r="AJ449" s="449"/>
      <c r="AK449" s="156"/>
      <c r="AL449" s="379"/>
      <c r="AM449" s="50"/>
      <c r="AN449" s="50"/>
    </row>
    <row r="450" spans="1:40" x14ac:dyDescent="0.25">
      <c r="H450" s="381"/>
      <c r="I450" s="381"/>
      <c r="J450" s="464"/>
      <c r="K450" s="464"/>
      <c r="L450" s="381"/>
      <c r="M450" s="381"/>
      <c r="N450" s="381"/>
      <c r="O450" s="381"/>
      <c r="P450" s="381"/>
      <c r="Q450" s="381"/>
      <c r="R450" s="381"/>
      <c r="V450" s="381"/>
      <c r="Y450" s="381"/>
      <c r="Z450" s="464"/>
      <c r="AA450" s="381"/>
      <c r="AB450" s="381"/>
      <c r="AC450" s="381"/>
      <c r="AD450" s="381"/>
      <c r="AE450" s="381"/>
      <c r="AF450" s="381"/>
      <c r="AI450" s="381"/>
      <c r="AJ450" s="381"/>
      <c r="AK450" s="162"/>
      <c r="AL450" s="381"/>
      <c r="AM450" s="50"/>
      <c r="AN450" s="50"/>
    </row>
    <row r="451" spans="1:40" x14ac:dyDescent="0.25">
      <c r="F451" s="381"/>
    </row>
    <row r="452" spans="1:40" x14ac:dyDescent="0.25">
      <c r="F452" s="379"/>
      <c r="H452" s="379"/>
      <c r="I452" s="379"/>
      <c r="J452" s="59"/>
      <c r="K452" s="59"/>
      <c r="L452" s="379"/>
      <c r="M452" s="379"/>
      <c r="N452" s="379"/>
      <c r="O452" s="379"/>
      <c r="P452" s="379"/>
      <c r="Q452" s="379"/>
      <c r="R452" s="379"/>
      <c r="V452" s="379"/>
      <c r="Y452" s="379"/>
      <c r="Z452" s="59"/>
      <c r="AA452" s="379"/>
      <c r="AB452" s="379"/>
      <c r="AC452" s="379"/>
      <c r="AD452" s="379"/>
      <c r="AE452" s="379"/>
      <c r="AF452" s="379"/>
      <c r="AG452" s="156"/>
      <c r="AH452" s="379"/>
      <c r="AI452" s="379"/>
      <c r="AJ452" s="379"/>
      <c r="AK452" s="156"/>
      <c r="AL452" s="379"/>
    </row>
    <row r="453" spans="1:40" x14ac:dyDescent="0.25">
      <c r="A453" s="54"/>
    </row>
    <row r="454" spans="1:40" x14ac:dyDescent="0.25">
      <c r="J454" s="53"/>
      <c r="K454" s="53"/>
      <c r="Z454" s="53"/>
    </row>
    <row r="455" spans="1:40" x14ac:dyDescent="0.25">
      <c r="H455" s="54"/>
      <c r="I455" s="54"/>
      <c r="Y455" s="54"/>
    </row>
    <row r="456" spans="1:40" x14ac:dyDescent="0.25">
      <c r="J456" s="53"/>
      <c r="K456" s="53"/>
      <c r="Z456" s="53"/>
    </row>
    <row r="457" spans="1:40" x14ac:dyDescent="0.25">
      <c r="L457" s="54"/>
      <c r="M457" s="54"/>
      <c r="AA457" s="54"/>
      <c r="AB457" s="54"/>
    </row>
    <row r="458" spans="1:40" x14ac:dyDescent="0.25">
      <c r="A458" s="53"/>
      <c r="R458" s="54"/>
      <c r="AK458" s="161"/>
      <c r="AL458" s="54"/>
    </row>
    <row r="459" spans="1:40" x14ac:dyDescent="0.25">
      <c r="A459" s="53"/>
      <c r="R459" s="54"/>
      <c r="AK459" s="161"/>
      <c r="AL459" s="54"/>
    </row>
    <row r="460" spans="1:40" x14ac:dyDescent="0.25">
      <c r="A460" s="54"/>
      <c r="R460" s="54"/>
      <c r="AK460" s="161"/>
      <c r="AL460" s="54"/>
    </row>
    <row r="461" spans="1:40" x14ac:dyDescent="0.25">
      <c r="L461" s="54"/>
      <c r="M461" s="54"/>
      <c r="R461" s="53"/>
      <c r="AA461" s="54"/>
      <c r="AB461" s="54"/>
      <c r="AK461" s="156"/>
      <c r="AL461" s="53"/>
    </row>
    <row r="462" spans="1:40" x14ac:dyDescent="0.25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154"/>
      <c r="AH462" s="55"/>
      <c r="AI462" s="55"/>
      <c r="AJ462" s="55"/>
      <c r="AK462" s="154"/>
      <c r="AL462" s="55"/>
      <c r="AM462" s="55"/>
      <c r="AN462" s="55"/>
    </row>
    <row r="463" spans="1:40" x14ac:dyDescent="0.25">
      <c r="L463" s="56"/>
      <c r="M463" s="56"/>
      <c r="N463" s="56"/>
      <c r="O463" s="56"/>
      <c r="R463" s="56"/>
      <c r="AA463" s="56"/>
      <c r="AB463" s="56"/>
      <c r="AC463" s="56"/>
      <c r="AD463" s="56"/>
      <c r="AE463" s="56"/>
      <c r="AF463" s="56"/>
      <c r="AG463" s="155"/>
      <c r="AH463" s="56"/>
      <c r="AK463" s="155"/>
      <c r="AL463" s="56"/>
      <c r="AM463" s="56"/>
      <c r="AN463" s="56"/>
    </row>
    <row r="464" spans="1:40" x14ac:dyDescent="0.25">
      <c r="L464" s="56"/>
      <c r="M464" s="56"/>
      <c r="N464" s="56"/>
      <c r="O464" s="56"/>
      <c r="R464" s="56"/>
      <c r="Z464" s="56"/>
      <c r="AA464" s="56"/>
      <c r="AB464" s="56"/>
      <c r="AC464" s="56"/>
      <c r="AD464" s="56"/>
      <c r="AE464" s="56"/>
      <c r="AF464" s="56"/>
      <c r="AG464" s="155"/>
      <c r="AH464" s="56"/>
      <c r="AK464" s="155"/>
      <c r="AL464" s="56"/>
      <c r="AM464" s="56"/>
      <c r="AN464" s="56"/>
    </row>
    <row r="465" spans="1:40" x14ac:dyDescent="0.25">
      <c r="A465" s="56"/>
      <c r="C465" s="56"/>
      <c r="D465" s="56"/>
      <c r="E465" s="56"/>
      <c r="F465" s="56"/>
      <c r="J465" s="56"/>
      <c r="K465" s="56"/>
      <c r="L465" s="56"/>
      <c r="M465" s="56"/>
      <c r="N465" s="56"/>
      <c r="O465" s="56"/>
      <c r="P465" s="56"/>
      <c r="Q465" s="56"/>
      <c r="R465" s="56"/>
      <c r="T465" s="56"/>
      <c r="U465" s="56"/>
      <c r="V465" s="56"/>
      <c r="Z465" s="56"/>
      <c r="AA465" s="56"/>
      <c r="AB465" s="56"/>
      <c r="AC465" s="56"/>
      <c r="AD465" s="56"/>
      <c r="AE465" s="56"/>
      <c r="AF465" s="56"/>
      <c r="AG465" s="155"/>
      <c r="AH465" s="56"/>
      <c r="AI465" s="56"/>
      <c r="AJ465" s="56"/>
      <c r="AK465" s="155"/>
      <c r="AL465" s="56"/>
      <c r="AM465" s="56"/>
      <c r="AN465" s="56"/>
    </row>
    <row r="466" spans="1:40" x14ac:dyDescent="0.25">
      <c r="A466" s="56"/>
      <c r="C466" s="56"/>
      <c r="D466" s="56"/>
      <c r="E466" s="56"/>
      <c r="F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T466" s="56"/>
      <c r="U466" s="56"/>
      <c r="V466" s="56"/>
      <c r="Y466" s="56"/>
      <c r="Z466" s="56"/>
      <c r="AA466" s="56"/>
      <c r="AB466" s="56"/>
      <c r="AC466" s="56"/>
      <c r="AD466" s="56"/>
      <c r="AE466" s="56"/>
      <c r="AF466" s="56"/>
      <c r="AG466" s="155"/>
      <c r="AH466" s="56"/>
      <c r="AI466" s="56"/>
      <c r="AJ466" s="56"/>
      <c r="AK466" s="155"/>
      <c r="AL466" s="56"/>
      <c r="AM466" s="56"/>
      <c r="AN466" s="56"/>
    </row>
    <row r="467" spans="1:40" x14ac:dyDescent="0.25">
      <c r="C467" s="56"/>
      <c r="D467" s="56"/>
      <c r="E467" s="56"/>
      <c r="F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T467" s="56"/>
      <c r="U467" s="56"/>
      <c r="V467" s="56"/>
      <c r="Y467" s="56"/>
      <c r="Z467" s="56"/>
      <c r="AA467" s="56"/>
      <c r="AB467" s="56"/>
      <c r="AC467" s="56"/>
      <c r="AD467" s="56"/>
      <c r="AE467" s="56"/>
      <c r="AF467" s="56"/>
      <c r="AG467" s="155"/>
      <c r="AH467" s="56"/>
      <c r="AI467" s="56"/>
      <c r="AJ467" s="56"/>
      <c r="AK467" s="155"/>
      <c r="AL467" s="56"/>
      <c r="AM467" s="56"/>
      <c r="AN467" s="56"/>
    </row>
    <row r="468" spans="1:40" x14ac:dyDescent="0.25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154"/>
      <c r="AH468" s="55"/>
      <c r="AI468" s="55"/>
      <c r="AJ468" s="55"/>
      <c r="AK468" s="154"/>
      <c r="AL468" s="55"/>
      <c r="AM468" s="55"/>
      <c r="AN468" s="55"/>
    </row>
    <row r="469" spans="1:40" x14ac:dyDescent="0.25"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Y469" s="56"/>
      <c r="Z469" s="56"/>
      <c r="AA469" s="56"/>
      <c r="AB469" s="56"/>
      <c r="AC469" s="56"/>
      <c r="AD469" s="56"/>
      <c r="AE469" s="56"/>
      <c r="AF469" s="56"/>
      <c r="AG469" s="155"/>
      <c r="AH469" s="56"/>
      <c r="AI469" s="56"/>
      <c r="AJ469" s="56"/>
      <c r="AK469" s="155"/>
      <c r="AL469" s="56"/>
      <c r="AM469" s="56"/>
      <c r="AN469" s="56"/>
    </row>
    <row r="470" spans="1:40" x14ac:dyDescent="0.25">
      <c r="A470" s="53"/>
      <c r="C470" s="54"/>
      <c r="D470" s="54"/>
      <c r="E470" s="54"/>
      <c r="T470" s="54"/>
      <c r="U470" s="54"/>
      <c r="V470" s="379"/>
      <c r="W470" s="379"/>
      <c r="X470" s="379"/>
      <c r="Y470" s="379"/>
      <c r="Z470" s="477"/>
    </row>
    <row r="472" spans="1:40" x14ac:dyDescent="0.25">
      <c r="A472" s="53"/>
      <c r="C472" s="54"/>
      <c r="T472" s="54"/>
      <c r="V472" s="379"/>
      <c r="W472" s="379"/>
      <c r="X472" s="379"/>
      <c r="Y472" s="379"/>
      <c r="Z472" s="477"/>
    </row>
    <row r="473" spans="1:40" x14ac:dyDescent="0.25">
      <c r="A473" s="53"/>
      <c r="C473" s="54"/>
      <c r="F473" s="449"/>
      <c r="H473" s="449"/>
      <c r="I473" s="449"/>
      <c r="J473" s="221"/>
      <c r="K473" s="221"/>
      <c r="L473" s="379"/>
      <c r="M473" s="379"/>
      <c r="N473" s="50"/>
      <c r="O473" s="50"/>
      <c r="P473" s="379"/>
      <c r="Q473" s="379"/>
      <c r="R473" s="379"/>
      <c r="T473" s="54"/>
      <c r="V473" s="379"/>
      <c r="W473" s="379"/>
      <c r="X473" s="379"/>
      <c r="Y473" s="379"/>
      <c r="Z473" s="221"/>
      <c r="AA473" s="379"/>
      <c r="AB473" s="379"/>
      <c r="AC473" s="50"/>
      <c r="AD473" s="50"/>
      <c r="AE473" s="379"/>
      <c r="AF473" s="379"/>
      <c r="AG473" s="156"/>
      <c r="AH473" s="60"/>
      <c r="AI473" s="379"/>
      <c r="AJ473" s="379"/>
      <c r="AK473" s="156"/>
      <c r="AL473" s="379"/>
      <c r="AM473" s="50"/>
      <c r="AN473" s="50"/>
    </row>
    <row r="474" spans="1:40" x14ac:dyDescent="0.25">
      <c r="A474" s="53"/>
      <c r="C474" s="54"/>
      <c r="F474" s="449"/>
      <c r="H474" s="449"/>
      <c r="I474" s="449"/>
      <c r="J474" s="221"/>
      <c r="K474" s="221"/>
      <c r="L474" s="379"/>
      <c r="M474" s="379"/>
      <c r="N474" s="50"/>
      <c r="O474" s="50"/>
      <c r="P474" s="379"/>
      <c r="Q474" s="379"/>
      <c r="R474" s="379"/>
      <c r="T474" s="54"/>
      <c r="V474" s="379"/>
      <c r="W474" s="379"/>
      <c r="X474" s="379"/>
      <c r="Y474" s="379"/>
      <c r="Z474" s="221"/>
      <c r="AA474" s="379"/>
      <c r="AB474" s="379"/>
      <c r="AC474" s="50"/>
      <c r="AD474" s="50"/>
      <c r="AE474" s="379"/>
      <c r="AF474" s="379"/>
      <c r="AG474" s="156"/>
      <c r="AH474" s="60"/>
      <c r="AI474" s="379"/>
      <c r="AJ474" s="379"/>
      <c r="AK474" s="156"/>
      <c r="AL474" s="379"/>
      <c r="AM474" s="50"/>
      <c r="AN474" s="50"/>
    </row>
    <row r="475" spans="1:40" x14ac:dyDescent="0.25">
      <c r="A475" s="53"/>
      <c r="C475" s="54"/>
      <c r="F475" s="449"/>
      <c r="H475" s="449"/>
      <c r="I475" s="449"/>
      <c r="J475" s="221"/>
      <c r="K475" s="221"/>
      <c r="L475" s="379"/>
      <c r="M475" s="379"/>
      <c r="N475" s="50"/>
      <c r="O475" s="50"/>
      <c r="P475" s="379"/>
      <c r="Q475" s="379"/>
      <c r="R475" s="379"/>
      <c r="T475" s="54"/>
      <c r="V475" s="379"/>
      <c r="W475" s="379"/>
      <c r="X475" s="379"/>
      <c r="Y475" s="379"/>
      <c r="Z475" s="221"/>
      <c r="AA475" s="379"/>
      <c r="AB475" s="379"/>
      <c r="AC475" s="50"/>
      <c r="AD475" s="50"/>
      <c r="AE475" s="379"/>
      <c r="AF475" s="379"/>
      <c r="AG475" s="156"/>
      <c r="AH475" s="60"/>
      <c r="AI475" s="379"/>
      <c r="AJ475" s="379"/>
      <c r="AK475" s="156"/>
      <c r="AL475" s="379"/>
      <c r="AM475" s="50"/>
      <c r="AN475" s="50"/>
    </row>
    <row r="476" spans="1:40" x14ac:dyDescent="0.25">
      <c r="A476" s="53"/>
      <c r="C476" s="54"/>
      <c r="F476" s="449"/>
      <c r="H476" s="449"/>
      <c r="I476" s="449"/>
      <c r="J476" s="221"/>
      <c r="K476" s="221"/>
      <c r="L476" s="379"/>
      <c r="M476" s="379"/>
      <c r="N476" s="50"/>
      <c r="O476" s="50"/>
      <c r="P476" s="379"/>
      <c r="Q476" s="379"/>
      <c r="R476" s="379"/>
      <c r="T476" s="54"/>
      <c r="V476" s="379"/>
      <c r="W476" s="379"/>
      <c r="X476" s="379"/>
      <c r="Y476" s="379"/>
      <c r="Z476" s="221"/>
      <c r="AA476" s="379"/>
      <c r="AB476" s="379"/>
      <c r="AC476" s="50"/>
      <c r="AD476" s="50"/>
      <c r="AE476" s="379"/>
      <c r="AF476" s="379"/>
      <c r="AG476" s="156"/>
      <c r="AH476" s="60"/>
      <c r="AI476" s="379"/>
      <c r="AJ476" s="379"/>
      <c r="AK476" s="156"/>
      <c r="AL476" s="379"/>
      <c r="AM476" s="50"/>
      <c r="AN476" s="50"/>
    </row>
    <row r="477" spans="1:40" x14ac:dyDescent="0.25">
      <c r="J477" s="65"/>
      <c r="K477" s="65"/>
      <c r="V477" s="379"/>
      <c r="W477" s="379"/>
      <c r="X477" s="379"/>
      <c r="Y477" s="379"/>
      <c r="Z477" s="221"/>
    </row>
    <row r="478" spans="1:40" x14ac:dyDescent="0.25">
      <c r="A478" s="53"/>
      <c r="C478" s="54"/>
      <c r="F478" s="449"/>
      <c r="H478" s="449"/>
      <c r="I478" s="449"/>
      <c r="J478" s="221"/>
      <c r="K478" s="221"/>
      <c r="L478" s="379"/>
      <c r="M478" s="379"/>
      <c r="N478" s="50"/>
      <c r="O478" s="50"/>
      <c r="P478" s="379"/>
      <c r="Q478" s="379"/>
      <c r="R478" s="379"/>
      <c r="T478" s="54"/>
      <c r="V478" s="379"/>
      <c r="W478" s="379"/>
      <c r="X478" s="379"/>
      <c r="Y478" s="379"/>
      <c r="Z478" s="221"/>
      <c r="AA478" s="379"/>
      <c r="AB478" s="379"/>
      <c r="AC478" s="50"/>
      <c r="AD478" s="50"/>
      <c r="AE478" s="379"/>
      <c r="AF478" s="379"/>
      <c r="AG478" s="156"/>
      <c r="AH478" s="60"/>
      <c r="AI478" s="379"/>
      <c r="AJ478" s="379"/>
      <c r="AK478" s="156"/>
      <c r="AL478" s="379"/>
      <c r="AM478" s="60"/>
      <c r="AN478" s="60"/>
    </row>
    <row r="479" spans="1:40" x14ac:dyDescent="0.25">
      <c r="A479" s="53"/>
      <c r="C479" s="54"/>
      <c r="J479" s="65"/>
      <c r="K479" s="65"/>
      <c r="T479" s="54"/>
      <c r="V479" s="379"/>
      <c r="W479" s="379"/>
      <c r="X479" s="379"/>
      <c r="Y479" s="379"/>
      <c r="Z479" s="221"/>
    </row>
    <row r="480" spans="1:40" x14ac:dyDescent="0.25">
      <c r="A480" s="53"/>
      <c r="C480" s="54"/>
      <c r="F480" s="449"/>
      <c r="H480" s="449"/>
      <c r="I480" s="449"/>
      <c r="J480" s="221"/>
      <c r="K480" s="221"/>
      <c r="L480" s="379"/>
      <c r="M480" s="379"/>
      <c r="N480" s="50"/>
      <c r="O480" s="50"/>
      <c r="P480" s="379"/>
      <c r="Q480" s="379"/>
      <c r="R480" s="379"/>
      <c r="T480" s="54"/>
      <c r="V480" s="379"/>
      <c r="W480" s="379"/>
      <c r="X480" s="379"/>
      <c r="Y480" s="379"/>
      <c r="Z480" s="221"/>
      <c r="AA480" s="379"/>
      <c r="AB480" s="379"/>
      <c r="AC480" s="50"/>
      <c r="AD480" s="50"/>
      <c r="AE480" s="379"/>
      <c r="AF480" s="379"/>
      <c r="AG480" s="156"/>
      <c r="AH480" s="60"/>
      <c r="AI480" s="379"/>
      <c r="AJ480" s="379"/>
      <c r="AK480" s="156"/>
      <c r="AL480" s="379"/>
      <c r="AM480" s="60"/>
      <c r="AN480" s="60"/>
    </row>
    <row r="481" spans="1:40" x14ac:dyDescent="0.25">
      <c r="J481" s="65"/>
      <c r="K481" s="65"/>
      <c r="Z481" s="65"/>
    </row>
    <row r="482" spans="1:40" x14ac:dyDescent="0.25">
      <c r="A482" s="53"/>
      <c r="C482" s="54"/>
      <c r="J482" s="65"/>
      <c r="K482" s="65"/>
      <c r="T482" s="54"/>
      <c r="V482" s="379"/>
      <c r="W482" s="379"/>
      <c r="X482" s="379"/>
      <c r="Y482" s="379"/>
      <c r="Z482" s="221"/>
    </row>
    <row r="483" spans="1:40" x14ac:dyDescent="0.25">
      <c r="A483" s="53"/>
      <c r="C483" s="54"/>
      <c r="F483" s="449"/>
      <c r="H483" s="449"/>
      <c r="I483" s="449"/>
      <c r="J483" s="221"/>
      <c r="K483" s="221"/>
      <c r="L483" s="379"/>
      <c r="M483" s="379"/>
      <c r="N483" s="50"/>
      <c r="O483" s="50"/>
      <c r="P483" s="379"/>
      <c r="Q483" s="379"/>
      <c r="R483" s="379"/>
      <c r="T483" s="54"/>
      <c r="V483" s="379"/>
      <c r="W483" s="379"/>
      <c r="X483" s="379"/>
      <c r="Y483" s="379"/>
      <c r="Z483" s="221"/>
      <c r="AA483" s="379"/>
      <c r="AB483" s="379"/>
      <c r="AC483" s="50"/>
      <c r="AD483" s="50"/>
      <c r="AE483" s="379"/>
      <c r="AF483" s="379"/>
      <c r="AG483" s="156"/>
      <c r="AH483" s="60"/>
      <c r="AI483" s="379"/>
      <c r="AJ483" s="379"/>
      <c r="AK483" s="156"/>
      <c r="AL483" s="379"/>
      <c r="AM483" s="60"/>
      <c r="AN483" s="60"/>
    </row>
    <row r="484" spans="1:40" x14ac:dyDescent="0.25">
      <c r="A484" s="53"/>
      <c r="C484" s="54"/>
      <c r="F484" s="449"/>
      <c r="H484" s="449"/>
      <c r="I484" s="449"/>
      <c r="J484" s="221"/>
      <c r="K484" s="221"/>
      <c r="L484" s="379"/>
      <c r="M484" s="379"/>
      <c r="N484" s="50"/>
      <c r="O484" s="50"/>
      <c r="P484" s="379"/>
      <c r="Q484" s="379"/>
      <c r="R484" s="379"/>
      <c r="T484" s="54"/>
      <c r="V484" s="379"/>
      <c r="W484" s="379"/>
      <c r="X484" s="379"/>
      <c r="Y484" s="379"/>
      <c r="Z484" s="221"/>
      <c r="AA484" s="379"/>
      <c r="AB484" s="379"/>
      <c r="AC484" s="50"/>
      <c r="AD484" s="50"/>
      <c r="AE484" s="379"/>
      <c r="AF484" s="379"/>
      <c r="AG484" s="156"/>
      <c r="AH484" s="60"/>
      <c r="AI484" s="379"/>
      <c r="AJ484" s="379"/>
      <c r="AK484" s="156"/>
      <c r="AL484" s="379"/>
      <c r="AM484" s="60"/>
      <c r="AN484" s="60"/>
    </row>
    <row r="485" spans="1:40" x14ac:dyDescent="0.25">
      <c r="F485" s="381"/>
      <c r="H485" s="381"/>
      <c r="I485" s="381"/>
      <c r="J485" s="221"/>
      <c r="K485" s="221"/>
      <c r="L485" s="381"/>
      <c r="M485" s="381"/>
      <c r="N485" s="381"/>
      <c r="O485" s="381"/>
      <c r="P485" s="381"/>
      <c r="Q485" s="381"/>
      <c r="R485" s="381"/>
      <c r="V485" s="381"/>
      <c r="Y485" s="381"/>
      <c r="Z485" s="464"/>
      <c r="AA485" s="381"/>
      <c r="AB485" s="381"/>
      <c r="AC485" s="381"/>
      <c r="AD485" s="381"/>
      <c r="AE485" s="381"/>
      <c r="AF485" s="381"/>
      <c r="AI485" s="381"/>
      <c r="AJ485" s="381"/>
      <c r="AK485" s="162"/>
      <c r="AL485" s="381"/>
    </row>
    <row r="486" spans="1:40" x14ac:dyDescent="0.25">
      <c r="A486" s="53"/>
      <c r="C486" s="54"/>
      <c r="F486" s="379"/>
      <c r="H486" s="379"/>
      <c r="I486" s="379"/>
      <c r="L486" s="379"/>
      <c r="M486" s="379"/>
      <c r="N486" s="50"/>
      <c r="O486" s="50"/>
      <c r="P486" s="449"/>
      <c r="Q486" s="449"/>
      <c r="R486" s="379"/>
      <c r="T486" s="54"/>
      <c r="V486" s="379"/>
      <c r="W486" s="379"/>
      <c r="X486" s="379"/>
      <c r="Y486" s="379"/>
      <c r="Z486" s="477"/>
      <c r="AA486" s="379"/>
      <c r="AB486" s="379"/>
      <c r="AC486" s="50"/>
      <c r="AD486" s="50"/>
      <c r="AE486" s="379"/>
      <c r="AF486" s="379"/>
      <c r="AG486" s="156"/>
      <c r="AH486" s="60"/>
      <c r="AI486" s="449"/>
      <c r="AJ486" s="449"/>
      <c r="AK486" s="156"/>
      <c r="AL486" s="379"/>
      <c r="AM486" s="60"/>
      <c r="AN486" s="60"/>
    </row>
    <row r="487" spans="1:40" x14ac:dyDescent="0.25">
      <c r="H487" s="381"/>
      <c r="I487" s="381"/>
      <c r="J487" s="464"/>
      <c r="K487" s="464"/>
      <c r="L487" s="381"/>
      <c r="M487" s="381"/>
      <c r="N487" s="381"/>
      <c r="O487" s="381"/>
      <c r="P487" s="381"/>
      <c r="Q487" s="381"/>
      <c r="R487" s="381"/>
      <c r="V487" s="381"/>
      <c r="Y487" s="381"/>
      <c r="Z487" s="464"/>
      <c r="AA487" s="381"/>
      <c r="AB487" s="381"/>
      <c r="AC487" s="381"/>
      <c r="AD487" s="381"/>
      <c r="AE487" s="381"/>
      <c r="AF487" s="381"/>
      <c r="AI487" s="381"/>
      <c r="AJ487" s="381"/>
      <c r="AK487" s="162"/>
      <c r="AL487" s="381"/>
    </row>
    <row r="488" spans="1:40" x14ac:dyDescent="0.25">
      <c r="F488" s="381"/>
    </row>
    <row r="489" spans="1:40" x14ac:dyDescent="0.25">
      <c r="C489" s="53"/>
      <c r="T489" s="53"/>
    </row>
    <row r="490" spans="1:40" x14ac:dyDescent="0.25">
      <c r="A490" s="54"/>
    </row>
    <row r="491" spans="1:40" x14ac:dyDescent="0.25">
      <c r="J491" s="53"/>
      <c r="K491" s="53"/>
      <c r="Z491" s="53"/>
    </row>
    <row r="492" spans="1:40" x14ac:dyDescent="0.25">
      <c r="H492" s="54"/>
      <c r="I492" s="54"/>
      <c r="Y492" s="54"/>
    </row>
    <row r="493" spans="1:40" x14ac:dyDescent="0.25">
      <c r="J493" s="53"/>
      <c r="K493" s="53"/>
      <c r="Z493" s="53"/>
    </row>
    <row r="494" spans="1:40" x14ac:dyDescent="0.25">
      <c r="L494" s="54"/>
      <c r="M494" s="54"/>
      <c r="AA494" s="54"/>
      <c r="AB494" s="54"/>
    </row>
    <row r="495" spans="1:40" x14ac:dyDescent="0.25">
      <c r="A495" s="53"/>
      <c r="R495" s="54"/>
      <c r="AK495" s="161"/>
      <c r="AL495" s="54"/>
    </row>
    <row r="496" spans="1:40" x14ac:dyDescent="0.25">
      <c r="A496" s="53"/>
      <c r="R496" s="54"/>
      <c r="AK496" s="161"/>
      <c r="AL496" s="54"/>
    </row>
    <row r="497" spans="1:40" x14ac:dyDescent="0.25">
      <c r="A497" s="54"/>
      <c r="R497" s="54"/>
      <c r="AK497" s="161"/>
      <c r="AL497" s="54"/>
    </row>
    <row r="498" spans="1:40" x14ac:dyDescent="0.25">
      <c r="L498" s="54"/>
      <c r="M498" s="54"/>
      <c r="R498" s="53"/>
      <c r="AA498" s="54"/>
      <c r="AB498" s="54"/>
      <c r="AK498" s="156"/>
      <c r="AL498" s="53"/>
    </row>
    <row r="499" spans="1:40" x14ac:dyDescent="0.25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154"/>
      <c r="AH499" s="55"/>
      <c r="AI499" s="55"/>
      <c r="AJ499" s="55"/>
      <c r="AK499" s="154"/>
      <c r="AL499" s="55"/>
      <c r="AM499" s="55"/>
      <c r="AN499" s="55"/>
    </row>
    <row r="500" spans="1:40" x14ac:dyDescent="0.25">
      <c r="L500" s="56"/>
      <c r="M500" s="56"/>
      <c r="N500" s="56"/>
      <c r="O500" s="56"/>
      <c r="R500" s="56"/>
      <c r="AA500" s="56"/>
      <c r="AB500" s="56"/>
      <c r="AC500" s="56"/>
      <c r="AD500" s="56"/>
      <c r="AE500" s="56"/>
      <c r="AF500" s="56"/>
      <c r="AG500" s="155"/>
      <c r="AH500" s="56"/>
      <c r="AK500" s="155"/>
      <c r="AL500" s="56"/>
      <c r="AM500" s="56"/>
      <c r="AN500" s="56"/>
    </row>
    <row r="501" spans="1:40" x14ac:dyDescent="0.25">
      <c r="L501" s="56"/>
      <c r="M501" s="56"/>
      <c r="N501" s="56"/>
      <c r="O501" s="56"/>
      <c r="R501" s="56"/>
      <c r="Z501" s="56"/>
      <c r="AA501" s="56"/>
      <c r="AB501" s="56"/>
      <c r="AC501" s="56"/>
      <c r="AD501" s="56"/>
      <c r="AE501" s="56"/>
      <c r="AF501" s="56"/>
      <c r="AG501" s="155"/>
      <c r="AH501" s="56"/>
      <c r="AK501" s="155"/>
      <c r="AL501" s="56"/>
      <c r="AM501" s="56"/>
      <c r="AN501" s="56"/>
    </row>
    <row r="502" spans="1:40" x14ac:dyDescent="0.25">
      <c r="A502" s="56"/>
      <c r="C502" s="56"/>
      <c r="D502" s="56"/>
      <c r="E502" s="56"/>
      <c r="F502" s="56"/>
      <c r="J502" s="56"/>
      <c r="K502" s="56"/>
      <c r="L502" s="56"/>
      <c r="M502" s="56"/>
      <c r="N502" s="56"/>
      <c r="O502" s="56"/>
      <c r="P502" s="56"/>
      <c r="Q502" s="56"/>
      <c r="R502" s="56"/>
      <c r="T502" s="56"/>
      <c r="U502" s="56"/>
      <c r="V502" s="56"/>
      <c r="Z502" s="56"/>
      <c r="AA502" s="56"/>
      <c r="AB502" s="56"/>
      <c r="AC502" s="56"/>
      <c r="AD502" s="56"/>
      <c r="AE502" s="56"/>
      <c r="AF502" s="56"/>
      <c r="AG502" s="155"/>
      <c r="AH502" s="56"/>
      <c r="AI502" s="56"/>
      <c r="AJ502" s="56"/>
      <c r="AK502" s="155"/>
      <c r="AL502" s="56"/>
      <c r="AM502" s="56"/>
      <c r="AN502" s="56"/>
    </row>
    <row r="503" spans="1:40" x14ac:dyDescent="0.25">
      <c r="A503" s="56"/>
      <c r="C503" s="56"/>
      <c r="D503" s="56"/>
      <c r="E503" s="56"/>
      <c r="F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T503" s="56"/>
      <c r="U503" s="56"/>
      <c r="V503" s="56"/>
      <c r="Y503" s="56"/>
      <c r="Z503" s="56"/>
      <c r="AA503" s="56"/>
      <c r="AB503" s="56"/>
      <c r="AC503" s="56"/>
      <c r="AD503" s="56"/>
      <c r="AE503" s="56"/>
      <c r="AF503" s="56"/>
      <c r="AG503" s="155"/>
      <c r="AH503" s="56"/>
      <c r="AI503" s="56"/>
      <c r="AJ503" s="56"/>
      <c r="AK503" s="155"/>
      <c r="AL503" s="56"/>
      <c r="AM503" s="56"/>
      <c r="AN503" s="56"/>
    </row>
    <row r="504" spans="1:40" x14ac:dyDescent="0.25">
      <c r="C504" s="56"/>
      <c r="D504" s="56"/>
      <c r="E504" s="56"/>
      <c r="F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T504" s="56"/>
      <c r="U504" s="56"/>
      <c r="V504" s="56"/>
      <c r="Y504" s="56"/>
      <c r="Z504" s="56"/>
      <c r="AA504" s="56"/>
      <c r="AB504" s="56"/>
      <c r="AC504" s="56"/>
      <c r="AD504" s="56"/>
      <c r="AE504" s="56"/>
      <c r="AF504" s="56"/>
      <c r="AG504" s="155"/>
      <c r="AH504" s="56"/>
      <c r="AI504" s="56"/>
      <c r="AJ504" s="56"/>
      <c r="AK504" s="155"/>
      <c r="AL504" s="56"/>
      <c r="AM504" s="56"/>
      <c r="AN504" s="56"/>
    </row>
    <row r="505" spans="1:40" x14ac:dyDescent="0.25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154"/>
      <c r="AH505" s="55"/>
      <c r="AI505" s="55"/>
      <c r="AJ505" s="55"/>
      <c r="AK505" s="154"/>
      <c r="AL505" s="55"/>
      <c r="AM505" s="55"/>
      <c r="AN505" s="55"/>
    </row>
    <row r="506" spans="1:40" x14ac:dyDescent="0.25"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Y506" s="56"/>
      <c r="Z506" s="56"/>
      <c r="AA506" s="56"/>
      <c r="AB506" s="56"/>
      <c r="AC506" s="56"/>
      <c r="AD506" s="56"/>
      <c r="AE506" s="56"/>
      <c r="AF506" s="56"/>
      <c r="AG506" s="155"/>
      <c r="AH506" s="56"/>
      <c r="AI506" s="56"/>
      <c r="AJ506" s="56"/>
      <c r="AK506" s="155"/>
      <c r="AL506" s="56"/>
      <c r="AM506" s="56"/>
      <c r="AN506" s="56"/>
    </row>
    <row r="507" spans="1:40" x14ac:dyDescent="0.25">
      <c r="A507" s="53"/>
      <c r="C507" s="54"/>
      <c r="D507" s="54"/>
      <c r="E507" s="54"/>
      <c r="T507" s="54"/>
      <c r="U507" s="54"/>
    </row>
    <row r="509" spans="1:40" x14ac:dyDescent="0.25">
      <c r="A509" s="53"/>
      <c r="C509" s="54"/>
      <c r="T509" s="54"/>
    </row>
    <row r="510" spans="1:40" x14ac:dyDescent="0.25">
      <c r="A510" s="53"/>
      <c r="C510" s="54"/>
      <c r="T510" s="54"/>
    </row>
    <row r="511" spans="1:40" x14ac:dyDescent="0.25">
      <c r="A511" s="53"/>
      <c r="C511" s="54"/>
      <c r="F511" s="449"/>
      <c r="H511" s="449"/>
      <c r="I511" s="449"/>
      <c r="J511" s="221"/>
      <c r="K511" s="221"/>
      <c r="L511" s="379"/>
      <c r="M511" s="379"/>
      <c r="N511" s="50"/>
      <c r="O511" s="50"/>
      <c r="P511" s="379"/>
      <c r="Q511" s="379"/>
      <c r="R511" s="379"/>
      <c r="T511" s="54"/>
      <c r="V511" s="379"/>
      <c r="W511" s="379"/>
      <c r="X511" s="379"/>
      <c r="Y511" s="379"/>
      <c r="Z511" s="221"/>
      <c r="AA511" s="379"/>
      <c r="AB511" s="379"/>
      <c r="AC511" s="50"/>
      <c r="AD511" s="50"/>
      <c r="AE511" s="379"/>
      <c r="AF511" s="379"/>
      <c r="AG511" s="156"/>
      <c r="AH511" s="60"/>
      <c r="AI511" s="379"/>
      <c r="AJ511" s="379"/>
      <c r="AK511" s="156"/>
      <c r="AL511" s="379"/>
      <c r="AM511" s="60"/>
      <c r="AN511" s="60"/>
    </row>
    <row r="512" spans="1:40" x14ac:dyDescent="0.25">
      <c r="A512" s="53"/>
      <c r="C512" s="54"/>
      <c r="F512" s="379"/>
      <c r="H512" s="379"/>
      <c r="I512" s="379"/>
      <c r="J512" s="65"/>
      <c r="K512" s="65"/>
      <c r="L512" s="379"/>
      <c r="M512" s="379"/>
      <c r="N512" s="50"/>
      <c r="O512" s="50"/>
      <c r="P512" s="379"/>
      <c r="Q512" s="379"/>
      <c r="R512" s="379"/>
      <c r="T512" s="54"/>
      <c r="V512" s="379"/>
      <c r="W512" s="379"/>
      <c r="X512" s="379"/>
      <c r="Y512" s="379"/>
      <c r="Z512" s="65"/>
      <c r="AA512" s="379"/>
      <c r="AB512" s="379"/>
      <c r="AC512" s="50"/>
      <c r="AD512" s="50"/>
      <c r="AE512" s="379"/>
      <c r="AF512" s="379"/>
      <c r="AG512" s="156"/>
      <c r="AH512" s="60"/>
      <c r="AI512" s="379"/>
      <c r="AJ512" s="379"/>
      <c r="AK512" s="156"/>
      <c r="AL512" s="379"/>
      <c r="AM512" s="60"/>
      <c r="AN512" s="60"/>
    </row>
    <row r="513" spans="1:40" x14ac:dyDescent="0.25">
      <c r="A513" s="53"/>
      <c r="C513" s="54"/>
      <c r="F513" s="379"/>
      <c r="H513" s="379"/>
      <c r="I513" s="379"/>
      <c r="J513" s="65"/>
      <c r="K513" s="65"/>
      <c r="L513" s="379"/>
      <c r="M513" s="379"/>
      <c r="N513" s="50"/>
      <c r="O513" s="50"/>
      <c r="P513" s="379"/>
      <c r="Q513" s="379"/>
      <c r="R513" s="379"/>
      <c r="T513" s="54"/>
      <c r="V513" s="379"/>
      <c r="W513" s="379"/>
      <c r="X513" s="379"/>
      <c r="Y513" s="379"/>
      <c r="Z513" s="65"/>
      <c r="AA513" s="379"/>
      <c r="AB513" s="379"/>
      <c r="AC513" s="50"/>
      <c r="AD513" s="50"/>
      <c r="AE513" s="379"/>
      <c r="AF513" s="379"/>
      <c r="AG513" s="156"/>
      <c r="AH513" s="60"/>
      <c r="AI513" s="379"/>
      <c r="AJ513" s="379"/>
      <c r="AK513" s="156"/>
      <c r="AL513" s="379"/>
      <c r="AM513" s="60"/>
      <c r="AN513" s="60"/>
    </row>
    <row r="514" spans="1:40" x14ac:dyDescent="0.25">
      <c r="A514" s="53"/>
      <c r="C514" s="54"/>
      <c r="F514" s="379"/>
      <c r="H514" s="379"/>
      <c r="I514" s="379"/>
      <c r="J514" s="65"/>
      <c r="K514" s="65"/>
      <c r="T514" s="54"/>
      <c r="V514" s="379"/>
      <c r="Z514" s="65"/>
    </row>
    <row r="515" spans="1:40" x14ac:dyDescent="0.25">
      <c r="A515" s="53"/>
      <c r="C515" s="54"/>
      <c r="F515" s="449"/>
      <c r="H515" s="449"/>
      <c r="I515" s="449"/>
      <c r="J515" s="221"/>
      <c r="K515" s="221"/>
      <c r="L515" s="379"/>
      <c r="M515" s="379"/>
      <c r="N515" s="50"/>
      <c r="O515" s="50"/>
      <c r="P515" s="379"/>
      <c r="Q515" s="379"/>
      <c r="R515" s="379"/>
      <c r="T515" s="54"/>
      <c r="V515" s="379"/>
      <c r="W515" s="379"/>
      <c r="X515" s="379"/>
      <c r="Y515" s="379"/>
      <c r="Z515" s="221"/>
      <c r="AA515" s="379"/>
      <c r="AB515" s="379"/>
      <c r="AC515" s="50"/>
      <c r="AD515" s="50"/>
      <c r="AE515" s="379"/>
      <c r="AF515" s="379"/>
      <c r="AG515" s="156"/>
      <c r="AH515" s="60"/>
      <c r="AI515" s="379"/>
      <c r="AJ515" s="379"/>
      <c r="AK515" s="156"/>
      <c r="AL515" s="379"/>
      <c r="AM515" s="60"/>
      <c r="AN515" s="60"/>
    </row>
    <row r="516" spans="1:40" x14ac:dyDescent="0.25">
      <c r="A516" s="53"/>
      <c r="C516" s="54"/>
      <c r="F516" s="379"/>
      <c r="H516" s="379"/>
      <c r="I516" s="379"/>
      <c r="J516" s="65"/>
      <c r="K516" s="65"/>
      <c r="T516" s="54"/>
      <c r="V516" s="379"/>
      <c r="W516" s="379"/>
      <c r="X516" s="379"/>
      <c r="Y516" s="379"/>
      <c r="Z516" s="65"/>
      <c r="AC516" s="50"/>
      <c r="AD516" s="50"/>
      <c r="AE516" s="379"/>
      <c r="AF516" s="379"/>
      <c r="AG516" s="156"/>
      <c r="AH516" s="60"/>
      <c r="AI516" s="379"/>
      <c r="AJ516" s="379"/>
      <c r="AK516" s="156"/>
      <c r="AL516" s="379"/>
      <c r="AM516" s="60"/>
      <c r="AN516" s="60"/>
    </row>
    <row r="517" spans="1:40" x14ac:dyDescent="0.25">
      <c r="A517" s="53"/>
      <c r="C517" s="54"/>
      <c r="F517" s="449"/>
      <c r="H517" s="449"/>
      <c r="I517" s="449"/>
      <c r="J517" s="221"/>
      <c r="K517" s="221"/>
      <c r="L517" s="379"/>
      <c r="M517" s="379"/>
      <c r="N517" s="50"/>
      <c r="O517" s="50"/>
      <c r="P517" s="379"/>
      <c r="Q517" s="379"/>
      <c r="R517" s="379"/>
      <c r="T517" s="54"/>
      <c r="V517" s="379"/>
      <c r="W517" s="379"/>
      <c r="X517" s="379"/>
      <c r="Y517" s="379"/>
      <c r="Z517" s="221"/>
      <c r="AA517" s="379"/>
      <c r="AB517" s="379"/>
      <c r="AC517" s="50"/>
      <c r="AD517" s="50"/>
      <c r="AE517" s="379"/>
      <c r="AF517" s="379"/>
      <c r="AG517" s="156"/>
      <c r="AH517" s="60"/>
      <c r="AI517" s="379"/>
      <c r="AJ517" s="379"/>
      <c r="AK517" s="156"/>
      <c r="AL517" s="379"/>
      <c r="AM517" s="60"/>
      <c r="AN517" s="60"/>
    </row>
    <row r="518" spans="1:40" x14ac:dyDescent="0.25">
      <c r="A518" s="53"/>
      <c r="C518" s="54"/>
      <c r="F518" s="379"/>
      <c r="H518" s="379"/>
      <c r="I518" s="379"/>
      <c r="J518" s="65"/>
      <c r="K518" s="65"/>
      <c r="L518" s="379"/>
      <c r="M518" s="379"/>
      <c r="N518" s="50"/>
      <c r="O518" s="50"/>
      <c r="P518" s="379"/>
      <c r="Q518" s="379"/>
      <c r="R518" s="379"/>
      <c r="T518" s="54"/>
      <c r="V518" s="379"/>
      <c r="W518" s="379"/>
      <c r="X518" s="379"/>
      <c r="Y518" s="379"/>
      <c r="Z518" s="65"/>
      <c r="AA518" s="379"/>
      <c r="AB518" s="379"/>
      <c r="AC518" s="50"/>
      <c r="AD518" s="50"/>
      <c r="AE518" s="379"/>
      <c r="AF518" s="379"/>
      <c r="AG518" s="156"/>
      <c r="AH518" s="60"/>
      <c r="AI518" s="379"/>
      <c r="AJ518" s="379"/>
      <c r="AK518" s="156"/>
      <c r="AL518" s="379"/>
      <c r="AM518" s="60"/>
      <c r="AN518" s="60"/>
    </row>
    <row r="519" spans="1:40" x14ac:dyDescent="0.25">
      <c r="F519" s="379"/>
      <c r="H519" s="379"/>
      <c r="I519" s="379"/>
      <c r="J519" s="65"/>
      <c r="K519" s="65"/>
      <c r="Z519" s="65"/>
    </row>
    <row r="520" spans="1:40" x14ac:dyDescent="0.25">
      <c r="A520" s="53"/>
      <c r="C520" s="54"/>
      <c r="F520" s="379"/>
      <c r="H520" s="449"/>
      <c r="I520" s="449"/>
      <c r="J520" s="221"/>
      <c r="K520" s="221"/>
      <c r="L520" s="379"/>
      <c r="M520" s="379"/>
      <c r="N520" s="50"/>
      <c r="O520" s="50"/>
      <c r="P520" s="379"/>
      <c r="Q520" s="379"/>
      <c r="R520" s="379"/>
      <c r="T520" s="54"/>
      <c r="V520" s="379"/>
      <c r="W520" s="379"/>
      <c r="X520" s="379"/>
      <c r="Y520" s="379"/>
      <c r="Z520" s="221"/>
      <c r="AA520" s="379"/>
      <c r="AB520" s="379"/>
      <c r="AC520" s="50"/>
      <c r="AD520" s="50"/>
      <c r="AE520" s="379"/>
      <c r="AF520" s="379"/>
      <c r="AG520" s="156"/>
      <c r="AH520" s="60"/>
      <c r="AI520" s="379"/>
      <c r="AJ520" s="379"/>
      <c r="AK520" s="156"/>
      <c r="AL520" s="379"/>
      <c r="AM520" s="60"/>
      <c r="AN520" s="60"/>
    </row>
    <row r="521" spans="1:40" x14ac:dyDescent="0.25">
      <c r="F521" s="381"/>
      <c r="H521" s="381"/>
      <c r="I521" s="381"/>
      <c r="J521" s="221"/>
      <c r="K521" s="221"/>
      <c r="L521" s="381"/>
      <c r="M521" s="381"/>
      <c r="N521" s="381"/>
      <c r="O521" s="381"/>
      <c r="P521" s="381"/>
      <c r="Q521" s="381"/>
      <c r="R521" s="381"/>
      <c r="V521" s="381"/>
      <c r="Y521" s="381"/>
      <c r="Z521" s="221"/>
      <c r="AA521" s="381"/>
      <c r="AB521" s="381"/>
      <c r="AC521" s="381"/>
      <c r="AD521" s="381"/>
      <c r="AE521" s="381"/>
      <c r="AF521" s="381"/>
      <c r="AI521" s="381"/>
      <c r="AJ521" s="381"/>
      <c r="AK521" s="162"/>
      <c r="AL521" s="381"/>
    </row>
    <row r="522" spans="1:40" x14ac:dyDescent="0.25">
      <c r="A522" s="53"/>
      <c r="C522" s="54"/>
      <c r="F522" s="379"/>
      <c r="H522" s="379"/>
      <c r="I522" s="379"/>
      <c r="J522" s="65"/>
      <c r="K522" s="65"/>
      <c r="L522" s="379"/>
      <c r="M522" s="379"/>
      <c r="N522" s="53"/>
      <c r="O522" s="53"/>
      <c r="P522" s="379"/>
      <c r="Q522" s="379"/>
      <c r="R522" s="379"/>
      <c r="T522" s="54"/>
      <c r="V522" s="379"/>
      <c r="Y522" s="379"/>
      <c r="Z522" s="65"/>
      <c r="AA522" s="379"/>
      <c r="AB522" s="379"/>
      <c r="AC522" s="60"/>
      <c r="AD522" s="60"/>
      <c r="AE522" s="379"/>
      <c r="AF522" s="379"/>
      <c r="AG522" s="156"/>
      <c r="AH522" s="60"/>
      <c r="AI522" s="379"/>
      <c r="AJ522" s="379"/>
      <c r="AK522" s="156"/>
      <c r="AL522" s="379"/>
      <c r="AM522" s="60"/>
      <c r="AN522" s="60"/>
    </row>
    <row r="523" spans="1:40" x14ac:dyDescent="0.25">
      <c r="F523" s="381"/>
      <c r="H523" s="381"/>
      <c r="I523" s="381"/>
      <c r="J523" s="221"/>
      <c r="K523" s="221"/>
      <c r="L523" s="381"/>
      <c r="M523" s="381"/>
      <c r="N523" s="381"/>
      <c r="O523" s="381"/>
      <c r="P523" s="381"/>
      <c r="Q523" s="381"/>
      <c r="R523" s="381"/>
      <c r="V523" s="381"/>
      <c r="Y523" s="381"/>
      <c r="Z523" s="221"/>
      <c r="AA523" s="381"/>
      <c r="AB523" s="381"/>
      <c r="AC523" s="381"/>
      <c r="AD523" s="381"/>
      <c r="AE523" s="381"/>
      <c r="AF523" s="381"/>
      <c r="AI523" s="381"/>
      <c r="AJ523" s="381"/>
      <c r="AK523" s="162"/>
      <c r="AL523" s="381"/>
    </row>
    <row r="524" spans="1:40" x14ac:dyDescent="0.25">
      <c r="J524" s="65"/>
      <c r="K524" s="65"/>
      <c r="Z524" s="65"/>
    </row>
    <row r="525" spans="1:40" x14ac:dyDescent="0.25">
      <c r="A525" s="53"/>
      <c r="C525" s="54"/>
      <c r="J525" s="65"/>
      <c r="K525" s="65"/>
      <c r="T525" s="54"/>
      <c r="Z525" s="65"/>
    </row>
    <row r="526" spans="1:40" x14ac:dyDescent="0.25">
      <c r="A526" s="53"/>
      <c r="C526" s="54"/>
      <c r="J526" s="65"/>
      <c r="K526" s="65"/>
      <c r="T526" s="54"/>
      <c r="Z526" s="65"/>
    </row>
    <row r="527" spans="1:40" x14ac:dyDescent="0.25">
      <c r="A527" s="53"/>
      <c r="C527" s="54"/>
      <c r="F527" s="449"/>
      <c r="H527" s="449"/>
      <c r="I527" s="449"/>
      <c r="J527" s="221"/>
      <c r="K527" s="221"/>
      <c r="L527" s="379"/>
      <c r="M527" s="379"/>
      <c r="N527" s="50"/>
      <c r="O527" s="50"/>
      <c r="P527" s="379"/>
      <c r="Q527" s="379"/>
      <c r="R527" s="379"/>
      <c r="T527" s="54"/>
      <c r="V527" s="379"/>
      <c r="W527" s="379"/>
      <c r="X527" s="379"/>
      <c r="Y527" s="379"/>
      <c r="Z527" s="221"/>
      <c r="AA527" s="379"/>
      <c r="AB527" s="379"/>
      <c r="AC527" s="50"/>
      <c r="AD527" s="50"/>
      <c r="AE527" s="379"/>
      <c r="AF527" s="379"/>
      <c r="AG527" s="156"/>
      <c r="AH527" s="60"/>
      <c r="AI527" s="379"/>
      <c r="AJ527" s="379"/>
      <c r="AK527" s="156"/>
      <c r="AL527" s="379"/>
      <c r="AM527" s="60"/>
      <c r="AN527" s="60"/>
    </row>
    <row r="528" spans="1:40" x14ac:dyDescent="0.25">
      <c r="A528" s="53"/>
      <c r="C528" s="54"/>
      <c r="J528" s="65"/>
      <c r="K528" s="65"/>
      <c r="T528" s="54"/>
      <c r="Z528" s="65"/>
    </row>
    <row r="529" spans="1:40" x14ac:dyDescent="0.25">
      <c r="A529" s="53"/>
      <c r="C529" s="54"/>
      <c r="F529" s="449"/>
      <c r="H529" s="449"/>
      <c r="I529" s="449"/>
      <c r="J529" s="221"/>
      <c r="K529" s="221"/>
      <c r="L529" s="379"/>
      <c r="M529" s="379"/>
      <c r="N529" s="50"/>
      <c r="O529" s="50"/>
      <c r="P529" s="379"/>
      <c r="Q529" s="379"/>
      <c r="R529" s="379"/>
      <c r="T529" s="54"/>
      <c r="V529" s="379"/>
      <c r="W529" s="379"/>
      <c r="X529" s="379"/>
      <c r="Y529" s="379"/>
      <c r="Z529" s="221"/>
      <c r="AA529" s="379"/>
      <c r="AB529" s="379"/>
      <c r="AC529" s="50"/>
      <c r="AD529" s="50"/>
      <c r="AE529" s="379"/>
      <c r="AF529" s="379"/>
      <c r="AG529" s="156"/>
      <c r="AH529" s="60"/>
      <c r="AI529" s="379"/>
      <c r="AJ529" s="379"/>
      <c r="AK529" s="156"/>
      <c r="AL529" s="379"/>
      <c r="AM529" s="60"/>
      <c r="AN529" s="60"/>
    </row>
    <row r="530" spans="1:40" x14ac:dyDescent="0.25">
      <c r="F530" s="381"/>
      <c r="H530" s="381"/>
      <c r="I530" s="381"/>
      <c r="J530" s="221"/>
      <c r="K530" s="221"/>
      <c r="L530" s="381"/>
      <c r="M530" s="381"/>
      <c r="N530" s="381"/>
      <c r="O530" s="381"/>
      <c r="P530" s="381"/>
      <c r="Q530" s="381"/>
      <c r="R530" s="381"/>
      <c r="V530" s="381"/>
      <c r="Y530" s="381"/>
      <c r="Z530" s="221"/>
      <c r="AA530" s="381"/>
      <c r="AB530" s="381"/>
      <c r="AC530" s="381"/>
      <c r="AD530" s="381"/>
      <c r="AE530" s="381"/>
      <c r="AF530" s="381"/>
      <c r="AI530" s="381"/>
      <c r="AJ530" s="381"/>
      <c r="AK530" s="162"/>
      <c r="AL530" s="381"/>
    </row>
    <row r="531" spans="1:40" x14ac:dyDescent="0.25">
      <c r="A531" s="53"/>
      <c r="C531" s="54"/>
      <c r="F531" s="379"/>
      <c r="H531" s="379"/>
      <c r="I531" s="379"/>
      <c r="J531" s="65"/>
      <c r="K531" s="65"/>
      <c r="L531" s="379"/>
      <c r="M531" s="379"/>
      <c r="N531" s="60"/>
      <c r="O531" s="60"/>
      <c r="P531" s="379"/>
      <c r="Q531" s="379"/>
      <c r="R531" s="379"/>
      <c r="T531" s="54"/>
      <c r="V531" s="379"/>
      <c r="Y531" s="379"/>
      <c r="Z531" s="65"/>
      <c r="AA531" s="379"/>
      <c r="AB531" s="379"/>
      <c r="AC531" s="60"/>
      <c r="AD531" s="60"/>
      <c r="AE531" s="379"/>
      <c r="AF531" s="379"/>
      <c r="AG531" s="156"/>
      <c r="AH531" s="60"/>
      <c r="AI531" s="379"/>
      <c r="AJ531" s="379"/>
      <c r="AK531" s="156"/>
      <c r="AL531" s="379"/>
      <c r="AM531" s="60"/>
      <c r="AN531" s="60"/>
    </row>
    <row r="532" spans="1:40" x14ac:dyDescent="0.25">
      <c r="F532" s="381"/>
      <c r="H532" s="381"/>
      <c r="I532" s="381"/>
      <c r="J532" s="221"/>
      <c r="K532" s="221"/>
      <c r="L532" s="381"/>
      <c r="M532" s="381"/>
      <c r="N532" s="381"/>
      <c r="O532" s="381"/>
      <c r="P532" s="381"/>
      <c r="Q532" s="381"/>
      <c r="R532" s="381"/>
      <c r="V532" s="381"/>
      <c r="Y532" s="381"/>
      <c r="Z532" s="464"/>
      <c r="AA532" s="381"/>
      <c r="AB532" s="381"/>
      <c r="AC532" s="381"/>
      <c r="AD532" s="381"/>
      <c r="AE532" s="381"/>
      <c r="AF532" s="381"/>
      <c r="AI532" s="381"/>
      <c r="AJ532" s="381"/>
      <c r="AK532" s="162"/>
      <c r="AL532" s="381"/>
    </row>
    <row r="533" spans="1:40" x14ac:dyDescent="0.25">
      <c r="J533" s="65"/>
      <c r="K533" s="65"/>
    </row>
    <row r="534" spans="1:40" x14ac:dyDescent="0.25">
      <c r="A534" s="53"/>
      <c r="C534" s="54"/>
      <c r="F534" s="379"/>
      <c r="H534" s="379"/>
      <c r="I534" s="379"/>
      <c r="J534" s="65"/>
      <c r="K534" s="65"/>
      <c r="L534" s="379"/>
      <c r="M534" s="379"/>
      <c r="N534" s="50"/>
      <c r="O534" s="50"/>
      <c r="P534" s="449"/>
      <c r="Q534" s="449"/>
      <c r="R534" s="379"/>
      <c r="T534" s="54"/>
      <c r="V534" s="379"/>
      <c r="Y534" s="379"/>
      <c r="AA534" s="379"/>
      <c r="AB534" s="379"/>
      <c r="AC534" s="60"/>
      <c r="AD534" s="60"/>
      <c r="AE534" s="379"/>
      <c r="AF534" s="379"/>
      <c r="AG534" s="156"/>
      <c r="AH534" s="60"/>
      <c r="AI534" s="449"/>
      <c r="AJ534" s="449"/>
      <c r="AK534" s="156"/>
      <c r="AL534" s="379"/>
      <c r="AM534" s="60"/>
      <c r="AN534" s="60"/>
    </row>
    <row r="535" spans="1:40" x14ac:dyDescent="0.25">
      <c r="H535" s="381"/>
      <c r="I535" s="381"/>
      <c r="J535" s="221"/>
      <c r="K535" s="221"/>
      <c r="L535" s="381"/>
      <c r="M535" s="381"/>
      <c r="N535" s="381"/>
      <c r="O535" s="381"/>
      <c r="P535" s="381"/>
      <c r="Q535" s="381"/>
      <c r="R535" s="381"/>
      <c r="V535" s="381"/>
      <c r="Y535" s="381"/>
      <c r="Z535" s="464"/>
      <c r="AA535" s="381"/>
      <c r="AB535" s="381"/>
      <c r="AC535" s="381"/>
      <c r="AD535" s="381"/>
      <c r="AE535" s="381"/>
      <c r="AF535" s="381"/>
      <c r="AI535" s="381"/>
      <c r="AJ535" s="381"/>
      <c r="AK535" s="162"/>
      <c r="AL535" s="381"/>
    </row>
    <row r="536" spans="1:40" x14ac:dyDescent="0.25">
      <c r="F536" s="381"/>
    </row>
    <row r="537" spans="1:40" x14ac:dyDescent="0.25">
      <c r="C537" s="53"/>
      <c r="T537" s="53"/>
    </row>
    <row r="538" spans="1:40" x14ac:dyDescent="0.25">
      <c r="A538" s="54"/>
    </row>
    <row r="539" spans="1:40" x14ac:dyDescent="0.25">
      <c r="J539" s="53"/>
      <c r="K539" s="53"/>
      <c r="Z539" s="53"/>
    </row>
    <row r="540" spans="1:40" x14ac:dyDescent="0.25">
      <c r="H540" s="54"/>
      <c r="I540" s="54"/>
      <c r="Y540" s="54"/>
    </row>
    <row r="541" spans="1:40" x14ac:dyDescent="0.25">
      <c r="J541" s="53"/>
      <c r="K541" s="53"/>
      <c r="Z541" s="53"/>
    </row>
    <row r="542" spans="1:40" x14ac:dyDescent="0.25">
      <c r="L542" s="54"/>
      <c r="M542" s="54"/>
      <c r="AA542" s="54"/>
      <c r="AB542" s="54"/>
    </row>
    <row r="543" spans="1:40" x14ac:dyDescent="0.25">
      <c r="A543" s="53"/>
      <c r="R543" s="54"/>
      <c r="AK543" s="161"/>
      <c r="AL543" s="54"/>
    </row>
    <row r="544" spans="1:40" x14ac:dyDescent="0.25">
      <c r="A544" s="53"/>
      <c r="R544" s="54"/>
      <c r="AK544" s="161"/>
      <c r="AL544" s="54"/>
    </row>
    <row r="545" spans="1:40" x14ac:dyDescent="0.25">
      <c r="A545" s="54"/>
      <c r="R545" s="54"/>
      <c r="AK545" s="161"/>
      <c r="AL545" s="54"/>
    </row>
    <row r="546" spans="1:40" x14ac:dyDescent="0.25">
      <c r="L546" s="54"/>
      <c r="M546" s="54"/>
      <c r="R546" s="53"/>
      <c r="AA546" s="54"/>
      <c r="AB546" s="54"/>
      <c r="AK546" s="156"/>
      <c r="AL546" s="53"/>
    </row>
    <row r="547" spans="1:40" x14ac:dyDescent="0.25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154"/>
      <c r="AH547" s="55"/>
      <c r="AI547" s="55"/>
      <c r="AJ547" s="55"/>
      <c r="AK547" s="154"/>
      <c r="AL547" s="55"/>
      <c r="AM547" s="55"/>
      <c r="AN547" s="55"/>
    </row>
    <row r="548" spans="1:40" x14ac:dyDescent="0.25">
      <c r="L548" s="56"/>
      <c r="M548" s="56"/>
      <c r="N548" s="56"/>
      <c r="O548" s="56"/>
      <c r="R548" s="56"/>
      <c r="AA548" s="56"/>
      <c r="AB548" s="56"/>
      <c r="AC548" s="56"/>
      <c r="AD548" s="56"/>
      <c r="AE548" s="56"/>
      <c r="AF548" s="56"/>
      <c r="AG548" s="155"/>
      <c r="AH548" s="56"/>
      <c r="AK548" s="155"/>
      <c r="AL548" s="56"/>
      <c r="AM548" s="56"/>
      <c r="AN548" s="56"/>
    </row>
    <row r="549" spans="1:40" x14ac:dyDescent="0.25">
      <c r="L549" s="56"/>
      <c r="M549" s="56"/>
      <c r="N549" s="56"/>
      <c r="O549" s="56"/>
      <c r="R549" s="56"/>
      <c r="Z549" s="56"/>
      <c r="AA549" s="56"/>
      <c r="AB549" s="56"/>
      <c r="AC549" s="56"/>
      <c r="AD549" s="56"/>
      <c r="AE549" s="56"/>
      <c r="AF549" s="56"/>
      <c r="AG549" s="155"/>
      <c r="AH549" s="56"/>
      <c r="AK549" s="155"/>
      <c r="AL549" s="56"/>
      <c r="AM549" s="56"/>
      <c r="AN549" s="56"/>
    </row>
    <row r="550" spans="1:40" x14ac:dyDescent="0.25">
      <c r="A550" s="56"/>
      <c r="C550" s="56"/>
      <c r="D550" s="56"/>
      <c r="E550" s="56"/>
      <c r="F550" s="56"/>
      <c r="J550" s="56"/>
      <c r="K550" s="56"/>
      <c r="L550" s="56"/>
      <c r="M550" s="56"/>
      <c r="N550" s="56"/>
      <c r="O550" s="56"/>
      <c r="P550" s="56"/>
      <c r="Q550" s="56"/>
      <c r="R550" s="56"/>
      <c r="T550" s="56"/>
      <c r="U550" s="56"/>
      <c r="V550" s="56"/>
      <c r="Z550" s="56"/>
      <c r="AA550" s="56"/>
      <c r="AB550" s="56"/>
      <c r="AC550" s="56"/>
      <c r="AD550" s="56"/>
      <c r="AE550" s="56"/>
      <c r="AF550" s="56"/>
      <c r="AG550" s="155"/>
      <c r="AH550" s="56"/>
      <c r="AI550" s="56"/>
      <c r="AJ550" s="56"/>
      <c r="AK550" s="155"/>
      <c r="AL550" s="56"/>
      <c r="AM550" s="56"/>
      <c r="AN550" s="56"/>
    </row>
    <row r="551" spans="1:40" x14ac:dyDescent="0.25">
      <c r="A551" s="56"/>
      <c r="C551" s="56"/>
      <c r="D551" s="56"/>
      <c r="E551" s="56"/>
      <c r="F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T551" s="56"/>
      <c r="U551" s="56"/>
      <c r="V551" s="56"/>
      <c r="Y551" s="56"/>
      <c r="Z551" s="56"/>
      <c r="AA551" s="56"/>
      <c r="AB551" s="56"/>
      <c r="AC551" s="56"/>
      <c r="AD551" s="56"/>
      <c r="AE551" s="56"/>
      <c r="AF551" s="56"/>
      <c r="AG551" s="155"/>
      <c r="AH551" s="56"/>
      <c r="AI551" s="56"/>
      <c r="AJ551" s="56"/>
      <c r="AK551" s="155"/>
      <c r="AL551" s="56"/>
      <c r="AM551" s="56"/>
      <c r="AN551" s="56"/>
    </row>
    <row r="552" spans="1:40" x14ac:dyDescent="0.25">
      <c r="C552" s="56"/>
      <c r="D552" s="56"/>
      <c r="E552" s="56"/>
      <c r="F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T552" s="56"/>
      <c r="U552" s="56"/>
      <c r="V552" s="56"/>
      <c r="Y552" s="56"/>
      <c r="Z552" s="56"/>
      <c r="AA552" s="56"/>
      <c r="AB552" s="56"/>
      <c r="AC552" s="56"/>
      <c r="AD552" s="56"/>
      <c r="AE552" s="56"/>
      <c r="AF552" s="56"/>
      <c r="AG552" s="155"/>
      <c r="AH552" s="56"/>
      <c r="AI552" s="56"/>
      <c r="AJ552" s="56"/>
      <c r="AK552" s="155"/>
      <c r="AL552" s="56"/>
      <c r="AM552" s="56"/>
      <c r="AN552" s="56"/>
    </row>
    <row r="553" spans="1:40" x14ac:dyDescent="0.25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154"/>
      <c r="AH553" s="55"/>
      <c r="AI553" s="55"/>
      <c r="AJ553" s="55"/>
      <c r="AK553" s="154"/>
      <c r="AL553" s="55"/>
      <c r="AM553" s="55"/>
      <c r="AN553" s="55"/>
    </row>
    <row r="554" spans="1:40" x14ac:dyDescent="0.25"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Y554" s="56"/>
      <c r="Z554" s="56"/>
      <c r="AA554" s="56"/>
      <c r="AB554" s="56"/>
      <c r="AC554" s="56"/>
      <c r="AD554" s="56"/>
      <c r="AE554" s="56"/>
      <c r="AF554" s="56"/>
      <c r="AG554" s="155"/>
      <c r="AH554" s="56"/>
      <c r="AI554" s="56"/>
      <c r="AJ554" s="56"/>
      <c r="AK554" s="155"/>
      <c r="AL554" s="56"/>
      <c r="AM554" s="56"/>
      <c r="AN554" s="56"/>
    </row>
    <row r="555" spans="1:40" x14ac:dyDescent="0.25">
      <c r="A555" s="53"/>
      <c r="C555" s="54"/>
      <c r="D555" s="54"/>
      <c r="E555" s="54"/>
      <c r="T555" s="54"/>
      <c r="U555" s="54"/>
    </row>
    <row r="557" spans="1:40" x14ac:dyDescent="0.25">
      <c r="A557" s="53"/>
      <c r="C557" s="54"/>
      <c r="D557" s="54"/>
      <c r="E557" s="54"/>
      <c r="T557" s="54"/>
      <c r="U557" s="54"/>
    </row>
    <row r="558" spans="1:40" x14ac:dyDescent="0.25">
      <c r="A558" s="53"/>
      <c r="C558" s="54"/>
      <c r="T558" s="54"/>
    </row>
    <row r="559" spans="1:40" x14ac:dyDescent="0.25">
      <c r="A559" s="53"/>
      <c r="C559" s="54"/>
      <c r="T559" s="54"/>
    </row>
    <row r="560" spans="1:40" x14ac:dyDescent="0.25">
      <c r="A560" s="53"/>
      <c r="C560" s="54"/>
      <c r="H560" s="449"/>
      <c r="I560" s="449"/>
      <c r="J560" s="221"/>
      <c r="K560" s="221"/>
      <c r="L560" s="379"/>
      <c r="M560" s="379"/>
      <c r="N560" s="50"/>
      <c r="O560" s="50"/>
      <c r="P560" s="379"/>
      <c r="Q560" s="379"/>
      <c r="R560" s="379"/>
      <c r="T560" s="54"/>
      <c r="V560" s="379"/>
      <c r="W560" s="379"/>
      <c r="X560" s="379"/>
      <c r="Y560" s="379"/>
      <c r="Z560" s="221"/>
      <c r="AA560" s="379"/>
      <c r="AB560" s="379"/>
      <c r="AC560" s="50"/>
      <c r="AD560" s="50"/>
      <c r="AE560" s="379"/>
      <c r="AF560" s="379"/>
      <c r="AG560" s="156"/>
      <c r="AH560" s="60"/>
      <c r="AI560" s="379"/>
      <c r="AJ560" s="379"/>
      <c r="AK560" s="156"/>
      <c r="AL560" s="379"/>
      <c r="AM560" s="50"/>
      <c r="AN560" s="50"/>
    </row>
    <row r="561" spans="1:40" x14ac:dyDescent="0.25">
      <c r="A561" s="53"/>
      <c r="C561" s="54"/>
      <c r="F561" s="449"/>
      <c r="J561" s="65"/>
      <c r="K561" s="65"/>
      <c r="T561" s="54"/>
      <c r="V561" s="379"/>
      <c r="W561" s="379"/>
      <c r="X561" s="379"/>
      <c r="Y561" s="379"/>
      <c r="Z561" s="221"/>
    </row>
    <row r="562" spans="1:40" x14ac:dyDescent="0.25">
      <c r="A562" s="53"/>
      <c r="C562" s="54"/>
      <c r="H562" s="449"/>
      <c r="I562" s="449"/>
      <c r="J562" s="221"/>
      <c r="K562" s="221"/>
      <c r="L562" s="379"/>
      <c r="M562" s="379"/>
      <c r="N562" s="50"/>
      <c r="O562" s="50"/>
      <c r="P562" s="379"/>
      <c r="Q562" s="379"/>
      <c r="R562" s="379"/>
      <c r="T562" s="54"/>
      <c r="V562" s="379"/>
      <c r="W562" s="379"/>
      <c r="X562" s="379"/>
      <c r="Y562" s="379"/>
      <c r="Z562" s="221"/>
      <c r="AA562" s="379"/>
      <c r="AB562" s="379"/>
      <c r="AC562" s="50"/>
      <c r="AD562" s="50"/>
      <c r="AE562" s="379"/>
      <c r="AF562" s="379"/>
      <c r="AG562" s="156"/>
      <c r="AH562" s="60"/>
      <c r="AI562" s="379"/>
      <c r="AJ562" s="379"/>
      <c r="AK562" s="156"/>
      <c r="AL562" s="379"/>
      <c r="AM562" s="50"/>
      <c r="AN562" s="50"/>
    </row>
    <row r="563" spans="1:40" x14ac:dyDescent="0.25">
      <c r="A563" s="53"/>
      <c r="C563" s="54"/>
      <c r="F563" s="449"/>
      <c r="J563" s="65"/>
      <c r="K563" s="65"/>
      <c r="T563" s="54"/>
      <c r="V563" s="379"/>
      <c r="W563" s="379"/>
      <c r="X563" s="379"/>
      <c r="Y563" s="379"/>
      <c r="Z563" s="221"/>
    </row>
    <row r="564" spans="1:40" x14ac:dyDescent="0.25">
      <c r="A564" s="53"/>
      <c r="C564" s="54"/>
      <c r="H564" s="449"/>
      <c r="I564" s="449"/>
      <c r="J564" s="221"/>
      <c r="K564" s="221"/>
      <c r="L564" s="379"/>
      <c r="M564" s="379"/>
      <c r="N564" s="50"/>
      <c r="O564" s="50"/>
      <c r="P564" s="379"/>
      <c r="Q564" s="379"/>
      <c r="R564" s="379"/>
      <c r="T564" s="54"/>
      <c r="V564" s="379"/>
      <c r="W564" s="379"/>
      <c r="X564" s="379"/>
      <c r="Y564" s="379"/>
      <c r="Z564" s="221"/>
      <c r="AA564" s="379"/>
      <c r="AB564" s="379"/>
      <c r="AC564" s="50"/>
      <c r="AD564" s="50"/>
      <c r="AE564" s="379"/>
      <c r="AF564" s="379"/>
      <c r="AG564" s="156"/>
      <c r="AH564" s="60"/>
      <c r="AI564" s="379"/>
      <c r="AJ564" s="379"/>
      <c r="AK564" s="156"/>
      <c r="AL564" s="379"/>
      <c r="AM564" s="50"/>
      <c r="AN564" s="50"/>
    </row>
    <row r="565" spans="1:40" x14ac:dyDescent="0.25">
      <c r="A565" s="53"/>
      <c r="C565" s="54"/>
      <c r="F565" s="449"/>
      <c r="J565" s="65"/>
      <c r="K565" s="65"/>
      <c r="T565" s="54"/>
      <c r="V565" s="379"/>
      <c r="W565" s="379"/>
      <c r="X565" s="379"/>
      <c r="Y565" s="379"/>
      <c r="Z565" s="221"/>
    </row>
    <row r="566" spans="1:40" x14ac:dyDescent="0.25">
      <c r="A566" s="53"/>
      <c r="C566" s="54"/>
      <c r="H566" s="449"/>
      <c r="I566" s="449"/>
      <c r="J566" s="221"/>
      <c r="K566" s="221"/>
      <c r="L566" s="379"/>
      <c r="M566" s="379"/>
      <c r="N566" s="50"/>
      <c r="O566" s="50"/>
      <c r="P566" s="379"/>
      <c r="Q566" s="379"/>
      <c r="R566" s="379"/>
      <c r="T566" s="54"/>
      <c r="V566" s="379"/>
      <c r="W566" s="379"/>
      <c r="X566" s="379"/>
      <c r="Y566" s="379"/>
      <c r="Z566" s="221"/>
      <c r="AA566" s="379"/>
      <c r="AB566" s="379"/>
      <c r="AC566" s="50"/>
      <c r="AD566" s="50"/>
      <c r="AE566" s="379"/>
      <c r="AF566" s="379"/>
      <c r="AG566" s="156"/>
      <c r="AH566" s="60"/>
      <c r="AI566" s="379"/>
      <c r="AJ566" s="379"/>
      <c r="AK566" s="156"/>
      <c r="AL566" s="379"/>
      <c r="AM566" s="50"/>
      <c r="AN566" s="50"/>
    </row>
    <row r="567" spans="1:40" x14ac:dyDescent="0.25">
      <c r="A567" s="53"/>
      <c r="C567" s="54"/>
      <c r="F567" s="449"/>
      <c r="J567" s="65"/>
      <c r="K567" s="65"/>
      <c r="T567" s="54"/>
      <c r="V567" s="379"/>
      <c r="W567" s="379"/>
      <c r="X567" s="379"/>
      <c r="Y567" s="379"/>
      <c r="Z567" s="221"/>
    </row>
    <row r="568" spans="1:40" x14ac:dyDescent="0.25">
      <c r="A568" s="53"/>
      <c r="C568" s="54"/>
      <c r="H568" s="449"/>
      <c r="I568" s="449"/>
      <c r="J568" s="221"/>
      <c r="K568" s="221"/>
      <c r="L568" s="379"/>
      <c r="M568" s="379"/>
      <c r="N568" s="50"/>
      <c r="O568" s="50"/>
      <c r="P568" s="379"/>
      <c r="Q568" s="379"/>
      <c r="R568" s="379"/>
      <c r="T568" s="54"/>
      <c r="V568" s="379"/>
      <c r="W568" s="379"/>
      <c r="X568" s="379"/>
      <c r="Y568" s="379"/>
      <c r="Z568" s="221"/>
      <c r="AA568" s="379"/>
      <c r="AB568" s="379"/>
      <c r="AC568" s="50"/>
      <c r="AD568" s="50"/>
      <c r="AE568" s="379"/>
      <c r="AF568" s="379"/>
      <c r="AG568" s="156"/>
      <c r="AH568" s="60"/>
      <c r="AI568" s="379"/>
      <c r="AJ568" s="379"/>
      <c r="AK568" s="156"/>
      <c r="AL568" s="379"/>
      <c r="AM568" s="50"/>
      <c r="AN568" s="50"/>
    </row>
    <row r="569" spans="1:40" x14ac:dyDescent="0.25">
      <c r="A569" s="53"/>
      <c r="C569" s="54"/>
      <c r="F569" s="449"/>
      <c r="J569" s="65"/>
      <c r="K569" s="65"/>
      <c r="T569" s="54"/>
      <c r="V569" s="379"/>
      <c r="W569" s="379"/>
      <c r="X569" s="379"/>
      <c r="Y569" s="379"/>
      <c r="Z569" s="221"/>
    </row>
    <row r="570" spans="1:40" x14ac:dyDescent="0.25">
      <c r="A570" s="53"/>
      <c r="C570" s="54"/>
      <c r="H570" s="449"/>
      <c r="I570" s="449"/>
      <c r="J570" s="221"/>
      <c r="K570" s="221"/>
      <c r="L570" s="379"/>
      <c r="M570" s="379"/>
      <c r="N570" s="50"/>
      <c r="O570" s="50"/>
      <c r="P570" s="379"/>
      <c r="Q570" s="379"/>
      <c r="R570" s="379"/>
      <c r="T570" s="54"/>
      <c r="V570" s="379"/>
      <c r="W570" s="379"/>
      <c r="X570" s="379"/>
      <c r="Y570" s="379"/>
      <c r="Z570" s="221"/>
      <c r="AA570" s="379"/>
      <c r="AB570" s="379"/>
      <c r="AC570" s="50"/>
      <c r="AD570" s="50"/>
      <c r="AE570" s="379"/>
      <c r="AF570" s="379"/>
      <c r="AG570" s="156"/>
      <c r="AH570" s="60"/>
      <c r="AI570" s="379"/>
      <c r="AJ570" s="379"/>
      <c r="AK570" s="156"/>
      <c r="AL570" s="379"/>
      <c r="AM570" s="50"/>
      <c r="AN570" s="50"/>
    </row>
    <row r="571" spans="1:40" x14ac:dyDescent="0.25">
      <c r="F571" s="449"/>
      <c r="H571" s="381"/>
      <c r="I571" s="381"/>
      <c r="J571" s="221"/>
      <c r="K571" s="221"/>
      <c r="L571" s="381"/>
      <c r="M571" s="381"/>
      <c r="N571" s="381"/>
      <c r="O571" s="381"/>
      <c r="P571" s="381"/>
      <c r="Q571" s="381"/>
      <c r="R571" s="381"/>
      <c r="V571" s="381"/>
      <c r="Y571" s="381"/>
      <c r="Z571" s="221"/>
      <c r="AA571" s="381"/>
      <c r="AB571" s="381"/>
      <c r="AC571" s="381"/>
      <c r="AD571" s="381"/>
      <c r="AE571" s="381"/>
      <c r="AF571" s="381"/>
      <c r="AI571" s="381"/>
      <c r="AJ571" s="381"/>
      <c r="AK571" s="162"/>
      <c r="AL571" s="381"/>
      <c r="AM571" s="50"/>
      <c r="AN571" s="50"/>
    </row>
    <row r="572" spans="1:40" x14ac:dyDescent="0.25">
      <c r="A572" s="53"/>
      <c r="C572" s="54"/>
      <c r="F572" s="381"/>
      <c r="H572" s="379"/>
      <c r="I572" s="379"/>
      <c r="J572" s="65"/>
      <c r="K572" s="65"/>
      <c r="L572" s="379"/>
      <c r="M572" s="379"/>
      <c r="N572" s="50"/>
      <c r="O572" s="50"/>
      <c r="P572" s="449"/>
      <c r="Q572" s="449"/>
      <c r="R572" s="379"/>
      <c r="T572" s="54"/>
      <c r="V572" s="379"/>
      <c r="W572" s="379"/>
      <c r="X572" s="379"/>
      <c r="Y572" s="379"/>
      <c r="Z572" s="221"/>
      <c r="AA572" s="379"/>
      <c r="AB572" s="379"/>
      <c r="AC572" s="50"/>
      <c r="AD572" s="50"/>
      <c r="AE572" s="379"/>
      <c r="AF572" s="379"/>
      <c r="AG572" s="156"/>
      <c r="AH572" s="60"/>
      <c r="AI572" s="449"/>
      <c r="AJ572" s="449"/>
      <c r="AK572" s="156"/>
      <c r="AL572" s="379"/>
      <c r="AM572" s="50"/>
      <c r="AN572" s="50"/>
    </row>
    <row r="573" spans="1:40" x14ac:dyDescent="0.25">
      <c r="F573" s="379"/>
      <c r="H573" s="381"/>
      <c r="I573" s="381"/>
      <c r="J573" s="221"/>
      <c r="K573" s="221"/>
      <c r="L573" s="381"/>
      <c r="M573" s="381"/>
      <c r="N573" s="381"/>
      <c r="O573" s="381"/>
      <c r="P573" s="381"/>
      <c r="Q573" s="381"/>
      <c r="R573" s="381"/>
      <c r="V573" s="381"/>
      <c r="Y573" s="381"/>
      <c r="Z573" s="221"/>
      <c r="AA573" s="381"/>
      <c r="AB573" s="381"/>
      <c r="AC573" s="381"/>
      <c r="AD573" s="381"/>
      <c r="AE573" s="381"/>
      <c r="AF573" s="381"/>
      <c r="AI573" s="381"/>
      <c r="AJ573" s="381"/>
      <c r="AK573" s="162"/>
      <c r="AL573" s="381"/>
    </row>
    <row r="574" spans="1:40" x14ac:dyDescent="0.25">
      <c r="A574" s="53"/>
      <c r="C574" s="54"/>
      <c r="D574" s="54"/>
      <c r="E574" s="54"/>
      <c r="F574" s="381"/>
      <c r="J574" s="65"/>
      <c r="K574" s="65"/>
      <c r="T574" s="54"/>
      <c r="U574" s="54"/>
      <c r="V574" s="379"/>
      <c r="W574" s="379"/>
      <c r="X574" s="379"/>
      <c r="Y574" s="379"/>
      <c r="Z574" s="221"/>
    </row>
    <row r="575" spans="1:40" x14ac:dyDescent="0.25">
      <c r="A575" s="53"/>
      <c r="C575" s="54"/>
      <c r="J575" s="65"/>
      <c r="K575" s="65"/>
      <c r="T575" s="54"/>
      <c r="V575" s="379"/>
      <c r="W575" s="379"/>
      <c r="X575" s="379"/>
      <c r="Y575" s="379"/>
      <c r="Z575" s="221"/>
    </row>
    <row r="576" spans="1:40" x14ac:dyDescent="0.25">
      <c r="A576" s="53"/>
      <c r="C576" s="54"/>
      <c r="J576" s="65"/>
      <c r="K576" s="65"/>
      <c r="T576" s="54"/>
      <c r="V576" s="379"/>
      <c r="W576" s="379"/>
      <c r="X576" s="379"/>
      <c r="Y576" s="379"/>
      <c r="Z576" s="221"/>
    </row>
    <row r="577" spans="1:40" x14ac:dyDescent="0.25">
      <c r="A577" s="53"/>
      <c r="C577" s="54"/>
      <c r="H577" s="449"/>
      <c r="I577" s="449"/>
      <c r="J577" s="221"/>
      <c r="K577" s="221"/>
      <c r="L577" s="379"/>
      <c r="M577" s="379"/>
      <c r="N577" s="50"/>
      <c r="O577" s="50"/>
      <c r="P577" s="379"/>
      <c r="Q577" s="379"/>
      <c r="R577" s="379"/>
      <c r="T577" s="54"/>
      <c r="V577" s="379"/>
      <c r="W577" s="379"/>
      <c r="X577" s="379"/>
      <c r="Y577" s="379"/>
      <c r="Z577" s="221"/>
      <c r="AA577" s="379"/>
      <c r="AB577" s="379"/>
      <c r="AC577" s="50"/>
      <c r="AD577" s="50"/>
      <c r="AE577" s="379"/>
      <c r="AF577" s="379"/>
      <c r="AG577" s="156"/>
      <c r="AH577" s="60"/>
      <c r="AI577" s="379"/>
      <c r="AJ577" s="379"/>
      <c r="AK577" s="156"/>
      <c r="AL577" s="379"/>
      <c r="AM577" s="50"/>
      <c r="AN577" s="50"/>
    </row>
    <row r="578" spans="1:40" x14ac:dyDescent="0.25">
      <c r="A578" s="53"/>
      <c r="C578" s="54"/>
      <c r="F578" s="449"/>
      <c r="J578" s="65"/>
      <c r="K578" s="65"/>
      <c r="T578" s="54"/>
      <c r="V578" s="379"/>
      <c r="W578" s="379"/>
      <c r="X578" s="379"/>
      <c r="Y578" s="379"/>
      <c r="Z578" s="221"/>
    </row>
    <row r="579" spans="1:40" x14ac:dyDescent="0.25">
      <c r="A579" s="53"/>
      <c r="C579" s="54"/>
      <c r="H579" s="449"/>
      <c r="I579" s="449"/>
      <c r="J579" s="221"/>
      <c r="K579" s="221"/>
      <c r="L579" s="379"/>
      <c r="M579" s="379"/>
      <c r="N579" s="50"/>
      <c r="O579" s="50"/>
      <c r="P579" s="379"/>
      <c r="Q579" s="379"/>
      <c r="R579" s="379"/>
      <c r="T579" s="54"/>
      <c r="V579" s="379"/>
      <c r="W579" s="379"/>
      <c r="X579" s="379"/>
      <c r="Y579" s="379"/>
      <c r="Z579" s="221"/>
      <c r="AA579" s="379"/>
      <c r="AB579" s="379"/>
      <c r="AC579" s="50"/>
      <c r="AD579" s="50"/>
      <c r="AE579" s="379"/>
      <c r="AF579" s="379"/>
      <c r="AG579" s="156"/>
      <c r="AH579" s="60"/>
      <c r="AI579" s="379"/>
      <c r="AJ579" s="379"/>
      <c r="AK579" s="156"/>
      <c r="AL579" s="379"/>
      <c r="AM579" s="50"/>
      <c r="AN579" s="50"/>
    </row>
    <row r="580" spans="1:40" x14ac:dyDescent="0.25">
      <c r="F580" s="449"/>
      <c r="H580" s="381"/>
      <c r="I580" s="381"/>
      <c r="J580" s="221"/>
      <c r="K580" s="221"/>
      <c r="L580" s="381"/>
      <c r="M580" s="381"/>
      <c r="N580" s="381"/>
      <c r="O580" s="381"/>
      <c r="P580" s="381"/>
      <c r="Q580" s="381"/>
      <c r="R580" s="381"/>
      <c r="V580" s="381"/>
      <c r="Y580" s="381"/>
      <c r="Z580" s="464"/>
      <c r="AA580" s="381"/>
      <c r="AB580" s="381"/>
      <c r="AC580" s="381"/>
      <c r="AD580" s="381"/>
      <c r="AE580" s="381"/>
      <c r="AF580" s="381"/>
      <c r="AI580" s="381"/>
      <c r="AJ580" s="381"/>
      <c r="AK580" s="162"/>
      <c r="AL580" s="381"/>
    </row>
    <row r="581" spans="1:40" x14ac:dyDescent="0.25">
      <c r="A581" s="53"/>
      <c r="C581" s="54"/>
      <c r="F581" s="381"/>
      <c r="H581" s="379"/>
      <c r="I581" s="379"/>
      <c r="L581" s="379"/>
      <c r="M581" s="379"/>
      <c r="N581" s="50"/>
      <c r="O581" s="50"/>
      <c r="P581" s="449"/>
      <c r="Q581" s="449"/>
      <c r="R581" s="379"/>
      <c r="T581" s="54"/>
      <c r="V581" s="379"/>
      <c r="W581" s="379"/>
      <c r="X581" s="379"/>
      <c r="Y581" s="379"/>
      <c r="Z581" s="477"/>
      <c r="AA581" s="379"/>
      <c r="AB581" s="379"/>
      <c r="AC581" s="50"/>
      <c r="AD581" s="50"/>
      <c r="AE581" s="379"/>
      <c r="AF581" s="379"/>
      <c r="AG581" s="156"/>
      <c r="AH581" s="60"/>
      <c r="AI581" s="449"/>
      <c r="AJ581" s="449"/>
      <c r="AK581" s="156"/>
      <c r="AL581" s="379"/>
      <c r="AM581" s="50"/>
      <c r="AN581" s="50"/>
    </row>
    <row r="582" spans="1:40" x14ac:dyDescent="0.25">
      <c r="F582" s="379"/>
      <c r="H582" s="381"/>
      <c r="I582" s="381"/>
      <c r="J582" s="464"/>
      <c r="K582" s="464"/>
      <c r="L582" s="381"/>
      <c r="M582" s="381"/>
      <c r="N582" s="381"/>
      <c r="O582" s="381"/>
      <c r="P582" s="381"/>
      <c r="Q582" s="381"/>
      <c r="R582" s="381"/>
      <c r="V582" s="381"/>
      <c r="Y582" s="381"/>
      <c r="Z582" s="464"/>
      <c r="AA582" s="381"/>
      <c r="AB582" s="381"/>
      <c r="AC582" s="381"/>
      <c r="AD582" s="381"/>
      <c r="AE582" s="381"/>
      <c r="AF582" s="381"/>
      <c r="AI582" s="381"/>
      <c r="AJ582" s="381"/>
      <c r="AK582" s="162"/>
      <c r="AL582" s="381"/>
    </row>
    <row r="583" spans="1:40" x14ac:dyDescent="0.25">
      <c r="A583" s="53"/>
      <c r="C583" s="54"/>
      <c r="D583" s="54"/>
      <c r="E583" s="54"/>
      <c r="F583" s="381"/>
      <c r="T583" s="54"/>
      <c r="U583" s="54"/>
      <c r="V583" s="379"/>
      <c r="W583" s="379"/>
      <c r="X583" s="379"/>
      <c r="Y583" s="379"/>
      <c r="Z583" s="477"/>
    </row>
    <row r="584" spans="1:40" x14ac:dyDescent="0.25">
      <c r="A584" s="53"/>
      <c r="C584" s="54"/>
      <c r="T584" s="54"/>
      <c r="V584" s="379"/>
      <c r="W584" s="379"/>
      <c r="X584" s="379"/>
      <c r="Y584" s="379"/>
      <c r="Z584" s="477"/>
    </row>
    <row r="585" spans="1:40" x14ac:dyDescent="0.25">
      <c r="A585" s="53"/>
      <c r="C585" s="54"/>
      <c r="H585" s="449"/>
      <c r="I585" s="449"/>
      <c r="J585" s="477"/>
      <c r="K585" s="477"/>
      <c r="L585" s="379"/>
      <c r="M585" s="379"/>
      <c r="N585" s="50"/>
      <c r="O585" s="50"/>
      <c r="P585" s="379"/>
      <c r="Q585" s="379"/>
      <c r="R585" s="379"/>
      <c r="T585" s="54"/>
      <c r="V585" s="379"/>
      <c r="W585" s="379"/>
      <c r="X585" s="379"/>
      <c r="Y585" s="379"/>
      <c r="Z585" s="477"/>
      <c r="AA585" s="379"/>
      <c r="AB585" s="379"/>
      <c r="AC585" s="50"/>
      <c r="AD585" s="50"/>
      <c r="AE585" s="379"/>
      <c r="AF585" s="379"/>
      <c r="AG585" s="156"/>
      <c r="AH585" s="60"/>
      <c r="AI585" s="379"/>
      <c r="AJ585" s="379"/>
      <c r="AK585" s="156"/>
      <c r="AL585" s="379"/>
      <c r="AM585" s="50"/>
      <c r="AN585" s="50"/>
    </row>
    <row r="586" spans="1:40" x14ac:dyDescent="0.25">
      <c r="A586" s="53"/>
      <c r="C586" s="54"/>
      <c r="F586" s="449"/>
      <c r="T586" s="54"/>
      <c r="V586" s="379"/>
      <c r="W586" s="379"/>
      <c r="X586" s="379"/>
      <c r="Y586" s="379"/>
      <c r="Z586" s="477"/>
    </row>
    <row r="587" spans="1:40" x14ac:dyDescent="0.25">
      <c r="A587" s="53"/>
      <c r="C587" s="54"/>
      <c r="H587" s="449"/>
      <c r="I587" s="449"/>
      <c r="J587" s="477"/>
      <c r="K587" s="477"/>
      <c r="L587" s="379"/>
      <c r="M587" s="379"/>
      <c r="N587" s="50"/>
      <c r="O587" s="50"/>
      <c r="P587" s="379"/>
      <c r="Q587" s="379"/>
      <c r="R587" s="379"/>
      <c r="T587" s="54"/>
      <c r="V587" s="379"/>
      <c r="W587" s="379"/>
      <c r="X587" s="379"/>
      <c r="Y587" s="379"/>
      <c r="Z587" s="477"/>
      <c r="AA587" s="379"/>
      <c r="AB587" s="379"/>
      <c r="AC587" s="50"/>
      <c r="AD587" s="50"/>
      <c r="AE587" s="379"/>
      <c r="AF587" s="379"/>
      <c r="AG587" s="156"/>
      <c r="AH587" s="60"/>
      <c r="AI587" s="379"/>
      <c r="AJ587" s="379"/>
      <c r="AK587" s="156"/>
      <c r="AL587" s="379"/>
      <c r="AM587" s="50"/>
      <c r="AN587" s="50"/>
    </row>
    <row r="588" spans="1:40" x14ac:dyDescent="0.25">
      <c r="A588" s="53"/>
      <c r="C588" s="54"/>
      <c r="F588" s="449"/>
      <c r="T588" s="54"/>
      <c r="V588" s="379"/>
      <c r="W588" s="379"/>
      <c r="X588" s="379"/>
      <c r="Y588" s="379"/>
      <c r="Z588" s="477"/>
    </row>
    <row r="589" spans="1:40" x14ac:dyDescent="0.25">
      <c r="A589" s="53"/>
      <c r="C589" s="54"/>
      <c r="H589" s="449"/>
      <c r="I589" s="449"/>
      <c r="J589" s="477"/>
      <c r="K589" s="477"/>
      <c r="L589" s="379"/>
      <c r="M589" s="379"/>
      <c r="N589" s="50"/>
      <c r="O589" s="50"/>
      <c r="P589" s="379"/>
      <c r="Q589" s="379"/>
      <c r="R589" s="379"/>
      <c r="T589" s="54"/>
      <c r="V589" s="379"/>
      <c r="W589" s="379"/>
      <c r="X589" s="379"/>
      <c r="Y589" s="379"/>
      <c r="Z589" s="477"/>
      <c r="AA589" s="379"/>
      <c r="AB589" s="379"/>
      <c r="AC589" s="50"/>
      <c r="AD589" s="50"/>
      <c r="AE589" s="379"/>
      <c r="AF589" s="379"/>
      <c r="AG589" s="156"/>
      <c r="AH589" s="60"/>
      <c r="AI589" s="379"/>
      <c r="AJ589" s="379"/>
      <c r="AK589" s="156"/>
      <c r="AL589" s="379"/>
      <c r="AM589" s="50"/>
      <c r="AN589" s="50"/>
    </row>
    <row r="590" spans="1:40" x14ac:dyDescent="0.25">
      <c r="A590" s="53"/>
      <c r="C590" s="54"/>
      <c r="F590" s="449"/>
      <c r="T590" s="54"/>
      <c r="V590" s="379"/>
      <c r="W590" s="379"/>
      <c r="X590" s="379"/>
      <c r="Y590" s="379"/>
      <c r="Z590" s="477"/>
    </row>
    <row r="591" spans="1:40" x14ac:dyDescent="0.25">
      <c r="A591" s="53"/>
      <c r="C591" s="54"/>
      <c r="H591" s="449"/>
      <c r="I591" s="449"/>
      <c r="J591" s="477"/>
      <c r="K591" s="477"/>
      <c r="L591" s="379"/>
      <c r="M591" s="379"/>
      <c r="N591" s="50"/>
      <c r="O591" s="50"/>
      <c r="P591" s="379"/>
      <c r="Q591" s="379"/>
      <c r="R591" s="379"/>
      <c r="T591" s="54"/>
      <c r="V591" s="379"/>
      <c r="W591" s="379"/>
      <c r="X591" s="379"/>
      <c r="Y591" s="379"/>
      <c r="Z591" s="477"/>
      <c r="AA591" s="379"/>
      <c r="AB591" s="379"/>
      <c r="AC591" s="50"/>
      <c r="AD591" s="50"/>
      <c r="AE591" s="379"/>
      <c r="AF591" s="379"/>
      <c r="AG591" s="156"/>
      <c r="AH591" s="60"/>
      <c r="AI591" s="379"/>
      <c r="AJ591" s="379"/>
      <c r="AK591" s="156"/>
      <c r="AL591" s="379"/>
      <c r="AM591" s="50"/>
      <c r="AN591" s="50"/>
    </row>
    <row r="592" spans="1:40" x14ac:dyDescent="0.25">
      <c r="F592" s="449"/>
      <c r="H592" s="381"/>
      <c r="I592" s="381"/>
      <c r="J592" s="464"/>
      <c r="K592" s="464"/>
      <c r="L592" s="381"/>
      <c r="M592" s="381"/>
      <c r="N592" s="381"/>
      <c r="O592" s="381"/>
      <c r="P592" s="381"/>
      <c r="Q592" s="381"/>
      <c r="R592" s="381"/>
      <c r="V592" s="381"/>
      <c r="Y592" s="381"/>
      <c r="Z592" s="464"/>
      <c r="AA592" s="381"/>
      <c r="AB592" s="381"/>
      <c r="AC592" s="381"/>
      <c r="AD592" s="381"/>
      <c r="AE592" s="381"/>
      <c r="AF592" s="381"/>
      <c r="AI592" s="381"/>
      <c r="AJ592" s="381"/>
      <c r="AK592" s="162"/>
      <c r="AL592" s="381"/>
    </row>
    <row r="593" spans="1:40" x14ac:dyDescent="0.25">
      <c r="A593" s="53"/>
      <c r="C593" s="54"/>
      <c r="F593" s="381"/>
      <c r="H593" s="379"/>
      <c r="I593" s="379"/>
      <c r="L593" s="379"/>
      <c r="M593" s="379"/>
      <c r="N593" s="50"/>
      <c r="O593" s="50"/>
      <c r="P593" s="449"/>
      <c r="Q593" s="449"/>
      <c r="R593" s="379"/>
      <c r="T593" s="54"/>
      <c r="V593" s="379"/>
      <c r="W593" s="379"/>
      <c r="X593" s="379"/>
      <c r="Y593" s="379"/>
      <c r="Z593" s="477"/>
      <c r="AA593" s="379"/>
      <c r="AB593" s="379"/>
      <c r="AC593" s="50"/>
      <c r="AD593" s="50"/>
      <c r="AE593" s="379"/>
      <c r="AF593" s="379"/>
      <c r="AG593" s="156"/>
      <c r="AH593" s="60"/>
      <c r="AI593" s="449"/>
      <c r="AJ593" s="449"/>
      <c r="AK593" s="156"/>
      <c r="AL593" s="379"/>
      <c r="AM593" s="50"/>
      <c r="AN593" s="50"/>
    </row>
    <row r="594" spans="1:40" x14ac:dyDescent="0.25">
      <c r="F594" s="379"/>
      <c r="H594" s="381"/>
      <c r="I594" s="381"/>
      <c r="J594" s="464"/>
      <c r="K594" s="464"/>
      <c r="L594" s="381"/>
      <c r="M594" s="381"/>
      <c r="N594" s="381"/>
      <c r="O594" s="381"/>
      <c r="P594" s="381"/>
      <c r="Q594" s="381"/>
      <c r="R594" s="381"/>
      <c r="V594" s="381"/>
      <c r="Y594" s="381"/>
      <c r="Z594" s="464"/>
      <c r="AA594" s="381"/>
      <c r="AB594" s="381"/>
      <c r="AC594" s="381"/>
      <c r="AD594" s="381"/>
      <c r="AE594" s="381"/>
      <c r="AF594" s="381"/>
      <c r="AI594" s="381"/>
      <c r="AJ594" s="381"/>
      <c r="AK594" s="162"/>
      <c r="AL594" s="381"/>
    </row>
    <row r="595" spans="1:40" x14ac:dyDescent="0.25">
      <c r="A595" s="53"/>
      <c r="C595" s="54"/>
      <c r="F595" s="381"/>
      <c r="H595" s="379"/>
      <c r="I595" s="379"/>
      <c r="L595" s="379"/>
      <c r="M595" s="379"/>
      <c r="N595" s="50"/>
      <c r="O595" s="50"/>
      <c r="P595" s="379"/>
      <c r="Q595" s="379"/>
      <c r="R595" s="379"/>
      <c r="T595" s="54"/>
      <c r="V595" s="379"/>
      <c r="W595" s="379"/>
      <c r="X595" s="379"/>
      <c r="Y595" s="379"/>
      <c r="AA595" s="379"/>
      <c r="AB595" s="379"/>
      <c r="AC595" s="50"/>
      <c r="AD595" s="50"/>
      <c r="AE595" s="379"/>
      <c r="AF595" s="379"/>
      <c r="AG595" s="156"/>
      <c r="AH595" s="60"/>
      <c r="AI595" s="379"/>
      <c r="AJ595" s="379"/>
      <c r="AK595" s="156"/>
      <c r="AL595" s="379"/>
      <c r="AM595" s="60"/>
      <c r="AN595" s="60"/>
    </row>
    <row r="596" spans="1:40" x14ac:dyDescent="0.25">
      <c r="F596" s="379"/>
      <c r="H596" s="381"/>
      <c r="I596" s="381"/>
      <c r="J596" s="464"/>
      <c r="K596" s="464"/>
      <c r="L596" s="381"/>
      <c r="M596" s="381"/>
      <c r="N596" s="381"/>
      <c r="O596" s="381"/>
      <c r="P596" s="381"/>
      <c r="Q596" s="381"/>
      <c r="R596" s="381"/>
      <c r="V596" s="381"/>
      <c r="Y596" s="381"/>
      <c r="Z596" s="464"/>
      <c r="AA596" s="381"/>
      <c r="AB596" s="381"/>
      <c r="AC596" s="381"/>
      <c r="AD596" s="381"/>
      <c r="AE596" s="381"/>
      <c r="AF596" s="381"/>
      <c r="AI596" s="381"/>
      <c r="AJ596" s="381"/>
      <c r="AK596" s="162"/>
      <c r="AL596" s="381"/>
    </row>
    <row r="598" spans="1:40" x14ac:dyDescent="0.25">
      <c r="C598" s="53"/>
      <c r="F598" s="381"/>
      <c r="T598" s="53"/>
    </row>
    <row r="599" spans="1:40" x14ac:dyDescent="0.25">
      <c r="A599" s="54"/>
    </row>
    <row r="600" spans="1:40" x14ac:dyDescent="0.25">
      <c r="J600" s="53"/>
      <c r="K600" s="53"/>
      <c r="Z600" s="53"/>
    </row>
    <row r="601" spans="1:40" x14ac:dyDescent="0.25">
      <c r="H601" s="54"/>
      <c r="I601" s="54"/>
      <c r="Y601" s="54"/>
    </row>
    <row r="602" spans="1:40" x14ac:dyDescent="0.25">
      <c r="J602" s="53"/>
      <c r="K602" s="53"/>
      <c r="Z602" s="53"/>
    </row>
    <row r="603" spans="1:40" x14ac:dyDescent="0.25">
      <c r="L603" s="54"/>
      <c r="M603" s="54"/>
      <c r="AA603" s="54"/>
      <c r="AB603" s="54"/>
    </row>
    <row r="604" spans="1:40" x14ac:dyDescent="0.25">
      <c r="A604" s="53"/>
      <c r="R604" s="54"/>
      <c r="AK604" s="161"/>
      <c r="AL604" s="54"/>
    </row>
    <row r="605" spans="1:40" x14ac:dyDescent="0.25">
      <c r="A605" s="53"/>
      <c r="R605" s="54"/>
      <c r="AK605" s="161"/>
      <c r="AL605" s="54"/>
    </row>
    <row r="606" spans="1:40" x14ac:dyDescent="0.25">
      <c r="A606" s="54"/>
      <c r="R606" s="54"/>
      <c r="AK606" s="161"/>
      <c r="AL606" s="54"/>
    </row>
    <row r="607" spans="1:40" x14ac:dyDescent="0.25">
      <c r="L607" s="54"/>
      <c r="M607" s="54"/>
      <c r="R607" s="53"/>
      <c r="AA607" s="54"/>
      <c r="AB607" s="54"/>
      <c r="AK607" s="156"/>
      <c r="AL607" s="53"/>
    </row>
    <row r="608" spans="1:40" x14ac:dyDescent="0.25">
      <c r="A608" s="55"/>
      <c r="B608" s="55"/>
      <c r="C608" s="55"/>
      <c r="D608" s="55"/>
      <c r="E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154"/>
      <c r="AH608" s="55"/>
      <c r="AI608" s="55"/>
      <c r="AJ608" s="55"/>
      <c r="AK608" s="154"/>
      <c r="AL608" s="55"/>
      <c r="AM608" s="55"/>
      <c r="AN608" s="55"/>
    </row>
    <row r="609" spans="1:40" x14ac:dyDescent="0.25">
      <c r="F609" s="55"/>
      <c r="L609" s="56"/>
      <c r="M609" s="56"/>
      <c r="N609" s="56"/>
      <c r="O609" s="56"/>
      <c r="R609" s="56"/>
      <c r="AA609" s="56"/>
      <c r="AB609" s="56"/>
      <c r="AC609" s="56"/>
      <c r="AD609" s="56"/>
      <c r="AE609" s="56"/>
      <c r="AF609" s="56"/>
      <c r="AG609" s="155"/>
      <c r="AH609" s="56"/>
      <c r="AK609" s="155"/>
      <c r="AL609" s="56"/>
      <c r="AM609" s="56"/>
      <c r="AN609" s="56"/>
    </row>
    <row r="610" spans="1:40" x14ac:dyDescent="0.25">
      <c r="L610" s="56"/>
      <c r="M610" s="56"/>
      <c r="N610" s="56"/>
      <c r="O610" s="56"/>
      <c r="R610" s="56"/>
      <c r="Z610" s="56"/>
      <c r="AA610" s="56"/>
      <c r="AB610" s="56"/>
      <c r="AC610" s="56"/>
      <c r="AD610" s="56"/>
      <c r="AE610" s="56"/>
      <c r="AF610" s="56"/>
      <c r="AG610" s="155"/>
      <c r="AH610" s="56"/>
      <c r="AK610" s="155"/>
      <c r="AL610" s="56"/>
      <c r="AM610" s="56"/>
      <c r="AN610" s="56"/>
    </row>
    <row r="611" spans="1:40" x14ac:dyDescent="0.25">
      <c r="A611" s="56"/>
      <c r="C611" s="56"/>
      <c r="D611" s="56"/>
      <c r="E611" s="56"/>
      <c r="J611" s="56"/>
      <c r="K611" s="56"/>
      <c r="L611" s="56"/>
      <c r="M611" s="56"/>
      <c r="N611" s="56"/>
      <c r="O611" s="56"/>
      <c r="P611" s="56"/>
      <c r="Q611" s="56"/>
      <c r="R611" s="56"/>
      <c r="T611" s="56"/>
      <c r="U611" s="56"/>
      <c r="V611" s="56"/>
      <c r="Z611" s="56"/>
      <c r="AA611" s="56"/>
      <c r="AB611" s="56"/>
      <c r="AC611" s="56"/>
      <c r="AD611" s="56"/>
      <c r="AE611" s="56"/>
      <c r="AF611" s="56"/>
      <c r="AG611" s="155"/>
      <c r="AH611" s="56"/>
      <c r="AI611" s="56"/>
      <c r="AJ611" s="56"/>
      <c r="AK611" s="155"/>
      <c r="AL611" s="56"/>
      <c r="AM611" s="56"/>
      <c r="AN611" s="56"/>
    </row>
    <row r="612" spans="1:40" x14ac:dyDescent="0.25">
      <c r="A612" s="56"/>
      <c r="C612" s="56"/>
      <c r="D612" s="56"/>
      <c r="E612" s="56"/>
      <c r="F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T612" s="56"/>
      <c r="U612" s="56"/>
      <c r="V612" s="56"/>
      <c r="Y612" s="56"/>
      <c r="Z612" s="56"/>
      <c r="AA612" s="56"/>
      <c r="AB612" s="56"/>
      <c r="AC612" s="56"/>
      <c r="AD612" s="56"/>
      <c r="AE612" s="56"/>
      <c r="AF612" s="56"/>
      <c r="AG612" s="155"/>
      <c r="AH612" s="56"/>
      <c r="AI612" s="56"/>
      <c r="AJ612" s="56"/>
      <c r="AK612" s="155"/>
      <c r="AL612" s="56"/>
      <c r="AM612" s="56"/>
      <c r="AN612" s="56"/>
    </row>
    <row r="613" spans="1:40" x14ac:dyDescent="0.25">
      <c r="C613" s="56"/>
      <c r="D613" s="56"/>
      <c r="E613" s="56"/>
      <c r="F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T613" s="56"/>
      <c r="U613" s="56"/>
      <c r="V613" s="56"/>
      <c r="Y613" s="56"/>
      <c r="Z613" s="56"/>
      <c r="AA613" s="56"/>
      <c r="AB613" s="56"/>
      <c r="AC613" s="56"/>
      <c r="AD613" s="56"/>
      <c r="AE613" s="56"/>
      <c r="AF613" s="56"/>
      <c r="AG613" s="155"/>
      <c r="AH613" s="56"/>
      <c r="AI613" s="56"/>
      <c r="AJ613" s="56"/>
      <c r="AK613" s="155"/>
      <c r="AL613" s="56"/>
      <c r="AM613" s="56"/>
      <c r="AN613" s="56"/>
    </row>
    <row r="614" spans="1:40" x14ac:dyDescent="0.25">
      <c r="A614" s="55"/>
      <c r="B614" s="55"/>
      <c r="C614" s="55"/>
      <c r="D614" s="55"/>
      <c r="E614" s="55"/>
      <c r="F614" s="56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154"/>
      <c r="AH614" s="55"/>
      <c r="AI614" s="55"/>
      <c r="AJ614" s="55"/>
      <c r="AK614" s="154"/>
      <c r="AL614" s="55"/>
      <c r="AM614" s="55"/>
      <c r="AN614" s="55"/>
    </row>
    <row r="615" spans="1:40" x14ac:dyDescent="0.25">
      <c r="F615" s="55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Y615" s="56"/>
      <c r="Z615" s="56"/>
      <c r="AA615" s="56"/>
      <c r="AB615" s="56"/>
      <c r="AC615" s="56"/>
      <c r="AD615" s="56"/>
      <c r="AE615" s="56"/>
      <c r="AF615" s="56"/>
      <c r="AG615" s="155"/>
      <c r="AH615" s="56"/>
      <c r="AI615" s="56"/>
      <c r="AJ615" s="56"/>
      <c r="AK615" s="155"/>
      <c r="AL615" s="56"/>
      <c r="AM615" s="56"/>
      <c r="AN615" s="56"/>
    </row>
    <row r="616" spans="1:40" x14ac:dyDescent="0.25">
      <c r="A616" s="53"/>
      <c r="C616" s="54"/>
      <c r="D616" s="54"/>
      <c r="E616" s="54"/>
      <c r="H616" s="379"/>
      <c r="I616" s="379"/>
      <c r="J616" s="59"/>
      <c r="K616" s="59"/>
      <c r="L616" s="379"/>
      <c r="M616" s="379"/>
      <c r="N616" s="59"/>
      <c r="O616" s="59"/>
      <c r="P616" s="379"/>
      <c r="Q616" s="379"/>
      <c r="R616" s="379"/>
      <c r="T616" s="54"/>
      <c r="U616" s="54"/>
      <c r="V616" s="379"/>
      <c r="Y616" s="379"/>
      <c r="Z616" s="59"/>
      <c r="AA616" s="379"/>
      <c r="AB616" s="379"/>
      <c r="AC616" s="59"/>
      <c r="AD616" s="59"/>
      <c r="AE616" s="379"/>
      <c r="AF616" s="379"/>
      <c r="AG616" s="156"/>
      <c r="AH616" s="60"/>
      <c r="AI616" s="379"/>
      <c r="AJ616" s="379"/>
      <c r="AK616" s="156"/>
      <c r="AL616" s="379"/>
      <c r="AM616" s="50"/>
      <c r="AN616" s="50"/>
    </row>
    <row r="617" spans="1:40" x14ac:dyDescent="0.25">
      <c r="F617" s="379"/>
      <c r="H617" s="381"/>
      <c r="I617" s="381"/>
      <c r="J617" s="464"/>
      <c r="K617" s="464"/>
      <c r="L617" s="381"/>
      <c r="M617" s="381"/>
      <c r="N617" s="381"/>
      <c r="O617" s="381"/>
      <c r="P617" s="381"/>
      <c r="Q617" s="381"/>
      <c r="R617" s="381"/>
      <c r="V617" s="381"/>
      <c r="Y617" s="381"/>
      <c r="Z617" s="464"/>
      <c r="AA617" s="381"/>
      <c r="AB617" s="381"/>
      <c r="AC617" s="381"/>
      <c r="AD617" s="381"/>
      <c r="AE617" s="381"/>
      <c r="AF617" s="381"/>
      <c r="AI617" s="381"/>
      <c r="AJ617" s="381"/>
      <c r="AK617" s="162"/>
      <c r="AL617" s="381"/>
      <c r="AM617" s="50"/>
      <c r="AN617" s="50"/>
    </row>
    <row r="618" spans="1:40" x14ac:dyDescent="0.25">
      <c r="A618" s="53"/>
      <c r="C618" s="54"/>
      <c r="F618" s="381"/>
      <c r="H618" s="379"/>
      <c r="I618" s="379"/>
      <c r="J618" s="59"/>
      <c r="K618" s="59"/>
      <c r="L618" s="379"/>
      <c r="M618" s="379"/>
      <c r="N618" s="59"/>
      <c r="O618" s="59"/>
      <c r="P618" s="379"/>
      <c r="Q618" s="379"/>
      <c r="R618" s="379"/>
      <c r="T618" s="54"/>
      <c r="V618" s="379"/>
      <c r="Y618" s="379"/>
      <c r="Z618" s="59"/>
      <c r="AA618" s="379"/>
      <c r="AB618" s="379"/>
      <c r="AC618" s="59"/>
      <c r="AD618" s="59"/>
      <c r="AE618" s="379"/>
      <c r="AF618" s="379"/>
      <c r="AG618" s="156"/>
      <c r="AH618" s="60"/>
      <c r="AI618" s="379"/>
      <c r="AJ618" s="379"/>
      <c r="AK618" s="156"/>
      <c r="AL618" s="379"/>
      <c r="AM618" s="50"/>
      <c r="AN618" s="50"/>
    </row>
    <row r="619" spans="1:40" x14ac:dyDescent="0.25">
      <c r="F619" s="379"/>
      <c r="H619" s="379"/>
      <c r="I619" s="379"/>
      <c r="J619" s="59"/>
      <c r="K619" s="59"/>
      <c r="L619" s="379"/>
      <c r="M619" s="379"/>
      <c r="N619" s="59"/>
      <c r="O619" s="59"/>
      <c r="P619" s="379"/>
      <c r="Q619" s="379"/>
      <c r="R619" s="379"/>
      <c r="V619" s="379"/>
      <c r="Y619" s="379"/>
      <c r="Z619" s="59"/>
      <c r="AA619" s="379"/>
      <c r="AB619" s="379"/>
      <c r="AC619" s="59"/>
      <c r="AD619" s="59"/>
      <c r="AG619" s="156"/>
      <c r="AH619" s="60"/>
      <c r="AI619" s="379"/>
      <c r="AJ619" s="379"/>
      <c r="AK619" s="156"/>
      <c r="AL619" s="379"/>
      <c r="AM619" s="50"/>
      <c r="AN619" s="50"/>
    </row>
    <row r="620" spans="1:40" x14ac:dyDescent="0.25">
      <c r="A620" s="53"/>
      <c r="C620" s="54"/>
      <c r="D620" s="54"/>
      <c r="E620" s="54"/>
      <c r="F620" s="379"/>
      <c r="H620" s="379"/>
      <c r="I620" s="379"/>
      <c r="J620" s="59"/>
      <c r="K620" s="59"/>
      <c r="L620" s="379"/>
      <c r="M620" s="379"/>
      <c r="N620" s="59"/>
      <c r="O620" s="59"/>
      <c r="P620" s="379"/>
      <c r="Q620" s="379"/>
      <c r="R620" s="379"/>
      <c r="T620" s="54"/>
      <c r="U620" s="54"/>
      <c r="V620" s="379"/>
      <c r="Y620" s="379"/>
      <c r="Z620" s="59"/>
      <c r="AA620" s="379"/>
      <c r="AB620" s="379"/>
      <c r="AC620" s="59"/>
      <c r="AD620" s="59"/>
      <c r="AE620" s="379"/>
      <c r="AF620" s="379"/>
      <c r="AG620" s="156"/>
      <c r="AH620" s="60"/>
      <c r="AI620" s="379"/>
      <c r="AJ620" s="379"/>
      <c r="AK620" s="156"/>
      <c r="AL620" s="379"/>
      <c r="AM620" s="50"/>
      <c r="AN620" s="50"/>
    </row>
    <row r="621" spans="1:40" x14ac:dyDescent="0.25">
      <c r="A621" s="53"/>
      <c r="C621" s="54"/>
      <c r="D621" s="54"/>
      <c r="E621" s="54"/>
      <c r="F621" s="379"/>
      <c r="H621" s="379"/>
      <c r="I621" s="379"/>
      <c r="J621" s="59"/>
      <c r="K621" s="59"/>
      <c r="L621" s="379"/>
      <c r="M621" s="379"/>
      <c r="N621" s="59"/>
      <c r="O621" s="59"/>
      <c r="P621" s="379"/>
      <c r="Q621" s="379"/>
      <c r="R621" s="379"/>
      <c r="T621" s="54"/>
      <c r="U621" s="54"/>
      <c r="V621" s="379"/>
      <c r="Y621" s="379"/>
      <c r="Z621" s="59"/>
      <c r="AA621" s="379"/>
      <c r="AB621" s="379"/>
      <c r="AC621" s="59"/>
      <c r="AD621" s="59"/>
      <c r="AE621" s="379"/>
      <c r="AF621" s="379"/>
      <c r="AG621" s="156"/>
      <c r="AH621" s="60"/>
      <c r="AI621" s="379"/>
      <c r="AJ621" s="379"/>
      <c r="AK621" s="156"/>
      <c r="AL621" s="379"/>
      <c r="AM621" s="50"/>
      <c r="AN621" s="50"/>
    </row>
    <row r="622" spans="1:40" x14ac:dyDescent="0.25">
      <c r="A622" s="53"/>
      <c r="C622" s="54"/>
      <c r="D622" s="54"/>
      <c r="E622" s="54"/>
      <c r="F622" s="379"/>
      <c r="H622" s="379"/>
      <c r="I622" s="379"/>
      <c r="J622" s="59"/>
      <c r="K622" s="59"/>
      <c r="L622" s="379"/>
      <c r="M622" s="379"/>
      <c r="N622" s="59"/>
      <c r="O622" s="59"/>
      <c r="P622" s="379"/>
      <c r="Q622" s="379"/>
      <c r="R622" s="379"/>
      <c r="T622" s="54"/>
      <c r="U622" s="54"/>
      <c r="V622" s="379"/>
      <c r="Y622" s="379"/>
      <c r="Z622" s="59"/>
      <c r="AA622" s="379"/>
      <c r="AB622" s="379"/>
      <c r="AC622" s="59"/>
      <c r="AD622" s="59"/>
      <c r="AE622" s="379"/>
      <c r="AF622" s="379"/>
      <c r="AG622" s="156"/>
      <c r="AH622" s="60"/>
      <c r="AI622" s="379"/>
      <c r="AJ622" s="379"/>
      <c r="AK622" s="156"/>
      <c r="AL622" s="379"/>
      <c r="AM622" s="50"/>
      <c r="AN622" s="50"/>
    </row>
    <row r="623" spans="1:40" x14ac:dyDescent="0.25">
      <c r="A623" s="53"/>
      <c r="C623" s="54"/>
      <c r="D623" s="54"/>
      <c r="E623" s="54"/>
      <c r="F623" s="379"/>
      <c r="H623" s="379"/>
      <c r="I623" s="379"/>
      <c r="J623" s="59"/>
      <c r="K623" s="59"/>
      <c r="L623" s="379"/>
      <c r="M623" s="379"/>
      <c r="N623" s="59"/>
      <c r="O623" s="59"/>
      <c r="P623" s="379"/>
      <c r="Q623" s="379"/>
      <c r="R623" s="379"/>
      <c r="T623" s="54"/>
      <c r="U623" s="54"/>
      <c r="V623" s="379"/>
      <c r="Y623" s="379"/>
      <c r="Z623" s="59"/>
      <c r="AA623" s="379"/>
      <c r="AB623" s="379"/>
      <c r="AC623" s="59"/>
      <c r="AD623" s="59"/>
      <c r="AE623" s="379"/>
      <c r="AF623" s="379"/>
      <c r="AG623" s="156"/>
      <c r="AH623" s="60"/>
      <c r="AI623" s="379"/>
      <c r="AJ623" s="379"/>
      <c r="AK623" s="156"/>
      <c r="AL623" s="379"/>
      <c r="AM623" s="50"/>
      <c r="AN623" s="50"/>
    </row>
    <row r="624" spans="1:40" x14ac:dyDescent="0.25">
      <c r="A624" s="53"/>
      <c r="C624" s="54"/>
      <c r="D624" s="54"/>
      <c r="E624" s="54"/>
      <c r="F624" s="379"/>
      <c r="H624" s="379"/>
      <c r="I624" s="379"/>
      <c r="J624" s="59"/>
      <c r="K624" s="59"/>
      <c r="L624" s="379"/>
      <c r="M624" s="379"/>
      <c r="N624" s="59"/>
      <c r="O624" s="59"/>
      <c r="P624" s="379"/>
      <c r="Q624" s="379"/>
      <c r="R624" s="379"/>
      <c r="T624" s="54"/>
      <c r="U624" s="54"/>
      <c r="V624" s="379"/>
      <c r="Y624" s="379"/>
      <c r="Z624" s="59"/>
      <c r="AA624" s="379"/>
      <c r="AB624" s="379"/>
      <c r="AC624" s="59"/>
      <c r="AD624" s="59"/>
      <c r="AE624" s="379"/>
      <c r="AF624" s="379"/>
      <c r="AG624" s="156"/>
      <c r="AH624" s="60"/>
      <c r="AI624" s="379"/>
      <c r="AJ624" s="379"/>
      <c r="AK624" s="156"/>
      <c r="AL624" s="379"/>
      <c r="AM624" s="50"/>
      <c r="AN624" s="50"/>
    </row>
    <row r="625" spans="1:40" x14ac:dyDescent="0.25">
      <c r="A625" s="53"/>
      <c r="C625" s="54"/>
      <c r="D625" s="54"/>
      <c r="E625" s="54"/>
      <c r="F625" s="379"/>
      <c r="H625" s="379"/>
      <c r="I625" s="379"/>
      <c r="J625" s="59"/>
      <c r="K625" s="59"/>
      <c r="L625" s="379"/>
      <c r="M625" s="379"/>
      <c r="N625" s="59"/>
      <c r="O625" s="59"/>
      <c r="P625" s="379"/>
      <c r="Q625" s="379"/>
      <c r="R625" s="379"/>
      <c r="T625" s="54"/>
      <c r="U625" s="54"/>
      <c r="V625" s="379"/>
      <c r="Y625" s="379"/>
      <c r="Z625" s="59"/>
      <c r="AA625" s="379"/>
      <c r="AB625" s="379"/>
      <c r="AC625" s="59"/>
      <c r="AD625" s="59"/>
      <c r="AE625" s="379"/>
      <c r="AF625" s="379"/>
      <c r="AG625" s="156"/>
      <c r="AH625" s="60"/>
      <c r="AI625" s="379"/>
      <c r="AJ625" s="379"/>
      <c r="AK625" s="156"/>
      <c r="AL625" s="379"/>
      <c r="AM625" s="50"/>
      <c r="AN625" s="50"/>
    </row>
    <row r="626" spans="1:40" x14ac:dyDescent="0.25">
      <c r="F626" s="379"/>
      <c r="H626" s="381"/>
      <c r="I626" s="381"/>
      <c r="J626" s="464"/>
      <c r="K626" s="464"/>
      <c r="L626" s="381"/>
      <c r="M626" s="381"/>
      <c r="N626" s="381"/>
      <c r="O626" s="381"/>
      <c r="P626" s="381"/>
      <c r="Q626" s="381"/>
      <c r="R626" s="381"/>
      <c r="V626" s="381"/>
      <c r="Y626" s="381"/>
      <c r="Z626" s="464"/>
      <c r="AA626" s="381"/>
      <c r="AB626" s="381"/>
      <c r="AC626" s="381"/>
      <c r="AD626" s="381"/>
      <c r="AE626" s="381"/>
      <c r="AF626" s="381"/>
      <c r="AI626" s="381"/>
      <c r="AJ626" s="381"/>
      <c r="AK626" s="162"/>
      <c r="AL626" s="381"/>
      <c r="AM626" s="50"/>
      <c r="AN626" s="50"/>
    </row>
    <row r="627" spans="1:40" x14ac:dyDescent="0.25">
      <c r="A627" s="53"/>
      <c r="C627" s="54"/>
      <c r="F627" s="381"/>
      <c r="H627" s="379"/>
      <c r="I627" s="379"/>
      <c r="J627" s="59"/>
      <c r="K627" s="59"/>
      <c r="L627" s="379"/>
      <c r="M627" s="379"/>
      <c r="N627" s="59"/>
      <c r="O627" s="59"/>
      <c r="P627" s="379"/>
      <c r="Q627" s="379"/>
      <c r="R627" s="379"/>
      <c r="T627" s="54"/>
      <c r="V627" s="379"/>
      <c r="Y627" s="379"/>
      <c r="Z627" s="59"/>
      <c r="AA627" s="379"/>
      <c r="AB627" s="379"/>
      <c r="AC627" s="59"/>
      <c r="AD627" s="59"/>
      <c r="AE627" s="379"/>
      <c r="AF627" s="379"/>
      <c r="AG627" s="156"/>
      <c r="AH627" s="60"/>
      <c r="AI627" s="379"/>
      <c r="AJ627" s="379"/>
      <c r="AK627" s="156"/>
      <c r="AL627" s="379"/>
      <c r="AM627" s="50"/>
      <c r="AN627" s="50"/>
    </row>
    <row r="628" spans="1:40" x14ac:dyDescent="0.25">
      <c r="F628" s="379"/>
      <c r="H628" s="379"/>
      <c r="I628" s="379"/>
      <c r="J628" s="59"/>
      <c r="K628" s="59"/>
      <c r="L628" s="379"/>
      <c r="M628" s="379"/>
      <c r="N628" s="59"/>
      <c r="O628" s="59"/>
      <c r="P628" s="379"/>
      <c r="Q628" s="379"/>
      <c r="R628" s="379"/>
      <c r="V628" s="379"/>
      <c r="Y628" s="379"/>
      <c r="Z628" s="59"/>
      <c r="AA628" s="379"/>
      <c r="AB628" s="379"/>
      <c r="AC628" s="59"/>
      <c r="AD628" s="59"/>
      <c r="AG628" s="156"/>
      <c r="AH628" s="60"/>
      <c r="AI628" s="379"/>
      <c r="AJ628" s="379"/>
      <c r="AK628" s="156"/>
      <c r="AL628" s="379"/>
      <c r="AM628" s="50"/>
      <c r="AN628" s="50"/>
    </row>
    <row r="629" spans="1:40" x14ac:dyDescent="0.25">
      <c r="A629" s="53"/>
      <c r="C629" s="54"/>
      <c r="D629" s="54"/>
      <c r="E629" s="54"/>
      <c r="F629" s="379"/>
      <c r="H629" s="379"/>
      <c r="I629" s="379"/>
      <c r="J629" s="59"/>
      <c r="K629" s="59"/>
      <c r="L629" s="379"/>
      <c r="M629" s="379"/>
      <c r="N629" s="59"/>
      <c r="O629" s="59"/>
      <c r="P629" s="379"/>
      <c r="Q629" s="379"/>
      <c r="R629" s="379"/>
      <c r="T629" s="54"/>
      <c r="U629" s="54"/>
      <c r="V629" s="379"/>
      <c r="Y629" s="379"/>
      <c r="Z629" s="59"/>
      <c r="AA629" s="379"/>
      <c r="AB629" s="379"/>
      <c r="AC629" s="59"/>
      <c r="AD629" s="59"/>
      <c r="AE629" s="379"/>
      <c r="AF629" s="379"/>
      <c r="AG629" s="156"/>
      <c r="AH629" s="60"/>
      <c r="AI629" s="379"/>
      <c r="AJ629" s="379"/>
      <c r="AK629" s="156"/>
      <c r="AL629" s="379"/>
      <c r="AM629" s="50"/>
      <c r="AN629" s="50"/>
    </row>
    <row r="630" spans="1:40" x14ac:dyDescent="0.25">
      <c r="F630" s="379"/>
      <c r="H630" s="381"/>
      <c r="I630" s="381"/>
      <c r="J630" s="464"/>
      <c r="K630" s="464"/>
      <c r="L630" s="381"/>
      <c r="M630" s="381"/>
      <c r="N630" s="381"/>
      <c r="O630" s="381"/>
      <c r="P630" s="381"/>
      <c r="Q630" s="381"/>
      <c r="R630" s="381"/>
      <c r="V630" s="381"/>
      <c r="Y630" s="381"/>
      <c r="Z630" s="464"/>
      <c r="AA630" s="381"/>
      <c r="AB630" s="381"/>
      <c r="AC630" s="381"/>
      <c r="AD630" s="381"/>
      <c r="AE630" s="381"/>
      <c r="AF630" s="381"/>
      <c r="AI630" s="381"/>
      <c r="AJ630" s="381"/>
      <c r="AK630" s="162"/>
      <c r="AL630" s="381"/>
      <c r="AM630" s="50"/>
      <c r="AN630" s="50"/>
    </row>
    <row r="631" spans="1:40" x14ac:dyDescent="0.25">
      <c r="A631" s="53"/>
      <c r="C631" s="54"/>
      <c r="F631" s="381"/>
      <c r="H631" s="379"/>
      <c r="I631" s="379"/>
      <c r="J631" s="59"/>
      <c r="K631" s="59"/>
      <c r="L631" s="379"/>
      <c r="M631" s="379"/>
      <c r="N631" s="59"/>
      <c r="O631" s="59"/>
      <c r="P631" s="379"/>
      <c r="Q631" s="379"/>
      <c r="R631" s="379"/>
      <c r="T631" s="54"/>
      <c r="V631" s="379"/>
      <c r="Y631" s="379"/>
      <c r="Z631" s="59"/>
      <c r="AA631" s="379"/>
      <c r="AB631" s="379"/>
      <c r="AC631" s="59"/>
      <c r="AD631" s="59"/>
      <c r="AE631" s="379"/>
      <c r="AF631" s="379"/>
      <c r="AG631" s="156"/>
      <c r="AH631" s="60"/>
      <c r="AI631" s="379"/>
      <c r="AJ631" s="379"/>
      <c r="AK631" s="156"/>
      <c r="AL631" s="379"/>
      <c r="AM631" s="50"/>
      <c r="AN631" s="50"/>
    </row>
    <row r="632" spans="1:40" x14ac:dyDescent="0.25">
      <c r="F632" s="379"/>
      <c r="H632" s="379"/>
      <c r="I632" s="379"/>
      <c r="J632" s="59"/>
      <c r="K632" s="59"/>
      <c r="L632" s="379"/>
      <c r="M632" s="379"/>
      <c r="N632" s="59"/>
      <c r="O632" s="59"/>
      <c r="P632" s="379"/>
      <c r="Q632" s="379"/>
      <c r="R632" s="379"/>
      <c r="V632" s="379"/>
      <c r="Y632" s="379"/>
      <c r="Z632" s="59"/>
      <c r="AA632" s="379"/>
      <c r="AB632" s="379"/>
      <c r="AC632" s="59"/>
      <c r="AD632" s="59"/>
      <c r="AG632" s="156"/>
      <c r="AH632" s="60"/>
      <c r="AI632" s="379"/>
      <c r="AJ632" s="379"/>
      <c r="AK632" s="156"/>
      <c r="AL632" s="379"/>
      <c r="AM632" s="50"/>
      <c r="AN632" s="50"/>
    </row>
    <row r="633" spans="1:40" x14ac:dyDescent="0.25">
      <c r="A633" s="53"/>
      <c r="C633" s="54"/>
      <c r="D633" s="54"/>
      <c r="E633" s="54"/>
      <c r="F633" s="379"/>
      <c r="H633" s="379"/>
      <c r="I633" s="379"/>
      <c r="J633" s="59"/>
      <c r="K633" s="59"/>
      <c r="L633" s="379"/>
      <c r="M633" s="379"/>
      <c r="N633" s="59"/>
      <c r="O633" s="59"/>
      <c r="P633" s="379"/>
      <c r="Q633" s="379"/>
      <c r="R633" s="379"/>
      <c r="T633" s="54"/>
      <c r="U633" s="54"/>
      <c r="V633" s="379"/>
      <c r="Y633" s="379"/>
      <c r="Z633" s="59"/>
      <c r="AA633" s="379"/>
      <c r="AB633" s="379"/>
      <c r="AC633" s="59"/>
      <c r="AD633" s="59"/>
      <c r="AE633" s="379"/>
      <c r="AF633" s="379"/>
      <c r="AG633" s="156"/>
      <c r="AH633" s="60"/>
      <c r="AI633" s="379"/>
      <c r="AJ633" s="379"/>
      <c r="AK633" s="156"/>
      <c r="AL633" s="379"/>
      <c r="AM633" s="50"/>
      <c r="AN633" s="50"/>
    </row>
    <row r="634" spans="1:40" x14ac:dyDescent="0.25">
      <c r="A634" s="53"/>
      <c r="C634" s="54"/>
      <c r="D634" s="54"/>
      <c r="E634" s="54"/>
      <c r="F634" s="379"/>
      <c r="G634" s="379"/>
      <c r="H634" s="379"/>
      <c r="I634" s="379"/>
      <c r="J634" s="59"/>
      <c r="K634" s="59"/>
      <c r="L634" s="379"/>
      <c r="M634" s="379"/>
      <c r="N634" s="59"/>
      <c r="O634" s="59"/>
      <c r="P634" s="379"/>
      <c r="Q634" s="379"/>
      <c r="R634" s="379"/>
      <c r="T634" s="54"/>
      <c r="U634" s="54"/>
      <c r="V634" s="379"/>
      <c r="W634" s="379"/>
      <c r="X634" s="379"/>
      <c r="Y634" s="379"/>
      <c r="Z634" s="59"/>
      <c r="AA634" s="379"/>
      <c r="AB634" s="379"/>
      <c r="AC634" s="59"/>
      <c r="AD634" s="59"/>
      <c r="AE634" s="379"/>
      <c r="AF634" s="379"/>
      <c r="AG634" s="156"/>
      <c r="AH634" s="60"/>
      <c r="AI634" s="379"/>
      <c r="AJ634" s="379"/>
      <c r="AK634" s="156"/>
      <c r="AL634" s="379"/>
      <c r="AM634" s="50"/>
      <c r="AN634" s="50"/>
    </row>
    <row r="635" spans="1:40" x14ac:dyDescent="0.25">
      <c r="A635" s="53"/>
      <c r="C635" s="54"/>
      <c r="D635" s="54"/>
      <c r="E635" s="54"/>
      <c r="F635" s="379"/>
      <c r="G635" s="379"/>
      <c r="H635" s="379"/>
      <c r="I635" s="379"/>
      <c r="J635" s="59"/>
      <c r="K635" s="59"/>
      <c r="L635" s="379"/>
      <c r="M635" s="379"/>
      <c r="N635" s="59"/>
      <c r="O635" s="59"/>
      <c r="P635" s="379"/>
      <c r="Q635" s="379"/>
      <c r="R635" s="379"/>
      <c r="T635" s="54"/>
      <c r="U635" s="54"/>
      <c r="V635" s="379"/>
      <c r="W635" s="379"/>
      <c r="X635" s="379"/>
      <c r="Y635" s="379"/>
      <c r="Z635" s="59"/>
      <c r="AA635" s="379"/>
      <c r="AB635" s="379"/>
      <c r="AC635" s="59"/>
      <c r="AD635" s="59"/>
      <c r="AE635" s="379"/>
      <c r="AF635" s="379"/>
      <c r="AG635" s="156"/>
      <c r="AH635" s="60"/>
      <c r="AI635" s="379"/>
      <c r="AJ635" s="379"/>
      <c r="AK635" s="156"/>
      <c r="AL635" s="379"/>
      <c r="AM635" s="50"/>
      <c r="AN635" s="50"/>
    </row>
    <row r="636" spans="1:40" x14ac:dyDescent="0.25">
      <c r="A636" s="53"/>
      <c r="C636" s="54"/>
      <c r="D636" s="54"/>
      <c r="E636" s="54"/>
      <c r="F636" s="379"/>
      <c r="H636" s="379"/>
      <c r="I636" s="379"/>
      <c r="J636" s="59"/>
      <c r="K636" s="59"/>
      <c r="L636" s="379"/>
      <c r="M636" s="379"/>
      <c r="N636" s="59"/>
      <c r="O636" s="59"/>
      <c r="P636" s="379"/>
      <c r="Q636" s="379"/>
      <c r="R636" s="379"/>
      <c r="T636" s="54"/>
      <c r="U636" s="54"/>
      <c r="V636" s="379"/>
      <c r="Y636" s="379"/>
      <c r="Z636" s="59"/>
      <c r="AA636" s="379"/>
      <c r="AB636" s="379"/>
      <c r="AC636" s="59"/>
      <c r="AD636" s="59"/>
      <c r="AE636" s="379"/>
      <c r="AF636" s="379"/>
      <c r="AG636" s="156"/>
      <c r="AH636" s="60"/>
      <c r="AI636" s="379"/>
      <c r="AJ636" s="379"/>
      <c r="AK636" s="156"/>
      <c r="AL636" s="379"/>
      <c r="AM636" s="50"/>
      <c r="AN636" s="50"/>
    </row>
    <row r="637" spans="1:40" x14ac:dyDescent="0.25">
      <c r="A637" s="53"/>
      <c r="C637" s="54"/>
      <c r="D637" s="54"/>
      <c r="E637" s="54"/>
      <c r="F637" s="379"/>
      <c r="H637" s="379"/>
      <c r="I637" s="379"/>
      <c r="J637" s="59"/>
      <c r="K637" s="59"/>
      <c r="L637" s="379"/>
      <c r="M637" s="379"/>
      <c r="N637" s="59"/>
      <c r="O637" s="59"/>
      <c r="P637" s="379"/>
      <c r="Q637" s="379"/>
      <c r="R637" s="379"/>
      <c r="T637" s="54"/>
      <c r="U637" s="54"/>
      <c r="V637" s="379"/>
      <c r="Y637" s="379"/>
      <c r="Z637" s="59"/>
      <c r="AA637" s="379"/>
      <c r="AB637" s="379"/>
      <c r="AC637" s="59"/>
      <c r="AD637" s="59"/>
      <c r="AE637" s="379"/>
      <c r="AF637" s="379"/>
      <c r="AG637" s="156"/>
      <c r="AH637" s="60"/>
      <c r="AI637" s="379"/>
      <c r="AJ637" s="379"/>
      <c r="AK637" s="156"/>
      <c r="AL637" s="379"/>
      <c r="AM637" s="50"/>
      <c r="AN637" s="50"/>
    </row>
    <row r="638" spans="1:40" x14ac:dyDescent="0.25">
      <c r="A638" s="53"/>
      <c r="C638" s="54"/>
      <c r="D638" s="54"/>
      <c r="E638" s="54"/>
      <c r="F638" s="379"/>
      <c r="H638" s="379"/>
      <c r="I638" s="379"/>
      <c r="J638" s="59"/>
      <c r="K638" s="59"/>
      <c r="L638" s="379"/>
      <c r="M638" s="379"/>
      <c r="N638" s="59"/>
      <c r="O638" s="59"/>
      <c r="P638" s="379"/>
      <c r="Q638" s="379"/>
      <c r="R638" s="379"/>
      <c r="T638" s="54"/>
      <c r="U638" s="54"/>
      <c r="V638" s="379"/>
      <c r="Y638" s="379"/>
      <c r="Z638" s="59"/>
      <c r="AA638" s="379"/>
      <c r="AB638" s="379"/>
      <c r="AC638" s="59"/>
      <c r="AD638" s="59"/>
      <c r="AE638" s="379"/>
      <c r="AF638" s="379"/>
      <c r="AG638" s="156"/>
      <c r="AH638" s="60"/>
      <c r="AI638" s="379"/>
      <c r="AJ638" s="379"/>
      <c r="AK638" s="156"/>
      <c r="AL638" s="379"/>
      <c r="AM638" s="50"/>
      <c r="AN638" s="50"/>
    </row>
    <row r="639" spans="1:40" x14ac:dyDescent="0.25">
      <c r="A639" s="53"/>
      <c r="C639" s="54"/>
      <c r="D639" s="54"/>
      <c r="E639" s="54"/>
      <c r="F639" s="379"/>
      <c r="H639" s="379"/>
      <c r="I639" s="379"/>
      <c r="J639" s="59"/>
      <c r="K639" s="59"/>
      <c r="L639" s="379"/>
      <c r="M639" s="379"/>
      <c r="N639" s="59"/>
      <c r="O639" s="59"/>
      <c r="P639" s="379"/>
      <c r="Q639" s="379"/>
      <c r="R639" s="379"/>
      <c r="T639" s="54"/>
      <c r="U639" s="54"/>
      <c r="V639" s="379"/>
      <c r="Y639" s="379"/>
      <c r="Z639" s="59"/>
      <c r="AA639" s="379"/>
      <c r="AB639" s="379"/>
      <c r="AC639" s="59"/>
      <c r="AD639" s="59"/>
      <c r="AE639" s="379"/>
      <c r="AF639" s="379"/>
      <c r="AG639" s="156"/>
      <c r="AH639" s="60"/>
      <c r="AI639" s="379"/>
      <c r="AJ639" s="379"/>
      <c r="AK639" s="156"/>
      <c r="AL639" s="379"/>
      <c r="AM639" s="50"/>
      <c r="AN639" s="50"/>
    </row>
    <row r="640" spans="1:40" x14ac:dyDescent="0.25">
      <c r="F640" s="379"/>
      <c r="H640" s="381"/>
      <c r="I640" s="381"/>
      <c r="J640" s="464"/>
      <c r="K640" s="464"/>
      <c r="L640" s="381"/>
      <c r="M640" s="381"/>
      <c r="N640" s="381"/>
      <c r="O640" s="381"/>
      <c r="P640" s="381"/>
      <c r="Q640" s="381"/>
      <c r="R640" s="381"/>
      <c r="V640" s="381"/>
      <c r="Y640" s="381"/>
      <c r="Z640" s="464"/>
      <c r="AA640" s="381"/>
      <c r="AB640" s="381"/>
      <c r="AC640" s="381"/>
      <c r="AD640" s="381"/>
      <c r="AE640" s="381"/>
      <c r="AF640" s="381"/>
      <c r="AI640" s="381"/>
      <c r="AJ640" s="381"/>
      <c r="AK640" s="162"/>
      <c r="AL640" s="381"/>
      <c r="AM640" s="50"/>
      <c r="AN640" s="50"/>
    </row>
    <row r="641" spans="1:40" x14ac:dyDescent="0.25">
      <c r="A641" s="53"/>
      <c r="C641" s="54"/>
      <c r="F641" s="381"/>
      <c r="H641" s="379"/>
      <c r="I641" s="379"/>
      <c r="J641" s="59"/>
      <c r="K641" s="59"/>
      <c r="L641" s="379"/>
      <c r="M641" s="379"/>
      <c r="N641" s="59"/>
      <c r="O641" s="59"/>
      <c r="P641" s="379"/>
      <c r="Q641" s="379"/>
      <c r="R641" s="379"/>
      <c r="T641" s="54"/>
      <c r="V641" s="379"/>
      <c r="Y641" s="379"/>
      <c r="Z641" s="59"/>
      <c r="AA641" s="379"/>
      <c r="AB641" s="379"/>
      <c r="AC641" s="59"/>
      <c r="AD641" s="59"/>
      <c r="AE641" s="379"/>
      <c r="AF641" s="379"/>
      <c r="AG641" s="156"/>
      <c r="AH641" s="60"/>
      <c r="AI641" s="379"/>
      <c r="AJ641" s="379"/>
      <c r="AK641" s="156"/>
      <c r="AL641" s="379"/>
      <c r="AM641" s="50"/>
      <c r="AN641" s="50"/>
    </row>
    <row r="642" spans="1:40" x14ac:dyDescent="0.25">
      <c r="F642" s="379"/>
      <c r="V642" s="379"/>
      <c r="Y642" s="379"/>
      <c r="Z642" s="464"/>
      <c r="AA642" s="379"/>
      <c r="AB642" s="379"/>
      <c r="AC642" s="379"/>
      <c r="AD642" s="379"/>
      <c r="AE642" s="379"/>
      <c r="AF642" s="379"/>
      <c r="AI642" s="379"/>
      <c r="AJ642" s="379"/>
      <c r="AK642" s="156"/>
      <c r="AL642" s="379"/>
      <c r="AM642" s="50"/>
      <c r="AN642" s="50"/>
    </row>
    <row r="643" spans="1:40" x14ac:dyDescent="0.25">
      <c r="A643" s="53"/>
      <c r="C643" s="54"/>
      <c r="D643" s="54"/>
      <c r="E643" s="54"/>
      <c r="L643" s="379"/>
      <c r="M643" s="379"/>
      <c r="N643" s="59"/>
      <c r="O643" s="59"/>
      <c r="P643" s="53"/>
      <c r="Q643" s="53"/>
      <c r="R643" s="379"/>
      <c r="T643" s="54"/>
      <c r="U643" s="54"/>
      <c r="AA643" s="379"/>
      <c r="AB643" s="379"/>
      <c r="AC643" s="59"/>
      <c r="AD643" s="59"/>
      <c r="AE643" s="379"/>
      <c r="AF643" s="379"/>
      <c r="AG643" s="156"/>
      <c r="AH643" s="60"/>
      <c r="AI643" s="53"/>
      <c r="AJ643" s="53"/>
      <c r="AK643" s="156"/>
      <c r="AL643" s="379"/>
      <c r="AM643" s="50"/>
      <c r="AN643" s="50"/>
    </row>
    <row r="644" spans="1:40" x14ac:dyDescent="0.25">
      <c r="A644" s="53"/>
      <c r="D644" s="54"/>
      <c r="E644" s="54"/>
      <c r="H644" s="449"/>
      <c r="I644" s="449"/>
      <c r="J644" s="59"/>
      <c r="K644" s="59"/>
      <c r="L644" s="379"/>
      <c r="M644" s="379"/>
      <c r="N644" s="59"/>
      <c r="O644" s="59"/>
      <c r="P644" s="449"/>
      <c r="Q644" s="449"/>
      <c r="R644" s="379"/>
      <c r="U644" s="54"/>
      <c r="V644" s="379"/>
      <c r="Y644" s="379"/>
      <c r="Z644" s="59"/>
      <c r="AA644" s="379"/>
      <c r="AB644" s="379"/>
      <c r="AC644" s="59"/>
      <c r="AD644" s="59"/>
      <c r="AE644" s="379"/>
      <c r="AF644" s="379"/>
      <c r="AG644" s="156"/>
      <c r="AH644" s="60"/>
      <c r="AI644" s="379"/>
      <c r="AJ644" s="379"/>
      <c r="AK644" s="156"/>
      <c r="AL644" s="379"/>
      <c r="AM644" s="50"/>
      <c r="AN644" s="50"/>
    </row>
    <row r="645" spans="1:40" x14ac:dyDescent="0.25">
      <c r="F645" s="449"/>
      <c r="H645" s="381"/>
      <c r="I645" s="381"/>
      <c r="J645" s="464"/>
      <c r="K645" s="464"/>
      <c r="L645" s="381"/>
      <c r="M645" s="381"/>
      <c r="N645" s="381"/>
      <c r="O645" s="381"/>
      <c r="P645" s="381"/>
      <c r="Q645" s="381"/>
      <c r="R645" s="381"/>
      <c r="V645" s="381"/>
      <c r="Y645" s="381"/>
      <c r="Z645" s="464"/>
      <c r="AA645" s="381"/>
      <c r="AB645" s="381"/>
      <c r="AC645" s="381"/>
      <c r="AD645" s="381"/>
      <c r="AE645" s="381"/>
      <c r="AF645" s="381"/>
      <c r="AI645" s="381"/>
      <c r="AJ645" s="381"/>
      <c r="AK645" s="162"/>
      <c r="AL645" s="381"/>
      <c r="AM645" s="50"/>
      <c r="AN645" s="50"/>
    </row>
    <row r="646" spans="1:40" x14ac:dyDescent="0.25">
      <c r="A646" s="53"/>
      <c r="C646" s="54"/>
      <c r="F646" s="381"/>
      <c r="H646" s="379"/>
      <c r="I646" s="379"/>
      <c r="J646" s="59"/>
      <c r="K646" s="59"/>
      <c r="L646" s="379"/>
      <c r="M646" s="379"/>
      <c r="N646" s="59"/>
      <c r="O646" s="59"/>
      <c r="P646" s="379"/>
      <c r="Q646" s="379"/>
      <c r="R646" s="379"/>
      <c r="T646" s="54"/>
      <c r="V646" s="379"/>
      <c r="Y646" s="379"/>
      <c r="Z646" s="59"/>
      <c r="AA646" s="379"/>
      <c r="AB646" s="379"/>
      <c r="AC646" s="59"/>
      <c r="AD646" s="59"/>
      <c r="AE646" s="379"/>
      <c r="AF646" s="379"/>
      <c r="AG646" s="156"/>
      <c r="AH646" s="60"/>
      <c r="AI646" s="379"/>
      <c r="AJ646" s="379"/>
      <c r="AK646" s="156"/>
      <c r="AL646" s="379"/>
      <c r="AM646" s="50"/>
      <c r="AN646" s="50"/>
    </row>
    <row r="647" spans="1:40" x14ac:dyDescent="0.25">
      <c r="F647" s="379"/>
      <c r="H647" s="379"/>
      <c r="I647" s="379"/>
      <c r="J647" s="59"/>
      <c r="K647" s="59"/>
      <c r="L647" s="379"/>
      <c r="M647" s="379"/>
      <c r="N647" s="59"/>
      <c r="O647" s="59"/>
      <c r="P647" s="379"/>
      <c r="Q647" s="379"/>
      <c r="R647" s="379"/>
      <c r="V647" s="379"/>
      <c r="Y647" s="379"/>
      <c r="Z647" s="59"/>
      <c r="AA647" s="379"/>
      <c r="AB647" s="379"/>
      <c r="AC647" s="59"/>
      <c r="AD647" s="59"/>
      <c r="AG647" s="156"/>
      <c r="AH647" s="60"/>
      <c r="AI647" s="379"/>
      <c r="AJ647" s="379"/>
      <c r="AK647" s="156"/>
      <c r="AL647" s="379"/>
      <c r="AM647" s="50"/>
      <c r="AN647" s="50"/>
    </row>
    <row r="648" spans="1:40" x14ac:dyDescent="0.25">
      <c r="A648" s="53"/>
      <c r="D648" s="54"/>
      <c r="E648" s="54"/>
      <c r="F648" s="379"/>
      <c r="H648" s="379"/>
      <c r="I648" s="379"/>
      <c r="J648" s="59"/>
      <c r="K648" s="59"/>
      <c r="L648" s="449"/>
      <c r="M648" s="449"/>
      <c r="N648" s="59"/>
      <c r="O648" s="59"/>
      <c r="P648" s="379"/>
      <c r="Q648" s="379"/>
      <c r="R648" s="379"/>
      <c r="U648" s="54"/>
      <c r="V648" s="379"/>
      <c r="Y648" s="379"/>
      <c r="Z648" s="59"/>
      <c r="AA648" s="449"/>
      <c r="AB648" s="449"/>
      <c r="AC648" s="59"/>
      <c r="AD648" s="59"/>
      <c r="AE648" s="379"/>
      <c r="AF648" s="379"/>
      <c r="AG648" s="156"/>
      <c r="AH648" s="60"/>
      <c r="AI648" s="379"/>
      <c r="AJ648" s="379"/>
      <c r="AK648" s="156"/>
      <c r="AL648" s="379"/>
      <c r="AM648" s="50"/>
      <c r="AN648" s="50"/>
    </row>
    <row r="649" spans="1:40" x14ac:dyDescent="0.25">
      <c r="A649" s="53"/>
      <c r="D649" s="54"/>
      <c r="E649" s="54"/>
      <c r="F649" s="379"/>
      <c r="H649" s="379"/>
      <c r="I649" s="379"/>
      <c r="J649" s="59"/>
      <c r="K649" s="59"/>
      <c r="L649" s="449"/>
      <c r="M649" s="449"/>
      <c r="N649" s="59"/>
      <c r="O649" s="59"/>
      <c r="P649" s="379"/>
      <c r="Q649" s="379"/>
      <c r="R649" s="379"/>
      <c r="U649" s="54"/>
      <c r="V649" s="379"/>
      <c r="Y649" s="379"/>
      <c r="Z649" s="59"/>
      <c r="AA649" s="449"/>
      <c r="AB649" s="449"/>
      <c r="AC649" s="59"/>
      <c r="AD649" s="59"/>
      <c r="AE649" s="379"/>
      <c r="AF649" s="379"/>
      <c r="AG649" s="156"/>
      <c r="AH649" s="60"/>
      <c r="AI649" s="379"/>
      <c r="AJ649" s="379"/>
      <c r="AK649" s="156"/>
      <c r="AL649" s="379"/>
      <c r="AM649" s="50"/>
      <c r="AN649" s="50"/>
    </row>
    <row r="650" spans="1:40" x14ac:dyDescent="0.25">
      <c r="A650" s="53"/>
      <c r="D650" s="54"/>
      <c r="E650" s="54"/>
      <c r="F650" s="379"/>
      <c r="H650" s="379"/>
      <c r="I650" s="379"/>
      <c r="J650" s="59"/>
      <c r="K650" s="59"/>
      <c r="L650" s="449"/>
      <c r="M650" s="449"/>
      <c r="N650" s="59"/>
      <c r="O650" s="59"/>
      <c r="P650" s="379"/>
      <c r="Q650" s="379"/>
      <c r="R650" s="379"/>
      <c r="U650" s="54"/>
      <c r="V650" s="379"/>
      <c r="Y650" s="379"/>
      <c r="Z650" s="59"/>
      <c r="AA650" s="449"/>
      <c r="AB650" s="449"/>
      <c r="AC650" s="59"/>
      <c r="AD650" s="59"/>
      <c r="AE650" s="379"/>
      <c r="AF650" s="379"/>
      <c r="AG650" s="156"/>
      <c r="AH650" s="60"/>
      <c r="AI650" s="379"/>
      <c r="AJ650" s="379"/>
      <c r="AK650" s="156"/>
      <c r="AL650" s="379"/>
      <c r="AM650" s="50"/>
      <c r="AN650" s="50"/>
    </row>
    <row r="651" spans="1:40" x14ac:dyDescent="0.25">
      <c r="F651" s="379"/>
      <c r="H651" s="381"/>
      <c r="I651" s="381"/>
      <c r="J651" s="464"/>
      <c r="K651" s="464"/>
      <c r="L651" s="381"/>
      <c r="M651" s="381"/>
      <c r="N651" s="381"/>
      <c r="O651" s="381"/>
      <c r="P651" s="381"/>
      <c r="Q651" s="381"/>
      <c r="R651" s="381"/>
      <c r="V651" s="381"/>
      <c r="Y651" s="381"/>
      <c r="Z651" s="464"/>
      <c r="AA651" s="381"/>
      <c r="AB651" s="381"/>
      <c r="AC651" s="381"/>
      <c r="AD651" s="381"/>
      <c r="AE651" s="381"/>
      <c r="AF651" s="381"/>
      <c r="AI651" s="381"/>
      <c r="AJ651" s="381"/>
      <c r="AK651" s="162"/>
      <c r="AL651" s="381"/>
      <c r="AM651" s="50"/>
      <c r="AN651" s="50"/>
    </row>
    <row r="652" spans="1:40" x14ac:dyDescent="0.25">
      <c r="A652" s="53"/>
      <c r="C652" s="54"/>
      <c r="F652" s="381"/>
      <c r="H652" s="379"/>
      <c r="I652" s="379"/>
      <c r="J652" s="59"/>
      <c r="K652" s="59"/>
      <c r="L652" s="379"/>
      <c r="M652" s="379"/>
      <c r="N652" s="59"/>
      <c r="O652" s="59"/>
      <c r="P652" s="379"/>
      <c r="Q652" s="379"/>
      <c r="R652" s="379"/>
      <c r="T652" s="54"/>
      <c r="V652" s="379"/>
      <c r="Y652" s="379"/>
      <c r="Z652" s="59"/>
      <c r="AA652" s="379"/>
      <c r="AB652" s="379"/>
      <c r="AC652" s="59"/>
      <c r="AD652" s="59"/>
      <c r="AE652" s="379"/>
      <c r="AF652" s="379"/>
      <c r="AG652" s="156"/>
      <c r="AH652" s="60"/>
      <c r="AI652" s="379"/>
      <c r="AJ652" s="379"/>
      <c r="AK652" s="156"/>
      <c r="AL652" s="379"/>
      <c r="AM652" s="50"/>
      <c r="AN652" s="50"/>
    </row>
    <row r="653" spans="1:40" x14ac:dyDescent="0.25">
      <c r="F653" s="379"/>
      <c r="H653" s="379"/>
      <c r="I653" s="379"/>
      <c r="J653" s="59"/>
      <c r="K653" s="59"/>
      <c r="L653" s="379"/>
      <c r="M653" s="379"/>
      <c r="N653" s="59"/>
      <c r="O653" s="59"/>
      <c r="P653" s="379"/>
      <c r="Q653" s="379"/>
      <c r="R653" s="379"/>
      <c r="V653" s="379"/>
      <c r="Y653" s="379"/>
      <c r="Z653" s="59"/>
      <c r="AA653" s="379"/>
      <c r="AB653" s="379"/>
      <c r="AC653" s="59"/>
      <c r="AD653" s="59"/>
      <c r="AG653" s="156"/>
      <c r="AH653" s="60"/>
      <c r="AI653" s="379"/>
      <c r="AJ653" s="379"/>
      <c r="AK653" s="156"/>
      <c r="AL653" s="379"/>
      <c r="AM653" s="50"/>
      <c r="AN653" s="50"/>
    </row>
    <row r="654" spans="1:40" x14ac:dyDescent="0.25">
      <c r="A654" s="53"/>
      <c r="C654" s="54"/>
      <c r="F654" s="379"/>
      <c r="H654" s="379"/>
      <c r="I654" s="379"/>
      <c r="J654" s="59"/>
      <c r="K654" s="59"/>
      <c r="L654" s="379"/>
      <c r="M654" s="379"/>
      <c r="N654" s="59"/>
      <c r="O654" s="59"/>
      <c r="P654" s="379"/>
      <c r="Q654" s="379"/>
      <c r="R654" s="379"/>
      <c r="T654" s="54"/>
      <c r="V654" s="379"/>
      <c r="Y654" s="379"/>
      <c r="Z654" s="59"/>
      <c r="AA654" s="379"/>
      <c r="AB654" s="379"/>
      <c r="AC654" s="59"/>
      <c r="AD654" s="59"/>
      <c r="AE654" s="379"/>
      <c r="AF654" s="379"/>
      <c r="AG654" s="156"/>
      <c r="AH654" s="60"/>
      <c r="AI654" s="379"/>
      <c r="AJ654" s="379"/>
      <c r="AK654" s="156"/>
      <c r="AL654" s="379"/>
      <c r="AM654" s="50"/>
      <c r="AN654" s="50"/>
    </row>
    <row r="655" spans="1:40" x14ac:dyDescent="0.25">
      <c r="F655" s="379"/>
      <c r="H655" s="381"/>
      <c r="I655" s="381"/>
      <c r="J655" s="464"/>
      <c r="K655" s="464"/>
      <c r="L655" s="381"/>
      <c r="M655" s="381"/>
      <c r="N655" s="381"/>
      <c r="O655" s="381"/>
      <c r="P655" s="381"/>
      <c r="Q655" s="381"/>
      <c r="R655" s="381"/>
      <c r="V655" s="381"/>
      <c r="Y655" s="381"/>
      <c r="Z655" s="464"/>
      <c r="AA655" s="381"/>
      <c r="AB655" s="381"/>
      <c r="AC655" s="381"/>
      <c r="AD655" s="381"/>
      <c r="AE655" s="381"/>
      <c r="AF655" s="381"/>
      <c r="AI655" s="381"/>
      <c r="AJ655" s="381"/>
      <c r="AK655" s="162"/>
      <c r="AL655" s="381"/>
    </row>
    <row r="657" spans="1:20" x14ac:dyDescent="0.25">
      <c r="C657" s="54"/>
      <c r="F657" s="381"/>
      <c r="L657" s="379"/>
      <c r="M657" s="379"/>
      <c r="P657" s="379"/>
      <c r="Q657" s="379"/>
      <c r="R657" s="379"/>
      <c r="T657" s="54"/>
    </row>
    <row r="658" spans="1:20" x14ac:dyDescent="0.25">
      <c r="A658" s="54"/>
      <c r="L658" s="379"/>
      <c r="M658" s="379"/>
      <c r="P658" s="379"/>
      <c r="Q658" s="379"/>
      <c r="R658" s="379"/>
    </row>
    <row r="659" spans="1:20" x14ac:dyDescent="0.25">
      <c r="L659" s="379"/>
      <c r="M659" s="379"/>
      <c r="P659" s="379"/>
      <c r="Q659" s="379"/>
      <c r="R659" s="379"/>
    </row>
    <row r="660" spans="1:20" x14ac:dyDescent="0.25">
      <c r="L660" s="379"/>
      <c r="M660" s="379"/>
      <c r="P660" s="379"/>
      <c r="Q660" s="379"/>
      <c r="R660" s="379"/>
    </row>
    <row r="661" spans="1:20" x14ac:dyDescent="0.25">
      <c r="L661" s="379"/>
      <c r="M661" s="379"/>
      <c r="P661" s="379"/>
      <c r="Q661" s="379"/>
      <c r="R661" s="379"/>
    </row>
    <row r="662" spans="1:20" x14ac:dyDescent="0.25">
      <c r="L662" s="379"/>
      <c r="M662" s="379"/>
      <c r="P662" s="379"/>
      <c r="Q662" s="379"/>
      <c r="R662" s="379"/>
    </row>
    <row r="663" spans="1:20" x14ac:dyDescent="0.25">
      <c r="L663" s="379"/>
      <c r="M663" s="379"/>
      <c r="P663" s="379"/>
      <c r="Q663" s="379"/>
      <c r="R663" s="379"/>
    </row>
    <row r="696" spans="49:49" x14ac:dyDescent="0.25">
      <c r="AW696" s="379"/>
    </row>
    <row r="697" spans="49:49" x14ac:dyDescent="0.25">
      <c r="AW697" s="379"/>
    </row>
    <row r="698" spans="49:49" x14ac:dyDescent="0.25">
      <c r="AW698" s="379"/>
    </row>
    <row r="699" spans="49:49" x14ac:dyDescent="0.25">
      <c r="AW699" s="379"/>
    </row>
    <row r="700" spans="49:49" x14ac:dyDescent="0.25">
      <c r="AW700" s="379"/>
    </row>
    <row r="701" spans="49:49" x14ac:dyDescent="0.25">
      <c r="AW701" s="379"/>
    </row>
    <row r="704" spans="49:49" x14ac:dyDescent="0.25">
      <c r="AW704" s="379"/>
    </row>
    <row r="705" spans="49:49" x14ac:dyDescent="0.25">
      <c r="AW705" s="379"/>
    </row>
    <row r="706" spans="49:49" x14ac:dyDescent="0.25">
      <c r="AW706" s="379"/>
    </row>
    <row r="707" spans="49:49" x14ac:dyDescent="0.25">
      <c r="AW707" s="379"/>
    </row>
    <row r="708" spans="49:49" x14ac:dyDescent="0.25">
      <c r="AW708" s="379"/>
    </row>
    <row r="709" spans="49:49" x14ac:dyDescent="0.25">
      <c r="AW709" s="379"/>
    </row>
    <row r="710" spans="49:49" x14ac:dyDescent="0.25">
      <c r="AW710" s="379"/>
    </row>
    <row r="711" spans="49:49" x14ac:dyDescent="0.25">
      <c r="AW711" s="379"/>
    </row>
    <row r="714" spans="49:49" x14ac:dyDescent="0.25">
      <c r="AW714" s="379"/>
    </row>
    <row r="715" spans="49:49" x14ac:dyDescent="0.25">
      <c r="AW715" s="379"/>
    </row>
    <row r="718" spans="49:49" x14ac:dyDescent="0.25">
      <c r="AW718" s="379"/>
    </row>
    <row r="719" spans="49:49" x14ac:dyDescent="0.25">
      <c r="AW719" s="379"/>
    </row>
    <row r="720" spans="49:49" x14ac:dyDescent="0.25">
      <c r="AW720" s="379"/>
    </row>
    <row r="721" spans="45:57" x14ac:dyDescent="0.25">
      <c r="AW721" s="379"/>
    </row>
    <row r="727" spans="45:57" x14ac:dyDescent="0.25">
      <c r="AY727" s="53"/>
    </row>
    <row r="728" spans="45:57" x14ac:dyDescent="0.25">
      <c r="AY728" s="53"/>
    </row>
    <row r="729" spans="45:57" x14ac:dyDescent="0.25">
      <c r="AY729" s="54"/>
    </row>
    <row r="730" spans="45:57" x14ac:dyDescent="0.25">
      <c r="AY730" s="54"/>
    </row>
    <row r="731" spans="45:57" x14ac:dyDescent="0.25">
      <c r="AS731" s="53"/>
      <c r="BD731" s="54"/>
    </row>
    <row r="732" spans="45:57" x14ac:dyDescent="0.25">
      <c r="AS732" s="53"/>
      <c r="BD732" s="54"/>
    </row>
    <row r="733" spans="45:57" x14ac:dyDescent="0.25">
      <c r="AS733" s="54"/>
      <c r="BD733" s="54"/>
    </row>
    <row r="734" spans="45:57" x14ac:dyDescent="0.25">
      <c r="BD734" s="53"/>
    </row>
    <row r="735" spans="45:57" x14ac:dyDescent="0.25"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</row>
    <row r="736" spans="45:57" x14ac:dyDescent="0.25">
      <c r="AX736" s="54"/>
    </row>
    <row r="737" spans="45:69" x14ac:dyDescent="0.25">
      <c r="AX737" s="55"/>
      <c r="AY737" s="55"/>
      <c r="AZ737" s="55"/>
      <c r="BA737" s="55"/>
      <c r="BC737" s="56"/>
      <c r="BD737" s="56"/>
    </row>
    <row r="738" spans="45:69" x14ac:dyDescent="0.25">
      <c r="AV738" s="56"/>
      <c r="AW738" s="56"/>
      <c r="AZ738" s="56"/>
      <c r="BA738" s="56"/>
      <c r="BC738" s="56"/>
      <c r="BD738" s="56"/>
      <c r="BE738" s="56"/>
      <c r="BG738" s="55"/>
      <c r="BH738" s="54"/>
      <c r="BK738" s="55"/>
      <c r="BM738" s="55"/>
      <c r="BN738" s="54"/>
      <c r="BQ738" s="55"/>
    </row>
    <row r="739" spans="45:69" x14ac:dyDescent="0.25"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H739" s="56"/>
      <c r="BI739" s="56"/>
      <c r="BJ739" s="56"/>
      <c r="BN739" s="56"/>
      <c r="BO739" s="56"/>
      <c r="BP739" s="56"/>
    </row>
    <row r="740" spans="45:69" x14ac:dyDescent="0.25">
      <c r="AS740" s="56"/>
      <c r="AU740" s="54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G740" s="56"/>
      <c r="BH740" s="56"/>
      <c r="BI740" s="56"/>
      <c r="BJ740" s="56"/>
      <c r="BK740" s="56"/>
      <c r="BM740" s="56"/>
      <c r="BN740" s="56"/>
      <c r="BO740" s="56"/>
      <c r="BP740" s="56"/>
      <c r="BQ740" s="56"/>
    </row>
    <row r="741" spans="45:69" x14ac:dyDescent="0.25">
      <c r="AS741" s="56"/>
      <c r="AU741" s="54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G741" s="56"/>
      <c r="BH741" s="56"/>
      <c r="BI741" s="56"/>
      <c r="BJ741" s="56"/>
      <c r="BK741" s="56"/>
      <c r="BM741" s="56"/>
      <c r="BN741" s="56"/>
      <c r="BO741" s="56"/>
      <c r="BP741" s="56"/>
      <c r="BQ741" s="56"/>
    </row>
    <row r="742" spans="45:69" x14ac:dyDescent="0.25"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G742" s="55"/>
      <c r="BH742" s="55"/>
      <c r="BI742" s="55"/>
      <c r="BJ742" s="55"/>
      <c r="BK742" s="55"/>
      <c r="BM742" s="55"/>
      <c r="BN742" s="55"/>
      <c r="BO742" s="55"/>
      <c r="BP742" s="55"/>
      <c r="BQ742" s="55"/>
    </row>
    <row r="743" spans="45:69" x14ac:dyDescent="0.25"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</row>
    <row r="744" spans="45:69" x14ac:dyDescent="0.25">
      <c r="AS744" s="53"/>
      <c r="AU744" s="54"/>
      <c r="AV744" s="56"/>
      <c r="AY744" s="59"/>
    </row>
    <row r="745" spans="45:69" x14ac:dyDescent="0.25">
      <c r="AS745" s="53"/>
      <c r="AV745" s="56"/>
      <c r="AW745" s="379"/>
      <c r="AX745" s="65"/>
      <c r="AY745" s="65"/>
      <c r="AZ745" s="65"/>
      <c r="BA745" s="50"/>
      <c r="BB745" s="65"/>
      <c r="BC745" s="59"/>
      <c r="BD745" s="59"/>
      <c r="BE745" s="50"/>
      <c r="BG745" s="65"/>
      <c r="BH745" s="65"/>
      <c r="BI745" s="65"/>
      <c r="BJ745" s="65"/>
      <c r="BK745" s="65"/>
      <c r="BM745" s="65"/>
      <c r="BN745" s="65"/>
      <c r="BO745" s="65"/>
      <c r="BP745" s="65"/>
      <c r="BQ745" s="65"/>
    </row>
    <row r="746" spans="45:69" x14ac:dyDescent="0.25">
      <c r="AS746" s="53"/>
      <c r="AV746" s="56"/>
      <c r="AW746" s="379"/>
      <c r="AX746" s="65"/>
      <c r="AY746" s="65"/>
      <c r="AZ746" s="65"/>
      <c r="BA746" s="50"/>
      <c r="BB746" s="65"/>
      <c r="BC746" s="59"/>
      <c r="BD746" s="59"/>
      <c r="BE746" s="50"/>
      <c r="BG746" s="65"/>
      <c r="BH746" s="65"/>
      <c r="BI746" s="65"/>
      <c r="BJ746" s="65"/>
      <c r="BK746" s="65"/>
      <c r="BM746" s="65"/>
      <c r="BN746" s="65"/>
      <c r="BO746" s="65"/>
      <c r="BP746" s="65"/>
      <c r="BQ746" s="65"/>
    </row>
    <row r="747" spans="45:69" x14ac:dyDescent="0.25">
      <c r="AS747" s="53"/>
      <c r="AV747" s="56"/>
      <c r="AW747" s="379"/>
      <c r="AX747" s="65"/>
      <c r="AY747" s="65"/>
      <c r="AZ747" s="65"/>
      <c r="BA747" s="50"/>
      <c r="BB747" s="65"/>
      <c r="BC747" s="59"/>
      <c r="BD747" s="59"/>
      <c r="BE747" s="50"/>
      <c r="BG747" s="65"/>
      <c r="BH747" s="65"/>
      <c r="BI747" s="65"/>
      <c r="BJ747" s="65"/>
      <c r="BK747" s="65"/>
      <c r="BM747" s="65"/>
      <c r="BN747" s="65"/>
      <c r="BO747" s="65"/>
      <c r="BP747" s="65"/>
      <c r="BQ747" s="65"/>
    </row>
    <row r="748" spans="45:69" x14ac:dyDescent="0.25">
      <c r="AS748" s="53"/>
      <c r="AV748" s="56"/>
      <c r="AW748" s="379"/>
      <c r="AX748" s="65"/>
      <c r="AY748" s="65"/>
      <c r="AZ748" s="65"/>
      <c r="BA748" s="50"/>
      <c r="BB748" s="65"/>
      <c r="BC748" s="59"/>
      <c r="BD748" s="59"/>
      <c r="BE748" s="50"/>
      <c r="BG748" s="65"/>
      <c r="BH748" s="65"/>
      <c r="BI748" s="65"/>
      <c r="BJ748" s="65"/>
      <c r="BK748" s="65"/>
      <c r="BM748" s="65"/>
      <c r="BN748" s="65"/>
      <c r="BO748" s="65"/>
      <c r="BP748" s="65"/>
      <c r="BQ748" s="65"/>
    </row>
    <row r="749" spans="45:69" x14ac:dyDescent="0.25">
      <c r="AS749" s="53"/>
      <c r="AV749" s="56"/>
      <c r="AW749" s="379"/>
      <c r="AX749" s="65"/>
      <c r="AY749" s="65"/>
      <c r="AZ749" s="65"/>
      <c r="BA749" s="50"/>
      <c r="BB749" s="65"/>
      <c r="BC749" s="59"/>
      <c r="BD749" s="59"/>
      <c r="BE749" s="50"/>
      <c r="BG749" s="65"/>
      <c r="BH749" s="65"/>
      <c r="BI749" s="65"/>
      <c r="BJ749" s="65"/>
      <c r="BK749" s="65"/>
      <c r="BM749" s="65"/>
      <c r="BN749" s="65"/>
      <c r="BO749" s="65"/>
      <c r="BP749" s="65"/>
      <c r="BQ749" s="65"/>
    </row>
    <row r="750" spans="45:69" x14ac:dyDescent="0.25">
      <c r="AS750" s="53"/>
      <c r="AV750" s="56"/>
      <c r="AW750" s="379"/>
      <c r="AX750" s="65"/>
      <c r="AY750" s="65"/>
      <c r="AZ750" s="65"/>
      <c r="BA750" s="50"/>
      <c r="BB750" s="65"/>
      <c r="BC750" s="59"/>
      <c r="BD750" s="59"/>
      <c r="BE750" s="50"/>
      <c r="BG750" s="65"/>
      <c r="BH750" s="65"/>
      <c r="BI750" s="65"/>
      <c r="BJ750" s="65"/>
      <c r="BK750" s="65"/>
      <c r="BM750" s="65"/>
      <c r="BN750" s="65"/>
      <c r="BO750" s="65"/>
      <c r="BP750" s="65"/>
      <c r="BQ750" s="65"/>
    </row>
    <row r="751" spans="45:69" x14ac:dyDescent="0.25">
      <c r="AS751" s="53"/>
      <c r="AV751" s="56"/>
      <c r="AW751" s="379"/>
      <c r="AX751" s="65"/>
      <c r="AY751" s="65"/>
      <c r="AZ751" s="65"/>
      <c r="BA751" s="50"/>
      <c r="BB751" s="65"/>
      <c r="BC751" s="59"/>
      <c r="BD751" s="59"/>
      <c r="BE751" s="50"/>
      <c r="BG751" s="65"/>
      <c r="BH751" s="65"/>
      <c r="BI751" s="65"/>
      <c r="BJ751" s="65"/>
      <c r="BK751" s="65"/>
      <c r="BM751" s="65"/>
      <c r="BN751" s="65"/>
      <c r="BO751" s="65"/>
      <c r="BP751" s="65"/>
      <c r="BQ751" s="65"/>
    </row>
    <row r="752" spans="45:69" x14ac:dyDescent="0.25">
      <c r="AY752" s="59"/>
      <c r="AZ752" s="65"/>
      <c r="BA752" s="50"/>
      <c r="BB752" s="65"/>
      <c r="BC752" s="59"/>
      <c r="BD752" s="59"/>
      <c r="BE752" s="50"/>
      <c r="BK752" s="65"/>
      <c r="BQ752" s="65"/>
    </row>
    <row r="753" spans="45:69" x14ac:dyDescent="0.25">
      <c r="AS753" s="53"/>
      <c r="AV753" s="56"/>
      <c r="AY753" s="59"/>
      <c r="AZ753" s="65"/>
      <c r="BA753" s="50"/>
      <c r="BB753" s="65"/>
      <c r="BC753" s="59"/>
      <c r="BD753" s="59"/>
      <c r="BE753" s="50"/>
      <c r="BK753" s="65"/>
      <c r="BQ753" s="65"/>
    </row>
    <row r="754" spans="45:69" x14ac:dyDescent="0.25">
      <c r="AS754" s="53"/>
      <c r="AV754" s="56"/>
      <c r="AW754" s="379"/>
      <c r="AX754" s="65"/>
      <c r="AY754" s="65"/>
      <c r="AZ754" s="65"/>
      <c r="BA754" s="50"/>
      <c r="BB754" s="65"/>
      <c r="BC754" s="59"/>
      <c r="BD754" s="59"/>
      <c r="BE754" s="50"/>
      <c r="BG754" s="65"/>
      <c r="BH754" s="65"/>
      <c r="BI754" s="65"/>
      <c r="BJ754" s="65"/>
      <c r="BK754" s="65"/>
      <c r="BM754" s="65"/>
      <c r="BN754" s="65"/>
      <c r="BO754" s="65"/>
      <c r="BP754" s="65"/>
      <c r="BQ754" s="65"/>
    </row>
    <row r="755" spans="45:69" x14ac:dyDescent="0.25">
      <c r="AS755" s="53"/>
      <c r="AV755" s="56"/>
      <c r="AW755" s="379"/>
      <c r="AX755" s="65"/>
      <c r="AY755" s="65"/>
      <c r="AZ755" s="65"/>
      <c r="BA755" s="50"/>
      <c r="BB755" s="65"/>
      <c r="BC755" s="59"/>
      <c r="BD755" s="59"/>
      <c r="BE755" s="50"/>
      <c r="BG755" s="65"/>
      <c r="BH755" s="65"/>
      <c r="BI755" s="65"/>
      <c r="BJ755" s="65"/>
      <c r="BK755" s="65"/>
      <c r="BM755" s="65"/>
      <c r="BN755" s="65"/>
      <c r="BO755" s="65"/>
      <c r="BP755" s="65"/>
      <c r="BQ755" s="65"/>
    </row>
    <row r="756" spans="45:69" x14ac:dyDescent="0.25">
      <c r="AS756" s="53"/>
      <c r="AV756" s="56"/>
      <c r="AW756" s="379"/>
      <c r="AX756" s="65"/>
      <c r="AY756" s="65"/>
      <c r="AZ756" s="65"/>
      <c r="BA756" s="50"/>
      <c r="BB756" s="65"/>
      <c r="BC756" s="59"/>
      <c r="BD756" s="59"/>
      <c r="BE756" s="50"/>
      <c r="BG756" s="65"/>
      <c r="BH756" s="65"/>
      <c r="BI756" s="65"/>
      <c r="BJ756" s="65"/>
      <c r="BK756" s="65"/>
      <c r="BM756" s="65"/>
      <c r="BN756" s="65"/>
      <c r="BO756" s="65"/>
      <c r="BP756" s="65"/>
      <c r="BQ756" s="65"/>
    </row>
    <row r="757" spans="45:69" x14ac:dyDescent="0.25">
      <c r="AS757" s="53"/>
      <c r="AV757" s="56"/>
      <c r="AW757" s="379"/>
      <c r="AX757" s="65"/>
      <c r="AY757" s="65"/>
      <c r="AZ757" s="65"/>
      <c r="BA757" s="50"/>
      <c r="BB757" s="65"/>
      <c r="BC757" s="59"/>
      <c r="BD757" s="59"/>
      <c r="BE757" s="50"/>
      <c r="BG757" s="65"/>
      <c r="BH757" s="65"/>
      <c r="BI757" s="65"/>
      <c r="BJ757" s="65"/>
      <c r="BK757" s="65"/>
      <c r="BM757" s="65"/>
      <c r="BN757" s="65"/>
      <c r="BO757" s="65"/>
      <c r="BP757" s="65"/>
      <c r="BQ757" s="65"/>
    </row>
    <row r="758" spans="45:69" x14ac:dyDescent="0.25">
      <c r="AS758" s="53"/>
      <c r="AV758" s="56"/>
      <c r="AW758" s="379"/>
      <c r="AX758" s="65"/>
      <c r="AY758" s="65"/>
      <c r="AZ758" s="65"/>
      <c r="BA758" s="50"/>
      <c r="BB758" s="65"/>
      <c r="BC758" s="59"/>
      <c r="BD758" s="59"/>
      <c r="BE758" s="50"/>
      <c r="BG758" s="65"/>
      <c r="BH758" s="65"/>
      <c r="BI758" s="65"/>
      <c r="BJ758" s="65"/>
      <c r="BK758" s="65"/>
      <c r="BM758" s="65"/>
      <c r="BN758" s="65"/>
      <c r="BO758" s="65"/>
      <c r="BP758" s="65"/>
      <c r="BQ758" s="65"/>
    </row>
    <row r="759" spans="45:69" x14ac:dyDescent="0.25">
      <c r="AS759" s="53"/>
      <c r="AV759" s="56"/>
      <c r="AW759" s="379"/>
      <c r="AX759" s="65"/>
      <c r="AY759" s="65"/>
      <c r="AZ759" s="65"/>
      <c r="BA759" s="50"/>
      <c r="BB759" s="65"/>
      <c r="BC759" s="59"/>
      <c r="BD759" s="59"/>
      <c r="BE759" s="50"/>
      <c r="BG759" s="65"/>
      <c r="BH759" s="65"/>
      <c r="BI759" s="65"/>
      <c r="BJ759" s="65"/>
      <c r="BK759" s="65"/>
      <c r="BM759" s="65"/>
      <c r="BN759" s="65"/>
      <c r="BO759" s="65"/>
      <c r="BP759" s="65"/>
      <c r="BQ759" s="65"/>
    </row>
    <row r="760" spans="45:69" x14ac:dyDescent="0.25">
      <c r="AS760" s="53"/>
      <c r="AV760" s="56"/>
      <c r="AW760" s="379"/>
      <c r="AX760" s="65"/>
      <c r="AY760" s="65"/>
      <c r="AZ760" s="65"/>
      <c r="BA760" s="50"/>
      <c r="BB760" s="65"/>
      <c r="BC760" s="59"/>
      <c r="BD760" s="59"/>
      <c r="BE760" s="50"/>
      <c r="BG760" s="65"/>
      <c r="BH760" s="65"/>
      <c r="BI760" s="65"/>
      <c r="BJ760" s="65"/>
      <c r="BK760" s="65"/>
      <c r="BM760" s="65"/>
      <c r="BN760" s="65"/>
      <c r="BO760" s="65"/>
      <c r="BP760" s="65"/>
      <c r="BQ760" s="65"/>
    </row>
    <row r="761" spans="45:69" x14ac:dyDescent="0.25">
      <c r="AS761" s="53"/>
      <c r="AV761" s="56"/>
      <c r="AW761" s="379"/>
      <c r="AX761" s="65"/>
      <c r="AY761" s="65"/>
      <c r="AZ761" s="65"/>
      <c r="BA761" s="50"/>
      <c r="BB761" s="65"/>
      <c r="BC761" s="59"/>
      <c r="BD761" s="59"/>
      <c r="BE761" s="50"/>
      <c r="BG761" s="65"/>
      <c r="BH761" s="65"/>
      <c r="BI761" s="65"/>
      <c r="BJ761" s="65"/>
      <c r="BK761" s="65"/>
      <c r="BM761" s="65"/>
      <c r="BN761" s="65"/>
      <c r="BO761" s="65"/>
      <c r="BP761" s="65"/>
      <c r="BQ761" s="65"/>
    </row>
    <row r="762" spans="45:69" x14ac:dyDescent="0.25">
      <c r="AY762" s="59"/>
      <c r="AZ762" s="65"/>
      <c r="BA762" s="50"/>
      <c r="BB762" s="65"/>
      <c r="BC762" s="59"/>
      <c r="BD762" s="59"/>
      <c r="BE762" s="50"/>
      <c r="BK762" s="65"/>
      <c r="BQ762" s="65"/>
    </row>
    <row r="763" spans="45:69" x14ac:dyDescent="0.25">
      <c r="AU763" s="54"/>
      <c r="AZ763" s="65"/>
      <c r="BB763" s="65"/>
      <c r="BG763" s="65"/>
      <c r="BH763" s="65"/>
      <c r="BJ763" s="65"/>
      <c r="BK763" s="65"/>
    </row>
    <row r="764" spans="45:69" x14ac:dyDescent="0.25">
      <c r="AZ764" s="65"/>
      <c r="BB764" s="65"/>
    </row>
    <row r="765" spans="45:69" x14ac:dyDescent="0.25">
      <c r="AS765" s="54"/>
      <c r="AZ765" s="65"/>
      <c r="BB765" s="65"/>
      <c r="BI765" s="65"/>
    </row>
    <row r="766" spans="45:69" x14ac:dyDescent="0.25">
      <c r="AY766" s="53"/>
      <c r="AZ766" s="65"/>
      <c r="BB766" s="65"/>
    </row>
    <row r="767" spans="45:69" x14ac:dyDescent="0.25">
      <c r="AY767" s="65"/>
      <c r="BB767" s="65"/>
    </row>
    <row r="768" spans="45:69" x14ac:dyDescent="0.25">
      <c r="AY768" s="54"/>
      <c r="AZ768" s="65"/>
      <c r="BB768" s="65"/>
    </row>
    <row r="769" spans="45:75" x14ac:dyDescent="0.25">
      <c r="AY769" s="54"/>
      <c r="AZ769" s="65"/>
      <c r="BB769" s="65"/>
    </row>
    <row r="770" spans="45:75" x14ac:dyDescent="0.25">
      <c r="AS770" s="53"/>
      <c r="AZ770" s="65"/>
      <c r="BB770" s="65"/>
      <c r="BD770" s="54"/>
    </row>
    <row r="771" spans="45:75" x14ac:dyDescent="0.25">
      <c r="AS771" s="53"/>
      <c r="AZ771" s="65"/>
      <c r="BB771" s="65"/>
      <c r="BD771" s="54"/>
    </row>
    <row r="772" spans="45:75" x14ac:dyDescent="0.25">
      <c r="AS772" s="54"/>
      <c r="AZ772" s="65"/>
      <c r="BB772" s="65"/>
      <c r="BD772" s="54"/>
    </row>
    <row r="773" spans="45:75" x14ac:dyDescent="0.25">
      <c r="AZ773" s="65"/>
      <c r="BB773" s="65"/>
      <c r="BD773" s="53"/>
    </row>
    <row r="774" spans="45:75" x14ac:dyDescent="0.25">
      <c r="AS774" s="55"/>
      <c r="AT774" s="55"/>
      <c r="AU774" s="55"/>
      <c r="AV774" s="55"/>
      <c r="AW774" s="55"/>
      <c r="AX774" s="55"/>
      <c r="AY774" s="55"/>
      <c r="AZ774" s="66"/>
      <c r="BA774" s="55"/>
      <c r="BB774" s="66"/>
      <c r="BC774" s="55"/>
      <c r="BD774" s="55"/>
      <c r="BE774" s="55"/>
    </row>
    <row r="775" spans="45:75" x14ac:dyDescent="0.25">
      <c r="AX775" s="54"/>
      <c r="AZ775" s="65"/>
      <c r="BB775" s="65"/>
    </row>
    <row r="776" spans="45:75" x14ac:dyDescent="0.25">
      <c r="AX776" s="55"/>
      <c r="AY776" s="55"/>
      <c r="AZ776" s="66"/>
      <c r="BA776" s="55"/>
      <c r="BB776" s="65"/>
      <c r="BC776" s="56"/>
      <c r="BD776" s="56"/>
    </row>
    <row r="777" spans="45:75" x14ac:dyDescent="0.25">
      <c r="AV777" s="56"/>
      <c r="AW777" s="56"/>
      <c r="AZ777" s="67"/>
      <c r="BA777" s="56"/>
      <c r="BB777" s="65"/>
      <c r="BC777" s="56"/>
      <c r="BD777" s="56"/>
      <c r="BE777" s="56"/>
      <c r="BG777" s="55"/>
      <c r="BH777" s="55"/>
      <c r="BI777" s="54"/>
      <c r="BM777" s="55"/>
      <c r="BN777" s="55"/>
      <c r="BP777" s="55"/>
      <c r="BQ777" s="55"/>
      <c r="BR777" s="54"/>
      <c r="BV777" s="55"/>
      <c r="BW777" s="55"/>
    </row>
    <row r="778" spans="45:75" x14ac:dyDescent="0.25">
      <c r="AV778" s="56"/>
      <c r="AW778" s="56"/>
      <c r="AX778" s="56"/>
      <c r="AY778" s="56"/>
      <c r="AZ778" s="67"/>
      <c r="BA778" s="56"/>
      <c r="BB778" s="67"/>
      <c r="BC778" s="56"/>
      <c r="BD778" s="56"/>
      <c r="BE778" s="56"/>
      <c r="BH778" s="56"/>
      <c r="BI778" s="56"/>
      <c r="BJ778" s="56"/>
      <c r="BK778" s="56"/>
      <c r="BL778" s="56"/>
      <c r="BM778" s="56"/>
      <c r="BQ778" s="56"/>
      <c r="BR778" s="56"/>
      <c r="BS778" s="56"/>
      <c r="BT778" s="56"/>
      <c r="BU778" s="56"/>
      <c r="BV778" s="56"/>
    </row>
    <row r="779" spans="45:75" x14ac:dyDescent="0.25">
      <c r="AS779" s="56"/>
      <c r="AU779" s="54"/>
      <c r="AV779" s="56"/>
      <c r="AW779" s="56"/>
      <c r="AX779" s="56"/>
      <c r="AY779" s="56"/>
      <c r="AZ779" s="67"/>
      <c r="BA779" s="56"/>
      <c r="BB779" s="67"/>
      <c r="BC779" s="56"/>
      <c r="BD779" s="56"/>
      <c r="BE779" s="56"/>
      <c r="BG779" s="56"/>
      <c r="BH779" s="56"/>
      <c r="BI779" s="56"/>
      <c r="BJ779" s="56"/>
      <c r="BK779" s="56"/>
      <c r="BL779" s="56"/>
      <c r="BM779" s="56"/>
      <c r="BN779" s="56"/>
      <c r="BP779" s="56"/>
      <c r="BQ779" s="56"/>
      <c r="BR779" s="56"/>
      <c r="BS779" s="56"/>
      <c r="BT779" s="56"/>
      <c r="BU779" s="56"/>
      <c r="BV779" s="56"/>
      <c r="BW779" s="56"/>
    </row>
    <row r="780" spans="45:75" x14ac:dyDescent="0.25">
      <c r="AS780" s="56"/>
      <c r="AU780" s="54"/>
      <c r="AV780" s="56"/>
      <c r="AW780" s="56"/>
      <c r="AX780" s="56"/>
      <c r="AY780" s="56"/>
      <c r="AZ780" s="67"/>
      <c r="BA780" s="56"/>
      <c r="BB780" s="67"/>
      <c r="BC780" s="56"/>
      <c r="BD780" s="56"/>
      <c r="BE780" s="56"/>
      <c r="BG780" s="56"/>
      <c r="BH780" s="56"/>
      <c r="BI780" s="56"/>
      <c r="BJ780" s="56"/>
      <c r="BK780" s="56"/>
      <c r="BL780" s="56"/>
      <c r="BM780" s="56"/>
      <c r="BN780" s="56"/>
      <c r="BP780" s="56"/>
      <c r="BQ780" s="56"/>
      <c r="BR780" s="56"/>
      <c r="BS780" s="56"/>
      <c r="BT780" s="56"/>
      <c r="BU780" s="56"/>
      <c r="BV780" s="56"/>
      <c r="BW780" s="56"/>
    </row>
    <row r="781" spans="45:75" x14ac:dyDescent="0.25">
      <c r="AS781" s="55"/>
      <c r="AT781" s="55"/>
      <c r="AU781" s="55"/>
      <c r="AV781" s="55"/>
      <c r="AW781" s="55"/>
      <c r="AX781" s="55"/>
      <c r="AY781" s="55"/>
      <c r="AZ781" s="66"/>
      <c r="BA781" s="55"/>
      <c r="BB781" s="66"/>
      <c r="BC781" s="55"/>
      <c r="BD781" s="55"/>
      <c r="BE781" s="55"/>
      <c r="BG781" s="55"/>
      <c r="BH781" s="55"/>
      <c r="BI781" s="55"/>
      <c r="BJ781" s="55"/>
      <c r="BK781" s="55"/>
      <c r="BL781" s="55"/>
      <c r="BM781" s="55"/>
      <c r="BN781" s="55"/>
      <c r="BP781" s="55"/>
      <c r="BQ781" s="55"/>
      <c r="BR781" s="55"/>
      <c r="BS781" s="55"/>
      <c r="BT781" s="55"/>
      <c r="BU781" s="55"/>
      <c r="BV781" s="55"/>
      <c r="BW781" s="55"/>
    </row>
    <row r="782" spans="45:75" x14ac:dyDescent="0.25">
      <c r="AV782" s="56"/>
      <c r="AW782" s="56"/>
      <c r="AX782" s="56"/>
      <c r="AY782" s="56"/>
      <c r="AZ782" s="67"/>
      <c r="BA782" s="56"/>
      <c r="BB782" s="67"/>
      <c r="BC782" s="56"/>
      <c r="BD782" s="56"/>
      <c r="BE782" s="56"/>
      <c r="BG782" s="65"/>
      <c r="BH782" s="65"/>
      <c r="BI782" s="65"/>
      <c r="BJ782" s="65"/>
      <c r="BK782" s="65"/>
      <c r="BL782" s="65"/>
      <c r="BM782" s="65"/>
      <c r="BN782" s="65"/>
      <c r="BO782" s="65"/>
      <c r="BP782" s="65"/>
      <c r="BQ782" s="65"/>
      <c r="BR782" s="65"/>
      <c r="BS782" s="65"/>
      <c r="BT782" s="65"/>
      <c r="BU782" s="65"/>
      <c r="BV782" s="65"/>
      <c r="BW782" s="65"/>
    </row>
    <row r="783" spans="45:75" x14ac:dyDescent="0.25">
      <c r="AS783" s="53"/>
      <c r="AU783" s="54"/>
      <c r="AV783" s="53"/>
      <c r="AW783" s="379"/>
      <c r="AX783" s="65"/>
      <c r="AY783" s="65"/>
      <c r="AZ783" s="65"/>
      <c r="BA783" s="60"/>
      <c r="BB783" s="65"/>
      <c r="BC783" s="65"/>
      <c r="BD783" s="65"/>
      <c r="BE783" s="60"/>
      <c r="BG783" s="65"/>
      <c r="BH783" s="65"/>
      <c r="BI783" s="65"/>
      <c r="BJ783" s="65"/>
      <c r="BK783" s="65"/>
      <c r="BL783" s="65"/>
      <c r="BM783" s="65"/>
      <c r="BN783" s="65"/>
      <c r="BO783" s="65"/>
      <c r="BP783" s="65"/>
      <c r="BQ783" s="65"/>
      <c r="BR783" s="65"/>
      <c r="BS783" s="65"/>
      <c r="BT783" s="65"/>
      <c r="BU783" s="65"/>
      <c r="BV783" s="65"/>
      <c r="BW783" s="65"/>
    </row>
    <row r="784" spans="45:75" x14ac:dyDescent="0.25">
      <c r="AS784" s="53"/>
      <c r="AV784" s="53"/>
      <c r="AW784" s="379"/>
      <c r="AX784" s="65"/>
      <c r="AY784" s="65"/>
      <c r="AZ784" s="65"/>
      <c r="BA784" s="60"/>
      <c r="BB784" s="65"/>
      <c r="BC784" s="65"/>
      <c r="BD784" s="65"/>
      <c r="BE784" s="60"/>
      <c r="BG784" s="65"/>
      <c r="BH784" s="65"/>
      <c r="BI784" s="65"/>
      <c r="BJ784" s="65"/>
      <c r="BK784" s="65"/>
      <c r="BL784" s="65"/>
      <c r="BM784" s="65"/>
      <c r="BN784" s="65"/>
      <c r="BO784" s="65"/>
      <c r="BP784" s="65"/>
      <c r="BQ784" s="65"/>
      <c r="BR784" s="65"/>
      <c r="BS784" s="65"/>
      <c r="BT784" s="65"/>
      <c r="BU784" s="65"/>
      <c r="BV784" s="65"/>
      <c r="BW784" s="65"/>
    </row>
    <row r="785" spans="45:75" x14ac:dyDescent="0.25">
      <c r="AS785" s="53"/>
      <c r="AV785" s="53"/>
      <c r="AW785" s="379"/>
      <c r="AX785" s="65"/>
      <c r="AY785" s="65"/>
      <c r="AZ785" s="65"/>
      <c r="BA785" s="60"/>
      <c r="BB785" s="65"/>
      <c r="BC785" s="65"/>
      <c r="BD785" s="65"/>
      <c r="BE785" s="60"/>
      <c r="BG785" s="65"/>
      <c r="BH785" s="65"/>
      <c r="BI785" s="65"/>
      <c r="BJ785" s="65"/>
      <c r="BK785" s="65"/>
      <c r="BL785" s="65"/>
      <c r="BM785" s="65"/>
      <c r="BN785" s="65"/>
      <c r="BO785" s="65"/>
      <c r="BP785" s="65"/>
      <c r="BQ785" s="65"/>
      <c r="BR785" s="65"/>
      <c r="BS785" s="65"/>
      <c r="BT785" s="65"/>
      <c r="BU785" s="65"/>
      <c r="BV785" s="65"/>
      <c r="BW785" s="65"/>
    </row>
    <row r="786" spans="45:75" x14ac:dyDescent="0.25">
      <c r="AS786" s="53"/>
      <c r="AV786" s="53"/>
      <c r="AW786" s="379"/>
      <c r="AX786" s="65"/>
      <c r="AY786" s="65"/>
      <c r="AZ786" s="65"/>
      <c r="BA786" s="60"/>
      <c r="BB786" s="65"/>
      <c r="BC786" s="65"/>
      <c r="BD786" s="65"/>
      <c r="BE786" s="60"/>
      <c r="BG786" s="65"/>
      <c r="BH786" s="65"/>
      <c r="BI786" s="65"/>
      <c r="BJ786" s="65"/>
      <c r="BK786" s="65"/>
      <c r="BL786" s="65"/>
      <c r="BM786" s="65"/>
      <c r="BN786" s="65"/>
      <c r="BO786" s="65"/>
      <c r="BP786" s="65"/>
      <c r="BQ786" s="65"/>
      <c r="BR786" s="65"/>
      <c r="BS786" s="65"/>
      <c r="BT786" s="65"/>
      <c r="BU786" s="65"/>
      <c r="BV786" s="65"/>
      <c r="BW786" s="65"/>
    </row>
    <row r="787" spans="45:75" x14ac:dyDescent="0.25">
      <c r="AS787" s="53"/>
      <c r="AV787" s="53"/>
      <c r="AW787" s="379"/>
      <c r="AX787" s="65"/>
      <c r="AY787" s="65"/>
      <c r="AZ787" s="65"/>
      <c r="BA787" s="60"/>
      <c r="BB787" s="65"/>
      <c r="BC787" s="65"/>
      <c r="BD787" s="65"/>
      <c r="BE787" s="60"/>
      <c r="BG787" s="65"/>
      <c r="BH787" s="65"/>
      <c r="BI787" s="65"/>
      <c r="BJ787" s="65"/>
      <c r="BK787" s="65"/>
      <c r="BL787" s="65"/>
      <c r="BM787" s="65"/>
      <c r="BN787" s="65"/>
      <c r="BO787" s="65"/>
      <c r="BP787" s="65"/>
      <c r="BQ787" s="65"/>
      <c r="BR787" s="65"/>
      <c r="BS787" s="65"/>
      <c r="BT787" s="65"/>
      <c r="BU787" s="65"/>
      <c r="BV787" s="65"/>
      <c r="BW787" s="65"/>
    </row>
    <row r="788" spans="45:75" x14ac:dyDescent="0.25">
      <c r="AS788" s="53"/>
      <c r="AV788" s="53"/>
      <c r="AW788" s="379"/>
      <c r="AX788" s="65"/>
      <c r="AY788" s="65"/>
      <c r="AZ788" s="65"/>
      <c r="BA788" s="60"/>
      <c r="BB788" s="65"/>
      <c r="BC788" s="65"/>
      <c r="BD788" s="65"/>
      <c r="BE788" s="60"/>
      <c r="BG788" s="65"/>
      <c r="BH788" s="65"/>
      <c r="BI788" s="65"/>
      <c r="BJ788" s="65"/>
      <c r="BK788" s="65"/>
      <c r="BL788" s="65"/>
      <c r="BM788" s="65"/>
      <c r="BN788" s="65"/>
      <c r="BO788" s="65"/>
      <c r="BP788" s="65"/>
      <c r="BQ788" s="65"/>
      <c r="BR788" s="65"/>
      <c r="BS788" s="65"/>
      <c r="BT788" s="65"/>
      <c r="BU788" s="65"/>
      <c r="BV788" s="65"/>
      <c r="BW788" s="65"/>
    </row>
    <row r="789" spans="45:75" x14ac:dyDescent="0.25">
      <c r="AS789" s="53"/>
      <c r="AV789" s="53"/>
      <c r="AW789" s="379"/>
      <c r="AX789" s="65"/>
      <c r="AY789" s="65"/>
      <c r="AZ789" s="65"/>
      <c r="BA789" s="60"/>
      <c r="BB789" s="65"/>
      <c r="BC789" s="65"/>
      <c r="BD789" s="65"/>
      <c r="BE789" s="60"/>
      <c r="BG789" s="65"/>
      <c r="BH789" s="65"/>
      <c r="BI789" s="65"/>
      <c r="BJ789" s="65"/>
      <c r="BK789" s="65"/>
      <c r="BL789" s="65"/>
      <c r="BM789" s="65"/>
      <c r="BN789" s="65"/>
      <c r="BO789" s="65"/>
      <c r="BP789" s="65"/>
      <c r="BQ789" s="65"/>
      <c r="BR789" s="65"/>
      <c r="BS789" s="65"/>
      <c r="BT789" s="65"/>
      <c r="BU789" s="65"/>
      <c r="BV789" s="65"/>
      <c r="BW789" s="65"/>
    </row>
    <row r="790" spans="45:75" x14ac:dyDescent="0.25">
      <c r="AS790" s="53"/>
      <c r="AV790" s="53"/>
      <c r="AW790" s="379"/>
      <c r="AX790" s="65"/>
      <c r="AY790" s="65"/>
      <c r="AZ790" s="65"/>
      <c r="BA790" s="60"/>
      <c r="BB790" s="65"/>
      <c r="BC790" s="65"/>
      <c r="BD790" s="65"/>
      <c r="BE790" s="60"/>
      <c r="BG790" s="65"/>
      <c r="BH790" s="65"/>
      <c r="BI790" s="65"/>
      <c r="BJ790" s="65"/>
      <c r="BK790" s="65"/>
      <c r="BL790" s="65"/>
      <c r="BM790" s="65"/>
      <c r="BN790" s="65"/>
      <c r="BO790" s="65"/>
      <c r="BP790" s="65"/>
      <c r="BQ790" s="65"/>
      <c r="BR790" s="65"/>
      <c r="BS790" s="65"/>
      <c r="BT790" s="65"/>
      <c r="BU790" s="65"/>
      <c r="BV790" s="65"/>
      <c r="BW790" s="65"/>
    </row>
    <row r="791" spans="45:75" x14ac:dyDescent="0.25">
      <c r="AS791" s="53"/>
      <c r="AV791" s="53"/>
      <c r="AW791" s="379"/>
      <c r="AX791" s="65"/>
      <c r="AY791" s="65"/>
      <c r="AZ791" s="65"/>
      <c r="BA791" s="60"/>
      <c r="BB791" s="65"/>
      <c r="BC791" s="65"/>
      <c r="BD791" s="65"/>
      <c r="BE791" s="60"/>
      <c r="BG791" s="65"/>
      <c r="BH791" s="65"/>
      <c r="BI791" s="65"/>
      <c r="BJ791" s="65"/>
      <c r="BK791" s="65"/>
      <c r="BL791" s="65"/>
      <c r="BM791" s="65"/>
      <c r="BN791" s="65"/>
      <c r="BO791" s="65"/>
      <c r="BP791" s="65"/>
      <c r="BQ791" s="65"/>
      <c r="BR791" s="65"/>
      <c r="BS791" s="65"/>
      <c r="BT791" s="65"/>
      <c r="BU791" s="65"/>
      <c r="BV791" s="65"/>
      <c r="BW791" s="65"/>
    </row>
    <row r="792" spans="45:75" x14ac:dyDescent="0.25">
      <c r="AS792" s="53"/>
      <c r="AV792" s="53"/>
      <c r="AW792" s="379"/>
      <c r="AX792" s="65"/>
      <c r="AY792" s="65"/>
      <c r="AZ792" s="65"/>
      <c r="BA792" s="60"/>
      <c r="BB792" s="65"/>
      <c r="BC792" s="65"/>
      <c r="BD792" s="65"/>
      <c r="BE792" s="60"/>
      <c r="BG792" s="65"/>
      <c r="BH792" s="65"/>
      <c r="BI792" s="65"/>
      <c r="BJ792" s="65"/>
      <c r="BK792" s="65"/>
      <c r="BL792" s="65"/>
      <c r="BM792" s="65"/>
      <c r="BN792" s="65"/>
      <c r="BO792" s="65"/>
      <c r="BP792" s="65"/>
      <c r="BQ792" s="65"/>
      <c r="BR792" s="65"/>
      <c r="BS792" s="65"/>
      <c r="BT792" s="65"/>
      <c r="BU792" s="65"/>
      <c r="BV792" s="65"/>
      <c r="BW792" s="65"/>
    </row>
    <row r="793" spans="45:75" x14ac:dyDescent="0.25">
      <c r="AS793" s="53"/>
      <c r="AV793" s="53"/>
      <c r="AW793" s="379"/>
      <c r="AX793" s="65"/>
      <c r="AY793" s="65"/>
      <c r="AZ793" s="65"/>
      <c r="BA793" s="60"/>
      <c r="BB793" s="65"/>
      <c r="BC793" s="65"/>
      <c r="BD793" s="65"/>
      <c r="BE793" s="60"/>
      <c r="BG793" s="65"/>
      <c r="BH793" s="65"/>
      <c r="BI793" s="65"/>
      <c r="BJ793" s="65"/>
      <c r="BK793" s="65"/>
      <c r="BL793" s="65"/>
      <c r="BM793" s="65"/>
      <c r="BN793" s="65"/>
      <c r="BO793" s="65"/>
      <c r="BP793" s="65"/>
      <c r="BQ793" s="65"/>
      <c r="BR793" s="65"/>
      <c r="BS793" s="65"/>
      <c r="BT793" s="65"/>
      <c r="BU793" s="65"/>
      <c r="BV793" s="65"/>
      <c r="BW793" s="65"/>
    </row>
    <row r="794" spans="45:75" x14ac:dyDescent="0.25">
      <c r="AS794" s="53"/>
      <c r="AV794" s="53"/>
      <c r="AW794" s="379"/>
      <c r="AX794" s="65"/>
      <c r="AY794" s="65"/>
      <c r="AZ794" s="65"/>
      <c r="BA794" s="60"/>
      <c r="BB794" s="65"/>
      <c r="BC794" s="65"/>
      <c r="BD794" s="65"/>
      <c r="BE794" s="60"/>
      <c r="BG794" s="65"/>
      <c r="BH794" s="65"/>
      <c r="BI794" s="65"/>
      <c r="BJ794" s="65"/>
      <c r="BK794" s="65"/>
      <c r="BL794" s="65"/>
      <c r="BM794" s="65"/>
      <c r="BN794" s="65"/>
      <c r="BO794" s="65"/>
      <c r="BP794" s="65"/>
      <c r="BQ794" s="65"/>
      <c r="BR794" s="65"/>
      <c r="BS794" s="65"/>
      <c r="BT794" s="65"/>
      <c r="BU794" s="65"/>
      <c r="BV794" s="65"/>
      <c r="BW794" s="65"/>
    </row>
    <row r="795" spans="45:75" x14ac:dyDescent="0.25">
      <c r="AS795" s="53"/>
      <c r="AV795" s="53"/>
      <c r="AW795" s="379"/>
      <c r="AX795" s="65"/>
      <c r="AY795" s="65"/>
      <c r="AZ795" s="65"/>
      <c r="BA795" s="60"/>
      <c r="BB795" s="65"/>
      <c r="BC795" s="65"/>
      <c r="BD795" s="65"/>
      <c r="BE795" s="60"/>
      <c r="BG795" s="65"/>
      <c r="BH795" s="65"/>
      <c r="BI795" s="65"/>
      <c r="BJ795" s="65"/>
      <c r="BK795" s="65"/>
      <c r="BL795" s="65"/>
      <c r="BM795" s="65"/>
      <c r="BN795" s="65"/>
      <c r="BO795" s="65"/>
      <c r="BP795" s="65"/>
      <c r="BQ795" s="65"/>
      <c r="BR795" s="65"/>
      <c r="BS795" s="65"/>
      <c r="BT795" s="65"/>
      <c r="BU795" s="65"/>
      <c r="BV795" s="65"/>
      <c r="BW795" s="65"/>
    </row>
    <row r="796" spans="45:75" x14ac:dyDescent="0.25">
      <c r="AS796" s="53"/>
      <c r="AV796" s="53"/>
      <c r="AW796" s="379"/>
      <c r="AX796" s="65"/>
      <c r="AY796" s="65"/>
      <c r="AZ796" s="65"/>
      <c r="BA796" s="60"/>
      <c r="BB796" s="65"/>
      <c r="BC796" s="65"/>
      <c r="BD796" s="65"/>
      <c r="BE796" s="60"/>
      <c r="BG796" s="65"/>
      <c r="BH796" s="65"/>
      <c r="BI796" s="65"/>
      <c r="BJ796" s="65"/>
      <c r="BK796" s="65"/>
      <c r="BL796" s="65"/>
      <c r="BM796" s="65"/>
      <c r="BN796" s="65"/>
      <c r="BO796" s="65"/>
      <c r="BP796" s="65"/>
      <c r="BQ796" s="65"/>
      <c r="BR796" s="65"/>
      <c r="BS796" s="65"/>
      <c r="BT796" s="65"/>
      <c r="BU796" s="65"/>
      <c r="BV796" s="65"/>
      <c r="BW796" s="65"/>
    </row>
    <row r="797" spans="45:75" x14ac:dyDescent="0.25">
      <c r="AS797" s="53"/>
      <c r="AV797" s="53"/>
      <c r="AW797" s="379"/>
      <c r="AX797" s="65"/>
      <c r="AY797" s="65"/>
      <c r="AZ797" s="65"/>
      <c r="BA797" s="60"/>
      <c r="BB797" s="65"/>
      <c r="BC797" s="65"/>
      <c r="BD797" s="65"/>
      <c r="BE797" s="60"/>
      <c r="BG797" s="65"/>
      <c r="BH797" s="65"/>
      <c r="BI797" s="65"/>
      <c r="BJ797" s="65"/>
      <c r="BK797" s="65"/>
      <c r="BL797" s="65"/>
      <c r="BM797" s="65"/>
      <c r="BN797" s="65"/>
      <c r="BO797" s="65"/>
      <c r="BP797" s="65"/>
      <c r="BQ797" s="65"/>
      <c r="BR797" s="65"/>
      <c r="BS797" s="65"/>
      <c r="BT797" s="65"/>
      <c r="BU797" s="65"/>
      <c r="BV797" s="65"/>
      <c r="BW797" s="65"/>
    </row>
    <row r="798" spans="45:75" x14ac:dyDescent="0.25">
      <c r="AS798" s="53"/>
      <c r="AV798" s="53"/>
      <c r="AW798" s="379"/>
      <c r="AX798" s="65"/>
      <c r="AY798" s="65"/>
      <c r="AZ798" s="65"/>
      <c r="BA798" s="60"/>
      <c r="BB798" s="65"/>
      <c r="BC798" s="65"/>
      <c r="BD798" s="65"/>
      <c r="BE798" s="60"/>
      <c r="BG798" s="65"/>
      <c r="BH798" s="65"/>
      <c r="BI798" s="65"/>
      <c r="BJ798" s="65"/>
      <c r="BK798" s="65"/>
      <c r="BL798" s="65"/>
      <c r="BM798" s="65"/>
      <c r="BN798" s="65"/>
      <c r="BO798" s="65"/>
      <c r="BP798" s="65"/>
      <c r="BQ798" s="65"/>
      <c r="BR798" s="65"/>
      <c r="BS798" s="65"/>
      <c r="BT798" s="65"/>
      <c r="BU798" s="65"/>
      <c r="BV798" s="65"/>
      <c r="BW798" s="65"/>
    </row>
    <row r="799" spans="45:75" x14ac:dyDescent="0.25">
      <c r="AS799" s="53"/>
      <c r="AV799" s="53"/>
      <c r="AW799" s="379"/>
      <c r="AX799" s="65"/>
      <c r="AY799" s="65"/>
      <c r="AZ799" s="65"/>
      <c r="BA799" s="60"/>
      <c r="BB799" s="65"/>
      <c r="BC799" s="65"/>
      <c r="BD799" s="65"/>
      <c r="BE799" s="60"/>
      <c r="BG799" s="65"/>
      <c r="BH799" s="65"/>
      <c r="BI799" s="65"/>
      <c r="BJ799" s="65"/>
      <c r="BK799" s="65"/>
      <c r="BL799" s="65"/>
      <c r="BM799" s="65"/>
      <c r="BN799" s="65"/>
      <c r="BO799" s="65"/>
      <c r="BP799" s="65"/>
      <c r="BQ799" s="65"/>
      <c r="BR799" s="65"/>
      <c r="BS799" s="65"/>
      <c r="BT799" s="65"/>
      <c r="BU799" s="65"/>
      <c r="BV799" s="65"/>
      <c r="BW799" s="65"/>
    </row>
    <row r="800" spans="45:75" x14ac:dyDescent="0.25">
      <c r="AS800" s="53"/>
      <c r="AV800" s="53"/>
      <c r="AW800" s="379"/>
      <c r="AX800" s="65"/>
      <c r="AY800" s="65"/>
      <c r="AZ800" s="65"/>
      <c r="BA800" s="60"/>
      <c r="BB800" s="65"/>
      <c r="BC800" s="65"/>
      <c r="BD800" s="65"/>
      <c r="BE800" s="60"/>
      <c r="BG800" s="65"/>
      <c r="BH800" s="65"/>
      <c r="BI800" s="65"/>
      <c r="BJ800" s="65"/>
      <c r="BK800" s="65"/>
      <c r="BL800" s="65"/>
      <c r="BM800" s="65"/>
      <c r="BN800" s="65"/>
      <c r="BO800" s="65"/>
      <c r="BP800" s="65"/>
      <c r="BQ800" s="65"/>
      <c r="BR800" s="65"/>
      <c r="BS800" s="65"/>
      <c r="BT800" s="65"/>
      <c r="BU800" s="65"/>
      <c r="BV800" s="65"/>
      <c r="BW800" s="65"/>
    </row>
    <row r="801" spans="45:75" x14ac:dyDescent="0.25">
      <c r="AS801" s="53"/>
      <c r="AV801" s="53"/>
      <c r="AW801" s="379"/>
      <c r="AX801" s="65"/>
      <c r="AY801" s="65"/>
      <c r="AZ801" s="65"/>
      <c r="BA801" s="60"/>
      <c r="BB801" s="65"/>
      <c r="BC801" s="65"/>
      <c r="BD801" s="65"/>
      <c r="BE801" s="60"/>
      <c r="BG801" s="65"/>
      <c r="BH801" s="65"/>
      <c r="BI801" s="65"/>
      <c r="BJ801" s="65"/>
      <c r="BK801" s="65"/>
      <c r="BL801" s="65"/>
      <c r="BM801" s="65"/>
      <c r="BN801" s="65"/>
      <c r="BO801" s="65"/>
      <c r="BP801" s="65"/>
      <c r="BQ801" s="65"/>
      <c r="BR801" s="65"/>
      <c r="BS801" s="65"/>
      <c r="BT801" s="65"/>
      <c r="BU801" s="65"/>
      <c r="BV801" s="65"/>
      <c r="BW801" s="65"/>
    </row>
    <row r="802" spans="45:75" x14ac:dyDescent="0.25">
      <c r="AS802" s="53"/>
      <c r="AV802" s="53"/>
      <c r="AW802" s="379"/>
      <c r="AX802" s="65"/>
      <c r="AY802" s="65"/>
      <c r="AZ802" s="65"/>
      <c r="BA802" s="60"/>
      <c r="BB802" s="65"/>
      <c r="BC802" s="65"/>
      <c r="BD802" s="65"/>
      <c r="BE802" s="60"/>
      <c r="BG802" s="65"/>
      <c r="BH802" s="65"/>
      <c r="BI802" s="65"/>
      <c r="BJ802" s="65"/>
      <c r="BK802" s="65"/>
      <c r="BL802" s="65"/>
      <c r="BM802" s="65"/>
      <c r="BN802" s="65"/>
      <c r="BO802" s="65"/>
      <c r="BP802" s="65"/>
      <c r="BQ802" s="65"/>
      <c r="BR802" s="65"/>
      <c r="BS802" s="65"/>
      <c r="BT802" s="65"/>
      <c r="BU802" s="65"/>
      <c r="BV802" s="65"/>
      <c r="BW802" s="65"/>
    </row>
    <row r="803" spans="45:75" x14ac:dyDescent="0.25">
      <c r="AS803" s="53"/>
      <c r="AV803" s="53"/>
      <c r="AW803" s="379"/>
      <c r="AX803" s="65"/>
      <c r="AY803" s="65"/>
      <c r="AZ803" s="65"/>
      <c r="BA803" s="60"/>
      <c r="BB803" s="65"/>
      <c r="BC803" s="65"/>
      <c r="BD803" s="65"/>
      <c r="BE803" s="60"/>
      <c r="BG803" s="65"/>
      <c r="BH803" s="65"/>
      <c r="BI803" s="65"/>
      <c r="BJ803" s="65"/>
      <c r="BK803" s="65"/>
      <c r="BL803" s="65"/>
      <c r="BM803" s="65"/>
      <c r="BN803" s="65"/>
      <c r="BO803" s="65"/>
      <c r="BP803" s="65"/>
      <c r="BQ803" s="65"/>
      <c r="BR803" s="65"/>
      <c r="BS803" s="65"/>
      <c r="BT803" s="65"/>
      <c r="BU803" s="65"/>
      <c r="BV803" s="65"/>
      <c r="BW803" s="65"/>
    </row>
    <row r="804" spans="45:75" x14ac:dyDescent="0.25">
      <c r="AW804" s="379"/>
      <c r="AX804" s="65"/>
      <c r="AY804" s="65"/>
      <c r="AZ804" s="65"/>
      <c r="BA804" s="60"/>
      <c r="BB804" s="65"/>
      <c r="BC804" s="65"/>
      <c r="BD804" s="65"/>
      <c r="BE804" s="60"/>
      <c r="BG804" s="55"/>
      <c r="BH804" s="55"/>
      <c r="BI804" s="54"/>
      <c r="BM804" s="55"/>
      <c r="BN804" s="55"/>
      <c r="BO804" s="65"/>
      <c r="BP804" s="55"/>
      <c r="BQ804" s="55"/>
      <c r="BR804" s="54"/>
      <c r="BV804" s="55"/>
      <c r="BW804" s="55"/>
    </row>
    <row r="805" spans="45:75" x14ac:dyDescent="0.25">
      <c r="AS805" s="53"/>
      <c r="AU805" s="54"/>
      <c r="AV805" s="56"/>
      <c r="AW805" s="379"/>
      <c r="AX805" s="65"/>
      <c r="AY805" s="65"/>
      <c r="AZ805" s="65"/>
      <c r="BA805" s="60"/>
      <c r="BB805" s="65"/>
      <c r="BC805" s="65"/>
      <c r="BD805" s="65"/>
      <c r="BE805" s="60"/>
      <c r="BG805" s="67"/>
      <c r="BH805" s="65"/>
      <c r="BI805" s="65"/>
      <c r="BJ805" s="65"/>
      <c r="BK805" s="67"/>
      <c r="BL805" s="68"/>
      <c r="BM805" s="65"/>
      <c r="BN805" s="67"/>
      <c r="BO805" s="65"/>
      <c r="BP805" s="67"/>
      <c r="BQ805" s="65"/>
      <c r="BR805" s="65"/>
      <c r="BS805" s="65"/>
      <c r="BT805" s="67"/>
      <c r="BU805" s="68"/>
      <c r="BV805" s="65"/>
      <c r="BW805" s="67"/>
    </row>
    <row r="806" spans="45:75" x14ac:dyDescent="0.25">
      <c r="AS806" s="53"/>
      <c r="AV806" s="56"/>
      <c r="AW806" s="379"/>
      <c r="AX806" s="65"/>
      <c r="AY806" s="65"/>
      <c r="AZ806" s="65"/>
      <c r="BA806" s="60"/>
      <c r="BB806" s="65"/>
      <c r="BC806" s="65"/>
      <c r="BD806" s="65"/>
      <c r="BE806" s="60"/>
      <c r="BG806" s="65"/>
      <c r="BH806" s="65"/>
      <c r="BI806" s="65"/>
      <c r="BJ806" s="65"/>
      <c r="BK806" s="65"/>
      <c r="BL806" s="68"/>
      <c r="BM806" s="65"/>
      <c r="BN806" s="65"/>
      <c r="BO806" s="65"/>
      <c r="BP806" s="65"/>
      <c r="BQ806" s="65"/>
      <c r="BR806" s="65"/>
      <c r="BS806" s="65"/>
      <c r="BT806" s="65"/>
      <c r="BU806" s="68"/>
      <c r="BV806" s="65"/>
      <c r="BW806" s="65"/>
    </row>
    <row r="807" spans="45:75" x14ac:dyDescent="0.25">
      <c r="AS807" s="53"/>
      <c r="AV807" s="56"/>
      <c r="AW807" s="379"/>
      <c r="AX807" s="65"/>
      <c r="AY807" s="65"/>
      <c r="AZ807" s="65"/>
      <c r="BA807" s="60"/>
      <c r="BB807" s="65"/>
      <c r="BC807" s="65"/>
      <c r="BD807" s="65"/>
      <c r="BE807" s="60"/>
      <c r="BG807" s="65"/>
      <c r="BH807" s="65"/>
      <c r="BI807" s="65"/>
      <c r="BJ807" s="65"/>
      <c r="BK807" s="65"/>
      <c r="BL807" s="68"/>
      <c r="BM807" s="65"/>
      <c r="BN807" s="65"/>
      <c r="BO807" s="65"/>
      <c r="BP807" s="65"/>
      <c r="BQ807" s="65"/>
      <c r="BR807" s="65"/>
      <c r="BS807" s="65"/>
      <c r="BT807" s="65"/>
      <c r="BU807" s="68"/>
      <c r="BV807" s="65"/>
      <c r="BW807" s="65"/>
    </row>
    <row r="808" spans="45:75" x14ac:dyDescent="0.25">
      <c r="AS808" s="53"/>
      <c r="AV808" s="56"/>
      <c r="AW808" s="379"/>
      <c r="AX808" s="65"/>
      <c r="AY808" s="65"/>
      <c r="AZ808" s="65"/>
      <c r="BA808" s="60"/>
      <c r="BB808" s="65"/>
      <c r="BC808" s="65"/>
      <c r="BD808" s="65"/>
      <c r="BE808" s="60"/>
      <c r="BG808" s="65"/>
      <c r="BH808" s="65"/>
      <c r="BI808" s="65"/>
      <c r="BJ808" s="65"/>
      <c r="BK808" s="65"/>
      <c r="BL808" s="68"/>
      <c r="BM808" s="65"/>
      <c r="BN808" s="65"/>
      <c r="BO808" s="65"/>
      <c r="BP808" s="65"/>
      <c r="BQ808" s="65"/>
      <c r="BR808" s="65"/>
      <c r="BS808" s="65"/>
      <c r="BT808" s="65"/>
      <c r="BU808" s="68"/>
      <c r="BV808" s="65"/>
      <c r="BW808" s="65"/>
    </row>
    <row r="809" spans="45:75" x14ac:dyDescent="0.25">
      <c r="AX809" s="65"/>
      <c r="AY809" s="65"/>
      <c r="AZ809" s="65"/>
      <c r="BA809" s="60"/>
      <c r="BB809" s="65"/>
      <c r="BC809" s="65"/>
      <c r="BD809" s="65"/>
      <c r="BE809" s="60"/>
      <c r="BG809" s="65"/>
      <c r="BH809" s="65"/>
      <c r="BI809" s="65"/>
      <c r="BJ809" s="65"/>
      <c r="BK809" s="65"/>
      <c r="BL809" s="65"/>
      <c r="BM809" s="65"/>
      <c r="BN809" s="65"/>
      <c r="BO809" s="65"/>
      <c r="BP809" s="65"/>
      <c r="BQ809" s="65"/>
      <c r="BR809" s="65"/>
      <c r="BS809" s="65"/>
      <c r="BT809" s="65"/>
      <c r="BU809" s="65"/>
      <c r="BV809" s="65"/>
    </row>
    <row r="810" spans="45:75" x14ac:dyDescent="0.25">
      <c r="AU810" s="54"/>
    </row>
    <row r="811" spans="45:75" x14ac:dyDescent="0.25">
      <c r="AU811" s="54"/>
      <c r="AZ811" s="65"/>
      <c r="BA811" s="60"/>
      <c r="BB811" s="65"/>
      <c r="BC811" s="65"/>
      <c r="BD811" s="65"/>
      <c r="BE811" s="60"/>
      <c r="BG811" s="65"/>
      <c r="BH811" s="65"/>
      <c r="BI811" s="65"/>
      <c r="BJ811" s="65"/>
      <c r="BK811" s="65"/>
      <c r="BL811" s="65"/>
      <c r="BM811" s="65"/>
      <c r="BN811" s="65"/>
      <c r="BO811" s="65"/>
      <c r="BP811" s="65"/>
      <c r="BQ811" s="65"/>
      <c r="BR811" s="65"/>
      <c r="BS811" s="65"/>
      <c r="BT811" s="65"/>
      <c r="BU811" s="65"/>
      <c r="BV811" s="65"/>
    </row>
    <row r="812" spans="45:75" x14ac:dyDescent="0.25">
      <c r="AS812" s="54"/>
      <c r="AZ812" s="65"/>
      <c r="BB812" s="65"/>
    </row>
    <row r="813" spans="45:75" x14ac:dyDescent="0.25">
      <c r="AY813" s="53"/>
      <c r="AZ813" s="65"/>
      <c r="BB813" s="65"/>
      <c r="BO813" s="65"/>
      <c r="BP813" s="65"/>
      <c r="BQ813" s="65"/>
      <c r="BR813" s="65"/>
      <c r="BS813" s="65"/>
      <c r="BT813" s="65"/>
      <c r="BU813" s="65"/>
      <c r="BV813" s="65"/>
    </row>
    <row r="814" spans="45:75" x14ac:dyDescent="0.25">
      <c r="AY814" s="65"/>
      <c r="AZ814" s="65"/>
      <c r="BB814" s="65"/>
      <c r="BO814" s="65"/>
      <c r="BP814" s="65"/>
      <c r="BQ814" s="65"/>
      <c r="BR814" s="65"/>
      <c r="BS814" s="65"/>
      <c r="BT814" s="65"/>
      <c r="BU814" s="65"/>
      <c r="BV814" s="65"/>
    </row>
    <row r="815" spans="45:75" x14ac:dyDescent="0.25">
      <c r="AY815" s="54"/>
      <c r="AZ815" s="65"/>
      <c r="BB815" s="65"/>
      <c r="BO815" s="65"/>
      <c r="BP815" s="65"/>
      <c r="BQ815" s="65"/>
      <c r="BR815" s="65"/>
      <c r="BS815" s="65"/>
      <c r="BT815" s="65"/>
      <c r="BU815" s="65"/>
      <c r="BV815" s="65"/>
    </row>
    <row r="816" spans="45:75" x14ac:dyDescent="0.25">
      <c r="AY816" s="54"/>
      <c r="AZ816" s="65"/>
      <c r="BB816" s="65"/>
      <c r="BO816" s="65"/>
      <c r="BP816" s="65"/>
      <c r="BQ816" s="65"/>
      <c r="BR816" s="65"/>
      <c r="BS816" s="65"/>
      <c r="BT816" s="65"/>
      <c r="BU816" s="65"/>
      <c r="BV816" s="65"/>
    </row>
    <row r="817" spans="45:74" x14ac:dyDescent="0.25">
      <c r="AS817" s="53"/>
      <c r="AZ817" s="65"/>
      <c r="BB817" s="65"/>
      <c r="BD817" s="54"/>
      <c r="BO817" s="65"/>
      <c r="BP817" s="65"/>
      <c r="BQ817" s="65"/>
      <c r="BR817" s="65"/>
      <c r="BS817" s="65"/>
      <c r="BT817" s="65"/>
      <c r="BU817" s="65"/>
      <c r="BV817" s="65"/>
    </row>
    <row r="818" spans="45:74" x14ac:dyDescent="0.25">
      <c r="AS818" s="53"/>
      <c r="AZ818" s="65"/>
      <c r="BB818" s="65"/>
      <c r="BD818" s="54"/>
      <c r="BO818" s="65"/>
      <c r="BP818" s="65"/>
      <c r="BQ818" s="65"/>
      <c r="BR818" s="65"/>
      <c r="BS818" s="65"/>
      <c r="BT818" s="65"/>
      <c r="BU818" s="65"/>
      <c r="BV818" s="65"/>
    </row>
    <row r="819" spans="45:74" x14ac:dyDescent="0.25">
      <c r="AS819" s="54"/>
      <c r="AZ819" s="65"/>
      <c r="BB819" s="65"/>
      <c r="BD819" s="54"/>
      <c r="BO819" s="65"/>
      <c r="BP819" s="65"/>
      <c r="BQ819" s="65"/>
      <c r="BR819" s="65"/>
      <c r="BS819" s="65"/>
      <c r="BT819" s="65"/>
      <c r="BU819" s="65"/>
      <c r="BV819" s="65"/>
    </row>
    <row r="820" spans="45:74" x14ac:dyDescent="0.25">
      <c r="AZ820" s="65"/>
      <c r="BB820" s="65"/>
      <c r="BD820" s="53"/>
      <c r="BO820" s="65"/>
      <c r="BP820" s="65"/>
      <c r="BQ820" s="65"/>
      <c r="BR820" s="65"/>
      <c r="BS820" s="65"/>
      <c r="BT820" s="65"/>
      <c r="BU820" s="65"/>
      <c r="BV820" s="65"/>
    </row>
    <row r="821" spans="45:74" x14ac:dyDescent="0.25">
      <c r="AS821" s="55"/>
      <c r="AT821" s="55"/>
      <c r="AU821" s="55"/>
      <c r="AV821" s="55"/>
      <c r="AW821" s="55"/>
      <c r="AX821" s="55"/>
      <c r="AY821" s="55"/>
      <c r="AZ821" s="66"/>
      <c r="BA821" s="55"/>
      <c r="BB821" s="66"/>
      <c r="BC821" s="55"/>
      <c r="BD821" s="55"/>
      <c r="BE821" s="55"/>
      <c r="BO821" s="65"/>
      <c r="BP821" s="65"/>
      <c r="BQ821" s="65"/>
      <c r="BR821" s="65"/>
      <c r="BS821" s="65"/>
      <c r="BT821" s="65"/>
      <c r="BU821" s="65"/>
      <c r="BV821" s="65"/>
    </row>
    <row r="822" spans="45:74" x14ac:dyDescent="0.25">
      <c r="AX822" s="54"/>
      <c r="AZ822" s="65"/>
      <c r="BB822" s="65"/>
      <c r="BO822" s="65"/>
      <c r="BP822" s="65"/>
      <c r="BQ822" s="65"/>
      <c r="BR822" s="65"/>
      <c r="BS822" s="65"/>
      <c r="BT822" s="65"/>
      <c r="BU822" s="65"/>
      <c r="BV822" s="65"/>
    </row>
    <row r="823" spans="45:74" x14ac:dyDescent="0.25">
      <c r="AX823" s="55"/>
      <c r="AY823" s="55"/>
      <c r="AZ823" s="66"/>
      <c r="BA823" s="55"/>
      <c r="BB823" s="65"/>
      <c r="BC823" s="56"/>
      <c r="BD823" s="56"/>
      <c r="BO823" s="65"/>
      <c r="BP823" s="65"/>
      <c r="BQ823" s="65"/>
      <c r="BR823" s="65"/>
      <c r="BS823" s="65"/>
      <c r="BT823" s="65"/>
      <c r="BU823" s="65"/>
      <c r="BV823" s="65"/>
    </row>
    <row r="824" spans="45:74" x14ac:dyDescent="0.25">
      <c r="AV824" s="56"/>
      <c r="AW824" s="56"/>
      <c r="AZ824" s="67"/>
      <c r="BA824" s="56"/>
      <c r="BB824" s="65"/>
      <c r="BC824" s="56"/>
      <c r="BD824" s="56"/>
      <c r="BE824" s="56"/>
      <c r="BG824" s="55"/>
      <c r="BH824" s="54"/>
      <c r="BK824" s="55"/>
      <c r="BM824" s="55"/>
      <c r="BN824" s="54"/>
      <c r="BQ824" s="55"/>
    </row>
    <row r="825" spans="45:74" x14ac:dyDescent="0.25">
      <c r="AV825" s="56"/>
      <c r="AW825" s="56"/>
      <c r="AX825" s="56"/>
      <c r="AY825" s="56"/>
      <c r="AZ825" s="67"/>
      <c r="BA825" s="56"/>
      <c r="BB825" s="67"/>
      <c r="BC825" s="56"/>
      <c r="BD825" s="56"/>
      <c r="BE825" s="56"/>
      <c r="BH825" s="56"/>
      <c r="BI825" s="56"/>
      <c r="BN825" s="56"/>
      <c r="BO825" s="56"/>
    </row>
    <row r="826" spans="45:74" x14ac:dyDescent="0.25">
      <c r="AS826" s="56"/>
      <c r="AU826" s="54"/>
      <c r="AV826" s="56"/>
      <c r="AW826" s="56"/>
      <c r="AX826" s="56"/>
      <c r="AY826" s="56"/>
      <c r="AZ826" s="67"/>
      <c r="BA826" s="56"/>
      <c r="BB826" s="67"/>
      <c r="BC826" s="56"/>
      <c r="BD826" s="56"/>
      <c r="BE826" s="56"/>
      <c r="BG826" s="56"/>
      <c r="BH826" s="56"/>
      <c r="BI826" s="56"/>
      <c r="BJ826" s="56"/>
      <c r="BK826" s="56"/>
      <c r="BM826" s="56"/>
      <c r="BN826" s="56"/>
      <c r="BO826" s="56"/>
      <c r="BP826" s="56"/>
      <c r="BQ826" s="56"/>
    </row>
    <row r="827" spans="45:74" x14ac:dyDescent="0.25">
      <c r="AS827" s="56"/>
      <c r="AU827" s="54"/>
      <c r="AV827" s="56"/>
      <c r="AW827" s="56"/>
      <c r="AX827" s="56"/>
      <c r="AY827" s="56"/>
      <c r="AZ827" s="67"/>
      <c r="BA827" s="56"/>
      <c r="BB827" s="67"/>
      <c r="BC827" s="56"/>
      <c r="BD827" s="56"/>
      <c r="BE827" s="56"/>
      <c r="BG827" s="56"/>
      <c r="BH827" s="56"/>
      <c r="BI827" s="56"/>
      <c r="BJ827" s="56"/>
      <c r="BK827" s="56"/>
      <c r="BM827" s="56"/>
      <c r="BN827" s="56"/>
      <c r="BO827" s="56"/>
      <c r="BP827" s="56"/>
      <c r="BQ827" s="56"/>
    </row>
    <row r="828" spans="45:74" x14ac:dyDescent="0.25">
      <c r="AS828" s="55"/>
      <c r="AT828" s="55"/>
      <c r="AU828" s="55"/>
      <c r="AV828" s="55"/>
      <c r="AW828" s="55"/>
      <c r="AX828" s="55"/>
      <c r="AY828" s="55"/>
      <c r="AZ828" s="66"/>
      <c r="BA828" s="55"/>
      <c r="BB828" s="66"/>
      <c r="BC828" s="55"/>
      <c r="BD828" s="55"/>
      <c r="BE828" s="55"/>
      <c r="BG828" s="55"/>
      <c r="BH828" s="55"/>
      <c r="BI828" s="55"/>
      <c r="BJ828" s="55"/>
      <c r="BK828" s="55"/>
      <c r="BM828" s="55"/>
      <c r="BN828" s="55"/>
      <c r="BO828" s="55"/>
      <c r="BP828" s="55"/>
      <c r="BQ828" s="55"/>
    </row>
    <row r="829" spans="45:74" x14ac:dyDescent="0.25">
      <c r="AV829" s="56"/>
      <c r="AW829" s="56"/>
      <c r="AX829" s="56"/>
      <c r="AY829" s="56"/>
      <c r="AZ829" s="67"/>
      <c r="BA829" s="56"/>
      <c r="BB829" s="67"/>
      <c r="BC829" s="56"/>
      <c r="BD829" s="56"/>
      <c r="BE829" s="56"/>
      <c r="BG829" s="65"/>
      <c r="BH829" s="65"/>
      <c r="BI829" s="65"/>
      <c r="BJ829" s="65"/>
      <c r="BK829" s="65"/>
      <c r="BL829" s="65"/>
      <c r="BM829" s="65"/>
      <c r="BN829" s="65"/>
      <c r="BO829" s="65"/>
      <c r="BP829" s="65"/>
      <c r="BQ829" s="65"/>
    </row>
    <row r="830" spans="45:74" x14ac:dyDescent="0.25">
      <c r="AS830" s="53"/>
      <c r="AT830" s="54"/>
      <c r="AV830" s="379"/>
      <c r="AW830" s="379"/>
      <c r="AX830" s="65"/>
      <c r="AY830" s="65"/>
      <c r="AZ830" s="65"/>
      <c r="BA830" s="60"/>
      <c r="BB830" s="65"/>
      <c r="BC830" s="65"/>
      <c r="BD830" s="65"/>
      <c r="BE830" s="60"/>
      <c r="BG830" s="65"/>
      <c r="BH830" s="65"/>
      <c r="BI830" s="65"/>
      <c r="BJ830" s="65"/>
      <c r="BK830" s="65"/>
      <c r="BL830" s="65"/>
      <c r="BM830" s="65"/>
      <c r="BN830" s="65"/>
      <c r="BO830" s="65"/>
      <c r="BP830" s="65"/>
      <c r="BQ830" s="65"/>
      <c r="BR830" s="65"/>
      <c r="BS830" s="65"/>
    </row>
    <row r="831" spans="45:74" x14ac:dyDescent="0.25">
      <c r="AS831" s="53"/>
      <c r="AV831" s="379"/>
      <c r="AW831" s="379"/>
      <c r="AX831" s="65"/>
      <c r="AY831" s="65"/>
      <c r="AZ831" s="65"/>
      <c r="BA831" s="60"/>
      <c r="BB831" s="65"/>
      <c r="BC831" s="65"/>
      <c r="BD831" s="65"/>
      <c r="BE831" s="60"/>
      <c r="BG831" s="65"/>
      <c r="BH831" s="65"/>
      <c r="BI831" s="65"/>
      <c r="BJ831" s="65"/>
      <c r="BK831" s="65"/>
      <c r="BL831" s="65"/>
      <c r="BM831" s="65"/>
      <c r="BN831" s="65"/>
      <c r="BO831" s="65"/>
      <c r="BP831" s="65"/>
      <c r="BQ831" s="65"/>
      <c r="BR831" s="65"/>
      <c r="BS831" s="65"/>
    </row>
    <row r="832" spans="45:74" x14ac:dyDescent="0.25">
      <c r="AS832" s="53"/>
      <c r="AV832" s="379"/>
      <c r="AW832" s="379"/>
      <c r="AX832" s="65"/>
      <c r="AY832" s="65"/>
      <c r="AZ832" s="65"/>
      <c r="BA832" s="60"/>
      <c r="BB832" s="65"/>
      <c r="BC832" s="65"/>
      <c r="BD832" s="65"/>
      <c r="BE832" s="60"/>
      <c r="BG832" s="65"/>
      <c r="BH832" s="65"/>
      <c r="BI832" s="65"/>
      <c r="BJ832" s="65"/>
      <c r="BK832" s="65"/>
      <c r="BL832" s="65"/>
      <c r="BM832" s="65"/>
      <c r="BN832" s="65"/>
      <c r="BO832" s="65"/>
      <c r="BP832" s="65"/>
      <c r="BQ832" s="65"/>
      <c r="BR832" s="65"/>
      <c r="BS832" s="65"/>
    </row>
    <row r="833" spans="45:71" x14ac:dyDescent="0.25">
      <c r="AS833" s="53"/>
      <c r="AV833" s="379"/>
      <c r="AW833" s="379"/>
      <c r="AX833" s="65"/>
      <c r="AY833" s="65"/>
      <c r="AZ833" s="65"/>
      <c r="BA833" s="60"/>
      <c r="BB833" s="65"/>
      <c r="BC833" s="65"/>
      <c r="BD833" s="65"/>
      <c r="BE833" s="60"/>
      <c r="BG833" s="65"/>
      <c r="BH833" s="65"/>
      <c r="BI833" s="65"/>
      <c r="BJ833" s="65"/>
      <c r="BK833" s="65"/>
      <c r="BL833" s="65"/>
      <c r="BM833" s="65"/>
      <c r="BN833" s="65"/>
      <c r="BO833" s="65"/>
      <c r="BP833" s="65"/>
      <c r="BQ833" s="65"/>
      <c r="BR833" s="65"/>
      <c r="BS833" s="65"/>
    </row>
    <row r="834" spans="45:71" x14ac:dyDescent="0.25">
      <c r="AS834" s="53"/>
      <c r="AV834" s="379"/>
      <c r="AW834" s="379"/>
      <c r="AX834" s="65"/>
      <c r="AY834" s="65"/>
      <c r="AZ834" s="65"/>
      <c r="BA834" s="60"/>
      <c r="BB834" s="65"/>
      <c r="BC834" s="65"/>
      <c r="BD834" s="65"/>
      <c r="BE834" s="60"/>
      <c r="BG834" s="65"/>
      <c r="BH834" s="65"/>
      <c r="BI834" s="65"/>
      <c r="BJ834" s="65"/>
      <c r="BK834" s="65"/>
      <c r="BL834" s="65"/>
      <c r="BM834" s="65"/>
      <c r="BN834" s="65"/>
      <c r="BO834" s="65"/>
      <c r="BP834" s="65"/>
      <c r="BQ834" s="65"/>
      <c r="BR834" s="65"/>
      <c r="BS834" s="65"/>
    </row>
    <row r="835" spans="45:71" x14ac:dyDescent="0.25">
      <c r="AS835" s="53"/>
      <c r="AV835" s="379"/>
      <c r="AW835" s="379"/>
      <c r="AX835" s="65"/>
      <c r="AY835" s="65"/>
      <c r="AZ835" s="65"/>
      <c r="BA835" s="60"/>
      <c r="BB835" s="65"/>
      <c r="BC835" s="65"/>
      <c r="BD835" s="65"/>
      <c r="BE835" s="60"/>
      <c r="BG835" s="65"/>
      <c r="BH835" s="65"/>
      <c r="BI835" s="65"/>
      <c r="BJ835" s="65"/>
      <c r="BK835" s="65"/>
      <c r="BL835" s="65"/>
      <c r="BM835" s="65"/>
      <c r="BN835" s="65"/>
      <c r="BO835" s="65"/>
      <c r="BP835" s="65"/>
      <c r="BQ835" s="65"/>
      <c r="BR835" s="65"/>
      <c r="BS835" s="65"/>
    </row>
    <row r="836" spans="45:71" x14ac:dyDescent="0.25">
      <c r="AS836" s="53"/>
      <c r="AV836" s="379"/>
      <c r="AW836" s="379"/>
      <c r="AX836" s="65"/>
      <c r="AY836" s="65"/>
      <c r="AZ836" s="65"/>
      <c r="BA836" s="60"/>
      <c r="BB836" s="65"/>
      <c r="BC836" s="65"/>
      <c r="BD836" s="65"/>
      <c r="BE836" s="60"/>
      <c r="BG836" s="65"/>
      <c r="BH836" s="65"/>
      <c r="BI836" s="65"/>
      <c r="BJ836" s="65"/>
      <c r="BK836" s="65"/>
      <c r="BL836" s="65"/>
      <c r="BM836" s="65"/>
      <c r="BN836" s="65"/>
      <c r="BO836" s="65"/>
      <c r="BP836" s="65"/>
      <c r="BQ836" s="65"/>
      <c r="BR836" s="65"/>
      <c r="BS836" s="65"/>
    </row>
    <row r="837" spans="45:71" x14ac:dyDescent="0.25">
      <c r="AS837" s="53"/>
      <c r="AV837" s="379"/>
      <c r="AW837" s="379"/>
      <c r="AX837" s="65"/>
      <c r="AY837" s="65"/>
      <c r="AZ837" s="65"/>
      <c r="BA837" s="60"/>
      <c r="BB837" s="65"/>
      <c r="BC837" s="65"/>
      <c r="BD837" s="65"/>
      <c r="BE837" s="60"/>
      <c r="BG837" s="65"/>
      <c r="BH837" s="65"/>
      <c r="BI837" s="65"/>
      <c r="BJ837" s="65"/>
      <c r="BK837" s="65"/>
      <c r="BL837" s="65"/>
      <c r="BM837" s="65"/>
      <c r="BN837" s="65"/>
      <c r="BO837" s="65"/>
      <c r="BP837" s="65"/>
      <c r="BQ837" s="65"/>
      <c r="BR837" s="65"/>
      <c r="BS837" s="65"/>
    </row>
    <row r="838" spans="45:71" x14ac:dyDescent="0.25">
      <c r="AS838" s="53"/>
      <c r="AV838" s="379"/>
      <c r="AW838" s="379"/>
      <c r="AX838" s="65"/>
      <c r="AY838" s="65"/>
      <c r="AZ838" s="65"/>
      <c r="BA838" s="60"/>
      <c r="BB838" s="65"/>
      <c r="BC838" s="65"/>
      <c r="BD838" s="65"/>
      <c r="BE838" s="60"/>
      <c r="BG838" s="65"/>
      <c r="BH838" s="65"/>
      <c r="BI838" s="65"/>
      <c r="BJ838" s="65"/>
      <c r="BK838" s="65"/>
      <c r="BL838" s="65"/>
      <c r="BM838" s="65"/>
      <c r="BN838" s="65"/>
      <c r="BO838" s="65"/>
      <c r="BP838" s="65"/>
      <c r="BQ838" s="65"/>
      <c r="BR838" s="65"/>
      <c r="BS838" s="65"/>
    </row>
    <row r="839" spans="45:71" x14ac:dyDescent="0.25">
      <c r="AS839" s="53"/>
      <c r="AV839" s="379"/>
      <c r="AW839" s="379"/>
      <c r="AX839" s="65"/>
      <c r="AY839" s="65"/>
      <c r="AZ839" s="65"/>
      <c r="BA839" s="60"/>
      <c r="BB839" s="65"/>
      <c r="BC839" s="65"/>
      <c r="BD839" s="65"/>
      <c r="BE839" s="60"/>
      <c r="BG839" s="65"/>
      <c r="BH839" s="65"/>
      <c r="BI839" s="65"/>
      <c r="BJ839" s="65"/>
      <c r="BK839" s="65"/>
      <c r="BL839" s="65"/>
      <c r="BM839" s="65"/>
      <c r="BN839" s="65"/>
      <c r="BO839" s="65"/>
      <c r="BP839" s="65"/>
      <c r="BQ839" s="65"/>
      <c r="BR839" s="65"/>
      <c r="BS839" s="65"/>
    </row>
    <row r="840" spans="45:71" x14ac:dyDescent="0.25">
      <c r="AS840" s="53"/>
      <c r="AV840" s="379"/>
      <c r="AW840" s="379"/>
      <c r="AX840" s="65"/>
      <c r="AY840" s="65"/>
      <c r="AZ840" s="65"/>
      <c r="BA840" s="60"/>
      <c r="BB840" s="65"/>
      <c r="BC840" s="65"/>
      <c r="BD840" s="65"/>
      <c r="BE840" s="60"/>
      <c r="BG840" s="65"/>
      <c r="BH840" s="65"/>
      <c r="BI840" s="65"/>
      <c r="BJ840" s="65"/>
      <c r="BK840" s="65"/>
      <c r="BL840" s="65"/>
      <c r="BM840" s="65"/>
      <c r="BN840" s="65"/>
      <c r="BO840" s="65"/>
      <c r="BP840" s="65"/>
      <c r="BQ840" s="65"/>
      <c r="BR840" s="65"/>
      <c r="BS840" s="65"/>
    </row>
    <row r="841" spans="45:71" x14ac:dyDescent="0.25">
      <c r="AS841" s="53"/>
      <c r="AV841" s="379"/>
      <c r="AW841" s="379"/>
      <c r="AX841" s="65"/>
      <c r="AY841" s="65"/>
      <c r="AZ841" s="65"/>
      <c r="BA841" s="60"/>
      <c r="BB841" s="65"/>
      <c r="BC841" s="65"/>
      <c r="BD841" s="65"/>
      <c r="BE841" s="60"/>
      <c r="BG841" s="65"/>
      <c r="BH841" s="65"/>
      <c r="BI841" s="65"/>
      <c r="BJ841" s="65"/>
      <c r="BK841" s="65"/>
      <c r="BL841" s="65"/>
      <c r="BM841" s="65"/>
      <c r="BN841" s="65"/>
      <c r="BO841" s="65"/>
      <c r="BP841" s="65"/>
      <c r="BQ841" s="65"/>
      <c r="BR841" s="65"/>
      <c r="BS841" s="65"/>
    </row>
    <row r="842" spans="45:71" x14ac:dyDescent="0.25">
      <c r="AS842" s="53"/>
      <c r="AV842" s="379"/>
      <c r="AW842" s="379"/>
      <c r="AX842" s="65"/>
      <c r="AY842" s="65"/>
      <c r="AZ842" s="65"/>
      <c r="BA842" s="60"/>
      <c r="BB842" s="65"/>
      <c r="BC842" s="65"/>
      <c r="BD842" s="65"/>
      <c r="BE842" s="60"/>
      <c r="BG842" s="65"/>
      <c r="BH842" s="65"/>
      <c r="BI842" s="65"/>
      <c r="BJ842" s="65"/>
      <c r="BK842" s="65"/>
      <c r="BL842" s="65"/>
      <c r="BM842" s="65"/>
      <c r="BN842" s="65"/>
      <c r="BO842" s="65"/>
      <c r="BP842" s="65"/>
      <c r="BQ842" s="65"/>
      <c r="BR842" s="65"/>
      <c r="BS842" s="65"/>
    </row>
    <row r="843" spans="45:71" x14ac:dyDescent="0.25">
      <c r="AS843" s="53"/>
      <c r="AV843" s="379"/>
      <c r="AW843" s="379"/>
      <c r="AX843" s="65"/>
      <c r="AY843" s="65"/>
      <c r="AZ843" s="65"/>
      <c r="BA843" s="60"/>
      <c r="BB843" s="65"/>
      <c r="BC843" s="65"/>
      <c r="BD843" s="65"/>
      <c r="BE843" s="60"/>
      <c r="BG843" s="65"/>
      <c r="BH843" s="65"/>
      <c r="BI843" s="65"/>
      <c r="BJ843" s="65"/>
      <c r="BK843" s="65"/>
      <c r="BL843" s="65"/>
      <c r="BM843" s="65"/>
      <c r="BN843" s="65"/>
      <c r="BO843" s="65"/>
      <c r="BP843" s="65"/>
      <c r="BQ843" s="65"/>
      <c r="BR843" s="65"/>
      <c r="BS843" s="65"/>
    </row>
    <row r="844" spans="45:71" x14ac:dyDescent="0.25">
      <c r="AS844" s="53"/>
      <c r="AV844" s="379"/>
      <c r="AW844" s="379"/>
      <c r="AX844" s="65"/>
      <c r="AY844" s="65"/>
      <c r="AZ844" s="65"/>
      <c r="BA844" s="60"/>
      <c r="BB844" s="65"/>
      <c r="BC844" s="65"/>
      <c r="BD844" s="65"/>
      <c r="BE844" s="60"/>
      <c r="BG844" s="65"/>
      <c r="BH844" s="65"/>
      <c r="BI844" s="65"/>
      <c r="BJ844" s="65"/>
      <c r="BK844" s="65"/>
      <c r="BL844" s="65"/>
      <c r="BM844" s="65"/>
      <c r="BN844" s="65"/>
      <c r="BO844" s="65"/>
      <c r="BP844" s="65"/>
      <c r="BQ844" s="65"/>
      <c r="BR844" s="65"/>
      <c r="BS844" s="65"/>
    </row>
    <row r="845" spans="45:71" x14ac:dyDescent="0.25">
      <c r="AS845" s="53"/>
      <c r="AV845" s="379"/>
      <c r="AW845" s="379"/>
      <c r="AX845" s="65"/>
      <c r="AY845" s="65"/>
      <c r="AZ845" s="65"/>
      <c r="BA845" s="60"/>
      <c r="BB845" s="65"/>
      <c r="BC845" s="65"/>
      <c r="BD845" s="65"/>
      <c r="BE845" s="60"/>
      <c r="BG845" s="65"/>
      <c r="BH845" s="65"/>
      <c r="BI845" s="65"/>
      <c r="BJ845" s="65"/>
      <c r="BK845" s="65"/>
      <c r="BL845" s="65"/>
      <c r="BM845" s="65"/>
      <c r="BN845" s="65"/>
      <c r="BO845" s="65"/>
      <c r="BP845" s="65"/>
      <c r="BQ845" s="65"/>
      <c r="BR845" s="65"/>
      <c r="BS845" s="65"/>
    </row>
    <row r="846" spans="45:71" x14ac:dyDescent="0.25">
      <c r="AS846" s="53"/>
      <c r="AV846" s="379"/>
      <c r="AW846" s="379"/>
      <c r="AX846" s="65"/>
      <c r="AY846" s="65"/>
      <c r="AZ846" s="65"/>
      <c r="BA846" s="60"/>
      <c r="BB846" s="65"/>
      <c r="BC846" s="65"/>
      <c r="BD846" s="65"/>
      <c r="BE846" s="60"/>
      <c r="BG846" s="65"/>
      <c r="BH846" s="65"/>
      <c r="BI846" s="65"/>
      <c r="BJ846" s="65"/>
      <c r="BK846" s="65"/>
      <c r="BL846" s="65"/>
      <c r="BM846" s="65"/>
      <c r="BN846" s="65"/>
      <c r="BO846" s="65"/>
      <c r="BP846" s="65"/>
      <c r="BQ846" s="65"/>
      <c r="BR846" s="65"/>
      <c r="BS846" s="65"/>
    </row>
    <row r="847" spans="45:71" x14ac:dyDescent="0.25">
      <c r="AS847" s="53"/>
      <c r="AV847" s="379"/>
      <c r="AW847" s="379"/>
      <c r="AX847" s="65"/>
      <c r="AY847" s="65"/>
      <c r="AZ847" s="65"/>
      <c r="BA847" s="60"/>
      <c r="BB847" s="65"/>
      <c r="BC847" s="65"/>
      <c r="BD847" s="65"/>
      <c r="BE847" s="60"/>
      <c r="BG847" s="65"/>
      <c r="BH847" s="65"/>
      <c r="BI847" s="65"/>
      <c r="BJ847" s="65"/>
      <c r="BK847" s="65"/>
      <c r="BL847" s="65"/>
      <c r="BM847" s="65"/>
      <c r="BN847" s="65"/>
      <c r="BO847" s="65"/>
      <c r="BP847" s="65"/>
      <c r="BQ847" s="65"/>
      <c r="BR847" s="65"/>
      <c r="BS847" s="65"/>
    </row>
    <row r="848" spans="45:71" x14ac:dyDescent="0.25">
      <c r="AZ848" s="65"/>
      <c r="BB848" s="65"/>
      <c r="BC848" s="65"/>
      <c r="BD848" s="65"/>
      <c r="BG848" s="65"/>
      <c r="BH848" s="65"/>
      <c r="BI848" s="65"/>
      <c r="BJ848" s="65"/>
      <c r="BK848" s="65"/>
      <c r="BL848" s="65"/>
      <c r="BM848" s="65"/>
      <c r="BN848" s="65"/>
      <c r="BO848" s="65"/>
      <c r="BP848" s="65"/>
      <c r="BQ848" s="65"/>
      <c r="BR848" s="65"/>
      <c r="BS848" s="65"/>
    </row>
    <row r="849" spans="45:57" x14ac:dyDescent="0.25">
      <c r="AS849" s="53"/>
      <c r="AT849" s="54"/>
      <c r="AV849" s="379"/>
      <c r="AW849" s="379"/>
      <c r="AX849" s="65"/>
      <c r="AY849" s="65"/>
      <c r="AZ849" s="65"/>
      <c r="BA849" s="60"/>
      <c r="BB849" s="65"/>
      <c r="BC849" s="65"/>
      <c r="BD849" s="65"/>
      <c r="BE849" s="60"/>
    </row>
    <row r="850" spans="45:57" x14ac:dyDescent="0.25">
      <c r="AS850" s="53"/>
      <c r="AV850" s="379"/>
      <c r="AW850" s="379"/>
      <c r="AX850" s="65"/>
      <c r="AY850" s="65"/>
      <c r="AZ850" s="65"/>
      <c r="BA850" s="60"/>
      <c r="BB850" s="65"/>
      <c r="BC850" s="65"/>
      <c r="BD850" s="65"/>
      <c r="BE850" s="60"/>
    </row>
    <row r="851" spans="45:57" x14ac:dyDescent="0.25">
      <c r="AS851" s="53"/>
      <c r="AV851" s="379"/>
      <c r="AW851" s="379"/>
      <c r="AX851" s="65"/>
      <c r="AY851" s="65"/>
      <c r="AZ851" s="65"/>
      <c r="BA851" s="60"/>
      <c r="BB851" s="65"/>
      <c r="BC851" s="65"/>
      <c r="BD851" s="65"/>
      <c r="BE851" s="60"/>
    </row>
    <row r="852" spans="45:57" x14ac:dyDescent="0.25">
      <c r="AS852" s="53"/>
      <c r="AV852" s="379"/>
      <c r="AW852" s="379"/>
      <c r="AX852" s="65"/>
      <c r="AY852" s="65"/>
      <c r="AZ852" s="65"/>
      <c r="BA852" s="60"/>
      <c r="BB852" s="65"/>
      <c r="BC852" s="65"/>
      <c r="BD852" s="65"/>
      <c r="BE852" s="60"/>
    </row>
    <row r="853" spans="45:57" x14ac:dyDescent="0.25">
      <c r="AS853" s="53"/>
      <c r="AV853" s="379"/>
      <c r="AW853" s="379"/>
      <c r="AX853" s="65"/>
      <c r="AY853" s="65"/>
      <c r="AZ853" s="65"/>
      <c r="BA853" s="60"/>
      <c r="BB853" s="65"/>
      <c r="BC853" s="65"/>
      <c r="BD853" s="65"/>
      <c r="BE853" s="60"/>
    </row>
    <row r="854" spans="45:57" x14ac:dyDescent="0.25">
      <c r="AS854" s="53"/>
      <c r="AV854" s="379"/>
      <c r="AW854" s="379"/>
      <c r="AX854" s="65"/>
      <c r="AY854" s="65"/>
      <c r="AZ854" s="65"/>
      <c r="BA854" s="60"/>
      <c r="BB854" s="65"/>
      <c r="BC854" s="65"/>
      <c r="BD854" s="65"/>
      <c r="BE854" s="60"/>
    </row>
    <row r="855" spans="45:57" x14ac:dyDescent="0.25">
      <c r="AS855" s="53"/>
      <c r="AV855" s="379"/>
      <c r="AW855" s="379"/>
      <c r="AX855" s="65"/>
      <c r="AY855" s="65"/>
      <c r="AZ855" s="65"/>
      <c r="BA855" s="60"/>
      <c r="BB855" s="65"/>
      <c r="BC855" s="65"/>
      <c r="BD855" s="65"/>
      <c r="BE855" s="60"/>
    </row>
    <row r="856" spans="45:57" x14ac:dyDescent="0.25">
      <c r="AS856" s="53"/>
      <c r="AV856" s="379"/>
      <c r="AW856" s="379"/>
      <c r="AX856" s="65"/>
      <c r="AY856" s="65"/>
      <c r="AZ856" s="65"/>
      <c r="BA856" s="60"/>
      <c r="BB856" s="65"/>
      <c r="BC856" s="65"/>
      <c r="BD856" s="65"/>
      <c r="BE856" s="60"/>
    </row>
    <row r="857" spans="45:57" x14ac:dyDescent="0.25">
      <c r="AS857" s="53"/>
      <c r="AV857" s="379"/>
      <c r="AW857" s="379"/>
      <c r="AX857" s="65"/>
      <c r="AY857" s="65"/>
      <c r="AZ857" s="65"/>
      <c r="BA857" s="60"/>
      <c r="BB857" s="65"/>
      <c r="BC857" s="65"/>
      <c r="BD857" s="65"/>
      <c r="BE857" s="60"/>
    </row>
    <row r="858" spans="45:57" x14ac:dyDescent="0.25">
      <c r="AS858" s="53"/>
      <c r="AV858" s="379"/>
      <c r="AW858" s="379"/>
      <c r="AX858" s="65"/>
      <c r="AY858" s="65"/>
      <c r="AZ858" s="65"/>
      <c r="BA858" s="60"/>
      <c r="BB858" s="65"/>
      <c r="BC858" s="65"/>
      <c r="BD858" s="65"/>
      <c r="BE858" s="60"/>
    </row>
    <row r="859" spans="45:57" x14ac:dyDescent="0.25">
      <c r="AS859" s="53"/>
      <c r="AV859" s="379"/>
      <c r="AW859" s="379"/>
      <c r="AX859" s="65"/>
      <c r="AY859" s="65"/>
      <c r="AZ859" s="65"/>
      <c r="BA859" s="60"/>
      <c r="BB859" s="65"/>
      <c r="BC859" s="65"/>
      <c r="BD859" s="65"/>
      <c r="BE859" s="60"/>
    </row>
    <row r="860" spans="45:57" x14ac:dyDescent="0.25">
      <c r="AS860" s="53"/>
      <c r="AV860" s="379"/>
      <c r="AW860" s="379"/>
      <c r="AX860" s="65"/>
      <c r="AY860" s="65"/>
      <c r="AZ860" s="65"/>
      <c r="BA860" s="60"/>
      <c r="BB860" s="65"/>
      <c r="BC860" s="65"/>
      <c r="BD860" s="65"/>
      <c r="BE860" s="60"/>
    </row>
    <row r="861" spans="45:57" x14ac:dyDescent="0.25">
      <c r="AS861" s="53"/>
      <c r="AV861" s="379"/>
      <c r="AW861" s="379"/>
      <c r="AX861" s="65"/>
      <c r="AY861" s="65"/>
      <c r="AZ861" s="65"/>
      <c r="BA861" s="60"/>
      <c r="BB861" s="65"/>
      <c r="BC861" s="65"/>
      <c r="BD861" s="65"/>
      <c r="BE861" s="60"/>
    </row>
    <row r="862" spans="45:57" x14ac:dyDescent="0.25">
      <c r="AS862" s="53"/>
      <c r="AV862" s="379"/>
      <c r="AW862" s="379"/>
      <c r="AX862" s="65"/>
      <c r="AY862" s="65"/>
      <c r="AZ862" s="65"/>
      <c r="BA862" s="60"/>
      <c r="BB862" s="65"/>
      <c r="BC862" s="65"/>
      <c r="BD862" s="65"/>
      <c r="BE862" s="60"/>
    </row>
    <row r="863" spans="45:57" x14ac:dyDescent="0.25">
      <c r="AS863" s="53"/>
      <c r="AV863" s="379"/>
      <c r="AW863" s="379"/>
      <c r="AX863" s="65"/>
      <c r="AY863" s="65"/>
      <c r="AZ863" s="65"/>
      <c r="BA863" s="60"/>
      <c r="BB863" s="65"/>
      <c r="BC863" s="65"/>
      <c r="BD863" s="65"/>
      <c r="BE863" s="60"/>
    </row>
    <row r="864" spans="45:57" x14ac:dyDescent="0.25">
      <c r="AS864" s="53"/>
      <c r="AV864" s="379"/>
      <c r="AW864" s="379"/>
      <c r="AX864" s="65"/>
      <c r="AY864" s="65"/>
      <c r="AZ864" s="65"/>
      <c r="BA864" s="60"/>
      <c r="BB864" s="65"/>
      <c r="BC864" s="65"/>
      <c r="BD864" s="65"/>
      <c r="BE864" s="60"/>
    </row>
    <row r="865" spans="45:57" x14ac:dyDescent="0.25">
      <c r="AS865" s="53"/>
      <c r="AV865" s="379"/>
      <c r="AW865" s="379"/>
      <c r="AX865" s="65"/>
      <c r="AY865" s="65"/>
      <c r="AZ865" s="65"/>
      <c r="BA865" s="60"/>
      <c r="BB865" s="65"/>
      <c r="BC865" s="65"/>
      <c r="BD865" s="65"/>
      <c r="BE865" s="60"/>
    </row>
    <row r="866" spans="45:57" x14ac:dyDescent="0.25">
      <c r="AS866" s="53"/>
      <c r="AV866" s="379"/>
      <c r="AW866" s="379"/>
      <c r="AX866" s="65"/>
      <c r="AY866" s="65"/>
      <c r="AZ866" s="65"/>
      <c r="BA866" s="60"/>
      <c r="BB866" s="65"/>
      <c r="BC866" s="65"/>
      <c r="BD866" s="65"/>
      <c r="BE866" s="60"/>
    </row>
    <row r="867" spans="45:57" x14ac:dyDescent="0.25">
      <c r="BB867" s="65"/>
    </row>
    <row r="868" spans="45:57" x14ac:dyDescent="0.25">
      <c r="AU868" s="54"/>
      <c r="BB868" s="65"/>
    </row>
    <row r="869" spans="45:57" x14ac:dyDescent="0.25">
      <c r="AU869" s="54"/>
    </row>
    <row r="870" spans="45:57" x14ac:dyDescent="0.25">
      <c r="AU870" s="54"/>
      <c r="BB870" s="65"/>
    </row>
    <row r="871" spans="45:57" x14ac:dyDescent="0.25">
      <c r="AS871" s="54"/>
      <c r="AZ871" s="65"/>
      <c r="BB871" s="65"/>
    </row>
    <row r="872" spans="45:57" x14ac:dyDescent="0.25">
      <c r="AY872" s="53"/>
      <c r="AZ872" s="65"/>
      <c r="BB872" s="65"/>
    </row>
    <row r="873" spans="45:57" x14ac:dyDescent="0.25">
      <c r="AY873" s="65"/>
      <c r="AZ873" s="65"/>
      <c r="BB873" s="65"/>
    </row>
    <row r="874" spans="45:57" x14ac:dyDescent="0.25">
      <c r="AY874" s="54"/>
      <c r="AZ874" s="65"/>
      <c r="BB874" s="65"/>
    </row>
    <row r="875" spans="45:57" x14ac:dyDescent="0.25">
      <c r="AY875" s="54"/>
      <c r="AZ875" s="65"/>
      <c r="BB875" s="65"/>
    </row>
    <row r="876" spans="45:57" x14ac:dyDescent="0.25">
      <c r="AS876" s="53"/>
      <c r="AZ876" s="65"/>
      <c r="BB876" s="65"/>
      <c r="BD876" s="54"/>
    </row>
    <row r="877" spans="45:57" x14ac:dyDescent="0.25">
      <c r="AS877" s="53"/>
      <c r="AZ877" s="65"/>
      <c r="BB877" s="65"/>
      <c r="BD877" s="54"/>
    </row>
    <row r="878" spans="45:57" x14ac:dyDescent="0.25">
      <c r="AS878" s="54"/>
      <c r="AZ878" s="65"/>
      <c r="BB878" s="65"/>
      <c r="BD878" s="54"/>
    </row>
    <row r="879" spans="45:57" x14ac:dyDescent="0.25">
      <c r="AZ879" s="65"/>
      <c r="BB879" s="65"/>
      <c r="BD879" s="53"/>
    </row>
    <row r="880" spans="45:57" x14ac:dyDescent="0.25">
      <c r="AS880" s="55"/>
      <c r="AT880" s="55"/>
      <c r="AU880" s="55"/>
      <c r="AV880" s="55"/>
      <c r="AW880" s="55"/>
      <c r="AX880" s="55"/>
      <c r="AY880" s="55"/>
      <c r="AZ880" s="66"/>
      <c r="BA880" s="55"/>
      <c r="BB880" s="66"/>
      <c r="BC880" s="55"/>
      <c r="BD880" s="55"/>
      <c r="BE880" s="55"/>
    </row>
    <row r="881" spans="45:57" x14ac:dyDescent="0.25">
      <c r="AX881" s="54"/>
      <c r="AZ881" s="65"/>
      <c r="BB881" s="65"/>
    </row>
    <row r="882" spans="45:57" x14ac:dyDescent="0.25">
      <c r="AX882" s="55"/>
      <c r="AY882" s="55"/>
      <c r="AZ882" s="66"/>
      <c r="BA882" s="55"/>
      <c r="BB882" s="65"/>
      <c r="BC882" s="56"/>
      <c r="BD882" s="56"/>
    </row>
    <row r="883" spans="45:57" x14ac:dyDescent="0.25">
      <c r="AV883" s="56"/>
      <c r="AW883" s="56"/>
      <c r="AZ883" s="67"/>
      <c r="BA883" s="56"/>
      <c r="BB883" s="65"/>
      <c r="BC883" s="56"/>
      <c r="BD883" s="56"/>
      <c r="BE883" s="56"/>
    </row>
    <row r="884" spans="45:57" x14ac:dyDescent="0.25">
      <c r="AV884" s="56"/>
      <c r="AW884" s="56"/>
      <c r="AX884" s="56"/>
      <c r="AY884" s="56"/>
      <c r="AZ884" s="67"/>
      <c r="BA884" s="56"/>
      <c r="BB884" s="67"/>
      <c r="BC884" s="56"/>
      <c r="BD884" s="56"/>
      <c r="BE884" s="56"/>
    </row>
    <row r="885" spans="45:57" x14ac:dyDescent="0.25">
      <c r="AS885" s="56"/>
      <c r="AU885" s="54"/>
      <c r="AV885" s="56"/>
      <c r="AW885" s="56"/>
      <c r="AX885" s="56"/>
      <c r="AY885" s="56"/>
      <c r="AZ885" s="67"/>
      <c r="BA885" s="56"/>
      <c r="BB885" s="67"/>
      <c r="BC885" s="56"/>
      <c r="BD885" s="56"/>
      <c r="BE885" s="56"/>
    </row>
    <row r="886" spans="45:57" x14ac:dyDescent="0.25">
      <c r="AS886" s="56"/>
      <c r="AU886" s="54"/>
      <c r="AV886" s="56"/>
      <c r="AW886" s="56"/>
      <c r="AX886" s="56"/>
      <c r="AY886" s="56"/>
      <c r="AZ886" s="67"/>
      <c r="BA886" s="56"/>
      <c r="BB886" s="67"/>
      <c r="BC886" s="56"/>
      <c r="BD886" s="56"/>
      <c r="BE886" s="56"/>
    </row>
    <row r="887" spans="45:57" x14ac:dyDescent="0.25">
      <c r="AS887" s="55"/>
      <c r="AT887" s="55"/>
      <c r="AU887" s="55"/>
      <c r="AV887" s="55"/>
      <c r="AW887" s="55"/>
      <c r="AX887" s="55"/>
      <c r="AY887" s="55"/>
      <c r="AZ887" s="66"/>
      <c r="BA887" s="55"/>
      <c r="BB887" s="66"/>
      <c r="BC887" s="55"/>
      <c r="BD887" s="55"/>
      <c r="BE887" s="55"/>
    </row>
    <row r="888" spans="45:57" x14ac:dyDescent="0.25">
      <c r="AV888" s="56"/>
      <c r="AW888" s="56"/>
      <c r="AX888" s="56"/>
      <c r="AY888" s="56"/>
      <c r="AZ888" s="67"/>
      <c r="BA888" s="56"/>
      <c r="BB888" s="67"/>
      <c r="BC888" s="56"/>
      <c r="BD888" s="56"/>
      <c r="BE888" s="56"/>
    </row>
    <row r="889" spans="45:57" x14ac:dyDescent="0.25">
      <c r="AS889" s="53"/>
      <c r="AT889" s="54"/>
      <c r="AV889" s="379"/>
      <c r="AW889" s="379"/>
      <c r="AX889" s="65"/>
      <c r="AY889" s="65"/>
      <c r="AZ889" s="65"/>
      <c r="BA889" s="60"/>
      <c r="BB889" s="65"/>
      <c r="BC889" s="65"/>
      <c r="BD889" s="65"/>
      <c r="BE889" s="60"/>
    </row>
    <row r="890" spans="45:57" x14ac:dyDescent="0.25">
      <c r="AS890" s="53"/>
      <c r="AV890" s="379"/>
      <c r="AW890" s="379"/>
      <c r="AX890" s="65"/>
      <c r="AY890" s="65"/>
      <c r="AZ890" s="65"/>
      <c r="BA890" s="60"/>
      <c r="BB890" s="65"/>
      <c r="BC890" s="65"/>
      <c r="BD890" s="65"/>
      <c r="BE890" s="60"/>
    </row>
    <row r="891" spans="45:57" x14ac:dyDescent="0.25">
      <c r="AS891" s="53"/>
      <c r="AV891" s="379"/>
      <c r="AW891" s="379"/>
      <c r="AX891" s="65"/>
      <c r="AY891" s="65"/>
      <c r="AZ891" s="65"/>
      <c r="BA891" s="60"/>
      <c r="BB891" s="65"/>
      <c r="BC891" s="65"/>
      <c r="BD891" s="65"/>
      <c r="BE891" s="60"/>
    </row>
    <row r="892" spans="45:57" x14ac:dyDescent="0.25">
      <c r="AS892" s="53"/>
      <c r="AV892" s="379"/>
      <c r="AW892" s="379"/>
      <c r="AX892" s="65"/>
      <c r="AY892" s="65"/>
      <c r="AZ892" s="65"/>
      <c r="BA892" s="60"/>
      <c r="BB892" s="65"/>
      <c r="BC892" s="65"/>
      <c r="BD892" s="65"/>
      <c r="BE892" s="60"/>
    </row>
    <row r="893" spans="45:57" x14ac:dyDescent="0.25">
      <c r="AS893" s="53"/>
      <c r="AV893" s="379"/>
      <c r="AW893" s="379"/>
      <c r="AX893" s="65"/>
      <c r="AY893" s="65"/>
      <c r="AZ893" s="65"/>
      <c r="BA893" s="60"/>
      <c r="BB893" s="65"/>
      <c r="BC893" s="65"/>
      <c r="BD893" s="65"/>
      <c r="BE893" s="60"/>
    </row>
    <row r="894" spans="45:57" x14ac:dyDescent="0.25">
      <c r="AS894" s="53"/>
      <c r="AV894" s="379"/>
      <c r="AW894" s="379"/>
      <c r="AX894" s="65"/>
      <c r="AY894" s="65"/>
      <c r="AZ894" s="65"/>
      <c r="BA894" s="60"/>
      <c r="BB894" s="65"/>
      <c r="BC894" s="65"/>
      <c r="BD894" s="65"/>
      <c r="BE894" s="60"/>
    </row>
    <row r="895" spans="45:57" x14ac:dyDescent="0.25">
      <c r="AS895" s="53"/>
      <c r="AV895" s="379"/>
      <c r="AW895" s="379"/>
      <c r="AX895" s="65"/>
      <c r="AY895" s="65"/>
      <c r="AZ895" s="65"/>
      <c r="BA895" s="60"/>
      <c r="BB895" s="65"/>
      <c r="BC895" s="65"/>
      <c r="BD895" s="65"/>
      <c r="BE895" s="60"/>
    </row>
    <row r="896" spans="45:57" x14ac:dyDescent="0.25">
      <c r="AS896" s="53"/>
      <c r="AV896" s="379"/>
      <c r="AW896" s="379"/>
      <c r="AX896" s="65"/>
      <c r="AY896" s="65"/>
      <c r="AZ896" s="65"/>
      <c r="BA896" s="60"/>
      <c r="BB896" s="65"/>
      <c r="BC896" s="65"/>
      <c r="BD896" s="65"/>
      <c r="BE896" s="60"/>
    </row>
    <row r="897" spans="45:57" x14ac:dyDescent="0.25">
      <c r="AS897" s="53"/>
      <c r="AV897" s="379"/>
      <c r="AW897" s="379"/>
      <c r="AX897" s="65"/>
      <c r="AY897" s="65"/>
      <c r="AZ897" s="65"/>
      <c r="BA897" s="60"/>
      <c r="BB897" s="65"/>
      <c r="BC897" s="65"/>
      <c r="BD897" s="65"/>
      <c r="BE897" s="60"/>
    </row>
    <row r="898" spans="45:57" x14ac:dyDescent="0.25">
      <c r="AS898" s="53"/>
      <c r="AV898" s="379"/>
      <c r="AW898" s="379"/>
      <c r="AX898" s="65"/>
      <c r="AY898" s="65"/>
      <c r="AZ898" s="65"/>
      <c r="BA898" s="60"/>
      <c r="BB898" s="65"/>
      <c r="BC898" s="65"/>
      <c r="BD898" s="65"/>
      <c r="BE898" s="60"/>
    </row>
    <row r="899" spans="45:57" x14ac:dyDescent="0.25">
      <c r="AV899" s="379"/>
      <c r="AW899" s="379"/>
      <c r="BB899" s="65"/>
    </row>
    <row r="900" spans="45:57" x14ac:dyDescent="0.25">
      <c r="AS900" s="53"/>
      <c r="AT900" s="54"/>
      <c r="AV900" s="379"/>
      <c r="AW900" s="379"/>
      <c r="AX900" s="65"/>
      <c r="AY900" s="65"/>
      <c r="AZ900" s="65"/>
      <c r="BA900" s="60"/>
      <c r="BB900" s="65"/>
      <c r="BC900" s="65"/>
      <c r="BD900" s="65"/>
      <c r="BE900" s="60"/>
    </row>
    <row r="901" spans="45:57" x14ac:dyDescent="0.25">
      <c r="AS901" s="53"/>
      <c r="AV901" s="379"/>
      <c r="AW901" s="379"/>
      <c r="AX901" s="65"/>
      <c r="AY901" s="65"/>
      <c r="AZ901" s="65"/>
      <c r="BA901" s="60"/>
      <c r="BB901" s="65"/>
      <c r="BC901" s="65"/>
      <c r="BD901" s="65"/>
      <c r="BE901" s="60"/>
    </row>
    <row r="902" spans="45:57" x14ac:dyDescent="0.25">
      <c r="AS902" s="53"/>
      <c r="AV902" s="379"/>
      <c r="AW902" s="379"/>
      <c r="AX902" s="65"/>
      <c r="AY902" s="65"/>
      <c r="AZ902" s="65"/>
      <c r="BA902" s="60"/>
      <c r="BB902" s="65"/>
      <c r="BC902" s="65"/>
      <c r="BD902" s="65"/>
      <c r="BE902" s="60"/>
    </row>
    <row r="903" spans="45:57" x14ac:dyDescent="0.25">
      <c r="AS903" s="53"/>
      <c r="AV903" s="379"/>
      <c r="AW903" s="379"/>
      <c r="AX903" s="65"/>
      <c r="AY903" s="65"/>
      <c r="AZ903" s="65"/>
      <c r="BA903" s="60"/>
      <c r="BB903" s="65"/>
      <c r="BC903" s="65"/>
      <c r="BD903" s="65"/>
      <c r="BE903" s="60"/>
    </row>
    <row r="904" spans="45:57" x14ac:dyDescent="0.25">
      <c r="AS904" s="53"/>
      <c r="AV904" s="379"/>
      <c r="AW904" s="379"/>
      <c r="AX904" s="65"/>
      <c r="AY904" s="65"/>
      <c r="AZ904" s="65"/>
      <c r="BA904" s="60"/>
      <c r="BB904" s="65"/>
      <c r="BC904" s="65"/>
      <c r="BD904" s="65"/>
      <c r="BE904" s="60"/>
    </row>
    <row r="905" spans="45:57" x14ac:dyDescent="0.25">
      <c r="AS905" s="53"/>
      <c r="AV905" s="379"/>
      <c r="AW905" s="379"/>
      <c r="AX905" s="65"/>
      <c r="AY905" s="65"/>
      <c r="AZ905" s="65"/>
      <c r="BA905" s="60"/>
      <c r="BB905" s="65"/>
      <c r="BC905" s="65"/>
      <c r="BD905" s="65"/>
      <c r="BE905" s="60"/>
    </row>
    <row r="906" spans="45:57" x14ac:dyDescent="0.25">
      <c r="AS906" s="53"/>
      <c r="AV906" s="379"/>
      <c r="AW906" s="379"/>
      <c r="AX906" s="65"/>
      <c r="AY906" s="65"/>
      <c r="AZ906" s="65"/>
      <c r="BA906" s="60"/>
      <c r="BB906" s="65"/>
      <c r="BC906" s="65"/>
      <c r="BD906" s="65"/>
      <c r="BE906" s="60"/>
    </row>
    <row r="907" spans="45:57" x14ac:dyDescent="0.25">
      <c r="AS907" s="53"/>
      <c r="AV907" s="379"/>
      <c r="AW907" s="379"/>
      <c r="AX907" s="65"/>
      <c r="AY907" s="65"/>
      <c r="AZ907" s="65"/>
      <c r="BA907" s="60"/>
      <c r="BB907" s="65"/>
      <c r="BC907" s="65"/>
      <c r="BD907" s="65"/>
      <c r="BE907" s="60"/>
    </row>
    <row r="908" spans="45:57" x14ac:dyDescent="0.25">
      <c r="AS908" s="53"/>
      <c r="AV908" s="379"/>
      <c r="AW908" s="379"/>
      <c r="AX908" s="65"/>
      <c r="AY908" s="65"/>
      <c r="AZ908" s="65"/>
      <c r="BA908" s="60"/>
      <c r="BB908" s="65"/>
      <c r="BC908" s="65"/>
      <c r="BD908" s="65"/>
      <c r="BE908" s="60"/>
    </row>
    <row r="909" spans="45:57" x14ac:dyDescent="0.25">
      <c r="AS909" s="53"/>
      <c r="AV909" s="379"/>
      <c r="AW909" s="379"/>
      <c r="AX909" s="65"/>
      <c r="AY909" s="65"/>
      <c r="AZ909" s="65"/>
      <c r="BA909" s="60"/>
      <c r="BB909" s="65"/>
      <c r="BC909" s="65"/>
      <c r="BD909" s="65"/>
      <c r="BE909" s="60"/>
    </row>
    <row r="911" spans="45:57" x14ac:dyDescent="0.25">
      <c r="AU911" s="54"/>
    </row>
    <row r="912" spans="45:57" x14ac:dyDescent="0.25">
      <c r="AU912" s="54"/>
    </row>
    <row r="913" spans="45:47" x14ac:dyDescent="0.25">
      <c r="AU913" s="54"/>
    </row>
    <row r="914" spans="45:47" x14ac:dyDescent="0.25">
      <c r="AS914" s="54"/>
    </row>
    <row r="935" spans="52:71" x14ac:dyDescent="0.25">
      <c r="AZ935" s="65"/>
      <c r="BB935" s="65"/>
      <c r="BC935" s="65"/>
      <c r="BD935" s="65"/>
      <c r="BG935" s="65"/>
      <c r="BH935" s="65"/>
      <c r="BI935" s="65"/>
      <c r="BJ935" s="65"/>
      <c r="BK935" s="65"/>
      <c r="BL935" s="65"/>
      <c r="BM935" s="65"/>
      <c r="BN935" s="65"/>
      <c r="BO935" s="65"/>
      <c r="BP935" s="65"/>
      <c r="BQ935" s="65"/>
      <c r="BR935" s="65"/>
      <c r="BS935" s="65"/>
    </row>
    <row r="936" spans="52:71" x14ac:dyDescent="0.25">
      <c r="AZ936" s="65"/>
      <c r="BB936" s="65"/>
      <c r="BC936" s="65"/>
      <c r="BD936" s="65"/>
      <c r="BG936" s="65"/>
      <c r="BH936" s="65"/>
      <c r="BI936" s="65"/>
      <c r="BJ936" s="65"/>
      <c r="BK936" s="65"/>
      <c r="BL936" s="65"/>
      <c r="BM936" s="65"/>
      <c r="BN936" s="65"/>
      <c r="BO936" s="65"/>
      <c r="BP936" s="65"/>
      <c r="BQ936" s="65"/>
      <c r="BR936" s="65"/>
      <c r="BS936" s="65"/>
    </row>
    <row r="937" spans="52:71" x14ac:dyDescent="0.25">
      <c r="AZ937" s="65"/>
      <c r="BB937" s="65"/>
      <c r="BC937" s="65"/>
      <c r="BD937" s="65"/>
      <c r="BG937" s="65"/>
      <c r="BH937" s="65"/>
      <c r="BI937" s="65"/>
      <c r="BJ937" s="65"/>
      <c r="BK937" s="65"/>
      <c r="BL937" s="65"/>
      <c r="BM937" s="65"/>
      <c r="BN937" s="65"/>
      <c r="BO937" s="65"/>
      <c r="BP937" s="65"/>
      <c r="BQ937" s="65"/>
      <c r="BR937" s="65"/>
      <c r="BS937" s="65"/>
    </row>
    <row r="938" spans="52:71" x14ac:dyDescent="0.25">
      <c r="AZ938" s="65"/>
      <c r="BB938" s="65"/>
      <c r="BC938" s="65"/>
      <c r="BD938" s="65"/>
      <c r="BG938" s="65"/>
      <c r="BH938" s="65"/>
      <c r="BI938" s="65"/>
      <c r="BJ938" s="65"/>
      <c r="BK938" s="65"/>
      <c r="BL938" s="65"/>
      <c r="BM938" s="65"/>
      <c r="BN938" s="65"/>
      <c r="BO938" s="65"/>
      <c r="BP938" s="65"/>
      <c r="BQ938" s="65"/>
      <c r="BR938" s="65"/>
      <c r="BS938" s="65"/>
    </row>
    <row r="939" spans="52:71" x14ac:dyDescent="0.25">
      <c r="AZ939" s="65"/>
      <c r="BB939" s="65"/>
      <c r="BC939" s="65"/>
      <c r="BD939" s="65"/>
      <c r="BG939" s="65"/>
      <c r="BH939" s="65"/>
      <c r="BI939" s="65"/>
      <c r="BJ939" s="65"/>
      <c r="BK939" s="65"/>
      <c r="BL939" s="65"/>
      <c r="BM939" s="65"/>
      <c r="BN939" s="65"/>
      <c r="BO939" s="65"/>
      <c r="BP939" s="65"/>
      <c r="BQ939" s="65"/>
      <c r="BR939" s="65"/>
      <c r="BS939" s="65"/>
    </row>
    <row r="940" spans="52:71" x14ac:dyDescent="0.25">
      <c r="AZ940" s="65"/>
      <c r="BB940" s="65"/>
      <c r="BC940" s="65"/>
      <c r="BD940" s="65"/>
      <c r="BG940" s="65"/>
      <c r="BH940" s="65"/>
      <c r="BI940" s="65"/>
      <c r="BJ940" s="65"/>
      <c r="BK940" s="65"/>
      <c r="BL940" s="65"/>
      <c r="BM940" s="65"/>
      <c r="BN940" s="65"/>
      <c r="BO940" s="65"/>
      <c r="BP940" s="65"/>
      <c r="BQ940" s="65"/>
      <c r="BR940" s="65"/>
      <c r="BS940" s="65"/>
    </row>
    <row r="941" spans="52:71" x14ac:dyDescent="0.25">
      <c r="AZ941" s="65"/>
      <c r="BB941" s="65"/>
      <c r="BC941" s="65"/>
      <c r="BD941" s="65"/>
      <c r="BG941" s="65"/>
      <c r="BH941" s="65"/>
      <c r="BI941" s="65"/>
      <c r="BJ941" s="65"/>
      <c r="BK941" s="65"/>
      <c r="BL941" s="65"/>
      <c r="BM941" s="65"/>
      <c r="BN941" s="65"/>
      <c r="BO941" s="65"/>
      <c r="BP941" s="65"/>
      <c r="BQ941" s="65"/>
      <c r="BR941" s="65"/>
      <c r="BS941" s="65"/>
    </row>
    <row r="942" spans="52:71" x14ac:dyDescent="0.25">
      <c r="AZ942" s="65"/>
      <c r="BB942" s="65"/>
      <c r="BC942" s="65"/>
      <c r="BD942" s="65"/>
      <c r="BG942" s="65"/>
      <c r="BH942" s="65"/>
      <c r="BI942" s="65"/>
      <c r="BJ942" s="65"/>
      <c r="BK942" s="65"/>
      <c r="BL942" s="65"/>
      <c r="BM942" s="65"/>
      <c r="BN942" s="65"/>
      <c r="BO942" s="65"/>
      <c r="BP942" s="65"/>
      <c r="BQ942" s="65"/>
      <c r="BR942" s="65"/>
      <c r="BS942" s="65"/>
    </row>
    <row r="943" spans="52:71" x14ac:dyDescent="0.25">
      <c r="AZ943" s="65"/>
      <c r="BB943" s="65"/>
      <c r="BC943" s="65"/>
      <c r="BD943" s="65"/>
      <c r="BG943" s="65"/>
      <c r="BH943" s="65"/>
      <c r="BI943" s="65"/>
      <c r="BJ943" s="65"/>
      <c r="BK943" s="65"/>
      <c r="BL943" s="65"/>
      <c r="BM943" s="65"/>
      <c r="BN943" s="65"/>
      <c r="BO943" s="65"/>
      <c r="BP943" s="65"/>
      <c r="BQ943" s="65"/>
      <c r="BR943" s="65"/>
      <c r="BS943" s="65"/>
    </row>
    <row r="944" spans="52:71" x14ac:dyDescent="0.25">
      <c r="AZ944" s="65"/>
      <c r="BB944" s="65"/>
      <c r="BC944" s="65"/>
      <c r="BD944" s="65"/>
      <c r="BG944" s="65"/>
      <c r="BH944" s="65"/>
      <c r="BI944" s="65"/>
      <c r="BJ944" s="65"/>
      <c r="BK944" s="65"/>
      <c r="BL944" s="65"/>
      <c r="BM944" s="65"/>
      <c r="BN944" s="65"/>
      <c r="BO944" s="65"/>
      <c r="BP944" s="65"/>
      <c r="BQ944" s="65"/>
      <c r="BR944" s="65"/>
      <c r="BS944" s="65"/>
    </row>
    <row r="945" spans="52:71" x14ac:dyDescent="0.25">
      <c r="AZ945" s="65"/>
      <c r="BB945" s="65"/>
      <c r="BC945" s="65"/>
      <c r="BD945" s="65"/>
      <c r="BG945" s="65"/>
      <c r="BH945" s="65"/>
      <c r="BI945" s="65"/>
      <c r="BJ945" s="65"/>
      <c r="BK945" s="65"/>
      <c r="BL945" s="65"/>
      <c r="BM945" s="65"/>
      <c r="BN945" s="65"/>
      <c r="BO945" s="65"/>
      <c r="BP945" s="65"/>
      <c r="BQ945" s="65"/>
      <c r="BR945" s="65"/>
      <c r="BS945" s="65"/>
    </row>
    <row r="946" spans="52:71" x14ac:dyDescent="0.25">
      <c r="AZ946" s="65"/>
      <c r="BB946" s="65"/>
      <c r="BC946" s="65"/>
      <c r="BD946" s="65"/>
      <c r="BG946" s="65"/>
      <c r="BH946" s="65"/>
      <c r="BI946" s="65"/>
      <c r="BJ946" s="65"/>
      <c r="BK946" s="65"/>
      <c r="BL946" s="65"/>
      <c r="BM946" s="65"/>
      <c r="BN946" s="65"/>
      <c r="BO946" s="65"/>
      <c r="BP946" s="65"/>
      <c r="BQ946" s="65"/>
      <c r="BR946" s="65"/>
      <c r="BS946" s="65"/>
    </row>
    <row r="947" spans="52:71" x14ac:dyDescent="0.25">
      <c r="AZ947" s="65"/>
      <c r="BG947" s="65"/>
      <c r="BH947" s="65"/>
      <c r="BI947" s="65"/>
      <c r="BJ947" s="65"/>
      <c r="BK947" s="65"/>
      <c r="BL947" s="65"/>
      <c r="BM947" s="65"/>
      <c r="BN947" s="65"/>
      <c r="BO947" s="65"/>
      <c r="BP947" s="65"/>
      <c r="BQ947" s="65"/>
      <c r="BR947" s="65"/>
      <c r="BS947" s="65"/>
    </row>
    <row r="948" spans="52:71" x14ac:dyDescent="0.25">
      <c r="AZ948" s="65"/>
      <c r="BG948" s="65"/>
      <c r="BH948" s="65"/>
      <c r="BI948" s="65"/>
      <c r="BJ948" s="65"/>
      <c r="BK948" s="65"/>
      <c r="BL948" s="65"/>
      <c r="BM948" s="65"/>
      <c r="BN948" s="65"/>
      <c r="BO948" s="65"/>
      <c r="BP948" s="65"/>
      <c r="BQ948" s="65"/>
      <c r="BR948" s="65"/>
      <c r="BS948" s="65"/>
    </row>
    <row r="949" spans="52:71" x14ac:dyDescent="0.25">
      <c r="AZ949" s="65"/>
      <c r="BG949" s="65"/>
      <c r="BH949" s="65"/>
      <c r="BI949" s="65"/>
      <c r="BJ949" s="65"/>
      <c r="BK949" s="65"/>
      <c r="BL949" s="65"/>
      <c r="BM949" s="65"/>
      <c r="BN949" s="65"/>
      <c r="BO949" s="65"/>
      <c r="BP949" s="65"/>
      <c r="BQ949" s="65"/>
      <c r="BR949" s="65"/>
      <c r="BS949" s="65"/>
    </row>
    <row r="950" spans="52:71" x14ac:dyDescent="0.25">
      <c r="AZ950" s="65"/>
      <c r="BG950" s="65"/>
      <c r="BH950" s="65"/>
      <c r="BI950" s="65"/>
      <c r="BJ950" s="65"/>
      <c r="BK950" s="65"/>
      <c r="BL950" s="65"/>
      <c r="BM950" s="65"/>
      <c r="BN950" s="65"/>
      <c r="BO950" s="65"/>
      <c r="BP950" s="65"/>
      <c r="BQ950" s="65"/>
      <c r="BR950" s="65"/>
      <c r="BS950" s="65"/>
    </row>
    <row r="951" spans="52:71" x14ac:dyDescent="0.25">
      <c r="AZ951" s="65"/>
      <c r="BG951" s="65"/>
      <c r="BH951" s="65"/>
      <c r="BI951" s="65"/>
      <c r="BJ951" s="65"/>
      <c r="BK951" s="65"/>
      <c r="BL951" s="65"/>
      <c r="BM951" s="65"/>
      <c r="BN951" s="65"/>
      <c r="BO951" s="65"/>
      <c r="BP951" s="65"/>
      <c r="BQ951" s="65"/>
      <c r="BR951" s="65"/>
      <c r="BS951" s="65"/>
    </row>
    <row r="952" spans="52:71" x14ac:dyDescent="0.25">
      <c r="AZ952" s="65"/>
      <c r="BG952" s="65"/>
      <c r="BH952" s="65"/>
      <c r="BI952" s="65"/>
      <c r="BJ952" s="65"/>
      <c r="BK952" s="65"/>
      <c r="BL952" s="65"/>
      <c r="BM952" s="65"/>
      <c r="BN952" s="65"/>
      <c r="BO952" s="65"/>
      <c r="BP952" s="65"/>
      <c r="BQ952" s="65"/>
      <c r="BR952" s="65"/>
      <c r="BS952" s="65"/>
    </row>
    <row r="953" spans="52:71" x14ac:dyDescent="0.25">
      <c r="AZ953" s="65"/>
      <c r="BG953" s="65"/>
      <c r="BH953" s="65"/>
      <c r="BI953" s="65"/>
      <c r="BJ953" s="65"/>
      <c r="BK953" s="65"/>
      <c r="BL953" s="65"/>
      <c r="BM953" s="65"/>
      <c r="BN953" s="65"/>
      <c r="BO953" s="65"/>
      <c r="BP953" s="65"/>
      <c r="BQ953" s="65"/>
      <c r="BR953" s="65"/>
      <c r="BS953" s="65"/>
    </row>
    <row r="954" spans="52:71" x14ac:dyDescent="0.25">
      <c r="AZ954" s="65"/>
    </row>
    <row r="955" spans="52:71" x14ac:dyDescent="0.25">
      <c r="AZ955" s="65"/>
    </row>
    <row r="969" spans="1:28" x14ac:dyDescent="0.25">
      <c r="A969" s="54"/>
    </row>
    <row r="972" spans="1:28" x14ac:dyDescent="0.25">
      <c r="Y972" s="54"/>
    </row>
    <row r="973" spans="1:28" x14ac:dyDescent="0.25">
      <c r="A973" s="54"/>
      <c r="H973" s="54"/>
      <c r="I973" s="54"/>
    </row>
    <row r="974" spans="1:28" x14ac:dyDescent="0.25">
      <c r="A974" s="54"/>
      <c r="V974" s="56"/>
      <c r="AA974" s="56"/>
      <c r="AB974" s="56"/>
    </row>
    <row r="975" spans="1:28" x14ac:dyDescent="0.25">
      <c r="A975" s="54"/>
      <c r="V975" s="55"/>
      <c r="AA975" s="55"/>
      <c r="AB975" s="55"/>
    </row>
    <row r="976" spans="1:28" x14ac:dyDescent="0.25">
      <c r="A976" s="54"/>
      <c r="U976" s="54"/>
      <c r="AA976" s="56"/>
      <c r="AB976" s="56"/>
    </row>
    <row r="977" spans="1:28" x14ac:dyDescent="0.25">
      <c r="A977" s="54"/>
    </row>
    <row r="978" spans="1:28" x14ac:dyDescent="0.25">
      <c r="A978" s="54"/>
      <c r="U978" s="54"/>
      <c r="AA978" s="56"/>
      <c r="AB978" s="56"/>
    </row>
    <row r="979" spans="1:28" x14ac:dyDescent="0.25">
      <c r="A979" s="54"/>
    </row>
    <row r="980" spans="1:28" x14ac:dyDescent="0.25">
      <c r="A980" s="54"/>
      <c r="U980" s="54"/>
      <c r="V980" s="480"/>
      <c r="AA980" s="56"/>
      <c r="AB980" s="56"/>
    </row>
    <row r="981" spans="1:28" x14ac:dyDescent="0.25">
      <c r="A981" s="54"/>
    </row>
    <row r="982" spans="1:28" x14ac:dyDescent="0.25">
      <c r="A982" s="54"/>
      <c r="U982" s="54"/>
      <c r="AA982" s="56"/>
      <c r="AB982" s="56"/>
    </row>
    <row r="983" spans="1:28" x14ac:dyDescent="0.25">
      <c r="A983" s="54"/>
    </row>
    <row r="984" spans="1:28" x14ac:dyDescent="0.25">
      <c r="A984" s="54"/>
      <c r="U984" s="54"/>
      <c r="AA984" s="56"/>
      <c r="AB984" s="56"/>
    </row>
    <row r="985" spans="1:28" x14ac:dyDescent="0.25">
      <c r="A985" s="54"/>
    </row>
    <row r="986" spans="1:28" x14ac:dyDescent="0.25">
      <c r="A986" s="54"/>
    </row>
    <row r="987" spans="1:28" x14ac:dyDescent="0.25">
      <c r="A987" s="54"/>
    </row>
    <row r="988" spans="1:28" x14ac:dyDescent="0.25">
      <c r="A988" s="54"/>
    </row>
    <row r="989" spans="1:28" x14ac:dyDescent="0.25">
      <c r="A989" s="54"/>
    </row>
    <row r="990" spans="1:28" x14ac:dyDescent="0.25">
      <c r="A990" s="54"/>
    </row>
    <row r="991" spans="1:28" x14ac:dyDescent="0.25">
      <c r="A991" s="54"/>
    </row>
    <row r="992" spans="1:28" x14ac:dyDescent="0.25">
      <c r="A992" s="54"/>
    </row>
    <row r="993" spans="1:9" x14ac:dyDescent="0.25">
      <c r="A993" s="54"/>
    </row>
    <row r="994" spans="1:9" x14ac:dyDescent="0.25">
      <c r="A994" s="54"/>
    </row>
    <row r="995" spans="1:9" x14ac:dyDescent="0.25">
      <c r="A995" s="54"/>
      <c r="H995" s="54"/>
      <c r="I995" s="54"/>
    </row>
    <row r="998" spans="1:9" x14ac:dyDescent="0.25">
      <c r="A998" s="54"/>
    </row>
    <row r="1001" spans="1:9" x14ac:dyDescent="0.25">
      <c r="A1001" s="54"/>
    </row>
    <row r="1004" spans="1:9" x14ac:dyDescent="0.25">
      <c r="A1004" s="54"/>
    </row>
    <row r="1005" spans="1:9" x14ac:dyDescent="0.25">
      <c r="A1005" s="54"/>
    </row>
    <row r="1006" spans="1:9" x14ac:dyDescent="0.25">
      <c r="A1006" s="54"/>
    </row>
    <row r="1007" spans="1:9" x14ac:dyDescent="0.25">
      <c r="A1007" s="54"/>
    </row>
    <row r="1008" spans="1:9" x14ac:dyDescent="0.25">
      <c r="A1008" s="54"/>
    </row>
    <row r="1009" spans="1:1" x14ac:dyDescent="0.25">
      <c r="A1009" s="54"/>
    </row>
    <row r="1010" spans="1:1" x14ac:dyDescent="0.25">
      <c r="A1010" s="54"/>
    </row>
    <row r="1011" spans="1:1" x14ac:dyDescent="0.25">
      <c r="A1011" s="54"/>
    </row>
    <row r="1012" spans="1:1" x14ac:dyDescent="0.25">
      <c r="A1012" s="54"/>
    </row>
    <row r="1013" spans="1:1" x14ac:dyDescent="0.25">
      <c r="A1013" s="54"/>
    </row>
    <row r="1014" spans="1:1" x14ac:dyDescent="0.25">
      <c r="A1014" s="54"/>
    </row>
    <row r="1015" spans="1:1" x14ac:dyDescent="0.25">
      <c r="A1015" s="54"/>
    </row>
    <row r="1016" spans="1:1" x14ac:dyDescent="0.25">
      <c r="A1016" s="54"/>
    </row>
    <row r="1017" spans="1:1" x14ac:dyDescent="0.25">
      <c r="A1017" s="54"/>
    </row>
    <row r="1018" spans="1:1" x14ac:dyDescent="0.25">
      <c r="A1018" s="54"/>
    </row>
    <row r="1019" spans="1:1" x14ac:dyDescent="0.25">
      <c r="A1019" s="54"/>
    </row>
    <row r="1020" spans="1:1" x14ac:dyDescent="0.25">
      <c r="A1020" s="54"/>
    </row>
    <row r="1021" spans="1:1" x14ac:dyDescent="0.25">
      <c r="A1021" s="54"/>
    </row>
    <row r="1022" spans="1:1" x14ac:dyDescent="0.25">
      <c r="A1022" s="54"/>
    </row>
    <row r="1023" spans="1:1" x14ac:dyDescent="0.25">
      <c r="A1023" s="54"/>
    </row>
    <row r="1024" spans="1:1" x14ac:dyDescent="0.25">
      <c r="A1024" s="54"/>
    </row>
    <row r="1025" spans="1:1" x14ac:dyDescent="0.25">
      <c r="A1025" s="54"/>
    </row>
    <row r="1026" spans="1:1" x14ac:dyDescent="0.25">
      <c r="A1026" s="54"/>
    </row>
    <row r="1027" spans="1:1" x14ac:dyDescent="0.25">
      <c r="A1027" s="54"/>
    </row>
    <row r="1028" spans="1:1" x14ac:dyDescent="0.25">
      <c r="A1028" s="54"/>
    </row>
    <row r="1029" spans="1:1" x14ac:dyDescent="0.25">
      <c r="A1029" s="54"/>
    </row>
    <row r="1030" spans="1:1" x14ac:dyDescent="0.25">
      <c r="A1030" s="54"/>
    </row>
    <row r="1031" spans="1:1" x14ac:dyDescent="0.25">
      <c r="A1031" s="54"/>
    </row>
    <row r="1032" spans="1:1" x14ac:dyDescent="0.25">
      <c r="A1032" s="54"/>
    </row>
    <row r="1033" spans="1:1" x14ac:dyDescent="0.25">
      <c r="A1033" s="54"/>
    </row>
    <row r="1034" spans="1:1" x14ac:dyDescent="0.25">
      <c r="A1034" s="54"/>
    </row>
    <row r="1035" spans="1:1" x14ac:dyDescent="0.25">
      <c r="A1035" s="54"/>
    </row>
    <row r="1036" spans="1:1" x14ac:dyDescent="0.25">
      <c r="A1036" s="54"/>
    </row>
    <row r="1037" spans="1:1" x14ac:dyDescent="0.25">
      <c r="A1037" s="54"/>
    </row>
    <row r="1038" spans="1:1" x14ac:dyDescent="0.25">
      <c r="A1038" s="54"/>
    </row>
    <row r="1043" spans="1:1" x14ac:dyDescent="0.25">
      <c r="A1043" s="54"/>
    </row>
    <row r="1044" spans="1:1" x14ac:dyDescent="0.25">
      <c r="A1044" s="54"/>
    </row>
    <row r="1047" spans="1:1" x14ac:dyDescent="0.25">
      <c r="A1047" s="54"/>
    </row>
    <row r="1049" spans="1:1" x14ac:dyDescent="0.25">
      <c r="A1049" s="54"/>
    </row>
    <row r="1051" spans="1:1" x14ac:dyDescent="0.25">
      <c r="A1051" s="54"/>
    </row>
    <row r="1053" spans="1:1" x14ac:dyDescent="0.25">
      <c r="A1053" s="54"/>
    </row>
    <row r="1056" spans="1:1" x14ac:dyDescent="0.25">
      <c r="A1056" s="54"/>
    </row>
    <row r="1057" spans="1:1" x14ac:dyDescent="0.25">
      <c r="A1057" s="54"/>
    </row>
    <row r="1058" spans="1:1" x14ac:dyDescent="0.25">
      <c r="A1058" s="54"/>
    </row>
    <row r="1059" spans="1:1" x14ac:dyDescent="0.25">
      <c r="A1059" s="54"/>
    </row>
    <row r="1060" spans="1:1" x14ac:dyDescent="0.25">
      <c r="A1060" s="54"/>
    </row>
    <row r="1061" spans="1:1" x14ac:dyDescent="0.25">
      <c r="A1061" s="54"/>
    </row>
    <row r="1062" spans="1:1" x14ac:dyDescent="0.25">
      <c r="A1062" s="54"/>
    </row>
    <row r="1063" spans="1:1" x14ac:dyDescent="0.25">
      <c r="A1063" s="54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U55">
      <selection activeCell="AC66" sqref="AC6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3"/>
      <headerFooter alignWithMargins="0"/>
    </customSheetView>
    <customSheetView guid="{2431C9E5-7CC2-4B8D-99C3-962247B1DBF5}" scale="75" fitToPage="1" showRuler="0" topLeftCell="U55">
      <selection activeCell="AC66" sqref="AC6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4"/>
      <headerFooter alignWithMargins="0"/>
    </customSheetView>
    <customSheetView guid="{2EA35095-1ADC-4CC7-8C3C-B487D65FA247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8"/>
      <headerFooter alignWithMargins="0"/>
    </customSheetView>
    <customSheetView guid="{0BC1F393-8A13-47D5-BC6C-0C99615B5AB9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A16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3" orientation="landscape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  <legacyDrawing r:id="rId14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37" transitionEvaluation="1" transitionEntry="1" codeName="Sheet141"/>
  <dimension ref="A1:BX1041"/>
  <sheetViews>
    <sheetView tabSelected="1" view="pageBreakPreview" topLeftCell="A37" zoomScale="60" zoomScaleNormal="75" workbookViewId="0">
      <selection sqref="A1:J1"/>
    </sheetView>
  </sheetViews>
  <sheetFormatPr defaultColWidth="9.77734375" defaultRowHeight="15.75" x14ac:dyDescent="0.25"/>
  <cols>
    <col min="1" max="1" width="5.21875" style="380" customWidth="1"/>
    <col min="2" max="2" width="0.44140625" style="380" customWidth="1"/>
    <col min="3" max="3" width="6.77734375" style="380" customWidth="1"/>
    <col min="4" max="4" width="35.77734375" style="380" customWidth="1"/>
    <col min="5" max="5" width="0.7773437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3.109375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2.77734375" style="380" customWidth="1"/>
    <col min="15" max="15" width="0.5546875" style="380" customWidth="1"/>
    <col min="16" max="16" width="14.77734375" style="380" customWidth="1"/>
    <col min="17" max="17" width="0.5546875" style="380" customWidth="1"/>
    <col min="18" max="18" width="17.5546875" style="380" customWidth="1"/>
    <col min="19" max="19" width="6.77734375" style="380" customWidth="1"/>
    <col min="20" max="20" width="5.44140625" style="380" customWidth="1"/>
    <col min="21" max="21" width="0.5546875" style="380" customWidth="1"/>
    <col min="22" max="22" width="4.5546875" style="380" customWidth="1"/>
    <col min="23" max="23" width="41.44140625" style="380" customWidth="1"/>
    <col min="24" max="24" width="0.88671875" style="380" customWidth="1"/>
    <col min="25" max="25" width="9.6640625" style="380" customWidth="1"/>
    <col min="26" max="26" width="0.6640625" style="380" customWidth="1"/>
    <col min="27" max="27" width="13.33203125" style="380" customWidth="1"/>
    <col min="28" max="28" width="0.6640625" style="380" customWidth="1"/>
    <col min="29" max="29" width="11.44140625" style="380" customWidth="1"/>
    <col min="30" max="30" width="0.88671875" style="380" customWidth="1"/>
    <col min="31" max="31" width="12.88671875" style="380" customWidth="1"/>
    <col min="32" max="32" width="0.77734375" style="380" customWidth="1"/>
    <col min="33" max="33" width="13.6640625" style="153" customWidth="1"/>
    <col min="34" max="34" width="0.6640625" style="380" customWidth="1"/>
    <col min="35" max="35" width="14.33203125" style="380" customWidth="1"/>
    <col min="36" max="36" width="0.77734375" style="380" customWidth="1"/>
    <col min="37" max="37" width="14.5546875" style="153" customWidth="1"/>
    <col min="38" max="38" width="0.5546875" style="380" customWidth="1"/>
    <col min="39" max="39" width="12.109375" style="380" customWidth="1"/>
    <col min="40" max="40" width="0.5546875" style="380" customWidth="1"/>
    <col min="41" max="41" width="13.21875" style="380" customWidth="1"/>
    <col min="42" max="42" width="0.6640625" style="380" customWidth="1"/>
    <col min="43" max="43" width="11.21875" style="153" customWidth="1"/>
    <col min="44" max="44" width="14.77734375" style="380" customWidth="1"/>
    <col min="45" max="45" width="4.77734375" style="380" customWidth="1"/>
    <col min="46" max="46" width="5.77734375" style="380" customWidth="1"/>
    <col min="47" max="47" width="12.88671875" style="380" customWidth="1"/>
    <col min="48" max="48" width="11.77734375" style="380" customWidth="1"/>
    <col min="49" max="49" width="12.77734375" style="380" customWidth="1"/>
    <col min="50" max="52" width="15.77734375" style="380" customWidth="1"/>
    <col min="53" max="53" width="12.77734375" style="380" customWidth="1"/>
    <col min="54" max="56" width="15.77734375" style="380" customWidth="1"/>
    <col min="57" max="57" width="12.77734375" style="380" customWidth="1"/>
    <col min="58" max="59" width="9.77734375" style="380"/>
    <col min="60" max="62" width="12.77734375" style="380" customWidth="1"/>
    <col min="63" max="63" width="14.77734375" style="380" customWidth="1"/>
    <col min="64" max="65" width="9.77734375" style="380"/>
    <col min="66" max="68" width="12.77734375" style="380" customWidth="1"/>
    <col min="69" max="69" width="14.77734375" style="380" customWidth="1"/>
    <col min="70" max="76" width="9.77734375" style="380"/>
    <col min="77" max="77" width="1.77734375" style="380" customWidth="1"/>
    <col min="78" max="79" width="9.77734375" style="380"/>
    <col min="80" max="80" width="10.77734375" style="380" customWidth="1"/>
    <col min="81" max="82" width="9.77734375" style="380"/>
    <col min="83" max="83" width="7.77734375" style="380" customWidth="1"/>
    <col min="84" max="16384" width="9.77734375" style="380"/>
  </cols>
  <sheetData>
    <row r="1" spans="1:40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4"/>
      <c r="K1" s="44"/>
      <c r="L1" s="43"/>
      <c r="M1" s="43"/>
      <c r="N1" s="43"/>
      <c r="O1" s="43"/>
      <c r="P1" s="43"/>
      <c r="Q1" s="43"/>
      <c r="R1" s="43"/>
      <c r="Y1" s="54"/>
    </row>
    <row r="2" spans="1:40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4"/>
      <c r="K2" s="44"/>
      <c r="L2" s="43"/>
      <c r="M2" s="43"/>
      <c r="N2" s="43"/>
      <c r="O2" s="43"/>
      <c r="P2" s="43"/>
      <c r="Q2" s="43"/>
      <c r="R2" s="43"/>
      <c r="Y2" s="54"/>
    </row>
    <row r="3" spans="1:40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Z3" s="53"/>
    </row>
    <row r="4" spans="1:4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4"/>
      <c r="K4" s="44"/>
      <c r="L4" s="43"/>
      <c r="M4" s="43"/>
      <c r="N4" s="43"/>
      <c r="O4" s="43"/>
      <c r="P4" s="43"/>
      <c r="Q4" s="43"/>
      <c r="R4" s="43"/>
      <c r="AA4" s="54"/>
      <c r="AB4" s="54"/>
    </row>
    <row r="5" spans="1:4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4"/>
      <c r="M5" s="44"/>
      <c r="N5" s="43"/>
      <c r="O5" s="43"/>
      <c r="P5" s="43"/>
      <c r="Q5" s="43"/>
      <c r="R5" s="43"/>
      <c r="AK5" s="161"/>
      <c r="AL5" s="54"/>
    </row>
    <row r="6" spans="1:40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K6" s="161"/>
      <c r="AL6" s="54"/>
    </row>
    <row r="7" spans="1:40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19 OF "&amp;TEXT(Page_Num_2.3,"00")</f>
        <v>PAGE 19 OF 23</v>
      </c>
      <c r="AK7" s="161"/>
      <c r="AL7" s="54"/>
    </row>
    <row r="8" spans="1:40" x14ac:dyDescent="0.25">
      <c r="A8" s="46" t="s">
        <v>177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K8" s="161"/>
      <c r="AL8" s="54"/>
    </row>
    <row r="9" spans="1:40" x14ac:dyDescent="0.25">
      <c r="A9" s="218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M9" s="46"/>
      <c r="N9" s="378"/>
      <c r="O9" s="378"/>
      <c r="P9" s="378"/>
      <c r="Q9" s="378"/>
      <c r="R9" s="45" t="str">
        <f>WIT</f>
        <v>J. L. Kern</v>
      </c>
      <c r="AA9" s="54"/>
      <c r="AB9" s="54"/>
      <c r="AK9" s="156"/>
      <c r="AL9" s="53"/>
    </row>
    <row r="10" spans="1:40" x14ac:dyDescent="0.25">
      <c r="A10" s="44" t="s">
        <v>136</v>
      </c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4"/>
      <c r="M10" s="44"/>
      <c r="N10" s="43"/>
      <c r="O10" s="43"/>
      <c r="P10" s="43"/>
      <c r="Q10" s="43"/>
      <c r="R10" s="44"/>
      <c r="X10" s="55"/>
      <c r="Y10" s="55"/>
      <c r="Z10" s="55"/>
      <c r="AA10" s="55"/>
      <c r="AB10" s="55"/>
      <c r="AC10" s="55"/>
      <c r="AD10" s="55"/>
      <c r="AE10" s="55"/>
      <c r="AF10" s="55"/>
      <c r="AG10" s="154"/>
      <c r="AH10" s="55"/>
      <c r="AI10" s="55"/>
      <c r="AJ10" s="55"/>
      <c r="AK10" s="154"/>
      <c r="AL10" s="55"/>
      <c r="AM10" s="55"/>
      <c r="AN10" s="55"/>
    </row>
    <row r="11" spans="1:40" x14ac:dyDescent="0.25">
      <c r="A11" s="72"/>
      <c r="B11" s="72"/>
      <c r="C11" s="72"/>
      <c r="D11" s="72"/>
      <c r="E11" s="72"/>
      <c r="F11" s="378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AA11" s="56"/>
      <c r="AB11" s="56"/>
      <c r="AC11" s="56"/>
      <c r="AD11" s="56"/>
      <c r="AE11" s="56"/>
      <c r="AF11" s="56"/>
      <c r="AG11" s="155"/>
      <c r="AH11" s="56"/>
      <c r="AK11" s="155"/>
      <c r="AL11" s="56"/>
      <c r="AM11" s="56"/>
      <c r="AN11" s="56"/>
    </row>
    <row r="12" spans="1:40" ht="18" customHeight="1" x14ac:dyDescent="0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4" t="s">
        <v>6</v>
      </c>
      <c r="M12" s="74"/>
      <c r="N12" s="74" t="s">
        <v>7</v>
      </c>
      <c r="O12" s="74"/>
      <c r="P12" s="73"/>
      <c r="Q12" s="73"/>
      <c r="R12" s="74" t="s">
        <v>6</v>
      </c>
      <c r="Z12" s="56"/>
      <c r="AA12" s="56"/>
      <c r="AB12" s="56"/>
      <c r="AC12" s="56"/>
      <c r="AD12" s="56"/>
      <c r="AE12" s="56"/>
      <c r="AF12" s="56"/>
      <c r="AG12" s="155"/>
      <c r="AH12" s="56"/>
      <c r="AK12" s="155"/>
      <c r="AL12" s="56"/>
      <c r="AM12" s="56"/>
      <c r="AN12" s="56"/>
    </row>
    <row r="13" spans="1:40" x14ac:dyDescent="0.25">
      <c r="A13" s="378"/>
      <c r="B13" s="378"/>
      <c r="C13" s="378"/>
      <c r="D13" s="378"/>
      <c r="E13" s="378"/>
      <c r="F13" s="378"/>
      <c r="G13" s="378"/>
      <c r="H13" s="378"/>
      <c r="I13" s="378"/>
      <c r="J13" s="378"/>
      <c r="K13" s="378"/>
      <c r="L13" s="426" t="s">
        <v>12</v>
      </c>
      <c r="M13" s="426"/>
      <c r="N13" s="426" t="s">
        <v>13</v>
      </c>
      <c r="O13" s="426"/>
      <c r="P13" s="378"/>
      <c r="Q13" s="378"/>
      <c r="R13" s="426" t="s">
        <v>11</v>
      </c>
      <c r="T13" s="56"/>
      <c r="U13" s="56"/>
      <c r="V13" s="56"/>
      <c r="Z13" s="56"/>
      <c r="AA13" s="56"/>
      <c r="AB13" s="56"/>
      <c r="AC13" s="56"/>
      <c r="AD13" s="56"/>
      <c r="AE13" s="56"/>
      <c r="AF13" s="56"/>
      <c r="AG13" s="155"/>
      <c r="AH13" s="56"/>
      <c r="AI13" s="56"/>
      <c r="AJ13" s="56"/>
      <c r="AK13" s="155"/>
      <c r="AL13" s="56"/>
      <c r="AM13" s="56"/>
      <c r="AN13" s="56"/>
    </row>
    <row r="14" spans="1:40" x14ac:dyDescent="0.25">
      <c r="A14" s="426" t="s">
        <v>17</v>
      </c>
      <c r="B14" s="378"/>
      <c r="C14" s="426" t="s">
        <v>18</v>
      </c>
      <c r="D14" s="426" t="s">
        <v>19</v>
      </c>
      <c r="E14" s="426"/>
      <c r="F14" s="426" t="s">
        <v>20</v>
      </c>
      <c r="G14" s="378"/>
      <c r="H14" s="378"/>
      <c r="I14" s="378"/>
      <c r="J14" s="426" t="s">
        <v>6</v>
      </c>
      <c r="K14" s="426"/>
      <c r="L14" s="426" t="s">
        <v>21</v>
      </c>
      <c r="M14" s="426"/>
      <c r="N14" s="426" t="s">
        <v>21</v>
      </c>
      <c r="O14" s="426"/>
      <c r="P14" s="426" t="s">
        <v>21</v>
      </c>
      <c r="Q14" s="426"/>
      <c r="R14" s="426" t="s">
        <v>9</v>
      </c>
      <c r="T14" s="56"/>
      <c r="U14" s="56"/>
      <c r="V14" s="56"/>
      <c r="Y14" s="56"/>
      <c r="Z14" s="56"/>
      <c r="AA14" s="56"/>
      <c r="AB14" s="56"/>
      <c r="AC14" s="56"/>
      <c r="AD14" s="56"/>
      <c r="AE14" s="56"/>
      <c r="AF14" s="56"/>
      <c r="AG14" s="155"/>
      <c r="AH14" s="56"/>
      <c r="AI14" s="56"/>
      <c r="AJ14" s="56"/>
      <c r="AK14" s="155"/>
      <c r="AL14" s="56"/>
      <c r="AM14" s="56"/>
      <c r="AN14" s="56"/>
    </row>
    <row r="15" spans="1:40" x14ac:dyDescent="0.25">
      <c r="A15" s="426" t="s">
        <v>24</v>
      </c>
      <c r="B15" s="378"/>
      <c r="C15" s="426" t="s">
        <v>25</v>
      </c>
      <c r="D15" s="426" t="s">
        <v>26</v>
      </c>
      <c r="E15" s="426"/>
      <c r="F15" s="426" t="s">
        <v>27</v>
      </c>
      <c r="G15" s="378"/>
      <c r="H15" s="426" t="s">
        <v>28</v>
      </c>
      <c r="I15" s="426"/>
      <c r="J15" s="70" t="s">
        <v>380</v>
      </c>
      <c r="K15" s="426"/>
      <c r="L15" s="426" t="s">
        <v>9</v>
      </c>
      <c r="M15" s="426"/>
      <c r="N15" s="426" t="s">
        <v>9</v>
      </c>
      <c r="O15" s="426"/>
      <c r="P15" s="426" t="s">
        <v>379</v>
      </c>
      <c r="Q15" s="426"/>
      <c r="R15" s="265" t="s">
        <v>30</v>
      </c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154"/>
      <c r="AH15" s="55"/>
      <c r="AI15" s="55"/>
      <c r="AJ15" s="55"/>
      <c r="AK15" s="154"/>
      <c r="AL15" s="55"/>
      <c r="AM15" s="55"/>
      <c r="AN15" s="55"/>
    </row>
    <row r="16" spans="1:40" x14ac:dyDescent="0.25">
      <c r="A16" s="378"/>
      <c r="B16" s="378"/>
      <c r="C16" s="265" t="s">
        <v>35</v>
      </c>
      <c r="D16" s="265" t="s">
        <v>36</v>
      </c>
      <c r="E16" s="265"/>
      <c r="F16" s="265" t="s">
        <v>37</v>
      </c>
      <c r="G16" s="218"/>
      <c r="H16" s="265" t="s">
        <v>38</v>
      </c>
      <c r="I16" s="265"/>
      <c r="J16" s="265" t="s">
        <v>39</v>
      </c>
      <c r="K16" s="265"/>
      <c r="L16" s="265" t="s">
        <v>40</v>
      </c>
      <c r="M16" s="265"/>
      <c r="N16" s="265" t="s">
        <v>41</v>
      </c>
      <c r="O16" s="265"/>
      <c r="P16" s="265" t="s">
        <v>42</v>
      </c>
      <c r="Q16" s="265"/>
      <c r="R16" s="265" t="s">
        <v>43</v>
      </c>
      <c r="Y16" s="56"/>
      <c r="Z16" s="56"/>
      <c r="AA16" s="56"/>
      <c r="AB16" s="56"/>
      <c r="AC16" s="56"/>
      <c r="AD16" s="56"/>
      <c r="AE16" s="56"/>
      <c r="AF16" s="56"/>
      <c r="AG16" s="155"/>
      <c r="AH16" s="56"/>
      <c r="AI16" s="56"/>
      <c r="AJ16" s="56"/>
      <c r="AK16" s="155"/>
      <c r="AL16" s="56"/>
      <c r="AM16" s="56"/>
      <c r="AN16" s="56"/>
    </row>
    <row r="17" spans="1:76" ht="17.100000000000001" customHeight="1" x14ac:dyDescent="0.25">
      <c r="A17" s="73"/>
      <c r="B17" s="73"/>
      <c r="C17" s="73"/>
      <c r="D17" s="73"/>
      <c r="E17" s="73"/>
      <c r="F17" s="73"/>
      <c r="G17" s="73"/>
      <c r="H17" s="496" t="s">
        <v>51</v>
      </c>
      <c r="I17" s="496"/>
      <c r="J17" s="495" t="s">
        <v>356</v>
      </c>
      <c r="K17" s="496"/>
      <c r="L17" s="496" t="s">
        <v>52</v>
      </c>
      <c r="M17" s="496"/>
      <c r="N17" s="496" t="s">
        <v>53</v>
      </c>
      <c r="O17" s="496"/>
      <c r="P17" s="496" t="s">
        <v>52</v>
      </c>
      <c r="Q17" s="496"/>
      <c r="R17" s="496" t="s">
        <v>52</v>
      </c>
      <c r="T17" s="54"/>
      <c r="U17" s="54"/>
      <c r="Y17" s="137" t="s">
        <v>470</v>
      </c>
    </row>
    <row r="18" spans="1:76" x14ac:dyDescent="0.25">
      <c r="A18" s="380">
        <v>1</v>
      </c>
      <c r="C18" s="222" t="s">
        <v>75</v>
      </c>
      <c r="D18" s="222" t="s">
        <v>73</v>
      </c>
      <c r="E18" s="378"/>
      <c r="F18" s="2"/>
      <c r="G18" s="2"/>
      <c r="H18" s="459"/>
      <c r="I18" s="459"/>
      <c r="J18" s="565" t="s">
        <v>368</v>
      </c>
      <c r="K18" s="459"/>
      <c r="L18" s="459"/>
      <c r="M18" s="459"/>
      <c r="N18" s="459"/>
      <c r="O18" s="459"/>
      <c r="P18" s="459"/>
      <c r="Q18" s="459"/>
      <c r="R18" s="459"/>
      <c r="T18" s="54"/>
      <c r="U18" s="54"/>
      <c r="Y18" s="137" t="s">
        <v>471</v>
      </c>
    </row>
    <row r="19" spans="1:76" x14ac:dyDescent="0.25">
      <c r="A19" s="380">
        <v>2</v>
      </c>
      <c r="C19" s="444" t="s">
        <v>270</v>
      </c>
      <c r="E19" s="378"/>
      <c r="F19" s="2"/>
      <c r="G19" s="2"/>
      <c r="H19" s="2"/>
      <c r="I19" s="2"/>
      <c r="J19" s="112"/>
      <c r="K19" s="2"/>
      <c r="L19" s="2"/>
      <c r="M19" s="2"/>
      <c r="N19" s="2"/>
      <c r="O19" s="2"/>
      <c r="P19" s="2"/>
      <c r="Q19" s="2"/>
      <c r="R19" s="2"/>
      <c r="T19" s="54"/>
      <c r="U19" s="54"/>
    </row>
    <row r="20" spans="1:76" x14ac:dyDescent="0.25">
      <c r="A20" s="380">
        <v>3</v>
      </c>
      <c r="C20" s="222" t="s">
        <v>393</v>
      </c>
      <c r="D20" s="249"/>
      <c r="E20" s="378"/>
      <c r="F20" s="2"/>
      <c r="G20" s="2"/>
      <c r="H20" s="2"/>
      <c r="I20" s="2"/>
      <c r="J20" s="112"/>
      <c r="K20" s="2"/>
      <c r="L20" s="2"/>
      <c r="M20" s="2"/>
      <c r="N20" s="2"/>
      <c r="O20" s="2"/>
      <c r="P20" s="2"/>
      <c r="Q20" s="2"/>
      <c r="R20" s="2"/>
      <c r="T20" s="54"/>
      <c r="U20" s="54"/>
    </row>
    <row r="21" spans="1:76" x14ac:dyDescent="0.25">
      <c r="A21" s="380">
        <v>4</v>
      </c>
      <c r="C21" s="222" t="s">
        <v>394</v>
      </c>
      <c r="D21" s="249"/>
      <c r="E21" s="378"/>
      <c r="F21" s="2"/>
      <c r="G21" s="2"/>
      <c r="H21" s="2"/>
      <c r="I21" s="2"/>
      <c r="J21" s="112"/>
      <c r="K21" s="2"/>
      <c r="L21" s="2"/>
      <c r="M21" s="2"/>
      <c r="N21" s="2"/>
      <c r="O21" s="2"/>
      <c r="P21" s="2"/>
      <c r="Q21" s="2"/>
      <c r="R21" s="2"/>
      <c r="T21" s="54"/>
      <c r="U21" s="54"/>
    </row>
    <row r="22" spans="1:76" x14ac:dyDescent="0.25">
      <c r="A22" s="380">
        <v>5</v>
      </c>
      <c r="C22" s="46" t="s">
        <v>217</v>
      </c>
      <c r="E22" s="378"/>
      <c r="F22" s="200">
        <v>0</v>
      </c>
      <c r="G22" s="2"/>
      <c r="H22" s="200">
        <v>0</v>
      </c>
      <c r="I22" s="2"/>
      <c r="J22" s="223">
        <f>ROUND(AC95+(AC95*LT_COS_RATE),2)</f>
        <v>4.8</v>
      </c>
      <c r="K22" s="2"/>
      <c r="L22" s="83">
        <f>ROUND(F22*J22,0)</f>
        <v>0</v>
      </c>
      <c r="M22" s="2"/>
      <c r="N22" s="91">
        <f>ROUND((L22/L$72)*100,1)</f>
        <v>0</v>
      </c>
      <c r="O22" s="2"/>
      <c r="P22" s="83">
        <f>ROUND((P$72/H$72)*H22,0)</f>
        <v>0</v>
      </c>
      <c r="Q22" s="2"/>
      <c r="R22" s="83">
        <f>P22+L22</f>
        <v>0</v>
      </c>
      <c r="T22" s="54"/>
      <c r="U22" s="54"/>
      <c r="Y22" s="77">
        <f>J22-AY95</f>
        <v>3.1999999999999997</v>
      </c>
    </row>
    <row r="23" spans="1:76" x14ac:dyDescent="0.25">
      <c r="A23" s="380">
        <v>6</v>
      </c>
      <c r="C23" s="46" t="s">
        <v>395</v>
      </c>
      <c r="E23" s="378"/>
      <c r="F23" s="200">
        <v>0</v>
      </c>
      <c r="G23" s="2"/>
      <c r="H23" s="200">
        <v>0</v>
      </c>
      <c r="I23" s="2"/>
      <c r="J23" s="223">
        <f>ROUND(AC96+(AC96*LT_COS_RATE),2)</f>
        <v>6.12</v>
      </c>
      <c r="K23" s="2"/>
      <c r="L23" s="83">
        <f>ROUND(F23*J23,0)</f>
        <v>0</v>
      </c>
      <c r="M23" s="2"/>
      <c r="N23" s="91">
        <f>ROUND((L23/L$72)*100,1)</f>
        <v>0</v>
      </c>
      <c r="O23" s="2"/>
      <c r="P23" s="83">
        <f>ROUND((P$72/H$72)*H23,0)</f>
        <v>0</v>
      </c>
      <c r="Q23" s="2"/>
      <c r="R23" s="83">
        <f>P23+L23</f>
        <v>0</v>
      </c>
      <c r="T23" s="54"/>
      <c r="Y23" s="77">
        <f>J23-AY96</f>
        <v>3.85</v>
      </c>
      <c r="AO23" s="53"/>
      <c r="AP23" s="53"/>
    </row>
    <row r="24" spans="1:76" x14ac:dyDescent="0.25">
      <c r="A24" s="380">
        <v>7</v>
      </c>
      <c r="C24" s="46" t="s">
        <v>396</v>
      </c>
      <c r="E24" s="378"/>
      <c r="F24" s="200">
        <v>0</v>
      </c>
      <c r="G24" s="2"/>
      <c r="H24" s="200">
        <v>0</v>
      </c>
      <c r="I24" s="2"/>
      <c r="J24" s="223">
        <f>ROUND(AC97+(AC97*LT_COS_RATE),2)</f>
        <v>8.49</v>
      </c>
      <c r="K24" s="2"/>
      <c r="L24" s="83">
        <f>ROUND(F24*J24,0)</f>
        <v>0</v>
      </c>
      <c r="M24" s="2"/>
      <c r="N24" s="91">
        <f>ROUND((L24/L$72)*100,1)</f>
        <v>0</v>
      </c>
      <c r="O24" s="2"/>
      <c r="P24" s="83">
        <f>ROUND((P$72/H$72)*H24,0)</f>
        <v>0</v>
      </c>
      <c r="Q24" s="2"/>
      <c r="R24" s="83">
        <f>P24+L24</f>
        <v>0</v>
      </c>
      <c r="T24" s="58"/>
      <c r="U24" s="57"/>
      <c r="V24" s="57"/>
      <c r="W24" s="57"/>
      <c r="X24" s="57"/>
      <c r="Y24" s="77">
        <f>J24-AY97</f>
        <v>4.9400000000000004</v>
      </c>
      <c r="Z24" s="57"/>
      <c r="AA24" s="57"/>
      <c r="AB24" s="57"/>
      <c r="AC24" s="57"/>
      <c r="AD24" s="57"/>
      <c r="AE24" s="57"/>
      <c r="AF24" s="57"/>
      <c r="AG24" s="158"/>
      <c r="AH24" s="57"/>
      <c r="AI24" s="57"/>
      <c r="AJ24" s="57"/>
      <c r="AK24" s="158"/>
      <c r="AL24" s="57"/>
      <c r="AM24" s="57"/>
      <c r="AN24" s="57"/>
      <c r="AO24" s="57"/>
      <c r="AP24" s="57"/>
      <c r="AQ24" s="158"/>
    </row>
    <row r="25" spans="1:76" ht="15" customHeight="1" x14ac:dyDescent="0.25">
      <c r="C25" s="46"/>
      <c r="E25" s="378"/>
      <c r="F25" s="200"/>
      <c r="G25" s="2"/>
      <c r="H25" s="2"/>
      <c r="I25" s="2"/>
      <c r="J25" s="76"/>
      <c r="K25" s="2"/>
      <c r="L25" s="2"/>
      <c r="M25" s="2"/>
      <c r="N25" s="2"/>
      <c r="O25" s="2"/>
      <c r="P25" s="2"/>
      <c r="Q25" s="2"/>
      <c r="R25" s="2"/>
      <c r="AE25" s="56"/>
      <c r="AF25" s="56"/>
      <c r="AG25" s="155"/>
      <c r="AH25" s="56"/>
      <c r="AI25" s="56"/>
      <c r="AJ25" s="56"/>
      <c r="AK25" s="155"/>
      <c r="AL25" s="56"/>
      <c r="AO25" s="56"/>
      <c r="AP25" s="56"/>
      <c r="AQ25" s="155"/>
    </row>
    <row r="26" spans="1:76" x14ac:dyDescent="0.25">
      <c r="A26" s="380">
        <v>8</v>
      </c>
      <c r="C26" s="222" t="s">
        <v>397</v>
      </c>
      <c r="E26" s="378"/>
      <c r="F26" s="200"/>
      <c r="G26" s="2"/>
      <c r="H26" s="2"/>
      <c r="I26" s="2"/>
      <c r="J26" s="76"/>
      <c r="K26" s="2"/>
      <c r="L26" s="2"/>
      <c r="M26" s="2"/>
      <c r="N26" s="2"/>
      <c r="O26" s="2"/>
      <c r="P26" s="2"/>
      <c r="Q26" s="2"/>
      <c r="R26" s="2"/>
      <c r="AC26" s="56"/>
      <c r="AD26" s="56"/>
      <c r="AE26" s="56"/>
      <c r="AF26" s="56"/>
      <c r="AG26" s="155"/>
      <c r="AH26" s="56"/>
      <c r="AI26" s="56"/>
      <c r="AJ26" s="56"/>
      <c r="AK26" s="155"/>
      <c r="AL26" s="56"/>
      <c r="AO26" s="56"/>
      <c r="AP26" s="56"/>
      <c r="AQ26" s="155"/>
    </row>
    <row r="27" spans="1:76" x14ac:dyDescent="0.25">
      <c r="A27" s="380">
        <v>9</v>
      </c>
      <c r="C27" s="46" t="s">
        <v>398</v>
      </c>
      <c r="E27" s="378"/>
      <c r="F27" s="200">
        <v>0</v>
      </c>
      <c r="G27" s="2"/>
      <c r="H27" s="200">
        <v>0</v>
      </c>
      <c r="I27" s="2"/>
      <c r="J27" s="223">
        <f>ROUND(AC100+(AC100*LT_COS_RATE),2)</f>
        <v>4.8</v>
      </c>
      <c r="K27" s="2"/>
      <c r="L27" s="83">
        <f>ROUND(F27*J27,0)</f>
        <v>0</v>
      </c>
      <c r="M27" s="2"/>
      <c r="N27" s="91">
        <f>ROUND((L27/L$72)*100,1)</f>
        <v>0</v>
      </c>
      <c r="O27" s="2"/>
      <c r="P27" s="83">
        <f>ROUND((P$72/H$72)*H27,0)</f>
        <v>0</v>
      </c>
      <c r="Q27" s="2"/>
      <c r="R27" s="83">
        <f>P27+L27</f>
        <v>0</v>
      </c>
      <c r="T27" s="56"/>
      <c r="V27" s="56"/>
      <c r="W27" s="56"/>
      <c r="X27" s="56"/>
      <c r="Y27" s="77">
        <f>J27-AY100</f>
        <v>3.1999999999999997</v>
      </c>
      <c r="AA27" s="56"/>
      <c r="AB27" s="56"/>
      <c r="AC27" s="56"/>
      <c r="AD27" s="56"/>
      <c r="AE27" s="56"/>
      <c r="AF27" s="56"/>
      <c r="AG27" s="155"/>
      <c r="AH27" s="56"/>
      <c r="AI27" s="56"/>
      <c r="AJ27" s="56"/>
      <c r="AK27" s="155"/>
      <c r="AL27" s="56"/>
      <c r="AM27" s="56"/>
      <c r="AN27" s="56"/>
      <c r="AO27" s="56"/>
      <c r="AP27" s="56"/>
      <c r="AQ27" s="155"/>
      <c r="AS27" s="379"/>
      <c r="AT27" s="379"/>
      <c r="AU27" s="50"/>
      <c r="BX27" s="470"/>
    </row>
    <row r="28" spans="1:76" x14ac:dyDescent="0.25">
      <c r="A28" s="380">
        <v>10</v>
      </c>
      <c r="C28" s="46" t="s">
        <v>399</v>
      </c>
      <c r="E28" s="378"/>
      <c r="F28" s="200">
        <v>0</v>
      </c>
      <c r="G28" s="2"/>
      <c r="H28" s="200">
        <v>0</v>
      </c>
      <c r="I28" s="2"/>
      <c r="J28" s="223">
        <f>ROUND(AC101+(AC101*LT_COS_RATE),2)</f>
        <v>6.12</v>
      </c>
      <c r="K28" s="2"/>
      <c r="L28" s="83">
        <f>ROUND(F28*J28,0)</f>
        <v>0</v>
      </c>
      <c r="M28" s="2"/>
      <c r="N28" s="91">
        <f>ROUND((L28/L$72)*100,1)</f>
        <v>0</v>
      </c>
      <c r="O28" s="2"/>
      <c r="P28" s="83">
        <f>ROUND((P$72/H$72)*H28,0)</f>
        <v>0</v>
      </c>
      <c r="Q28" s="2"/>
      <c r="R28" s="83">
        <f>P28+L28</f>
        <v>0</v>
      </c>
      <c r="Y28" s="77">
        <f>J28-AY101</f>
        <v>3.85</v>
      </c>
      <c r="AA28" s="56"/>
      <c r="AB28" s="56"/>
      <c r="AC28" s="56"/>
      <c r="AD28" s="56"/>
      <c r="AE28" s="56"/>
      <c r="AF28" s="56"/>
      <c r="AG28" s="155"/>
      <c r="AH28" s="56"/>
      <c r="AI28" s="56"/>
      <c r="AJ28" s="56"/>
      <c r="AK28" s="155"/>
      <c r="AL28" s="56"/>
      <c r="AM28" s="56"/>
      <c r="AN28" s="56"/>
      <c r="AO28" s="56"/>
      <c r="AP28" s="56"/>
      <c r="AQ28" s="155"/>
      <c r="AS28" s="379"/>
      <c r="AT28" s="379"/>
      <c r="AU28" s="476"/>
    </row>
    <row r="29" spans="1:76" x14ac:dyDescent="0.25">
      <c r="A29" s="380">
        <v>11</v>
      </c>
      <c r="C29" s="46" t="s">
        <v>400</v>
      </c>
      <c r="E29" s="378"/>
      <c r="F29" s="200">
        <v>0</v>
      </c>
      <c r="G29" s="2"/>
      <c r="H29" s="200">
        <v>0</v>
      </c>
      <c r="I29" s="2"/>
      <c r="J29" s="223">
        <f>ROUND(AC102+(AC102*LT_COS_RATE),2)</f>
        <v>8.49</v>
      </c>
      <c r="K29" s="2"/>
      <c r="L29" s="83">
        <f>ROUND(F29*J29,0)</f>
        <v>0</v>
      </c>
      <c r="M29" s="2"/>
      <c r="N29" s="91">
        <f>ROUND((L29/L$72)*100,1)</f>
        <v>0</v>
      </c>
      <c r="O29" s="2"/>
      <c r="P29" s="83">
        <f>ROUND((P$72/H$72)*H29,0)</f>
        <v>0</v>
      </c>
      <c r="Q29" s="2"/>
      <c r="R29" s="83">
        <f>P29+L29</f>
        <v>0</v>
      </c>
      <c r="T29" s="53"/>
      <c r="W29" s="54"/>
      <c r="X29" s="54"/>
      <c r="Y29" s="77">
        <f>J29-AY102</f>
        <v>4.9400000000000004</v>
      </c>
      <c r="AS29" s="379"/>
      <c r="AT29" s="379"/>
      <c r="AU29" s="50"/>
    </row>
    <row r="30" spans="1:76" ht="15" customHeight="1" x14ac:dyDescent="0.25">
      <c r="C30" s="46"/>
      <c r="E30" s="378"/>
      <c r="F30" s="200"/>
      <c r="G30" s="2"/>
      <c r="H30" s="2"/>
      <c r="I30" s="2"/>
      <c r="J30" s="76"/>
      <c r="K30" s="2"/>
      <c r="L30" s="2"/>
      <c r="M30" s="2"/>
      <c r="N30" s="2"/>
      <c r="O30" s="2"/>
      <c r="P30" s="2"/>
      <c r="Q30" s="2"/>
      <c r="R30" s="2"/>
      <c r="T30" s="53"/>
      <c r="W30" s="54"/>
      <c r="X30" s="54"/>
      <c r="AS30" s="379"/>
      <c r="AT30" s="379"/>
      <c r="AU30" s="50"/>
    </row>
    <row r="31" spans="1:76" x14ac:dyDescent="0.25">
      <c r="A31" s="380">
        <v>12</v>
      </c>
      <c r="C31" s="222" t="s">
        <v>401</v>
      </c>
      <c r="E31" s="378"/>
      <c r="F31" s="200"/>
      <c r="G31" s="2"/>
      <c r="H31" s="2"/>
      <c r="I31" s="2"/>
      <c r="J31" s="76"/>
      <c r="K31" s="2"/>
      <c r="L31" s="2"/>
      <c r="M31" s="2"/>
      <c r="N31" s="2"/>
      <c r="O31" s="2"/>
      <c r="P31" s="2"/>
      <c r="Q31" s="2"/>
      <c r="R31" s="2"/>
      <c r="AS31" s="379"/>
      <c r="AT31" s="379"/>
      <c r="AU31" s="50"/>
    </row>
    <row r="32" spans="1:76" x14ac:dyDescent="0.25">
      <c r="A32" s="380">
        <v>13</v>
      </c>
      <c r="C32" s="46" t="s">
        <v>402</v>
      </c>
      <c r="E32" s="378"/>
      <c r="F32" s="200">
        <v>0</v>
      </c>
      <c r="G32" s="108"/>
      <c r="H32" s="200">
        <f>ROUND(F32*487/12,0)</f>
        <v>0</v>
      </c>
      <c r="I32" s="2"/>
      <c r="J32" s="223">
        <f>ROUND(AC105+(AC105*LT_COS_RATE),2)</f>
        <v>5.78</v>
      </c>
      <c r="K32" s="2"/>
      <c r="L32" s="83">
        <f>ROUND(F32*J32,0)</f>
        <v>0</v>
      </c>
      <c r="M32" s="84"/>
      <c r="N32" s="91">
        <f>ROUND((L32/L$72)*100,1)</f>
        <v>0</v>
      </c>
      <c r="O32" s="2"/>
      <c r="P32" s="83">
        <f>ROUND((P$72/H$72)*H32,0)</f>
        <v>0</v>
      </c>
      <c r="Q32" s="2"/>
      <c r="R32" s="83">
        <f>P32+L32</f>
        <v>0</v>
      </c>
      <c r="Y32" s="77">
        <f>J32-AY105</f>
        <v>4.8100000000000005</v>
      </c>
    </row>
    <row r="33" spans="1:51" x14ac:dyDescent="0.25">
      <c r="A33" s="380">
        <v>14</v>
      </c>
      <c r="C33" s="46" t="s">
        <v>222</v>
      </c>
      <c r="E33" s="378"/>
      <c r="F33" s="200">
        <v>0</v>
      </c>
      <c r="G33" s="2"/>
      <c r="H33" s="200">
        <v>0</v>
      </c>
      <c r="I33" s="2"/>
      <c r="J33" s="223">
        <f>ROUND(AC106+(AC106*LT_COS_RATE),2)</f>
        <v>6.44</v>
      </c>
      <c r="K33" s="2"/>
      <c r="L33" s="83">
        <f>ROUND(F33*J33,0)</f>
        <v>0</v>
      </c>
      <c r="M33" s="2"/>
      <c r="N33" s="91">
        <f>ROUND((L33/L$72)*100,1)</f>
        <v>0</v>
      </c>
      <c r="O33" s="2"/>
      <c r="P33" s="83">
        <f>ROUND((P$72/H$72)*H33,0)</f>
        <v>0</v>
      </c>
      <c r="Q33" s="2"/>
      <c r="R33" s="83">
        <f>P33+L33</f>
        <v>0</v>
      </c>
      <c r="Y33" s="77">
        <f>J33-AY106</f>
        <v>5.03</v>
      </c>
      <c r="AA33" s="396"/>
    </row>
    <row r="34" spans="1:51" x14ac:dyDescent="0.25">
      <c r="A34" s="380">
        <v>15</v>
      </c>
      <c r="C34" s="46" t="s">
        <v>223</v>
      </c>
      <c r="E34" s="378"/>
      <c r="F34" s="200">
        <v>0</v>
      </c>
      <c r="G34" s="2"/>
      <c r="H34" s="200">
        <v>0</v>
      </c>
      <c r="I34" s="2"/>
      <c r="J34" s="223">
        <f>ROUND(AC107+(AC107*LT_COS_RATE),2)</f>
        <v>7.08</v>
      </c>
      <c r="K34" s="2"/>
      <c r="L34" s="83">
        <f>ROUND(F34*J34,0)</f>
        <v>0</v>
      </c>
      <c r="M34" s="2"/>
      <c r="N34" s="91">
        <f>ROUND((L34/L$72)*100,1)</f>
        <v>0</v>
      </c>
      <c r="O34" s="2"/>
      <c r="P34" s="83">
        <f>ROUND((P$72/H$72)*H34,0)</f>
        <v>0</v>
      </c>
      <c r="Q34" s="2"/>
      <c r="R34" s="83">
        <f>P34+L34</f>
        <v>0</v>
      </c>
      <c r="Y34" s="77">
        <f>J34-AY107</f>
        <v>5.2</v>
      </c>
    </row>
    <row r="35" spans="1:51" x14ac:dyDescent="0.25">
      <c r="A35" s="380">
        <v>16</v>
      </c>
      <c r="C35" s="380" t="s">
        <v>324</v>
      </c>
      <c r="F35" s="382">
        <v>0</v>
      </c>
      <c r="H35" s="200">
        <v>0</v>
      </c>
      <c r="J35" s="223">
        <f>ROUND(AC108+(AC108*LT_COS_RATE),2)</f>
        <v>7.08</v>
      </c>
      <c r="L35" s="83">
        <f>ROUND(F35*J35,0)</f>
        <v>0</v>
      </c>
      <c r="N35" s="91">
        <f>ROUND((L35/L$72)*100,1)</f>
        <v>0</v>
      </c>
      <c r="P35" s="83">
        <f>ROUND((P$72/H$72)*H35,0)</f>
        <v>0</v>
      </c>
      <c r="R35" s="83">
        <f>P35+L35</f>
        <v>0</v>
      </c>
      <c r="Y35" s="77">
        <f>J35-AY108</f>
        <v>5.2</v>
      </c>
      <c r="AR35" s="379"/>
    </row>
    <row r="36" spans="1:51" x14ac:dyDescent="0.25">
      <c r="A36" s="380">
        <v>17</v>
      </c>
      <c r="C36" s="380" t="s">
        <v>224</v>
      </c>
      <c r="F36" s="382">
        <v>0</v>
      </c>
      <c r="H36" s="200">
        <v>0</v>
      </c>
      <c r="J36" s="223">
        <f>ROUND(AC109+(AC109*LT_COS_RATE),2)</f>
        <v>9.59</v>
      </c>
      <c r="L36" s="83">
        <f>ROUND(F36*J36,0)</f>
        <v>0</v>
      </c>
      <c r="N36" s="91">
        <f>ROUND((L36/L$72)*100,1)</f>
        <v>0</v>
      </c>
      <c r="P36" s="83">
        <f>ROUND((P$72/H$72)*H36,0)</f>
        <v>0</v>
      </c>
      <c r="R36" s="83">
        <f>P36+L36</f>
        <v>0</v>
      </c>
      <c r="Y36" s="77">
        <f>J36-AY109</f>
        <v>5.6999999999999993</v>
      </c>
      <c r="AR36" s="379"/>
    </row>
    <row r="37" spans="1:51" ht="15" customHeight="1" x14ac:dyDescent="0.25">
      <c r="C37" s="46"/>
      <c r="E37" s="378"/>
      <c r="F37" s="200"/>
      <c r="G37" s="108"/>
      <c r="H37" s="108"/>
      <c r="I37" s="2"/>
      <c r="J37" s="76"/>
      <c r="K37" s="2"/>
      <c r="L37" s="83"/>
      <c r="M37" s="84"/>
      <c r="N37" s="91"/>
      <c r="O37" s="2"/>
      <c r="P37" s="83"/>
      <c r="Q37" s="2"/>
      <c r="R37" s="83"/>
    </row>
    <row r="38" spans="1:51" x14ac:dyDescent="0.25">
      <c r="A38" s="380">
        <v>18</v>
      </c>
      <c r="C38" s="222" t="s">
        <v>403</v>
      </c>
      <c r="E38" s="378"/>
      <c r="F38" s="200"/>
      <c r="G38" s="108"/>
      <c r="H38" s="108"/>
      <c r="I38" s="2"/>
      <c r="J38" s="76"/>
      <c r="K38" s="2"/>
      <c r="L38" s="83"/>
      <c r="M38" s="84"/>
      <c r="N38" s="91"/>
      <c r="O38" s="2"/>
      <c r="P38" s="83"/>
      <c r="Q38" s="2"/>
      <c r="R38" s="83"/>
    </row>
    <row r="39" spans="1:51" x14ac:dyDescent="0.25">
      <c r="A39" s="380">
        <v>19</v>
      </c>
      <c r="C39" s="222" t="s">
        <v>404</v>
      </c>
      <c r="E39" s="378"/>
      <c r="F39" s="200"/>
      <c r="G39" s="108"/>
      <c r="H39" s="108"/>
      <c r="I39" s="2"/>
      <c r="J39" s="76"/>
      <c r="K39" s="2"/>
      <c r="L39" s="83"/>
      <c r="M39" s="84"/>
      <c r="N39" s="91"/>
      <c r="O39" s="2"/>
      <c r="P39" s="83"/>
      <c r="Q39" s="2"/>
      <c r="R39" s="83"/>
    </row>
    <row r="40" spans="1:51" x14ac:dyDescent="0.25">
      <c r="A40" s="380">
        <v>20</v>
      </c>
      <c r="C40" s="46" t="s">
        <v>243</v>
      </c>
      <c r="E40" s="378"/>
      <c r="F40" s="200">
        <v>0</v>
      </c>
      <c r="G40" s="108"/>
      <c r="H40" s="200">
        <v>0</v>
      </c>
      <c r="I40" s="2"/>
      <c r="J40" s="223">
        <f>ROUND(AC113+(AC113*LT_COS_RATE),2)</f>
        <v>6.11</v>
      </c>
      <c r="K40" s="2"/>
      <c r="L40" s="83">
        <f>ROUND(F40*J40,0)</f>
        <v>0</v>
      </c>
      <c r="M40" s="84"/>
      <c r="N40" s="91">
        <f>ROUND((L40/L$72)*100,1)</f>
        <v>0</v>
      </c>
      <c r="O40" s="2"/>
      <c r="P40" s="83">
        <f>ROUND((P$72/H$72)*H40,0)</f>
        <v>0</v>
      </c>
      <c r="Q40" s="2"/>
      <c r="R40" s="83">
        <f>P40+L40</f>
        <v>0</v>
      </c>
      <c r="Y40" s="77">
        <f>J40-AY113</f>
        <v>4.37</v>
      </c>
    </row>
    <row r="41" spans="1:51" x14ac:dyDescent="0.25">
      <c r="A41" s="380">
        <v>21</v>
      </c>
      <c r="C41" s="46" t="s">
        <v>405</v>
      </c>
      <c r="E41" s="378"/>
      <c r="F41" s="200">
        <v>0</v>
      </c>
      <c r="G41" s="108"/>
      <c r="H41" s="200">
        <v>0</v>
      </c>
      <c r="I41" s="2"/>
      <c r="J41" s="223">
        <f>ROUND(AC114+(AC114*LT_COS_RATE),2)</f>
        <v>6.05</v>
      </c>
      <c r="K41" s="2"/>
      <c r="L41" s="83">
        <f>ROUND(F41*J41,0)</f>
        <v>0</v>
      </c>
      <c r="M41" s="84"/>
      <c r="N41" s="91">
        <f>ROUND((L41/L$72)*100,1)</f>
        <v>0</v>
      </c>
      <c r="O41" s="2"/>
      <c r="P41" s="83">
        <f>ROUND((P$72/H$72)*H41,0)</f>
        <v>0</v>
      </c>
      <c r="Q41" s="2"/>
      <c r="R41" s="83">
        <f>P41+L41</f>
        <v>0</v>
      </c>
      <c r="Y41" s="77">
        <f>J41-AY114</f>
        <v>4.3599999999999994</v>
      </c>
    </row>
    <row r="42" spans="1:51" x14ac:dyDescent="0.25">
      <c r="A42" s="380">
        <v>22</v>
      </c>
      <c r="C42" s="46" t="s">
        <v>244</v>
      </c>
      <c r="E42" s="378"/>
      <c r="F42" s="200">
        <v>0</v>
      </c>
      <c r="G42" s="108"/>
      <c r="H42" s="200">
        <v>0</v>
      </c>
      <c r="I42" s="2"/>
      <c r="J42" s="223">
        <f>ROUND(AC115+(AC115*LT_COS_RATE),2)</f>
        <v>6.11</v>
      </c>
      <c r="K42" s="2"/>
      <c r="L42" s="83">
        <f>ROUND(F42*J42,0)</f>
        <v>0</v>
      </c>
      <c r="M42" s="84"/>
      <c r="N42" s="91">
        <f>ROUND((L42/L$72)*100,1)</f>
        <v>0</v>
      </c>
      <c r="O42" s="2"/>
      <c r="P42" s="83">
        <f>ROUND((P$72/H$72)*H42,0)</f>
        <v>0</v>
      </c>
      <c r="Q42" s="2"/>
      <c r="R42" s="83">
        <f>P42+L42</f>
        <v>0</v>
      </c>
      <c r="Y42" s="77">
        <f>J42-AY115</f>
        <v>4.37</v>
      </c>
    </row>
    <row r="43" spans="1:51" x14ac:dyDescent="0.25">
      <c r="A43" s="380">
        <v>23</v>
      </c>
      <c r="C43" s="46" t="s">
        <v>245</v>
      </c>
      <c r="E43" s="378"/>
      <c r="F43" s="200">
        <v>0</v>
      </c>
      <c r="G43" s="108"/>
      <c r="H43" s="200">
        <v>0</v>
      </c>
      <c r="I43" s="2"/>
      <c r="J43" s="223">
        <f>ROUND(AC116+(AC116*LT_COS_RATE),2)</f>
        <v>6.11</v>
      </c>
      <c r="K43" s="2"/>
      <c r="L43" s="83">
        <f>ROUND(F43*J43,0)</f>
        <v>0</v>
      </c>
      <c r="M43" s="84"/>
      <c r="N43" s="91">
        <f>ROUND((L43/L$72)*100,1)</f>
        <v>0</v>
      </c>
      <c r="O43" s="2"/>
      <c r="P43" s="83">
        <f>ROUND((P$72/H$72)*H43,0)</f>
        <v>0</v>
      </c>
      <c r="Q43" s="2"/>
      <c r="R43" s="83">
        <f>P43+L43</f>
        <v>0</v>
      </c>
      <c r="Y43" s="77">
        <f>J43-AY116</f>
        <v>4.37</v>
      </c>
    </row>
    <row r="44" spans="1:51" ht="15" customHeight="1" x14ac:dyDescent="0.25">
      <c r="C44" s="46"/>
      <c r="E44" s="378"/>
      <c r="F44" s="200"/>
      <c r="G44" s="108"/>
      <c r="H44" s="108"/>
      <c r="I44" s="2"/>
      <c r="J44" s="76"/>
      <c r="K44" s="2"/>
      <c r="L44" s="83"/>
      <c r="M44" s="84"/>
      <c r="N44" s="91"/>
      <c r="O44" s="2"/>
      <c r="P44" s="83"/>
      <c r="Q44" s="2"/>
      <c r="R44" s="83"/>
    </row>
    <row r="45" spans="1:51" x14ac:dyDescent="0.25">
      <c r="A45" s="380">
        <v>24</v>
      </c>
      <c r="C45" s="222" t="s">
        <v>406</v>
      </c>
      <c r="E45" s="378"/>
      <c r="F45" s="200"/>
      <c r="G45" s="108"/>
      <c r="H45" s="108"/>
      <c r="I45" s="2"/>
      <c r="J45" s="76"/>
      <c r="K45" s="2"/>
      <c r="L45" s="83"/>
      <c r="M45" s="84"/>
      <c r="N45" s="91"/>
      <c r="O45" s="2"/>
      <c r="P45" s="83"/>
      <c r="Q45" s="2"/>
      <c r="R45" s="83"/>
      <c r="AX45" s="380" t="s">
        <v>354</v>
      </c>
      <c r="AY45" s="380" t="s">
        <v>355</v>
      </c>
    </row>
    <row r="46" spans="1:51" x14ac:dyDescent="0.25">
      <c r="A46" s="380">
        <v>25</v>
      </c>
      <c r="C46" s="46" t="s">
        <v>407</v>
      </c>
      <c r="E46" s="378"/>
      <c r="F46" s="200">
        <v>0</v>
      </c>
      <c r="G46" s="108"/>
      <c r="H46" s="200">
        <v>0</v>
      </c>
      <c r="I46" s="2"/>
      <c r="J46" s="223">
        <f>ROUND(AC119+(AC119*LT_COS_RATE),2)</f>
        <v>6.05</v>
      </c>
      <c r="K46" s="2"/>
      <c r="L46" s="83">
        <f>ROUND(F46*J46,0)</f>
        <v>0</v>
      </c>
      <c r="M46" s="84"/>
      <c r="N46" s="91">
        <f>ROUND((L46/L$72)*100,1)</f>
        <v>0</v>
      </c>
      <c r="O46" s="2"/>
      <c r="P46" s="83">
        <f>ROUND((P$72/H$72)*H46,0)</f>
        <v>0</v>
      </c>
      <c r="Q46" s="2"/>
      <c r="R46" s="83">
        <f>P46+L46</f>
        <v>0</v>
      </c>
      <c r="Y46" s="77">
        <f>J46-AY119</f>
        <v>4.3599999999999994</v>
      </c>
      <c r="AW46" s="380" t="s">
        <v>353</v>
      </c>
      <c r="AX46" s="380" t="s">
        <v>352</v>
      </c>
      <c r="AY46" s="380" t="s">
        <v>352</v>
      </c>
    </row>
    <row r="47" spans="1:51" x14ac:dyDescent="0.25">
      <c r="A47" s="380">
        <v>26</v>
      </c>
      <c r="C47" s="46" t="s">
        <v>306</v>
      </c>
      <c r="E47" s="378"/>
      <c r="F47" s="200">
        <v>0</v>
      </c>
      <c r="G47" s="108"/>
      <c r="H47" s="200">
        <v>0</v>
      </c>
      <c r="I47" s="2"/>
      <c r="J47" s="223">
        <f>ROUND(AC120+(AC120*LT_COS_RATE),2)</f>
        <v>6.11</v>
      </c>
      <c r="K47" s="2"/>
      <c r="L47" s="83">
        <f>ROUND(F47*J47,0)</f>
        <v>0</v>
      </c>
      <c r="M47" s="84"/>
      <c r="N47" s="91">
        <f>ROUND((L47/L$72)*100,1)</f>
        <v>0</v>
      </c>
      <c r="O47" s="2"/>
      <c r="P47" s="83">
        <f>ROUND((P$72/H$72)*H47,0)</f>
        <v>0</v>
      </c>
      <c r="Q47" s="2"/>
      <c r="R47" s="83">
        <f>P47+L47</f>
        <v>0</v>
      </c>
      <c r="Y47" s="77">
        <f>J47-AY120</f>
        <v>4.37</v>
      </c>
    </row>
    <row r="48" spans="1:51" x14ac:dyDescent="0.25">
      <c r="A48" s="380">
        <v>27</v>
      </c>
      <c r="C48" s="380" t="s">
        <v>244</v>
      </c>
      <c r="E48" s="378"/>
      <c r="F48" s="200">
        <v>0</v>
      </c>
      <c r="G48" s="108"/>
      <c r="H48" s="200">
        <v>0</v>
      </c>
      <c r="I48" s="2"/>
      <c r="J48" s="223">
        <f>ROUND(AC121+(AC121*LT_COS_RATE),2)</f>
        <v>6.11</v>
      </c>
      <c r="K48" s="2"/>
      <c r="L48" s="83">
        <f>ROUND(F48*J48,0)</f>
        <v>0</v>
      </c>
      <c r="M48" s="84"/>
      <c r="N48" s="91">
        <f>ROUND((L48/L$72)*100,1)</f>
        <v>0</v>
      </c>
      <c r="O48" s="2"/>
      <c r="P48" s="83">
        <f>ROUND((P$72/H$72)*H48,0)</f>
        <v>0</v>
      </c>
      <c r="Q48" s="2"/>
      <c r="R48" s="83">
        <f>P48+L48</f>
        <v>0</v>
      </c>
      <c r="Y48" s="77">
        <f>J48-AY121</f>
        <v>4.37</v>
      </c>
    </row>
    <row r="49" spans="1:51" ht="15" customHeight="1" x14ac:dyDescent="0.25">
      <c r="C49" s="46"/>
      <c r="D49" s="46"/>
      <c r="E49" s="378"/>
      <c r="F49" s="200"/>
      <c r="G49" s="108"/>
      <c r="H49" s="108"/>
      <c r="I49" s="2"/>
      <c r="J49" s="76"/>
      <c r="K49" s="2"/>
      <c r="L49" s="83"/>
      <c r="M49" s="84"/>
      <c r="N49" s="91"/>
      <c r="O49" s="2"/>
      <c r="P49" s="83"/>
      <c r="Q49" s="2"/>
      <c r="R49" s="83"/>
    </row>
    <row r="50" spans="1:51" x14ac:dyDescent="0.25">
      <c r="A50" s="380">
        <v>28</v>
      </c>
      <c r="C50" s="222" t="s">
        <v>408</v>
      </c>
      <c r="E50" s="378"/>
      <c r="F50" s="200"/>
      <c r="G50" s="108"/>
      <c r="H50" s="108"/>
      <c r="I50" s="2"/>
      <c r="J50" s="76"/>
      <c r="K50" s="2"/>
      <c r="L50" s="83"/>
      <c r="M50" s="84"/>
      <c r="N50" s="91"/>
      <c r="O50" s="2"/>
      <c r="P50" s="83"/>
      <c r="Q50" s="2"/>
      <c r="R50" s="83"/>
    </row>
    <row r="51" spans="1:51" x14ac:dyDescent="0.25">
      <c r="A51" s="380">
        <v>29</v>
      </c>
      <c r="C51" s="46" t="s">
        <v>405</v>
      </c>
      <c r="D51" s="46"/>
      <c r="E51" s="378"/>
      <c r="F51" s="200">
        <v>0</v>
      </c>
      <c r="G51" s="108"/>
      <c r="H51" s="200">
        <v>0</v>
      </c>
      <c r="I51" s="2"/>
      <c r="J51" s="223">
        <f t="shared" ref="J51:J57" si="0">ROUND(AC124+(AC124*LT_COS_RATE),2)</f>
        <v>5.69</v>
      </c>
      <c r="K51" s="2"/>
      <c r="L51" s="83">
        <f t="shared" ref="L51:L57" si="1">ROUND(F51*J51,0)</f>
        <v>0</v>
      </c>
      <c r="M51" s="84"/>
      <c r="N51" s="91">
        <f t="shared" ref="N51:N57" si="2">ROUND((L51/L$72)*100,1)</f>
        <v>0</v>
      </c>
      <c r="O51" s="2"/>
      <c r="P51" s="83">
        <f t="shared" ref="P51:P57" si="3">ROUND((P$72/H$72)*H51,0)</f>
        <v>0</v>
      </c>
      <c r="Q51" s="2"/>
      <c r="R51" s="83">
        <f t="shared" ref="R51:R57" si="4">P51+L51</f>
        <v>0</v>
      </c>
      <c r="Y51" s="77">
        <f t="shared" ref="Y51:Y57" si="5">J51-AY124</f>
        <v>4.7200000000000006</v>
      </c>
    </row>
    <row r="52" spans="1:51" x14ac:dyDescent="0.25">
      <c r="A52" s="380">
        <v>30</v>
      </c>
      <c r="C52" s="46" t="s">
        <v>407</v>
      </c>
      <c r="D52" s="46"/>
      <c r="E52" s="378"/>
      <c r="F52" s="200">
        <v>0</v>
      </c>
      <c r="G52" s="108"/>
      <c r="H52" s="200">
        <v>0</v>
      </c>
      <c r="I52" s="2"/>
      <c r="J52" s="223">
        <f t="shared" si="0"/>
        <v>5.69</v>
      </c>
      <c r="K52" s="2"/>
      <c r="L52" s="83">
        <f t="shared" si="1"/>
        <v>0</v>
      </c>
      <c r="M52" s="84"/>
      <c r="N52" s="91">
        <f t="shared" si="2"/>
        <v>0</v>
      </c>
      <c r="O52" s="2"/>
      <c r="P52" s="83">
        <f t="shared" si="3"/>
        <v>0</v>
      </c>
      <c r="Q52" s="2"/>
      <c r="R52" s="83">
        <f t="shared" si="4"/>
        <v>0</v>
      </c>
      <c r="Y52" s="77">
        <f t="shared" si="5"/>
        <v>4.7200000000000006</v>
      </c>
    </row>
    <row r="53" spans="1:51" x14ac:dyDescent="0.25">
      <c r="A53" s="380">
        <v>31</v>
      </c>
      <c r="C53" s="46" t="s">
        <v>306</v>
      </c>
      <c r="D53" s="46"/>
      <c r="E53" s="378"/>
      <c r="F53" s="200">
        <v>0</v>
      </c>
      <c r="G53" s="108"/>
      <c r="H53" s="200">
        <v>0</v>
      </c>
      <c r="I53" s="2"/>
      <c r="J53" s="223">
        <f t="shared" si="0"/>
        <v>5.94</v>
      </c>
      <c r="K53" s="2"/>
      <c r="L53" s="83">
        <f t="shared" si="1"/>
        <v>0</v>
      </c>
      <c r="M53" s="84"/>
      <c r="N53" s="91">
        <f t="shared" si="2"/>
        <v>0</v>
      </c>
      <c r="O53" s="2"/>
      <c r="P53" s="83">
        <f t="shared" si="3"/>
        <v>0</v>
      </c>
      <c r="Q53" s="2"/>
      <c r="R53" s="83">
        <f t="shared" si="4"/>
        <v>0</v>
      </c>
      <c r="Y53" s="77">
        <f t="shared" si="5"/>
        <v>4.8800000000000008</v>
      </c>
      <c r="AW53" s="108">
        <f>487</f>
        <v>487</v>
      </c>
      <c r="AX53" s="84">
        <f>ROUND((AW53/12)*CUR_BASE_FUEL,2)</f>
        <v>0.97</v>
      </c>
      <c r="AY53" s="84">
        <f>ROUND((AW53/12)*PRO_BASE_FUEL,2)</f>
        <v>0.97</v>
      </c>
    </row>
    <row r="54" spans="1:51" x14ac:dyDescent="0.25">
      <c r="A54" s="380">
        <v>32</v>
      </c>
      <c r="C54" s="46" t="s">
        <v>247</v>
      </c>
      <c r="D54" s="46"/>
      <c r="E54" s="378"/>
      <c r="F54" s="200">
        <v>0</v>
      </c>
      <c r="G54" s="108"/>
      <c r="H54" s="200">
        <v>0</v>
      </c>
      <c r="I54" s="2"/>
      <c r="J54" s="223">
        <f t="shared" si="0"/>
        <v>5.69</v>
      </c>
      <c r="K54" s="2"/>
      <c r="L54" s="83">
        <f t="shared" si="1"/>
        <v>0</v>
      </c>
      <c r="M54" s="84"/>
      <c r="N54" s="91">
        <f t="shared" si="2"/>
        <v>0</v>
      </c>
      <c r="O54" s="2"/>
      <c r="P54" s="83">
        <f t="shared" si="3"/>
        <v>0</v>
      </c>
      <c r="Q54" s="2"/>
      <c r="R54" s="83">
        <f t="shared" si="4"/>
        <v>0</v>
      </c>
      <c r="Y54" s="77">
        <f t="shared" si="5"/>
        <v>4.7200000000000006</v>
      </c>
      <c r="AW54" s="108"/>
    </row>
    <row r="55" spans="1:51" x14ac:dyDescent="0.25">
      <c r="A55" s="380">
        <v>33</v>
      </c>
      <c r="C55" s="46" t="s">
        <v>245</v>
      </c>
      <c r="D55" s="46"/>
      <c r="E55" s="378"/>
      <c r="F55" s="200">
        <v>0</v>
      </c>
      <c r="G55" s="2"/>
      <c r="H55" s="200">
        <v>0</v>
      </c>
      <c r="I55" s="2"/>
      <c r="J55" s="223">
        <f t="shared" si="0"/>
        <v>5.94</v>
      </c>
      <c r="K55" s="2"/>
      <c r="L55" s="83">
        <f t="shared" si="1"/>
        <v>0</v>
      </c>
      <c r="M55" s="2"/>
      <c r="N55" s="91">
        <f t="shared" si="2"/>
        <v>0</v>
      </c>
      <c r="O55" s="2"/>
      <c r="P55" s="83">
        <f t="shared" si="3"/>
        <v>0</v>
      </c>
      <c r="Q55" s="2"/>
      <c r="R55" s="83">
        <f t="shared" si="4"/>
        <v>0</v>
      </c>
      <c r="Y55" s="77">
        <f t="shared" si="5"/>
        <v>4.8800000000000008</v>
      </c>
      <c r="AW55" s="2"/>
    </row>
    <row r="56" spans="1:51" x14ac:dyDescent="0.25">
      <c r="A56" s="380">
        <v>34</v>
      </c>
      <c r="C56" s="46" t="s">
        <v>243</v>
      </c>
      <c r="D56" s="46"/>
      <c r="E56" s="378"/>
      <c r="F56" s="200">
        <v>0</v>
      </c>
      <c r="G56" s="2"/>
      <c r="H56" s="200">
        <v>0</v>
      </c>
      <c r="I56" s="2"/>
      <c r="J56" s="223">
        <f t="shared" si="0"/>
        <v>5.94</v>
      </c>
      <c r="K56" s="2"/>
      <c r="L56" s="83">
        <f t="shared" si="1"/>
        <v>0</v>
      </c>
      <c r="M56" s="2"/>
      <c r="N56" s="91">
        <f t="shared" si="2"/>
        <v>0</v>
      </c>
      <c r="O56" s="2"/>
      <c r="P56" s="83">
        <f t="shared" si="3"/>
        <v>0</v>
      </c>
      <c r="Q56" s="2"/>
      <c r="R56" s="83">
        <f t="shared" si="4"/>
        <v>0</v>
      </c>
      <c r="Y56" s="77">
        <f t="shared" si="5"/>
        <v>4.8800000000000008</v>
      </c>
      <c r="AW56" s="2"/>
    </row>
    <row r="57" spans="1:51" x14ac:dyDescent="0.25">
      <c r="A57" s="380">
        <v>35</v>
      </c>
      <c r="C57" s="46" t="s">
        <v>244</v>
      </c>
      <c r="D57" s="46"/>
      <c r="E57" s="378"/>
      <c r="F57" s="200">
        <v>0</v>
      </c>
      <c r="G57" s="2"/>
      <c r="H57" s="200">
        <v>0</v>
      </c>
      <c r="I57" s="2"/>
      <c r="J57" s="223">
        <f t="shared" si="0"/>
        <v>5.94</v>
      </c>
      <c r="K57" s="2"/>
      <c r="L57" s="83">
        <f t="shared" si="1"/>
        <v>0</v>
      </c>
      <c r="M57" s="2"/>
      <c r="N57" s="91">
        <f t="shared" si="2"/>
        <v>0</v>
      </c>
      <c r="O57" s="2"/>
      <c r="P57" s="83">
        <f t="shared" si="3"/>
        <v>0</v>
      </c>
      <c r="Q57" s="2"/>
      <c r="R57" s="83">
        <f t="shared" si="4"/>
        <v>0</v>
      </c>
      <c r="Y57" s="77">
        <f t="shared" si="5"/>
        <v>4.8800000000000008</v>
      </c>
      <c r="AW57" s="94"/>
      <c r="AX57" s="380">
        <f>CUR_BASE_FUEL</f>
        <v>2.3837000000000001E-2</v>
      </c>
      <c r="AY57" s="380">
        <f>PRO_BASE_FUEL</f>
        <v>2.3837000000000001E-2</v>
      </c>
    </row>
    <row r="58" spans="1:51" ht="15" customHeight="1" x14ac:dyDescent="0.25">
      <c r="D58" s="46"/>
      <c r="E58" s="378"/>
      <c r="F58" s="200"/>
      <c r="G58" s="2"/>
      <c r="H58" s="378"/>
      <c r="I58" s="2"/>
      <c r="J58" s="76"/>
      <c r="K58" s="2"/>
      <c r="L58" s="2"/>
      <c r="M58" s="2"/>
      <c r="N58" s="2"/>
      <c r="O58" s="2"/>
      <c r="P58" s="2"/>
      <c r="Q58" s="2"/>
      <c r="R58" s="2"/>
    </row>
    <row r="59" spans="1:51" x14ac:dyDescent="0.25">
      <c r="A59" s="380">
        <v>36</v>
      </c>
      <c r="C59" s="222" t="s">
        <v>409</v>
      </c>
      <c r="D59" s="46"/>
      <c r="E59" s="378"/>
      <c r="F59" s="200"/>
      <c r="G59" s="2"/>
      <c r="H59" s="378"/>
      <c r="I59" s="2"/>
      <c r="J59" s="76"/>
      <c r="K59" s="2"/>
      <c r="L59" s="2"/>
      <c r="M59" s="2"/>
      <c r="N59" s="2"/>
      <c r="O59" s="2"/>
      <c r="P59" s="2"/>
      <c r="Q59" s="2"/>
      <c r="R59" s="2"/>
    </row>
    <row r="60" spans="1:51" x14ac:dyDescent="0.25">
      <c r="A60" s="380">
        <v>37</v>
      </c>
      <c r="C60" s="46" t="s">
        <v>227</v>
      </c>
      <c r="D60" s="46"/>
      <c r="E60" s="378"/>
      <c r="F60" s="200">
        <v>0</v>
      </c>
      <c r="G60" s="2"/>
      <c r="H60" s="200">
        <v>0</v>
      </c>
      <c r="I60" s="2"/>
      <c r="J60" s="223">
        <f>ROUND(AC133+(AC133*LT_COS_RATE),2)</f>
        <v>7.5</v>
      </c>
      <c r="K60" s="2"/>
      <c r="L60" s="83">
        <f>ROUND(F60*J60,0)</f>
        <v>0</v>
      </c>
      <c r="M60" s="2"/>
      <c r="N60" s="91">
        <f>ROUND((L60/L$72)*100,1)</f>
        <v>0</v>
      </c>
      <c r="O60" s="2"/>
      <c r="P60" s="83">
        <f>ROUND((P$72/H$72)*H60,0)</f>
        <v>0</v>
      </c>
      <c r="Q60" s="2"/>
      <c r="R60" s="83">
        <f>P60+L60</f>
        <v>0</v>
      </c>
      <c r="Y60" s="77">
        <f>J60-AY133</f>
        <v>5.4700000000000006</v>
      </c>
    </row>
    <row r="61" spans="1:51" x14ac:dyDescent="0.25">
      <c r="A61" s="380">
        <v>38</v>
      </c>
      <c r="C61" s="46" t="s">
        <v>228</v>
      </c>
      <c r="D61" s="46"/>
      <c r="E61" s="378"/>
      <c r="F61" s="200">
        <v>0</v>
      </c>
      <c r="G61" s="2"/>
      <c r="H61" s="200">
        <v>0</v>
      </c>
      <c r="I61" s="2"/>
      <c r="J61" s="223">
        <f>ROUND(AC134+(AC134*LT_COS_RATE),2)</f>
        <v>9.92</v>
      </c>
      <c r="K61" s="2"/>
      <c r="L61" s="83">
        <f>ROUND(F61*J61,0)</f>
        <v>0</v>
      </c>
      <c r="M61" s="2"/>
      <c r="N61" s="91">
        <f>ROUND((L61/L$72)*100,1)</f>
        <v>0</v>
      </c>
      <c r="O61" s="2"/>
      <c r="P61" s="83">
        <f>ROUND((P$72/H$72)*H61,0)</f>
        <v>0</v>
      </c>
      <c r="Q61" s="2"/>
      <c r="R61" s="83">
        <f>P61+L61</f>
        <v>0</v>
      </c>
      <c r="Y61" s="77">
        <f>J61-AY134</f>
        <v>6.0299999999999994</v>
      </c>
    </row>
    <row r="62" spans="1:51" x14ac:dyDescent="0.25">
      <c r="C62" s="46"/>
      <c r="D62" s="46"/>
      <c r="E62" s="378"/>
      <c r="F62" s="200"/>
      <c r="G62" s="2"/>
      <c r="H62" s="2"/>
      <c r="I62" s="2"/>
      <c r="J62" s="76"/>
      <c r="K62" s="2"/>
      <c r="L62" s="2"/>
      <c r="M62" s="2"/>
      <c r="N62" s="2"/>
      <c r="O62" s="2"/>
      <c r="P62" s="2"/>
      <c r="Q62" s="2"/>
      <c r="R62" s="2"/>
    </row>
    <row r="63" spans="1:51" x14ac:dyDescent="0.25">
      <c r="A63" s="380">
        <v>39</v>
      </c>
      <c r="C63" s="222" t="s">
        <v>76</v>
      </c>
      <c r="E63" s="378"/>
      <c r="F63" s="200"/>
      <c r="G63" s="2"/>
      <c r="H63" s="2"/>
      <c r="I63" s="2"/>
      <c r="J63" s="76"/>
      <c r="K63" s="2"/>
      <c r="L63" s="2"/>
      <c r="M63" s="2"/>
      <c r="N63" s="2"/>
      <c r="O63" s="2"/>
      <c r="P63" s="2"/>
      <c r="Q63" s="2"/>
      <c r="R63" s="2"/>
    </row>
    <row r="64" spans="1:51" x14ac:dyDescent="0.25">
      <c r="A64" s="380">
        <v>40</v>
      </c>
      <c r="C64" s="222" t="s">
        <v>77</v>
      </c>
      <c r="E64" s="378"/>
      <c r="F64" s="452">
        <v>2065</v>
      </c>
      <c r="G64" s="2"/>
      <c r="H64" s="494">
        <f>8133*12</f>
        <v>97596</v>
      </c>
      <c r="I64" s="2"/>
      <c r="J64" s="224">
        <f>ROUND(AC137+(AC137*LT_COS_RATE),6)</f>
        <v>4.3003E-2</v>
      </c>
      <c r="K64" s="2"/>
      <c r="L64" s="81">
        <f>ROUND((H64*J64),0)</f>
        <v>4197</v>
      </c>
      <c r="M64" s="2"/>
      <c r="N64" s="88">
        <f>ROUND((L64/L$72)*100,1)</f>
        <v>94.3</v>
      </c>
      <c r="O64" s="2"/>
      <c r="P64" s="81">
        <f>ROUND((P$72/H$72)*H64,0)</f>
        <v>66</v>
      </c>
      <c r="Q64" s="2"/>
      <c r="R64" s="81">
        <f>P64+L64</f>
        <v>4263</v>
      </c>
      <c r="Y64" s="396">
        <f>J64-PRO_BASE_FUEL</f>
        <v>1.9165999999999999E-2</v>
      </c>
    </row>
    <row r="65" spans="1:43" ht="20.100000000000001" customHeight="1" x14ac:dyDescent="0.25">
      <c r="A65" s="45">
        <v>41</v>
      </c>
      <c r="B65" s="378"/>
      <c r="C65" s="444" t="s">
        <v>545</v>
      </c>
      <c r="D65" s="378"/>
      <c r="E65" s="378"/>
      <c r="F65" s="89">
        <f>SUM(F22:F64)</f>
        <v>2065</v>
      </c>
      <c r="G65" s="2"/>
      <c r="H65" s="89">
        <f>SUM(H22:H64)</f>
        <v>97596</v>
      </c>
      <c r="I65" s="2"/>
      <c r="J65" s="266"/>
      <c r="K65" s="2"/>
      <c r="L65" s="89">
        <f>SUM(L22:L64)</f>
        <v>4197</v>
      </c>
      <c r="M65" s="2"/>
      <c r="N65" s="93">
        <f>ROUND((L65/L$72)*100,1)</f>
        <v>94.3</v>
      </c>
      <c r="O65" s="2"/>
      <c r="P65" s="89">
        <f>SUM(P22:P64)</f>
        <v>66</v>
      </c>
      <c r="Q65" s="2"/>
      <c r="R65" s="89">
        <f>SUM(R22:R64)</f>
        <v>4263</v>
      </c>
      <c r="Y65" s="396"/>
    </row>
    <row r="66" spans="1:43" x14ac:dyDescent="0.25">
      <c r="A66" s="45"/>
      <c r="B66" s="378"/>
      <c r="C66" s="444"/>
      <c r="D66" s="378"/>
      <c r="E66" s="378"/>
      <c r="F66" s="449"/>
      <c r="G66" s="2"/>
      <c r="H66" s="447"/>
      <c r="I66" s="2"/>
      <c r="J66" s="224"/>
      <c r="K66" s="2"/>
      <c r="L66" s="83"/>
      <c r="M66" s="2"/>
      <c r="N66" s="91"/>
      <c r="O66" s="2"/>
      <c r="P66" s="83"/>
      <c r="Q66" s="2"/>
      <c r="R66" s="83"/>
      <c r="Y66" s="396"/>
    </row>
    <row r="67" spans="1:43" x14ac:dyDescent="0.25">
      <c r="A67" s="45">
        <v>42</v>
      </c>
      <c r="B67" s="378"/>
      <c r="C67" s="222" t="s">
        <v>542</v>
      </c>
      <c r="D67" s="378"/>
      <c r="E67" s="378"/>
      <c r="F67" s="449"/>
      <c r="G67" s="2"/>
      <c r="H67" s="447"/>
      <c r="I67" s="2"/>
      <c r="J67" s="224"/>
      <c r="K67" s="2"/>
      <c r="L67" s="83"/>
      <c r="M67" s="2"/>
      <c r="N67" s="91"/>
      <c r="O67" s="2"/>
      <c r="P67" s="83"/>
      <c r="Q67" s="2"/>
      <c r="R67" s="83"/>
      <c r="Y67" s="396"/>
    </row>
    <row r="68" spans="1:43" x14ac:dyDescent="0.25">
      <c r="A68" s="45">
        <v>43</v>
      </c>
      <c r="B68" s="378"/>
      <c r="C68" s="216" t="str">
        <f>ESM_Name</f>
        <v>ENVIRONMENTAL SURCHARGE MECHANISM RIDER (ESM)</v>
      </c>
      <c r="D68" s="378"/>
      <c r="E68" s="378"/>
      <c r="F68" s="83"/>
      <c r="G68" s="2"/>
      <c r="H68" s="83"/>
      <c r="I68" s="5"/>
      <c r="J68" s="522"/>
      <c r="K68" s="2"/>
      <c r="L68" s="83">
        <f>AE141</f>
        <v>268</v>
      </c>
      <c r="M68" s="2"/>
      <c r="N68" s="91">
        <f>ROUND((L68/L$72)*100,1)</f>
        <v>6</v>
      </c>
      <c r="O68" s="2"/>
      <c r="P68" s="83"/>
      <c r="Q68" s="2"/>
      <c r="R68" s="83">
        <f t="shared" ref="R68" si="6">P68+L68</f>
        <v>268</v>
      </c>
      <c r="Y68" s="396"/>
    </row>
    <row r="69" spans="1:43" x14ac:dyDescent="0.25">
      <c r="A69" s="45">
        <v>44</v>
      </c>
      <c r="B69" s="378"/>
      <c r="C69" s="300" t="str">
        <f>PSM_Name</f>
        <v>PROFIT SHARING MECHANISM (PSM)</v>
      </c>
      <c r="D69" s="378"/>
      <c r="E69" s="378"/>
      <c r="F69" s="83"/>
      <c r="G69" s="2"/>
      <c r="H69" s="83"/>
      <c r="I69" s="5"/>
      <c r="J69" s="551">
        <f>PRO_PSM</f>
        <v>-1.63E-4</v>
      </c>
      <c r="K69" s="2"/>
      <c r="L69" s="81">
        <f>ROUND($H$65*J69,0)</f>
        <v>-16</v>
      </c>
      <c r="M69" s="2"/>
      <c r="N69" s="148">
        <f>ROUND((L69/L$72)*100,1)</f>
        <v>-0.4</v>
      </c>
      <c r="O69" s="2"/>
      <c r="P69" s="81"/>
      <c r="Q69" s="2"/>
      <c r="R69" s="83">
        <f t="shared" ref="R69" si="7">P69+L69</f>
        <v>-16</v>
      </c>
      <c r="Y69" s="396"/>
    </row>
    <row r="70" spans="1:43" ht="20.100000000000001" customHeight="1" x14ac:dyDescent="0.25">
      <c r="A70" s="45">
        <v>45</v>
      </c>
      <c r="B70" s="378"/>
      <c r="C70" s="222" t="s">
        <v>538</v>
      </c>
      <c r="D70" s="378"/>
      <c r="E70" s="378"/>
      <c r="F70" s="452"/>
      <c r="G70" s="2"/>
      <c r="H70" s="494"/>
      <c r="I70" s="2"/>
      <c r="J70" s="224"/>
      <c r="K70" s="2"/>
      <c r="L70" s="90">
        <f>SUM(L68:L69)</f>
        <v>252</v>
      </c>
      <c r="M70" s="2"/>
      <c r="N70" s="150">
        <f>ROUND((L70/L$72)*100,1)</f>
        <v>5.7</v>
      </c>
      <c r="O70" s="2"/>
      <c r="P70" s="90"/>
      <c r="Q70" s="2"/>
      <c r="R70" s="90">
        <f>SUM(R68:R69)</f>
        <v>252</v>
      </c>
      <c r="Y70" s="396"/>
    </row>
    <row r="71" spans="1:43" x14ac:dyDescent="0.25">
      <c r="C71" s="222"/>
      <c r="E71" s="378"/>
      <c r="F71" s="449"/>
      <c r="G71" s="2"/>
      <c r="H71" s="447"/>
      <c r="I71" s="2"/>
      <c r="J71" s="224"/>
      <c r="K71" s="2"/>
      <c r="L71" s="83"/>
      <c r="M71" s="2"/>
      <c r="N71" s="91"/>
      <c r="O71" s="2"/>
      <c r="P71" s="83"/>
      <c r="Q71" s="2"/>
      <c r="R71" s="83"/>
      <c r="Y71" s="396"/>
    </row>
    <row r="72" spans="1:43" ht="20.100000000000001" customHeight="1" thickBot="1" x14ac:dyDescent="0.3">
      <c r="A72" s="380">
        <v>46</v>
      </c>
      <c r="C72" s="222" t="s">
        <v>546</v>
      </c>
      <c r="D72" s="378"/>
      <c r="E72" s="378"/>
      <c r="F72" s="117">
        <f>F65</f>
        <v>2065</v>
      </c>
      <c r="G72" s="2"/>
      <c r="H72" s="117">
        <f>H65</f>
        <v>97596</v>
      </c>
      <c r="I72" s="2"/>
      <c r="J72" s="112"/>
      <c r="K72" s="2"/>
      <c r="L72" s="117">
        <f>L70+L65</f>
        <v>4449</v>
      </c>
      <c r="M72" s="2"/>
      <c r="N72" s="118">
        <v>100</v>
      </c>
      <c r="O72" s="2"/>
      <c r="P72" s="525">
        <f>ROUND(H72*CUR_FAC,0)</f>
        <v>66</v>
      </c>
      <c r="Q72" s="2"/>
      <c r="R72" s="117">
        <f>R70+R65</f>
        <v>4515</v>
      </c>
    </row>
    <row r="73" spans="1:43" ht="15" customHeight="1" thickTop="1" x14ac:dyDescent="0.25">
      <c r="A73" s="378"/>
      <c r="B73" s="378"/>
      <c r="C73" s="378"/>
      <c r="D73" s="378"/>
      <c r="E73" s="378"/>
      <c r="F73" s="86"/>
      <c r="G73" s="2"/>
      <c r="H73" s="86"/>
      <c r="I73" s="86"/>
      <c r="J73" s="485"/>
      <c r="K73" s="481"/>
      <c r="L73" s="5"/>
      <c r="M73" s="5"/>
      <c r="N73" s="6"/>
      <c r="O73" s="6"/>
      <c r="P73" s="5"/>
      <c r="Q73" s="5"/>
      <c r="R73" s="5"/>
      <c r="S73" s="379"/>
    </row>
    <row r="74" spans="1:43" x14ac:dyDescent="0.25">
      <c r="B74" s="378"/>
      <c r="C74" s="243" t="s">
        <v>78</v>
      </c>
      <c r="D74" s="378"/>
      <c r="E74" s="378"/>
      <c r="F74" s="392"/>
      <c r="G74" s="378"/>
      <c r="H74" s="392"/>
      <c r="I74" s="392"/>
      <c r="J74" s="223"/>
      <c r="K74" s="450"/>
      <c r="L74" s="48"/>
      <c r="M74" s="48"/>
      <c r="N74" s="49"/>
      <c r="O74" s="49"/>
      <c r="P74" s="48"/>
      <c r="Q74" s="48"/>
      <c r="R74" s="48"/>
      <c r="S74" s="379"/>
      <c r="T74" s="43" t="str">
        <f>NAME</f>
        <v>DUKE ENERGY KENTUCKY, INC.</v>
      </c>
      <c r="U74" s="43"/>
      <c r="V74" s="43"/>
      <c r="W74" s="43"/>
      <c r="X74" s="43"/>
      <c r="Y74" s="43"/>
      <c r="Z74" s="43"/>
      <c r="AA74" s="43"/>
      <c r="AB74" s="43"/>
      <c r="AC74" s="43"/>
      <c r="AD74" s="44"/>
      <c r="AE74" s="44"/>
      <c r="AF74" s="43"/>
      <c r="AG74" s="158"/>
      <c r="AH74" s="43"/>
      <c r="AI74" s="57"/>
      <c r="AJ74" s="43"/>
      <c r="AK74" s="144"/>
      <c r="AL74" s="43"/>
      <c r="AM74" s="43"/>
      <c r="AN74" s="43"/>
      <c r="AO74" s="57"/>
      <c r="AP74" s="43"/>
      <c r="AQ74" s="144"/>
    </row>
    <row r="75" spans="1:43" x14ac:dyDescent="0.25">
      <c r="B75" s="378"/>
      <c r="C75" s="243" t="str">
        <f>"(2) REFLECTS FUEL COMPONENT OF "&amp;TEXT(PRO_FAC,"$0.000000;($0.000000)")&amp;" PER KWH."</f>
        <v>(2) REFLECTS FUEL COMPONENT OF $0.000681 PER KWH.</v>
      </c>
      <c r="D75" s="378"/>
      <c r="E75" s="378"/>
      <c r="F75" s="392"/>
      <c r="G75" s="378"/>
      <c r="H75" s="392"/>
      <c r="I75" s="392"/>
      <c r="J75" s="223"/>
      <c r="K75" s="450"/>
      <c r="L75" s="48"/>
      <c r="M75" s="48"/>
      <c r="N75" s="49"/>
      <c r="O75" s="49"/>
      <c r="P75" s="48"/>
      <c r="Q75" s="48"/>
      <c r="R75" s="48"/>
      <c r="T75" s="43" t="str">
        <f>CASE_NO</f>
        <v>CASE NO.   2019-000271</v>
      </c>
      <c r="U75" s="43"/>
      <c r="V75" s="43"/>
      <c r="W75" s="43"/>
      <c r="X75" s="43"/>
      <c r="Y75" s="43"/>
      <c r="Z75" s="43"/>
      <c r="AA75" s="43"/>
      <c r="AB75" s="43"/>
      <c r="AC75" s="43"/>
      <c r="AD75" s="44"/>
      <c r="AE75" s="44"/>
      <c r="AF75" s="43"/>
      <c r="AG75" s="158"/>
      <c r="AH75" s="43"/>
      <c r="AI75" s="57"/>
      <c r="AJ75" s="43"/>
      <c r="AK75" s="144"/>
      <c r="AL75" s="43"/>
      <c r="AM75" s="43"/>
      <c r="AN75" s="43"/>
      <c r="AO75" s="57"/>
      <c r="AP75" s="43"/>
      <c r="AQ75" s="144"/>
    </row>
    <row r="76" spans="1:43" x14ac:dyDescent="0.25">
      <c r="B76" s="378"/>
      <c r="C76" s="243" t="str">
        <f>"(3) REFLECTS FUEL COST RECOVERY INCLUDED IN BASE RATES OF "&amp;TEXT(PRO_BASE_FUEL,"$0.000000;($0.000000)")&amp;"  PER KWH."</f>
        <v>(3) REFLECTS FUEL COST RECOVERY INCLUDED IN BASE RATES OF $0.023837  PER KWH.</v>
      </c>
      <c r="D76" s="378"/>
      <c r="E76" s="378"/>
      <c r="F76" s="392"/>
      <c r="G76" s="378"/>
      <c r="H76" s="392"/>
      <c r="I76" s="392"/>
      <c r="J76" s="223"/>
      <c r="K76" s="450"/>
      <c r="L76" s="48"/>
      <c r="M76" s="48"/>
      <c r="N76" s="49"/>
      <c r="O76" s="49"/>
      <c r="P76" s="48"/>
      <c r="Q76" s="48"/>
      <c r="R76" s="48"/>
      <c r="T76" s="44" t="str">
        <f>TITLE</f>
        <v>ANNUALIZED BASE YEAR REVENUES AT PROPOSED VS. MOST CURRENT RATES</v>
      </c>
      <c r="U76" s="43"/>
      <c r="V76" s="43"/>
      <c r="W76" s="43"/>
      <c r="X76" s="43"/>
      <c r="Y76" s="43"/>
      <c r="Z76" s="43"/>
      <c r="AA76" s="43"/>
      <c r="AB76" s="43"/>
      <c r="AC76" s="43"/>
      <c r="AD76" s="44"/>
      <c r="AE76" s="44"/>
      <c r="AF76" s="43"/>
      <c r="AG76" s="158"/>
      <c r="AH76" s="43"/>
      <c r="AI76" s="57"/>
      <c r="AJ76" s="43"/>
      <c r="AK76" s="144"/>
      <c r="AL76" s="43"/>
      <c r="AM76" s="43"/>
      <c r="AN76" s="43"/>
      <c r="AO76" s="57"/>
      <c r="AP76" s="43"/>
      <c r="AQ76" s="144"/>
    </row>
    <row r="77" spans="1:43" x14ac:dyDescent="0.25">
      <c r="F77" s="381"/>
      <c r="H77" s="379"/>
      <c r="I77" s="379"/>
      <c r="J77" s="464"/>
      <c r="K77" s="464"/>
      <c r="L77" s="381"/>
      <c r="M77" s="381"/>
      <c r="N77" s="381"/>
      <c r="O77" s="381"/>
      <c r="P77" s="381"/>
      <c r="Q77" s="381"/>
      <c r="R77" s="381"/>
      <c r="T77" s="43" t="str">
        <f>DATE</f>
        <v>FOR THE TWELVE MONTHS ENDED November 30, 2019</v>
      </c>
      <c r="U77" s="43"/>
      <c r="V77" s="43"/>
      <c r="W77" s="43"/>
      <c r="X77" s="43"/>
      <c r="Y77" s="43"/>
      <c r="Z77" s="43"/>
      <c r="AA77" s="43"/>
      <c r="AB77" s="43"/>
      <c r="AC77" s="44"/>
      <c r="AD77" s="44"/>
      <c r="AE77" s="43"/>
      <c r="AF77" s="57"/>
      <c r="AG77" s="144"/>
      <c r="AH77" s="57"/>
      <c r="AI77" s="43"/>
      <c r="AJ77" s="43"/>
      <c r="AK77" s="144"/>
      <c r="AL77" s="43"/>
      <c r="AM77" s="43"/>
      <c r="AN77" s="57"/>
      <c r="AO77" s="43"/>
      <c r="AP77" s="43"/>
      <c r="AQ77" s="144"/>
    </row>
    <row r="78" spans="1:43" x14ac:dyDescent="0.25">
      <c r="F78" s="381"/>
      <c r="H78" s="379"/>
      <c r="I78" s="379"/>
      <c r="J78" s="464"/>
      <c r="K78" s="464"/>
      <c r="L78" s="381"/>
      <c r="M78" s="381"/>
      <c r="N78" s="381"/>
      <c r="O78" s="381"/>
      <c r="P78" s="381"/>
      <c r="Q78" s="381"/>
      <c r="R78" s="381"/>
      <c r="T78" s="43" t="str">
        <f>SERVICE</f>
        <v>(ELECTRIC SERVICE)</v>
      </c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4"/>
      <c r="AF78" s="58"/>
      <c r="AG78" s="144"/>
      <c r="AH78" s="57"/>
      <c r="AI78" s="43"/>
      <c r="AJ78" s="43"/>
      <c r="AK78" s="144"/>
      <c r="AL78" s="43"/>
      <c r="AM78" s="43"/>
      <c r="AN78" s="57"/>
      <c r="AO78" s="43"/>
      <c r="AP78" s="43"/>
      <c r="AQ78" s="144"/>
    </row>
    <row r="79" spans="1:43" x14ac:dyDescent="0.25">
      <c r="F79" s="381"/>
      <c r="H79" s="379"/>
      <c r="I79" s="53"/>
      <c r="J79" s="221"/>
      <c r="K79" s="470"/>
      <c r="L79" s="381"/>
      <c r="M79" s="133"/>
      <c r="N79" s="182"/>
      <c r="O79" s="133"/>
      <c r="P79" s="381"/>
      <c r="Q79" s="133"/>
      <c r="R79" s="381"/>
      <c r="S79" s="379"/>
      <c r="T79" s="45" t="str">
        <f>DATA_PERIOD</f>
        <v>DATA: __X__ BASE PERIOD   ____FORECASTED PERIOD</v>
      </c>
      <c r="U79" s="378"/>
      <c r="V79" s="378"/>
      <c r="W79" s="378"/>
      <c r="X79" s="378"/>
      <c r="Y79" s="378"/>
      <c r="Z79" s="378"/>
      <c r="AA79" s="378"/>
      <c r="AB79" s="378"/>
      <c r="AC79" s="378"/>
      <c r="AD79" s="378"/>
      <c r="AE79" s="378"/>
      <c r="AG79" s="143"/>
      <c r="AI79" s="378"/>
      <c r="AJ79" s="378"/>
      <c r="AK79" s="143"/>
      <c r="AL79" s="378"/>
      <c r="AM79" s="378"/>
      <c r="AO79" s="46" t="s">
        <v>164</v>
      </c>
      <c r="AP79" s="46"/>
      <c r="AQ79" s="143"/>
    </row>
    <row r="80" spans="1:43" x14ac:dyDescent="0.25">
      <c r="A80" s="53"/>
      <c r="F80" s="382"/>
      <c r="G80" s="382"/>
      <c r="H80" s="382"/>
      <c r="I80" s="382"/>
      <c r="J80" s="382"/>
      <c r="K80" s="382"/>
      <c r="L80" s="382"/>
      <c r="M80" s="382"/>
      <c r="N80" s="382"/>
      <c r="O80" s="382"/>
      <c r="P80" s="183"/>
      <c r="Q80" s="183"/>
      <c r="R80" s="381"/>
      <c r="T80" s="45" t="str">
        <f>TYPE</f>
        <v>TYPE OF FILING: _X_ ORIGINAL   ___UPDATED  ___ REVISED</v>
      </c>
      <c r="U80" s="378"/>
      <c r="V80" s="378"/>
      <c r="W80" s="378"/>
      <c r="X80" s="378"/>
      <c r="Y80" s="378"/>
      <c r="Z80" s="378"/>
      <c r="AA80" s="378"/>
      <c r="AB80" s="378"/>
      <c r="AC80" s="378"/>
      <c r="AD80" s="378"/>
      <c r="AE80" s="378"/>
      <c r="AG80" s="143"/>
      <c r="AI80" s="378"/>
      <c r="AJ80" s="378"/>
      <c r="AK80" s="143"/>
      <c r="AL80" s="378"/>
      <c r="AM80" s="378"/>
      <c r="AO80" s="52" t="str">
        <f>"PAGE 19 OF "&amp;TEXT(Page_Num_2.2,"00")</f>
        <v>PAGE 19 OF 22</v>
      </c>
      <c r="AP80" s="46"/>
      <c r="AQ80" s="143"/>
    </row>
    <row r="81" spans="1:51" x14ac:dyDescent="0.25">
      <c r="A81" s="54"/>
      <c r="F81" s="382"/>
      <c r="G81" s="382"/>
      <c r="H81" s="382"/>
      <c r="I81" s="382"/>
      <c r="J81" s="382"/>
      <c r="K81" s="382"/>
      <c r="L81" s="382"/>
      <c r="M81" s="382"/>
      <c r="N81" s="382"/>
      <c r="O81" s="382"/>
      <c r="P81" s="382"/>
      <c r="Q81" s="382"/>
      <c r="R81" s="382"/>
      <c r="T81" s="46" t="s">
        <v>177</v>
      </c>
      <c r="U81" s="378"/>
      <c r="V81" s="378"/>
      <c r="W81" s="378"/>
      <c r="X81" s="378"/>
      <c r="Y81" s="378"/>
      <c r="Z81" s="378"/>
      <c r="AA81" s="378"/>
      <c r="AB81" s="378"/>
      <c r="AC81" s="378"/>
      <c r="AD81" s="378"/>
      <c r="AE81" s="378"/>
      <c r="AF81" s="378"/>
      <c r="AG81" s="143"/>
      <c r="AH81" s="378"/>
      <c r="AI81" s="378"/>
      <c r="AJ81" s="378"/>
      <c r="AK81" s="143"/>
      <c r="AL81" s="378"/>
      <c r="AM81" s="378"/>
      <c r="AN81" s="378"/>
      <c r="AO81" s="46" t="s">
        <v>3</v>
      </c>
      <c r="AP81" s="46"/>
      <c r="AQ81" s="143"/>
    </row>
    <row r="82" spans="1:51" x14ac:dyDescent="0.25">
      <c r="H82" s="54"/>
      <c r="I82" s="54"/>
      <c r="J82" s="77"/>
      <c r="T82" s="218" t="str">
        <f>TIME</f>
        <v>6 Months Actual and 6 Months Projected with Riders</v>
      </c>
      <c r="U82" s="378"/>
      <c r="V82" s="378"/>
      <c r="W82" s="378"/>
      <c r="X82" s="378"/>
      <c r="Y82" s="378"/>
      <c r="Z82" s="378"/>
      <c r="AA82" s="378"/>
      <c r="AB82" s="378"/>
      <c r="AC82" s="378"/>
      <c r="AD82" s="378"/>
      <c r="AF82" s="46"/>
      <c r="AG82" s="143"/>
      <c r="AH82" s="378"/>
      <c r="AI82" s="378"/>
      <c r="AJ82" s="378"/>
      <c r="AK82" s="143"/>
      <c r="AL82" s="378"/>
      <c r="AM82" s="378"/>
      <c r="AN82" s="378"/>
      <c r="AO82" s="48" t="str">
        <f>WIT</f>
        <v>J. L. Kern</v>
      </c>
      <c r="AP82" s="45"/>
      <c r="AQ82" s="143"/>
    </row>
    <row r="83" spans="1:51" x14ac:dyDescent="0.25">
      <c r="J83" s="65"/>
      <c r="K83" s="53"/>
      <c r="T83" s="44" t="s">
        <v>137</v>
      </c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4"/>
      <c r="AF83" s="44"/>
      <c r="AG83" s="144"/>
      <c r="AH83" s="43"/>
      <c r="AI83" s="43"/>
      <c r="AJ83" s="43"/>
      <c r="AK83" s="144"/>
      <c r="AL83" s="43"/>
      <c r="AM83" s="43"/>
      <c r="AN83" s="43"/>
      <c r="AO83" s="44"/>
      <c r="AP83" s="44"/>
      <c r="AQ83" s="144"/>
    </row>
    <row r="84" spans="1:51" x14ac:dyDescent="0.25">
      <c r="J84" s="77"/>
      <c r="L84" s="54"/>
      <c r="M84" s="54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159"/>
      <c r="AH84" s="72"/>
      <c r="AI84" s="72"/>
      <c r="AJ84" s="72"/>
      <c r="AK84" s="159"/>
      <c r="AL84" s="72"/>
      <c r="AM84" s="72"/>
      <c r="AN84" s="72"/>
      <c r="AO84" s="72"/>
      <c r="AP84" s="72"/>
      <c r="AQ84" s="159"/>
    </row>
    <row r="85" spans="1:51" ht="18" customHeight="1" x14ac:dyDescent="0.25">
      <c r="A85" s="53"/>
      <c r="J85" s="77"/>
      <c r="R85" s="54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4" t="s">
        <v>8</v>
      </c>
      <c r="AF85" s="74"/>
      <c r="AG85" s="160" t="s">
        <v>7</v>
      </c>
      <c r="AH85" s="74"/>
      <c r="AI85" s="74" t="s">
        <v>9</v>
      </c>
      <c r="AJ85" s="74"/>
      <c r="AK85" s="160" t="s">
        <v>10</v>
      </c>
      <c r="AL85" s="74"/>
      <c r="AM85" s="73"/>
      <c r="AN85" s="73"/>
      <c r="AO85" s="74" t="s">
        <v>8</v>
      </c>
      <c r="AP85" s="74"/>
      <c r="AQ85" s="160" t="s">
        <v>11</v>
      </c>
    </row>
    <row r="86" spans="1:51" x14ac:dyDescent="0.25">
      <c r="A86" s="53"/>
      <c r="J86" s="77"/>
      <c r="R86" s="54"/>
      <c r="T86" s="378"/>
      <c r="U86" s="378"/>
      <c r="V86" s="378"/>
      <c r="W86" s="378"/>
      <c r="X86" s="378"/>
      <c r="Y86" s="378"/>
      <c r="Z86" s="378"/>
      <c r="AA86" s="378"/>
      <c r="AB86" s="378"/>
      <c r="AC86" s="426" t="s">
        <v>14</v>
      </c>
      <c r="AD86" s="426"/>
      <c r="AE86" s="426" t="s">
        <v>12</v>
      </c>
      <c r="AF86" s="426"/>
      <c r="AG86" s="146" t="s">
        <v>13</v>
      </c>
      <c r="AH86" s="426"/>
      <c r="AI86" s="426" t="s">
        <v>15</v>
      </c>
      <c r="AJ86" s="426"/>
      <c r="AK86" s="146" t="s">
        <v>16</v>
      </c>
      <c r="AL86" s="426"/>
      <c r="AM86" s="378"/>
      <c r="AN86" s="378"/>
      <c r="AO86" s="426" t="s">
        <v>11</v>
      </c>
      <c r="AP86" s="426"/>
      <c r="AQ86" s="146" t="s">
        <v>9</v>
      </c>
    </row>
    <row r="87" spans="1:51" x14ac:dyDescent="0.25">
      <c r="A87" s="54"/>
      <c r="J87" s="77"/>
      <c r="R87" s="54"/>
      <c r="T87" s="426" t="s">
        <v>17</v>
      </c>
      <c r="U87" s="378"/>
      <c r="V87" s="426" t="s">
        <v>18</v>
      </c>
      <c r="W87" s="426" t="s">
        <v>19</v>
      </c>
      <c r="X87" s="426"/>
      <c r="Y87" s="426" t="s">
        <v>20</v>
      </c>
      <c r="Z87" s="378"/>
      <c r="AA87" s="378"/>
      <c r="AB87" s="378"/>
      <c r="AC87" s="426" t="s">
        <v>8</v>
      </c>
      <c r="AD87" s="426"/>
      <c r="AE87" s="426" t="s">
        <v>21</v>
      </c>
      <c r="AF87" s="426"/>
      <c r="AG87" s="146" t="s">
        <v>21</v>
      </c>
      <c r="AH87" s="426"/>
      <c r="AI87" s="426" t="s">
        <v>22</v>
      </c>
      <c r="AJ87" s="426"/>
      <c r="AK87" s="146" t="s">
        <v>22</v>
      </c>
      <c r="AL87" s="426"/>
      <c r="AM87" s="426" t="s">
        <v>21</v>
      </c>
      <c r="AN87" s="426"/>
      <c r="AO87" s="426" t="s">
        <v>9</v>
      </c>
      <c r="AP87" s="426"/>
      <c r="AQ87" s="146" t="s">
        <v>23</v>
      </c>
    </row>
    <row r="88" spans="1:51" x14ac:dyDescent="0.25">
      <c r="J88" s="77"/>
      <c r="L88" s="54"/>
      <c r="M88" s="54"/>
      <c r="R88" s="53"/>
      <c r="T88" s="426" t="s">
        <v>24</v>
      </c>
      <c r="U88" s="378"/>
      <c r="V88" s="426" t="s">
        <v>25</v>
      </c>
      <c r="W88" s="426" t="s">
        <v>26</v>
      </c>
      <c r="X88" s="426"/>
      <c r="Y88" s="426" t="s">
        <v>27</v>
      </c>
      <c r="Z88" s="378"/>
      <c r="AA88" s="426" t="s">
        <v>28</v>
      </c>
      <c r="AB88" s="426"/>
      <c r="AC88" s="70" t="s">
        <v>380</v>
      </c>
      <c r="AD88" s="426"/>
      <c r="AE88" s="426" t="s">
        <v>9</v>
      </c>
      <c r="AF88" s="426"/>
      <c r="AG88" s="146" t="s">
        <v>9</v>
      </c>
      <c r="AH88" s="426"/>
      <c r="AI88" s="265" t="s">
        <v>31</v>
      </c>
      <c r="AJ88" s="265"/>
      <c r="AK88" s="440" t="s">
        <v>32</v>
      </c>
      <c r="AL88" s="426"/>
      <c r="AM88" s="426" t="s">
        <v>379</v>
      </c>
      <c r="AN88" s="426"/>
      <c r="AO88" s="265" t="s">
        <v>33</v>
      </c>
      <c r="AP88" s="265"/>
      <c r="AQ88" s="440" t="s">
        <v>34</v>
      </c>
    </row>
    <row r="89" spans="1:5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66"/>
      <c r="K89" s="55"/>
      <c r="L89" s="55"/>
      <c r="M89" s="55"/>
      <c r="N89" s="55"/>
      <c r="O89" s="55"/>
      <c r="P89" s="55"/>
      <c r="Q89" s="55"/>
      <c r="R89" s="55"/>
      <c r="T89" s="378"/>
      <c r="U89" s="378"/>
      <c r="V89" s="265" t="s">
        <v>35</v>
      </c>
      <c r="W89" s="265" t="s">
        <v>36</v>
      </c>
      <c r="X89" s="265"/>
      <c r="Y89" s="265" t="s">
        <v>37</v>
      </c>
      <c r="Z89" s="218"/>
      <c r="AA89" s="265" t="s">
        <v>38</v>
      </c>
      <c r="AB89" s="265"/>
      <c r="AC89" s="430" t="s">
        <v>44</v>
      </c>
      <c r="AD89" s="265"/>
      <c r="AE89" s="265" t="s">
        <v>45</v>
      </c>
      <c r="AF89" s="265"/>
      <c r="AG89" s="440" t="s">
        <v>46</v>
      </c>
      <c r="AH89" s="265"/>
      <c r="AI89" s="265" t="s">
        <v>47</v>
      </c>
      <c r="AJ89" s="265"/>
      <c r="AK89" s="440" t="s">
        <v>48</v>
      </c>
      <c r="AL89" s="265"/>
      <c r="AM89" s="265" t="s">
        <v>42</v>
      </c>
      <c r="AN89" s="265"/>
      <c r="AO89" s="265" t="s">
        <v>49</v>
      </c>
      <c r="AP89" s="265"/>
      <c r="AQ89" s="440" t="s">
        <v>50</v>
      </c>
    </row>
    <row r="90" spans="1:51" ht="17.100000000000001" customHeight="1" x14ac:dyDescent="0.25">
      <c r="J90" s="77"/>
      <c r="L90" s="56"/>
      <c r="M90" s="56"/>
      <c r="N90" s="56"/>
      <c r="O90" s="56"/>
      <c r="R90" s="56"/>
      <c r="T90" s="73"/>
      <c r="U90" s="73"/>
      <c r="V90" s="73"/>
      <c r="W90" s="73"/>
      <c r="X90" s="73"/>
      <c r="Y90" s="73"/>
      <c r="Z90" s="73"/>
      <c r="AA90" s="496" t="s">
        <v>51</v>
      </c>
      <c r="AB90" s="496"/>
      <c r="AC90" s="566" t="s">
        <v>71</v>
      </c>
      <c r="AD90" s="496"/>
      <c r="AE90" s="496" t="s">
        <v>52</v>
      </c>
      <c r="AF90" s="496"/>
      <c r="AG90" s="498" t="s">
        <v>53</v>
      </c>
      <c r="AH90" s="496"/>
      <c r="AI90" s="496" t="s">
        <v>52</v>
      </c>
      <c r="AJ90" s="496"/>
      <c r="AK90" s="498" t="s">
        <v>53</v>
      </c>
      <c r="AL90" s="496"/>
      <c r="AM90" s="496" t="s">
        <v>52</v>
      </c>
      <c r="AN90" s="496"/>
      <c r="AO90" s="496" t="s">
        <v>52</v>
      </c>
      <c r="AP90" s="496"/>
      <c r="AQ90" s="498" t="s">
        <v>53</v>
      </c>
    </row>
    <row r="91" spans="1:51" x14ac:dyDescent="0.25">
      <c r="J91" s="77"/>
      <c r="L91" s="56"/>
      <c r="M91" s="56"/>
      <c r="N91" s="56"/>
      <c r="O91" s="56"/>
      <c r="R91" s="56"/>
      <c r="T91" s="380">
        <v>1</v>
      </c>
      <c r="V91" s="222" t="s">
        <v>75</v>
      </c>
      <c r="W91" s="222" t="s">
        <v>73</v>
      </c>
      <c r="X91" s="46"/>
      <c r="Y91" s="2"/>
      <c r="Z91" s="2"/>
      <c r="AA91" s="459"/>
      <c r="AB91" s="459"/>
      <c r="AC91" s="565" t="s">
        <v>368</v>
      </c>
      <c r="AD91" s="459"/>
      <c r="AE91" s="459"/>
      <c r="AF91" s="459"/>
      <c r="AG91" s="469"/>
      <c r="AH91" s="459"/>
      <c r="AI91" s="459"/>
      <c r="AJ91" s="459"/>
      <c r="AK91" s="469"/>
      <c r="AL91" s="459"/>
      <c r="AM91" s="459"/>
      <c r="AN91" s="459"/>
      <c r="AO91" s="459"/>
      <c r="AP91" s="459"/>
      <c r="AQ91" s="469"/>
    </row>
    <row r="92" spans="1:51" x14ac:dyDescent="0.25">
      <c r="A92" s="56"/>
      <c r="C92" s="56"/>
      <c r="D92" s="56"/>
      <c r="E92" s="56"/>
      <c r="F92" s="56"/>
      <c r="H92" s="56"/>
      <c r="I92" s="56"/>
      <c r="J92" s="67"/>
      <c r="K92" s="56"/>
      <c r="L92" s="56"/>
      <c r="M92" s="56"/>
      <c r="N92" s="56"/>
      <c r="O92" s="56"/>
      <c r="P92" s="56"/>
      <c r="Q92" s="56"/>
      <c r="R92" s="56"/>
      <c r="T92" s="380">
        <v>2</v>
      </c>
      <c r="V92" s="444" t="s">
        <v>270</v>
      </c>
      <c r="W92" s="249"/>
      <c r="X92" s="46"/>
      <c r="Y92" s="2"/>
      <c r="Z92" s="2"/>
      <c r="AA92" s="2"/>
      <c r="AB92" s="2"/>
      <c r="AC92" s="2"/>
      <c r="AD92" s="2"/>
      <c r="AE92" s="2"/>
      <c r="AF92" s="2"/>
      <c r="AG92" s="147"/>
      <c r="AH92" s="2"/>
      <c r="AI92" s="2"/>
      <c r="AJ92" s="2"/>
      <c r="AK92" s="147"/>
      <c r="AL92" s="2"/>
      <c r="AM92" s="2"/>
      <c r="AN92" s="2"/>
      <c r="AO92" s="2"/>
      <c r="AP92" s="2"/>
      <c r="AQ92" s="147"/>
      <c r="AU92" s="137" t="s">
        <v>471</v>
      </c>
    </row>
    <row r="93" spans="1:51" x14ac:dyDescent="0.25">
      <c r="C93" s="56"/>
      <c r="D93" s="56"/>
      <c r="E93" s="56"/>
      <c r="F93" s="56"/>
      <c r="H93" s="56"/>
      <c r="I93" s="56"/>
      <c r="J93" s="67"/>
      <c r="K93" s="56"/>
      <c r="L93" s="56"/>
      <c r="M93" s="56"/>
      <c r="N93" s="56"/>
      <c r="O93" s="56"/>
      <c r="P93" s="56"/>
      <c r="Q93" s="56"/>
      <c r="R93" s="56"/>
      <c r="T93" s="380">
        <v>3</v>
      </c>
      <c r="V93" s="222" t="s">
        <v>393</v>
      </c>
      <c r="W93" s="249"/>
      <c r="X93" s="46"/>
      <c r="Y93" s="108"/>
      <c r="Z93" s="2"/>
      <c r="AA93" s="2"/>
      <c r="AB93" s="2"/>
      <c r="AC93" s="2"/>
      <c r="AD93" s="2"/>
      <c r="AE93" s="2"/>
      <c r="AF93" s="2"/>
      <c r="AG93" s="147"/>
      <c r="AH93" s="2"/>
      <c r="AI93" s="2"/>
      <c r="AJ93" s="2"/>
      <c r="AK93" s="147"/>
      <c r="AL93" s="2"/>
      <c r="AM93" s="2"/>
      <c r="AN93" s="2"/>
      <c r="AO93" s="2"/>
      <c r="AP93" s="2"/>
      <c r="AQ93" s="147"/>
      <c r="AU93" s="137" t="s">
        <v>472</v>
      </c>
      <c r="AW93" s="380" t="s">
        <v>114</v>
      </c>
      <c r="AX93" s="380" t="s">
        <v>410</v>
      </c>
      <c r="AY93" s="380" t="s">
        <v>6</v>
      </c>
    </row>
    <row r="94" spans="1:5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66"/>
      <c r="K94" s="55"/>
      <c r="L94" s="55"/>
      <c r="M94" s="55"/>
      <c r="N94" s="55"/>
      <c r="O94" s="55"/>
      <c r="P94" s="55"/>
      <c r="Q94" s="55"/>
      <c r="R94" s="55"/>
      <c r="T94" s="380">
        <v>4</v>
      </c>
      <c r="V94" s="222" t="s">
        <v>394</v>
      </c>
      <c r="W94" s="249"/>
      <c r="X94" s="46"/>
      <c r="Y94" s="108"/>
      <c r="Z94" s="2"/>
      <c r="AA94" s="2"/>
      <c r="AB94" s="2"/>
      <c r="AC94" s="2"/>
      <c r="AD94" s="2"/>
      <c r="AE94" s="2"/>
      <c r="AF94" s="2"/>
      <c r="AG94" s="147"/>
      <c r="AH94" s="2"/>
      <c r="AI94" s="2"/>
      <c r="AJ94" s="2"/>
      <c r="AK94" s="147"/>
      <c r="AL94" s="2"/>
      <c r="AM94" s="2"/>
      <c r="AN94" s="2"/>
      <c r="AO94" s="2"/>
      <c r="AP94" s="2"/>
      <c r="AQ94" s="147"/>
      <c r="AW94" s="380" t="s">
        <v>411</v>
      </c>
      <c r="AX94" s="380" t="s">
        <v>112</v>
      </c>
      <c r="AY94" s="380" t="s">
        <v>412</v>
      </c>
    </row>
    <row r="95" spans="1:51" x14ac:dyDescent="0.25">
      <c r="H95" s="56"/>
      <c r="I95" s="56"/>
      <c r="J95" s="67"/>
      <c r="K95" s="56"/>
      <c r="L95" s="56"/>
      <c r="M95" s="56"/>
      <c r="N95" s="56"/>
      <c r="O95" s="56"/>
      <c r="P95" s="56"/>
      <c r="Q95" s="56"/>
      <c r="R95" s="56"/>
      <c r="T95" s="380">
        <v>5</v>
      </c>
      <c r="V95" s="46" t="s">
        <v>217</v>
      </c>
      <c r="X95" s="46"/>
      <c r="Y95" s="116">
        <f>F22</f>
        <v>0</v>
      </c>
      <c r="Z95" s="84"/>
      <c r="AA95" s="116">
        <f>H22</f>
        <v>0</v>
      </c>
      <c r="AB95" s="2"/>
      <c r="AC95" s="567">
        <v>4.28</v>
      </c>
      <c r="AD95" s="2"/>
      <c r="AE95" s="83">
        <f>ROUND(Y95*AC95,0)</f>
        <v>0</v>
      </c>
      <c r="AF95" s="2"/>
      <c r="AG95" s="383">
        <f>ROUND((AE95/AE$145)*100,1)</f>
        <v>0</v>
      </c>
      <c r="AH95" s="2"/>
      <c r="AI95" s="116">
        <f>L22-AE95</f>
        <v>0</v>
      </c>
      <c r="AJ95" s="2"/>
      <c r="AK95" s="383">
        <v>0</v>
      </c>
      <c r="AL95" s="2"/>
      <c r="AM95" s="83">
        <f>ROUND((AM$145/AA$145)*AA95,0)</f>
        <v>0</v>
      </c>
      <c r="AN95" s="2"/>
      <c r="AO95" s="83">
        <f>AM95+AE95</f>
        <v>0</v>
      </c>
      <c r="AP95" s="2"/>
      <c r="AQ95" s="383">
        <v>0</v>
      </c>
      <c r="AU95" s="77">
        <f>AC95-AX95</f>
        <v>2.68</v>
      </c>
      <c r="AV95" s="84"/>
      <c r="AW95" s="380">
        <v>803</v>
      </c>
      <c r="AX95" s="380">
        <f>ROUND((AW95/12)*CUR_BASE_FUEL,2)</f>
        <v>1.6</v>
      </c>
      <c r="AY95" s="380">
        <f>ROUND((AW95/12)*PRO_BASE_FUEL,2)</f>
        <v>1.6</v>
      </c>
    </row>
    <row r="96" spans="1:51" x14ac:dyDescent="0.25">
      <c r="A96" s="53"/>
      <c r="C96" s="54"/>
      <c r="D96" s="54"/>
      <c r="E96" s="54"/>
      <c r="J96" s="77"/>
      <c r="T96" s="380">
        <v>6</v>
      </c>
      <c r="V96" s="46" t="s">
        <v>395</v>
      </c>
      <c r="X96" s="46"/>
      <c r="Y96" s="116">
        <f>F23</f>
        <v>0</v>
      </c>
      <c r="Z96" s="84"/>
      <c r="AA96" s="116">
        <f>H23</f>
        <v>0</v>
      </c>
      <c r="AB96" s="2"/>
      <c r="AC96" s="567">
        <v>5.45</v>
      </c>
      <c r="AD96" s="2"/>
      <c r="AE96" s="83">
        <f>ROUND(Y96*AC96,0)</f>
        <v>0</v>
      </c>
      <c r="AF96" s="2"/>
      <c r="AG96" s="383">
        <f>ROUND((AE96/AE$145)*100,1)</f>
        <v>0</v>
      </c>
      <c r="AH96" s="2"/>
      <c r="AI96" s="116">
        <f>L23-AE96</f>
        <v>0</v>
      </c>
      <c r="AJ96" s="2"/>
      <c r="AK96" s="383">
        <v>0</v>
      </c>
      <c r="AL96" s="2"/>
      <c r="AM96" s="83">
        <f>ROUND((AM$145/AA$145)*AA96,0)</f>
        <v>0</v>
      </c>
      <c r="AN96" s="2"/>
      <c r="AO96" s="83">
        <f>AM96+AE96</f>
        <v>0</v>
      </c>
      <c r="AP96" s="2"/>
      <c r="AQ96" s="383">
        <v>0</v>
      </c>
      <c r="AU96" s="77">
        <f>AC96-AX96</f>
        <v>3.18</v>
      </c>
      <c r="AV96" s="84"/>
      <c r="AW96" s="380">
        <v>1144</v>
      </c>
      <c r="AX96" s="380">
        <f>ROUND((AW96/12)*CUR_BASE_FUEL,2)</f>
        <v>2.27</v>
      </c>
      <c r="AY96" s="380">
        <f>ROUND((AW96/12)*PRO_BASE_FUEL,2)</f>
        <v>2.27</v>
      </c>
    </row>
    <row r="97" spans="1:51" x14ac:dyDescent="0.25">
      <c r="A97" s="53"/>
      <c r="D97" s="54"/>
      <c r="E97" s="54"/>
      <c r="J97" s="77"/>
      <c r="T97" s="380">
        <v>7</v>
      </c>
      <c r="V97" s="46" t="s">
        <v>396</v>
      </c>
      <c r="X97" s="46"/>
      <c r="Y97" s="116">
        <f>F24</f>
        <v>0</v>
      </c>
      <c r="Z97" s="84"/>
      <c r="AA97" s="116">
        <f>H24</f>
        <v>0</v>
      </c>
      <c r="AB97" s="2"/>
      <c r="AC97" s="567">
        <v>7.56</v>
      </c>
      <c r="AD97" s="2"/>
      <c r="AE97" s="83">
        <f>ROUND(Y97*AC97,0)</f>
        <v>0</v>
      </c>
      <c r="AF97" s="2"/>
      <c r="AG97" s="383">
        <f>ROUND((AE97/AE$145)*100,1)</f>
        <v>0</v>
      </c>
      <c r="AH97" s="2"/>
      <c r="AI97" s="116">
        <f>L24-AE97</f>
        <v>0</v>
      </c>
      <c r="AJ97" s="2"/>
      <c r="AK97" s="383">
        <v>0</v>
      </c>
      <c r="AL97" s="2"/>
      <c r="AM97" s="83">
        <f>ROUND((AM$145/AA$145)*AA97,0)</f>
        <v>0</v>
      </c>
      <c r="AN97" s="2"/>
      <c r="AO97" s="83">
        <f>AM97+AE97</f>
        <v>0</v>
      </c>
      <c r="AP97" s="2"/>
      <c r="AQ97" s="383">
        <v>0</v>
      </c>
      <c r="AU97" s="77">
        <f>AC97-AX97</f>
        <v>4.01</v>
      </c>
      <c r="AV97" s="84"/>
      <c r="AW97" s="380">
        <v>1789</v>
      </c>
      <c r="AX97" s="380">
        <f>ROUND((AW97/12)*CUR_BASE_FUEL,2)</f>
        <v>3.55</v>
      </c>
      <c r="AY97" s="380">
        <f>ROUND((AW97/12)*PRO_BASE_FUEL,2)</f>
        <v>3.55</v>
      </c>
    </row>
    <row r="98" spans="1:51" ht="15" customHeight="1" x14ac:dyDescent="0.25">
      <c r="J98" s="77"/>
      <c r="V98" s="46"/>
      <c r="X98" s="46"/>
      <c r="Y98" s="108"/>
      <c r="Z98" s="2"/>
      <c r="AA98" s="2"/>
      <c r="AB98" s="2"/>
      <c r="AC98" s="567"/>
      <c r="AD98" s="2"/>
      <c r="AE98" s="2"/>
      <c r="AF98" s="2"/>
      <c r="AG98" s="147"/>
      <c r="AH98" s="2"/>
      <c r="AI98" s="2"/>
      <c r="AJ98" s="2"/>
      <c r="AK98" s="147"/>
      <c r="AL98" s="2"/>
      <c r="AM98" s="2"/>
      <c r="AN98" s="2"/>
      <c r="AO98" s="2"/>
      <c r="AP98" s="2"/>
      <c r="AQ98" s="147"/>
      <c r="AV98" s="84"/>
    </row>
    <row r="99" spans="1:51" x14ac:dyDescent="0.25">
      <c r="A99" s="53"/>
      <c r="C99" s="54"/>
      <c r="F99" s="449"/>
      <c r="H99" s="449"/>
      <c r="I99" s="449"/>
      <c r="J99" s="221"/>
      <c r="K99" s="461"/>
      <c r="L99" s="379"/>
      <c r="M99" s="379"/>
      <c r="N99" s="50"/>
      <c r="O99" s="50"/>
      <c r="R99" s="379"/>
      <c r="T99" s="380">
        <v>8</v>
      </c>
      <c r="V99" s="222" t="s">
        <v>397</v>
      </c>
      <c r="X99" s="46"/>
      <c r="Y99" s="108"/>
      <c r="Z99" s="2"/>
      <c r="AA99" s="2"/>
      <c r="AB99" s="2"/>
      <c r="AC99" s="567"/>
      <c r="AD99" s="2"/>
      <c r="AE99" s="2"/>
      <c r="AF99" s="2"/>
      <c r="AG99" s="147"/>
      <c r="AH99" s="2"/>
      <c r="AI99" s="2"/>
      <c r="AJ99" s="2"/>
      <c r="AK99" s="147"/>
      <c r="AL99" s="2"/>
      <c r="AM99" s="2"/>
      <c r="AN99" s="2"/>
      <c r="AO99" s="2"/>
      <c r="AP99" s="2"/>
      <c r="AQ99" s="147"/>
      <c r="AV99" s="84"/>
    </row>
    <row r="100" spans="1:51" x14ac:dyDescent="0.25">
      <c r="A100" s="53"/>
      <c r="C100" s="54"/>
      <c r="F100" s="449"/>
      <c r="H100" s="449"/>
      <c r="I100" s="449"/>
      <c r="J100" s="221"/>
      <c r="K100" s="461"/>
      <c r="L100" s="379"/>
      <c r="M100" s="379"/>
      <c r="N100" s="50"/>
      <c r="O100" s="50"/>
      <c r="P100" s="53"/>
      <c r="Q100" s="53"/>
      <c r="R100" s="379"/>
      <c r="T100" s="380">
        <v>9</v>
      </c>
      <c r="V100" s="46" t="s">
        <v>398</v>
      </c>
      <c r="X100" s="46"/>
      <c r="Y100" s="116">
        <f>F27</f>
        <v>0</v>
      </c>
      <c r="Z100" s="84"/>
      <c r="AA100" s="116">
        <f>H27</f>
        <v>0</v>
      </c>
      <c r="AB100" s="2"/>
      <c r="AC100" s="567">
        <v>4.28</v>
      </c>
      <c r="AD100" s="2"/>
      <c r="AE100" s="83">
        <f>ROUND(Y100*AC100,0)</f>
        <v>0</v>
      </c>
      <c r="AF100" s="2"/>
      <c r="AG100" s="383">
        <f>ROUND((AE100/AE$145)*100,1)</f>
        <v>0</v>
      </c>
      <c r="AH100" s="2"/>
      <c r="AI100" s="116">
        <f>L27-AE100</f>
        <v>0</v>
      </c>
      <c r="AJ100" s="2"/>
      <c r="AK100" s="383">
        <v>0</v>
      </c>
      <c r="AL100" s="2"/>
      <c r="AM100" s="83">
        <f>ROUND((AM$145/AA$145)*AA100,0)</f>
        <v>0</v>
      </c>
      <c r="AN100" s="2"/>
      <c r="AO100" s="83">
        <f>AM100+AE100</f>
        <v>0</v>
      </c>
      <c r="AP100" s="2"/>
      <c r="AQ100" s="383">
        <v>0</v>
      </c>
      <c r="AU100" s="77">
        <f>AC100-AX100</f>
        <v>2.68</v>
      </c>
      <c r="AV100" s="84"/>
      <c r="AW100" s="380">
        <v>803</v>
      </c>
      <c r="AX100" s="380">
        <f>ROUND((AW100/12)*CUR_BASE_FUEL,2)</f>
        <v>1.6</v>
      </c>
      <c r="AY100" s="380">
        <f>ROUND((AW100/12)*PRO_BASE_FUEL,2)</f>
        <v>1.6</v>
      </c>
    </row>
    <row r="101" spans="1:51" x14ac:dyDescent="0.25">
      <c r="F101" s="381"/>
      <c r="H101" s="379"/>
      <c r="I101" s="379"/>
      <c r="J101" s="221"/>
      <c r="K101" s="464"/>
      <c r="L101" s="381"/>
      <c r="M101" s="381"/>
      <c r="N101" s="381"/>
      <c r="O101" s="381"/>
      <c r="P101" s="381"/>
      <c r="Q101" s="381"/>
      <c r="R101" s="381"/>
      <c r="T101" s="380">
        <v>10</v>
      </c>
      <c r="V101" s="46" t="s">
        <v>399</v>
      </c>
      <c r="X101" s="46"/>
      <c r="Y101" s="116">
        <f>F28</f>
        <v>0</v>
      </c>
      <c r="Z101" s="84"/>
      <c r="AA101" s="116">
        <f>H28</f>
        <v>0</v>
      </c>
      <c r="AB101" s="2"/>
      <c r="AC101" s="567">
        <v>5.45</v>
      </c>
      <c r="AD101" s="2"/>
      <c r="AE101" s="83">
        <f>ROUND(Y101*AC101,0)</f>
        <v>0</v>
      </c>
      <c r="AF101" s="2"/>
      <c r="AG101" s="383">
        <f>ROUND((AE101/AE$145)*100,1)</f>
        <v>0</v>
      </c>
      <c r="AH101" s="2"/>
      <c r="AI101" s="116">
        <f>L28-AE101</f>
        <v>0</v>
      </c>
      <c r="AJ101" s="2"/>
      <c r="AK101" s="383">
        <v>0</v>
      </c>
      <c r="AL101" s="2"/>
      <c r="AM101" s="83">
        <f>ROUND((AM$145/AA$145)*AA101,0)</f>
        <v>0</v>
      </c>
      <c r="AN101" s="2"/>
      <c r="AO101" s="83">
        <f>AM101+AE101</f>
        <v>0</v>
      </c>
      <c r="AP101" s="2"/>
      <c r="AQ101" s="383">
        <v>0</v>
      </c>
      <c r="AU101" s="77">
        <f>AC101-AX101</f>
        <v>3.18</v>
      </c>
      <c r="AV101" s="84"/>
      <c r="AW101" s="380">
        <v>1144</v>
      </c>
      <c r="AX101" s="380">
        <f>ROUND((AW101/12)*CUR_BASE_FUEL,2)</f>
        <v>2.27</v>
      </c>
      <c r="AY101" s="380">
        <f>ROUND((AW101/12)*PRO_BASE_FUEL,2)</f>
        <v>2.27</v>
      </c>
    </row>
    <row r="102" spans="1:51" x14ac:dyDescent="0.25">
      <c r="A102" s="53"/>
      <c r="C102" s="54"/>
      <c r="F102" s="379"/>
      <c r="H102" s="379"/>
      <c r="I102" s="379"/>
      <c r="J102" s="221"/>
      <c r="K102" s="464"/>
      <c r="L102" s="379"/>
      <c r="M102" s="379"/>
      <c r="N102" s="50"/>
      <c r="O102" s="50"/>
      <c r="P102" s="379"/>
      <c r="Q102" s="379"/>
      <c r="R102" s="379"/>
      <c r="T102" s="380">
        <v>11</v>
      </c>
      <c r="V102" s="46" t="s">
        <v>400</v>
      </c>
      <c r="X102" s="46"/>
      <c r="Y102" s="116">
        <f>F29</f>
        <v>0</v>
      </c>
      <c r="Z102" s="84"/>
      <c r="AA102" s="116">
        <f>H29</f>
        <v>0</v>
      </c>
      <c r="AB102" s="2"/>
      <c r="AC102" s="567">
        <v>7.56</v>
      </c>
      <c r="AD102" s="2"/>
      <c r="AE102" s="83">
        <f>ROUND(Y102*AC102,0)</f>
        <v>0</v>
      </c>
      <c r="AF102" s="2"/>
      <c r="AG102" s="383">
        <f>ROUND((AE102/AE$145)*100,1)</f>
        <v>0</v>
      </c>
      <c r="AH102" s="2"/>
      <c r="AI102" s="116">
        <f>L29-AE102</f>
        <v>0</v>
      </c>
      <c r="AJ102" s="2"/>
      <c r="AK102" s="383">
        <v>0</v>
      </c>
      <c r="AL102" s="2"/>
      <c r="AM102" s="83">
        <f>ROUND((AM$145/AA$145)*AA102,0)</f>
        <v>0</v>
      </c>
      <c r="AN102" s="2"/>
      <c r="AO102" s="83">
        <f>AM102+AE102</f>
        <v>0</v>
      </c>
      <c r="AP102" s="2"/>
      <c r="AQ102" s="383">
        <v>0</v>
      </c>
      <c r="AU102" s="77">
        <f>AC102-AX102</f>
        <v>4.01</v>
      </c>
      <c r="AV102" s="84"/>
      <c r="AW102" s="380">
        <v>1789</v>
      </c>
      <c r="AX102" s="380">
        <f>ROUND((AW102/12)*CUR_BASE_FUEL,2)</f>
        <v>3.55</v>
      </c>
      <c r="AY102" s="380">
        <f>ROUND((AW102/12)*PRO_BASE_FUEL,2)</f>
        <v>3.55</v>
      </c>
    </row>
    <row r="103" spans="1:51" ht="15" customHeight="1" x14ac:dyDescent="0.25">
      <c r="F103" s="381"/>
      <c r="H103" s="379"/>
      <c r="I103" s="379"/>
      <c r="J103" s="221"/>
      <c r="K103" s="464"/>
      <c r="L103" s="381"/>
      <c r="M103" s="381"/>
      <c r="N103" s="381"/>
      <c r="O103" s="381"/>
      <c r="P103" s="381"/>
      <c r="Q103" s="381"/>
      <c r="R103" s="381"/>
      <c r="V103" s="46"/>
      <c r="X103" s="46"/>
      <c r="Y103" s="108"/>
      <c r="Z103" s="2"/>
      <c r="AA103" s="2"/>
      <c r="AB103" s="2"/>
      <c r="AC103" s="567"/>
      <c r="AD103" s="2"/>
      <c r="AE103" s="2"/>
      <c r="AF103" s="2"/>
      <c r="AG103" s="147"/>
      <c r="AH103" s="2"/>
      <c r="AI103" s="2"/>
      <c r="AJ103" s="2"/>
      <c r="AK103" s="147"/>
      <c r="AL103" s="2"/>
      <c r="AM103" s="2"/>
      <c r="AN103" s="2"/>
      <c r="AO103" s="2"/>
      <c r="AP103" s="2"/>
      <c r="AQ103" s="147"/>
      <c r="AV103" s="84"/>
    </row>
    <row r="104" spans="1:51" x14ac:dyDescent="0.25">
      <c r="F104" s="379"/>
      <c r="H104" s="379"/>
      <c r="I104" s="379"/>
      <c r="J104" s="221"/>
      <c r="K104" s="464"/>
      <c r="L104" s="379"/>
      <c r="M104" s="379"/>
      <c r="N104" s="50"/>
      <c r="O104" s="50"/>
      <c r="P104" s="379"/>
      <c r="Q104" s="379"/>
      <c r="R104" s="379"/>
      <c r="T104" s="380">
        <v>12</v>
      </c>
      <c r="V104" s="222" t="s">
        <v>401</v>
      </c>
      <c r="X104" s="46"/>
      <c r="Y104" s="108"/>
      <c r="Z104" s="2"/>
      <c r="AA104" s="2"/>
      <c r="AB104" s="2"/>
      <c r="AC104" s="567"/>
      <c r="AD104" s="2"/>
      <c r="AE104" s="2"/>
      <c r="AF104" s="2"/>
      <c r="AG104" s="147"/>
      <c r="AH104" s="2"/>
      <c r="AI104" s="2"/>
      <c r="AJ104" s="2"/>
      <c r="AK104" s="147"/>
      <c r="AL104" s="2"/>
      <c r="AM104" s="2"/>
      <c r="AN104" s="2"/>
      <c r="AO104" s="2"/>
      <c r="AP104" s="2"/>
      <c r="AQ104" s="147"/>
      <c r="AV104" s="84"/>
    </row>
    <row r="105" spans="1:51" x14ac:dyDescent="0.25">
      <c r="A105" s="53"/>
      <c r="C105" s="54"/>
      <c r="F105" s="449"/>
      <c r="H105" s="449"/>
      <c r="I105" s="449"/>
      <c r="J105" s="221"/>
      <c r="K105" s="461"/>
      <c r="L105" s="379"/>
      <c r="M105" s="379"/>
      <c r="N105" s="50"/>
      <c r="O105" s="50"/>
      <c r="P105" s="379"/>
      <c r="Q105" s="379"/>
      <c r="R105" s="379"/>
      <c r="T105" s="380">
        <v>13</v>
      </c>
      <c r="V105" s="46" t="s">
        <v>402</v>
      </c>
      <c r="X105" s="46"/>
      <c r="Y105" s="116">
        <f>F32</f>
        <v>0</v>
      </c>
      <c r="Z105" s="84"/>
      <c r="AA105" s="116">
        <f>H32</f>
        <v>0</v>
      </c>
      <c r="AB105" s="2"/>
      <c r="AC105" s="567">
        <v>5.15</v>
      </c>
      <c r="AD105" s="2"/>
      <c r="AE105" s="83">
        <f>ROUND(Y105*AC105,0)</f>
        <v>0</v>
      </c>
      <c r="AF105" s="84"/>
      <c r="AG105" s="383">
        <f>ROUND((AE105/AE$145)*100,1)</f>
        <v>0</v>
      </c>
      <c r="AH105" s="84"/>
      <c r="AI105" s="116">
        <f>L32-AE105</f>
        <v>0</v>
      </c>
      <c r="AJ105" s="84"/>
      <c r="AK105" s="383">
        <v>0</v>
      </c>
      <c r="AL105" s="84"/>
      <c r="AM105" s="83">
        <f>ROUND((AM$145/AA$145)*AA105,0)</f>
        <v>0</v>
      </c>
      <c r="AN105" s="84"/>
      <c r="AO105" s="83">
        <f>AM105+AE105</f>
        <v>0</v>
      </c>
      <c r="AP105" s="2"/>
      <c r="AQ105" s="383">
        <v>0</v>
      </c>
      <c r="AU105" s="77">
        <f>AC105-AX105</f>
        <v>4.1800000000000006</v>
      </c>
      <c r="AV105" s="84"/>
      <c r="AW105" s="568">
        <f>487</f>
        <v>487</v>
      </c>
      <c r="AX105" s="380">
        <f>ROUND((AW105/12)*CUR_BASE_FUEL,2)</f>
        <v>0.97</v>
      </c>
      <c r="AY105" s="380">
        <f>ROUND((AW105/12)*PRO_BASE_FUEL,2)</f>
        <v>0.97</v>
      </c>
    </row>
    <row r="106" spans="1:51" x14ac:dyDescent="0.25">
      <c r="A106" s="53"/>
      <c r="C106" s="54"/>
      <c r="F106" s="449"/>
      <c r="H106" s="449"/>
      <c r="I106" s="449"/>
      <c r="J106" s="221"/>
      <c r="K106" s="461"/>
      <c r="L106" s="379"/>
      <c r="M106" s="379"/>
      <c r="N106" s="50"/>
      <c r="O106" s="50"/>
      <c r="P106" s="379"/>
      <c r="Q106" s="379"/>
      <c r="R106" s="379"/>
      <c r="T106" s="380">
        <v>14</v>
      </c>
      <c r="V106" s="46" t="s">
        <v>222</v>
      </c>
      <c r="X106" s="46"/>
      <c r="Y106" s="116">
        <f>F33</f>
        <v>0</v>
      </c>
      <c r="Z106" s="84"/>
      <c r="AA106" s="116">
        <f>H33</f>
        <v>0</v>
      </c>
      <c r="AB106" s="2"/>
      <c r="AC106" s="567">
        <v>5.74</v>
      </c>
      <c r="AD106" s="2"/>
      <c r="AE106" s="83">
        <f>ROUND(Y106*AC106,0)</f>
        <v>0</v>
      </c>
      <c r="AF106" s="2"/>
      <c r="AG106" s="383">
        <f>ROUND((AE106/AE$145)*100,1)</f>
        <v>0</v>
      </c>
      <c r="AH106" s="2"/>
      <c r="AI106" s="116">
        <f>L33-AE106</f>
        <v>0</v>
      </c>
      <c r="AJ106" s="2"/>
      <c r="AK106" s="383">
        <v>0</v>
      </c>
      <c r="AL106" s="2"/>
      <c r="AM106" s="83">
        <f>ROUND((AM$145/AA$145)*AA106,0)</f>
        <v>0</v>
      </c>
      <c r="AN106" s="2"/>
      <c r="AO106" s="83">
        <f>AM106+AE106</f>
        <v>0</v>
      </c>
      <c r="AP106" s="2"/>
      <c r="AQ106" s="383">
        <v>0</v>
      </c>
      <c r="AU106" s="77">
        <f>AC106-AX106</f>
        <v>4.33</v>
      </c>
      <c r="AV106" s="84"/>
      <c r="AW106" s="380">
        <v>711</v>
      </c>
      <c r="AX106" s="380">
        <f>ROUND((AW106/12)*CUR_BASE_FUEL,2)</f>
        <v>1.41</v>
      </c>
      <c r="AY106" s="380">
        <f>ROUND((AW106/12)*PRO_BASE_FUEL,2)</f>
        <v>1.41</v>
      </c>
    </row>
    <row r="107" spans="1:51" x14ac:dyDescent="0.25">
      <c r="F107" s="379"/>
      <c r="H107" s="381"/>
      <c r="I107" s="381"/>
      <c r="J107" s="221"/>
      <c r="K107" s="464"/>
      <c r="L107" s="381"/>
      <c r="M107" s="381"/>
      <c r="N107" s="381"/>
      <c r="O107" s="381"/>
      <c r="P107" s="381"/>
      <c r="Q107" s="381"/>
      <c r="R107" s="381"/>
      <c r="T107" s="380">
        <v>15</v>
      </c>
      <c r="V107" s="46" t="s">
        <v>223</v>
      </c>
      <c r="X107" s="46"/>
      <c r="Y107" s="116">
        <f>F34</f>
        <v>0</v>
      </c>
      <c r="Z107" s="84"/>
      <c r="AA107" s="116">
        <f>H34</f>
        <v>0</v>
      </c>
      <c r="AB107" s="2"/>
      <c r="AC107" s="567">
        <v>6.31</v>
      </c>
      <c r="AD107" s="2"/>
      <c r="AE107" s="83">
        <f>ROUND(Y107*AC107,0)</f>
        <v>0</v>
      </c>
      <c r="AF107" s="2"/>
      <c r="AG107" s="383">
        <f>ROUND((AE107/AE$145)*100,1)</f>
        <v>0</v>
      </c>
      <c r="AH107" s="2"/>
      <c r="AI107" s="116">
        <f>L34-AE107</f>
        <v>0</v>
      </c>
      <c r="AJ107" s="2"/>
      <c r="AK107" s="383">
        <v>0</v>
      </c>
      <c r="AL107" s="2"/>
      <c r="AM107" s="83">
        <f>ROUND((AM$145/AA$145)*AA107,0)</f>
        <v>0</v>
      </c>
      <c r="AN107" s="2"/>
      <c r="AO107" s="83">
        <f>AM107+AE107</f>
        <v>0</v>
      </c>
      <c r="AP107" s="2"/>
      <c r="AQ107" s="383">
        <v>0</v>
      </c>
      <c r="AU107" s="77">
        <f>AC107-AX107</f>
        <v>4.43</v>
      </c>
      <c r="AV107" s="84"/>
      <c r="AW107" s="380">
        <v>948</v>
      </c>
      <c r="AX107" s="380">
        <f>ROUND((AW107/12)*CUR_BASE_FUEL,2)</f>
        <v>1.88</v>
      </c>
      <c r="AY107" s="380">
        <f>ROUND((AW107/12)*PRO_BASE_FUEL,2)</f>
        <v>1.88</v>
      </c>
    </row>
    <row r="108" spans="1:51" x14ac:dyDescent="0.25">
      <c r="A108" s="53"/>
      <c r="C108" s="54"/>
      <c r="F108" s="379"/>
      <c r="H108" s="379"/>
      <c r="I108" s="379"/>
      <c r="J108" s="221"/>
      <c r="K108" s="464"/>
      <c r="L108" s="379"/>
      <c r="M108" s="379"/>
      <c r="N108" s="50"/>
      <c r="O108" s="50"/>
      <c r="P108" s="379"/>
      <c r="Q108" s="379"/>
      <c r="R108" s="379"/>
      <c r="T108" s="380">
        <v>16</v>
      </c>
      <c r="V108" s="380" t="s">
        <v>324</v>
      </c>
      <c r="X108" s="46"/>
      <c r="Y108" s="116">
        <f>F35</f>
        <v>0</v>
      </c>
      <c r="Z108" s="84"/>
      <c r="AA108" s="116">
        <f>H35</f>
        <v>0</v>
      </c>
      <c r="AB108" s="2"/>
      <c r="AC108" s="567">
        <v>6.31</v>
      </c>
      <c r="AD108" s="2"/>
      <c r="AE108" s="83">
        <f>ROUND(Y108*AC108,0)</f>
        <v>0</v>
      </c>
      <c r="AF108" s="2"/>
      <c r="AG108" s="383">
        <f>ROUND((AE108/AE$145)*100,1)</f>
        <v>0</v>
      </c>
      <c r="AH108" s="2"/>
      <c r="AI108" s="116">
        <f>L35-AE108</f>
        <v>0</v>
      </c>
      <c r="AJ108" s="2"/>
      <c r="AK108" s="383">
        <v>0</v>
      </c>
      <c r="AL108" s="2"/>
      <c r="AM108" s="83">
        <f>ROUND((AM$145/AA$145)*AA108,0)</f>
        <v>0</v>
      </c>
      <c r="AN108" s="2"/>
      <c r="AO108" s="83">
        <f>AM108+AE108</f>
        <v>0</v>
      </c>
      <c r="AP108" s="2"/>
      <c r="AQ108" s="383">
        <v>0</v>
      </c>
      <c r="AU108" s="77">
        <f>AC108-AX108</f>
        <v>4.43</v>
      </c>
      <c r="AV108" s="84"/>
      <c r="AW108" s="380">
        <v>948</v>
      </c>
      <c r="AX108" s="380">
        <f>ROUND((AW108/12)*CUR_BASE_FUEL,2)</f>
        <v>1.88</v>
      </c>
      <c r="AY108" s="380">
        <f>ROUND((AW108/12)*PRO_BASE_FUEL,2)</f>
        <v>1.88</v>
      </c>
    </row>
    <row r="109" spans="1:51" x14ac:dyDescent="0.25">
      <c r="F109" s="379"/>
      <c r="H109" s="381"/>
      <c r="I109" s="381"/>
      <c r="J109" s="221"/>
      <c r="K109" s="464"/>
      <c r="L109" s="381"/>
      <c r="M109" s="381"/>
      <c r="N109" s="381"/>
      <c r="O109" s="381"/>
      <c r="P109" s="381"/>
      <c r="Q109" s="381"/>
      <c r="R109" s="381"/>
      <c r="T109" s="380">
        <v>17</v>
      </c>
      <c r="V109" s="380" t="s">
        <v>224</v>
      </c>
      <c r="X109" s="46"/>
      <c r="Y109" s="116">
        <f>F36</f>
        <v>0</v>
      </c>
      <c r="Z109" s="84"/>
      <c r="AA109" s="116">
        <f>H36</f>
        <v>0</v>
      </c>
      <c r="AB109" s="2"/>
      <c r="AC109" s="567">
        <v>8.5399999999999991</v>
      </c>
      <c r="AD109" s="2"/>
      <c r="AE109" s="83">
        <f>ROUND(Y109*AC109,0)</f>
        <v>0</v>
      </c>
      <c r="AF109" s="2"/>
      <c r="AG109" s="383">
        <f>ROUND((AE109/AE$145)*100,1)</f>
        <v>0</v>
      </c>
      <c r="AH109" s="2"/>
      <c r="AI109" s="116">
        <f>L36-AE109</f>
        <v>0</v>
      </c>
      <c r="AJ109" s="2"/>
      <c r="AK109" s="383">
        <v>0</v>
      </c>
      <c r="AL109" s="2"/>
      <c r="AM109" s="83">
        <f>ROUND((AM$145/AA$145)*AA109,0)</f>
        <v>0</v>
      </c>
      <c r="AN109" s="2"/>
      <c r="AO109" s="83">
        <f>AM109+AE109</f>
        <v>0</v>
      </c>
      <c r="AP109" s="2"/>
      <c r="AQ109" s="383">
        <v>0</v>
      </c>
      <c r="AU109" s="77">
        <f>AC109-AX109</f>
        <v>4.6499999999999986</v>
      </c>
      <c r="AV109" s="84"/>
      <c r="AW109" s="380">
        <v>1959</v>
      </c>
      <c r="AX109" s="380">
        <f>ROUND((AW109/12)*CUR_BASE_FUEL,2)</f>
        <v>3.89</v>
      </c>
      <c r="AY109" s="380">
        <f>ROUND((AW109/12)*PRO_BASE_FUEL,2)</f>
        <v>3.89</v>
      </c>
    </row>
    <row r="110" spans="1:51" ht="15" customHeight="1" x14ac:dyDescent="0.25">
      <c r="F110" s="379"/>
      <c r="H110" s="379"/>
      <c r="I110" s="379"/>
      <c r="J110" s="221"/>
      <c r="K110" s="464"/>
      <c r="L110" s="379"/>
      <c r="M110" s="379"/>
      <c r="N110" s="379"/>
      <c r="O110" s="379"/>
      <c r="P110" s="379"/>
      <c r="Q110" s="379"/>
      <c r="R110" s="379"/>
      <c r="V110" s="46"/>
      <c r="X110" s="46"/>
      <c r="Y110" s="108"/>
      <c r="Z110" s="2"/>
      <c r="AA110" s="2"/>
      <c r="AB110" s="2"/>
      <c r="AC110" s="567"/>
      <c r="AD110" s="2"/>
      <c r="AE110" s="2"/>
      <c r="AF110" s="2"/>
      <c r="AG110" s="147"/>
      <c r="AH110" s="2"/>
      <c r="AI110" s="2"/>
      <c r="AJ110" s="2"/>
      <c r="AK110" s="147"/>
      <c r="AL110" s="2"/>
      <c r="AM110" s="2"/>
      <c r="AN110" s="2"/>
      <c r="AO110" s="2"/>
      <c r="AP110" s="2"/>
      <c r="AQ110" s="147"/>
      <c r="AV110" s="84"/>
    </row>
    <row r="111" spans="1:51" x14ac:dyDescent="0.25">
      <c r="A111" s="53"/>
      <c r="C111" s="54"/>
      <c r="F111" s="449"/>
      <c r="H111" s="449"/>
      <c r="I111" s="449"/>
      <c r="J111" s="221"/>
      <c r="K111" s="472"/>
      <c r="L111" s="379"/>
      <c r="M111" s="379"/>
      <c r="N111" s="50"/>
      <c r="O111" s="50"/>
      <c r="P111" s="449"/>
      <c r="Q111" s="449"/>
      <c r="R111" s="379"/>
      <c r="T111" s="380">
        <v>18</v>
      </c>
      <c r="V111" s="222" t="s">
        <v>403</v>
      </c>
      <c r="X111" s="46"/>
      <c r="Y111" s="108"/>
      <c r="Z111" s="2"/>
      <c r="AA111" s="2"/>
      <c r="AB111" s="2"/>
      <c r="AC111" s="567"/>
      <c r="AD111" s="2"/>
      <c r="AE111" s="2"/>
      <c r="AF111" s="2"/>
      <c r="AG111" s="147"/>
      <c r="AH111" s="2"/>
      <c r="AI111" s="2"/>
      <c r="AJ111" s="2"/>
      <c r="AK111" s="147"/>
      <c r="AL111" s="2"/>
      <c r="AM111" s="2"/>
      <c r="AN111" s="2"/>
      <c r="AO111" s="2"/>
      <c r="AP111" s="2"/>
      <c r="AQ111" s="147"/>
      <c r="AV111" s="84"/>
    </row>
    <row r="112" spans="1:51" x14ac:dyDescent="0.25">
      <c r="A112" s="53"/>
      <c r="C112" s="54"/>
      <c r="F112" s="449"/>
      <c r="H112" s="449"/>
      <c r="I112" s="449"/>
      <c r="J112" s="221"/>
      <c r="K112" s="472"/>
      <c r="L112" s="379"/>
      <c r="M112" s="379"/>
      <c r="N112" s="50"/>
      <c r="O112" s="50"/>
      <c r="P112" s="449"/>
      <c r="Q112" s="449"/>
      <c r="R112" s="379"/>
      <c r="T112" s="380">
        <v>19</v>
      </c>
      <c r="V112" s="222" t="s">
        <v>404</v>
      </c>
      <c r="X112" s="46"/>
      <c r="Y112" s="108"/>
      <c r="Z112" s="2"/>
      <c r="AA112" s="2"/>
      <c r="AB112" s="2"/>
      <c r="AC112" s="567"/>
      <c r="AD112" s="2"/>
      <c r="AE112" s="2"/>
      <c r="AF112" s="2"/>
      <c r="AG112" s="147"/>
      <c r="AH112" s="2"/>
      <c r="AI112" s="2"/>
      <c r="AJ112" s="2"/>
      <c r="AK112" s="147"/>
      <c r="AL112" s="2"/>
      <c r="AM112" s="2"/>
      <c r="AN112" s="2"/>
      <c r="AO112" s="2"/>
      <c r="AP112" s="2"/>
      <c r="AQ112" s="147"/>
      <c r="AV112" s="84"/>
    </row>
    <row r="113" spans="1:51" x14ac:dyDescent="0.25">
      <c r="A113" s="53"/>
      <c r="C113" s="54"/>
      <c r="F113" s="449"/>
      <c r="H113" s="449"/>
      <c r="I113" s="449"/>
      <c r="J113" s="221"/>
      <c r="K113" s="472"/>
      <c r="L113" s="379"/>
      <c r="M113" s="379"/>
      <c r="N113" s="50"/>
      <c r="O113" s="50"/>
      <c r="P113" s="449"/>
      <c r="Q113" s="449"/>
      <c r="R113" s="379"/>
      <c r="T113" s="380">
        <v>20</v>
      </c>
      <c r="V113" s="46" t="s">
        <v>243</v>
      </c>
      <c r="X113" s="46"/>
      <c r="Y113" s="116">
        <f>F40</f>
        <v>0</v>
      </c>
      <c r="Z113" s="84"/>
      <c r="AA113" s="116">
        <f>H40</f>
        <v>0</v>
      </c>
      <c r="AB113" s="2"/>
      <c r="AC113" s="567">
        <v>5.44</v>
      </c>
      <c r="AD113" s="2"/>
      <c r="AE113" s="83">
        <f>ROUND(Y113*AC113,0)</f>
        <v>0</v>
      </c>
      <c r="AF113" s="2"/>
      <c r="AG113" s="383">
        <f>ROUND((AE113/AE$145)*100,1)</f>
        <v>0</v>
      </c>
      <c r="AH113" s="2"/>
      <c r="AI113" s="116">
        <f>L40-AE113</f>
        <v>0</v>
      </c>
      <c r="AJ113" s="2"/>
      <c r="AK113" s="383">
        <v>0</v>
      </c>
      <c r="AL113" s="2"/>
      <c r="AM113" s="83">
        <f>ROUND((AM$145/AA$145)*AA113,0)</f>
        <v>0</v>
      </c>
      <c r="AN113" s="2"/>
      <c r="AO113" s="83">
        <f>AM113+AE113</f>
        <v>0</v>
      </c>
      <c r="AP113" s="2"/>
      <c r="AQ113" s="383">
        <v>0</v>
      </c>
      <c r="AU113" s="77">
        <f>AC113-AX113</f>
        <v>3.7</v>
      </c>
      <c r="AV113" s="84"/>
      <c r="AW113" s="380">
        <v>874</v>
      </c>
      <c r="AX113" s="380">
        <f>ROUND((AW113/12)*CUR_BASE_FUEL,2)</f>
        <v>1.74</v>
      </c>
      <c r="AY113" s="380">
        <f>ROUND((AW113/12)*PRO_BASE_FUEL,2)</f>
        <v>1.74</v>
      </c>
    </row>
    <row r="114" spans="1:51" x14ac:dyDescent="0.25">
      <c r="F114" s="381"/>
      <c r="H114" s="381"/>
      <c r="I114" s="381"/>
      <c r="J114" s="221"/>
      <c r="K114" s="464"/>
      <c r="L114" s="381"/>
      <c r="M114" s="381"/>
      <c r="N114" s="381"/>
      <c r="O114" s="381"/>
      <c r="P114" s="381"/>
      <c r="Q114" s="381"/>
      <c r="R114" s="381"/>
      <c r="T114" s="380">
        <v>21</v>
      </c>
      <c r="V114" s="46" t="s">
        <v>405</v>
      </c>
      <c r="X114" s="46"/>
      <c r="Y114" s="116">
        <f>F41</f>
        <v>0</v>
      </c>
      <c r="Z114" s="84"/>
      <c r="AA114" s="116">
        <f>H41</f>
        <v>0</v>
      </c>
      <c r="AB114" s="2"/>
      <c r="AC114" s="567">
        <v>5.39</v>
      </c>
      <c r="AD114" s="2"/>
      <c r="AE114" s="83">
        <f>ROUND(Y114*AC114,0)</f>
        <v>0</v>
      </c>
      <c r="AF114" s="2"/>
      <c r="AG114" s="383">
        <f>ROUND((AE114/AE$145)*100,1)</f>
        <v>0</v>
      </c>
      <c r="AH114" s="2"/>
      <c r="AI114" s="116">
        <f>L41-AE114</f>
        <v>0</v>
      </c>
      <c r="AJ114" s="2"/>
      <c r="AK114" s="383">
        <v>0</v>
      </c>
      <c r="AL114" s="2"/>
      <c r="AM114" s="83">
        <f>ROUND((AM$145/AA$145)*AA114,0)</f>
        <v>0</v>
      </c>
      <c r="AN114" s="2"/>
      <c r="AO114" s="83">
        <f>AM114+AE114</f>
        <v>0</v>
      </c>
      <c r="AP114" s="2"/>
      <c r="AQ114" s="383">
        <v>0</v>
      </c>
      <c r="AU114" s="77">
        <f>AC114-AX114</f>
        <v>3.6999999999999997</v>
      </c>
      <c r="AV114" s="84"/>
      <c r="AW114" s="380">
        <v>853</v>
      </c>
      <c r="AX114" s="380">
        <f>ROUND((AW114/12)*CUR_BASE_FUEL,2)</f>
        <v>1.69</v>
      </c>
      <c r="AY114" s="380">
        <f>ROUND((AW114/12)*PRO_BASE_FUEL,2)</f>
        <v>1.69</v>
      </c>
    </row>
    <row r="115" spans="1:51" x14ac:dyDescent="0.25">
      <c r="A115" s="53"/>
      <c r="C115" s="54"/>
      <c r="F115" s="379"/>
      <c r="H115" s="379"/>
      <c r="I115" s="379"/>
      <c r="J115" s="65"/>
      <c r="K115" s="59"/>
      <c r="L115" s="379"/>
      <c r="M115" s="379"/>
      <c r="N115" s="50"/>
      <c r="O115" s="50"/>
      <c r="P115" s="379"/>
      <c r="Q115" s="379"/>
      <c r="R115" s="379"/>
      <c r="T115" s="380">
        <v>22</v>
      </c>
      <c r="V115" s="46" t="s">
        <v>244</v>
      </c>
      <c r="X115" s="46"/>
      <c r="Y115" s="116">
        <f>F42</f>
        <v>0</v>
      </c>
      <c r="Z115" s="84"/>
      <c r="AA115" s="116">
        <f>H42</f>
        <v>0</v>
      </c>
      <c r="AB115" s="2"/>
      <c r="AC115" s="567">
        <v>5.44</v>
      </c>
      <c r="AD115" s="2"/>
      <c r="AE115" s="83">
        <f>ROUND(Y115*AC115,0)</f>
        <v>0</v>
      </c>
      <c r="AF115" s="2"/>
      <c r="AG115" s="383">
        <f>ROUND((AE115/AE$145)*100,1)</f>
        <v>0</v>
      </c>
      <c r="AH115" s="2"/>
      <c r="AI115" s="116">
        <f>L42-AE115</f>
        <v>0</v>
      </c>
      <c r="AJ115" s="2"/>
      <c r="AK115" s="383">
        <v>0</v>
      </c>
      <c r="AL115" s="2"/>
      <c r="AM115" s="83">
        <f>ROUND((AM$145/AA$145)*AA115,0)</f>
        <v>0</v>
      </c>
      <c r="AN115" s="2"/>
      <c r="AO115" s="83">
        <f>AM115+AE115</f>
        <v>0</v>
      </c>
      <c r="AP115" s="2"/>
      <c r="AQ115" s="383">
        <v>0</v>
      </c>
      <c r="AU115" s="77">
        <f>AC115-AX115</f>
        <v>3.7</v>
      </c>
      <c r="AV115" s="84"/>
      <c r="AW115" s="380">
        <v>874</v>
      </c>
      <c r="AX115" s="380">
        <f>ROUND((AW115/12)*CUR_BASE_FUEL,2)</f>
        <v>1.74</v>
      </c>
      <c r="AY115" s="380">
        <f>ROUND((AW115/12)*PRO_BASE_FUEL,2)</f>
        <v>1.74</v>
      </c>
    </row>
    <row r="116" spans="1:51" x14ac:dyDescent="0.25">
      <c r="F116" s="381"/>
      <c r="H116" s="381"/>
      <c r="I116" s="381"/>
      <c r="J116" s="221"/>
      <c r="K116" s="464"/>
      <c r="L116" s="381"/>
      <c r="M116" s="381"/>
      <c r="N116" s="381"/>
      <c r="O116" s="381"/>
      <c r="P116" s="381"/>
      <c r="Q116" s="381"/>
      <c r="R116" s="381"/>
      <c r="T116" s="380">
        <v>23</v>
      </c>
      <c r="V116" s="46" t="s">
        <v>245</v>
      </c>
      <c r="X116" s="46"/>
      <c r="Y116" s="116">
        <f>F43</f>
        <v>0</v>
      </c>
      <c r="Z116" s="84"/>
      <c r="AA116" s="116">
        <f>H43</f>
        <v>0</v>
      </c>
      <c r="AB116" s="2"/>
      <c r="AC116" s="567">
        <v>5.44</v>
      </c>
      <c r="AD116" s="2"/>
      <c r="AE116" s="83">
        <f>ROUND(Y116*AC116,0)</f>
        <v>0</v>
      </c>
      <c r="AF116" s="2"/>
      <c r="AG116" s="383">
        <f>ROUND((AE116/AE$145)*100,1)</f>
        <v>0</v>
      </c>
      <c r="AH116" s="2"/>
      <c r="AI116" s="116">
        <f>L43-AE116</f>
        <v>0</v>
      </c>
      <c r="AJ116" s="2"/>
      <c r="AK116" s="383">
        <v>0</v>
      </c>
      <c r="AL116" s="2"/>
      <c r="AM116" s="83">
        <f>ROUND((AM$145/AA$145)*AA116,0)</f>
        <v>0</v>
      </c>
      <c r="AN116" s="2"/>
      <c r="AO116" s="83">
        <f>AM116+AE116</f>
        <v>0</v>
      </c>
      <c r="AP116" s="2"/>
      <c r="AQ116" s="383">
        <v>0</v>
      </c>
      <c r="AU116" s="77">
        <f>AC116-AX116</f>
        <v>3.7</v>
      </c>
      <c r="AV116" s="84"/>
      <c r="AW116" s="380">
        <v>874</v>
      </c>
      <c r="AX116" s="380">
        <f>ROUND((AW116/12)*CUR_BASE_FUEL,2)</f>
        <v>1.74</v>
      </c>
      <c r="AY116" s="380">
        <f>ROUND((AW116/12)*PRO_BASE_FUEL,2)</f>
        <v>1.74</v>
      </c>
    </row>
    <row r="117" spans="1:51" ht="15" customHeight="1" x14ac:dyDescent="0.25">
      <c r="A117" s="53"/>
      <c r="C117" s="54"/>
      <c r="F117" s="379"/>
      <c r="H117" s="379"/>
      <c r="I117" s="379"/>
      <c r="J117" s="65"/>
      <c r="K117" s="59"/>
      <c r="L117" s="379"/>
      <c r="M117" s="379"/>
      <c r="N117" s="50"/>
      <c r="O117" s="50"/>
      <c r="P117" s="379"/>
      <c r="Q117" s="379"/>
      <c r="R117" s="379"/>
      <c r="V117" s="46"/>
      <c r="X117" s="46"/>
      <c r="Y117" s="108"/>
      <c r="Z117" s="2"/>
      <c r="AA117" s="2"/>
      <c r="AB117" s="2"/>
      <c r="AC117" s="567"/>
      <c r="AD117" s="2"/>
      <c r="AE117" s="2"/>
      <c r="AF117" s="2"/>
      <c r="AG117" s="147"/>
      <c r="AH117" s="2"/>
      <c r="AI117" s="2"/>
      <c r="AJ117" s="2"/>
      <c r="AK117" s="147"/>
      <c r="AL117" s="2"/>
      <c r="AM117" s="2"/>
      <c r="AN117" s="2"/>
      <c r="AO117" s="2"/>
      <c r="AP117" s="2"/>
      <c r="AQ117" s="147"/>
      <c r="AV117" s="84"/>
    </row>
    <row r="118" spans="1:51" x14ac:dyDescent="0.25">
      <c r="A118" s="53"/>
      <c r="C118" s="54"/>
      <c r="F118" s="379"/>
      <c r="H118" s="379"/>
      <c r="I118" s="379"/>
      <c r="J118" s="65"/>
      <c r="K118" s="59"/>
      <c r="L118" s="379"/>
      <c r="M118" s="379"/>
      <c r="N118" s="50"/>
      <c r="O118" s="50"/>
      <c r="P118" s="379"/>
      <c r="Q118" s="379"/>
      <c r="R118" s="379"/>
      <c r="T118" s="380">
        <v>24</v>
      </c>
      <c r="V118" s="222" t="s">
        <v>406</v>
      </c>
      <c r="X118" s="46"/>
      <c r="Y118" s="108"/>
      <c r="Z118" s="2"/>
      <c r="AA118" s="2"/>
      <c r="AB118" s="2"/>
      <c r="AC118" s="567"/>
      <c r="AD118" s="2"/>
      <c r="AE118" s="2"/>
      <c r="AF118" s="2"/>
      <c r="AG118" s="147"/>
      <c r="AH118" s="2"/>
      <c r="AI118" s="2"/>
      <c r="AJ118" s="2"/>
      <c r="AK118" s="147"/>
      <c r="AL118" s="2"/>
      <c r="AM118" s="2"/>
      <c r="AN118" s="2"/>
      <c r="AO118" s="2"/>
      <c r="AP118" s="2"/>
      <c r="AQ118" s="147"/>
      <c r="AV118" s="84"/>
    </row>
    <row r="119" spans="1:51" x14ac:dyDescent="0.25">
      <c r="F119" s="381"/>
      <c r="H119" s="381"/>
      <c r="I119" s="381"/>
      <c r="J119" s="221"/>
      <c r="K119" s="464"/>
      <c r="L119" s="381"/>
      <c r="M119" s="381"/>
      <c r="N119" s="381"/>
      <c r="O119" s="381"/>
      <c r="P119" s="381"/>
      <c r="Q119" s="381"/>
      <c r="R119" s="381"/>
      <c r="T119" s="380">
        <v>25</v>
      </c>
      <c r="V119" s="46" t="s">
        <v>407</v>
      </c>
      <c r="X119" s="46"/>
      <c r="Y119" s="116">
        <f>F46</f>
        <v>0</v>
      </c>
      <c r="Z119" s="84"/>
      <c r="AA119" s="116">
        <f>H46</f>
        <v>0</v>
      </c>
      <c r="AB119" s="2"/>
      <c r="AC119" s="567">
        <v>5.39</v>
      </c>
      <c r="AD119" s="2"/>
      <c r="AE119" s="83">
        <f>ROUND(Y119*AC119,0)</f>
        <v>0</v>
      </c>
      <c r="AF119" s="2"/>
      <c r="AG119" s="383">
        <f>ROUND((AE119/AE$145)*100,1)</f>
        <v>0</v>
      </c>
      <c r="AH119" s="2"/>
      <c r="AI119" s="116">
        <f>L46-AE119</f>
        <v>0</v>
      </c>
      <c r="AJ119" s="2"/>
      <c r="AK119" s="383">
        <v>0</v>
      </c>
      <c r="AL119" s="2"/>
      <c r="AM119" s="83">
        <f>ROUND((AM$145/AA$145)*AA119,0)</f>
        <v>0</v>
      </c>
      <c r="AN119" s="2"/>
      <c r="AO119" s="83">
        <f>AM119+AE119</f>
        <v>0</v>
      </c>
      <c r="AP119" s="2"/>
      <c r="AQ119" s="383">
        <v>0</v>
      </c>
      <c r="AU119" s="77">
        <f>AC119-AX119</f>
        <v>3.6999999999999997</v>
      </c>
      <c r="AV119" s="84"/>
      <c r="AW119" s="380">
        <v>853</v>
      </c>
      <c r="AX119" s="380">
        <f>ROUND((AW119/12)*CUR_BASE_FUEL,2)</f>
        <v>1.69</v>
      </c>
      <c r="AY119" s="380">
        <f>ROUND((AW119/12)*PRO_BASE_FUEL,2)</f>
        <v>1.69</v>
      </c>
    </row>
    <row r="120" spans="1:51" x14ac:dyDescent="0.25">
      <c r="F120" s="379"/>
      <c r="H120" s="379"/>
      <c r="I120" s="379"/>
      <c r="J120" s="65"/>
      <c r="K120" s="59"/>
      <c r="L120" s="379"/>
      <c r="M120" s="379"/>
      <c r="N120" s="379"/>
      <c r="O120" s="379"/>
      <c r="P120" s="379"/>
      <c r="Q120" s="379"/>
      <c r="R120" s="379"/>
      <c r="T120" s="380">
        <v>26</v>
      </c>
      <c r="V120" s="46" t="s">
        <v>306</v>
      </c>
      <c r="X120" s="46"/>
      <c r="Y120" s="116">
        <f>F47</f>
        <v>0</v>
      </c>
      <c r="Z120" s="84"/>
      <c r="AA120" s="116">
        <f>H47</f>
        <v>0</v>
      </c>
      <c r="AB120" s="2"/>
      <c r="AC120" s="567">
        <v>5.44</v>
      </c>
      <c r="AD120" s="2"/>
      <c r="AE120" s="83">
        <f>ROUND(Y120*AC120,0)</f>
        <v>0</v>
      </c>
      <c r="AF120" s="2"/>
      <c r="AG120" s="383">
        <f>ROUND((AE120/AE$145)*100,1)</f>
        <v>0</v>
      </c>
      <c r="AH120" s="2"/>
      <c r="AI120" s="116">
        <f>L47-AE120</f>
        <v>0</v>
      </c>
      <c r="AJ120" s="2"/>
      <c r="AK120" s="383">
        <v>0</v>
      </c>
      <c r="AL120" s="2"/>
      <c r="AM120" s="83">
        <f>ROUND((AM$145/AA$145)*AA120,0)</f>
        <v>0</v>
      </c>
      <c r="AN120" s="2"/>
      <c r="AO120" s="83">
        <f>AM120+AE120</f>
        <v>0</v>
      </c>
      <c r="AP120" s="2"/>
      <c r="AQ120" s="383">
        <v>0</v>
      </c>
      <c r="AU120" s="77">
        <f>AC120-AX120</f>
        <v>3.7</v>
      </c>
      <c r="AV120" s="84"/>
      <c r="AW120" s="380">
        <v>874</v>
      </c>
      <c r="AX120" s="380">
        <f>ROUND((AW120/12)*CUR_BASE_FUEL,2)</f>
        <v>1.74</v>
      </c>
      <c r="AY120" s="380">
        <f>ROUND((AW120/12)*PRO_BASE_FUEL,2)</f>
        <v>1.74</v>
      </c>
    </row>
    <row r="121" spans="1:51" x14ac:dyDescent="0.25">
      <c r="C121" s="54"/>
      <c r="F121" s="379"/>
      <c r="H121" s="379"/>
      <c r="I121" s="379"/>
      <c r="J121" s="65"/>
      <c r="K121" s="59"/>
      <c r="L121" s="379"/>
      <c r="M121" s="379"/>
      <c r="N121" s="379"/>
      <c r="O121" s="379"/>
      <c r="P121" s="379"/>
      <c r="Q121" s="379"/>
      <c r="R121" s="379"/>
      <c r="T121" s="380">
        <v>27</v>
      </c>
      <c r="V121" s="380" t="s">
        <v>244</v>
      </c>
      <c r="X121" s="46"/>
      <c r="Y121" s="116">
        <f>F48</f>
        <v>0</v>
      </c>
      <c r="Z121" s="84"/>
      <c r="AA121" s="116">
        <f>H48</f>
        <v>0</v>
      </c>
      <c r="AB121" s="2"/>
      <c r="AC121" s="567">
        <v>5.44</v>
      </c>
      <c r="AD121" s="2"/>
      <c r="AE121" s="83">
        <f>ROUND(Y121*AC121,0)</f>
        <v>0</v>
      </c>
      <c r="AF121" s="2"/>
      <c r="AG121" s="383">
        <f>ROUND((AE121/AE$145)*100,1)</f>
        <v>0</v>
      </c>
      <c r="AH121" s="2"/>
      <c r="AI121" s="116">
        <f>L48-AE121</f>
        <v>0</v>
      </c>
      <c r="AJ121" s="2"/>
      <c r="AK121" s="383">
        <v>0</v>
      </c>
      <c r="AL121" s="2"/>
      <c r="AM121" s="83">
        <f>ROUND((AM$145/AA$145)*AA121,0)</f>
        <v>0</v>
      </c>
      <c r="AN121" s="2"/>
      <c r="AO121" s="83">
        <f>AM121+AE121</f>
        <v>0</v>
      </c>
      <c r="AP121" s="2"/>
      <c r="AQ121" s="383">
        <v>0</v>
      </c>
      <c r="AU121" s="77">
        <f>AC121-AX121</f>
        <v>3.7</v>
      </c>
      <c r="AV121" s="84"/>
      <c r="AW121" s="380">
        <v>874</v>
      </c>
      <c r="AX121" s="380">
        <f>ROUND((AW121/12)*CUR_BASE_FUEL,2)</f>
        <v>1.74</v>
      </c>
      <c r="AY121" s="380">
        <f>ROUND((AW121/12)*PRO_BASE_FUEL,2)</f>
        <v>1.74</v>
      </c>
    </row>
    <row r="122" spans="1:51" ht="15" customHeight="1" x14ac:dyDescent="0.25">
      <c r="A122" s="54"/>
      <c r="J122" s="77"/>
      <c r="V122" s="46"/>
      <c r="W122" s="46"/>
      <c r="X122" s="46"/>
      <c r="Y122" s="108"/>
      <c r="Z122" s="2"/>
      <c r="AA122" s="2"/>
      <c r="AB122" s="2"/>
      <c r="AC122" s="567"/>
      <c r="AD122" s="2"/>
      <c r="AE122" s="2"/>
      <c r="AF122" s="2"/>
      <c r="AG122" s="147"/>
      <c r="AH122" s="2"/>
      <c r="AI122" s="2"/>
      <c r="AJ122" s="2"/>
      <c r="AK122" s="147"/>
      <c r="AL122" s="2"/>
      <c r="AM122" s="2"/>
      <c r="AN122" s="2"/>
      <c r="AO122" s="2"/>
      <c r="AP122" s="2"/>
      <c r="AQ122" s="147"/>
      <c r="AV122" s="84"/>
    </row>
    <row r="123" spans="1:51" x14ac:dyDescent="0.25">
      <c r="J123" s="65"/>
      <c r="K123" s="53"/>
      <c r="T123" s="380">
        <v>28</v>
      </c>
      <c r="V123" s="222" t="s">
        <v>408</v>
      </c>
      <c r="X123" s="46"/>
      <c r="Y123" s="108"/>
      <c r="Z123" s="2"/>
      <c r="AA123" s="2"/>
      <c r="AB123" s="2"/>
      <c r="AC123" s="567"/>
      <c r="AD123" s="2"/>
      <c r="AE123" s="2"/>
      <c r="AF123" s="2"/>
      <c r="AG123" s="147"/>
      <c r="AH123" s="2"/>
      <c r="AI123" s="2"/>
      <c r="AJ123" s="2"/>
      <c r="AK123" s="147"/>
      <c r="AL123" s="2"/>
      <c r="AM123" s="2"/>
      <c r="AN123" s="2"/>
      <c r="AO123" s="2"/>
      <c r="AP123" s="2"/>
      <c r="AQ123" s="147"/>
      <c r="AV123" s="84"/>
    </row>
    <row r="124" spans="1:51" x14ac:dyDescent="0.25">
      <c r="H124" s="54"/>
      <c r="I124" s="54"/>
      <c r="J124" s="77"/>
      <c r="T124" s="380">
        <v>29</v>
      </c>
      <c r="V124" s="46" t="s">
        <v>405</v>
      </c>
      <c r="W124" s="46"/>
      <c r="X124" s="46"/>
      <c r="Y124" s="116">
        <f t="shared" ref="Y124:Y130" si="8">F51</f>
        <v>0</v>
      </c>
      <c r="Z124" s="84"/>
      <c r="AA124" s="116">
        <f t="shared" ref="AA124:AA130" si="9">H51</f>
        <v>0</v>
      </c>
      <c r="AB124" s="2"/>
      <c r="AC124" s="567">
        <v>5.07</v>
      </c>
      <c r="AD124" s="2"/>
      <c r="AE124" s="83">
        <f t="shared" ref="AE124:AE130" si="10">ROUND(Y124*AC124,0)</f>
        <v>0</v>
      </c>
      <c r="AF124" s="2"/>
      <c r="AG124" s="383">
        <f t="shared" ref="AG124:AG130" si="11">ROUND((AE124/AE$145)*100,1)</f>
        <v>0</v>
      </c>
      <c r="AH124" s="2"/>
      <c r="AI124" s="116">
        <f t="shared" ref="AI124:AI130" si="12">L51-AE124</f>
        <v>0</v>
      </c>
      <c r="AJ124" s="2"/>
      <c r="AK124" s="383">
        <v>0</v>
      </c>
      <c r="AL124" s="2"/>
      <c r="AM124" s="83">
        <f t="shared" ref="AM124:AM130" si="13">ROUND((AM$145/AA$145)*AA124,0)</f>
        <v>0</v>
      </c>
      <c r="AN124" s="2"/>
      <c r="AO124" s="83">
        <f t="shared" ref="AO124:AO130" si="14">AM124+AE124</f>
        <v>0</v>
      </c>
      <c r="AP124" s="2"/>
      <c r="AQ124" s="383">
        <v>0</v>
      </c>
      <c r="AU124" s="77">
        <f t="shared" ref="AU124:AU130" si="15">AC124-AX124</f>
        <v>4.1000000000000005</v>
      </c>
      <c r="AV124" s="84"/>
      <c r="AW124" s="380">
        <v>487</v>
      </c>
      <c r="AX124" s="380">
        <f t="shared" ref="AX124:AX130" si="16">ROUND((AW124/12)*CUR_BASE_FUEL,2)</f>
        <v>0.97</v>
      </c>
      <c r="AY124" s="380">
        <f t="shared" ref="AY124:AY130" si="17">ROUND((AW124/12)*PRO_BASE_FUEL,2)</f>
        <v>0.97</v>
      </c>
    </row>
    <row r="125" spans="1:51" x14ac:dyDescent="0.25">
      <c r="J125" s="65"/>
      <c r="K125" s="53"/>
      <c r="T125" s="380">
        <v>30</v>
      </c>
      <c r="V125" s="46" t="s">
        <v>407</v>
      </c>
      <c r="W125" s="46"/>
      <c r="X125" s="46"/>
      <c r="Y125" s="116">
        <f t="shared" si="8"/>
        <v>0</v>
      </c>
      <c r="Z125" s="84"/>
      <c r="AA125" s="116">
        <f t="shared" si="9"/>
        <v>0</v>
      </c>
      <c r="AB125" s="2"/>
      <c r="AC125" s="567">
        <v>5.07</v>
      </c>
      <c r="AD125" s="2"/>
      <c r="AE125" s="83">
        <f t="shared" si="10"/>
        <v>0</v>
      </c>
      <c r="AF125" s="2"/>
      <c r="AG125" s="383">
        <f t="shared" si="11"/>
        <v>0</v>
      </c>
      <c r="AH125" s="2"/>
      <c r="AI125" s="116">
        <f t="shared" si="12"/>
        <v>0</v>
      </c>
      <c r="AJ125" s="2"/>
      <c r="AK125" s="383">
        <v>0</v>
      </c>
      <c r="AL125" s="2"/>
      <c r="AM125" s="83">
        <f t="shared" si="13"/>
        <v>0</v>
      </c>
      <c r="AN125" s="2"/>
      <c r="AO125" s="83">
        <f t="shared" si="14"/>
        <v>0</v>
      </c>
      <c r="AP125" s="2"/>
      <c r="AQ125" s="383">
        <v>0</v>
      </c>
      <c r="AU125" s="77">
        <f t="shared" si="15"/>
        <v>4.1000000000000005</v>
      </c>
      <c r="AV125" s="84"/>
      <c r="AW125" s="380">
        <v>487</v>
      </c>
      <c r="AX125" s="380">
        <f t="shared" si="16"/>
        <v>0.97</v>
      </c>
      <c r="AY125" s="380">
        <f t="shared" si="17"/>
        <v>0.97</v>
      </c>
    </row>
    <row r="126" spans="1:51" x14ac:dyDescent="0.25">
      <c r="J126" s="77"/>
      <c r="L126" s="54"/>
      <c r="M126" s="54"/>
      <c r="T126" s="380">
        <v>31</v>
      </c>
      <c r="V126" s="46" t="s">
        <v>306</v>
      </c>
      <c r="W126" s="46"/>
      <c r="X126" s="46"/>
      <c r="Y126" s="116">
        <f t="shared" si="8"/>
        <v>0</v>
      </c>
      <c r="Z126" s="84"/>
      <c r="AA126" s="116">
        <f t="shared" si="9"/>
        <v>0</v>
      </c>
      <c r="AB126" s="2"/>
      <c r="AC126" s="567">
        <v>5.29</v>
      </c>
      <c r="AD126" s="2"/>
      <c r="AE126" s="83">
        <f t="shared" si="10"/>
        <v>0</v>
      </c>
      <c r="AF126" s="2"/>
      <c r="AG126" s="383">
        <f t="shared" si="11"/>
        <v>0</v>
      </c>
      <c r="AH126" s="2"/>
      <c r="AI126" s="116">
        <f t="shared" si="12"/>
        <v>0</v>
      </c>
      <c r="AJ126" s="2"/>
      <c r="AK126" s="383">
        <v>0</v>
      </c>
      <c r="AL126" s="2"/>
      <c r="AM126" s="83">
        <f t="shared" si="13"/>
        <v>0</v>
      </c>
      <c r="AN126" s="2"/>
      <c r="AO126" s="83">
        <f t="shared" si="14"/>
        <v>0</v>
      </c>
      <c r="AP126" s="2"/>
      <c r="AQ126" s="383">
        <v>0</v>
      </c>
      <c r="AU126" s="77">
        <f t="shared" si="15"/>
        <v>4.2300000000000004</v>
      </c>
      <c r="AV126" s="84"/>
      <c r="AW126" s="380">
        <v>532</v>
      </c>
      <c r="AX126" s="380">
        <f t="shared" si="16"/>
        <v>1.06</v>
      </c>
      <c r="AY126" s="380">
        <f t="shared" si="17"/>
        <v>1.06</v>
      </c>
    </row>
    <row r="127" spans="1:51" x14ac:dyDescent="0.25">
      <c r="A127" s="53"/>
      <c r="J127" s="77"/>
      <c r="R127" s="54"/>
      <c r="T127" s="380">
        <v>32</v>
      </c>
      <c r="V127" s="380" t="s">
        <v>247</v>
      </c>
      <c r="W127" s="46"/>
      <c r="X127" s="46"/>
      <c r="Y127" s="116">
        <f t="shared" si="8"/>
        <v>0</v>
      </c>
      <c r="Z127" s="84"/>
      <c r="AA127" s="116">
        <f t="shared" si="9"/>
        <v>0</v>
      </c>
      <c r="AB127" s="2"/>
      <c r="AC127" s="567">
        <v>5.07</v>
      </c>
      <c r="AD127" s="2"/>
      <c r="AE127" s="83">
        <f t="shared" si="10"/>
        <v>0</v>
      </c>
      <c r="AF127" s="2"/>
      <c r="AG127" s="383">
        <f t="shared" si="11"/>
        <v>0</v>
      </c>
      <c r="AH127" s="2"/>
      <c r="AI127" s="116">
        <f t="shared" si="12"/>
        <v>0</v>
      </c>
      <c r="AJ127" s="2"/>
      <c r="AK127" s="383">
        <v>0</v>
      </c>
      <c r="AL127" s="2"/>
      <c r="AM127" s="83">
        <f t="shared" si="13"/>
        <v>0</v>
      </c>
      <c r="AN127" s="2"/>
      <c r="AO127" s="83">
        <f t="shared" si="14"/>
        <v>0</v>
      </c>
      <c r="AP127" s="2"/>
      <c r="AQ127" s="383">
        <v>0</v>
      </c>
      <c r="AU127" s="77">
        <f t="shared" si="15"/>
        <v>4.1000000000000005</v>
      </c>
      <c r="AV127" s="84"/>
      <c r="AW127" s="380">
        <v>487</v>
      </c>
      <c r="AX127" s="380">
        <f t="shared" si="16"/>
        <v>0.97</v>
      </c>
      <c r="AY127" s="380">
        <f t="shared" si="17"/>
        <v>0.97</v>
      </c>
    </row>
    <row r="128" spans="1:51" x14ac:dyDescent="0.25">
      <c r="A128" s="53"/>
      <c r="J128" s="77"/>
      <c r="R128" s="54"/>
      <c r="T128" s="380">
        <v>33</v>
      </c>
      <c r="V128" s="380" t="s">
        <v>245</v>
      </c>
      <c r="W128" s="46"/>
      <c r="X128" s="46"/>
      <c r="Y128" s="116">
        <f t="shared" si="8"/>
        <v>0</v>
      </c>
      <c r="Z128" s="84"/>
      <c r="AA128" s="116">
        <f t="shared" si="9"/>
        <v>0</v>
      </c>
      <c r="AB128" s="2"/>
      <c r="AC128" s="567">
        <v>5.29</v>
      </c>
      <c r="AD128" s="2"/>
      <c r="AE128" s="83">
        <f t="shared" si="10"/>
        <v>0</v>
      </c>
      <c r="AF128" s="2"/>
      <c r="AG128" s="383">
        <f t="shared" si="11"/>
        <v>0</v>
      </c>
      <c r="AH128" s="2"/>
      <c r="AI128" s="116">
        <f t="shared" si="12"/>
        <v>0</v>
      </c>
      <c r="AJ128" s="2"/>
      <c r="AK128" s="383">
        <v>0</v>
      </c>
      <c r="AL128" s="2"/>
      <c r="AM128" s="83">
        <f t="shared" si="13"/>
        <v>0</v>
      </c>
      <c r="AN128" s="2"/>
      <c r="AO128" s="83">
        <f t="shared" si="14"/>
        <v>0</v>
      </c>
      <c r="AP128" s="2"/>
      <c r="AQ128" s="383">
        <v>0</v>
      </c>
      <c r="AU128" s="77">
        <f t="shared" si="15"/>
        <v>4.2300000000000004</v>
      </c>
      <c r="AV128" s="84"/>
      <c r="AW128" s="380">
        <v>532</v>
      </c>
      <c r="AX128" s="380">
        <f t="shared" si="16"/>
        <v>1.06</v>
      </c>
      <c r="AY128" s="380">
        <f t="shared" si="17"/>
        <v>1.06</v>
      </c>
    </row>
    <row r="129" spans="1:51" x14ac:dyDescent="0.25">
      <c r="A129" s="54"/>
      <c r="J129" s="77"/>
      <c r="R129" s="54"/>
      <c r="T129" s="380">
        <v>34</v>
      </c>
      <c r="V129" s="46" t="s">
        <v>243</v>
      </c>
      <c r="W129" s="46"/>
      <c r="X129" s="46"/>
      <c r="Y129" s="116">
        <f t="shared" si="8"/>
        <v>0</v>
      </c>
      <c r="Z129" s="84"/>
      <c r="AA129" s="116">
        <f t="shared" si="9"/>
        <v>0</v>
      </c>
      <c r="AB129" s="2"/>
      <c r="AC129" s="567">
        <v>5.29</v>
      </c>
      <c r="AD129" s="2"/>
      <c r="AE129" s="83">
        <f t="shared" si="10"/>
        <v>0</v>
      </c>
      <c r="AF129" s="2"/>
      <c r="AG129" s="383">
        <f t="shared" si="11"/>
        <v>0</v>
      </c>
      <c r="AH129" s="2"/>
      <c r="AI129" s="116">
        <f t="shared" si="12"/>
        <v>0</v>
      </c>
      <c r="AJ129" s="2"/>
      <c r="AK129" s="383">
        <v>0</v>
      </c>
      <c r="AL129" s="2"/>
      <c r="AM129" s="83">
        <f t="shared" si="13"/>
        <v>0</v>
      </c>
      <c r="AN129" s="2"/>
      <c r="AO129" s="83">
        <f t="shared" si="14"/>
        <v>0</v>
      </c>
      <c r="AP129" s="2"/>
      <c r="AQ129" s="383">
        <v>0</v>
      </c>
      <c r="AU129" s="77">
        <f t="shared" si="15"/>
        <v>4.2300000000000004</v>
      </c>
      <c r="AV129" s="84"/>
      <c r="AW129" s="380">
        <v>532</v>
      </c>
      <c r="AX129" s="380">
        <f t="shared" si="16"/>
        <v>1.06</v>
      </c>
      <c r="AY129" s="380">
        <f t="shared" si="17"/>
        <v>1.06</v>
      </c>
    </row>
    <row r="130" spans="1:51" x14ac:dyDescent="0.25">
      <c r="J130" s="77"/>
      <c r="L130" s="54"/>
      <c r="M130" s="54"/>
      <c r="R130" s="53"/>
      <c r="T130" s="380">
        <v>35</v>
      </c>
      <c r="V130" s="46" t="s">
        <v>244</v>
      </c>
      <c r="W130" s="46"/>
      <c r="X130" s="46"/>
      <c r="Y130" s="116">
        <f t="shared" si="8"/>
        <v>0</v>
      </c>
      <c r="Z130" s="84"/>
      <c r="AA130" s="116">
        <f t="shared" si="9"/>
        <v>0</v>
      </c>
      <c r="AB130" s="2"/>
      <c r="AC130" s="567">
        <v>5.29</v>
      </c>
      <c r="AD130" s="2"/>
      <c r="AE130" s="83">
        <f t="shared" si="10"/>
        <v>0</v>
      </c>
      <c r="AF130" s="2"/>
      <c r="AG130" s="383">
        <f t="shared" si="11"/>
        <v>0</v>
      </c>
      <c r="AH130" s="2"/>
      <c r="AI130" s="116">
        <f t="shared" si="12"/>
        <v>0</v>
      </c>
      <c r="AJ130" s="2"/>
      <c r="AK130" s="383">
        <v>0</v>
      </c>
      <c r="AL130" s="2"/>
      <c r="AM130" s="83">
        <f t="shared" si="13"/>
        <v>0</v>
      </c>
      <c r="AN130" s="2"/>
      <c r="AO130" s="83">
        <f t="shared" si="14"/>
        <v>0</v>
      </c>
      <c r="AP130" s="2"/>
      <c r="AQ130" s="383">
        <v>0</v>
      </c>
      <c r="AU130" s="77">
        <f t="shared" si="15"/>
        <v>4.2300000000000004</v>
      </c>
      <c r="AV130" s="84"/>
      <c r="AW130" s="380">
        <v>532</v>
      </c>
      <c r="AX130" s="380">
        <f t="shared" si="16"/>
        <v>1.06</v>
      </c>
      <c r="AY130" s="380">
        <f t="shared" si="17"/>
        <v>1.06</v>
      </c>
    </row>
    <row r="131" spans="1:51" ht="1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66"/>
      <c r="K131" s="55"/>
      <c r="L131" s="55"/>
      <c r="M131" s="55"/>
      <c r="N131" s="55"/>
      <c r="O131" s="55"/>
      <c r="P131" s="55"/>
      <c r="Q131" s="55"/>
      <c r="R131" s="55"/>
      <c r="V131" s="46"/>
      <c r="W131" s="46"/>
      <c r="X131" s="46"/>
      <c r="Y131" s="108"/>
      <c r="Z131" s="2"/>
      <c r="AA131" s="2"/>
      <c r="AB131" s="2"/>
      <c r="AC131" s="567"/>
      <c r="AD131" s="2"/>
      <c r="AE131" s="2"/>
      <c r="AF131" s="2"/>
      <c r="AG131" s="147"/>
      <c r="AH131" s="2"/>
      <c r="AI131" s="2"/>
      <c r="AJ131" s="2"/>
      <c r="AK131" s="147"/>
      <c r="AL131" s="2"/>
      <c r="AM131" s="2"/>
      <c r="AN131" s="2"/>
      <c r="AO131" s="2"/>
      <c r="AP131" s="2"/>
      <c r="AQ131" s="147"/>
      <c r="AV131" s="84"/>
    </row>
    <row r="132" spans="1:51" x14ac:dyDescent="0.25">
      <c r="J132" s="77"/>
      <c r="L132" s="56"/>
      <c r="M132" s="56"/>
      <c r="N132" s="56"/>
      <c r="O132" s="56"/>
      <c r="R132" s="56"/>
      <c r="T132" s="380">
        <v>36</v>
      </c>
      <c r="V132" s="222" t="s">
        <v>409</v>
      </c>
      <c r="W132" s="46"/>
      <c r="X132" s="46"/>
      <c r="Y132" s="108"/>
      <c r="Z132" s="2"/>
      <c r="AA132" s="2"/>
      <c r="AB132" s="2"/>
      <c r="AC132" s="567"/>
      <c r="AD132" s="2"/>
      <c r="AE132" s="2"/>
      <c r="AF132" s="2"/>
      <c r="AG132" s="147"/>
      <c r="AH132" s="2"/>
      <c r="AI132" s="2"/>
      <c r="AJ132" s="2"/>
      <c r="AK132" s="147"/>
      <c r="AL132" s="2"/>
      <c r="AM132" s="2"/>
      <c r="AN132" s="2"/>
      <c r="AO132" s="2"/>
      <c r="AP132" s="2"/>
      <c r="AQ132" s="147"/>
      <c r="AV132" s="84"/>
    </row>
    <row r="133" spans="1:51" x14ac:dyDescent="0.25">
      <c r="J133" s="77"/>
      <c r="L133" s="56"/>
      <c r="M133" s="56"/>
      <c r="N133" s="56"/>
      <c r="O133" s="56"/>
      <c r="R133" s="56"/>
      <c r="T133" s="380">
        <v>37</v>
      </c>
      <c r="V133" s="46" t="s">
        <v>227</v>
      </c>
      <c r="W133" s="46"/>
      <c r="X133" s="46"/>
      <c r="Y133" s="116">
        <f>F60</f>
        <v>0</v>
      </c>
      <c r="Z133" s="84"/>
      <c r="AA133" s="116">
        <f>H60</f>
        <v>0</v>
      </c>
      <c r="AB133" s="2"/>
      <c r="AC133" s="567">
        <v>6.68</v>
      </c>
      <c r="AD133" s="2"/>
      <c r="AE133" s="83">
        <f>ROUND(Y133*AC133,0)</f>
        <v>0</v>
      </c>
      <c r="AF133" s="2"/>
      <c r="AG133" s="383">
        <f>ROUND((AE133/AE$145)*100,1)</f>
        <v>0</v>
      </c>
      <c r="AH133" s="2"/>
      <c r="AI133" s="116">
        <f>L60-AE133</f>
        <v>0</v>
      </c>
      <c r="AJ133" s="2"/>
      <c r="AK133" s="383">
        <v>0</v>
      </c>
      <c r="AL133" s="2"/>
      <c r="AM133" s="83">
        <f>ROUND((AM$145/AA$145)*AA133,0)</f>
        <v>0</v>
      </c>
      <c r="AN133" s="2"/>
      <c r="AO133" s="83">
        <f>AM133+AE133</f>
        <v>0</v>
      </c>
      <c r="AP133" s="2"/>
      <c r="AQ133" s="383">
        <v>0</v>
      </c>
      <c r="AU133" s="77">
        <f>AC133-AX133</f>
        <v>4.6500000000000004</v>
      </c>
      <c r="AV133" s="84"/>
      <c r="AW133" s="380">
        <v>1023</v>
      </c>
      <c r="AX133" s="380">
        <f>ROUND((AW133/12)*CUR_BASE_FUEL,2)</f>
        <v>2.0299999999999998</v>
      </c>
      <c r="AY133" s="380">
        <f>ROUND((AW133/12)*PRO_BASE_FUEL,2)</f>
        <v>2.0299999999999998</v>
      </c>
    </row>
    <row r="134" spans="1:51" x14ac:dyDescent="0.25">
      <c r="A134" s="56"/>
      <c r="C134" s="56"/>
      <c r="D134" s="56"/>
      <c r="E134" s="56"/>
      <c r="F134" s="56"/>
      <c r="J134" s="67"/>
      <c r="K134" s="56"/>
      <c r="L134" s="56"/>
      <c r="M134" s="56"/>
      <c r="N134" s="56"/>
      <c r="O134" s="56"/>
      <c r="P134" s="56"/>
      <c r="Q134" s="56"/>
      <c r="R134" s="56"/>
      <c r="T134" s="380">
        <v>38</v>
      </c>
      <c r="V134" s="46" t="s">
        <v>228</v>
      </c>
      <c r="W134" s="46"/>
      <c r="X134" s="46"/>
      <c r="Y134" s="116">
        <f>F61</f>
        <v>0</v>
      </c>
      <c r="Z134" s="84"/>
      <c r="AA134" s="116">
        <f>H61</f>
        <v>0</v>
      </c>
      <c r="AB134" s="2"/>
      <c r="AC134" s="567">
        <v>8.84</v>
      </c>
      <c r="AD134" s="2"/>
      <c r="AE134" s="83">
        <f>ROUND(Y134*AC134,0)</f>
        <v>0</v>
      </c>
      <c r="AF134" s="2"/>
      <c r="AG134" s="383">
        <f>ROUND((AE134/AE$145)*100,1)</f>
        <v>0</v>
      </c>
      <c r="AH134" s="2"/>
      <c r="AI134" s="116">
        <f>L61-AE134</f>
        <v>0</v>
      </c>
      <c r="AJ134" s="2"/>
      <c r="AK134" s="383">
        <v>0</v>
      </c>
      <c r="AL134" s="2"/>
      <c r="AM134" s="83">
        <f>ROUND((AM$145/AA$145)*AA134,0)</f>
        <v>0</v>
      </c>
      <c r="AN134" s="2"/>
      <c r="AO134" s="83">
        <f>AM134+AE134</f>
        <v>0</v>
      </c>
      <c r="AP134" s="2"/>
      <c r="AQ134" s="383">
        <v>0</v>
      </c>
      <c r="AU134" s="77">
        <f>AC134-AX134</f>
        <v>4.9499999999999993</v>
      </c>
      <c r="AV134" s="84"/>
      <c r="AW134" s="380">
        <v>1959</v>
      </c>
      <c r="AX134" s="380">
        <f>ROUND((AW134/12)*CUR_BASE_FUEL,2)</f>
        <v>3.89</v>
      </c>
      <c r="AY134" s="380">
        <f>ROUND((AW134/12)*PRO_BASE_FUEL,2)</f>
        <v>3.89</v>
      </c>
    </row>
    <row r="135" spans="1:51" x14ac:dyDescent="0.25">
      <c r="A135" s="56"/>
      <c r="C135" s="56"/>
      <c r="D135" s="56"/>
      <c r="E135" s="56"/>
      <c r="F135" s="56"/>
      <c r="H135" s="56"/>
      <c r="I135" s="56"/>
      <c r="J135" s="67"/>
      <c r="K135" s="56"/>
      <c r="L135" s="56"/>
      <c r="M135" s="56"/>
      <c r="N135" s="56"/>
      <c r="O135" s="56"/>
      <c r="P135" s="56"/>
      <c r="Q135" s="56"/>
      <c r="R135" s="56"/>
      <c r="V135" s="46"/>
      <c r="W135" s="46"/>
      <c r="X135" s="46"/>
      <c r="Y135" s="108"/>
      <c r="Z135" s="2"/>
      <c r="AA135" s="2"/>
      <c r="AB135" s="2"/>
      <c r="AC135" s="378"/>
      <c r="AD135" s="2"/>
      <c r="AE135" s="2"/>
      <c r="AF135" s="2"/>
      <c r="AG135" s="147"/>
      <c r="AH135" s="2"/>
      <c r="AI135" s="2"/>
      <c r="AJ135" s="2"/>
      <c r="AK135" s="147"/>
      <c r="AL135" s="2"/>
      <c r="AM135" s="2"/>
      <c r="AN135" s="2"/>
      <c r="AO135" s="2"/>
      <c r="AP135" s="2"/>
      <c r="AQ135" s="147"/>
      <c r="AV135" s="84"/>
      <c r="AW135" s="84"/>
    </row>
    <row r="136" spans="1:51" x14ac:dyDescent="0.25">
      <c r="C136" s="56"/>
      <c r="D136" s="56"/>
      <c r="E136" s="56"/>
      <c r="F136" s="56"/>
      <c r="H136" s="56"/>
      <c r="I136" s="56"/>
      <c r="J136" s="67"/>
      <c r="K136" s="56"/>
      <c r="L136" s="56"/>
      <c r="M136" s="56"/>
      <c r="N136" s="56"/>
      <c r="O136" s="56"/>
      <c r="P136" s="56"/>
      <c r="Q136" s="56"/>
      <c r="R136" s="56"/>
      <c r="T136" s="380">
        <v>39</v>
      </c>
      <c r="V136" s="222" t="s">
        <v>76</v>
      </c>
      <c r="X136" s="46"/>
      <c r="Y136" s="108"/>
      <c r="Z136" s="2"/>
      <c r="AA136" s="2"/>
      <c r="AB136" s="2"/>
      <c r="AC136" s="378"/>
      <c r="AD136" s="2"/>
      <c r="AE136" s="2"/>
      <c r="AF136" s="2"/>
      <c r="AG136" s="147"/>
      <c r="AH136" s="2"/>
      <c r="AI136" s="2"/>
      <c r="AJ136" s="2"/>
      <c r="AK136" s="147"/>
      <c r="AL136" s="2"/>
      <c r="AM136" s="2"/>
      <c r="AN136" s="2"/>
      <c r="AO136" s="2"/>
      <c r="AP136" s="2"/>
      <c r="AQ136" s="147"/>
      <c r="AV136" s="84"/>
      <c r="AW136" s="84"/>
      <c r="AX136" s="380">
        <f>CUR_BASE_FUEL</f>
        <v>2.3837000000000001E-2</v>
      </c>
      <c r="AY136" s="380">
        <f>PRO_BASE_FUEL</f>
        <v>2.3837000000000001E-2</v>
      </c>
    </row>
    <row r="137" spans="1:5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66"/>
      <c r="K137" s="55"/>
      <c r="L137" s="55"/>
      <c r="M137" s="55"/>
      <c r="N137" s="55"/>
      <c r="O137" s="55"/>
      <c r="P137" s="55"/>
      <c r="Q137" s="55"/>
      <c r="R137" s="55"/>
      <c r="T137" s="380">
        <v>40</v>
      </c>
      <c r="V137" s="222" t="s">
        <v>77</v>
      </c>
      <c r="X137" s="46"/>
      <c r="Y137" s="105">
        <f>F64</f>
        <v>2065</v>
      </c>
      <c r="Z137" s="2"/>
      <c r="AA137" s="105">
        <f>H64</f>
        <v>97596</v>
      </c>
      <c r="AB137" s="2"/>
      <c r="AC137" s="569">
        <v>3.8304999999999999E-2</v>
      </c>
      <c r="AD137" s="2"/>
      <c r="AE137" s="81">
        <f>ROUND((AA137*AC137),0)</f>
        <v>3738</v>
      </c>
      <c r="AF137" s="2"/>
      <c r="AG137" s="148">
        <f>ROUND((AE137/AE$145)*100,1)</f>
        <v>93.7</v>
      </c>
      <c r="AH137" s="2"/>
      <c r="AI137" s="105">
        <f>L64-AE137</f>
        <v>459</v>
      </c>
      <c r="AJ137" s="2"/>
      <c r="AK137" s="383">
        <f>ROUND((AI137/AE137)*100,1)</f>
        <v>12.3</v>
      </c>
      <c r="AL137" s="2"/>
      <c r="AM137" s="81">
        <f>ROUND((AM$145/AA$145)*AA137,0)</f>
        <v>66</v>
      </c>
      <c r="AN137" s="2"/>
      <c r="AO137" s="81">
        <f>AM137+AE137</f>
        <v>3804</v>
      </c>
      <c r="AP137" s="2"/>
      <c r="AQ137" s="149">
        <f>ROUND((AI137/AO137)*100,1)</f>
        <v>12.1</v>
      </c>
      <c r="AU137" s="570">
        <f>AC137-CUR_BASE_FUEL</f>
        <v>1.4467999999999998E-2</v>
      </c>
      <c r="AV137" s="84"/>
      <c r="AW137" s="84"/>
    </row>
    <row r="138" spans="1:51" ht="20.100000000000001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66"/>
      <c r="K138" s="55"/>
      <c r="L138" s="55"/>
      <c r="M138" s="55"/>
      <c r="N138" s="55"/>
      <c r="O138" s="55"/>
      <c r="P138" s="55"/>
      <c r="Q138" s="55"/>
      <c r="R138" s="55"/>
      <c r="T138" s="45">
        <v>41</v>
      </c>
      <c r="U138" s="378"/>
      <c r="V138" s="444" t="s">
        <v>545</v>
      </c>
      <c r="W138" s="378"/>
      <c r="X138" s="46"/>
      <c r="Y138" s="115">
        <f>SUM(Y95:Y137)</f>
        <v>2065</v>
      </c>
      <c r="Z138" s="2"/>
      <c r="AA138" s="115">
        <f>SUM(AA95:AA137)</f>
        <v>97596</v>
      </c>
      <c r="AB138" s="2"/>
      <c r="AC138" s="569"/>
      <c r="AD138" s="2"/>
      <c r="AE138" s="115">
        <f>SUM(AE95:AE137)</f>
        <v>3738</v>
      </c>
      <c r="AF138" s="2"/>
      <c r="AG138" s="150">
        <f>ROUND((AE138/AE$145)*100,1)</f>
        <v>93.7</v>
      </c>
      <c r="AH138" s="2"/>
      <c r="AI138" s="115">
        <f>SUM(AI95:AI137)</f>
        <v>459</v>
      </c>
      <c r="AJ138" s="2"/>
      <c r="AK138" s="150">
        <f>ROUND((AI138/AE138)*100,1)</f>
        <v>12.3</v>
      </c>
      <c r="AL138" s="2"/>
      <c r="AM138" s="115">
        <f>SUM(AM95:AM137)</f>
        <v>66</v>
      </c>
      <c r="AN138" s="2"/>
      <c r="AO138" s="115">
        <f>SUM(AO95:AO137)</f>
        <v>3804</v>
      </c>
      <c r="AP138" s="2"/>
      <c r="AQ138" s="149">
        <f>ROUND((AI138/AO138)*100,1)</f>
        <v>12.1</v>
      </c>
      <c r="AU138" s="570"/>
      <c r="AV138" s="84"/>
      <c r="AW138" s="84"/>
    </row>
    <row r="139" spans="1:5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66"/>
      <c r="K139" s="55"/>
      <c r="L139" s="55"/>
      <c r="M139" s="55"/>
      <c r="N139" s="55"/>
      <c r="O139" s="55"/>
      <c r="P139" s="55"/>
      <c r="Q139" s="55"/>
      <c r="R139" s="55"/>
      <c r="T139" s="45"/>
      <c r="U139" s="378"/>
      <c r="V139" s="444"/>
      <c r="W139" s="378"/>
      <c r="X139" s="46"/>
      <c r="Y139" s="116"/>
      <c r="Z139" s="2"/>
      <c r="AA139" s="116"/>
      <c r="AB139" s="2"/>
      <c r="AC139" s="569"/>
      <c r="AD139" s="2"/>
      <c r="AE139" s="83"/>
      <c r="AF139" s="2"/>
      <c r="AG139" s="383"/>
      <c r="AH139" s="2"/>
      <c r="AI139" s="116"/>
      <c r="AJ139" s="2"/>
      <c r="AK139" s="383"/>
      <c r="AL139" s="2"/>
      <c r="AM139" s="83"/>
      <c r="AN139" s="2"/>
      <c r="AO139" s="83"/>
      <c r="AP139" s="2"/>
      <c r="AQ139" s="149"/>
      <c r="AU139" s="570"/>
      <c r="AV139" s="84"/>
      <c r="AW139" s="84"/>
    </row>
    <row r="140" spans="1:5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66"/>
      <c r="K140" s="55"/>
      <c r="L140" s="55"/>
      <c r="M140" s="55"/>
      <c r="N140" s="55"/>
      <c r="O140" s="55"/>
      <c r="P140" s="55"/>
      <c r="Q140" s="55"/>
      <c r="R140" s="55"/>
      <c r="T140" s="45">
        <f>A67</f>
        <v>42</v>
      </c>
      <c r="U140" s="378"/>
      <c r="V140" s="222" t="s">
        <v>542</v>
      </c>
      <c r="W140" s="378"/>
      <c r="X140" s="46"/>
      <c r="Y140" s="116"/>
      <c r="Z140" s="2"/>
      <c r="AA140" s="116"/>
      <c r="AB140" s="2"/>
      <c r="AC140" s="569"/>
      <c r="AD140" s="2"/>
      <c r="AE140" s="83"/>
      <c r="AF140" s="2"/>
      <c r="AG140" s="383"/>
      <c r="AH140" s="2"/>
      <c r="AI140" s="116"/>
      <c r="AJ140" s="2"/>
      <c r="AK140" s="383"/>
      <c r="AL140" s="2"/>
      <c r="AM140" s="83"/>
      <c r="AN140" s="2"/>
      <c r="AO140" s="83"/>
      <c r="AP140" s="2"/>
      <c r="AQ140" s="149"/>
      <c r="AU140" s="570"/>
      <c r="AV140" s="84"/>
      <c r="AW140" s="84"/>
    </row>
    <row r="141" spans="1:5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66"/>
      <c r="K141" s="55"/>
      <c r="L141" s="55"/>
      <c r="M141" s="55"/>
      <c r="N141" s="55"/>
      <c r="O141" s="55"/>
      <c r="P141" s="55"/>
      <c r="Q141" s="55"/>
      <c r="R141" s="55"/>
      <c r="T141" s="45">
        <f>A68</f>
        <v>43</v>
      </c>
      <c r="U141" s="378"/>
      <c r="V141" s="216" t="str">
        <f>C68</f>
        <v>ENVIRONMENTAL SURCHARGE MECHANISM RIDER (ESM)</v>
      </c>
      <c r="W141" s="378"/>
      <c r="X141" s="46"/>
      <c r="Y141" s="116"/>
      <c r="Z141" s="2"/>
      <c r="AA141" s="116"/>
      <c r="AB141" s="2"/>
      <c r="AC141" s="538">
        <f>CUR_ESM_NONRES</f>
        <v>0.18160000000000001</v>
      </c>
      <c r="AD141" s="481"/>
      <c r="AE141" s="83">
        <f>ROUND((AO138-CUR_BASE_FUEL*AA138)*AC141,0)</f>
        <v>268</v>
      </c>
      <c r="AF141" s="2"/>
      <c r="AG141" s="383">
        <f>ROUND((AE141/AE$145)*100,1)</f>
        <v>6.7</v>
      </c>
      <c r="AH141" s="2"/>
      <c r="AI141" s="116">
        <f>L68-AE141</f>
        <v>0</v>
      </c>
      <c r="AJ141" s="2"/>
      <c r="AK141" s="383">
        <f>IF(AE141=0,0,ROUND((AI141/AE141)*100,1))</f>
        <v>0</v>
      </c>
      <c r="AL141" s="2"/>
      <c r="AM141" s="83"/>
      <c r="AN141" s="2"/>
      <c r="AO141" s="83">
        <f t="shared" ref="AO141" si="18">AM141+AE141</f>
        <v>268</v>
      </c>
      <c r="AP141" s="2"/>
      <c r="AQ141" s="149">
        <f>IF(AO141=0,0,ROUND((AI141/AO141)*100,1))</f>
        <v>0</v>
      </c>
      <c r="AU141" s="570"/>
      <c r="AV141" s="84"/>
      <c r="AW141" s="84"/>
    </row>
    <row r="142" spans="1:5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66"/>
      <c r="K142" s="55"/>
      <c r="L142" s="55"/>
      <c r="M142" s="55"/>
      <c r="N142" s="55"/>
      <c r="O142" s="55"/>
      <c r="P142" s="55"/>
      <c r="Q142" s="55"/>
      <c r="R142" s="55"/>
      <c r="T142" s="45">
        <f>A69</f>
        <v>44</v>
      </c>
      <c r="U142" s="378"/>
      <c r="V142" s="216" t="str">
        <f>C69</f>
        <v>PROFIT SHARING MECHANISM (PSM)</v>
      </c>
      <c r="W142" s="378"/>
      <c r="X142" s="46"/>
      <c r="Y142" s="116"/>
      <c r="Z142" s="2"/>
      <c r="AA142" s="116"/>
      <c r="AB142" s="2"/>
      <c r="AC142" s="453">
        <f>RS_PSM</f>
        <v>-1.63E-4</v>
      </c>
      <c r="AD142" s="2"/>
      <c r="AE142" s="81">
        <f>ROUND($AA$138*AC142,0)</f>
        <v>-16</v>
      </c>
      <c r="AF142" s="2"/>
      <c r="AG142" s="148">
        <f>ROUND((AE142/AE$145)*100,1)</f>
        <v>-0.4</v>
      </c>
      <c r="AH142" s="2"/>
      <c r="AI142" s="105">
        <f>L69-AE142</f>
        <v>0</v>
      </c>
      <c r="AJ142" s="2"/>
      <c r="AK142" s="148">
        <f t="shared" ref="AK142:AK143" si="19">ROUND((AI142/AE142)*100,1)</f>
        <v>0</v>
      </c>
      <c r="AL142" s="2"/>
      <c r="AM142" s="81"/>
      <c r="AN142" s="2"/>
      <c r="AO142" s="81">
        <f t="shared" ref="AO142" si="20">AM142+AE142</f>
        <v>-16</v>
      </c>
      <c r="AP142" s="2"/>
      <c r="AQ142" s="149">
        <f t="shared" ref="AQ142:AQ143" si="21">ROUND((AI142/AO142)*100,1)</f>
        <v>0</v>
      </c>
      <c r="AU142" s="570"/>
      <c r="AV142" s="84"/>
      <c r="AW142" s="84"/>
    </row>
    <row r="143" spans="1:51" ht="20.100000000000001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66"/>
      <c r="K143" s="55"/>
      <c r="L143" s="55"/>
      <c r="M143" s="55"/>
      <c r="N143" s="55"/>
      <c r="O143" s="55"/>
      <c r="P143" s="55"/>
      <c r="Q143" s="55"/>
      <c r="R143" s="55"/>
      <c r="T143" s="45">
        <f>A70</f>
        <v>45</v>
      </c>
      <c r="U143" s="378"/>
      <c r="V143" s="222" t="s">
        <v>538</v>
      </c>
      <c r="W143" s="378"/>
      <c r="X143" s="46"/>
      <c r="Y143" s="105"/>
      <c r="Z143" s="2"/>
      <c r="AA143" s="105"/>
      <c r="AB143" s="2"/>
      <c r="AC143" s="569"/>
      <c r="AD143" s="2"/>
      <c r="AE143" s="90">
        <f>SUM(AE141:AE142)</f>
        <v>252</v>
      </c>
      <c r="AF143" s="2"/>
      <c r="AG143" s="148">
        <f>ROUND((AE143/AE$145)*100,1)</f>
        <v>6.3</v>
      </c>
      <c r="AH143" s="2"/>
      <c r="AI143" s="90">
        <f>SUM(AI141:AI142)</f>
        <v>0</v>
      </c>
      <c r="AJ143" s="2"/>
      <c r="AK143" s="150">
        <f t="shared" si="19"/>
        <v>0</v>
      </c>
      <c r="AL143" s="2"/>
      <c r="AM143" s="90"/>
      <c r="AN143" s="2"/>
      <c r="AO143" s="90">
        <f>SUM(AO141:AO142)</f>
        <v>252</v>
      </c>
      <c r="AP143" s="2"/>
      <c r="AQ143" s="149">
        <f t="shared" si="21"/>
        <v>0</v>
      </c>
      <c r="AU143" s="570"/>
      <c r="AV143" s="84"/>
      <c r="AW143" s="84"/>
    </row>
    <row r="144" spans="1:5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66"/>
      <c r="K144" s="55"/>
      <c r="L144" s="55"/>
      <c r="M144" s="55"/>
      <c r="N144" s="55"/>
      <c r="O144" s="55"/>
      <c r="P144" s="55"/>
      <c r="Q144" s="55"/>
      <c r="R144" s="55"/>
      <c r="V144" s="222"/>
      <c r="X144" s="46"/>
      <c r="Y144" s="116"/>
      <c r="Z144" s="2"/>
      <c r="AA144" s="116"/>
      <c r="AB144" s="2"/>
      <c r="AC144" s="569"/>
      <c r="AD144" s="2"/>
      <c r="AE144" s="83"/>
      <c r="AF144" s="2"/>
      <c r="AG144" s="383"/>
      <c r="AH144" s="2"/>
      <c r="AI144" s="116"/>
      <c r="AJ144" s="2"/>
      <c r="AK144" s="383"/>
      <c r="AL144" s="2"/>
      <c r="AM144" s="83"/>
      <c r="AN144" s="2"/>
      <c r="AO144" s="83"/>
      <c r="AP144" s="2"/>
      <c r="AQ144" s="149"/>
      <c r="AU144" s="570"/>
      <c r="AV144" s="84"/>
      <c r="AW144" s="84"/>
    </row>
    <row r="145" spans="1:49" ht="20.100000000000001" customHeight="1" thickBot="1" x14ac:dyDescent="0.3">
      <c r="A145" s="53"/>
      <c r="C145" s="54"/>
      <c r="D145" s="54"/>
      <c r="E145" s="54"/>
      <c r="J145" s="77"/>
      <c r="T145" s="45">
        <f>A72</f>
        <v>46</v>
      </c>
      <c r="V145" s="222" t="s">
        <v>546</v>
      </c>
      <c r="W145" s="378"/>
      <c r="X145" s="46"/>
      <c r="Y145" s="117">
        <f>Y138</f>
        <v>2065</v>
      </c>
      <c r="Z145" s="193"/>
      <c r="AA145" s="117">
        <f>AA138</f>
        <v>97596</v>
      </c>
      <c r="AB145" s="2"/>
      <c r="AC145" s="2"/>
      <c r="AD145" s="2"/>
      <c r="AE145" s="117">
        <f>AE143+AE138</f>
        <v>3990</v>
      </c>
      <c r="AF145" s="2"/>
      <c r="AG145" s="177">
        <v>100</v>
      </c>
      <c r="AH145" s="2"/>
      <c r="AI145" s="117">
        <f>AI143+AI138</f>
        <v>459</v>
      </c>
      <c r="AJ145" s="2"/>
      <c r="AK145" s="151">
        <f>ROUND((AI145/AE145)*100,1)</f>
        <v>11.5</v>
      </c>
      <c r="AL145" s="2"/>
      <c r="AM145" s="563">
        <f>ROUND(AA145*CUR_FAC,0)</f>
        <v>66</v>
      </c>
      <c r="AN145" s="2"/>
      <c r="AO145" s="117">
        <f>AO143+AO138</f>
        <v>4056</v>
      </c>
      <c r="AP145" s="2"/>
      <c r="AQ145" s="149">
        <f>ROUND((AI145/AO145)*100,1)</f>
        <v>11.3</v>
      </c>
    </row>
    <row r="146" spans="1:49" ht="15" customHeight="1" thickTop="1" x14ac:dyDescent="0.25">
      <c r="J146" s="77"/>
      <c r="V146" s="46"/>
      <c r="W146" s="52"/>
      <c r="X146" s="46"/>
      <c r="Y146" s="108"/>
      <c r="Z146" s="2"/>
      <c r="AA146" s="2"/>
      <c r="AB146" s="2"/>
      <c r="AC146" s="2"/>
      <c r="AD146" s="2"/>
      <c r="AE146" s="2"/>
      <c r="AF146" s="2"/>
      <c r="AG146" s="147"/>
      <c r="AH146" s="2"/>
      <c r="AI146" s="2"/>
      <c r="AJ146" s="2"/>
      <c r="AK146" s="147"/>
      <c r="AL146" s="2"/>
      <c r="AM146" s="2"/>
      <c r="AN146" s="2"/>
      <c r="AO146" s="2"/>
      <c r="AP146" s="2"/>
      <c r="AQ146" s="147"/>
    </row>
    <row r="147" spans="1:49" x14ac:dyDescent="0.25">
      <c r="A147" s="53"/>
      <c r="C147" s="54"/>
      <c r="F147" s="449"/>
      <c r="H147" s="470"/>
      <c r="I147" s="470"/>
      <c r="J147" s="221"/>
      <c r="K147" s="461"/>
      <c r="L147" s="379"/>
      <c r="M147" s="379"/>
      <c r="N147" s="53"/>
      <c r="O147" s="53"/>
      <c r="P147" s="53"/>
      <c r="Q147" s="53"/>
      <c r="R147" s="379"/>
      <c r="V147" s="243" t="s">
        <v>78</v>
      </c>
      <c r="W147" s="54"/>
      <c r="X147" s="54"/>
      <c r="Y147" s="116"/>
      <c r="Z147" s="84"/>
      <c r="AA147" s="84"/>
      <c r="AB147" s="84"/>
      <c r="AC147" s="84"/>
      <c r="AD147" s="84"/>
      <c r="AE147" s="84"/>
      <c r="AF147" s="84"/>
      <c r="AG147" s="167"/>
      <c r="AH147" s="84"/>
      <c r="AI147" s="84"/>
      <c r="AJ147" s="84"/>
      <c r="AK147" s="167"/>
      <c r="AL147" s="84"/>
      <c r="AM147" s="84"/>
      <c r="AN147" s="84"/>
      <c r="AO147" s="84"/>
      <c r="AP147" s="84"/>
      <c r="AQ147" s="167"/>
    </row>
    <row r="148" spans="1:49" x14ac:dyDescent="0.25">
      <c r="F148" s="449"/>
      <c r="H148" s="470"/>
      <c r="I148" s="470"/>
      <c r="J148" s="221"/>
      <c r="K148" s="470"/>
      <c r="R148" s="379"/>
      <c r="V148" s="243" t="str">
        <f>"(2) REFLECTS FUEL COMPONENT OF "&amp;TEXT(CUR_FAC,"$0.000000;($0.000000)")&amp;" PER KWH."</f>
        <v>(2) REFLECTS FUEL COMPONENT OF $0.000681 PER KWH.</v>
      </c>
      <c r="W148" s="54"/>
      <c r="X148" s="54"/>
      <c r="Y148" s="382"/>
      <c r="AD148" s="84"/>
    </row>
    <row r="149" spans="1:49" x14ac:dyDescent="0.25">
      <c r="A149" s="53"/>
      <c r="C149" s="54"/>
      <c r="F149" s="449"/>
      <c r="H149" s="449"/>
      <c r="I149" s="449"/>
      <c r="J149" s="221"/>
      <c r="K149" s="472"/>
      <c r="L149" s="379"/>
      <c r="M149" s="379"/>
      <c r="N149" s="50"/>
      <c r="O149" s="50"/>
      <c r="P149" s="449"/>
      <c r="Q149" s="449"/>
      <c r="R149" s="379"/>
      <c r="V149" s="243" t="str">
        <f>"(3) REFLECTS FUEL COST RECOVERY INCLUDED IN BASE RATES OF "&amp;TEXT(CUR_BASE_FUEL,"$0.000000;($0.000000)")&amp;"  PER KWH."</f>
        <v>(3) REFLECTS FUEL COST RECOVERY INCLUDED IN BASE RATES OF $0.023837  PER KWH.</v>
      </c>
      <c r="W149" s="54"/>
      <c r="X149" s="54"/>
      <c r="Y149" s="116"/>
      <c r="Z149" s="84"/>
      <c r="AA149" s="116"/>
      <c r="AB149" s="84"/>
      <c r="AC149" s="192"/>
      <c r="AD149" s="84"/>
      <c r="AE149" s="83"/>
      <c r="AF149" s="84"/>
      <c r="AG149" s="383"/>
      <c r="AH149" s="84"/>
      <c r="AI149" s="116"/>
      <c r="AJ149" s="84"/>
      <c r="AK149" s="383"/>
      <c r="AL149" s="84"/>
      <c r="AM149" s="116"/>
      <c r="AN149" s="84"/>
      <c r="AO149" s="83"/>
      <c r="AP149" s="84"/>
      <c r="AQ149" s="383"/>
      <c r="AW149" s="108"/>
    </row>
    <row r="150" spans="1:49" x14ac:dyDescent="0.25">
      <c r="F150" s="381"/>
      <c r="H150" s="381"/>
      <c r="I150" s="381"/>
      <c r="J150" s="221"/>
      <c r="K150" s="464"/>
      <c r="L150" s="381"/>
      <c r="M150" s="381"/>
      <c r="N150" s="381"/>
      <c r="O150" s="381"/>
      <c r="P150" s="381"/>
      <c r="Q150" s="381"/>
      <c r="R150" s="381"/>
      <c r="V150" s="54"/>
      <c r="W150" s="54"/>
      <c r="X150" s="54"/>
      <c r="Y150" s="116"/>
      <c r="Z150" s="84"/>
      <c r="AA150" s="84"/>
      <c r="AB150" s="84"/>
      <c r="AC150" s="84"/>
      <c r="AD150" s="84"/>
      <c r="AE150" s="84"/>
      <c r="AF150" s="84"/>
      <c r="AG150" s="167"/>
      <c r="AH150" s="84"/>
      <c r="AI150" s="84"/>
      <c r="AJ150" s="84"/>
      <c r="AK150" s="167"/>
      <c r="AL150" s="84"/>
      <c r="AM150" s="84"/>
      <c r="AN150" s="84"/>
      <c r="AO150" s="84"/>
      <c r="AP150" s="84"/>
      <c r="AQ150" s="167"/>
      <c r="AW150" s="2"/>
    </row>
    <row r="151" spans="1:49" x14ac:dyDescent="0.25">
      <c r="A151" s="53"/>
      <c r="D151" s="54"/>
      <c r="E151" s="54"/>
      <c r="F151" s="379"/>
      <c r="H151" s="379"/>
      <c r="I151" s="379"/>
      <c r="J151" s="65"/>
      <c r="K151" s="59"/>
      <c r="L151" s="379"/>
      <c r="M151" s="379"/>
      <c r="N151" s="50"/>
      <c r="O151" s="50"/>
      <c r="P151" s="379"/>
      <c r="Q151" s="379"/>
      <c r="R151" s="379"/>
      <c r="W151" s="54"/>
      <c r="Y151" s="116"/>
      <c r="Z151" s="84"/>
      <c r="AA151" s="84"/>
      <c r="AB151" s="84"/>
      <c r="AC151" s="192"/>
      <c r="AD151" s="84"/>
      <c r="AE151" s="84"/>
      <c r="AF151" s="84"/>
      <c r="AG151" s="167"/>
      <c r="AH151" s="84"/>
      <c r="AI151" s="84"/>
      <c r="AJ151" s="84"/>
      <c r="AK151" s="167"/>
      <c r="AL151" s="84"/>
      <c r="AM151" s="84"/>
      <c r="AN151" s="84"/>
      <c r="AO151" s="84"/>
      <c r="AP151" s="84"/>
      <c r="AQ151" s="167"/>
      <c r="AW151" s="2"/>
    </row>
    <row r="152" spans="1:49" x14ac:dyDescent="0.25">
      <c r="F152" s="381"/>
      <c r="H152" s="381"/>
      <c r="I152" s="381"/>
      <c r="J152" s="221"/>
      <c r="K152" s="464"/>
      <c r="L152" s="381"/>
      <c r="M152" s="381"/>
      <c r="N152" s="381"/>
      <c r="O152" s="381"/>
      <c r="P152" s="381"/>
      <c r="Q152" s="381"/>
      <c r="R152" s="381"/>
      <c r="W152" s="54"/>
      <c r="Y152" s="116"/>
      <c r="Z152" s="84"/>
      <c r="AA152" s="116"/>
      <c r="AB152" s="84"/>
      <c r="AW152" s="94"/>
    </row>
    <row r="153" spans="1:49" x14ac:dyDescent="0.25">
      <c r="J153" s="77"/>
      <c r="R153" s="379"/>
      <c r="V153" s="54"/>
      <c r="Y153" s="116"/>
      <c r="Z153" s="84"/>
      <c r="AA153" s="84"/>
      <c r="AB153" s="84"/>
      <c r="AC153" s="192"/>
      <c r="AD153" s="84"/>
      <c r="AE153" s="84"/>
      <c r="AF153" s="84"/>
      <c r="AG153" s="167"/>
      <c r="AH153" s="84"/>
      <c r="AI153" s="84"/>
      <c r="AJ153" s="84"/>
      <c r="AK153" s="167"/>
      <c r="AL153" s="84"/>
      <c r="AM153" s="84"/>
      <c r="AN153" s="84"/>
      <c r="AO153" s="84"/>
      <c r="AP153" s="84"/>
      <c r="AQ153" s="167"/>
    </row>
    <row r="154" spans="1:49" x14ac:dyDescent="0.25">
      <c r="J154" s="77"/>
      <c r="R154" s="379"/>
    </row>
    <row r="155" spans="1:49" x14ac:dyDescent="0.25">
      <c r="J155" s="77"/>
      <c r="R155" s="379"/>
    </row>
    <row r="156" spans="1:49" x14ac:dyDescent="0.25">
      <c r="A156" s="53"/>
      <c r="C156" s="54"/>
      <c r="D156" s="54"/>
      <c r="E156" s="54"/>
      <c r="H156" s="379"/>
      <c r="I156" s="379"/>
      <c r="J156" s="65"/>
      <c r="K156" s="59"/>
      <c r="L156" s="379"/>
      <c r="M156" s="379"/>
      <c r="N156" s="50"/>
      <c r="O156" s="50"/>
      <c r="P156" s="379"/>
      <c r="Q156" s="379"/>
      <c r="R156" s="379"/>
      <c r="T156" s="54"/>
      <c r="U156" s="54"/>
      <c r="Y156" s="379"/>
      <c r="Z156" s="59"/>
      <c r="AA156" s="379"/>
      <c r="AB156" s="379"/>
      <c r="AC156" s="50"/>
      <c r="AD156" s="50"/>
    </row>
    <row r="157" spans="1:49" x14ac:dyDescent="0.25">
      <c r="H157" s="379"/>
      <c r="I157" s="379"/>
      <c r="J157" s="65"/>
      <c r="K157" s="59"/>
      <c r="L157" s="379"/>
      <c r="M157" s="379"/>
      <c r="N157" s="50"/>
      <c r="O157" s="50"/>
      <c r="P157" s="379"/>
      <c r="Q157" s="379"/>
      <c r="R157" s="379"/>
      <c r="Y157" s="379"/>
      <c r="Z157" s="59"/>
      <c r="AA157" s="379"/>
      <c r="AB157" s="379"/>
      <c r="AC157" s="50"/>
      <c r="AD157" s="50"/>
    </row>
    <row r="158" spans="1:49" x14ac:dyDescent="0.25">
      <c r="A158" s="53"/>
      <c r="C158" s="54"/>
      <c r="F158" s="449"/>
      <c r="H158" s="449"/>
      <c r="I158" s="449"/>
      <c r="J158" s="67"/>
      <c r="K158" s="61"/>
      <c r="L158" s="449"/>
      <c r="M158" s="449"/>
      <c r="N158" s="50"/>
      <c r="O158" s="50"/>
      <c r="P158" s="379"/>
      <c r="Q158" s="379"/>
      <c r="R158" s="379"/>
      <c r="T158" s="54"/>
      <c r="V158" s="379"/>
      <c r="Y158" s="379"/>
      <c r="Z158" s="61"/>
      <c r="AA158" s="379"/>
      <c r="AB158" s="379"/>
      <c r="AC158" s="50"/>
      <c r="AD158" s="50"/>
      <c r="AE158" s="379"/>
      <c r="AF158" s="379"/>
      <c r="AG158" s="156"/>
      <c r="AH158" s="60"/>
      <c r="AI158" s="379"/>
      <c r="AJ158" s="379"/>
      <c r="AK158" s="156"/>
      <c r="AL158" s="379"/>
      <c r="AM158" s="50"/>
      <c r="AN158" s="50"/>
    </row>
    <row r="159" spans="1:49" x14ac:dyDescent="0.25">
      <c r="F159" s="449"/>
      <c r="H159" s="470"/>
      <c r="I159" s="470"/>
      <c r="J159" s="221"/>
      <c r="K159" s="470"/>
      <c r="R159" s="379"/>
      <c r="V159" s="379"/>
      <c r="Z159" s="470"/>
    </row>
    <row r="160" spans="1:49" x14ac:dyDescent="0.25">
      <c r="A160" s="53"/>
      <c r="C160" s="54"/>
      <c r="F160" s="449"/>
      <c r="H160" s="449"/>
      <c r="I160" s="449"/>
      <c r="J160" s="221"/>
      <c r="K160" s="461"/>
      <c r="L160" s="379"/>
      <c r="M160" s="379"/>
      <c r="N160" s="50"/>
      <c r="O160" s="50"/>
      <c r="P160" s="379"/>
      <c r="Q160" s="379"/>
      <c r="R160" s="379"/>
      <c r="T160" s="54"/>
      <c r="V160" s="379"/>
      <c r="Y160" s="379"/>
      <c r="Z160" s="461"/>
      <c r="AA160" s="379"/>
      <c r="AB160" s="379"/>
      <c r="AC160" s="50"/>
      <c r="AD160" s="50"/>
      <c r="AE160" s="379"/>
      <c r="AF160" s="379"/>
      <c r="AG160" s="156"/>
      <c r="AH160" s="60"/>
      <c r="AI160" s="379"/>
      <c r="AJ160" s="379"/>
      <c r="AK160" s="156"/>
      <c r="AL160" s="379"/>
      <c r="AM160" s="50"/>
      <c r="AN160" s="50"/>
    </row>
    <row r="161" spans="1:40" x14ac:dyDescent="0.25">
      <c r="F161" s="449"/>
      <c r="H161" s="470"/>
      <c r="I161" s="470"/>
      <c r="J161" s="221"/>
      <c r="K161" s="470"/>
      <c r="R161" s="379"/>
      <c r="V161" s="379"/>
      <c r="Z161" s="470"/>
    </row>
    <row r="162" spans="1:40" x14ac:dyDescent="0.25">
      <c r="A162" s="53"/>
      <c r="C162" s="54"/>
      <c r="F162" s="449"/>
      <c r="H162" s="449"/>
      <c r="I162" s="449"/>
      <c r="J162" s="221"/>
      <c r="K162" s="472"/>
      <c r="L162" s="379"/>
      <c r="M162" s="379"/>
      <c r="N162" s="50"/>
      <c r="O162" s="50"/>
      <c r="P162" s="379"/>
      <c r="Q162" s="379"/>
      <c r="R162" s="379"/>
      <c r="T162" s="54"/>
      <c r="V162" s="379"/>
      <c r="Y162" s="379"/>
      <c r="Z162" s="463"/>
      <c r="AA162" s="379"/>
      <c r="AB162" s="379"/>
      <c r="AC162" s="50"/>
      <c r="AD162" s="50"/>
      <c r="AE162" s="379"/>
      <c r="AF162" s="379"/>
      <c r="AG162" s="156"/>
      <c r="AH162" s="60"/>
      <c r="AI162" s="379"/>
      <c r="AJ162" s="379"/>
      <c r="AK162" s="156"/>
      <c r="AL162" s="379"/>
      <c r="AM162" s="50"/>
      <c r="AN162" s="50"/>
    </row>
    <row r="163" spans="1:40" x14ac:dyDescent="0.25">
      <c r="F163" s="381"/>
      <c r="H163" s="381"/>
      <c r="I163" s="381"/>
      <c r="J163" s="221"/>
      <c r="K163" s="464"/>
      <c r="L163" s="381"/>
      <c r="M163" s="381"/>
      <c r="N163" s="381"/>
      <c r="O163" s="381"/>
      <c r="P163" s="381"/>
      <c r="Q163" s="381"/>
      <c r="R163" s="381"/>
      <c r="S163" s="379"/>
      <c r="V163" s="381"/>
      <c r="Y163" s="381"/>
      <c r="Z163" s="464"/>
      <c r="AA163" s="381"/>
      <c r="AB163" s="381"/>
      <c r="AC163" s="381"/>
      <c r="AD163" s="381"/>
      <c r="AE163" s="381"/>
      <c r="AF163" s="381"/>
      <c r="AI163" s="381"/>
      <c r="AJ163" s="381"/>
      <c r="AK163" s="162"/>
      <c r="AL163" s="381"/>
    </row>
    <row r="164" spans="1:40" x14ac:dyDescent="0.25">
      <c r="A164" s="53"/>
      <c r="D164" s="54"/>
      <c r="E164" s="54"/>
      <c r="F164" s="379"/>
      <c r="H164" s="379"/>
      <c r="I164" s="379"/>
      <c r="J164" s="65"/>
      <c r="K164" s="59"/>
      <c r="L164" s="379"/>
      <c r="M164" s="379"/>
      <c r="N164" s="50"/>
      <c r="O164" s="50"/>
      <c r="P164" s="449"/>
      <c r="Q164" s="449"/>
      <c r="R164" s="379"/>
      <c r="S164" s="379"/>
      <c r="U164" s="54"/>
      <c r="V164" s="379"/>
      <c r="Y164" s="379"/>
      <c r="Z164" s="59"/>
      <c r="AA164" s="379"/>
      <c r="AB164" s="379"/>
      <c r="AC164" s="50"/>
      <c r="AD164" s="50"/>
      <c r="AE164" s="379"/>
      <c r="AF164" s="379"/>
      <c r="AG164" s="156"/>
      <c r="AH164" s="60"/>
      <c r="AI164" s="449"/>
      <c r="AJ164" s="449"/>
      <c r="AK164" s="156"/>
      <c r="AL164" s="379"/>
      <c r="AM164" s="50"/>
      <c r="AN164" s="50"/>
    </row>
    <row r="165" spans="1:40" x14ac:dyDescent="0.25">
      <c r="F165" s="381"/>
      <c r="H165" s="381"/>
      <c r="I165" s="381"/>
      <c r="J165" s="221"/>
      <c r="K165" s="464"/>
      <c r="L165" s="381"/>
      <c r="M165" s="381"/>
      <c r="N165" s="381"/>
      <c r="O165" s="381"/>
      <c r="P165" s="381"/>
      <c r="Q165" s="381"/>
      <c r="R165" s="381"/>
      <c r="S165" s="379"/>
      <c r="V165" s="381"/>
      <c r="Y165" s="381"/>
      <c r="Z165" s="464"/>
      <c r="AA165" s="381"/>
      <c r="AB165" s="381"/>
      <c r="AC165" s="381"/>
      <c r="AD165" s="381"/>
      <c r="AE165" s="381"/>
      <c r="AF165" s="381"/>
      <c r="AI165" s="381"/>
      <c r="AJ165" s="381"/>
      <c r="AK165" s="162"/>
      <c r="AL165" s="381"/>
    </row>
    <row r="166" spans="1:40" x14ac:dyDescent="0.25">
      <c r="J166" s="77"/>
      <c r="R166" s="379"/>
    </row>
    <row r="167" spans="1:40" x14ac:dyDescent="0.25">
      <c r="F167" s="379"/>
      <c r="H167" s="379"/>
      <c r="I167" s="379"/>
      <c r="J167" s="65"/>
      <c r="K167" s="59"/>
      <c r="L167" s="379"/>
      <c r="M167" s="379"/>
      <c r="N167" s="379"/>
      <c r="O167" s="379"/>
      <c r="P167" s="379"/>
      <c r="Q167" s="379"/>
      <c r="R167" s="379"/>
      <c r="V167" s="379"/>
      <c r="Y167" s="379"/>
      <c r="Z167" s="59"/>
      <c r="AA167" s="379"/>
      <c r="AB167" s="379"/>
      <c r="AC167" s="379"/>
      <c r="AD167" s="379"/>
    </row>
    <row r="168" spans="1:40" x14ac:dyDescent="0.25">
      <c r="C168" s="54"/>
      <c r="F168" s="379"/>
      <c r="H168" s="379"/>
      <c r="I168" s="379"/>
      <c r="J168" s="65"/>
      <c r="K168" s="59"/>
      <c r="L168" s="379"/>
      <c r="M168" s="379"/>
      <c r="N168" s="379"/>
      <c r="O168" s="379"/>
      <c r="P168" s="379"/>
      <c r="Q168" s="379"/>
      <c r="R168" s="379"/>
      <c r="T168" s="54"/>
      <c r="V168" s="379"/>
      <c r="Y168" s="379"/>
      <c r="Z168" s="59"/>
      <c r="AA168" s="379"/>
      <c r="AB168" s="379"/>
      <c r="AC168" s="379"/>
      <c r="AD168" s="379"/>
    </row>
    <row r="169" spans="1:40" x14ac:dyDescent="0.25">
      <c r="C169" s="54"/>
      <c r="J169" s="77"/>
      <c r="T169" s="54"/>
    </row>
    <row r="170" spans="1:40" x14ac:dyDescent="0.25">
      <c r="A170" s="54"/>
      <c r="J170" s="77"/>
    </row>
    <row r="171" spans="1:40" x14ac:dyDescent="0.25">
      <c r="J171" s="77"/>
    </row>
    <row r="172" spans="1:40" x14ac:dyDescent="0.25">
      <c r="J172" s="65"/>
      <c r="K172" s="53"/>
      <c r="Z172" s="53"/>
    </row>
    <row r="173" spans="1:40" x14ac:dyDescent="0.25">
      <c r="H173" s="54"/>
      <c r="I173" s="54"/>
      <c r="J173" s="77"/>
      <c r="Y173" s="54"/>
    </row>
    <row r="174" spans="1:40" x14ac:dyDescent="0.25">
      <c r="J174" s="65"/>
      <c r="K174" s="53"/>
      <c r="Z174" s="53"/>
    </row>
    <row r="175" spans="1:40" x14ac:dyDescent="0.25">
      <c r="J175" s="77"/>
      <c r="L175" s="54"/>
      <c r="M175" s="54"/>
      <c r="AA175" s="54"/>
      <c r="AB175" s="54"/>
    </row>
    <row r="176" spans="1:40" x14ac:dyDescent="0.25">
      <c r="A176" s="53"/>
      <c r="J176" s="77"/>
      <c r="R176" s="54"/>
      <c r="AK176" s="161"/>
      <c r="AL176" s="54"/>
    </row>
    <row r="177" spans="1:40" x14ac:dyDescent="0.25">
      <c r="A177" s="53"/>
      <c r="J177" s="77"/>
      <c r="R177" s="54"/>
      <c r="AK177" s="161"/>
      <c r="AL177" s="54"/>
    </row>
    <row r="178" spans="1:40" x14ac:dyDescent="0.25">
      <c r="A178" s="54"/>
      <c r="J178" s="77"/>
      <c r="R178" s="54"/>
      <c r="AK178" s="161"/>
      <c r="AL178" s="54"/>
    </row>
    <row r="179" spans="1:40" x14ac:dyDescent="0.25">
      <c r="J179" s="77"/>
      <c r="L179" s="54"/>
      <c r="M179" s="54"/>
      <c r="R179" s="53"/>
      <c r="AA179" s="54"/>
      <c r="AB179" s="54"/>
      <c r="AK179" s="156"/>
      <c r="AL179" s="53"/>
    </row>
    <row r="180" spans="1:40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66"/>
      <c r="K180" s="55"/>
      <c r="L180" s="55"/>
      <c r="M180" s="55"/>
      <c r="N180" s="55"/>
      <c r="O180" s="55"/>
      <c r="P180" s="55"/>
      <c r="Q180" s="55"/>
      <c r="R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154"/>
      <c r="AH180" s="55"/>
      <c r="AI180" s="55"/>
      <c r="AJ180" s="55"/>
      <c r="AK180" s="154"/>
      <c r="AL180" s="55"/>
      <c r="AM180" s="55"/>
      <c r="AN180" s="55"/>
    </row>
    <row r="181" spans="1:40" x14ac:dyDescent="0.25">
      <c r="J181" s="77"/>
      <c r="L181" s="56"/>
      <c r="M181" s="56"/>
      <c r="N181" s="56"/>
      <c r="O181" s="56"/>
      <c r="R181" s="56"/>
      <c r="AA181" s="56"/>
      <c r="AB181" s="56"/>
      <c r="AC181" s="56"/>
      <c r="AD181" s="56"/>
      <c r="AE181" s="56"/>
      <c r="AF181" s="56"/>
      <c r="AG181" s="155"/>
      <c r="AH181" s="56"/>
      <c r="AK181" s="155"/>
      <c r="AL181" s="56"/>
      <c r="AM181" s="56"/>
      <c r="AN181" s="56"/>
    </row>
    <row r="182" spans="1:40" x14ac:dyDescent="0.25">
      <c r="J182" s="77"/>
      <c r="L182" s="56"/>
      <c r="M182" s="56"/>
      <c r="N182" s="56"/>
      <c r="O182" s="56"/>
      <c r="R182" s="56"/>
      <c r="Z182" s="56"/>
      <c r="AA182" s="56"/>
      <c r="AB182" s="56"/>
      <c r="AC182" s="56"/>
      <c r="AD182" s="56"/>
      <c r="AE182" s="56"/>
      <c r="AF182" s="56"/>
      <c r="AG182" s="155"/>
      <c r="AH182" s="56"/>
      <c r="AK182" s="155"/>
      <c r="AL182" s="56"/>
      <c r="AM182" s="56"/>
      <c r="AN182" s="56"/>
    </row>
    <row r="183" spans="1:40" x14ac:dyDescent="0.25">
      <c r="A183" s="56"/>
      <c r="C183" s="56"/>
      <c r="D183" s="56"/>
      <c r="E183" s="56"/>
      <c r="F183" s="56"/>
      <c r="J183" s="67"/>
      <c r="K183" s="56"/>
      <c r="L183" s="56"/>
      <c r="M183" s="56"/>
      <c r="N183" s="56"/>
      <c r="O183" s="56"/>
      <c r="P183" s="56"/>
      <c r="Q183" s="56"/>
      <c r="R183" s="56"/>
      <c r="T183" s="56"/>
      <c r="U183" s="56"/>
      <c r="V183" s="56"/>
      <c r="Z183" s="56"/>
      <c r="AA183" s="56"/>
      <c r="AB183" s="56"/>
      <c r="AC183" s="56"/>
      <c r="AD183" s="56"/>
      <c r="AE183" s="56"/>
      <c r="AF183" s="56"/>
      <c r="AG183" s="155"/>
      <c r="AH183" s="56"/>
      <c r="AI183" s="56"/>
      <c r="AJ183" s="56"/>
      <c r="AK183" s="155"/>
      <c r="AL183" s="56"/>
      <c r="AM183" s="56"/>
      <c r="AN183" s="56"/>
    </row>
    <row r="184" spans="1:40" x14ac:dyDescent="0.25">
      <c r="A184" s="56"/>
      <c r="C184" s="56"/>
      <c r="D184" s="56"/>
      <c r="E184" s="56"/>
      <c r="F184" s="56"/>
      <c r="H184" s="56"/>
      <c r="I184" s="56"/>
      <c r="J184" s="67"/>
      <c r="K184" s="56"/>
      <c r="L184" s="56"/>
      <c r="M184" s="56"/>
      <c r="N184" s="56"/>
      <c r="O184" s="56"/>
      <c r="P184" s="56"/>
      <c r="Q184" s="56"/>
      <c r="R184" s="56"/>
      <c r="T184" s="56"/>
      <c r="U184" s="56"/>
      <c r="V184" s="56"/>
      <c r="Y184" s="56"/>
      <c r="Z184" s="56"/>
      <c r="AA184" s="56"/>
      <c r="AB184" s="56"/>
      <c r="AC184" s="56"/>
      <c r="AD184" s="56"/>
      <c r="AE184" s="56"/>
      <c r="AF184" s="56"/>
      <c r="AG184" s="155"/>
      <c r="AH184" s="56"/>
      <c r="AI184" s="56"/>
      <c r="AJ184" s="56"/>
      <c r="AK184" s="155"/>
      <c r="AL184" s="56"/>
      <c r="AM184" s="56"/>
      <c r="AN184" s="56"/>
    </row>
    <row r="185" spans="1:40" x14ac:dyDescent="0.25">
      <c r="C185" s="56"/>
      <c r="D185" s="56"/>
      <c r="E185" s="56"/>
      <c r="F185" s="56"/>
      <c r="H185" s="56"/>
      <c r="I185" s="56"/>
      <c r="J185" s="67"/>
      <c r="K185" s="56"/>
      <c r="L185" s="56"/>
      <c r="M185" s="56"/>
      <c r="N185" s="56"/>
      <c r="O185" s="56"/>
      <c r="P185" s="56"/>
      <c r="Q185" s="56"/>
      <c r="R185" s="56"/>
      <c r="T185" s="56"/>
      <c r="U185" s="56"/>
      <c r="V185" s="56"/>
      <c r="Y185" s="56"/>
      <c r="Z185" s="56"/>
      <c r="AA185" s="56"/>
      <c r="AB185" s="56"/>
      <c r="AC185" s="56"/>
      <c r="AD185" s="56"/>
      <c r="AE185" s="56"/>
      <c r="AF185" s="56"/>
      <c r="AG185" s="155"/>
      <c r="AH185" s="56"/>
      <c r="AI185" s="56"/>
      <c r="AJ185" s="56"/>
      <c r="AK185" s="155"/>
      <c r="AL185" s="56"/>
      <c r="AM185" s="56"/>
      <c r="AN185" s="56"/>
    </row>
    <row r="186" spans="1:40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66"/>
      <c r="K186" s="55"/>
      <c r="L186" s="55"/>
      <c r="M186" s="55"/>
      <c r="N186" s="55"/>
      <c r="O186" s="55"/>
      <c r="P186" s="55"/>
      <c r="Q186" s="55"/>
      <c r="R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154"/>
      <c r="AH186" s="55"/>
      <c r="AI186" s="55"/>
      <c r="AJ186" s="55"/>
      <c r="AK186" s="154"/>
      <c r="AL186" s="55"/>
      <c r="AM186" s="55"/>
      <c r="AN186" s="55"/>
    </row>
    <row r="187" spans="1:40" x14ac:dyDescent="0.25">
      <c r="H187" s="56"/>
      <c r="I187" s="56"/>
      <c r="J187" s="67"/>
      <c r="K187" s="56"/>
      <c r="L187" s="56"/>
      <c r="M187" s="56"/>
      <c r="N187" s="56"/>
      <c r="O187" s="56"/>
      <c r="P187" s="56"/>
      <c r="Q187" s="56"/>
      <c r="R187" s="56"/>
      <c r="Y187" s="56"/>
      <c r="Z187" s="56"/>
      <c r="AA187" s="56"/>
      <c r="AB187" s="56"/>
      <c r="AC187" s="56"/>
      <c r="AD187" s="56"/>
      <c r="AE187" s="56"/>
      <c r="AF187" s="56"/>
      <c r="AG187" s="155"/>
      <c r="AH187" s="56"/>
      <c r="AI187" s="56"/>
      <c r="AJ187" s="56"/>
      <c r="AK187" s="155"/>
      <c r="AL187" s="56"/>
      <c r="AM187" s="56"/>
      <c r="AN187" s="56"/>
    </row>
    <row r="188" spans="1:40" x14ac:dyDescent="0.25">
      <c r="A188" s="53"/>
      <c r="C188" s="54"/>
      <c r="D188" s="54"/>
      <c r="E188" s="54"/>
      <c r="J188" s="77"/>
      <c r="T188" s="54"/>
      <c r="U188" s="54"/>
    </row>
    <row r="189" spans="1:40" x14ac:dyDescent="0.25">
      <c r="A189" s="53"/>
      <c r="D189" s="54"/>
      <c r="E189" s="54"/>
      <c r="J189" s="77"/>
      <c r="U189" s="54"/>
    </row>
    <row r="190" spans="1:40" x14ac:dyDescent="0.25">
      <c r="J190" s="77"/>
    </row>
    <row r="191" spans="1:40" x14ac:dyDescent="0.25">
      <c r="A191" s="53"/>
      <c r="C191" s="54"/>
      <c r="F191" s="379"/>
      <c r="J191" s="65"/>
      <c r="K191" s="62"/>
      <c r="L191" s="379"/>
      <c r="M191" s="379"/>
      <c r="R191" s="379"/>
      <c r="T191" s="54"/>
      <c r="V191" s="379"/>
      <c r="Z191" s="62"/>
      <c r="AA191" s="379"/>
      <c r="AB191" s="379"/>
      <c r="AK191" s="156"/>
      <c r="AL191" s="379"/>
    </row>
    <row r="192" spans="1:40" x14ac:dyDescent="0.25">
      <c r="F192" s="379"/>
      <c r="J192" s="77"/>
      <c r="R192" s="379"/>
      <c r="V192" s="379"/>
      <c r="AK192" s="156"/>
      <c r="AL192" s="379"/>
    </row>
    <row r="193" spans="1:40" x14ac:dyDescent="0.25">
      <c r="A193" s="53"/>
      <c r="C193" s="54"/>
      <c r="F193" s="449"/>
      <c r="H193" s="449"/>
      <c r="I193" s="449"/>
      <c r="J193" s="221"/>
      <c r="K193" s="461"/>
      <c r="L193" s="379"/>
      <c r="M193" s="379"/>
      <c r="N193" s="50"/>
      <c r="O193" s="50"/>
      <c r="P193" s="379"/>
      <c r="Q193" s="379"/>
      <c r="R193" s="379"/>
      <c r="T193" s="54"/>
      <c r="V193" s="379"/>
      <c r="Y193" s="379"/>
      <c r="Z193" s="461"/>
      <c r="AA193" s="379"/>
      <c r="AB193" s="379"/>
      <c r="AC193" s="50"/>
      <c r="AD193" s="50"/>
      <c r="AE193" s="379"/>
      <c r="AF193" s="379"/>
      <c r="AG193" s="156"/>
      <c r="AH193" s="60"/>
      <c r="AI193" s="379"/>
      <c r="AJ193" s="379"/>
      <c r="AK193" s="156"/>
      <c r="AL193" s="379"/>
      <c r="AM193" s="50"/>
      <c r="AN193" s="50"/>
    </row>
    <row r="194" spans="1:40" x14ac:dyDescent="0.25">
      <c r="A194" s="53"/>
      <c r="C194" s="54"/>
      <c r="F194" s="449"/>
      <c r="H194" s="470"/>
      <c r="I194" s="470"/>
      <c r="J194" s="221"/>
      <c r="K194" s="461"/>
      <c r="L194" s="379"/>
      <c r="M194" s="379"/>
      <c r="N194" s="50"/>
      <c r="O194" s="50"/>
      <c r="P194" s="379"/>
      <c r="Q194" s="379"/>
      <c r="R194" s="379"/>
      <c r="T194" s="54"/>
      <c r="V194" s="379"/>
      <c r="Y194" s="379"/>
      <c r="Z194" s="461"/>
      <c r="AA194" s="379"/>
      <c r="AB194" s="379"/>
      <c r="AC194" s="50"/>
      <c r="AD194" s="50"/>
      <c r="AE194" s="379"/>
      <c r="AF194" s="379"/>
      <c r="AG194" s="156"/>
      <c r="AH194" s="60"/>
      <c r="AI194" s="379"/>
      <c r="AJ194" s="379"/>
      <c r="AK194" s="156"/>
      <c r="AL194" s="379"/>
      <c r="AM194" s="50"/>
      <c r="AN194" s="50"/>
    </row>
    <row r="195" spans="1:40" x14ac:dyDescent="0.25">
      <c r="F195" s="381"/>
      <c r="H195" s="379"/>
      <c r="I195" s="379"/>
      <c r="J195" s="221"/>
      <c r="K195" s="464"/>
      <c r="L195" s="381"/>
      <c r="M195" s="381"/>
      <c r="N195" s="381"/>
      <c r="O195" s="381"/>
      <c r="P195" s="381"/>
      <c r="Q195" s="381"/>
      <c r="R195" s="381"/>
      <c r="V195" s="381"/>
      <c r="Y195" s="379"/>
      <c r="Z195" s="464"/>
      <c r="AA195" s="381"/>
      <c r="AB195" s="381"/>
      <c r="AC195" s="381"/>
      <c r="AD195" s="381"/>
      <c r="AE195" s="381"/>
      <c r="AF195" s="381"/>
      <c r="AI195" s="381"/>
      <c r="AJ195" s="381"/>
      <c r="AK195" s="162"/>
      <c r="AL195" s="381"/>
    </row>
    <row r="196" spans="1:40" x14ac:dyDescent="0.25">
      <c r="A196" s="53"/>
      <c r="C196" s="54"/>
      <c r="F196" s="379"/>
      <c r="H196" s="379"/>
      <c r="I196" s="379"/>
      <c r="J196" s="65"/>
      <c r="K196" s="59"/>
      <c r="L196" s="379"/>
      <c r="M196" s="379"/>
      <c r="N196" s="50"/>
      <c r="O196" s="50"/>
      <c r="P196" s="379"/>
      <c r="Q196" s="379"/>
      <c r="R196" s="379"/>
      <c r="T196" s="54"/>
      <c r="V196" s="379"/>
      <c r="Y196" s="379"/>
      <c r="Z196" s="59"/>
      <c r="AA196" s="379"/>
      <c r="AB196" s="379"/>
      <c r="AC196" s="50"/>
      <c r="AD196" s="50"/>
      <c r="AE196" s="379"/>
      <c r="AF196" s="379"/>
      <c r="AG196" s="156"/>
      <c r="AH196" s="60"/>
      <c r="AI196" s="379"/>
      <c r="AJ196" s="379"/>
      <c r="AK196" s="156"/>
      <c r="AL196" s="379"/>
      <c r="AM196" s="50"/>
      <c r="AN196" s="50"/>
    </row>
    <row r="197" spans="1:40" x14ac:dyDescent="0.25">
      <c r="F197" s="381"/>
      <c r="H197" s="379"/>
      <c r="I197" s="379"/>
      <c r="J197" s="221"/>
      <c r="K197" s="464"/>
      <c r="L197" s="381"/>
      <c r="M197" s="381"/>
      <c r="N197" s="381"/>
      <c r="O197" s="381"/>
      <c r="P197" s="381"/>
      <c r="Q197" s="381"/>
      <c r="R197" s="381"/>
      <c r="V197" s="381"/>
      <c r="Y197" s="379"/>
      <c r="Z197" s="464"/>
      <c r="AA197" s="381"/>
      <c r="AB197" s="381"/>
      <c r="AC197" s="381"/>
      <c r="AD197" s="381"/>
      <c r="AE197" s="381"/>
      <c r="AF197" s="381"/>
      <c r="AI197" s="381"/>
      <c r="AJ197" s="381"/>
      <c r="AK197" s="162"/>
      <c r="AL197" s="381"/>
    </row>
    <row r="198" spans="1:40" x14ac:dyDescent="0.25">
      <c r="F198" s="379"/>
      <c r="J198" s="77"/>
      <c r="R198" s="379"/>
      <c r="V198" s="379"/>
      <c r="AK198" s="156"/>
      <c r="AL198" s="379"/>
    </row>
    <row r="199" spans="1:40" x14ac:dyDescent="0.25">
      <c r="A199" s="53"/>
      <c r="C199" s="54"/>
      <c r="F199" s="379"/>
      <c r="J199" s="77"/>
      <c r="R199" s="379"/>
      <c r="T199" s="54"/>
      <c r="V199" s="379"/>
      <c r="AK199" s="156"/>
      <c r="AL199" s="379"/>
    </row>
    <row r="200" spans="1:40" x14ac:dyDescent="0.25">
      <c r="F200" s="379"/>
      <c r="J200" s="77"/>
      <c r="R200" s="379"/>
      <c r="V200" s="379"/>
      <c r="AK200" s="156"/>
      <c r="AL200" s="379"/>
    </row>
    <row r="201" spans="1:40" x14ac:dyDescent="0.25">
      <c r="A201" s="53"/>
      <c r="C201" s="54"/>
      <c r="F201" s="379"/>
      <c r="H201" s="449"/>
      <c r="I201" s="449"/>
      <c r="J201" s="221"/>
      <c r="K201" s="472"/>
      <c r="L201" s="379"/>
      <c r="M201" s="379"/>
      <c r="N201" s="50"/>
      <c r="O201" s="50"/>
      <c r="P201" s="449"/>
      <c r="Q201" s="449"/>
      <c r="R201" s="379"/>
      <c r="T201" s="54"/>
      <c r="V201" s="379"/>
      <c r="Y201" s="379"/>
      <c r="Z201" s="463"/>
      <c r="AA201" s="379"/>
      <c r="AB201" s="379"/>
      <c r="AC201" s="50"/>
      <c r="AD201" s="50"/>
      <c r="AE201" s="379"/>
      <c r="AF201" s="379"/>
      <c r="AG201" s="156"/>
      <c r="AH201" s="60"/>
      <c r="AI201" s="449"/>
      <c r="AJ201" s="449"/>
      <c r="AK201" s="156"/>
      <c r="AL201" s="379"/>
      <c r="AM201" s="50"/>
      <c r="AN201" s="50"/>
    </row>
    <row r="202" spans="1:40" x14ac:dyDescent="0.25">
      <c r="H202" s="381"/>
      <c r="I202" s="381"/>
      <c r="J202" s="221"/>
      <c r="K202" s="464"/>
      <c r="L202" s="381"/>
      <c r="M202" s="381"/>
      <c r="N202" s="381"/>
      <c r="O202" s="381"/>
      <c r="P202" s="381"/>
      <c r="Q202" s="381"/>
      <c r="R202" s="381"/>
      <c r="V202" s="381"/>
      <c r="Y202" s="381"/>
      <c r="Z202" s="464"/>
      <c r="AA202" s="381"/>
      <c r="AB202" s="381"/>
      <c r="AC202" s="381"/>
      <c r="AD202" s="381"/>
      <c r="AE202" s="381"/>
      <c r="AF202" s="381"/>
      <c r="AI202" s="381"/>
      <c r="AJ202" s="381"/>
      <c r="AK202" s="162"/>
      <c r="AL202" s="381"/>
    </row>
    <row r="203" spans="1:40" x14ac:dyDescent="0.25">
      <c r="F203" s="381"/>
      <c r="J203" s="77"/>
    </row>
    <row r="204" spans="1:40" x14ac:dyDescent="0.25">
      <c r="A204" s="53"/>
      <c r="C204" s="54"/>
      <c r="F204" s="379"/>
      <c r="H204" s="379"/>
      <c r="I204" s="379"/>
      <c r="J204" s="65"/>
      <c r="K204" s="62"/>
      <c r="L204" s="379"/>
      <c r="M204" s="379"/>
      <c r="N204" s="50"/>
      <c r="O204" s="50"/>
      <c r="P204" s="379"/>
      <c r="Q204" s="379"/>
      <c r="R204" s="379"/>
      <c r="T204" s="54"/>
      <c r="V204" s="379"/>
      <c r="Y204" s="379"/>
      <c r="Z204" s="62"/>
      <c r="AA204" s="379"/>
      <c r="AB204" s="379"/>
      <c r="AC204" s="50"/>
      <c r="AD204" s="50"/>
      <c r="AE204" s="379"/>
      <c r="AF204" s="379"/>
      <c r="AG204" s="156"/>
      <c r="AH204" s="60"/>
      <c r="AI204" s="379"/>
      <c r="AJ204" s="379"/>
      <c r="AK204" s="156"/>
      <c r="AL204" s="379"/>
      <c r="AM204" s="50"/>
      <c r="AN204" s="50"/>
    </row>
    <row r="205" spans="1:40" x14ac:dyDescent="0.25">
      <c r="F205" s="381"/>
      <c r="H205" s="381"/>
      <c r="I205" s="381"/>
      <c r="J205" s="221"/>
      <c r="K205" s="464"/>
      <c r="L205" s="381"/>
      <c r="M205" s="381"/>
      <c r="N205" s="381"/>
      <c r="O205" s="381"/>
      <c r="P205" s="381"/>
      <c r="Q205" s="381"/>
      <c r="R205" s="381"/>
      <c r="V205" s="381"/>
      <c r="Y205" s="381"/>
      <c r="Z205" s="464"/>
      <c r="AA205" s="381"/>
      <c r="AB205" s="381"/>
      <c r="AC205" s="381"/>
      <c r="AD205" s="381"/>
      <c r="AE205" s="381"/>
      <c r="AF205" s="381"/>
      <c r="AI205" s="381"/>
      <c r="AJ205" s="381"/>
      <c r="AK205" s="162"/>
      <c r="AL205" s="381"/>
    </row>
    <row r="206" spans="1:40" x14ac:dyDescent="0.25">
      <c r="J206" s="77"/>
      <c r="R206" s="379"/>
      <c r="AG206" s="156"/>
      <c r="AH206" s="379"/>
    </row>
    <row r="207" spans="1:40" x14ac:dyDescent="0.25">
      <c r="F207" s="379"/>
      <c r="H207" s="379"/>
      <c r="I207" s="379"/>
      <c r="J207" s="65"/>
      <c r="K207" s="59"/>
      <c r="L207" s="379"/>
      <c r="M207" s="379"/>
      <c r="N207" s="379"/>
      <c r="O207" s="379"/>
      <c r="P207" s="379"/>
      <c r="Q207" s="379"/>
      <c r="R207" s="379"/>
      <c r="V207" s="379"/>
      <c r="Y207" s="379"/>
      <c r="Z207" s="59"/>
      <c r="AA207" s="379"/>
      <c r="AB207" s="379"/>
      <c r="AC207" s="379"/>
      <c r="AD207" s="379"/>
      <c r="AE207" s="379"/>
      <c r="AF207" s="379"/>
      <c r="AG207" s="156"/>
      <c r="AH207" s="379"/>
    </row>
    <row r="208" spans="1:40" x14ac:dyDescent="0.25">
      <c r="C208" s="54"/>
      <c r="F208" s="379"/>
      <c r="H208" s="379"/>
      <c r="I208" s="379"/>
      <c r="J208" s="65"/>
      <c r="K208" s="59"/>
      <c r="L208" s="379"/>
      <c r="M208" s="379"/>
      <c r="N208" s="379"/>
      <c r="O208" s="379"/>
      <c r="P208" s="379"/>
      <c r="Q208" s="379"/>
      <c r="R208" s="379"/>
      <c r="T208" s="54"/>
      <c r="V208" s="379"/>
      <c r="Y208" s="379"/>
      <c r="Z208" s="59"/>
      <c r="AA208" s="379"/>
      <c r="AB208" s="379"/>
      <c r="AC208" s="379"/>
      <c r="AD208" s="379"/>
      <c r="AE208" s="379"/>
      <c r="AF208" s="379"/>
      <c r="AG208" s="156"/>
      <c r="AH208" s="379"/>
    </row>
    <row r="209" spans="1:40" x14ac:dyDescent="0.25">
      <c r="A209" s="54"/>
      <c r="J209" s="77"/>
    </row>
    <row r="210" spans="1:40" x14ac:dyDescent="0.25">
      <c r="J210" s="77"/>
    </row>
    <row r="211" spans="1:40" x14ac:dyDescent="0.25">
      <c r="J211" s="65"/>
      <c r="K211" s="53"/>
      <c r="Z211" s="53"/>
    </row>
    <row r="212" spans="1:40" x14ac:dyDescent="0.25">
      <c r="H212" s="54"/>
      <c r="I212" s="54"/>
      <c r="J212" s="77"/>
      <c r="Y212" s="54"/>
    </row>
    <row r="213" spans="1:40" x14ac:dyDescent="0.25">
      <c r="J213" s="65"/>
      <c r="K213" s="53"/>
      <c r="Z213" s="53"/>
    </row>
    <row r="214" spans="1:40" x14ac:dyDescent="0.25">
      <c r="J214" s="77"/>
      <c r="L214" s="54"/>
      <c r="M214" s="54"/>
      <c r="AA214" s="54"/>
      <c r="AB214" s="54"/>
    </row>
    <row r="215" spans="1:40" x14ac:dyDescent="0.25">
      <c r="A215" s="53"/>
      <c r="J215" s="77"/>
      <c r="R215" s="54"/>
      <c r="AK215" s="161"/>
      <c r="AL215" s="54"/>
    </row>
    <row r="216" spans="1:40" x14ac:dyDescent="0.25">
      <c r="A216" s="53"/>
      <c r="J216" s="77"/>
      <c r="R216" s="54"/>
      <c r="AK216" s="161"/>
      <c r="AL216" s="54"/>
    </row>
    <row r="217" spans="1:40" x14ac:dyDescent="0.25">
      <c r="A217" s="54"/>
      <c r="J217" s="77"/>
      <c r="R217" s="54"/>
      <c r="AK217" s="161"/>
      <c r="AL217" s="54"/>
    </row>
    <row r="218" spans="1:40" x14ac:dyDescent="0.25">
      <c r="J218" s="77"/>
      <c r="L218" s="54"/>
      <c r="M218" s="54"/>
      <c r="R218" s="53"/>
      <c r="AA218" s="54"/>
      <c r="AB218" s="54"/>
      <c r="AK218" s="156"/>
      <c r="AL218" s="53"/>
    </row>
    <row r="219" spans="1:40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66"/>
      <c r="K219" s="55"/>
      <c r="L219" s="55"/>
      <c r="M219" s="55"/>
      <c r="N219" s="55"/>
      <c r="O219" s="55"/>
      <c r="P219" s="55"/>
      <c r="Q219" s="55"/>
      <c r="R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154"/>
      <c r="AH219" s="55"/>
      <c r="AI219" s="55"/>
      <c r="AJ219" s="55"/>
      <c r="AK219" s="154"/>
      <c r="AL219" s="55"/>
      <c r="AM219" s="55"/>
      <c r="AN219" s="55"/>
    </row>
    <row r="220" spans="1:40" x14ac:dyDescent="0.25">
      <c r="J220" s="77"/>
      <c r="L220" s="56"/>
      <c r="M220" s="56"/>
      <c r="N220" s="56"/>
      <c r="O220" s="56"/>
      <c r="R220" s="56"/>
      <c r="AA220" s="56"/>
      <c r="AB220" s="56"/>
      <c r="AC220" s="56"/>
      <c r="AD220" s="56"/>
      <c r="AE220" s="56"/>
      <c r="AF220" s="56"/>
      <c r="AG220" s="155"/>
      <c r="AH220" s="56"/>
      <c r="AK220" s="155"/>
      <c r="AL220" s="56"/>
      <c r="AM220" s="56"/>
      <c r="AN220" s="56"/>
    </row>
    <row r="221" spans="1:40" x14ac:dyDescent="0.25">
      <c r="J221" s="77"/>
      <c r="L221" s="56"/>
      <c r="M221" s="56"/>
      <c r="N221" s="56"/>
      <c r="O221" s="56"/>
      <c r="R221" s="56"/>
      <c r="Z221" s="56"/>
      <c r="AA221" s="56"/>
      <c r="AB221" s="56"/>
      <c r="AC221" s="56"/>
      <c r="AD221" s="56"/>
      <c r="AE221" s="56"/>
      <c r="AF221" s="56"/>
      <c r="AG221" s="155"/>
      <c r="AH221" s="56"/>
      <c r="AK221" s="155"/>
      <c r="AL221" s="56"/>
      <c r="AM221" s="56"/>
      <c r="AN221" s="56"/>
    </row>
    <row r="222" spans="1:40" x14ac:dyDescent="0.25">
      <c r="A222" s="56"/>
      <c r="C222" s="56"/>
      <c r="D222" s="56"/>
      <c r="E222" s="56"/>
      <c r="F222" s="56"/>
      <c r="J222" s="67"/>
      <c r="K222" s="56"/>
      <c r="L222" s="56"/>
      <c r="M222" s="56"/>
      <c r="N222" s="56"/>
      <c r="O222" s="56"/>
      <c r="P222" s="56"/>
      <c r="Q222" s="56"/>
      <c r="R222" s="56"/>
      <c r="T222" s="56"/>
      <c r="U222" s="56"/>
      <c r="V222" s="56"/>
      <c r="Z222" s="56"/>
      <c r="AA222" s="56"/>
      <c r="AB222" s="56"/>
      <c r="AC222" s="56"/>
      <c r="AD222" s="56"/>
      <c r="AE222" s="56"/>
      <c r="AF222" s="56"/>
      <c r="AG222" s="155"/>
      <c r="AH222" s="56"/>
      <c r="AI222" s="56"/>
      <c r="AJ222" s="56"/>
      <c r="AK222" s="155"/>
      <c r="AL222" s="56"/>
      <c r="AM222" s="56"/>
      <c r="AN222" s="56"/>
    </row>
    <row r="223" spans="1:40" x14ac:dyDescent="0.25">
      <c r="A223" s="56"/>
      <c r="C223" s="56"/>
      <c r="D223" s="56"/>
      <c r="E223" s="56"/>
      <c r="F223" s="56"/>
      <c r="H223" s="56"/>
      <c r="I223" s="56"/>
      <c r="J223" s="67"/>
      <c r="K223" s="56"/>
      <c r="L223" s="56"/>
      <c r="M223" s="56"/>
      <c r="N223" s="56"/>
      <c r="O223" s="56"/>
      <c r="P223" s="56"/>
      <c r="Q223" s="56"/>
      <c r="R223" s="56"/>
      <c r="T223" s="56"/>
      <c r="U223" s="56"/>
      <c r="V223" s="56"/>
      <c r="Y223" s="56"/>
      <c r="Z223" s="56"/>
      <c r="AA223" s="56"/>
      <c r="AB223" s="56"/>
      <c r="AC223" s="56"/>
      <c r="AD223" s="56"/>
      <c r="AE223" s="56"/>
      <c r="AF223" s="56"/>
      <c r="AG223" s="155"/>
      <c r="AH223" s="56"/>
      <c r="AI223" s="56"/>
      <c r="AJ223" s="56"/>
      <c r="AK223" s="155"/>
      <c r="AL223" s="56"/>
      <c r="AM223" s="56"/>
      <c r="AN223" s="56"/>
    </row>
    <row r="224" spans="1:40" x14ac:dyDescent="0.25">
      <c r="C224" s="56"/>
      <c r="D224" s="56"/>
      <c r="E224" s="56"/>
      <c r="F224" s="56"/>
      <c r="H224" s="56"/>
      <c r="I224" s="56"/>
      <c r="J224" s="67"/>
      <c r="K224" s="56"/>
      <c r="L224" s="56"/>
      <c r="M224" s="56"/>
      <c r="N224" s="56"/>
      <c r="O224" s="56"/>
      <c r="P224" s="56"/>
      <c r="Q224" s="56"/>
      <c r="R224" s="56"/>
      <c r="T224" s="56"/>
      <c r="U224" s="56"/>
      <c r="V224" s="56"/>
      <c r="Y224" s="56"/>
      <c r="Z224" s="56"/>
      <c r="AA224" s="56"/>
      <c r="AB224" s="56"/>
      <c r="AC224" s="56"/>
      <c r="AD224" s="56"/>
      <c r="AE224" s="56"/>
      <c r="AF224" s="56"/>
      <c r="AG224" s="155"/>
      <c r="AH224" s="56"/>
      <c r="AI224" s="56"/>
      <c r="AJ224" s="56"/>
      <c r="AK224" s="155"/>
      <c r="AL224" s="56"/>
      <c r="AM224" s="56"/>
      <c r="AN224" s="56"/>
    </row>
    <row r="225" spans="1:40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66"/>
      <c r="K225" s="55"/>
      <c r="L225" s="55"/>
      <c r="M225" s="55"/>
      <c r="N225" s="55"/>
      <c r="O225" s="55"/>
      <c r="P225" s="55"/>
      <c r="Q225" s="55"/>
      <c r="R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154"/>
      <c r="AH225" s="55"/>
      <c r="AI225" s="55"/>
      <c r="AJ225" s="55"/>
      <c r="AK225" s="154"/>
      <c r="AL225" s="55"/>
      <c r="AM225" s="55"/>
      <c r="AN225" s="55"/>
    </row>
    <row r="226" spans="1:40" x14ac:dyDescent="0.25">
      <c r="H226" s="56"/>
      <c r="I226" s="56"/>
      <c r="J226" s="67"/>
      <c r="K226" s="56"/>
      <c r="L226" s="56"/>
      <c r="M226" s="56"/>
      <c r="N226" s="56"/>
      <c r="O226" s="56"/>
      <c r="P226" s="56"/>
      <c r="Q226" s="56"/>
      <c r="R226" s="56"/>
      <c r="Y226" s="56"/>
      <c r="Z226" s="56"/>
      <c r="AA226" s="56"/>
      <c r="AB226" s="56"/>
      <c r="AC226" s="56"/>
      <c r="AD226" s="56"/>
      <c r="AE226" s="56"/>
      <c r="AF226" s="56"/>
      <c r="AG226" s="155"/>
      <c r="AH226" s="56"/>
      <c r="AI226" s="56"/>
      <c r="AJ226" s="56"/>
      <c r="AK226" s="155"/>
      <c r="AL226" s="56"/>
      <c r="AM226" s="56"/>
      <c r="AN226" s="56"/>
    </row>
    <row r="227" spans="1:40" x14ac:dyDescent="0.25">
      <c r="A227" s="53"/>
      <c r="C227" s="54"/>
      <c r="D227" s="54"/>
      <c r="E227" s="54"/>
      <c r="J227" s="77"/>
      <c r="T227" s="54"/>
      <c r="U227" s="54"/>
    </row>
    <row r="228" spans="1:40" x14ac:dyDescent="0.25">
      <c r="A228" s="53"/>
      <c r="C228" s="54"/>
      <c r="J228" s="77"/>
      <c r="T228" s="54"/>
    </row>
    <row r="229" spans="1:40" x14ac:dyDescent="0.25">
      <c r="J229" s="77"/>
    </row>
    <row r="230" spans="1:40" x14ac:dyDescent="0.25">
      <c r="A230" s="53"/>
      <c r="C230" s="54"/>
      <c r="F230" s="449"/>
      <c r="H230" s="449"/>
      <c r="I230" s="449"/>
      <c r="J230" s="221"/>
      <c r="K230" s="461"/>
      <c r="L230" s="379"/>
      <c r="M230" s="379"/>
      <c r="N230" s="50"/>
      <c r="O230" s="50"/>
      <c r="P230" s="53"/>
      <c r="Q230" s="53"/>
      <c r="R230" s="379"/>
      <c r="T230" s="54"/>
      <c r="V230" s="379"/>
      <c r="Y230" s="449"/>
      <c r="Z230" s="461"/>
      <c r="AA230" s="379"/>
      <c r="AB230" s="379"/>
      <c r="AC230" s="50"/>
      <c r="AD230" s="50"/>
      <c r="AE230" s="379"/>
      <c r="AF230" s="379"/>
      <c r="AG230" s="156"/>
      <c r="AH230" s="60"/>
      <c r="AI230" s="53"/>
      <c r="AJ230" s="53"/>
      <c r="AK230" s="156"/>
      <c r="AL230" s="379"/>
      <c r="AM230" s="50"/>
      <c r="AN230" s="50"/>
    </row>
    <row r="231" spans="1:40" x14ac:dyDescent="0.25">
      <c r="F231" s="381"/>
      <c r="H231" s="379"/>
      <c r="I231" s="379"/>
      <c r="J231" s="221"/>
      <c r="K231" s="464"/>
      <c r="L231" s="381"/>
      <c r="M231" s="381"/>
      <c r="N231" s="381"/>
      <c r="O231" s="381"/>
      <c r="P231" s="381"/>
      <c r="Q231" s="381"/>
      <c r="R231" s="381"/>
      <c r="V231" s="381"/>
      <c r="Y231" s="379"/>
      <c r="Z231" s="464"/>
      <c r="AA231" s="381"/>
      <c r="AB231" s="381"/>
      <c r="AC231" s="381"/>
      <c r="AD231" s="381"/>
      <c r="AE231" s="381"/>
      <c r="AF231" s="381"/>
      <c r="AI231" s="381"/>
      <c r="AJ231" s="381"/>
      <c r="AK231" s="162"/>
      <c r="AL231" s="381"/>
      <c r="AM231" s="50"/>
      <c r="AN231" s="50"/>
    </row>
    <row r="232" spans="1:40" x14ac:dyDescent="0.25">
      <c r="A232" s="53"/>
      <c r="C232" s="54"/>
      <c r="F232" s="449"/>
      <c r="H232" s="449"/>
      <c r="I232" s="449"/>
      <c r="J232" s="221"/>
      <c r="K232" s="477"/>
      <c r="L232" s="379"/>
      <c r="M232" s="379"/>
      <c r="N232" s="50"/>
      <c r="O232" s="50"/>
      <c r="P232" s="379"/>
      <c r="Q232" s="379"/>
      <c r="R232" s="379"/>
      <c r="S232" s="379"/>
      <c r="T232" s="54"/>
      <c r="V232" s="449"/>
      <c r="Y232" s="449"/>
      <c r="Z232" s="477"/>
      <c r="AA232" s="379"/>
      <c r="AB232" s="379"/>
      <c r="AC232" s="50"/>
      <c r="AD232" s="50"/>
      <c r="AE232" s="379"/>
      <c r="AF232" s="379"/>
      <c r="AG232" s="156"/>
      <c r="AH232" s="50"/>
      <c r="AI232" s="379"/>
      <c r="AJ232" s="379"/>
      <c r="AK232" s="156"/>
      <c r="AL232" s="379"/>
      <c r="AM232" s="50"/>
      <c r="AN232" s="50"/>
    </row>
    <row r="233" spans="1:40" x14ac:dyDescent="0.25">
      <c r="A233" s="53"/>
      <c r="C233" s="54"/>
      <c r="F233" s="449"/>
      <c r="H233" s="449"/>
      <c r="I233" s="449"/>
      <c r="J233" s="221"/>
      <c r="K233" s="461"/>
      <c r="L233" s="379"/>
      <c r="M233" s="379"/>
      <c r="N233" s="50"/>
      <c r="O233" s="50"/>
      <c r="P233" s="379"/>
      <c r="Q233" s="379"/>
      <c r="R233" s="379"/>
      <c r="T233" s="54"/>
      <c r="V233" s="449"/>
      <c r="Y233" s="379"/>
      <c r="Z233" s="461"/>
      <c r="AA233" s="379"/>
      <c r="AB233" s="379"/>
      <c r="AC233" s="50"/>
      <c r="AD233" s="50"/>
      <c r="AE233" s="379"/>
      <c r="AF233" s="379"/>
      <c r="AG233" s="156"/>
      <c r="AH233" s="60"/>
      <c r="AI233" s="379"/>
      <c r="AJ233" s="379"/>
      <c r="AK233" s="156"/>
      <c r="AL233" s="379"/>
      <c r="AM233" s="50"/>
      <c r="AN233" s="50"/>
    </row>
    <row r="234" spans="1:40" x14ac:dyDescent="0.25">
      <c r="A234" s="53"/>
      <c r="C234" s="54"/>
      <c r="F234" s="449"/>
      <c r="H234" s="449"/>
      <c r="I234" s="449"/>
      <c r="J234" s="221"/>
      <c r="K234" s="461"/>
      <c r="L234" s="379"/>
      <c r="M234" s="379"/>
      <c r="N234" s="50"/>
      <c r="O234" s="50"/>
      <c r="P234" s="379"/>
      <c r="Q234" s="379"/>
      <c r="R234" s="379"/>
      <c r="T234" s="54"/>
      <c r="V234" s="449"/>
      <c r="Y234" s="379"/>
      <c r="Z234" s="461"/>
      <c r="AA234" s="379"/>
      <c r="AB234" s="379"/>
      <c r="AC234" s="50"/>
      <c r="AD234" s="50"/>
      <c r="AE234" s="379"/>
      <c r="AF234" s="379"/>
      <c r="AG234" s="156"/>
      <c r="AH234" s="60"/>
      <c r="AI234" s="379"/>
      <c r="AJ234" s="379"/>
      <c r="AK234" s="156"/>
      <c r="AL234" s="379"/>
      <c r="AM234" s="50"/>
      <c r="AN234" s="50"/>
    </row>
    <row r="235" spans="1:40" x14ac:dyDescent="0.25">
      <c r="F235" s="381"/>
      <c r="H235" s="381"/>
      <c r="I235" s="381"/>
      <c r="J235" s="221"/>
      <c r="K235" s="464"/>
      <c r="L235" s="381"/>
      <c r="M235" s="381"/>
      <c r="N235" s="381"/>
      <c r="O235" s="381"/>
      <c r="P235" s="381"/>
      <c r="Q235" s="381"/>
      <c r="R235" s="381"/>
      <c r="V235" s="381"/>
      <c r="Y235" s="381"/>
      <c r="Z235" s="464"/>
      <c r="AA235" s="381"/>
      <c r="AB235" s="381"/>
      <c r="AC235" s="381"/>
      <c r="AD235" s="381"/>
      <c r="AE235" s="381"/>
      <c r="AF235" s="381"/>
      <c r="AI235" s="381"/>
      <c r="AJ235" s="381"/>
      <c r="AK235" s="162"/>
      <c r="AL235" s="381"/>
      <c r="AM235" s="50"/>
      <c r="AN235" s="50"/>
    </row>
    <row r="236" spans="1:40" x14ac:dyDescent="0.25">
      <c r="A236" s="53"/>
      <c r="C236" s="54"/>
      <c r="F236" s="379"/>
      <c r="H236" s="379"/>
      <c r="I236" s="379"/>
      <c r="J236" s="65"/>
      <c r="K236" s="59"/>
      <c r="L236" s="379"/>
      <c r="M236" s="379"/>
      <c r="N236" s="50"/>
      <c r="O236" s="50"/>
      <c r="P236" s="379"/>
      <c r="Q236" s="379"/>
      <c r="R236" s="379"/>
      <c r="T236" s="54"/>
      <c r="V236" s="379"/>
      <c r="Y236" s="379"/>
      <c r="Z236" s="59"/>
      <c r="AA236" s="379"/>
      <c r="AB236" s="379"/>
      <c r="AC236" s="50"/>
      <c r="AD236" s="50"/>
      <c r="AE236" s="379"/>
      <c r="AF236" s="379"/>
      <c r="AG236" s="156"/>
      <c r="AH236" s="60"/>
      <c r="AI236" s="379"/>
      <c r="AJ236" s="379"/>
      <c r="AK236" s="156"/>
      <c r="AL236" s="379"/>
      <c r="AM236" s="50"/>
      <c r="AN236" s="50"/>
    </row>
    <row r="237" spans="1:40" x14ac:dyDescent="0.25">
      <c r="F237" s="381"/>
      <c r="H237" s="381"/>
      <c r="I237" s="381"/>
      <c r="J237" s="221"/>
      <c r="K237" s="464"/>
      <c r="L237" s="381"/>
      <c r="M237" s="381"/>
      <c r="N237" s="381"/>
      <c r="O237" s="381"/>
      <c r="P237" s="381"/>
      <c r="Q237" s="381"/>
      <c r="R237" s="381"/>
      <c r="V237" s="381"/>
      <c r="Y237" s="381"/>
      <c r="Z237" s="464"/>
      <c r="AA237" s="381"/>
      <c r="AB237" s="381"/>
      <c r="AC237" s="381"/>
      <c r="AD237" s="381"/>
      <c r="AE237" s="381"/>
      <c r="AF237" s="381"/>
      <c r="AI237" s="381"/>
      <c r="AJ237" s="381"/>
      <c r="AK237" s="162"/>
      <c r="AL237" s="381"/>
      <c r="AM237" s="50"/>
      <c r="AN237" s="50"/>
    </row>
    <row r="238" spans="1:40" x14ac:dyDescent="0.25">
      <c r="A238" s="53"/>
      <c r="C238" s="54"/>
      <c r="F238" s="379"/>
      <c r="H238" s="379"/>
      <c r="I238" s="379"/>
      <c r="J238" s="65"/>
      <c r="K238" s="59"/>
      <c r="L238" s="379"/>
      <c r="M238" s="379"/>
      <c r="N238" s="50"/>
      <c r="O238" s="50"/>
      <c r="P238" s="379"/>
      <c r="Q238" s="379"/>
      <c r="R238" s="379"/>
      <c r="T238" s="54"/>
      <c r="V238" s="379"/>
      <c r="Y238" s="379"/>
      <c r="Z238" s="59"/>
      <c r="AA238" s="379"/>
      <c r="AB238" s="379"/>
      <c r="AC238" s="50"/>
      <c r="AD238" s="50"/>
      <c r="AE238" s="379"/>
      <c r="AF238" s="379"/>
      <c r="AG238" s="156"/>
      <c r="AH238" s="60"/>
      <c r="AI238" s="379"/>
      <c r="AJ238" s="379"/>
      <c r="AK238" s="156"/>
      <c r="AL238" s="379"/>
      <c r="AM238" s="50"/>
      <c r="AN238" s="50"/>
    </row>
    <row r="239" spans="1:40" x14ac:dyDescent="0.25">
      <c r="A239" s="53"/>
      <c r="C239" s="54"/>
      <c r="F239" s="379"/>
      <c r="H239" s="449"/>
      <c r="I239" s="449"/>
      <c r="J239" s="221"/>
      <c r="K239" s="472"/>
      <c r="L239" s="379"/>
      <c r="M239" s="379"/>
      <c r="N239" s="50"/>
      <c r="O239" s="50"/>
      <c r="P239" s="379"/>
      <c r="Q239" s="379"/>
      <c r="R239" s="379"/>
      <c r="T239" s="54"/>
      <c r="V239" s="379"/>
      <c r="Y239" s="379"/>
      <c r="Z239" s="463"/>
      <c r="AA239" s="379"/>
      <c r="AB239" s="379"/>
      <c r="AC239" s="50"/>
      <c r="AD239" s="50"/>
      <c r="AE239" s="379"/>
      <c r="AF239" s="379"/>
      <c r="AG239" s="156"/>
      <c r="AH239" s="60"/>
      <c r="AI239" s="379"/>
      <c r="AJ239" s="379"/>
      <c r="AK239" s="156"/>
      <c r="AL239" s="379"/>
      <c r="AM239" s="50"/>
      <c r="AN239" s="50"/>
    </row>
    <row r="240" spans="1:40" x14ac:dyDescent="0.25">
      <c r="H240" s="381"/>
      <c r="I240" s="381"/>
      <c r="J240" s="221"/>
      <c r="K240" s="464"/>
      <c r="L240" s="381"/>
      <c r="M240" s="381"/>
      <c r="N240" s="381"/>
      <c r="O240" s="381"/>
      <c r="P240" s="381"/>
      <c r="Q240" s="381"/>
      <c r="R240" s="381"/>
      <c r="V240" s="381"/>
      <c r="Y240" s="381"/>
      <c r="Z240" s="464"/>
      <c r="AA240" s="381"/>
      <c r="AB240" s="381"/>
      <c r="AC240" s="381"/>
      <c r="AD240" s="381"/>
      <c r="AE240" s="381"/>
      <c r="AF240" s="381"/>
      <c r="AI240" s="381"/>
      <c r="AJ240" s="381"/>
      <c r="AK240" s="162"/>
      <c r="AL240" s="381"/>
      <c r="AM240" s="50"/>
      <c r="AN240" s="50"/>
    </row>
    <row r="241" spans="1:40" x14ac:dyDescent="0.25">
      <c r="F241" s="381"/>
      <c r="J241" s="77"/>
    </row>
    <row r="242" spans="1:40" x14ac:dyDescent="0.25">
      <c r="A242" s="53"/>
      <c r="C242" s="54"/>
      <c r="F242" s="379"/>
      <c r="H242" s="379"/>
      <c r="I242" s="379"/>
      <c r="J242" s="221"/>
      <c r="K242" s="464"/>
      <c r="L242" s="379"/>
      <c r="M242" s="379"/>
      <c r="N242" s="50"/>
      <c r="O242" s="50"/>
      <c r="P242" s="379"/>
      <c r="Q242" s="379"/>
      <c r="R242" s="379"/>
      <c r="S242" s="379"/>
      <c r="T242" s="54"/>
      <c r="V242" s="379"/>
      <c r="Y242" s="379"/>
      <c r="Z242" s="464"/>
      <c r="AA242" s="379"/>
      <c r="AB242" s="379"/>
      <c r="AC242" s="50"/>
      <c r="AD242" s="50"/>
      <c r="AE242" s="379"/>
      <c r="AF242" s="379"/>
      <c r="AG242" s="156"/>
      <c r="AH242" s="50"/>
      <c r="AI242" s="379"/>
      <c r="AJ242" s="379"/>
      <c r="AK242" s="156"/>
      <c r="AL242" s="379"/>
      <c r="AM242" s="50"/>
      <c r="AN242" s="50"/>
    </row>
    <row r="243" spans="1:40" x14ac:dyDescent="0.25">
      <c r="F243" s="381"/>
      <c r="H243" s="381"/>
      <c r="I243" s="381"/>
      <c r="J243" s="221"/>
      <c r="K243" s="464"/>
      <c r="L243" s="381"/>
      <c r="M243" s="381"/>
      <c r="N243" s="381"/>
      <c r="O243" s="381"/>
      <c r="P243" s="381"/>
      <c r="Q243" s="381"/>
      <c r="R243" s="381"/>
      <c r="S243" s="379"/>
      <c r="V243" s="381"/>
      <c r="Y243" s="381"/>
      <c r="Z243" s="464"/>
      <c r="AA243" s="381"/>
      <c r="AB243" s="381"/>
      <c r="AC243" s="381"/>
      <c r="AD243" s="381"/>
      <c r="AE243" s="381"/>
      <c r="AF243" s="381"/>
      <c r="AI243" s="381"/>
      <c r="AJ243" s="381"/>
      <c r="AK243" s="162"/>
      <c r="AL243" s="381"/>
      <c r="AM243" s="50"/>
      <c r="AN243" s="50"/>
    </row>
    <row r="244" spans="1:40" x14ac:dyDescent="0.25">
      <c r="A244" s="53"/>
      <c r="C244" s="54"/>
      <c r="H244" s="449"/>
      <c r="I244" s="449"/>
      <c r="J244" s="221"/>
      <c r="K244" s="464"/>
      <c r="L244" s="379"/>
      <c r="M244" s="379"/>
      <c r="N244" s="50"/>
      <c r="O244" s="50"/>
      <c r="P244" s="379"/>
      <c r="Q244" s="379"/>
      <c r="R244" s="379"/>
      <c r="S244" s="379"/>
      <c r="T244" s="54"/>
      <c r="V244" s="449"/>
      <c r="Y244" s="449"/>
      <c r="Z244" s="464"/>
      <c r="AA244" s="379"/>
      <c r="AB244" s="379"/>
      <c r="AC244" s="50"/>
      <c r="AD244" s="50"/>
      <c r="AE244" s="379"/>
      <c r="AF244" s="379"/>
      <c r="AI244" s="379"/>
      <c r="AJ244" s="379"/>
      <c r="AK244" s="156"/>
      <c r="AL244" s="379"/>
      <c r="AM244" s="50"/>
      <c r="AN244" s="50"/>
    </row>
    <row r="245" spans="1:40" x14ac:dyDescent="0.25">
      <c r="F245" s="449"/>
      <c r="J245" s="77"/>
    </row>
    <row r="246" spans="1:40" x14ac:dyDescent="0.25">
      <c r="A246" s="53"/>
      <c r="C246" s="54"/>
      <c r="F246" s="449"/>
      <c r="H246" s="449"/>
      <c r="I246" s="449"/>
      <c r="J246" s="221"/>
      <c r="K246" s="461"/>
      <c r="L246" s="379"/>
      <c r="M246" s="379"/>
      <c r="N246" s="50"/>
      <c r="O246" s="50"/>
      <c r="P246" s="53"/>
      <c r="Q246" s="53"/>
      <c r="R246" s="379"/>
      <c r="T246" s="54"/>
      <c r="V246" s="379"/>
      <c r="Y246" s="449"/>
      <c r="Z246" s="461"/>
      <c r="AA246" s="379"/>
      <c r="AB246" s="379"/>
      <c r="AC246" s="50"/>
      <c r="AD246" s="50"/>
      <c r="AE246" s="379"/>
      <c r="AF246" s="379"/>
      <c r="AG246" s="156"/>
      <c r="AH246" s="60"/>
      <c r="AI246" s="53"/>
      <c r="AJ246" s="53"/>
      <c r="AK246" s="156"/>
      <c r="AL246" s="379"/>
      <c r="AM246" s="50"/>
      <c r="AN246" s="50"/>
    </row>
    <row r="247" spans="1:40" x14ac:dyDescent="0.25">
      <c r="F247" s="381"/>
      <c r="H247" s="379"/>
      <c r="I247" s="379"/>
      <c r="J247" s="221"/>
      <c r="K247" s="464"/>
      <c r="L247" s="381"/>
      <c r="M247" s="381"/>
      <c r="N247" s="381"/>
      <c r="O247" s="381"/>
      <c r="P247" s="381"/>
      <c r="Q247" s="381"/>
      <c r="R247" s="381"/>
      <c r="V247" s="381"/>
      <c r="Y247" s="379"/>
      <c r="Z247" s="464"/>
      <c r="AA247" s="381"/>
      <c r="AB247" s="381"/>
      <c r="AC247" s="381"/>
      <c r="AD247" s="381"/>
      <c r="AE247" s="381"/>
      <c r="AF247" s="381"/>
      <c r="AI247" s="381"/>
      <c r="AJ247" s="381"/>
      <c r="AK247" s="162"/>
      <c r="AL247" s="381"/>
      <c r="AM247" s="50"/>
      <c r="AN247" s="50"/>
    </row>
    <row r="248" spans="1:40" x14ac:dyDescent="0.25">
      <c r="A248" s="53"/>
      <c r="C248" s="54"/>
      <c r="F248" s="449"/>
      <c r="H248" s="449"/>
      <c r="I248" s="449"/>
      <c r="J248" s="221"/>
      <c r="K248" s="477"/>
      <c r="L248" s="379"/>
      <c r="M248" s="379"/>
      <c r="N248" s="50"/>
      <c r="O248" s="50"/>
      <c r="P248" s="379"/>
      <c r="Q248" s="379"/>
      <c r="R248" s="379"/>
      <c r="S248" s="379"/>
      <c r="T248" s="54"/>
      <c r="V248" s="449"/>
      <c r="Y248" s="449"/>
      <c r="Z248" s="477"/>
      <c r="AA248" s="379"/>
      <c r="AB248" s="379"/>
      <c r="AC248" s="50"/>
      <c r="AD248" s="50"/>
      <c r="AE248" s="379"/>
      <c r="AF248" s="379"/>
      <c r="AG248" s="156"/>
      <c r="AH248" s="50"/>
      <c r="AI248" s="379"/>
      <c r="AJ248" s="379"/>
      <c r="AK248" s="156"/>
      <c r="AL248" s="379"/>
      <c r="AM248" s="50"/>
      <c r="AN248" s="50"/>
    </row>
    <row r="249" spans="1:40" x14ac:dyDescent="0.25">
      <c r="A249" s="53"/>
      <c r="C249" s="54"/>
      <c r="F249" s="449"/>
      <c r="H249" s="449"/>
      <c r="I249" s="449"/>
      <c r="J249" s="221"/>
      <c r="K249" s="461"/>
      <c r="L249" s="379"/>
      <c r="M249" s="379"/>
      <c r="N249" s="50"/>
      <c r="O249" s="50"/>
      <c r="P249" s="379"/>
      <c r="Q249" s="379"/>
      <c r="R249" s="379"/>
      <c r="T249" s="54"/>
      <c r="V249" s="449"/>
      <c r="Y249" s="379"/>
      <c r="Z249" s="461"/>
      <c r="AA249" s="379"/>
      <c r="AB249" s="379"/>
      <c r="AC249" s="50"/>
      <c r="AD249" s="50"/>
      <c r="AE249" s="379"/>
      <c r="AF249" s="379"/>
      <c r="AG249" s="156"/>
      <c r="AH249" s="60"/>
      <c r="AI249" s="379"/>
      <c r="AJ249" s="379"/>
      <c r="AK249" s="156"/>
      <c r="AL249" s="379"/>
      <c r="AM249" s="50"/>
      <c r="AN249" s="50"/>
    </row>
    <row r="250" spans="1:40" x14ac:dyDescent="0.25">
      <c r="A250" s="53"/>
      <c r="C250" s="54"/>
      <c r="F250" s="449"/>
      <c r="H250" s="449"/>
      <c r="I250" s="449"/>
      <c r="J250" s="221"/>
      <c r="K250" s="461"/>
      <c r="L250" s="379"/>
      <c r="M250" s="379"/>
      <c r="N250" s="50"/>
      <c r="O250" s="50"/>
      <c r="P250" s="379"/>
      <c r="Q250" s="379"/>
      <c r="R250" s="379"/>
      <c r="T250" s="54"/>
      <c r="V250" s="449"/>
      <c r="Y250" s="379"/>
      <c r="Z250" s="461"/>
      <c r="AA250" s="379"/>
      <c r="AB250" s="379"/>
      <c r="AC250" s="50"/>
      <c r="AD250" s="50"/>
      <c r="AE250" s="379"/>
      <c r="AF250" s="379"/>
      <c r="AG250" s="156"/>
      <c r="AH250" s="60"/>
      <c r="AI250" s="379"/>
      <c r="AJ250" s="379"/>
      <c r="AK250" s="156"/>
      <c r="AL250" s="379"/>
      <c r="AM250" s="50"/>
      <c r="AN250" s="50"/>
    </row>
    <row r="251" spans="1:40" x14ac:dyDescent="0.25">
      <c r="F251" s="381"/>
      <c r="H251" s="381"/>
      <c r="I251" s="381"/>
      <c r="J251" s="221"/>
      <c r="K251" s="464"/>
      <c r="L251" s="381"/>
      <c r="M251" s="381"/>
      <c r="N251" s="381"/>
      <c r="O251" s="381"/>
      <c r="P251" s="381"/>
      <c r="Q251" s="381"/>
      <c r="R251" s="381"/>
      <c r="V251" s="381"/>
      <c r="Y251" s="381"/>
      <c r="Z251" s="464"/>
      <c r="AA251" s="381"/>
      <c r="AB251" s="381"/>
      <c r="AC251" s="381"/>
      <c r="AD251" s="381"/>
      <c r="AE251" s="381"/>
      <c r="AF251" s="381"/>
      <c r="AI251" s="381"/>
      <c r="AJ251" s="381"/>
      <c r="AK251" s="162"/>
      <c r="AL251" s="381"/>
      <c r="AM251" s="50"/>
      <c r="AN251" s="50"/>
    </row>
    <row r="252" spans="1:40" x14ac:dyDescent="0.25">
      <c r="A252" s="53"/>
      <c r="C252" s="54"/>
      <c r="F252" s="379"/>
      <c r="H252" s="379"/>
      <c r="I252" s="379"/>
      <c r="J252" s="65"/>
      <c r="K252" s="59"/>
      <c r="L252" s="379"/>
      <c r="M252" s="379"/>
      <c r="N252" s="50"/>
      <c r="O252" s="50"/>
      <c r="P252" s="379"/>
      <c r="Q252" s="379"/>
      <c r="R252" s="379"/>
      <c r="T252" s="54"/>
      <c r="V252" s="379"/>
      <c r="Y252" s="379"/>
      <c r="Z252" s="59"/>
      <c r="AA252" s="379"/>
      <c r="AB252" s="379"/>
      <c r="AC252" s="50"/>
      <c r="AD252" s="50"/>
      <c r="AE252" s="379"/>
      <c r="AF252" s="379"/>
      <c r="AG252" s="156"/>
      <c r="AH252" s="60"/>
      <c r="AI252" s="379"/>
      <c r="AJ252" s="379"/>
      <c r="AK252" s="156"/>
      <c r="AL252" s="379"/>
      <c r="AM252" s="50"/>
      <c r="AN252" s="50"/>
    </row>
    <row r="253" spans="1:40" x14ac:dyDescent="0.25">
      <c r="F253" s="381"/>
      <c r="H253" s="381"/>
      <c r="I253" s="381"/>
      <c r="J253" s="221"/>
      <c r="K253" s="464"/>
      <c r="L253" s="381"/>
      <c r="M253" s="381"/>
      <c r="N253" s="381"/>
      <c r="O253" s="381"/>
      <c r="P253" s="381"/>
      <c r="Q253" s="381"/>
      <c r="R253" s="381"/>
      <c r="V253" s="381"/>
      <c r="Y253" s="381"/>
      <c r="Z253" s="464"/>
      <c r="AA253" s="381"/>
      <c r="AB253" s="381"/>
      <c r="AC253" s="381"/>
      <c r="AD253" s="381"/>
      <c r="AE253" s="381"/>
      <c r="AF253" s="381"/>
      <c r="AI253" s="381"/>
      <c r="AJ253" s="381"/>
      <c r="AK253" s="162"/>
      <c r="AL253" s="381"/>
      <c r="AM253" s="50"/>
      <c r="AN253" s="50"/>
    </row>
    <row r="254" spans="1:40" x14ac:dyDescent="0.25">
      <c r="A254" s="53"/>
      <c r="C254" s="54"/>
      <c r="F254" s="379"/>
      <c r="H254" s="379"/>
      <c r="I254" s="379"/>
      <c r="J254" s="65"/>
      <c r="K254" s="59"/>
      <c r="L254" s="379"/>
      <c r="M254" s="379"/>
      <c r="N254" s="50"/>
      <c r="O254" s="50"/>
      <c r="P254" s="379"/>
      <c r="Q254" s="379"/>
      <c r="R254" s="379"/>
      <c r="T254" s="54"/>
      <c r="V254" s="379"/>
      <c r="Y254" s="379"/>
      <c r="Z254" s="59"/>
      <c r="AA254" s="379"/>
      <c r="AB254" s="379"/>
      <c r="AC254" s="50"/>
      <c r="AD254" s="50"/>
      <c r="AE254" s="379"/>
      <c r="AF254" s="379"/>
      <c r="AG254" s="156"/>
      <c r="AH254" s="60"/>
      <c r="AI254" s="379"/>
      <c r="AJ254" s="379"/>
      <c r="AK254" s="156"/>
      <c r="AL254" s="379"/>
      <c r="AM254" s="50"/>
      <c r="AN254" s="50"/>
    </row>
    <row r="255" spans="1:40" x14ac:dyDescent="0.25">
      <c r="A255" s="53"/>
      <c r="C255" s="54"/>
      <c r="F255" s="379"/>
      <c r="H255" s="449"/>
      <c r="I255" s="449"/>
      <c r="J255" s="221"/>
      <c r="K255" s="472"/>
      <c r="L255" s="379"/>
      <c r="M255" s="379"/>
      <c r="N255" s="50"/>
      <c r="O255" s="50"/>
      <c r="P255" s="379"/>
      <c r="Q255" s="379"/>
      <c r="R255" s="379"/>
      <c r="T255" s="54"/>
      <c r="V255" s="379"/>
      <c r="Y255" s="379"/>
      <c r="Z255" s="463"/>
      <c r="AA255" s="379"/>
      <c r="AB255" s="379"/>
      <c r="AC255" s="50"/>
      <c r="AD255" s="50"/>
      <c r="AE255" s="379"/>
      <c r="AF255" s="379"/>
      <c r="AG255" s="156"/>
      <c r="AH255" s="60"/>
      <c r="AI255" s="379"/>
      <c r="AJ255" s="379"/>
      <c r="AK255" s="156"/>
      <c r="AL255" s="379"/>
      <c r="AM255" s="50"/>
      <c r="AN255" s="50"/>
    </row>
    <row r="256" spans="1:40" x14ac:dyDescent="0.25">
      <c r="H256" s="381"/>
      <c r="I256" s="381"/>
      <c r="J256" s="221"/>
      <c r="K256" s="464"/>
      <c r="L256" s="381"/>
      <c r="M256" s="381"/>
      <c r="N256" s="381"/>
      <c r="O256" s="381"/>
      <c r="P256" s="381"/>
      <c r="Q256" s="381"/>
      <c r="R256" s="381"/>
      <c r="V256" s="381"/>
      <c r="Y256" s="381"/>
      <c r="Z256" s="464"/>
      <c r="AA256" s="381"/>
      <c r="AB256" s="381"/>
      <c r="AC256" s="381"/>
      <c r="AD256" s="381"/>
      <c r="AE256" s="381"/>
      <c r="AF256" s="381"/>
      <c r="AI256" s="381"/>
      <c r="AJ256" s="381"/>
      <c r="AK256" s="162"/>
      <c r="AL256" s="381"/>
      <c r="AM256" s="50"/>
      <c r="AN256" s="50"/>
    </row>
    <row r="257" spans="1:40" x14ac:dyDescent="0.25">
      <c r="F257" s="381"/>
      <c r="J257" s="77"/>
    </row>
    <row r="258" spans="1:40" x14ac:dyDescent="0.25">
      <c r="A258" s="53"/>
      <c r="C258" s="54"/>
      <c r="F258" s="379"/>
      <c r="H258" s="379"/>
      <c r="I258" s="379"/>
      <c r="J258" s="221"/>
      <c r="K258" s="464"/>
      <c r="L258" s="379"/>
      <c r="M258" s="379"/>
      <c r="N258" s="50"/>
      <c r="O258" s="50"/>
      <c r="P258" s="379"/>
      <c r="Q258" s="379"/>
      <c r="R258" s="379"/>
      <c r="S258" s="379"/>
      <c r="T258" s="54"/>
      <c r="V258" s="379"/>
      <c r="Y258" s="379"/>
      <c r="Z258" s="464"/>
      <c r="AA258" s="379"/>
      <c r="AB258" s="379"/>
      <c r="AC258" s="50"/>
      <c r="AD258" s="50"/>
      <c r="AE258" s="379"/>
      <c r="AF258" s="379"/>
      <c r="AG258" s="156"/>
      <c r="AH258" s="50"/>
      <c r="AI258" s="379"/>
      <c r="AJ258" s="379"/>
      <c r="AK258" s="156"/>
      <c r="AL258" s="379"/>
      <c r="AM258" s="50"/>
      <c r="AN258" s="50"/>
    </row>
    <row r="259" spans="1:40" x14ac:dyDescent="0.25">
      <c r="F259" s="381"/>
      <c r="H259" s="381"/>
      <c r="I259" s="381"/>
      <c r="J259" s="221"/>
      <c r="K259" s="464"/>
      <c r="L259" s="381"/>
      <c r="M259" s="381"/>
      <c r="N259" s="381"/>
      <c r="O259" s="381"/>
      <c r="P259" s="381"/>
      <c r="Q259" s="381"/>
      <c r="R259" s="381"/>
      <c r="S259" s="379"/>
      <c r="V259" s="381"/>
      <c r="Y259" s="381"/>
      <c r="Z259" s="464"/>
      <c r="AA259" s="381"/>
      <c r="AB259" s="381"/>
      <c r="AC259" s="381"/>
      <c r="AD259" s="381"/>
      <c r="AE259" s="381"/>
      <c r="AF259" s="381"/>
      <c r="AI259" s="381"/>
      <c r="AJ259" s="381"/>
      <c r="AK259" s="162"/>
      <c r="AL259" s="381"/>
      <c r="AM259" s="50"/>
      <c r="AN259" s="50"/>
    </row>
    <row r="260" spans="1:40" x14ac:dyDescent="0.25">
      <c r="A260" s="53"/>
      <c r="C260" s="54"/>
      <c r="J260" s="77"/>
      <c r="T260" s="54"/>
    </row>
    <row r="261" spans="1:40" x14ac:dyDescent="0.25">
      <c r="A261" s="53"/>
      <c r="C261" s="54"/>
      <c r="F261" s="379"/>
      <c r="H261" s="379"/>
      <c r="I261" s="379"/>
      <c r="J261" s="77"/>
      <c r="L261" s="379"/>
      <c r="M261" s="379"/>
      <c r="N261" s="50"/>
      <c r="O261" s="50"/>
      <c r="P261" s="449"/>
      <c r="Q261" s="449"/>
      <c r="R261" s="379"/>
      <c r="T261" s="54"/>
      <c r="V261" s="379"/>
      <c r="Y261" s="379"/>
      <c r="AA261" s="379"/>
      <c r="AB261" s="379"/>
      <c r="AC261" s="50"/>
      <c r="AD261" s="50"/>
      <c r="AE261" s="379"/>
      <c r="AF261" s="379"/>
      <c r="AG261" s="156"/>
      <c r="AH261" s="50"/>
      <c r="AI261" s="449"/>
      <c r="AJ261" s="449"/>
      <c r="AK261" s="156"/>
      <c r="AL261" s="379"/>
      <c r="AM261" s="50"/>
      <c r="AN261" s="50"/>
    </row>
    <row r="262" spans="1:40" x14ac:dyDescent="0.25">
      <c r="H262" s="381"/>
      <c r="I262" s="381"/>
      <c r="J262" s="221"/>
      <c r="K262" s="464"/>
      <c r="L262" s="381"/>
      <c r="M262" s="381"/>
      <c r="N262" s="381"/>
      <c r="O262" s="381"/>
      <c r="P262" s="381"/>
      <c r="Q262" s="381"/>
      <c r="R262" s="381"/>
      <c r="V262" s="381"/>
      <c r="Y262" s="381"/>
      <c r="Z262" s="464"/>
      <c r="AA262" s="381"/>
      <c r="AB262" s="381"/>
      <c r="AC262" s="381"/>
      <c r="AD262" s="381"/>
      <c r="AE262" s="381"/>
      <c r="AF262" s="381"/>
      <c r="AI262" s="381"/>
      <c r="AJ262" s="381"/>
      <c r="AK262" s="162"/>
      <c r="AL262" s="381"/>
    </row>
    <row r="263" spans="1:40" x14ac:dyDescent="0.25">
      <c r="F263" s="381"/>
      <c r="J263" s="77"/>
    </row>
    <row r="264" spans="1:40" x14ac:dyDescent="0.25">
      <c r="C264" s="54"/>
      <c r="J264" s="77"/>
      <c r="L264" s="379"/>
      <c r="M264" s="379"/>
      <c r="N264" s="379"/>
      <c r="O264" s="379"/>
      <c r="P264" s="379"/>
      <c r="Q264" s="379"/>
      <c r="R264" s="379"/>
      <c r="S264" s="379"/>
      <c r="T264" s="54"/>
      <c r="AA264" s="379"/>
      <c r="AB264" s="379"/>
      <c r="AC264" s="379"/>
      <c r="AD264" s="379"/>
      <c r="AI264" s="379"/>
      <c r="AJ264" s="379"/>
      <c r="AK264" s="156"/>
      <c r="AL264" s="379"/>
    </row>
    <row r="265" spans="1:40" x14ac:dyDescent="0.25">
      <c r="A265" s="54"/>
      <c r="J265" s="77"/>
    </row>
    <row r="266" spans="1:40" x14ac:dyDescent="0.25">
      <c r="J266" s="65"/>
      <c r="K266" s="53"/>
      <c r="Z266" s="53"/>
    </row>
    <row r="267" spans="1:40" x14ac:dyDescent="0.25">
      <c r="H267" s="54"/>
      <c r="I267" s="54"/>
      <c r="J267" s="77"/>
      <c r="Y267" s="54"/>
    </row>
    <row r="268" spans="1:40" x14ac:dyDescent="0.25">
      <c r="J268" s="65"/>
      <c r="K268" s="53"/>
      <c r="Z268" s="53"/>
    </row>
    <row r="269" spans="1:40" x14ac:dyDescent="0.25">
      <c r="J269" s="77"/>
      <c r="L269" s="54"/>
      <c r="M269" s="54"/>
      <c r="AA269" s="54"/>
      <c r="AB269" s="54"/>
    </row>
    <row r="270" spans="1:40" x14ac:dyDescent="0.25">
      <c r="A270" s="53"/>
      <c r="J270" s="77"/>
      <c r="R270" s="54"/>
      <c r="AK270" s="161"/>
      <c r="AL270" s="54"/>
    </row>
    <row r="271" spans="1:40" x14ac:dyDescent="0.25">
      <c r="A271" s="53"/>
      <c r="J271" s="77"/>
      <c r="R271" s="54"/>
      <c r="AK271" s="161"/>
      <c r="AL271" s="54"/>
    </row>
    <row r="272" spans="1:40" x14ac:dyDescent="0.25">
      <c r="A272" s="54"/>
      <c r="J272" s="77"/>
      <c r="R272" s="54"/>
      <c r="AK272" s="161"/>
      <c r="AL272" s="54"/>
    </row>
    <row r="273" spans="1:40" x14ac:dyDescent="0.25">
      <c r="J273" s="77"/>
      <c r="L273" s="54"/>
      <c r="M273" s="54"/>
      <c r="R273" s="53"/>
      <c r="AA273" s="54"/>
      <c r="AB273" s="54"/>
      <c r="AK273" s="156"/>
      <c r="AL273" s="53"/>
    </row>
    <row r="274" spans="1:40" x14ac:dyDescent="0.25">
      <c r="A274" s="55"/>
      <c r="B274" s="55"/>
      <c r="C274" s="55"/>
      <c r="D274" s="55"/>
      <c r="E274" s="55"/>
      <c r="F274" s="55"/>
      <c r="G274" s="55"/>
      <c r="H274" s="55"/>
      <c r="I274" s="55"/>
      <c r="J274" s="66"/>
      <c r="K274" s="55"/>
      <c r="L274" s="55"/>
      <c r="M274" s="55"/>
      <c r="N274" s="55"/>
      <c r="O274" s="55"/>
      <c r="P274" s="55"/>
      <c r="Q274" s="55"/>
      <c r="R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154"/>
      <c r="AH274" s="55"/>
      <c r="AI274" s="55"/>
      <c r="AJ274" s="55"/>
      <c r="AK274" s="154"/>
      <c r="AL274" s="55"/>
      <c r="AM274" s="55"/>
      <c r="AN274" s="55"/>
    </row>
    <row r="275" spans="1:40" x14ac:dyDescent="0.25">
      <c r="J275" s="77"/>
      <c r="L275" s="56"/>
      <c r="M275" s="56"/>
      <c r="N275" s="56"/>
      <c r="O275" s="56"/>
      <c r="R275" s="56"/>
      <c r="AA275" s="56"/>
      <c r="AB275" s="56"/>
      <c r="AC275" s="56"/>
      <c r="AD275" s="56"/>
      <c r="AE275" s="56"/>
      <c r="AF275" s="56"/>
      <c r="AG275" s="155"/>
      <c r="AH275" s="56"/>
      <c r="AK275" s="155"/>
      <c r="AL275" s="56"/>
      <c r="AM275" s="56"/>
      <c r="AN275" s="56"/>
    </row>
    <row r="276" spans="1:40" x14ac:dyDescent="0.25">
      <c r="J276" s="77"/>
      <c r="L276" s="56"/>
      <c r="M276" s="56"/>
      <c r="N276" s="56"/>
      <c r="O276" s="56"/>
      <c r="R276" s="56"/>
      <c r="Z276" s="56"/>
      <c r="AA276" s="56"/>
      <c r="AB276" s="56"/>
      <c r="AC276" s="56"/>
      <c r="AD276" s="56"/>
      <c r="AE276" s="56"/>
      <c r="AF276" s="56"/>
      <c r="AG276" s="155"/>
      <c r="AH276" s="56"/>
      <c r="AK276" s="155"/>
      <c r="AL276" s="56"/>
      <c r="AM276" s="56"/>
      <c r="AN276" s="56"/>
    </row>
    <row r="277" spans="1:40" x14ac:dyDescent="0.25">
      <c r="A277" s="56"/>
      <c r="C277" s="56"/>
      <c r="D277" s="56"/>
      <c r="E277" s="56"/>
      <c r="F277" s="56"/>
      <c r="J277" s="67"/>
      <c r="K277" s="56"/>
      <c r="L277" s="56"/>
      <c r="M277" s="56"/>
      <c r="N277" s="56"/>
      <c r="O277" s="56"/>
      <c r="P277" s="56"/>
      <c r="Q277" s="56"/>
      <c r="R277" s="56"/>
      <c r="T277" s="56"/>
      <c r="U277" s="56"/>
      <c r="V277" s="56"/>
      <c r="Z277" s="56"/>
      <c r="AA277" s="56"/>
      <c r="AB277" s="56"/>
      <c r="AC277" s="56"/>
      <c r="AD277" s="56"/>
      <c r="AE277" s="56"/>
      <c r="AF277" s="56"/>
      <c r="AG277" s="155"/>
      <c r="AH277" s="56"/>
      <c r="AI277" s="56"/>
      <c r="AJ277" s="56"/>
      <c r="AK277" s="155"/>
      <c r="AL277" s="56"/>
      <c r="AM277" s="56"/>
      <c r="AN277" s="56"/>
    </row>
    <row r="278" spans="1:40" x14ac:dyDescent="0.25">
      <c r="A278" s="56"/>
      <c r="C278" s="56"/>
      <c r="D278" s="56"/>
      <c r="E278" s="56"/>
      <c r="F278" s="56"/>
      <c r="H278" s="56"/>
      <c r="I278" s="56"/>
      <c r="J278" s="67"/>
      <c r="K278" s="56"/>
      <c r="L278" s="56"/>
      <c r="M278" s="56"/>
      <c r="N278" s="56"/>
      <c r="O278" s="56"/>
      <c r="P278" s="56"/>
      <c r="Q278" s="56"/>
      <c r="R278" s="56"/>
      <c r="T278" s="56"/>
      <c r="U278" s="56"/>
      <c r="V278" s="56"/>
      <c r="Y278" s="56"/>
      <c r="Z278" s="56"/>
      <c r="AA278" s="56"/>
      <c r="AB278" s="56"/>
      <c r="AC278" s="56"/>
      <c r="AD278" s="56"/>
      <c r="AE278" s="56"/>
      <c r="AF278" s="56"/>
      <c r="AG278" s="155"/>
      <c r="AH278" s="56"/>
      <c r="AI278" s="56"/>
      <c r="AJ278" s="56"/>
      <c r="AK278" s="155"/>
      <c r="AL278" s="56"/>
      <c r="AM278" s="56"/>
      <c r="AN278" s="56"/>
    </row>
    <row r="279" spans="1:40" x14ac:dyDescent="0.25">
      <c r="C279" s="56"/>
      <c r="D279" s="56"/>
      <c r="E279" s="56"/>
      <c r="F279" s="56"/>
      <c r="H279" s="56"/>
      <c r="I279" s="56"/>
      <c r="J279" s="67"/>
      <c r="K279" s="56"/>
      <c r="L279" s="56"/>
      <c r="M279" s="56"/>
      <c r="N279" s="56"/>
      <c r="O279" s="56"/>
      <c r="P279" s="56"/>
      <c r="Q279" s="56"/>
      <c r="R279" s="56"/>
      <c r="T279" s="56"/>
      <c r="U279" s="56"/>
      <c r="V279" s="56"/>
      <c r="Y279" s="56"/>
      <c r="Z279" s="56"/>
      <c r="AA279" s="56"/>
      <c r="AB279" s="56"/>
      <c r="AC279" s="56"/>
      <c r="AD279" s="56"/>
      <c r="AE279" s="56"/>
      <c r="AF279" s="56"/>
      <c r="AG279" s="155"/>
      <c r="AH279" s="56"/>
      <c r="AI279" s="56"/>
      <c r="AJ279" s="56"/>
      <c r="AK279" s="155"/>
      <c r="AL279" s="56"/>
      <c r="AM279" s="56"/>
      <c r="AN279" s="56"/>
    </row>
    <row r="280" spans="1:40" x14ac:dyDescent="0.25">
      <c r="A280" s="55"/>
      <c r="B280" s="55"/>
      <c r="C280" s="55"/>
      <c r="D280" s="55"/>
      <c r="E280" s="55"/>
      <c r="F280" s="55"/>
      <c r="G280" s="55"/>
      <c r="H280" s="55"/>
      <c r="I280" s="55"/>
      <c r="J280" s="66"/>
      <c r="K280" s="55"/>
      <c r="L280" s="55"/>
      <c r="M280" s="55"/>
      <c r="N280" s="55"/>
      <c r="O280" s="55"/>
      <c r="P280" s="55"/>
      <c r="Q280" s="55"/>
      <c r="R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154"/>
      <c r="AH280" s="55"/>
      <c r="AI280" s="55"/>
      <c r="AJ280" s="55"/>
      <c r="AK280" s="154"/>
      <c r="AL280" s="55"/>
      <c r="AM280" s="55"/>
      <c r="AN280" s="55"/>
    </row>
    <row r="281" spans="1:40" x14ac:dyDescent="0.25">
      <c r="H281" s="56"/>
      <c r="I281" s="56"/>
      <c r="J281" s="67"/>
      <c r="K281" s="56"/>
      <c r="L281" s="56"/>
      <c r="M281" s="56"/>
      <c r="N281" s="56"/>
      <c r="O281" s="56"/>
      <c r="P281" s="56"/>
      <c r="Q281" s="56"/>
      <c r="R281" s="56"/>
      <c r="Y281" s="56"/>
      <c r="Z281" s="56"/>
      <c r="AA281" s="56"/>
      <c r="AB281" s="56"/>
      <c r="AC281" s="56"/>
      <c r="AD281" s="56"/>
      <c r="AE281" s="56"/>
      <c r="AF281" s="56"/>
      <c r="AG281" s="155"/>
      <c r="AH281" s="56"/>
      <c r="AI281" s="56"/>
      <c r="AJ281" s="56"/>
      <c r="AK281" s="155"/>
      <c r="AL281" s="56"/>
      <c r="AM281" s="56"/>
      <c r="AN281" s="56"/>
    </row>
    <row r="282" spans="1:40" x14ac:dyDescent="0.25">
      <c r="A282" s="53"/>
      <c r="C282" s="54"/>
      <c r="D282" s="54"/>
      <c r="E282" s="54"/>
      <c r="J282" s="77"/>
      <c r="T282" s="54"/>
      <c r="U282" s="54"/>
    </row>
    <row r="283" spans="1:40" x14ac:dyDescent="0.25">
      <c r="D283" s="54"/>
      <c r="E283" s="54"/>
      <c r="J283" s="77"/>
      <c r="U283" s="54"/>
    </row>
    <row r="284" spans="1:40" x14ac:dyDescent="0.25">
      <c r="J284" s="77"/>
    </row>
    <row r="285" spans="1:40" x14ac:dyDescent="0.25">
      <c r="A285" s="53"/>
      <c r="C285" s="54"/>
      <c r="J285" s="77"/>
      <c r="T285" s="54"/>
    </row>
    <row r="286" spans="1:40" x14ac:dyDescent="0.25">
      <c r="A286" s="53"/>
      <c r="C286" s="54"/>
      <c r="F286" s="449"/>
      <c r="H286" s="449"/>
      <c r="I286" s="449"/>
      <c r="J286" s="221"/>
      <c r="K286" s="221"/>
      <c r="L286" s="379"/>
      <c r="M286" s="379"/>
      <c r="N286" s="50"/>
      <c r="O286" s="50"/>
      <c r="P286" s="379"/>
      <c r="Q286" s="379"/>
      <c r="R286" s="379"/>
      <c r="T286" s="54"/>
      <c r="V286" s="449"/>
      <c r="W286" s="379"/>
      <c r="X286" s="379"/>
      <c r="Y286" s="449"/>
      <c r="Z286" s="221"/>
      <c r="AA286" s="379"/>
      <c r="AB286" s="379"/>
      <c r="AC286" s="50"/>
      <c r="AD286" s="50"/>
      <c r="AE286" s="379"/>
      <c r="AF286" s="379"/>
      <c r="AG286" s="156"/>
      <c r="AH286" s="60"/>
      <c r="AI286" s="379"/>
      <c r="AJ286" s="379"/>
      <c r="AK286" s="156"/>
      <c r="AL286" s="379"/>
      <c r="AM286" s="50"/>
      <c r="AN286" s="50"/>
    </row>
    <row r="287" spans="1:40" x14ac:dyDescent="0.25">
      <c r="A287" s="53"/>
      <c r="C287" s="54"/>
      <c r="F287" s="379"/>
      <c r="H287" s="379"/>
      <c r="I287" s="379"/>
      <c r="J287" s="221"/>
      <c r="K287" s="464"/>
      <c r="L287" s="379"/>
      <c r="M287" s="379"/>
      <c r="N287" s="50"/>
      <c r="O287" s="50"/>
      <c r="P287" s="379"/>
      <c r="Q287" s="379"/>
      <c r="R287" s="379"/>
      <c r="T287" s="54"/>
      <c r="V287" s="449"/>
      <c r="W287" s="379"/>
      <c r="X287" s="379"/>
      <c r="Y287" s="449"/>
      <c r="Z287" s="464"/>
      <c r="AA287" s="379"/>
      <c r="AB287" s="379"/>
      <c r="AC287" s="50"/>
      <c r="AD287" s="50"/>
      <c r="AE287" s="379"/>
      <c r="AF287" s="379"/>
      <c r="AG287" s="156"/>
      <c r="AH287" s="60"/>
      <c r="AI287" s="379"/>
      <c r="AJ287" s="379"/>
      <c r="AK287" s="156"/>
      <c r="AL287" s="379"/>
      <c r="AM287" s="50"/>
      <c r="AN287" s="50"/>
    </row>
    <row r="288" spans="1:40" x14ac:dyDescent="0.25">
      <c r="A288" s="53"/>
      <c r="C288" s="54"/>
      <c r="F288" s="449"/>
      <c r="H288" s="449"/>
      <c r="I288" s="449"/>
      <c r="J288" s="221"/>
      <c r="K288" s="221"/>
      <c r="L288" s="379"/>
      <c r="M288" s="379"/>
      <c r="N288" s="50"/>
      <c r="O288" s="50"/>
      <c r="P288" s="379"/>
      <c r="Q288" s="379"/>
      <c r="R288" s="379"/>
      <c r="T288" s="54"/>
      <c r="V288" s="449"/>
      <c r="W288" s="379"/>
      <c r="X288" s="379"/>
      <c r="Y288" s="449"/>
      <c r="Z288" s="221"/>
      <c r="AA288" s="379"/>
      <c r="AB288" s="379"/>
      <c r="AC288" s="50"/>
      <c r="AD288" s="50"/>
      <c r="AE288" s="379"/>
      <c r="AF288" s="379"/>
      <c r="AG288" s="156"/>
      <c r="AH288" s="60"/>
      <c r="AI288" s="379"/>
      <c r="AJ288" s="379"/>
      <c r="AK288" s="156"/>
      <c r="AL288" s="379"/>
      <c r="AM288" s="50"/>
      <c r="AN288" s="50"/>
    </row>
    <row r="289" spans="1:40" x14ac:dyDescent="0.25">
      <c r="A289" s="53"/>
      <c r="C289" s="54"/>
      <c r="F289" s="449"/>
      <c r="H289" s="449"/>
      <c r="I289" s="449"/>
      <c r="J289" s="221"/>
      <c r="K289" s="221"/>
      <c r="L289" s="379"/>
      <c r="M289" s="379"/>
      <c r="N289" s="50"/>
      <c r="O289" s="50"/>
      <c r="P289" s="379"/>
      <c r="Q289" s="379"/>
      <c r="R289" s="379"/>
      <c r="T289" s="54"/>
      <c r="V289" s="449"/>
      <c r="W289" s="379"/>
      <c r="X289" s="379"/>
      <c r="Y289" s="449"/>
      <c r="Z289" s="221"/>
      <c r="AA289" s="379"/>
      <c r="AB289" s="379"/>
      <c r="AC289" s="50"/>
      <c r="AD289" s="50"/>
      <c r="AE289" s="379"/>
      <c r="AF289" s="379"/>
      <c r="AG289" s="156"/>
      <c r="AH289" s="60"/>
      <c r="AI289" s="379"/>
      <c r="AJ289" s="379"/>
      <c r="AK289" s="156"/>
      <c r="AL289" s="379"/>
      <c r="AM289" s="50"/>
      <c r="AN289" s="50"/>
    </row>
    <row r="290" spans="1:40" x14ac:dyDescent="0.25">
      <c r="A290" s="53"/>
      <c r="C290" s="54"/>
      <c r="F290" s="449"/>
      <c r="H290" s="449"/>
      <c r="I290" s="449"/>
      <c r="J290" s="221"/>
      <c r="K290" s="221"/>
      <c r="L290" s="379"/>
      <c r="M290" s="379"/>
      <c r="N290" s="50"/>
      <c r="O290" s="50"/>
      <c r="P290" s="379"/>
      <c r="Q290" s="379"/>
      <c r="R290" s="379"/>
      <c r="T290" s="54"/>
      <c r="V290" s="449"/>
      <c r="W290" s="379"/>
      <c r="X290" s="379"/>
      <c r="Y290" s="449"/>
      <c r="Z290" s="221"/>
      <c r="AA290" s="379"/>
      <c r="AB290" s="379"/>
      <c r="AC290" s="50"/>
      <c r="AD290" s="50"/>
      <c r="AE290" s="379"/>
      <c r="AF290" s="379"/>
      <c r="AG290" s="156"/>
      <c r="AH290" s="60"/>
      <c r="AI290" s="379"/>
      <c r="AJ290" s="379"/>
      <c r="AK290" s="156"/>
      <c r="AL290" s="379"/>
      <c r="AM290" s="50"/>
      <c r="AN290" s="50"/>
    </row>
    <row r="291" spans="1:40" x14ac:dyDescent="0.25">
      <c r="A291" s="53"/>
      <c r="C291" s="54"/>
      <c r="F291" s="379"/>
      <c r="H291" s="379"/>
      <c r="I291" s="379"/>
      <c r="J291" s="221"/>
      <c r="K291" s="221"/>
      <c r="L291" s="379"/>
      <c r="M291" s="379"/>
      <c r="N291" s="50"/>
      <c r="O291" s="50"/>
      <c r="P291" s="379"/>
      <c r="Q291" s="379"/>
      <c r="R291" s="379"/>
      <c r="T291" s="54"/>
      <c r="V291" s="449"/>
      <c r="W291" s="379"/>
      <c r="X291" s="379"/>
      <c r="Y291" s="449"/>
      <c r="Z291" s="221"/>
      <c r="AA291" s="379"/>
      <c r="AB291" s="379"/>
      <c r="AC291" s="50"/>
      <c r="AD291" s="50"/>
      <c r="AE291" s="379"/>
      <c r="AF291" s="379"/>
      <c r="AG291" s="156"/>
      <c r="AH291" s="60"/>
      <c r="AI291" s="379"/>
      <c r="AJ291" s="379"/>
      <c r="AK291" s="156"/>
      <c r="AL291" s="379"/>
      <c r="AM291" s="50"/>
      <c r="AN291" s="50"/>
    </row>
    <row r="292" spans="1:40" x14ac:dyDescent="0.25">
      <c r="A292" s="53"/>
      <c r="C292" s="54"/>
      <c r="F292" s="379"/>
      <c r="H292" s="379"/>
      <c r="I292" s="379"/>
      <c r="J292" s="221"/>
      <c r="K292" s="221"/>
      <c r="L292" s="379"/>
      <c r="M292" s="379"/>
      <c r="N292" s="50"/>
      <c r="O292" s="50"/>
      <c r="P292" s="379"/>
      <c r="Q292" s="379"/>
      <c r="R292" s="379"/>
      <c r="T292" s="54"/>
      <c r="V292" s="449"/>
      <c r="W292" s="379"/>
      <c r="X292" s="379"/>
      <c r="Y292" s="449"/>
      <c r="Z292" s="221"/>
      <c r="AA292" s="379"/>
      <c r="AB292" s="379"/>
      <c r="AC292" s="50"/>
      <c r="AD292" s="50"/>
      <c r="AE292" s="379"/>
      <c r="AF292" s="379"/>
      <c r="AG292" s="156"/>
      <c r="AH292" s="60"/>
      <c r="AI292" s="379"/>
      <c r="AJ292" s="379"/>
      <c r="AK292" s="156"/>
      <c r="AL292" s="379"/>
      <c r="AM292" s="50"/>
      <c r="AN292" s="50"/>
    </row>
    <row r="293" spans="1:40" x14ac:dyDescent="0.25">
      <c r="F293" s="63"/>
      <c r="H293" s="479"/>
      <c r="I293" s="479"/>
      <c r="J293" s="221"/>
      <c r="K293" s="221"/>
      <c r="L293" s="63"/>
      <c r="M293" s="63"/>
      <c r="N293" s="381"/>
      <c r="O293" s="381"/>
      <c r="P293" s="63"/>
      <c r="Q293" s="63"/>
      <c r="R293" s="63"/>
      <c r="V293" s="63"/>
      <c r="W293" s="379"/>
      <c r="X293" s="379"/>
      <c r="Y293" s="63"/>
      <c r="Z293" s="221"/>
      <c r="AA293" s="63"/>
      <c r="AB293" s="63"/>
      <c r="AC293" s="64"/>
      <c r="AD293" s="64"/>
      <c r="AE293" s="63"/>
      <c r="AF293" s="63"/>
      <c r="AG293" s="156"/>
      <c r="AH293" s="60"/>
      <c r="AI293" s="63"/>
      <c r="AJ293" s="63"/>
      <c r="AK293" s="154"/>
      <c r="AL293" s="63"/>
      <c r="AM293" s="50"/>
      <c r="AN293" s="50"/>
    </row>
    <row r="294" spans="1:40" x14ac:dyDescent="0.25">
      <c r="A294" s="53"/>
      <c r="C294" s="54"/>
      <c r="F294" s="379"/>
      <c r="H294" s="379"/>
      <c r="I294" s="379"/>
      <c r="J294" s="221"/>
      <c r="K294" s="221"/>
      <c r="L294" s="379"/>
      <c r="M294" s="379"/>
      <c r="N294" s="60"/>
      <c r="O294" s="60"/>
      <c r="P294" s="379"/>
      <c r="Q294" s="379"/>
      <c r="R294" s="379"/>
      <c r="T294" s="56"/>
      <c r="V294" s="379"/>
      <c r="W294" s="379"/>
      <c r="X294" s="379"/>
      <c r="Y294" s="379"/>
      <c r="Z294" s="221"/>
      <c r="AA294" s="379"/>
      <c r="AB294" s="379"/>
      <c r="AC294" s="60"/>
      <c r="AD294" s="60"/>
      <c r="AE294" s="379"/>
      <c r="AF294" s="379"/>
      <c r="AG294" s="156"/>
      <c r="AH294" s="60"/>
      <c r="AI294" s="379"/>
      <c r="AJ294" s="379"/>
      <c r="AK294" s="156"/>
      <c r="AL294" s="379"/>
      <c r="AM294" s="50"/>
      <c r="AN294" s="50"/>
    </row>
    <row r="295" spans="1:40" x14ac:dyDescent="0.25">
      <c r="F295" s="55"/>
      <c r="H295" s="55"/>
      <c r="I295" s="55"/>
      <c r="J295" s="77"/>
      <c r="L295" s="55"/>
      <c r="M295" s="55"/>
      <c r="N295" s="64"/>
      <c r="O295" s="64"/>
      <c r="P295" s="63"/>
      <c r="Q295" s="63"/>
      <c r="R295" s="63"/>
      <c r="V295" s="63"/>
      <c r="Y295" s="63"/>
      <c r="Z295" s="464"/>
      <c r="AA295" s="63"/>
      <c r="AB295" s="63"/>
      <c r="AC295" s="63"/>
      <c r="AD295" s="63"/>
      <c r="AE295" s="63"/>
      <c r="AF295" s="63"/>
      <c r="AI295" s="63"/>
      <c r="AJ295" s="63"/>
      <c r="AK295" s="154"/>
      <c r="AL295" s="63"/>
      <c r="AM295" s="64"/>
      <c r="AN295" s="64"/>
    </row>
    <row r="296" spans="1:40" x14ac:dyDescent="0.25">
      <c r="J296" s="77"/>
      <c r="AI296" s="53"/>
      <c r="AJ296" s="53"/>
    </row>
    <row r="297" spans="1:40" x14ac:dyDescent="0.25">
      <c r="J297" s="77"/>
    </row>
    <row r="298" spans="1:40" x14ac:dyDescent="0.25">
      <c r="J298" s="77"/>
    </row>
    <row r="299" spans="1:40" x14ac:dyDescent="0.25">
      <c r="J299" s="77"/>
    </row>
    <row r="300" spans="1:40" x14ac:dyDescent="0.25">
      <c r="J300" s="77"/>
      <c r="N300" s="379"/>
      <c r="O300" s="379"/>
      <c r="P300" s="379"/>
      <c r="Q300" s="379"/>
      <c r="R300" s="379"/>
      <c r="V300" s="379"/>
      <c r="Y300" s="379"/>
      <c r="Z300" s="59"/>
      <c r="AA300" s="379"/>
      <c r="AB300" s="379"/>
      <c r="AC300" s="50"/>
      <c r="AD300" s="50"/>
      <c r="AE300" s="379"/>
      <c r="AF300" s="379"/>
      <c r="AG300" s="156"/>
      <c r="AH300" s="60"/>
      <c r="AI300" s="379"/>
      <c r="AJ300" s="379"/>
      <c r="AK300" s="156"/>
      <c r="AL300" s="379"/>
      <c r="AM300" s="50"/>
      <c r="AN300" s="50"/>
    </row>
    <row r="301" spans="1:40" x14ac:dyDescent="0.25">
      <c r="A301" s="53"/>
      <c r="C301" s="54"/>
      <c r="D301" s="54"/>
      <c r="E301" s="54"/>
      <c r="J301" s="65"/>
      <c r="K301" s="65"/>
      <c r="T301" s="54"/>
      <c r="U301" s="54"/>
      <c r="Z301" s="65"/>
      <c r="AE301" s="379"/>
      <c r="AF301" s="379"/>
      <c r="AI301" s="379"/>
      <c r="AJ301" s="379"/>
      <c r="AK301" s="156"/>
      <c r="AL301" s="379"/>
      <c r="AM301" s="50"/>
      <c r="AN301" s="50"/>
    </row>
    <row r="302" spans="1:40" x14ac:dyDescent="0.25">
      <c r="D302" s="54"/>
      <c r="E302" s="54"/>
      <c r="F302" s="379"/>
      <c r="H302" s="379"/>
      <c r="I302" s="379"/>
      <c r="J302" s="221"/>
      <c r="K302" s="221"/>
      <c r="L302" s="379"/>
      <c r="M302" s="379"/>
      <c r="N302" s="50"/>
      <c r="O302" s="50"/>
      <c r="P302" s="379"/>
      <c r="Q302" s="379"/>
      <c r="R302" s="379"/>
      <c r="U302" s="54"/>
      <c r="V302" s="379"/>
      <c r="Y302" s="379"/>
      <c r="Z302" s="221"/>
      <c r="AA302" s="379"/>
      <c r="AB302" s="379"/>
      <c r="AC302" s="50"/>
      <c r="AD302" s="50"/>
      <c r="AE302" s="379"/>
      <c r="AF302" s="379"/>
      <c r="AG302" s="156"/>
      <c r="AH302" s="60"/>
      <c r="AI302" s="379"/>
      <c r="AJ302" s="379"/>
      <c r="AK302" s="156"/>
      <c r="AL302" s="379"/>
      <c r="AM302" s="50"/>
      <c r="AN302" s="50"/>
    </row>
    <row r="303" spans="1:40" x14ac:dyDescent="0.25">
      <c r="F303" s="379"/>
      <c r="H303" s="379"/>
      <c r="I303" s="379"/>
      <c r="J303" s="221"/>
      <c r="K303" s="464"/>
      <c r="L303" s="379"/>
      <c r="M303" s="379"/>
      <c r="N303" s="379"/>
      <c r="O303" s="379"/>
      <c r="P303" s="379"/>
      <c r="Q303" s="379"/>
      <c r="R303" s="379"/>
      <c r="V303" s="379"/>
      <c r="Y303" s="379"/>
      <c r="Z303" s="464"/>
      <c r="AA303" s="379"/>
      <c r="AB303" s="379"/>
      <c r="AC303" s="379"/>
      <c r="AD303" s="379"/>
      <c r="AE303" s="379"/>
      <c r="AF303" s="379"/>
      <c r="AG303" s="156"/>
      <c r="AH303" s="60"/>
      <c r="AI303" s="449"/>
      <c r="AJ303" s="449"/>
      <c r="AK303" s="156"/>
      <c r="AL303" s="379"/>
      <c r="AM303" s="50"/>
      <c r="AN303" s="50"/>
    </row>
    <row r="304" spans="1:40" x14ac:dyDescent="0.25">
      <c r="A304" s="53"/>
      <c r="C304" s="54"/>
      <c r="F304" s="449"/>
      <c r="H304" s="449"/>
      <c r="I304" s="449"/>
      <c r="J304" s="221"/>
      <c r="K304" s="463"/>
      <c r="L304" s="379"/>
      <c r="M304" s="379"/>
      <c r="N304" s="50"/>
      <c r="O304" s="50"/>
      <c r="P304" s="379"/>
      <c r="Q304" s="379"/>
      <c r="R304" s="379"/>
      <c r="T304" s="54"/>
      <c r="V304" s="449"/>
      <c r="Y304" s="449"/>
      <c r="Z304" s="463"/>
      <c r="AA304" s="379"/>
      <c r="AB304" s="379"/>
      <c r="AC304" s="50"/>
      <c r="AD304" s="50"/>
      <c r="AE304" s="379"/>
      <c r="AF304" s="379"/>
      <c r="AG304" s="156"/>
      <c r="AH304" s="60"/>
      <c r="AI304" s="379"/>
      <c r="AJ304" s="379"/>
      <c r="AK304" s="156"/>
      <c r="AL304" s="379"/>
      <c r="AM304" s="50"/>
      <c r="AN304" s="50"/>
    </row>
    <row r="305" spans="1:40" x14ac:dyDescent="0.25">
      <c r="F305" s="55"/>
      <c r="H305" s="55"/>
      <c r="I305" s="55"/>
      <c r="J305" s="77"/>
      <c r="L305" s="55"/>
      <c r="M305" s="55"/>
      <c r="N305" s="55"/>
      <c r="O305" s="55"/>
      <c r="P305" s="55"/>
      <c r="Q305" s="55"/>
      <c r="R305" s="55"/>
      <c r="V305" s="55"/>
      <c r="Y305" s="55"/>
      <c r="AA305" s="55"/>
      <c r="AB305" s="55"/>
      <c r="AC305" s="55"/>
      <c r="AD305" s="55"/>
      <c r="AE305" s="55"/>
      <c r="AF305" s="55"/>
      <c r="AG305" s="154"/>
      <c r="AH305" s="55"/>
      <c r="AI305" s="55"/>
      <c r="AJ305" s="55"/>
      <c r="AK305" s="154"/>
      <c r="AL305" s="55"/>
      <c r="AM305" s="55"/>
      <c r="AN305" s="55"/>
    </row>
    <row r="306" spans="1:40" x14ac:dyDescent="0.25">
      <c r="A306" s="53"/>
      <c r="C306" s="56"/>
      <c r="F306" s="449"/>
      <c r="H306" s="449"/>
      <c r="I306" s="449"/>
      <c r="J306" s="221"/>
      <c r="K306" s="461"/>
      <c r="L306" s="449"/>
      <c r="M306" s="449"/>
      <c r="N306" s="50"/>
      <c r="O306" s="50"/>
      <c r="P306" s="449"/>
      <c r="Q306" s="449"/>
      <c r="R306" s="449"/>
      <c r="T306" s="56"/>
      <c r="V306" s="379"/>
      <c r="Y306" s="379"/>
      <c r="Z306" s="59"/>
      <c r="AA306" s="379"/>
      <c r="AB306" s="379"/>
      <c r="AC306" s="50"/>
      <c r="AD306" s="50"/>
      <c r="AE306" s="53"/>
      <c r="AF306" s="53"/>
      <c r="AG306" s="156"/>
      <c r="AH306" s="60"/>
      <c r="AI306" s="379"/>
      <c r="AJ306" s="379"/>
      <c r="AK306" s="156"/>
      <c r="AL306" s="379"/>
      <c r="AM306" s="50"/>
      <c r="AN306" s="50"/>
    </row>
    <row r="307" spans="1:40" x14ac:dyDescent="0.25">
      <c r="F307" s="63"/>
      <c r="H307" s="63"/>
      <c r="I307" s="63"/>
      <c r="J307" s="221"/>
      <c r="K307" s="464"/>
      <c r="L307" s="63"/>
      <c r="M307" s="63"/>
      <c r="N307" s="63"/>
      <c r="O307" s="63"/>
      <c r="P307" s="63"/>
      <c r="Q307" s="63"/>
      <c r="R307" s="63"/>
      <c r="V307" s="55"/>
      <c r="Y307" s="55"/>
      <c r="AA307" s="55"/>
      <c r="AB307" s="55"/>
      <c r="AC307" s="55"/>
      <c r="AD307" s="55"/>
      <c r="AE307" s="55"/>
      <c r="AF307" s="55"/>
      <c r="AG307" s="154"/>
      <c r="AH307" s="55"/>
      <c r="AI307" s="55"/>
      <c r="AJ307" s="55"/>
      <c r="AK307" s="154"/>
      <c r="AL307" s="55"/>
      <c r="AM307" s="55"/>
      <c r="AN307" s="55"/>
    </row>
    <row r="308" spans="1:40" x14ac:dyDescent="0.25">
      <c r="F308" s="449"/>
      <c r="H308" s="449"/>
      <c r="I308" s="449"/>
      <c r="J308" s="221"/>
      <c r="K308" s="477"/>
      <c r="L308" s="379"/>
      <c r="M308" s="379"/>
      <c r="N308" s="50"/>
      <c r="O308" s="50"/>
      <c r="P308" s="379"/>
      <c r="Q308" s="379"/>
      <c r="R308" s="379"/>
    </row>
    <row r="309" spans="1:40" x14ac:dyDescent="0.25">
      <c r="A309" s="54"/>
      <c r="F309" s="449"/>
      <c r="H309" s="449"/>
      <c r="I309" s="449"/>
      <c r="J309" s="221"/>
      <c r="K309" s="461"/>
      <c r="L309" s="379"/>
      <c r="M309" s="379"/>
      <c r="N309" s="50"/>
      <c r="O309" s="50"/>
      <c r="P309" s="379"/>
      <c r="Q309" s="379"/>
      <c r="R309" s="379"/>
    </row>
    <row r="310" spans="1:40" x14ac:dyDescent="0.25">
      <c r="F310" s="449"/>
      <c r="H310" s="449"/>
      <c r="I310" s="449"/>
      <c r="J310" s="221"/>
      <c r="K310" s="461"/>
      <c r="L310" s="379"/>
      <c r="M310" s="379"/>
      <c r="N310" s="50"/>
      <c r="O310" s="50"/>
      <c r="P310" s="379"/>
      <c r="Q310" s="379"/>
      <c r="R310" s="379"/>
    </row>
    <row r="311" spans="1:40" x14ac:dyDescent="0.25">
      <c r="A311" s="54"/>
      <c r="J311" s="77"/>
    </row>
    <row r="312" spans="1:40" x14ac:dyDescent="0.25">
      <c r="J312" s="77"/>
    </row>
    <row r="313" spans="1:40" x14ac:dyDescent="0.25">
      <c r="J313" s="65"/>
      <c r="K313" s="53"/>
      <c r="Z313" s="53"/>
    </row>
    <row r="314" spans="1:40" x14ac:dyDescent="0.25">
      <c r="H314" s="54"/>
      <c r="I314" s="54"/>
      <c r="J314" s="77"/>
      <c r="Y314" s="54"/>
    </row>
    <row r="315" spans="1:40" x14ac:dyDescent="0.25">
      <c r="J315" s="65"/>
      <c r="K315" s="53"/>
      <c r="Z315" s="53"/>
    </row>
    <row r="316" spans="1:40" x14ac:dyDescent="0.25">
      <c r="J316" s="77"/>
      <c r="L316" s="54"/>
      <c r="M316" s="54"/>
      <c r="AA316" s="54"/>
      <c r="AB316" s="54"/>
    </row>
    <row r="317" spans="1:40" x14ac:dyDescent="0.25">
      <c r="A317" s="53"/>
      <c r="J317" s="77"/>
      <c r="R317" s="54"/>
      <c r="AK317" s="161"/>
      <c r="AL317" s="54"/>
    </row>
    <row r="318" spans="1:40" x14ac:dyDescent="0.25">
      <c r="A318" s="53"/>
      <c r="J318" s="77"/>
      <c r="R318" s="54"/>
      <c r="AK318" s="161"/>
      <c r="AL318" s="54"/>
    </row>
    <row r="319" spans="1:40" x14ac:dyDescent="0.25">
      <c r="A319" s="54"/>
      <c r="J319" s="77"/>
      <c r="R319" s="54"/>
      <c r="AK319" s="161"/>
      <c r="AL319" s="54"/>
    </row>
    <row r="320" spans="1:40" x14ac:dyDescent="0.25">
      <c r="J320" s="77"/>
      <c r="L320" s="54"/>
      <c r="M320" s="54"/>
      <c r="R320" s="53"/>
      <c r="AA320" s="54"/>
      <c r="AB320" s="54"/>
      <c r="AK320" s="156"/>
      <c r="AL320" s="53"/>
    </row>
    <row r="321" spans="1:40" x14ac:dyDescent="0.25">
      <c r="A321" s="55"/>
      <c r="B321" s="55"/>
      <c r="C321" s="55"/>
      <c r="D321" s="55"/>
      <c r="E321" s="55"/>
      <c r="F321" s="55"/>
      <c r="G321" s="55"/>
      <c r="H321" s="55"/>
      <c r="I321" s="55"/>
      <c r="J321" s="66"/>
      <c r="K321" s="55"/>
      <c r="L321" s="55"/>
      <c r="M321" s="55"/>
      <c r="N321" s="55"/>
      <c r="O321" s="55"/>
      <c r="P321" s="55"/>
      <c r="Q321" s="55"/>
      <c r="R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154"/>
      <c r="AH321" s="55"/>
      <c r="AI321" s="55"/>
      <c r="AJ321" s="55"/>
      <c r="AK321" s="154"/>
      <c r="AL321" s="55"/>
      <c r="AM321" s="55"/>
      <c r="AN321" s="55"/>
    </row>
    <row r="322" spans="1:40" x14ac:dyDescent="0.25">
      <c r="J322" s="77"/>
      <c r="L322" s="56"/>
      <c r="M322" s="56"/>
      <c r="N322" s="56"/>
      <c r="O322" s="56"/>
      <c r="R322" s="56"/>
      <c r="AA322" s="56"/>
      <c r="AB322" s="56"/>
      <c r="AC322" s="56"/>
      <c r="AD322" s="56"/>
      <c r="AE322" s="56"/>
      <c r="AF322" s="56"/>
      <c r="AG322" s="155"/>
      <c r="AH322" s="56"/>
      <c r="AK322" s="155"/>
      <c r="AL322" s="56"/>
      <c r="AM322" s="56"/>
      <c r="AN322" s="56"/>
    </row>
    <row r="323" spans="1:40" x14ac:dyDescent="0.25">
      <c r="J323" s="77"/>
      <c r="L323" s="56"/>
      <c r="M323" s="56"/>
      <c r="N323" s="56"/>
      <c r="O323" s="56"/>
      <c r="R323" s="56"/>
      <c r="Z323" s="56"/>
      <c r="AA323" s="56"/>
      <c r="AB323" s="56"/>
      <c r="AC323" s="56"/>
      <c r="AD323" s="56"/>
      <c r="AE323" s="56"/>
      <c r="AF323" s="56"/>
      <c r="AG323" s="155"/>
      <c r="AH323" s="56"/>
      <c r="AK323" s="155"/>
      <c r="AL323" s="56"/>
      <c r="AM323" s="56"/>
      <c r="AN323" s="56"/>
    </row>
    <row r="324" spans="1:40" x14ac:dyDescent="0.25">
      <c r="A324" s="56"/>
      <c r="C324" s="56"/>
      <c r="D324" s="56"/>
      <c r="E324" s="56"/>
      <c r="F324" s="56"/>
      <c r="J324" s="67"/>
      <c r="K324" s="56"/>
      <c r="L324" s="56"/>
      <c r="M324" s="56"/>
      <c r="N324" s="56"/>
      <c r="O324" s="56"/>
      <c r="P324" s="56"/>
      <c r="Q324" s="56"/>
      <c r="R324" s="56"/>
      <c r="T324" s="56"/>
      <c r="U324" s="56"/>
      <c r="V324" s="56"/>
      <c r="Z324" s="56"/>
      <c r="AA324" s="56"/>
      <c r="AB324" s="56"/>
      <c r="AC324" s="56"/>
      <c r="AD324" s="56"/>
      <c r="AE324" s="56"/>
      <c r="AF324" s="56"/>
      <c r="AG324" s="155"/>
      <c r="AH324" s="56"/>
      <c r="AI324" s="56"/>
      <c r="AJ324" s="56"/>
      <c r="AK324" s="155"/>
      <c r="AL324" s="56"/>
      <c r="AM324" s="56"/>
      <c r="AN324" s="56"/>
    </row>
    <row r="325" spans="1:40" x14ac:dyDescent="0.25">
      <c r="A325" s="56"/>
      <c r="C325" s="56"/>
      <c r="D325" s="56"/>
      <c r="E325" s="56"/>
      <c r="F325" s="56"/>
      <c r="H325" s="56"/>
      <c r="I325" s="56"/>
      <c r="J325" s="67"/>
      <c r="K325" s="56"/>
      <c r="L325" s="56"/>
      <c r="M325" s="56"/>
      <c r="N325" s="56"/>
      <c r="O325" s="56"/>
      <c r="P325" s="56"/>
      <c r="Q325" s="56"/>
      <c r="R325" s="56"/>
      <c r="T325" s="56"/>
      <c r="U325" s="56"/>
      <c r="V325" s="56"/>
      <c r="Y325" s="56"/>
      <c r="Z325" s="56"/>
      <c r="AA325" s="56"/>
      <c r="AB325" s="56"/>
      <c r="AC325" s="56"/>
      <c r="AD325" s="56"/>
      <c r="AE325" s="56"/>
      <c r="AF325" s="56"/>
      <c r="AG325" s="155"/>
      <c r="AH325" s="56"/>
      <c r="AI325" s="56"/>
      <c r="AJ325" s="56"/>
      <c r="AK325" s="155"/>
      <c r="AL325" s="56"/>
      <c r="AM325" s="56"/>
      <c r="AN325" s="56"/>
    </row>
    <row r="326" spans="1:40" x14ac:dyDescent="0.25">
      <c r="C326" s="56"/>
      <c r="D326" s="56"/>
      <c r="E326" s="56"/>
      <c r="F326" s="56"/>
      <c r="H326" s="56"/>
      <c r="I326" s="56"/>
      <c r="J326" s="67"/>
      <c r="K326" s="56"/>
      <c r="L326" s="56"/>
      <c r="M326" s="56"/>
      <c r="N326" s="56"/>
      <c r="O326" s="56"/>
      <c r="P326" s="56"/>
      <c r="Q326" s="56"/>
      <c r="R326" s="56"/>
      <c r="T326" s="56"/>
      <c r="U326" s="56"/>
      <c r="V326" s="56"/>
      <c r="Y326" s="56"/>
      <c r="Z326" s="56"/>
      <c r="AA326" s="56"/>
      <c r="AB326" s="56"/>
      <c r="AC326" s="56"/>
      <c r="AD326" s="56"/>
      <c r="AE326" s="56"/>
      <c r="AF326" s="56"/>
      <c r="AG326" s="155"/>
      <c r="AH326" s="56"/>
      <c r="AI326" s="56"/>
      <c r="AJ326" s="56"/>
      <c r="AK326" s="155"/>
      <c r="AL326" s="56"/>
      <c r="AM326" s="56"/>
      <c r="AN326" s="56"/>
    </row>
    <row r="327" spans="1:40" x14ac:dyDescent="0.25">
      <c r="A327" s="55"/>
      <c r="B327" s="55"/>
      <c r="C327" s="55"/>
      <c r="D327" s="55"/>
      <c r="E327" s="55"/>
      <c r="F327" s="55"/>
      <c r="G327" s="55"/>
      <c r="H327" s="55"/>
      <c r="I327" s="55"/>
      <c r="J327" s="66"/>
      <c r="K327" s="55"/>
      <c r="L327" s="55"/>
      <c r="M327" s="55"/>
      <c r="N327" s="55"/>
      <c r="O327" s="55"/>
      <c r="P327" s="55"/>
      <c r="Q327" s="55"/>
      <c r="R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154"/>
      <c r="AH327" s="55"/>
      <c r="AI327" s="55"/>
      <c r="AJ327" s="55"/>
      <c r="AK327" s="154"/>
      <c r="AL327" s="55"/>
      <c r="AM327" s="55"/>
      <c r="AN327" s="55"/>
    </row>
    <row r="328" spans="1:40" x14ac:dyDescent="0.25">
      <c r="H328" s="56"/>
      <c r="I328" s="56"/>
      <c r="J328" s="67"/>
      <c r="K328" s="56"/>
      <c r="L328" s="56"/>
      <c r="M328" s="56"/>
      <c r="N328" s="56"/>
      <c r="O328" s="56"/>
      <c r="P328" s="56"/>
      <c r="Q328" s="56"/>
      <c r="R328" s="56"/>
      <c r="Y328" s="56"/>
      <c r="Z328" s="56"/>
      <c r="AA328" s="56"/>
      <c r="AB328" s="56"/>
      <c r="AC328" s="56"/>
      <c r="AD328" s="56"/>
      <c r="AE328" s="56"/>
      <c r="AF328" s="56"/>
      <c r="AG328" s="155"/>
      <c r="AH328" s="56"/>
      <c r="AI328" s="56"/>
      <c r="AJ328" s="56"/>
      <c r="AK328" s="155"/>
      <c r="AL328" s="56"/>
      <c r="AM328" s="56"/>
      <c r="AN328" s="56"/>
    </row>
    <row r="329" spans="1:40" x14ac:dyDescent="0.25">
      <c r="A329" s="53"/>
      <c r="C329" s="54"/>
      <c r="D329" s="54"/>
      <c r="E329" s="54"/>
      <c r="J329" s="77"/>
      <c r="T329" s="54"/>
      <c r="U329" s="54"/>
    </row>
    <row r="330" spans="1:40" x14ac:dyDescent="0.25">
      <c r="J330" s="77"/>
    </row>
    <row r="331" spans="1:40" x14ac:dyDescent="0.25">
      <c r="A331" s="53"/>
      <c r="C331" s="54"/>
      <c r="J331" s="77"/>
      <c r="T331" s="54"/>
    </row>
    <row r="332" spans="1:40" x14ac:dyDescent="0.25">
      <c r="A332" s="53"/>
      <c r="C332" s="54"/>
      <c r="F332" s="449"/>
      <c r="H332" s="449"/>
      <c r="I332" s="449"/>
      <c r="J332" s="221"/>
      <c r="K332" s="464"/>
      <c r="L332" s="379"/>
      <c r="M332" s="379"/>
      <c r="N332" s="50"/>
      <c r="O332" s="50"/>
      <c r="P332" s="379"/>
      <c r="Q332" s="379"/>
      <c r="R332" s="379"/>
      <c r="T332" s="54"/>
      <c r="V332" s="449"/>
      <c r="Y332" s="449"/>
      <c r="Z332" s="464"/>
      <c r="AA332" s="379"/>
      <c r="AB332" s="379"/>
      <c r="AC332" s="50"/>
      <c r="AD332" s="50"/>
      <c r="AE332" s="379"/>
      <c r="AF332" s="379"/>
      <c r="AG332" s="156"/>
      <c r="AH332" s="60"/>
      <c r="AI332" s="379"/>
      <c r="AJ332" s="379"/>
      <c r="AK332" s="156"/>
      <c r="AL332" s="379"/>
      <c r="AM332" s="50"/>
      <c r="AN332" s="50"/>
    </row>
    <row r="333" spans="1:40" x14ac:dyDescent="0.25">
      <c r="A333" s="53"/>
      <c r="C333" s="54"/>
      <c r="J333" s="77"/>
      <c r="T333" s="54"/>
    </row>
    <row r="334" spans="1:40" x14ac:dyDescent="0.25">
      <c r="A334" s="53"/>
      <c r="C334" s="54"/>
      <c r="F334" s="449"/>
      <c r="H334" s="449"/>
      <c r="I334" s="449"/>
      <c r="J334" s="221"/>
      <c r="K334" s="221"/>
      <c r="L334" s="379"/>
      <c r="M334" s="379"/>
      <c r="N334" s="50"/>
      <c r="O334" s="50"/>
      <c r="P334" s="379"/>
      <c r="Q334" s="379"/>
      <c r="R334" s="379"/>
      <c r="T334" s="54"/>
      <c r="V334" s="379"/>
      <c r="Y334" s="379"/>
      <c r="Z334" s="221"/>
      <c r="AA334" s="379"/>
      <c r="AB334" s="379"/>
      <c r="AC334" s="50"/>
      <c r="AD334" s="50"/>
      <c r="AE334" s="379"/>
      <c r="AF334" s="379"/>
      <c r="AG334" s="156"/>
      <c r="AH334" s="60"/>
      <c r="AI334" s="379"/>
      <c r="AJ334" s="379"/>
      <c r="AK334" s="156"/>
      <c r="AL334" s="379"/>
      <c r="AM334" s="50"/>
      <c r="AN334" s="50"/>
    </row>
    <row r="335" spans="1:40" x14ac:dyDescent="0.25">
      <c r="A335" s="53"/>
      <c r="C335" s="54"/>
      <c r="F335" s="449"/>
      <c r="H335" s="449"/>
      <c r="I335" s="449"/>
      <c r="J335" s="221"/>
      <c r="K335" s="221"/>
      <c r="L335" s="379"/>
      <c r="M335" s="379"/>
      <c r="N335" s="50"/>
      <c r="O335" s="50"/>
      <c r="P335" s="379"/>
      <c r="Q335" s="379"/>
      <c r="R335" s="379"/>
      <c r="T335" s="54"/>
      <c r="V335" s="379"/>
      <c r="Y335" s="379"/>
      <c r="Z335" s="221"/>
      <c r="AA335" s="379"/>
      <c r="AB335" s="379"/>
      <c r="AC335" s="50"/>
      <c r="AD335" s="50"/>
      <c r="AE335" s="379"/>
      <c r="AF335" s="379"/>
      <c r="AG335" s="156"/>
      <c r="AH335" s="60"/>
      <c r="AI335" s="379"/>
      <c r="AJ335" s="379"/>
      <c r="AK335" s="156"/>
      <c r="AL335" s="379"/>
      <c r="AM335" s="50"/>
      <c r="AN335" s="50"/>
    </row>
    <row r="336" spans="1:40" x14ac:dyDescent="0.25">
      <c r="A336" s="53"/>
      <c r="C336" s="54"/>
      <c r="F336" s="449"/>
      <c r="H336" s="449"/>
      <c r="I336" s="449"/>
      <c r="J336" s="221"/>
      <c r="K336" s="221"/>
      <c r="L336" s="379"/>
      <c r="M336" s="379"/>
      <c r="N336" s="50"/>
      <c r="O336" s="50"/>
      <c r="P336" s="379"/>
      <c r="Q336" s="379"/>
      <c r="R336" s="379"/>
      <c r="T336" s="54"/>
      <c r="V336" s="379"/>
      <c r="Y336" s="379"/>
      <c r="Z336" s="221"/>
      <c r="AA336" s="379"/>
      <c r="AB336" s="379"/>
      <c r="AC336" s="50"/>
      <c r="AD336" s="50"/>
      <c r="AE336" s="379"/>
      <c r="AF336" s="379"/>
      <c r="AG336" s="156"/>
      <c r="AH336" s="60"/>
      <c r="AI336" s="379"/>
      <c r="AJ336" s="379"/>
      <c r="AK336" s="156"/>
      <c r="AL336" s="379"/>
      <c r="AM336" s="50"/>
      <c r="AN336" s="50"/>
    </row>
    <row r="337" spans="1:40" x14ac:dyDescent="0.25">
      <c r="A337" s="53"/>
      <c r="C337" s="54"/>
      <c r="F337" s="449"/>
      <c r="H337" s="449"/>
      <c r="I337" s="449"/>
      <c r="J337" s="221"/>
      <c r="K337" s="221"/>
      <c r="L337" s="379"/>
      <c r="M337" s="379"/>
      <c r="N337" s="50"/>
      <c r="O337" s="50"/>
      <c r="P337" s="379"/>
      <c r="Q337" s="379"/>
      <c r="R337" s="379"/>
      <c r="T337" s="54"/>
      <c r="V337" s="379"/>
      <c r="Y337" s="379"/>
      <c r="Z337" s="221"/>
      <c r="AA337" s="379"/>
      <c r="AB337" s="379"/>
      <c r="AC337" s="50"/>
      <c r="AD337" s="50"/>
      <c r="AE337" s="379"/>
      <c r="AF337" s="379"/>
      <c r="AG337" s="156"/>
      <c r="AH337" s="60"/>
      <c r="AI337" s="379"/>
      <c r="AJ337" s="379"/>
      <c r="AK337" s="156"/>
      <c r="AL337" s="379"/>
      <c r="AM337" s="50"/>
      <c r="AN337" s="50"/>
    </row>
    <row r="338" spans="1:40" x14ac:dyDescent="0.25">
      <c r="A338" s="53"/>
      <c r="C338" s="54"/>
      <c r="J338" s="65"/>
      <c r="K338" s="65"/>
      <c r="T338" s="54"/>
      <c r="Z338" s="65"/>
    </row>
    <row r="339" spans="1:40" x14ac:dyDescent="0.25">
      <c r="A339" s="53"/>
      <c r="C339" s="54"/>
      <c r="F339" s="449"/>
      <c r="H339" s="449"/>
      <c r="I339" s="449"/>
      <c r="J339" s="221"/>
      <c r="K339" s="221"/>
      <c r="L339" s="379"/>
      <c r="M339" s="379"/>
      <c r="N339" s="50"/>
      <c r="O339" s="50"/>
      <c r="P339" s="379"/>
      <c r="Q339" s="379"/>
      <c r="R339" s="379"/>
      <c r="T339" s="54"/>
      <c r="V339" s="379"/>
      <c r="Y339" s="379"/>
      <c r="Z339" s="221"/>
      <c r="AA339" s="379"/>
      <c r="AB339" s="379"/>
      <c r="AC339" s="50"/>
      <c r="AD339" s="50"/>
      <c r="AE339" s="379"/>
      <c r="AF339" s="379"/>
      <c r="AG339" s="156"/>
      <c r="AH339" s="60"/>
      <c r="AI339" s="379"/>
      <c r="AJ339" s="379"/>
      <c r="AK339" s="156"/>
      <c r="AL339" s="379"/>
      <c r="AM339" s="50"/>
      <c r="AN339" s="50"/>
    </row>
    <row r="340" spans="1:40" x14ac:dyDescent="0.25">
      <c r="A340" s="53"/>
      <c r="C340" s="54"/>
      <c r="F340" s="449"/>
      <c r="H340" s="449"/>
      <c r="I340" s="449"/>
      <c r="J340" s="221"/>
      <c r="K340" s="221"/>
      <c r="L340" s="379"/>
      <c r="M340" s="379"/>
      <c r="N340" s="50"/>
      <c r="O340" s="50"/>
      <c r="P340" s="379"/>
      <c r="Q340" s="379"/>
      <c r="R340" s="379"/>
      <c r="T340" s="54"/>
      <c r="V340" s="379"/>
      <c r="Y340" s="379"/>
      <c r="Z340" s="221"/>
      <c r="AA340" s="379"/>
      <c r="AB340" s="379"/>
      <c r="AC340" s="50"/>
      <c r="AD340" s="50"/>
      <c r="AE340" s="379"/>
      <c r="AF340" s="379"/>
      <c r="AG340" s="156"/>
      <c r="AH340" s="60"/>
      <c r="AI340" s="379"/>
      <c r="AJ340" s="379"/>
      <c r="AK340" s="156"/>
      <c r="AL340" s="379"/>
      <c r="AM340" s="50"/>
      <c r="AN340" s="50"/>
    </row>
    <row r="341" spans="1:40" x14ac:dyDescent="0.25">
      <c r="A341" s="53"/>
      <c r="C341" s="54"/>
      <c r="F341" s="449"/>
      <c r="H341" s="449"/>
      <c r="I341" s="449"/>
      <c r="J341" s="221"/>
      <c r="K341" s="221"/>
      <c r="L341" s="379"/>
      <c r="M341" s="379"/>
      <c r="N341" s="50"/>
      <c r="O341" s="50"/>
      <c r="P341" s="379"/>
      <c r="Q341" s="379"/>
      <c r="R341" s="379"/>
      <c r="T341" s="54"/>
      <c r="V341" s="379"/>
      <c r="Y341" s="379"/>
      <c r="Z341" s="221"/>
      <c r="AA341" s="379"/>
      <c r="AB341" s="379"/>
      <c r="AC341" s="50"/>
      <c r="AD341" s="50"/>
      <c r="AE341" s="379"/>
      <c r="AF341" s="379"/>
      <c r="AG341" s="156"/>
      <c r="AH341" s="60"/>
      <c r="AI341" s="379"/>
      <c r="AJ341" s="379"/>
      <c r="AK341" s="156"/>
      <c r="AL341" s="379"/>
      <c r="AM341" s="50"/>
      <c r="AN341" s="50"/>
    </row>
    <row r="342" spans="1:40" x14ac:dyDescent="0.25">
      <c r="A342" s="53"/>
      <c r="C342" s="54"/>
      <c r="J342" s="65"/>
      <c r="K342" s="65"/>
      <c r="T342" s="54"/>
      <c r="Z342" s="65"/>
    </row>
    <row r="343" spans="1:40" x14ac:dyDescent="0.25">
      <c r="A343" s="53"/>
      <c r="C343" s="54"/>
      <c r="F343" s="449"/>
      <c r="H343" s="449"/>
      <c r="I343" s="449"/>
      <c r="J343" s="221"/>
      <c r="K343" s="221"/>
      <c r="L343" s="379"/>
      <c r="M343" s="379"/>
      <c r="N343" s="50"/>
      <c r="O343" s="50"/>
      <c r="P343" s="379"/>
      <c r="Q343" s="379"/>
      <c r="R343" s="379"/>
      <c r="T343" s="54"/>
      <c r="V343" s="379"/>
      <c r="Y343" s="379"/>
      <c r="Z343" s="221"/>
      <c r="AA343" s="379"/>
      <c r="AB343" s="379"/>
      <c r="AC343" s="50"/>
      <c r="AD343" s="50"/>
      <c r="AE343" s="379"/>
      <c r="AF343" s="379"/>
      <c r="AG343" s="156"/>
      <c r="AH343" s="60"/>
      <c r="AI343" s="379"/>
      <c r="AJ343" s="379"/>
      <c r="AK343" s="156"/>
      <c r="AL343" s="379"/>
      <c r="AM343" s="50"/>
      <c r="AN343" s="50"/>
    </row>
    <row r="344" spans="1:40" x14ac:dyDescent="0.25">
      <c r="A344" s="53"/>
      <c r="C344" s="54"/>
      <c r="F344" s="449"/>
      <c r="H344" s="449"/>
      <c r="I344" s="449"/>
      <c r="J344" s="221"/>
      <c r="K344" s="221"/>
      <c r="L344" s="379"/>
      <c r="M344" s="379"/>
      <c r="N344" s="50"/>
      <c r="O344" s="50"/>
      <c r="P344" s="379"/>
      <c r="Q344" s="379"/>
      <c r="R344" s="379"/>
      <c r="T344" s="54"/>
      <c r="V344" s="379"/>
      <c r="Y344" s="379"/>
      <c r="Z344" s="221"/>
      <c r="AA344" s="379"/>
      <c r="AB344" s="379"/>
      <c r="AC344" s="50"/>
      <c r="AD344" s="50"/>
      <c r="AE344" s="379"/>
      <c r="AF344" s="379"/>
      <c r="AG344" s="156"/>
      <c r="AH344" s="60"/>
      <c r="AI344" s="379"/>
      <c r="AJ344" s="379"/>
      <c r="AK344" s="156"/>
      <c r="AL344" s="379"/>
      <c r="AM344" s="50"/>
      <c r="AN344" s="50"/>
    </row>
    <row r="345" spans="1:40" x14ac:dyDescent="0.25">
      <c r="A345" s="53"/>
      <c r="C345" s="54"/>
      <c r="J345" s="65"/>
      <c r="K345" s="65"/>
      <c r="T345" s="54"/>
      <c r="Z345" s="65"/>
    </row>
    <row r="346" spans="1:40" x14ac:dyDescent="0.25">
      <c r="A346" s="53"/>
      <c r="C346" s="54"/>
      <c r="F346" s="449"/>
      <c r="H346" s="449"/>
      <c r="I346" s="449"/>
      <c r="J346" s="221"/>
      <c r="K346" s="221"/>
      <c r="L346" s="379"/>
      <c r="M346" s="379"/>
      <c r="N346" s="50"/>
      <c r="O346" s="50"/>
      <c r="P346" s="379"/>
      <c r="Q346" s="379"/>
      <c r="R346" s="379"/>
      <c r="T346" s="54"/>
      <c r="V346" s="379"/>
      <c r="Y346" s="379"/>
      <c r="Z346" s="221"/>
      <c r="AA346" s="379"/>
      <c r="AB346" s="379"/>
      <c r="AC346" s="50"/>
      <c r="AD346" s="50"/>
      <c r="AE346" s="379"/>
      <c r="AF346" s="379"/>
      <c r="AG346" s="156"/>
      <c r="AH346" s="60"/>
      <c r="AI346" s="379"/>
      <c r="AJ346" s="379"/>
      <c r="AK346" s="156"/>
      <c r="AL346" s="379"/>
      <c r="AM346" s="50"/>
      <c r="AN346" s="50"/>
    </row>
    <row r="347" spans="1:40" x14ac:dyDescent="0.25">
      <c r="A347" s="53"/>
      <c r="C347" s="54"/>
      <c r="F347" s="449"/>
      <c r="H347" s="449"/>
      <c r="I347" s="449"/>
      <c r="J347" s="221"/>
      <c r="K347" s="221"/>
      <c r="L347" s="379"/>
      <c r="M347" s="379"/>
      <c r="N347" s="50"/>
      <c r="O347" s="50"/>
      <c r="P347" s="379"/>
      <c r="Q347" s="379"/>
      <c r="R347" s="379"/>
      <c r="T347" s="54"/>
      <c r="V347" s="379"/>
      <c r="Y347" s="379"/>
      <c r="Z347" s="221"/>
      <c r="AA347" s="379"/>
      <c r="AB347" s="379"/>
      <c r="AC347" s="50"/>
      <c r="AD347" s="50"/>
      <c r="AE347" s="379"/>
      <c r="AF347" s="379"/>
      <c r="AG347" s="156"/>
      <c r="AH347" s="60"/>
      <c r="AI347" s="379"/>
      <c r="AJ347" s="379"/>
      <c r="AK347" s="156"/>
      <c r="AL347" s="379"/>
      <c r="AM347" s="50"/>
      <c r="AN347" s="50"/>
    </row>
    <row r="348" spans="1:40" x14ac:dyDescent="0.25">
      <c r="A348" s="53"/>
      <c r="C348" s="54"/>
      <c r="F348" s="449"/>
      <c r="H348" s="449"/>
      <c r="I348" s="449"/>
      <c r="J348" s="221"/>
      <c r="K348" s="221"/>
      <c r="L348" s="379"/>
      <c r="M348" s="379"/>
      <c r="N348" s="50"/>
      <c r="O348" s="50"/>
      <c r="P348" s="379"/>
      <c r="Q348" s="379"/>
      <c r="R348" s="379"/>
      <c r="T348" s="54"/>
      <c r="V348" s="379"/>
      <c r="Y348" s="379"/>
      <c r="Z348" s="221"/>
      <c r="AA348" s="379"/>
      <c r="AB348" s="379"/>
      <c r="AC348" s="50"/>
      <c r="AD348" s="50"/>
      <c r="AE348" s="379"/>
      <c r="AF348" s="379"/>
      <c r="AG348" s="156"/>
      <c r="AH348" s="60"/>
      <c r="AI348" s="379"/>
      <c r="AJ348" s="379"/>
      <c r="AK348" s="156"/>
      <c r="AL348" s="379"/>
      <c r="AM348" s="50"/>
      <c r="AN348" s="50"/>
    </row>
    <row r="349" spans="1:40" x14ac:dyDescent="0.25">
      <c r="F349" s="381"/>
      <c r="H349" s="381"/>
      <c r="I349" s="381"/>
      <c r="J349" s="221"/>
      <c r="K349" s="221"/>
      <c r="L349" s="381"/>
      <c r="M349" s="381"/>
      <c r="N349" s="381"/>
      <c r="O349" s="381"/>
      <c r="P349" s="381"/>
      <c r="Q349" s="381"/>
      <c r="R349" s="381"/>
      <c r="V349" s="381"/>
      <c r="Y349" s="381"/>
      <c r="Z349" s="221"/>
      <c r="AA349" s="381"/>
      <c r="AB349" s="381"/>
      <c r="AC349" s="381"/>
      <c r="AD349" s="381"/>
      <c r="AE349" s="381"/>
      <c r="AF349" s="381"/>
      <c r="AI349" s="381"/>
      <c r="AJ349" s="381"/>
      <c r="AK349" s="162"/>
      <c r="AL349" s="381"/>
    </row>
    <row r="350" spans="1:40" x14ac:dyDescent="0.25">
      <c r="A350" s="53"/>
      <c r="C350" s="56"/>
      <c r="F350" s="379"/>
      <c r="H350" s="379"/>
      <c r="I350" s="379"/>
      <c r="J350" s="65"/>
      <c r="K350" s="65"/>
      <c r="L350" s="379"/>
      <c r="M350" s="379"/>
      <c r="N350" s="60"/>
      <c r="O350" s="60"/>
      <c r="P350" s="379"/>
      <c r="Q350" s="379"/>
      <c r="R350" s="379"/>
      <c r="T350" s="56"/>
      <c r="V350" s="379"/>
      <c r="Y350" s="379"/>
      <c r="Z350" s="65"/>
      <c r="AA350" s="379"/>
      <c r="AB350" s="379"/>
      <c r="AC350" s="379"/>
      <c r="AD350" s="379"/>
      <c r="AE350" s="379"/>
      <c r="AF350" s="379"/>
      <c r="AG350" s="156"/>
      <c r="AH350" s="60"/>
      <c r="AI350" s="379"/>
      <c r="AJ350" s="379"/>
      <c r="AK350" s="156"/>
      <c r="AL350" s="379"/>
      <c r="AM350" s="50"/>
      <c r="AN350" s="50"/>
    </row>
    <row r="351" spans="1:40" x14ac:dyDescent="0.25">
      <c r="F351" s="381"/>
      <c r="H351" s="381"/>
      <c r="I351" s="381"/>
      <c r="J351" s="221"/>
      <c r="K351" s="221"/>
      <c r="L351" s="381"/>
      <c r="M351" s="381"/>
      <c r="N351" s="381"/>
      <c r="O351" s="381"/>
      <c r="P351" s="381"/>
      <c r="Q351" s="381"/>
      <c r="R351" s="381"/>
      <c r="V351" s="381"/>
      <c r="Y351" s="381"/>
      <c r="Z351" s="221"/>
      <c r="AA351" s="381"/>
      <c r="AB351" s="381"/>
      <c r="AC351" s="381"/>
      <c r="AD351" s="381"/>
      <c r="AE351" s="381"/>
      <c r="AF351" s="381"/>
      <c r="AI351" s="381"/>
      <c r="AJ351" s="381"/>
      <c r="AK351" s="162"/>
      <c r="AL351" s="381"/>
    </row>
    <row r="352" spans="1:40" x14ac:dyDescent="0.25">
      <c r="A352" s="53"/>
      <c r="C352" s="54"/>
      <c r="J352" s="65"/>
      <c r="K352" s="65"/>
      <c r="T352" s="54"/>
      <c r="Z352" s="65"/>
    </row>
    <row r="353" spans="1:40" x14ac:dyDescent="0.25">
      <c r="A353" s="53"/>
      <c r="C353" s="54"/>
      <c r="J353" s="65"/>
      <c r="K353" s="65"/>
      <c r="T353" s="54"/>
      <c r="Z353" s="65"/>
    </row>
    <row r="354" spans="1:40" x14ac:dyDescent="0.25">
      <c r="A354" s="53"/>
      <c r="C354" s="54"/>
      <c r="F354" s="449"/>
      <c r="H354" s="449"/>
      <c r="I354" s="449"/>
      <c r="J354" s="221"/>
      <c r="K354" s="221"/>
      <c r="L354" s="379"/>
      <c r="M354" s="379"/>
      <c r="N354" s="50"/>
      <c r="O354" s="50"/>
      <c r="P354" s="379"/>
      <c r="Q354" s="379"/>
      <c r="R354" s="379"/>
      <c r="T354" s="54"/>
      <c r="V354" s="379"/>
      <c r="Y354" s="379"/>
      <c r="Z354" s="221"/>
      <c r="AA354" s="379"/>
      <c r="AB354" s="379"/>
      <c r="AC354" s="50"/>
      <c r="AD354" s="50"/>
      <c r="AE354" s="379"/>
      <c r="AF354" s="379"/>
      <c r="AG354" s="156"/>
      <c r="AH354" s="60"/>
      <c r="AI354" s="379"/>
      <c r="AJ354" s="379"/>
      <c r="AK354" s="156"/>
      <c r="AL354" s="379"/>
      <c r="AM354" s="50"/>
      <c r="AN354" s="50"/>
    </row>
    <row r="355" spans="1:40" x14ac:dyDescent="0.25">
      <c r="A355" s="53"/>
      <c r="C355" s="54"/>
      <c r="F355" s="449"/>
      <c r="H355" s="449"/>
      <c r="I355" s="449"/>
      <c r="J355" s="221"/>
      <c r="K355" s="221"/>
      <c r="L355" s="379"/>
      <c r="M355" s="379"/>
      <c r="N355" s="50"/>
      <c r="O355" s="50"/>
      <c r="P355" s="379"/>
      <c r="Q355" s="379"/>
      <c r="R355" s="379"/>
      <c r="T355" s="54"/>
      <c r="V355" s="379"/>
      <c r="Y355" s="379"/>
      <c r="Z355" s="221"/>
      <c r="AA355" s="379"/>
      <c r="AB355" s="379"/>
      <c r="AC355" s="50"/>
      <c r="AD355" s="50"/>
      <c r="AE355" s="379"/>
      <c r="AF355" s="379"/>
      <c r="AG355" s="156"/>
      <c r="AH355" s="60"/>
      <c r="AI355" s="379"/>
      <c r="AJ355" s="379"/>
      <c r="AK355" s="156"/>
      <c r="AL355" s="379"/>
      <c r="AM355" s="50"/>
      <c r="AN355" s="50"/>
    </row>
    <row r="356" spans="1:40" x14ac:dyDescent="0.25">
      <c r="A356" s="53"/>
      <c r="C356" s="54"/>
      <c r="F356" s="449"/>
      <c r="H356" s="449"/>
      <c r="I356" s="449"/>
      <c r="J356" s="221"/>
      <c r="K356" s="221"/>
      <c r="L356" s="379"/>
      <c r="M356" s="379"/>
      <c r="N356" s="50"/>
      <c r="O356" s="50"/>
      <c r="P356" s="379"/>
      <c r="Q356" s="379"/>
      <c r="R356" s="379"/>
      <c r="T356" s="54"/>
      <c r="V356" s="379"/>
      <c r="Y356" s="379"/>
      <c r="Z356" s="221"/>
      <c r="AA356" s="379"/>
      <c r="AB356" s="379"/>
      <c r="AC356" s="50"/>
      <c r="AD356" s="50"/>
      <c r="AE356" s="379"/>
      <c r="AF356" s="379"/>
      <c r="AG356" s="156"/>
      <c r="AH356" s="60"/>
      <c r="AI356" s="379"/>
      <c r="AJ356" s="379"/>
      <c r="AK356" s="156"/>
      <c r="AL356" s="379"/>
      <c r="AM356" s="50"/>
      <c r="AN356" s="50"/>
    </row>
    <row r="357" spans="1:40" x14ac:dyDescent="0.25">
      <c r="A357" s="53"/>
      <c r="C357" s="54"/>
      <c r="F357" s="449"/>
      <c r="H357" s="449"/>
      <c r="I357" s="449"/>
      <c r="J357" s="221"/>
      <c r="K357" s="221"/>
      <c r="L357" s="379"/>
      <c r="M357" s="379"/>
      <c r="N357" s="50"/>
      <c r="O357" s="50"/>
      <c r="P357" s="379"/>
      <c r="Q357" s="379"/>
      <c r="R357" s="379"/>
      <c r="T357" s="54"/>
      <c r="V357" s="379"/>
      <c r="Y357" s="379"/>
      <c r="Z357" s="221"/>
      <c r="AA357" s="379"/>
      <c r="AB357" s="379"/>
      <c r="AC357" s="50"/>
      <c r="AD357" s="50"/>
      <c r="AE357" s="379"/>
      <c r="AF357" s="379"/>
      <c r="AG357" s="156"/>
      <c r="AH357" s="60"/>
      <c r="AI357" s="379"/>
      <c r="AJ357" s="379"/>
      <c r="AK357" s="156"/>
      <c r="AL357" s="379"/>
      <c r="AM357" s="50"/>
      <c r="AN357" s="50"/>
    </row>
    <row r="358" spans="1:40" x14ac:dyDescent="0.25">
      <c r="A358" s="53"/>
      <c r="C358" s="54"/>
      <c r="F358" s="449"/>
      <c r="H358" s="449"/>
      <c r="I358" s="449"/>
      <c r="J358" s="221"/>
      <c r="K358" s="221"/>
      <c r="L358" s="379"/>
      <c r="M358" s="379"/>
      <c r="N358" s="50"/>
      <c r="O358" s="50"/>
      <c r="P358" s="379"/>
      <c r="Q358" s="379"/>
      <c r="R358" s="379"/>
      <c r="T358" s="54"/>
      <c r="V358" s="379"/>
      <c r="Y358" s="379"/>
      <c r="Z358" s="221"/>
      <c r="AA358" s="379"/>
      <c r="AB358" s="379"/>
      <c r="AC358" s="50"/>
      <c r="AD358" s="50"/>
      <c r="AE358" s="379"/>
      <c r="AF358" s="379"/>
      <c r="AG358" s="156"/>
      <c r="AH358" s="60"/>
      <c r="AI358" s="379"/>
      <c r="AJ358" s="379"/>
      <c r="AK358" s="156"/>
      <c r="AL358" s="379"/>
      <c r="AM358" s="50"/>
      <c r="AN358" s="50"/>
    </row>
    <row r="359" spans="1:40" x14ac:dyDescent="0.25">
      <c r="A359" s="53"/>
      <c r="C359" s="54"/>
      <c r="F359" s="449"/>
      <c r="H359" s="449"/>
      <c r="I359" s="449"/>
      <c r="J359" s="221"/>
      <c r="K359" s="221"/>
      <c r="L359" s="379"/>
      <c r="M359" s="379"/>
      <c r="N359" s="50"/>
      <c r="O359" s="50"/>
      <c r="P359" s="379"/>
      <c r="Q359" s="379"/>
      <c r="R359" s="379"/>
      <c r="T359" s="54"/>
      <c r="V359" s="379"/>
      <c r="Y359" s="379"/>
      <c r="Z359" s="221"/>
      <c r="AA359" s="379"/>
      <c r="AB359" s="379"/>
      <c r="AC359" s="50"/>
      <c r="AD359" s="50"/>
      <c r="AE359" s="379"/>
      <c r="AF359" s="379"/>
      <c r="AG359" s="156"/>
      <c r="AH359" s="60"/>
      <c r="AI359" s="379"/>
      <c r="AJ359" s="379"/>
      <c r="AK359" s="156"/>
      <c r="AL359" s="379"/>
      <c r="AM359" s="50"/>
      <c r="AN359" s="50"/>
    </row>
    <row r="360" spans="1:40" x14ac:dyDescent="0.25">
      <c r="A360" s="53"/>
      <c r="C360" s="54"/>
      <c r="F360" s="449"/>
      <c r="H360" s="449"/>
      <c r="I360" s="449"/>
      <c r="J360" s="221"/>
      <c r="K360" s="221"/>
      <c r="L360" s="379"/>
      <c r="M360" s="379"/>
      <c r="N360" s="50"/>
      <c r="O360" s="50"/>
      <c r="P360" s="379"/>
      <c r="Q360" s="379"/>
      <c r="R360" s="379"/>
      <c r="T360" s="54"/>
      <c r="V360" s="379"/>
      <c r="Y360" s="379"/>
      <c r="Z360" s="221"/>
      <c r="AA360" s="379"/>
      <c r="AB360" s="379"/>
      <c r="AC360" s="50"/>
      <c r="AD360" s="50"/>
      <c r="AE360" s="379"/>
      <c r="AF360" s="379"/>
      <c r="AG360" s="156"/>
      <c r="AH360" s="60"/>
      <c r="AI360" s="379"/>
      <c r="AJ360" s="379"/>
      <c r="AK360" s="156"/>
      <c r="AL360" s="379"/>
      <c r="AM360" s="50"/>
      <c r="AN360" s="50"/>
    </row>
    <row r="361" spans="1:40" x14ac:dyDescent="0.25">
      <c r="A361" s="53"/>
      <c r="C361" s="54"/>
      <c r="J361" s="65"/>
      <c r="K361" s="65"/>
      <c r="T361" s="54"/>
      <c r="Z361" s="65"/>
    </row>
    <row r="362" spans="1:40" x14ac:dyDescent="0.25">
      <c r="A362" s="53"/>
      <c r="C362" s="54"/>
      <c r="F362" s="449"/>
      <c r="H362" s="449"/>
      <c r="I362" s="449"/>
      <c r="J362" s="221"/>
      <c r="K362" s="221"/>
      <c r="L362" s="379"/>
      <c r="M362" s="379"/>
      <c r="N362" s="50"/>
      <c r="O362" s="50"/>
      <c r="P362" s="379"/>
      <c r="Q362" s="379"/>
      <c r="R362" s="379"/>
      <c r="T362" s="54"/>
      <c r="V362" s="379"/>
      <c r="Y362" s="379"/>
      <c r="Z362" s="221"/>
      <c r="AA362" s="379"/>
      <c r="AB362" s="379"/>
      <c r="AC362" s="50"/>
      <c r="AD362" s="50"/>
      <c r="AE362" s="379"/>
      <c r="AF362" s="379"/>
      <c r="AG362" s="156"/>
      <c r="AH362" s="60"/>
      <c r="AI362" s="379"/>
      <c r="AJ362" s="379"/>
      <c r="AK362" s="156"/>
      <c r="AL362" s="379"/>
      <c r="AM362" s="50"/>
      <c r="AN362" s="50"/>
    </row>
    <row r="363" spans="1:40" x14ac:dyDescent="0.25">
      <c r="A363" s="53"/>
      <c r="C363" s="54"/>
      <c r="F363" s="449"/>
      <c r="H363" s="449"/>
      <c r="I363" s="449"/>
      <c r="J363" s="221"/>
      <c r="K363" s="221"/>
      <c r="L363" s="379"/>
      <c r="M363" s="379"/>
      <c r="N363" s="50"/>
      <c r="O363" s="50"/>
      <c r="P363" s="379"/>
      <c r="Q363" s="379"/>
      <c r="R363" s="379"/>
      <c r="T363" s="54"/>
      <c r="V363" s="379"/>
      <c r="Y363" s="379"/>
      <c r="Z363" s="221"/>
      <c r="AA363" s="379"/>
      <c r="AB363" s="379"/>
      <c r="AC363" s="50"/>
      <c r="AD363" s="50"/>
      <c r="AE363" s="379"/>
      <c r="AF363" s="379"/>
      <c r="AG363" s="156"/>
      <c r="AH363" s="60"/>
      <c r="AI363" s="379"/>
      <c r="AJ363" s="379"/>
      <c r="AK363" s="156"/>
      <c r="AL363" s="379"/>
      <c r="AM363" s="50"/>
      <c r="AN363" s="50"/>
    </row>
    <row r="364" spans="1:40" x14ac:dyDescent="0.25">
      <c r="A364" s="53"/>
      <c r="C364" s="54"/>
      <c r="F364" s="449"/>
      <c r="H364" s="449"/>
      <c r="I364" s="449"/>
      <c r="J364" s="221"/>
      <c r="K364" s="221"/>
      <c r="L364" s="379"/>
      <c r="M364" s="379"/>
      <c r="N364" s="50"/>
      <c r="O364" s="50"/>
      <c r="P364" s="379"/>
      <c r="Q364" s="379"/>
      <c r="R364" s="379"/>
      <c r="T364" s="54"/>
      <c r="V364" s="379"/>
      <c r="Y364" s="379"/>
      <c r="Z364" s="221"/>
      <c r="AA364" s="379"/>
      <c r="AB364" s="379"/>
      <c r="AC364" s="50"/>
      <c r="AD364" s="50"/>
      <c r="AE364" s="379"/>
      <c r="AF364" s="379"/>
      <c r="AG364" s="156"/>
      <c r="AH364" s="60"/>
      <c r="AI364" s="379"/>
      <c r="AJ364" s="379"/>
      <c r="AK364" s="156"/>
      <c r="AL364" s="379"/>
      <c r="AM364" s="50"/>
      <c r="AN364" s="50"/>
    </row>
    <row r="365" spans="1:40" x14ac:dyDescent="0.25">
      <c r="A365" s="53"/>
      <c r="C365" s="54"/>
      <c r="F365" s="449"/>
      <c r="H365" s="449"/>
      <c r="I365" s="449"/>
      <c r="J365" s="221"/>
      <c r="K365" s="221"/>
      <c r="L365" s="379"/>
      <c r="M365" s="379"/>
      <c r="N365" s="50"/>
      <c r="O365" s="50"/>
      <c r="P365" s="379"/>
      <c r="Q365" s="379"/>
      <c r="R365" s="379"/>
      <c r="T365" s="54"/>
      <c r="V365" s="379"/>
      <c r="Y365" s="379"/>
      <c r="Z365" s="221"/>
      <c r="AA365" s="379"/>
      <c r="AB365" s="379"/>
      <c r="AC365" s="50"/>
      <c r="AD365" s="50"/>
      <c r="AE365" s="379"/>
      <c r="AF365" s="379"/>
      <c r="AG365" s="156"/>
      <c r="AH365" s="60"/>
      <c r="AI365" s="379"/>
      <c r="AJ365" s="379"/>
      <c r="AK365" s="156"/>
      <c r="AL365" s="379"/>
      <c r="AM365" s="50"/>
      <c r="AN365" s="50"/>
    </row>
    <row r="366" spans="1:40" x14ac:dyDescent="0.25">
      <c r="A366" s="53"/>
      <c r="C366" s="54"/>
      <c r="J366" s="65"/>
      <c r="K366" s="65"/>
      <c r="T366" s="54"/>
      <c r="Z366" s="65"/>
    </row>
    <row r="367" spans="1:40" x14ac:dyDescent="0.25">
      <c r="A367" s="53"/>
      <c r="C367" s="54"/>
      <c r="F367" s="449"/>
      <c r="H367" s="449"/>
      <c r="I367" s="449"/>
      <c r="J367" s="221"/>
      <c r="K367" s="221"/>
      <c r="L367" s="379"/>
      <c r="M367" s="379"/>
      <c r="N367" s="50"/>
      <c r="O367" s="50"/>
      <c r="P367" s="379"/>
      <c r="Q367" s="379"/>
      <c r="R367" s="379"/>
      <c r="T367" s="54"/>
      <c r="V367" s="379"/>
      <c r="Y367" s="379"/>
      <c r="Z367" s="221"/>
      <c r="AA367" s="379"/>
      <c r="AB367" s="379"/>
      <c r="AC367" s="50"/>
      <c r="AD367" s="50"/>
      <c r="AE367" s="379"/>
      <c r="AF367" s="379"/>
      <c r="AG367" s="156"/>
      <c r="AH367" s="60"/>
      <c r="AI367" s="379"/>
      <c r="AJ367" s="379"/>
      <c r="AK367" s="156"/>
      <c r="AL367" s="379"/>
      <c r="AM367" s="50"/>
      <c r="AN367" s="50"/>
    </row>
    <row r="368" spans="1:40" x14ac:dyDescent="0.25">
      <c r="A368" s="53"/>
      <c r="C368" s="54"/>
      <c r="F368" s="449"/>
      <c r="H368" s="449"/>
      <c r="I368" s="449"/>
      <c r="J368" s="221"/>
      <c r="K368" s="221"/>
      <c r="L368" s="379"/>
      <c r="M368" s="379"/>
      <c r="N368" s="50"/>
      <c r="O368" s="50"/>
      <c r="P368" s="379"/>
      <c r="Q368" s="379"/>
      <c r="R368" s="379"/>
      <c r="T368" s="54"/>
      <c r="V368" s="379"/>
      <c r="Y368" s="379"/>
      <c r="Z368" s="221"/>
      <c r="AA368" s="379"/>
      <c r="AB368" s="379"/>
      <c r="AC368" s="50"/>
      <c r="AD368" s="50"/>
      <c r="AE368" s="379"/>
      <c r="AF368" s="379"/>
      <c r="AG368" s="156"/>
      <c r="AH368" s="60"/>
      <c r="AI368" s="379"/>
      <c r="AJ368" s="379"/>
      <c r="AK368" s="156"/>
      <c r="AL368" s="379"/>
      <c r="AM368" s="50"/>
      <c r="AN368" s="50"/>
    </row>
    <row r="369" spans="1:40" x14ac:dyDescent="0.25">
      <c r="A369" s="53"/>
      <c r="C369" s="54"/>
      <c r="F369" s="449"/>
      <c r="H369" s="449"/>
      <c r="I369" s="449"/>
      <c r="J369" s="221"/>
      <c r="K369" s="221"/>
      <c r="L369" s="379"/>
      <c r="M369" s="379"/>
      <c r="N369" s="50"/>
      <c r="O369" s="50"/>
      <c r="P369" s="379"/>
      <c r="Q369" s="379"/>
      <c r="R369" s="379"/>
      <c r="T369" s="54"/>
      <c r="V369" s="379"/>
      <c r="Y369" s="379"/>
      <c r="Z369" s="221"/>
      <c r="AA369" s="379"/>
      <c r="AB369" s="379"/>
      <c r="AC369" s="50"/>
      <c r="AD369" s="50"/>
      <c r="AE369" s="379"/>
      <c r="AF369" s="379"/>
      <c r="AG369" s="156"/>
      <c r="AH369" s="60"/>
      <c r="AI369" s="379"/>
      <c r="AJ369" s="379"/>
      <c r="AK369" s="156"/>
      <c r="AL369" s="379"/>
      <c r="AM369" s="50"/>
      <c r="AN369" s="50"/>
    </row>
    <row r="370" spans="1:40" x14ac:dyDescent="0.25">
      <c r="A370" s="53"/>
      <c r="C370" s="54"/>
      <c r="F370" s="449"/>
      <c r="H370" s="449"/>
      <c r="I370" s="449"/>
      <c r="J370" s="221"/>
      <c r="K370" s="221"/>
      <c r="L370" s="379"/>
      <c r="M370" s="379"/>
      <c r="N370" s="50"/>
      <c r="O370" s="50"/>
      <c r="P370" s="379"/>
      <c r="Q370" s="379"/>
      <c r="R370" s="379"/>
      <c r="T370" s="54"/>
      <c r="V370" s="379"/>
      <c r="Y370" s="379"/>
      <c r="Z370" s="221"/>
      <c r="AA370" s="379"/>
      <c r="AB370" s="379"/>
      <c r="AC370" s="50"/>
      <c r="AD370" s="50"/>
      <c r="AE370" s="379"/>
      <c r="AF370" s="379"/>
      <c r="AG370" s="156"/>
      <c r="AH370" s="60"/>
      <c r="AI370" s="379"/>
      <c r="AJ370" s="379"/>
      <c r="AK370" s="156"/>
      <c r="AL370" s="379"/>
      <c r="AM370" s="50"/>
      <c r="AN370" s="50"/>
    </row>
    <row r="371" spans="1:40" x14ac:dyDescent="0.25">
      <c r="A371" s="53"/>
      <c r="C371" s="54"/>
      <c r="F371" s="449"/>
      <c r="H371" s="449"/>
      <c r="I371" s="449"/>
      <c r="J371" s="221"/>
      <c r="K371" s="221"/>
      <c r="L371" s="379"/>
      <c r="M371" s="379"/>
      <c r="N371" s="50"/>
      <c r="O371" s="50"/>
      <c r="P371" s="379"/>
      <c r="Q371" s="379"/>
      <c r="R371" s="379"/>
      <c r="T371" s="54"/>
      <c r="V371" s="379"/>
      <c r="Y371" s="379"/>
      <c r="Z371" s="221"/>
      <c r="AA371" s="379"/>
      <c r="AB371" s="379"/>
      <c r="AC371" s="50"/>
      <c r="AD371" s="50"/>
      <c r="AE371" s="379"/>
      <c r="AF371" s="379"/>
      <c r="AG371" s="156"/>
      <c r="AH371" s="60"/>
      <c r="AI371" s="379"/>
      <c r="AJ371" s="379"/>
      <c r="AK371" s="156"/>
      <c r="AL371" s="379"/>
      <c r="AM371" s="50"/>
      <c r="AN371" s="50"/>
    </row>
    <row r="372" spans="1:40" x14ac:dyDescent="0.25">
      <c r="F372" s="381"/>
      <c r="H372" s="381"/>
      <c r="I372" s="381"/>
      <c r="J372" s="221"/>
      <c r="K372" s="464"/>
      <c r="L372" s="381"/>
      <c r="M372" s="381"/>
      <c r="N372" s="381"/>
      <c r="O372" s="381"/>
      <c r="P372" s="381"/>
      <c r="Q372" s="381"/>
      <c r="R372" s="381"/>
      <c r="V372" s="381"/>
      <c r="Y372" s="381"/>
      <c r="Z372" s="221"/>
      <c r="AA372" s="381"/>
      <c r="AB372" s="381"/>
      <c r="AC372" s="381"/>
      <c r="AD372" s="381"/>
      <c r="AE372" s="381"/>
      <c r="AF372" s="381"/>
      <c r="AI372" s="381"/>
      <c r="AJ372" s="381"/>
      <c r="AK372" s="162"/>
      <c r="AL372" s="381"/>
    </row>
    <row r="373" spans="1:40" x14ac:dyDescent="0.25">
      <c r="A373" s="53"/>
      <c r="C373" s="54"/>
      <c r="F373" s="379"/>
      <c r="H373" s="379"/>
      <c r="I373" s="379"/>
      <c r="J373" s="77"/>
      <c r="L373" s="379"/>
      <c r="M373" s="379"/>
      <c r="N373" s="60"/>
      <c r="O373" s="60"/>
      <c r="P373" s="379"/>
      <c r="Q373" s="379"/>
      <c r="R373" s="379"/>
      <c r="T373" s="54"/>
      <c r="V373" s="379"/>
      <c r="Y373" s="379"/>
      <c r="AA373" s="379"/>
      <c r="AB373" s="379"/>
      <c r="AC373" s="50"/>
      <c r="AD373" s="50"/>
      <c r="AE373" s="379"/>
      <c r="AF373" s="379"/>
      <c r="AG373" s="156"/>
      <c r="AH373" s="60"/>
      <c r="AI373" s="379"/>
      <c r="AJ373" s="379"/>
      <c r="AK373" s="156"/>
      <c r="AL373" s="379"/>
      <c r="AM373" s="50"/>
      <c r="AN373" s="50"/>
    </row>
    <row r="374" spans="1:40" x14ac:dyDescent="0.25">
      <c r="F374" s="381"/>
      <c r="H374" s="381"/>
      <c r="I374" s="381"/>
      <c r="J374" s="221"/>
      <c r="K374" s="464"/>
      <c r="L374" s="381"/>
      <c r="M374" s="381"/>
      <c r="N374" s="381"/>
      <c r="O374" s="381"/>
      <c r="P374" s="381"/>
      <c r="Q374" s="381"/>
      <c r="R374" s="381"/>
      <c r="V374" s="381"/>
      <c r="Y374" s="381"/>
      <c r="Z374" s="464"/>
      <c r="AA374" s="381"/>
      <c r="AB374" s="381"/>
      <c r="AC374" s="381"/>
      <c r="AD374" s="381"/>
      <c r="AE374" s="381"/>
      <c r="AF374" s="381"/>
      <c r="AI374" s="381"/>
      <c r="AJ374" s="381"/>
      <c r="AK374" s="162"/>
      <c r="AL374" s="381"/>
    </row>
    <row r="375" spans="1:40" x14ac:dyDescent="0.25">
      <c r="A375" s="53"/>
      <c r="C375" s="54"/>
      <c r="J375" s="77"/>
      <c r="T375" s="54"/>
    </row>
    <row r="376" spans="1:40" x14ac:dyDescent="0.25">
      <c r="A376" s="53"/>
      <c r="C376" s="54"/>
      <c r="F376" s="449"/>
      <c r="H376" s="449"/>
      <c r="I376" s="449"/>
      <c r="J376" s="221"/>
      <c r="K376" s="461"/>
      <c r="L376" s="379"/>
      <c r="M376" s="379"/>
      <c r="N376" s="50"/>
      <c r="O376" s="50"/>
      <c r="P376" s="379"/>
      <c r="Q376" s="379"/>
      <c r="R376" s="379"/>
      <c r="T376" s="54"/>
      <c r="V376" s="379"/>
      <c r="Y376" s="379"/>
      <c r="Z376" s="461"/>
      <c r="AA376" s="379"/>
      <c r="AB376" s="379"/>
      <c r="AC376" s="50"/>
      <c r="AD376" s="50"/>
      <c r="AE376" s="379"/>
      <c r="AF376" s="379"/>
      <c r="AG376" s="156"/>
      <c r="AH376" s="60"/>
      <c r="AI376" s="379"/>
      <c r="AJ376" s="379"/>
      <c r="AK376" s="156"/>
      <c r="AL376" s="379"/>
      <c r="AM376" s="50"/>
      <c r="AN376" s="50"/>
    </row>
    <row r="377" spans="1:40" x14ac:dyDescent="0.25">
      <c r="A377" s="53"/>
      <c r="C377" s="54"/>
      <c r="F377" s="449"/>
      <c r="H377" s="449"/>
      <c r="I377" s="449"/>
      <c r="J377" s="221"/>
      <c r="K377" s="461"/>
      <c r="L377" s="379"/>
      <c r="M377" s="379"/>
      <c r="N377" s="50"/>
      <c r="O377" s="50"/>
      <c r="P377" s="379"/>
      <c r="Q377" s="379"/>
      <c r="R377" s="379"/>
      <c r="T377" s="54"/>
      <c r="V377" s="379"/>
      <c r="Y377" s="379"/>
      <c r="Z377" s="461"/>
      <c r="AA377" s="379"/>
      <c r="AB377" s="379"/>
      <c r="AC377" s="50"/>
      <c r="AD377" s="50"/>
      <c r="AE377" s="379"/>
      <c r="AF377" s="379"/>
      <c r="AG377" s="156"/>
      <c r="AH377" s="60"/>
      <c r="AI377" s="379"/>
      <c r="AJ377" s="379"/>
      <c r="AK377" s="156"/>
      <c r="AL377" s="379"/>
      <c r="AM377" s="50"/>
      <c r="AN377" s="50"/>
    </row>
    <row r="378" spans="1:40" x14ac:dyDescent="0.25">
      <c r="F378" s="381"/>
      <c r="H378" s="379"/>
      <c r="I378" s="379"/>
      <c r="J378" s="221"/>
      <c r="K378" s="464"/>
      <c r="L378" s="381"/>
      <c r="M378" s="381"/>
      <c r="N378" s="381"/>
      <c r="O378" s="381"/>
      <c r="P378" s="381"/>
      <c r="Q378" s="381"/>
      <c r="R378" s="381"/>
      <c r="V378" s="381"/>
      <c r="Y378" s="379"/>
      <c r="Z378" s="464"/>
      <c r="AA378" s="381"/>
      <c r="AB378" s="381"/>
      <c r="AC378" s="381"/>
      <c r="AD378" s="381"/>
      <c r="AE378" s="381"/>
      <c r="AF378" s="381"/>
      <c r="AI378" s="381"/>
      <c r="AJ378" s="381"/>
      <c r="AK378" s="162"/>
      <c r="AL378" s="381"/>
    </row>
    <row r="379" spans="1:40" x14ac:dyDescent="0.25">
      <c r="F379" s="379"/>
      <c r="H379" s="379"/>
      <c r="I379" s="379"/>
      <c r="J379" s="221"/>
      <c r="K379" s="464"/>
      <c r="L379" s="379"/>
      <c r="M379" s="379"/>
      <c r="N379" s="379"/>
      <c r="O379" s="379"/>
      <c r="P379" s="379"/>
      <c r="Q379" s="379"/>
      <c r="R379" s="379"/>
      <c r="V379" s="379"/>
      <c r="Y379" s="379"/>
      <c r="Z379" s="464"/>
      <c r="AA379" s="379"/>
      <c r="AB379" s="379"/>
      <c r="AC379" s="379"/>
      <c r="AD379" s="379"/>
      <c r="AE379" s="379"/>
      <c r="AF379" s="379"/>
      <c r="AI379" s="379"/>
      <c r="AJ379" s="379"/>
      <c r="AK379" s="156"/>
      <c r="AL379" s="379"/>
    </row>
    <row r="380" spans="1:40" x14ac:dyDescent="0.25">
      <c r="A380" s="53"/>
      <c r="C380" s="54"/>
      <c r="F380" s="379"/>
      <c r="H380" s="379"/>
      <c r="I380" s="379"/>
      <c r="J380" s="77"/>
      <c r="L380" s="379"/>
      <c r="M380" s="379"/>
      <c r="N380" s="50"/>
      <c r="O380" s="50"/>
      <c r="P380" s="379"/>
      <c r="Q380" s="379"/>
      <c r="R380" s="379"/>
      <c r="T380" s="54"/>
      <c r="V380" s="379"/>
      <c r="Y380" s="379"/>
      <c r="AA380" s="379"/>
      <c r="AB380" s="379"/>
      <c r="AC380" s="50"/>
      <c r="AD380" s="50"/>
      <c r="AE380" s="379"/>
      <c r="AF380" s="379"/>
      <c r="AG380" s="156"/>
      <c r="AH380" s="60"/>
      <c r="AI380" s="449"/>
      <c r="AJ380" s="449"/>
      <c r="AK380" s="156"/>
      <c r="AL380" s="379"/>
      <c r="AM380" s="50"/>
      <c r="AN380" s="50"/>
    </row>
    <row r="381" spans="1:40" x14ac:dyDescent="0.25">
      <c r="H381" s="381"/>
      <c r="I381" s="381"/>
      <c r="J381" s="221"/>
      <c r="K381" s="464"/>
      <c r="L381" s="381"/>
      <c r="M381" s="381"/>
      <c r="N381" s="381"/>
      <c r="O381" s="381"/>
      <c r="P381" s="381"/>
      <c r="Q381" s="381"/>
      <c r="R381" s="381"/>
      <c r="V381" s="381"/>
      <c r="Y381" s="381"/>
      <c r="Z381" s="464"/>
      <c r="AA381" s="381"/>
      <c r="AB381" s="381"/>
      <c r="AC381" s="381"/>
      <c r="AD381" s="381"/>
      <c r="AE381" s="381"/>
      <c r="AF381" s="381"/>
      <c r="AI381" s="381"/>
      <c r="AJ381" s="381"/>
      <c r="AK381" s="162"/>
      <c r="AL381" s="381"/>
    </row>
    <row r="382" spans="1:40" x14ac:dyDescent="0.25">
      <c r="F382" s="381"/>
      <c r="J382" s="77"/>
    </row>
    <row r="383" spans="1:40" x14ac:dyDescent="0.25">
      <c r="A383" s="54"/>
      <c r="J383" s="77"/>
      <c r="T383" s="54"/>
    </row>
    <row r="384" spans="1:40" x14ac:dyDescent="0.25">
      <c r="A384" s="54"/>
      <c r="J384" s="77"/>
      <c r="T384" s="54"/>
    </row>
    <row r="385" spans="1:38" x14ac:dyDescent="0.25">
      <c r="A385" s="54"/>
      <c r="J385" s="77"/>
      <c r="T385" s="54"/>
    </row>
    <row r="386" spans="1:38" x14ac:dyDescent="0.25">
      <c r="A386" s="54"/>
      <c r="J386" s="77"/>
      <c r="T386" s="54"/>
    </row>
    <row r="387" spans="1:38" x14ac:dyDescent="0.25">
      <c r="A387" s="54"/>
      <c r="J387" s="77"/>
      <c r="T387" s="54"/>
    </row>
    <row r="388" spans="1:38" x14ac:dyDescent="0.25">
      <c r="A388" s="54"/>
      <c r="J388" s="77"/>
      <c r="T388" s="54"/>
    </row>
    <row r="389" spans="1:38" x14ac:dyDescent="0.25">
      <c r="A389" s="54"/>
      <c r="J389" s="77"/>
      <c r="T389" s="54"/>
    </row>
    <row r="390" spans="1:38" x14ac:dyDescent="0.25">
      <c r="A390" s="54"/>
      <c r="J390" s="77"/>
      <c r="T390" s="54"/>
    </row>
    <row r="391" spans="1:38" x14ac:dyDescent="0.25">
      <c r="A391" s="54"/>
      <c r="J391" s="77"/>
      <c r="T391" s="54"/>
    </row>
    <row r="392" spans="1:38" x14ac:dyDescent="0.25">
      <c r="J392" s="77"/>
    </row>
    <row r="393" spans="1:38" x14ac:dyDescent="0.25">
      <c r="A393" s="54"/>
      <c r="J393" s="77"/>
    </row>
    <row r="394" spans="1:38" x14ac:dyDescent="0.25">
      <c r="J394" s="65"/>
      <c r="K394" s="53"/>
      <c r="Z394" s="53"/>
    </row>
    <row r="395" spans="1:38" x14ac:dyDescent="0.25">
      <c r="H395" s="54"/>
      <c r="I395" s="54"/>
      <c r="J395" s="77"/>
      <c r="Y395" s="54"/>
    </row>
    <row r="396" spans="1:38" x14ac:dyDescent="0.25">
      <c r="J396" s="65"/>
      <c r="K396" s="53"/>
      <c r="Z396" s="53"/>
    </row>
    <row r="397" spans="1:38" x14ac:dyDescent="0.25">
      <c r="J397" s="77"/>
      <c r="L397" s="54"/>
      <c r="M397" s="54"/>
      <c r="AA397" s="54"/>
      <c r="AB397" s="54"/>
    </row>
    <row r="398" spans="1:38" x14ac:dyDescent="0.25">
      <c r="A398" s="53"/>
      <c r="J398" s="77"/>
      <c r="R398" s="54"/>
      <c r="AK398" s="161"/>
      <c r="AL398" s="54"/>
    </row>
    <row r="399" spans="1:38" x14ac:dyDescent="0.25">
      <c r="A399" s="53"/>
      <c r="J399" s="77"/>
      <c r="R399" s="54"/>
      <c r="AK399" s="161"/>
      <c r="AL399" s="54"/>
    </row>
    <row r="400" spans="1:38" x14ac:dyDescent="0.25">
      <c r="A400" s="54"/>
      <c r="J400" s="77"/>
      <c r="R400" s="54"/>
      <c r="AK400" s="161"/>
      <c r="AL400" s="54"/>
    </row>
    <row r="401" spans="1:40" x14ac:dyDescent="0.25">
      <c r="J401" s="77"/>
      <c r="L401" s="54"/>
      <c r="M401" s="54"/>
      <c r="R401" s="53"/>
      <c r="AA401" s="54"/>
      <c r="AB401" s="54"/>
      <c r="AK401" s="156"/>
      <c r="AL401" s="53"/>
    </row>
    <row r="402" spans="1:40" x14ac:dyDescent="0.25">
      <c r="A402" s="55"/>
      <c r="B402" s="55"/>
      <c r="C402" s="55"/>
      <c r="D402" s="55"/>
      <c r="E402" s="55"/>
      <c r="F402" s="55"/>
      <c r="G402" s="55"/>
      <c r="H402" s="55"/>
      <c r="I402" s="55"/>
      <c r="J402" s="66"/>
      <c r="K402" s="55"/>
      <c r="L402" s="55"/>
      <c r="M402" s="55"/>
      <c r="N402" s="55"/>
      <c r="O402" s="55"/>
      <c r="P402" s="55"/>
      <c r="Q402" s="55"/>
      <c r="R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154"/>
      <c r="AH402" s="55"/>
      <c r="AI402" s="55"/>
      <c r="AJ402" s="55"/>
      <c r="AK402" s="154"/>
      <c r="AL402" s="55"/>
      <c r="AM402" s="55"/>
      <c r="AN402" s="55"/>
    </row>
    <row r="403" spans="1:40" x14ac:dyDescent="0.25">
      <c r="J403" s="77"/>
      <c r="L403" s="56"/>
      <c r="M403" s="56"/>
      <c r="N403" s="56"/>
      <c r="O403" s="56"/>
      <c r="R403" s="56"/>
      <c r="AA403" s="56"/>
      <c r="AB403" s="56"/>
      <c r="AC403" s="56"/>
      <c r="AD403" s="56"/>
      <c r="AE403" s="56"/>
      <c r="AF403" s="56"/>
      <c r="AG403" s="155"/>
      <c r="AH403" s="56"/>
      <c r="AK403" s="155"/>
      <c r="AL403" s="56"/>
      <c r="AM403" s="56"/>
      <c r="AN403" s="56"/>
    </row>
    <row r="404" spans="1:40" x14ac:dyDescent="0.25">
      <c r="J404" s="77"/>
      <c r="L404" s="56"/>
      <c r="M404" s="56"/>
      <c r="N404" s="56"/>
      <c r="O404" s="56"/>
      <c r="R404" s="56"/>
      <c r="Z404" s="56"/>
      <c r="AA404" s="56"/>
      <c r="AB404" s="56"/>
      <c r="AC404" s="56"/>
      <c r="AD404" s="56"/>
      <c r="AE404" s="56"/>
      <c r="AF404" s="56"/>
      <c r="AG404" s="155"/>
      <c r="AH404" s="56"/>
      <c r="AK404" s="155"/>
      <c r="AL404" s="56"/>
      <c r="AM404" s="56"/>
      <c r="AN404" s="56"/>
    </row>
    <row r="405" spans="1:40" x14ac:dyDescent="0.25">
      <c r="A405" s="56"/>
      <c r="C405" s="56"/>
      <c r="D405" s="56"/>
      <c r="E405" s="56"/>
      <c r="F405" s="56"/>
      <c r="J405" s="67"/>
      <c r="K405" s="56"/>
      <c r="L405" s="56"/>
      <c r="M405" s="56"/>
      <c r="N405" s="56"/>
      <c r="O405" s="56"/>
      <c r="P405" s="56"/>
      <c r="Q405" s="56"/>
      <c r="R405" s="56"/>
      <c r="T405" s="56"/>
      <c r="U405" s="56"/>
      <c r="V405" s="56"/>
      <c r="Z405" s="56"/>
      <c r="AA405" s="56"/>
      <c r="AB405" s="56"/>
      <c r="AC405" s="56"/>
      <c r="AD405" s="56"/>
      <c r="AE405" s="56"/>
      <c r="AF405" s="56"/>
      <c r="AG405" s="155"/>
      <c r="AH405" s="56"/>
      <c r="AI405" s="56"/>
      <c r="AJ405" s="56"/>
      <c r="AK405" s="155"/>
      <c r="AL405" s="56"/>
      <c r="AM405" s="56"/>
      <c r="AN405" s="56"/>
    </row>
    <row r="406" spans="1:40" x14ac:dyDescent="0.25">
      <c r="A406" s="56"/>
      <c r="C406" s="56"/>
      <c r="D406" s="56"/>
      <c r="E406" s="56"/>
      <c r="F406" s="56"/>
      <c r="H406" s="56"/>
      <c r="I406" s="56"/>
      <c r="J406" s="67"/>
      <c r="K406" s="56"/>
      <c r="L406" s="56"/>
      <c r="M406" s="56"/>
      <c r="N406" s="56"/>
      <c r="O406" s="56"/>
      <c r="P406" s="56"/>
      <c r="Q406" s="56"/>
      <c r="R406" s="56"/>
      <c r="T406" s="56"/>
      <c r="U406" s="56"/>
      <c r="V406" s="56"/>
      <c r="Y406" s="56"/>
      <c r="Z406" s="56"/>
      <c r="AA406" s="56"/>
      <c r="AB406" s="56"/>
      <c r="AC406" s="56"/>
      <c r="AD406" s="56"/>
      <c r="AE406" s="56"/>
      <c r="AF406" s="56"/>
      <c r="AG406" s="155"/>
      <c r="AH406" s="56"/>
      <c r="AI406" s="56"/>
      <c r="AJ406" s="56"/>
      <c r="AK406" s="155"/>
      <c r="AL406" s="56"/>
      <c r="AM406" s="56"/>
      <c r="AN406" s="56"/>
    </row>
    <row r="407" spans="1:40" x14ac:dyDescent="0.25">
      <c r="C407" s="56"/>
      <c r="D407" s="56"/>
      <c r="E407" s="56"/>
      <c r="F407" s="56"/>
      <c r="H407" s="56"/>
      <c r="I407" s="56"/>
      <c r="J407" s="67"/>
      <c r="K407" s="56"/>
      <c r="L407" s="56"/>
      <c r="M407" s="56"/>
      <c r="N407" s="56"/>
      <c r="O407" s="56"/>
      <c r="P407" s="56"/>
      <c r="Q407" s="56"/>
      <c r="R407" s="56"/>
      <c r="T407" s="56"/>
      <c r="U407" s="56"/>
      <c r="V407" s="56"/>
      <c r="Y407" s="56"/>
      <c r="Z407" s="56"/>
      <c r="AA407" s="56"/>
      <c r="AB407" s="56"/>
      <c r="AC407" s="56"/>
      <c r="AD407" s="56"/>
      <c r="AE407" s="56"/>
      <c r="AF407" s="56"/>
      <c r="AG407" s="155"/>
      <c r="AH407" s="56"/>
      <c r="AI407" s="56"/>
      <c r="AJ407" s="56"/>
      <c r="AK407" s="155"/>
      <c r="AL407" s="56"/>
      <c r="AM407" s="56"/>
      <c r="AN407" s="56"/>
    </row>
    <row r="408" spans="1:40" x14ac:dyDescent="0.25">
      <c r="A408" s="55"/>
      <c r="B408" s="55"/>
      <c r="C408" s="55"/>
      <c r="D408" s="55"/>
      <c r="E408" s="55"/>
      <c r="F408" s="55"/>
      <c r="G408" s="55"/>
      <c r="H408" s="55"/>
      <c r="I408" s="55"/>
      <c r="J408" s="66"/>
      <c r="K408" s="55"/>
      <c r="L408" s="55"/>
      <c r="M408" s="55"/>
      <c r="N408" s="55"/>
      <c r="O408" s="55"/>
      <c r="P408" s="55"/>
      <c r="Q408" s="55"/>
      <c r="R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154"/>
      <c r="AH408" s="55"/>
      <c r="AI408" s="55"/>
      <c r="AJ408" s="55"/>
      <c r="AK408" s="154"/>
      <c r="AL408" s="55"/>
      <c r="AM408" s="55"/>
      <c r="AN408" s="55"/>
    </row>
    <row r="409" spans="1:40" x14ac:dyDescent="0.25">
      <c r="H409" s="56"/>
      <c r="I409" s="56"/>
      <c r="J409" s="67"/>
      <c r="K409" s="56"/>
      <c r="L409" s="56"/>
      <c r="M409" s="56"/>
      <c r="N409" s="56"/>
      <c r="O409" s="56"/>
      <c r="P409" s="56"/>
      <c r="Q409" s="56"/>
      <c r="R409" s="56"/>
      <c r="Y409" s="56"/>
      <c r="Z409" s="56"/>
      <c r="AA409" s="56"/>
      <c r="AB409" s="56"/>
      <c r="AC409" s="56"/>
      <c r="AD409" s="56"/>
      <c r="AE409" s="56"/>
      <c r="AF409" s="56"/>
      <c r="AG409" s="155"/>
      <c r="AH409" s="56"/>
      <c r="AI409" s="56"/>
      <c r="AJ409" s="56"/>
      <c r="AK409" s="155"/>
      <c r="AL409" s="56"/>
      <c r="AM409" s="56"/>
      <c r="AN409" s="56"/>
    </row>
    <row r="410" spans="1:40" x14ac:dyDescent="0.25">
      <c r="A410" s="53"/>
      <c r="C410" s="54"/>
      <c r="D410" s="54"/>
      <c r="E410" s="54"/>
      <c r="J410" s="77"/>
      <c r="T410" s="54"/>
      <c r="U410" s="54"/>
    </row>
    <row r="411" spans="1:40" x14ac:dyDescent="0.25">
      <c r="A411" s="53"/>
      <c r="D411" s="54"/>
      <c r="E411" s="54"/>
      <c r="J411" s="77"/>
      <c r="U411" s="54"/>
    </row>
    <row r="412" spans="1:40" x14ac:dyDescent="0.25">
      <c r="J412" s="77"/>
    </row>
    <row r="413" spans="1:40" x14ac:dyDescent="0.25">
      <c r="A413" s="53"/>
      <c r="C413" s="54"/>
      <c r="F413" s="379"/>
      <c r="J413" s="65"/>
      <c r="K413" s="62"/>
      <c r="L413" s="379"/>
      <c r="M413" s="379"/>
      <c r="R413" s="379"/>
      <c r="T413" s="54"/>
      <c r="V413" s="379"/>
      <c r="Z413" s="62"/>
      <c r="AA413" s="379"/>
      <c r="AB413" s="379"/>
      <c r="AG413" s="156"/>
      <c r="AH413" s="379"/>
      <c r="AK413" s="156"/>
      <c r="AL413" s="379"/>
    </row>
    <row r="414" spans="1:40" x14ac:dyDescent="0.25">
      <c r="A414" s="53"/>
      <c r="C414" s="54"/>
      <c r="F414" s="379"/>
      <c r="J414" s="77"/>
      <c r="R414" s="379"/>
      <c r="T414" s="54"/>
      <c r="V414" s="379"/>
      <c r="AG414" s="156"/>
      <c r="AH414" s="379"/>
      <c r="AK414" s="156"/>
      <c r="AL414" s="379"/>
    </row>
    <row r="415" spans="1:40" x14ac:dyDescent="0.25">
      <c r="J415" s="77"/>
      <c r="AI415" s="379"/>
      <c r="AJ415" s="379"/>
      <c r="AK415" s="156"/>
      <c r="AL415" s="379"/>
      <c r="AM415" s="50"/>
      <c r="AN415" s="50"/>
    </row>
    <row r="416" spans="1:40" x14ac:dyDescent="0.25">
      <c r="A416" s="53"/>
      <c r="C416" s="54"/>
      <c r="F416" s="449"/>
      <c r="H416" s="449"/>
      <c r="I416" s="449"/>
      <c r="J416" s="221"/>
      <c r="K416" s="477"/>
      <c r="L416" s="379"/>
      <c r="M416" s="379"/>
      <c r="N416" s="50"/>
      <c r="O416" s="50"/>
      <c r="P416" s="379"/>
      <c r="Q416" s="379"/>
      <c r="R416" s="379"/>
      <c r="T416" s="54"/>
      <c r="V416" s="379"/>
      <c r="Y416" s="379"/>
      <c r="Z416" s="477"/>
      <c r="AA416" s="379"/>
      <c r="AB416" s="379"/>
      <c r="AC416" s="50"/>
      <c r="AD416" s="50"/>
      <c r="AE416" s="379"/>
      <c r="AF416" s="379"/>
      <c r="AG416" s="156"/>
      <c r="AH416" s="60"/>
      <c r="AI416" s="379"/>
      <c r="AJ416" s="379"/>
      <c r="AK416" s="156"/>
      <c r="AL416" s="379"/>
      <c r="AM416" s="50"/>
      <c r="AN416" s="50"/>
    </row>
    <row r="417" spans="1:40" x14ac:dyDescent="0.25">
      <c r="F417" s="379"/>
      <c r="H417" s="379"/>
      <c r="I417" s="379"/>
      <c r="J417" s="65"/>
      <c r="K417" s="59"/>
      <c r="L417" s="379"/>
      <c r="M417" s="379"/>
      <c r="P417" s="379"/>
      <c r="Q417" s="379"/>
      <c r="R417" s="379"/>
      <c r="V417" s="379"/>
      <c r="Y417" s="379"/>
      <c r="Z417" s="59"/>
      <c r="AA417" s="379"/>
      <c r="AB417" s="379"/>
      <c r="AI417" s="379"/>
      <c r="AJ417" s="379"/>
      <c r="AK417" s="156"/>
      <c r="AL417" s="379"/>
      <c r="AM417" s="50"/>
      <c r="AN417" s="50"/>
    </row>
    <row r="418" spans="1:40" x14ac:dyDescent="0.25">
      <c r="F418" s="379"/>
      <c r="J418" s="77"/>
      <c r="R418" s="379"/>
      <c r="V418" s="379"/>
      <c r="AK418" s="156"/>
      <c r="AL418" s="379"/>
      <c r="AM418" s="50"/>
      <c r="AN418" s="50"/>
    </row>
    <row r="419" spans="1:40" x14ac:dyDescent="0.25">
      <c r="A419" s="53"/>
      <c r="C419" s="54"/>
      <c r="F419" s="379"/>
      <c r="J419" s="65"/>
      <c r="K419" s="62"/>
      <c r="L419" s="379"/>
      <c r="M419" s="379"/>
      <c r="N419" s="50"/>
      <c r="O419" s="50"/>
      <c r="R419" s="379"/>
      <c r="T419" s="54"/>
      <c r="V419" s="379"/>
      <c r="Z419" s="62"/>
      <c r="AA419" s="379"/>
      <c r="AB419" s="379"/>
      <c r="AC419" s="50"/>
      <c r="AD419" s="50"/>
      <c r="AK419" s="156"/>
      <c r="AL419" s="379"/>
      <c r="AM419" s="50"/>
      <c r="AN419" s="50"/>
    </row>
    <row r="420" spans="1:40" x14ac:dyDescent="0.25">
      <c r="A420" s="53"/>
      <c r="C420" s="54"/>
      <c r="F420" s="379"/>
      <c r="H420" s="379"/>
      <c r="I420" s="379"/>
      <c r="J420" s="65"/>
      <c r="K420" s="62"/>
      <c r="L420" s="379"/>
      <c r="M420" s="379"/>
      <c r="N420" s="50"/>
      <c r="O420" s="50"/>
      <c r="P420" s="379"/>
      <c r="Q420" s="379"/>
      <c r="R420" s="379"/>
      <c r="T420" s="54"/>
      <c r="V420" s="379"/>
      <c r="Y420" s="379"/>
      <c r="Z420" s="62"/>
      <c r="AA420" s="379"/>
      <c r="AB420" s="379"/>
      <c r="AC420" s="50"/>
      <c r="AD420" s="50"/>
      <c r="AI420" s="379"/>
      <c r="AJ420" s="379"/>
      <c r="AK420" s="156"/>
      <c r="AL420" s="379"/>
      <c r="AM420" s="50"/>
      <c r="AN420" s="50"/>
    </row>
    <row r="421" spans="1:40" x14ac:dyDescent="0.25">
      <c r="A421" s="53"/>
      <c r="C421" s="54"/>
      <c r="J421" s="77"/>
      <c r="T421" s="54"/>
      <c r="AM421" s="50"/>
      <c r="AN421" s="50"/>
    </row>
    <row r="422" spans="1:40" x14ac:dyDescent="0.25">
      <c r="A422" s="53"/>
      <c r="C422" s="54"/>
      <c r="J422" s="77"/>
      <c r="T422" s="54"/>
      <c r="AM422" s="50"/>
      <c r="AN422" s="50"/>
    </row>
    <row r="423" spans="1:40" x14ac:dyDescent="0.25">
      <c r="J423" s="77"/>
      <c r="AM423" s="50"/>
      <c r="AN423" s="50"/>
    </row>
    <row r="424" spans="1:40" x14ac:dyDescent="0.25">
      <c r="A424" s="53"/>
      <c r="C424" s="54"/>
      <c r="F424" s="449"/>
      <c r="H424" s="449"/>
      <c r="I424" s="449"/>
      <c r="J424" s="221"/>
      <c r="K424" s="477"/>
      <c r="L424" s="379"/>
      <c r="M424" s="379"/>
      <c r="N424" s="50"/>
      <c r="O424" s="50"/>
      <c r="P424" s="379"/>
      <c r="Q424" s="379"/>
      <c r="R424" s="379"/>
      <c r="T424" s="54"/>
      <c r="V424" s="379"/>
      <c r="Y424" s="379"/>
      <c r="Z424" s="477"/>
      <c r="AA424" s="379"/>
      <c r="AB424" s="379"/>
      <c r="AC424" s="50"/>
      <c r="AD424" s="50"/>
      <c r="AE424" s="379"/>
      <c r="AF424" s="379"/>
      <c r="AG424" s="156"/>
      <c r="AH424" s="60"/>
      <c r="AI424" s="379"/>
      <c r="AJ424" s="379"/>
      <c r="AK424" s="156"/>
      <c r="AL424" s="379"/>
      <c r="AM424" s="50"/>
      <c r="AN424" s="50"/>
    </row>
    <row r="425" spans="1:40" x14ac:dyDescent="0.25">
      <c r="F425" s="381"/>
      <c r="H425" s="381"/>
      <c r="I425" s="381"/>
      <c r="J425" s="221"/>
      <c r="K425" s="464"/>
      <c r="L425" s="381"/>
      <c r="M425" s="381"/>
      <c r="N425" s="381"/>
      <c r="O425" s="381"/>
      <c r="P425" s="381"/>
      <c r="Q425" s="381"/>
      <c r="R425" s="381"/>
      <c r="V425" s="381"/>
      <c r="Y425" s="381"/>
      <c r="Z425" s="464"/>
      <c r="AA425" s="381"/>
      <c r="AB425" s="381"/>
      <c r="AC425" s="381"/>
      <c r="AD425" s="381"/>
      <c r="AE425" s="381"/>
      <c r="AF425" s="381"/>
      <c r="AI425" s="381"/>
      <c r="AJ425" s="381"/>
      <c r="AK425" s="162"/>
      <c r="AL425" s="381"/>
      <c r="AM425" s="50"/>
      <c r="AN425" s="50"/>
    </row>
    <row r="426" spans="1:40" x14ac:dyDescent="0.25">
      <c r="H426" s="379"/>
      <c r="I426" s="379"/>
      <c r="J426" s="77"/>
      <c r="Y426" s="379"/>
      <c r="AM426" s="50"/>
      <c r="AN426" s="50"/>
    </row>
    <row r="427" spans="1:40" x14ac:dyDescent="0.25">
      <c r="A427" s="53"/>
      <c r="C427" s="54"/>
      <c r="F427" s="379"/>
      <c r="H427" s="379"/>
      <c r="I427" s="379"/>
      <c r="J427" s="77"/>
      <c r="L427" s="379"/>
      <c r="M427" s="379"/>
      <c r="N427" s="50"/>
      <c r="O427" s="50"/>
      <c r="P427" s="449"/>
      <c r="Q427" s="449"/>
      <c r="R427" s="379"/>
      <c r="T427" s="54"/>
      <c r="V427" s="379"/>
      <c r="Y427" s="379"/>
      <c r="AA427" s="379"/>
      <c r="AB427" s="379"/>
      <c r="AC427" s="50"/>
      <c r="AD427" s="50"/>
      <c r="AE427" s="379"/>
      <c r="AF427" s="379"/>
      <c r="AG427" s="156"/>
      <c r="AH427" s="60"/>
      <c r="AI427" s="449"/>
      <c r="AJ427" s="449"/>
      <c r="AK427" s="156"/>
      <c r="AL427" s="379"/>
      <c r="AM427" s="50"/>
      <c r="AN427" s="50"/>
    </row>
    <row r="428" spans="1:40" x14ac:dyDescent="0.25">
      <c r="H428" s="381"/>
      <c r="I428" s="381"/>
      <c r="J428" s="221"/>
      <c r="K428" s="464"/>
      <c r="L428" s="381"/>
      <c r="M428" s="381"/>
      <c r="N428" s="381"/>
      <c r="O428" s="381"/>
      <c r="P428" s="381"/>
      <c r="Q428" s="381"/>
      <c r="R428" s="381"/>
      <c r="V428" s="381"/>
      <c r="Y428" s="381"/>
      <c r="Z428" s="464"/>
      <c r="AA428" s="381"/>
      <c r="AB428" s="381"/>
      <c r="AC428" s="381"/>
      <c r="AD428" s="381"/>
      <c r="AE428" s="381"/>
      <c r="AF428" s="381"/>
      <c r="AI428" s="381"/>
      <c r="AJ428" s="381"/>
      <c r="AK428" s="162"/>
      <c r="AL428" s="381"/>
      <c r="AM428" s="50"/>
      <c r="AN428" s="50"/>
    </row>
    <row r="429" spans="1:40" x14ac:dyDescent="0.25">
      <c r="F429" s="381"/>
      <c r="J429" s="77"/>
    </row>
    <row r="430" spans="1:40" x14ac:dyDescent="0.25">
      <c r="F430" s="379"/>
      <c r="H430" s="379"/>
      <c r="I430" s="379"/>
      <c r="J430" s="65"/>
      <c r="K430" s="59"/>
      <c r="L430" s="379"/>
      <c r="M430" s="379"/>
      <c r="N430" s="379"/>
      <c r="O430" s="379"/>
      <c r="P430" s="379"/>
      <c r="Q430" s="379"/>
      <c r="R430" s="379"/>
      <c r="V430" s="379"/>
      <c r="Y430" s="379"/>
      <c r="Z430" s="59"/>
      <c r="AA430" s="379"/>
      <c r="AB430" s="379"/>
      <c r="AC430" s="379"/>
      <c r="AD430" s="379"/>
      <c r="AE430" s="379"/>
      <c r="AF430" s="379"/>
      <c r="AG430" s="156"/>
      <c r="AH430" s="379"/>
      <c r="AI430" s="379"/>
      <c r="AJ430" s="379"/>
      <c r="AK430" s="156"/>
      <c r="AL430" s="379"/>
    </row>
    <row r="431" spans="1:40" x14ac:dyDescent="0.25">
      <c r="A431" s="54"/>
      <c r="J431" s="77"/>
    </row>
    <row r="432" spans="1:40" x14ac:dyDescent="0.25">
      <c r="J432" s="65"/>
      <c r="K432" s="53"/>
      <c r="Z432" s="53"/>
    </row>
    <row r="433" spans="1:40" x14ac:dyDescent="0.25">
      <c r="H433" s="54"/>
      <c r="I433" s="54"/>
      <c r="J433" s="77"/>
      <c r="Y433" s="54"/>
    </row>
    <row r="434" spans="1:40" x14ac:dyDescent="0.25">
      <c r="J434" s="65"/>
      <c r="K434" s="53"/>
      <c r="Z434" s="53"/>
    </row>
    <row r="435" spans="1:40" x14ac:dyDescent="0.25">
      <c r="J435" s="77"/>
      <c r="L435" s="54"/>
      <c r="M435" s="54"/>
      <c r="AA435" s="54"/>
      <c r="AB435" s="54"/>
    </row>
    <row r="436" spans="1:40" x14ac:dyDescent="0.25">
      <c r="A436" s="53"/>
      <c r="J436" s="77"/>
      <c r="R436" s="54"/>
      <c r="AK436" s="161"/>
      <c r="AL436" s="54"/>
    </row>
    <row r="437" spans="1:40" x14ac:dyDescent="0.25">
      <c r="A437" s="53"/>
      <c r="J437" s="77"/>
      <c r="R437" s="54"/>
      <c r="AK437" s="161"/>
      <c r="AL437" s="54"/>
    </row>
    <row r="438" spans="1:40" x14ac:dyDescent="0.25">
      <c r="A438" s="54"/>
      <c r="J438" s="77"/>
      <c r="R438" s="54"/>
      <c r="AK438" s="161"/>
      <c r="AL438" s="54"/>
    </row>
    <row r="439" spans="1:40" x14ac:dyDescent="0.25">
      <c r="J439" s="77"/>
      <c r="L439" s="54"/>
      <c r="M439" s="54"/>
      <c r="R439" s="53"/>
      <c r="AA439" s="54"/>
      <c r="AB439" s="54"/>
      <c r="AK439" s="156"/>
      <c r="AL439" s="53"/>
    </row>
    <row r="440" spans="1:40" x14ac:dyDescent="0.25">
      <c r="A440" s="55"/>
      <c r="B440" s="55"/>
      <c r="C440" s="55"/>
      <c r="D440" s="55"/>
      <c r="E440" s="55"/>
      <c r="F440" s="55"/>
      <c r="G440" s="55"/>
      <c r="H440" s="55"/>
      <c r="I440" s="55"/>
      <c r="J440" s="66"/>
      <c r="K440" s="55"/>
      <c r="L440" s="55"/>
      <c r="M440" s="55"/>
      <c r="N440" s="55"/>
      <c r="O440" s="55"/>
      <c r="P440" s="55"/>
      <c r="Q440" s="55"/>
      <c r="R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154"/>
      <c r="AH440" s="55"/>
      <c r="AI440" s="55"/>
      <c r="AJ440" s="55"/>
      <c r="AK440" s="154"/>
      <c r="AL440" s="55"/>
      <c r="AM440" s="55"/>
      <c r="AN440" s="55"/>
    </row>
    <row r="441" spans="1:40" x14ac:dyDescent="0.25">
      <c r="J441" s="77"/>
      <c r="L441" s="56"/>
      <c r="M441" s="56"/>
      <c r="N441" s="56"/>
      <c r="O441" s="56"/>
      <c r="R441" s="56"/>
      <c r="AA441" s="56"/>
      <c r="AB441" s="56"/>
      <c r="AC441" s="56"/>
      <c r="AD441" s="56"/>
      <c r="AE441" s="56"/>
      <c r="AF441" s="56"/>
      <c r="AG441" s="155"/>
      <c r="AH441" s="56"/>
      <c r="AK441" s="155"/>
      <c r="AL441" s="56"/>
      <c r="AM441" s="56"/>
      <c r="AN441" s="56"/>
    </row>
    <row r="442" spans="1:40" x14ac:dyDescent="0.25">
      <c r="J442" s="77"/>
      <c r="L442" s="56"/>
      <c r="M442" s="56"/>
      <c r="N442" s="56"/>
      <c r="O442" s="56"/>
      <c r="R442" s="56"/>
      <c r="Z442" s="56"/>
      <c r="AA442" s="56"/>
      <c r="AB442" s="56"/>
      <c r="AC442" s="56"/>
      <c r="AD442" s="56"/>
      <c r="AE442" s="56"/>
      <c r="AF442" s="56"/>
      <c r="AG442" s="155"/>
      <c r="AH442" s="56"/>
      <c r="AK442" s="155"/>
      <c r="AL442" s="56"/>
      <c r="AM442" s="56"/>
      <c r="AN442" s="56"/>
    </row>
    <row r="443" spans="1:40" x14ac:dyDescent="0.25">
      <c r="A443" s="56"/>
      <c r="C443" s="56"/>
      <c r="D443" s="56"/>
      <c r="E443" s="56"/>
      <c r="F443" s="56"/>
      <c r="J443" s="67"/>
      <c r="K443" s="56"/>
      <c r="L443" s="56"/>
      <c r="M443" s="56"/>
      <c r="N443" s="56"/>
      <c r="O443" s="56"/>
      <c r="P443" s="56"/>
      <c r="Q443" s="56"/>
      <c r="R443" s="56"/>
      <c r="T443" s="56"/>
      <c r="U443" s="56"/>
      <c r="V443" s="56"/>
      <c r="Z443" s="56"/>
      <c r="AA443" s="56"/>
      <c r="AB443" s="56"/>
      <c r="AC443" s="56"/>
      <c r="AD443" s="56"/>
      <c r="AE443" s="56"/>
      <c r="AF443" s="56"/>
      <c r="AG443" s="155"/>
      <c r="AH443" s="56"/>
      <c r="AI443" s="56"/>
      <c r="AJ443" s="56"/>
      <c r="AK443" s="155"/>
      <c r="AL443" s="56"/>
      <c r="AM443" s="56"/>
      <c r="AN443" s="56"/>
    </row>
    <row r="444" spans="1:40" x14ac:dyDescent="0.25">
      <c r="A444" s="56"/>
      <c r="C444" s="56"/>
      <c r="D444" s="56"/>
      <c r="E444" s="56"/>
      <c r="F444" s="56"/>
      <c r="H444" s="56"/>
      <c r="I444" s="56"/>
      <c r="J444" s="67"/>
      <c r="K444" s="56"/>
      <c r="L444" s="56"/>
      <c r="M444" s="56"/>
      <c r="N444" s="56"/>
      <c r="O444" s="56"/>
      <c r="P444" s="56"/>
      <c r="Q444" s="56"/>
      <c r="R444" s="56"/>
      <c r="T444" s="56"/>
      <c r="U444" s="56"/>
      <c r="V444" s="56"/>
      <c r="Y444" s="56"/>
      <c r="Z444" s="56"/>
      <c r="AA444" s="56"/>
      <c r="AB444" s="56"/>
      <c r="AC444" s="56"/>
      <c r="AD444" s="56"/>
      <c r="AE444" s="56"/>
      <c r="AF444" s="56"/>
      <c r="AG444" s="155"/>
      <c r="AH444" s="56"/>
      <c r="AI444" s="56"/>
      <c r="AJ444" s="56"/>
      <c r="AK444" s="155"/>
      <c r="AL444" s="56"/>
      <c r="AM444" s="56"/>
      <c r="AN444" s="56"/>
    </row>
    <row r="445" spans="1:40" x14ac:dyDescent="0.25">
      <c r="C445" s="56"/>
      <c r="D445" s="56"/>
      <c r="E445" s="56"/>
      <c r="F445" s="56"/>
      <c r="H445" s="56"/>
      <c r="I445" s="56"/>
      <c r="J445" s="67"/>
      <c r="K445" s="56"/>
      <c r="L445" s="56"/>
      <c r="M445" s="56"/>
      <c r="N445" s="56"/>
      <c r="O445" s="56"/>
      <c r="P445" s="56"/>
      <c r="Q445" s="56"/>
      <c r="R445" s="56"/>
      <c r="T445" s="56"/>
      <c r="U445" s="56"/>
      <c r="V445" s="56"/>
      <c r="Y445" s="56"/>
      <c r="Z445" s="56"/>
      <c r="AA445" s="56"/>
      <c r="AB445" s="56"/>
      <c r="AC445" s="56"/>
      <c r="AD445" s="56"/>
      <c r="AE445" s="56"/>
      <c r="AF445" s="56"/>
      <c r="AG445" s="155"/>
      <c r="AH445" s="56"/>
      <c r="AI445" s="56"/>
      <c r="AJ445" s="56"/>
      <c r="AK445" s="155"/>
      <c r="AL445" s="56"/>
      <c r="AM445" s="56"/>
      <c r="AN445" s="56"/>
    </row>
    <row r="446" spans="1:40" x14ac:dyDescent="0.25">
      <c r="A446" s="55"/>
      <c r="B446" s="55"/>
      <c r="C446" s="55"/>
      <c r="D446" s="55"/>
      <c r="E446" s="55"/>
      <c r="F446" s="55"/>
      <c r="G446" s="55"/>
      <c r="H446" s="55"/>
      <c r="I446" s="55"/>
      <c r="J446" s="66"/>
      <c r="K446" s="55"/>
      <c r="L446" s="55"/>
      <c r="M446" s="55"/>
      <c r="N446" s="55"/>
      <c r="O446" s="55"/>
      <c r="P446" s="55"/>
      <c r="Q446" s="55"/>
      <c r="R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154"/>
      <c r="AH446" s="55"/>
      <c r="AI446" s="55"/>
      <c r="AJ446" s="55"/>
      <c r="AK446" s="154"/>
      <c r="AL446" s="55"/>
      <c r="AM446" s="55"/>
      <c r="AN446" s="55"/>
    </row>
    <row r="447" spans="1:40" x14ac:dyDescent="0.25">
      <c r="H447" s="56"/>
      <c r="I447" s="56"/>
      <c r="J447" s="67"/>
      <c r="K447" s="56"/>
      <c r="L447" s="56"/>
      <c r="M447" s="56"/>
      <c r="N447" s="56"/>
      <c r="O447" s="56"/>
      <c r="P447" s="56"/>
      <c r="Q447" s="56"/>
      <c r="R447" s="56"/>
      <c r="Y447" s="56"/>
      <c r="Z447" s="56"/>
      <c r="AA447" s="56"/>
      <c r="AB447" s="56"/>
      <c r="AC447" s="56"/>
      <c r="AD447" s="56"/>
      <c r="AE447" s="56"/>
      <c r="AF447" s="56"/>
      <c r="AG447" s="155"/>
      <c r="AH447" s="56"/>
      <c r="AI447" s="56"/>
      <c r="AJ447" s="56"/>
      <c r="AK447" s="155"/>
      <c r="AL447" s="56"/>
      <c r="AM447" s="56"/>
      <c r="AN447" s="56"/>
    </row>
    <row r="448" spans="1:40" x14ac:dyDescent="0.25">
      <c r="A448" s="53"/>
      <c r="C448" s="54"/>
      <c r="D448" s="54"/>
      <c r="E448" s="54"/>
      <c r="J448" s="77"/>
      <c r="T448" s="54"/>
      <c r="U448" s="54"/>
      <c r="V448" s="379"/>
      <c r="W448" s="379"/>
      <c r="X448" s="379"/>
      <c r="Y448" s="379"/>
      <c r="Z448" s="477"/>
    </row>
    <row r="449" spans="1:40" x14ac:dyDescent="0.25">
      <c r="J449" s="77"/>
    </row>
    <row r="450" spans="1:40" x14ac:dyDescent="0.25">
      <c r="A450" s="53"/>
      <c r="C450" s="54"/>
      <c r="J450" s="77"/>
      <c r="T450" s="54"/>
      <c r="V450" s="379"/>
      <c r="W450" s="379"/>
      <c r="X450" s="379"/>
      <c r="Y450" s="379"/>
      <c r="Z450" s="477"/>
    </row>
    <row r="451" spans="1:40" x14ac:dyDescent="0.25">
      <c r="A451" s="53"/>
      <c r="C451" s="54"/>
      <c r="F451" s="449"/>
      <c r="H451" s="449"/>
      <c r="I451" s="449"/>
      <c r="J451" s="221"/>
      <c r="K451" s="221"/>
      <c r="L451" s="379"/>
      <c r="M451" s="379"/>
      <c r="N451" s="50"/>
      <c r="O451" s="50"/>
      <c r="P451" s="379"/>
      <c r="Q451" s="379"/>
      <c r="R451" s="379"/>
      <c r="T451" s="54"/>
      <c r="V451" s="379"/>
      <c r="W451" s="379"/>
      <c r="X451" s="379"/>
      <c r="Y451" s="379"/>
      <c r="Z451" s="221"/>
      <c r="AA451" s="379"/>
      <c r="AB451" s="379"/>
      <c r="AC451" s="50"/>
      <c r="AD451" s="50"/>
      <c r="AE451" s="379"/>
      <c r="AF451" s="379"/>
      <c r="AG451" s="156"/>
      <c r="AH451" s="60"/>
      <c r="AI451" s="379"/>
      <c r="AJ451" s="379"/>
      <c r="AK451" s="156"/>
      <c r="AL451" s="379"/>
      <c r="AM451" s="50"/>
      <c r="AN451" s="50"/>
    </row>
    <row r="452" spans="1:40" x14ac:dyDescent="0.25">
      <c r="A452" s="53"/>
      <c r="C452" s="54"/>
      <c r="F452" s="449"/>
      <c r="H452" s="449"/>
      <c r="I452" s="449"/>
      <c r="J452" s="221"/>
      <c r="K452" s="221"/>
      <c r="L452" s="379"/>
      <c r="M452" s="379"/>
      <c r="N452" s="50"/>
      <c r="O452" s="50"/>
      <c r="P452" s="379"/>
      <c r="Q452" s="379"/>
      <c r="R452" s="379"/>
      <c r="T452" s="54"/>
      <c r="V452" s="379"/>
      <c r="W452" s="379"/>
      <c r="X452" s="379"/>
      <c r="Y452" s="379"/>
      <c r="Z452" s="221"/>
      <c r="AA452" s="379"/>
      <c r="AB452" s="379"/>
      <c r="AC452" s="50"/>
      <c r="AD452" s="50"/>
      <c r="AE452" s="379"/>
      <c r="AF452" s="379"/>
      <c r="AG452" s="156"/>
      <c r="AH452" s="60"/>
      <c r="AI452" s="379"/>
      <c r="AJ452" s="379"/>
      <c r="AK452" s="156"/>
      <c r="AL452" s="379"/>
      <c r="AM452" s="50"/>
      <c r="AN452" s="50"/>
    </row>
    <row r="453" spans="1:40" x14ac:dyDescent="0.25">
      <c r="A453" s="53"/>
      <c r="C453" s="54"/>
      <c r="F453" s="449"/>
      <c r="H453" s="449"/>
      <c r="I453" s="449"/>
      <c r="J453" s="221"/>
      <c r="K453" s="221"/>
      <c r="L453" s="379"/>
      <c r="M453" s="379"/>
      <c r="N453" s="50"/>
      <c r="O453" s="50"/>
      <c r="P453" s="379"/>
      <c r="Q453" s="379"/>
      <c r="R453" s="379"/>
      <c r="T453" s="54"/>
      <c r="V453" s="379"/>
      <c r="W453" s="379"/>
      <c r="X453" s="379"/>
      <c r="Y453" s="379"/>
      <c r="Z453" s="221"/>
      <c r="AA453" s="379"/>
      <c r="AB453" s="379"/>
      <c r="AC453" s="50"/>
      <c r="AD453" s="50"/>
      <c r="AE453" s="379"/>
      <c r="AF453" s="379"/>
      <c r="AG453" s="156"/>
      <c r="AH453" s="60"/>
      <c r="AI453" s="379"/>
      <c r="AJ453" s="379"/>
      <c r="AK453" s="156"/>
      <c r="AL453" s="379"/>
      <c r="AM453" s="50"/>
      <c r="AN453" s="50"/>
    </row>
    <row r="454" spans="1:40" x14ac:dyDescent="0.25">
      <c r="A454" s="53"/>
      <c r="C454" s="54"/>
      <c r="F454" s="449"/>
      <c r="H454" s="449"/>
      <c r="I454" s="449"/>
      <c r="J454" s="221"/>
      <c r="K454" s="221"/>
      <c r="L454" s="379"/>
      <c r="M454" s="379"/>
      <c r="N454" s="50"/>
      <c r="O454" s="50"/>
      <c r="P454" s="379"/>
      <c r="Q454" s="379"/>
      <c r="R454" s="379"/>
      <c r="T454" s="54"/>
      <c r="V454" s="379"/>
      <c r="W454" s="379"/>
      <c r="X454" s="379"/>
      <c r="Y454" s="379"/>
      <c r="Z454" s="221"/>
      <c r="AA454" s="379"/>
      <c r="AB454" s="379"/>
      <c r="AC454" s="50"/>
      <c r="AD454" s="50"/>
      <c r="AE454" s="379"/>
      <c r="AF454" s="379"/>
      <c r="AG454" s="156"/>
      <c r="AH454" s="60"/>
      <c r="AI454" s="379"/>
      <c r="AJ454" s="379"/>
      <c r="AK454" s="156"/>
      <c r="AL454" s="379"/>
      <c r="AM454" s="50"/>
      <c r="AN454" s="50"/>
    </row>
    <row r="455" spans="1:40" x14ac:dyDescent="0.25">
      <c r="J455" s="65"/>
      <c r="K455" s="65"/>
      <c r="V455" s="379"/>
      <c r="W455" s="379"/>
      <c r="X455" s="379"/>
      <c r="Y455" s="379"/>
      <c r="Z455" s="221"/>
    </row>
    <row r="456" spans="1:40" x14ac:dyDescent="0.25">
      <c r="A456" s="53"/>
      <c r="C456" s="54"/>
      <c r="F456" s="449"/>
      <c r="H456" s="449"/>
      <c r="I456" s="449"/>
      <c r="J456" s="221"/>
      <c r="K456" s="221"/>
      <c r="L456" s="379"/>
      <c r="M456" s="379"/>
      <c r="N456" s="50"/>
      <c r="O456" s="50"/>
      <c r="P456" s="379"/>
      <c r="Q456" s="379"/>
      <c r="R456" s="379"/>
      <c r="T456" s="54"/>
      <c r="V456" s="379"/>
      <c r="W456" s="379"/>
      <c r="X456" s="379"/>
      <c r="Y456" s="379"/>
      <c r="Z456" s="221"/>
      <c r="AA456" s="379"/>
      <c r="AB456" s="379"/>
      <c r="AC456" s="50"/>
      <c r="AD456" s="50"/>
      <c r="AE456" s="379"/>
      <c r="AF456" s="379"/>
      <c r="AG456" s="156"/>
      <c r="AH456" s="60"/>
      <c r="AI456" s="379"/>
      <c r="AJ456" s="379"/>
      <c r="AK456" s="156"/>
      <c r="AL456" s="379"/>
      <c r="AM456" s="60"/>
      <c r="AN456" s="60"/>
    </row>
    <row r="457" spans="1:40" x14ac:dyDescent="0.25">
      <c r="A457" s="53"/>
      <c r="C457" s="54"/>
      <c r="J457" s="65"/>
      <c r="K457" s="65"/>
      <c r="T457" s="54"/>
      <c r="V457" s="379"/>
      <c r="W457" s="379"/>
      <c r="X457" s="379"/>
      <c r="Y457" s="379"/>
      <c r="Z457" s="221"/>
    </row>
    <row r="458" spans="1:40" x14ac:dyDescent="0.25">
      <c r="A458" s="53"/>
      <c r="C458" s="54"/>
      <c r="F458" s="449"/>
      <c r="H458" s="449"/>
      <c r="I458" s="449"/>
      <c r="J458" s="221"/>
      <c r="K458" s="221"/>
      <c r="L458" s="379"/>
      <c r="M458" s="379"/>
      <c r="N458" s="50"/>
      <c r="O458" s="50"/>
      <c r="P458" s="379"/>
      <c r="Q458" s="379"/>
      <c r="R458" s="379"/>
      <c r="T458" s="54"/>
      <c r="V458" s="379"/>
      <c r="W458" s="379"/>
      <c r="X458" s="379"/>
      <c r="Y458" s="379"/>
      <c r="Z458" s="221"/>
      <c r="AA458" s="379"/>
      <c r="AB458" s="379"/>
      <c r="AC458" s="50"/>
      <c r="AD458" s="50"/>
      <c r="AE458" s="379"/>
      <c r="AF458" s="379"/>
      <c r="AG458" s="156"/>
      <c r="AH458" s="60"/>
      <c r="AI458" s="379"/>
      <c r="AJ458" s="379"/>
      <c r="AK458" s="156"/>
      <c r="AL458" s="379"/>
      <c r="AM458" s="60"/>
      <c r="AN458" s="60"/>
    </row>
    <row r="459" spans="1:40" x14ac:dyDescent="0.25">
      <c r="J459" s="65"/>
      <c r="K459" s="65"/>
      <c r="Z459" s="65"/>
    </row>
    <row r="460" spans="1:40" x14ac:dyDescent="0.25">
      <c r="A460" s="53"/>
      <c r="C460" s="54"/>
      <c r="J460" s="65"/>
      <c r="K460" s="65"/>
      <c r="T460" s="54"/>
      <c r="V460" s="379"/>
      <c r="W460" s="379"/>
      <c r="X460" s="379"/>
      <c r="Y460" s="379"/>
      <c r="Z460" s="221"/>
    </row>
    <row r="461" spans="1:40" x14ac:dyDescent="0.25">
      <c r="A461" s="53"/>
      <c r="C461" s="54"/>
      <c r="F461" s="449"/>
      <c r="H461" s="449"/>
      <c r="I461" s="449"/>
      <c r="J461" s="221"/>
      <c r="K461" s="221"/>
      <c r="L461" s="379"/>
      <c r="M461" s="379"/>
      <c r="N461" s="50"/>
      <c r="O461" s="50"/>
      <c r="P461" s="379"/>
      <c r="Q461" s="379"/>
      <c r="R461" s="379"/>
      <c r="T461" s="54"/>
      <c r="V461" s="379"/>
      <c r="W461" s="379"/>
      <c r="X461" s="379"/>
      <c r="Y461" s="379"/>
      <c r="Z461" s="221"/>
      <c r="AA461" s="379"/>
      <c r="AB461" s="379"/>
      <c r="AC461" s="50"/>
      <c r="AD461" s="50"/>
      <c r="AE461" s="379"/>
      <c r="AF461" s="379"/>
      <c r="AG461" s="156"/>
      <c r="AH461" s="60"/>
      <c r="AI461" s="379"/>
      <c r="AJ461" s="379"/>
      <c r="AK461" s="156"/>
      <c r="AL461" s="379"/>
      <c r="AM461" s="60"/>
      <c r="AN461" s="60"/>
    </row>
    <row r="462" spans="1:40" x14ac:dyDescent="0.25">
      <c r="A462" s="53"/>
      <c r="C462" s="54"/>
      <c r="F462" s="449"/>
      <c r="H462" s="449"/>
      <c r="I462" s="449"/>
      <c r="J462" s="221"/>
      <c r="K462" s="221"/>
      <c r="L462" s="379"/>
      <c r="M462" s="379"/>
      <c r="N462" s="50"/>
      <c r="O462" s="50"/>
      <c r="P462" s="379"/>
      <c r="Q462" s="379"/>
      <c r="R462" s="379"/>
      <c r="T462" s="54"/>
      <c r="V462" s="379"/>
      <c r="W462" s="379"/>
      <c r="X462" s="379"/>
      <c r="Y462" s="379"/>
      <c r="Z462" s="221"/>
      <c r="AA462" s="379"/>
      <c r="AB462" s="379"/>
      <c r="AC462" s="50"/>
      <c r="AD462" s="50"/>
      <c r="AE462" s="379"/>
      <c r="AF462" s="379"/>
      <c r="AG462" s="156"/>
      <c r="AH462" s="60"/>
      <c r="AI462" s="379"/>
      <c r="AJ462" s="379"/>
      <c r="AK462" s="156"/>
      <c r="AL462" s="379"/>
      <c r="AM462" s="60"/>
      <c r="AN462" s="60"/>
    </row>
    <row r="463" spans="1:40" x14ac:dyDescent="0.25">
      <c r="F463" s="381"/>
      <c r="H463" s="381"/>
      <c r="I463" s="381"/>
      <c r="J463" s="221"/>
      <c r="K463" s="221"/>
      <c r="L463" s="381"/>
      <c r="M463" s="381"/>
      <c r="N463" s="381"/>
      <c r="O463" s="381"/>
      <c r="P463" s="381"/>
      <c r="Q463" s="381"/>
      <c r="R463" s="381"/>
      <c r="V463" s="381"/>
      <c r="Y463" s="381"/>
      <c r="Z463" s="464"/>
      <c r="AA463" s="381"/>
      <c r="AB463" s="381"/>
      <c r="AC463" s="381"/>
      <c r="AD463" s="381"/>
      <c r="AE463" s="381"/>
      <c r="AF463" s="381"/>
      <c r="AI463" s="381"/>
      <c r="AJ463" s="381"/>
      <c r="AK463" s="162"/>
      <c r="AL463" s="381"/>
    </row>
    <row r="464" spans="1:40" x14ac:dyDescent="0.25">
      <c r="A464" s="53"/>
      <c r="C464" s="54"/>
      <c r="F464" s="379"/>
      <c r="H464" s="379"/>
      <c r="I464" s="379"/>
      <c r="J464" s="77"/>
      <c r="L464" s="379"/>
      <c r="M464" s="379"/>
      <c r="N464" s="50"/>
      <c r="O464" s="50"/>
      <c r="P464" s="449"/>
      <c r="Q464" s="449"/>
      <c r="R464" s="379"/>
      <c r="T464" s="54"/>
      <c r="V464" s="379"/>
      <c r="W464" s="379"/>
      <c r="X464" s="379"/>
      <c r="Y464" s="379"/>
      <c r="Z464" s="477"/>
      <c r="AA464" s="379"/>
      <c r="AB464" s="379"/>
      <c r="AC464" s="50"/>
      <c r="AD464" s="50"/>
      <c r="AE464" s="379"/>
      <c r="AF464" s="379"/>
      <c r="AG464" s="156"/>
      <c r="AH464" s="60"/>
      <c r="AI464" s="449"/>
      <c r="AJ464" s="449"/>
      <c r="AK464" s="156"/>
      <c r="AL464" s="379"/>
      <c r="AM464" s="60"/>
      <c r="AN464" s="60"/>
    </row>
    <row r="465" spans="1:40" x14ac:dyDescent="0.25">
      <c r="H465" s="381"/>
      <c r="I465" s="381"/>
      <c r="J465" s="221"/>
      <c r="K465" s="464"/>
      <c r="L465" s="381"/>
      <c r="M465" s="381"/>
      <c r="N465" s="381"/>
      <c r="O465" s="381"/>
      <c r="P465" s="381"/>
      <c r="Q465" s="381"/>
      <c r="R465" s="381"/>
      <c r="V465" s="381"/>
      <c r="Y465" s="381"/>
      <c r="Z465" s="464"/>
      <c r="AA465" s="381"/>
      <c r="AB465" s="381"/>
      <c r="AC465" s="381"/>
      <c r="AD465" s="381"/>
      <c r="AE465" s="381"/>
      <c r="AF465" s="381"/>
      <c r="AI465" s="381"/>
      <c r="AJ465" s="381"/>
      <c r="AK465" s="162"/>
      <c r="AL465" s="381"/>
    </row>
    <row r="466" spans="1:40" x14ac:dyDescent="0.25">
      <c r="F466" s="381"/>
      <c r="J466" s="77"/>
    </row>
    <row r="467" spans="1:40" x14ac:dyDescent="0.25">
      <c r="C467" s="53"/>
      <c r="J467" s="77"/>
      <c r="T467" s="53"/>
    </row>
    <row r="468" spans="1:40" x14ac:dyDescent="0.25">
      <c r="A468" s="54"/>
      <c r="J468" s="77"/>
    </row>
    <row r="469" spans="1:40" x14ac:dyDescent="0.25">
      <c r="J469" s="65"/>
      <c r="K469" s="53"/>
      <c r="Z469" s="53"/>
    </row>
    <row r="470" spans="1:40" x14ac:dyDescent="0.25">
      <c r="H470" s="54"/>
      <c r="I470" s="54"/>
      <c r="J470" s="77"/>
      <c r="Y470" s="54"/>
    </row>
    <row r="471" spans="1:40" x14ac:dyDescent="0.25">
      <c r="J471" s="65"/>
      <c r="K471" s="53"/>
      <c r="Z471" s="53"/>
    </row>
    <row r="472" spans="1:40" x14ac:dyDescent="0.25">
      <c r="J472" s="77"/>
      <c r="L472" s="54"/>
      <c r="M472" s="54"/>
      <c r="AA472" s="54"/>
      <c r="AB472" s="54"/>
    </row>
    <row r="473" spans="1:40" x14ac:dyDescent="0.25">
      <c r="A473" s="53"/>
      <c r="J473" s="77"/>
      <c r="R473" s="54"/>
      <c r="AK473" s="161"/>
      <c r="AL473" s="54"/>
    </row>
    <row r="474" spans="1:40" x14ac:dyDescent="0.25">
      <c r="A474" s="53"/>
      <c r="J474" s="77"/>
      <c r="R474" s="54"/>
      <c r="AK474" s="161"/>
      <c r="AL474" s="54"/>
    </row>
    <row r="475" spans="1:40" x14ac:dyDescent="0.25">
      <c r="A475" s="54"/>
      <c r="J475" s="77"/>
      <c r="R475" s="54"/>
      <c r="AK475" s="161"/>
      <c r="AL475" s="54"/>
    </row>
    <row r="476" spans="1:40" x14ac:dyDescent="0.25">
      <c r="J476" s="77"/>
      <c r="L476" s="54"/>
      <c r="M476" s="54"/>
      <c r="R476" s="53"/>
      <c r="AA476" s="54"/>
      <c r="AB476" s="54"/>
      <c r="AK476" s="156"/>
      <c r="AL476" s="53"/>
    </row>
    <row r="477" spans="1:40" x14ac:dyDescent="0.25">
      <c r="A477" s="55"/>
      <c r="B477" s="55"/>
      <c r="C477" s="55"/>
      <c r="D477" s="55"/>
      <c r="E477" s="55"/>
      <c r="F477" s="55"/>
      <c r="G477" s="55"/>
      <c r="H477" s="55"/>
      <c r="I477" s="55"/>
      <c r="J477" s="66"/>
      <c r="K477" s="55"/>
      <c r="L477" s="55"/>
      <c r="M477" s="55"/>
      <c r="N477" s="55"/>
      <c r="O477" s="55"/>
      <c r="P477" s="55"/>
      <c r="Q477" s="55"/>
      <c r="R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154"/>
      <c r="AH477" s="55"/>
      <c r="AI477" s="55"/>
      <c r="AJ477" s="55"/>
      <c r="AK477" s="154"/>
      <c r="AL477" s="55"/>
      <c r="AM477" s="55"/>
      <c r="AN477" s="55"/>
    </row>
    <row r="478" spans="1:40" x14ac:dyDescent="0.25">
      <c r="J478" s="77"/>
      <c r="L478" s="56"/>
      <c r="M478" s="56"/>
      <c r="N478" s="56"/>
      <c r="O478" s="56"/>
      <c r="R478" s="56"/>
      <c r="AA478" s="56"/>
      <c r="AB478" s="56"/>
      <c r="AC478" s="56"/>
      <c r="AD478" s="56"/>
      <c r="AE478" s="56"/>
      <c r="AF478" s="56"/>
      <c r="AG478" s="155"/>
      <c r="AH478" s="56"/>
      <c r="AK478" s="155"/>
      <c r="AL478" s="56"/>
      <c r="AM478" s="56"/>
      <c r="AN478" s="56"/>
    </row>
    <row r="479" spans="1:40" x14ac:dyDescent="0.25">
      <c r="J479" s="77"/>
      <c r="L479" s="56"/>
      <c r="M479" s="56"/>
      <c r="N479" s="56"/>
      <c r="O479" s="56"/>
      <c r="R479" s="56"/>
      <c r="Z479" s="56"/>
      <c r="AA479" s="56"/>
      <c r="AB479" s="56"/>
      <c r="AC479" s="56"/>
      <c r="AD479" s="56"/>
      <c r="AE479" s="56"/>
      <c r="AF479" s="56"/>
      <c r="AG479" s="155"/>
      <c r="AH479" s="56"/>
      <c r="AK479" s="155"/>
      <c r="AL479" s="56"/>
      <c r="AM479" s="56"/>
      <c r="AN479" s="56"/>
    </row>
    <row r="480" spans="1:40" x14ac:dyDescent="0.25">
      <c r="A480" s="56"/>
      <c r="C480" s="56"/>
      <c r="D480" s="56"/>
      <c r="E480" s="56"/>
      <c r="F480" s="56"/>
      <c r="J480" s="67"/>
      <c r="K480" s="56"/>
      <c r="L480" s="56"/>
      <c r="M480" s="56"/>
      <c r="N480" s="56"/>
      <c r="O480" s="56"/>
      <c r="P480" s="56"/>
      <c r="Q480" s="56"/>
      <c r="R480" s="56"/>
      <c r="T480" s="56"/>
      <c r="U480" s="56"/>
      <c r="V480" s="56"/>
      <c r="Z480" s="56"/>
      <c r="AA480" s="56"/>
      <c r="AB480" s="56"/>
      <c r="AC480" s="56"/>
      <c r="AD480" s="56"/>
      <c r="AE480" s="56"/>
      <c r="AF480" s="56"/>
      <c r="AG480" s="155"/>
      <c r="AH480" s="56"/>
      <c r="AI480" s="56"/>
      <c r="AJ480" s="56"/>
      <c r="AK480" s="155"/>
      <c r="AL480" s="56"/>
      <c r="AM480" s="56"/>
      <c r="AN480" s="56"/>
    </row>
    <row r="481" spans="1:40" x14ac:dyDescent="0.25">
      <c r="A481" s="56"/>
      <c r="C481" s="56"/>
      <c r="D481" s="56"/>
      <c r="E481" s="56"/>
      <c r="F481" s="56"/>
      <c r="H481" s="56"/>
      <c r="I481" s="56"/>
      <c r="J481" s="67"/>
      <c r="K481" s="56"/>
      <c r="L481" s="56"/>
      <c r="M481" s="56"/>
      <c r="N481" s="56"/>
      <c r="O481" s="56"/>
      <c r="P481" s="56"/>
      <c r="Q481" s="56"/>
      <c r="R481" s="56"/>
      <c r="T481" s="56"/>
      <c r="U481" s="56"/>
      <c r="V481" s="56"/>
      <c r="Y481" s="56"/>
      <c r="Z481" s="56"/>
      <c r="AA481" s="56"/>
      <c r="AB481" s="56"/>
      <c r="AC481" s="56"/>
      <c r="AD481" s="56"/>
      <c r="AE481" s="56"/>
      <c r="AF481" s="56"/>
      <c r="AG481" s="155"/>
      <c r="AH481" s="56"/>
      <c r="AI481" s="56"/>
      <c r="AJ481" s="56"/>
      <c r="AK481" s="155"/>
      <c r="AL481" s="56"/>
      <c r="AM481" s="56"/>
      <c r="AN481" s="56"/>
    </row>
    <row r="482" spans="1:40" x14ac:dyDescent="0.25">
      <c r="C482" s="56"/>
      <c r="D482" s="56"/>
      <c r="E482" s="56"/>
      <c r="F482" s="56"/>
      <c r="H482" s="56"/>
      <c r="I482" s="56"/>
      <c r="J482" s="67"/>
      <c r="K482" s="56"/>
      <c r="L482" s="56"/>
      <c r="M482" s="56"/>
      <c r="N482" s="56"/>
      <c r="O482" s="56"/>
      <c r="P482" s="56"/>
      <c r="Q482" s="56"/>
      <c r="R482" s="56"/>
      <c r="T482" s="56"/>
      <c r="U482" s="56"/>
      <c r="V482" s="56"/>
      <c r="Y482" s="56"/>
      <c r="Z482" s="56"/>
      <c r="AA482" s="56"/>
      <c r="AB482" s="56"/>
      <c r="AC482" s="56"/>
      <c r="AD482" s="56"/>
      <c r="AE482" s="56"/>
      <c r="AF482" s="56"/>
      <c r="AG482" s="155"/>
      <c r="AH482" s="56"/>
      <c r="AI482" s="56"/>
      <c r="AJ482" s="56"/>
      <c r="AK482" s="155"/>
      <c r="AL482" s="56"/>
      <c r="AM482" s="56"/>
      <c r="AN482" s="56"/>
    </row>
    <row r="483" spans="1:40" x14ac:dyDescent="0.25">
      <c r="A483" s="55"/>
      <c r="B483" s="55"/>
      <c r="C483" s="55"/>
      <c r="D483" s="55"/>
      <c r="E483" s="55"/>
      <c r="F483" s="55"/>
      <c r="G483" s="55"/>
      <c r="H483" s="55"/>
      <c r="I483" s="55"/>
      <c r="J483" s="66"/>
      <c r="K483" s="55"/>
      <c r="L483" s="55"/>
      <c r="M483" s="55"/>
      <c r="N483" s="55"/>
      <c r="O483" s="55"/>
      <c r="P483" s="55"/>
      <c r="Q483" s="55"/>
      <c r="R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154"/>
      <c r="AH483" s="55"/>
      <c r="AI483" s="55"/>
      <c r="AJ483" s="55"/>
      <c r="AK483" s="154"/>
      <c r="AL483" s="55"/>
      <c r="AM483" s="55"/>
      <c r="AN483" s="55"/>
    </row>
    <row r="484" spans="1:40" x14ac:dyDescent="0.25">
      <c r="H484" s="56"/>
      <c r="I484" s="56"/>
      <c r="J484" s="67"/>
      <c r="K484" s="56"/>
      <c r="L484" s="56"/>
      <c r="M484" s="56"/>
      <c r="N484" s="56"/>
      <c r="O484" s="56"/>
      <c r="P484" s="56"/>
      <c r="Q484" s="56"/>
      <c r="R484" s="56"/>
      <c r="Y484" s="56"/>
      <c r="Z484" s="56"/>
      <c r="AA484" s="56"/>
      <c r="AB484" s="56"/>
      <c r="AC484" s="56"/>
      <c r="AD484" s="56"/>
      <c r="AE484" s="56"/>
      <c r="AF484" s="56"/>
      <c r="AG484" s="155"/>
      <c r="AH484" s="56"/>
      <c r="AI484" s="56"/>
      <c r="AJ484" s="56"/>
      <c r="AK484" s="155"/>
      <c r="AL484" s="56"/>
      <c r="AM484" s="56"/>
      <c r="AN484" s="56"/>
    </row>
    <row r="485" spans="1:40" x14ac:dyDescent="0.25">
      <c r="A485" s="53"/>
      <c r="C485" s="54"/>
      <c r="D485" s="54"/>
      <c r="E485" s="54"/>
      <c r="J485" s="77"/>
      <c r="T485" s="54"/>
      <c r="U485" s="54"/>
    </row>
    <row r="486" spans="1:40" x14ac:dyDescent="0.25">
      <c r="J486" s="77"/>
    </row>
    <row r="487" spans="1:40" x14ac:dyDescent="0.25">
      <c r="A487" s="53"/>
      <c r="C487" s="54"/>
      <c r="J487" s="77"/>
      <c r="T487" s="54"/>
    </row>
    <row r="488" spans="1:40" x14ac:dyDescent="0.25">
      <c r="A488" s="53"/>
      <c r="C488" s="54"/>
      <c r="J488" s="77"/>
      <c r="T488" s="54"/>
    </row>
    <row r="489" spans="1:40" x14ac:dyDescent="0.25">
      <c r="A489" s="53"/>
      <c r="C489" s="54"/>
      <c r="F489" s="449"/>
      <c r="H489" s="449"/>
      <c r="I489" s="449"/>
      <c r="J489" s="221"/>
      <c r="K489" s="221"/>
      <c r="L489" s="379"/>
      <c r="M489" s="379"/>
      <c r="N489" s="50"/>
      <c r="O489" s="50"/>
      <c r="P489" s="379"/>
      <c r="Q489" s="379"/>
      <c r="R489" s="379"/>
      <c r="T489" s="54"/>
      <c r="V489" s="379"/>
      <c r="W489" s="379"/>
      <c r="X489" s="379"/>
      <c r="Y489" s="379"/>
      <c r="Z489" s="221"/>
      <c r="AA489" s="379"/>
      <c r="AB489" s="379"/>
      <c r="AC489" s="50"/>
      <c r="AD489" s="50"/>
      <c r="AE489" s="379"/>
      <c r="AF489" s="379"/>
      <c r="AG489" s="156"/>
      <c r="AH489" s="60"/>
      <c r="AI489" s="379"/>
      <c r="AJ489" s="379"/>
      <c r="AK489" s="156"/>
      <c r="AL489" s="379"/>
      <c r="AM489" s="60"/>
      <c r="AN489" s="60"/>
    </row>
    <row r="490" spans="1:40" x14ac:dyDescent="0.25">
      <c r="A490" s="53"/>
      <c r="C490" s="54"/>
      <c r="F490" s="379"/>
      <c r="H490" s="379"/>
      <c r="I490" s="379"/>
      <c r="J490" s="65"/>
      <c r="K490" s="65"/>
      <c r="L490" s="379"/>
      <c r="M490" s="379"/>
      <c r="N490" s="50"/>
      <c r="O490" s="50"/>
      <c r="P490" s="379"/>
      <c r="Q490" s="379"/>
      <c r="R490" s="379"/>
      <c r="T490" s="54"/>
      <c r="V490" s="379"/>
      <c r="W490" s="379"/>
      <c r="X490" s="379"/>
      <c r="Y490" s="379"/>
      <c r="Z490" s="65"/>
      <c r="AA490" s="379"/>
      <c r="AB490" s="379"/>
      <c r="AC490" s="50"/>
      <c r="AD490" s="50"/>
      <c r="AE490" s="379"/>
      <c r="AF490" s="379"/>
      <c r="AG490" s="156"/>
      <c r="AH490" s="60"/>
      <c r="AI490" s="379"/>
      <c r="AJ490" s="379"/>
      <c r="AK490" s="156"/>
      <c r="AL490" s="379"/>
      <c r="AM490" s="60"/>
      <c r="AN490" s="60"/>
    </row>
    <row r="491" spans="1:40" x14ac:dyDescent="0.25">
      <c r="A491" s="53"/>
      <c r="C491" s="54"/>
      <c r="F491" s="379"/>
      <c r="H491" s="379"/>
      <c r="I491" s="379"/>
      <c r="J491" s="65"/>
      <c r="K491" s="65"/>
      <c r="L491" s="379"/>
      <c r="M491" s="379"/>
      <c r="N491" s="50"/>
      <c r="O491" s="50"/>
      <c r="P491" s="379"/>
      <c r="Q491" s="379"/>
      <c r="R491" s="379"/>
      <c r="T491" s="54"/>
      <c r="V491" s="379"/>
      <c r="W491" s="379"/>
      <c r="X491" s="379"/>
      <c r="Y491" s="379"/>
      <c r="Z491" s="65"/>
      <c r="AA491" s="379"/>
      <c r="AB491" s="379"/>
      <c r="AC491" s="50"/>
      <c r="AD491" s="50"/>
      <c r="AE491" s="379"/>
      <c r="AF491" s="379"/>
      <c r="AG491" s="156"/>
      <c r="AH491" s="60"/>
      <c r="AI491" s="379"/>
      <c r="AJ491" s="379"/>
      <c r="AK491" s="156"/>
      <c r="AL491" s="379"/>
      <c r="AM491" s="60"/>
      <c r="AN491" s="60"/>
    </row>
    <row r="492" spans="1:40" x14ac:dyDescent="0.25">
      <c r="A492" s="53"/>
      <c r="C492" s="54"/>
      <c r="F492" s="379"/>
      <c r="H492" s="379"/>
      <c r="I492" s="379"/>
      <c r="J492" s="65"/>
      <c r="K492" s="65"/>
      <c r="T492" s="54"/>
      <c r="V492" s="379"/>
      <c r="Z492" s="65"/>
    </row>
    <row r="493" spans="1:40" x14ac:dyDescent="0.25">
      <c r="A493" s="53"/>
      <c r="C493" s="54"/>
      <c r="F493" s="449"/>
      <c r="H493" s="449"/>
      <c r="I493" s="449"/>
      <c r="J493" s="221"/>
      <c r="K493" s="221"/>
      <c r="L493" s="379"/>
      <c r="M493" s="379"/>
      <c r="N493" s="50"/>
      <c r="O493" s="50"/>
      <c r="P493" s="379"/>
      <c r="Q493" s="379"/>
      <c r="R493" s="379"/>
      <c r="T493" s="54"/>
      <c r="V493" s="379"/>
      <c r="W493" s="379"/>
      <c r="X493" s="379"/>
      <c r="Y493" s="379"/>
      <c r="Z493" s="221"/>
      <c r="AA493" s="379"/>
      <c r="AB493" s="379"/>
      <c r="AC493" s="50"/>
      <c r="AD493" s="50"/>
      <c r="AE493" s="379"/>
      <c r="AF493" s="379"/>
      <c r="AG493" s="156"/>
      <c r="AH493" s="60"/>
      <c r="AI493" s="379"/>
      <c r="AJ493" s="379"/>
      <c r="AK493" s="156"/>
      <c r="AL493" s="379"/>
      <c r="AM493" s="60"/>
      <c r="AN493" s="60"/>
    </row>
    <row r="494" spans="1:40" x14ac:dyDescent="0.25">
      <c r="A494" s="53"/>
      <c r="C494" s="54"/>
      <c r="F494" s="379"/>
      <c r="H494" s="379"/>
      <c r="I494" s="379"/>
      <c r="J494" s="65"/>
      <c r="K494" s="65"/>
      <c r="T494" s="54"/>
      <c r="V494" s="379"/>
      <c r="W494" s="379"/>
      <c r="X494" s="379"/>
      <c r="Y494" s="379"/>
      <c r="Z494" s="65"/>
      <c r="AC494" s="50"/>
      <c r="AD494" s="50"/>
      <c r="AE494" s="379"/>
      <c r="AF494" s="379"/>
      <c r="AG494" s="156"/>
      <c r="AH494" s="60"/>
      <c r="AI494" s="379"/>
      <c r="AJ494" s="379"/>
      <c r="AK494" s="156"/>
      <c r="AL494" s="379"/>
      <c r="AM494" s="60"/>
      <c r="AN494" s="60"/>
    </row>
    <row r="495" spans="1:40" x14ac:dyDescent="0.25">
      <c r="A495" s="53"/>
      <c r="C495" s="54"/>
      <c r="F495" s="449"/>
      <c r="H495" s="449"/>
      <c r="I495" s="449"/>
      <c r="J495" s="221"/>
      <c r="K495" s="221"/>
      <c r="L495" s="379"/>
      <c r="M495" s="379"/>
      <c r="N495" s="50"/>
      <c r="O495" s="50"/>
      <c r="P495" s="379"/>
      <c r="Q495" s="379"/>
      <c r="R495" s="379"/>
      <c r="T495" s="54"/>
      <c r="V495" s="379"/>
      <c r="W495" s="379"/>
      <c r="X495" s="379"/>
      <c r="Y495" s="379"/>
      <c r="Z495" s="221"/>
      <c r="AA495" s="379"/>
      <c r="AB495" s="379"/>
      <c r="AC495" s="50"/>
      <c r="AD495" s="50"/>
      <c r="AE495" s="379"/>
      <c r="AF495" s="379"/>
      <c r="AG495" s="156"/>
      <c r="AH495" s="60"/>
      <c r="AI495" s="379"/>
      <c r="AJ495" s="379"/>
      <c r="AK495" s="156"/>
      <c r="AL495" s="379"/>
      <c r="AM495" s="60"/>
      <c r="AN495" s="60"/>
    </row>
    <row r="496" spans="1:40" x14ac:dyDescent="0.25">
      <c r="A496" s="53"/>
      <c r="C496" s="54"/>
      <c r="F496" s="379"/>
      <c r="H496" s="379"/>
      <c r="I496" s="379"/>
      <c r="J496" s="65"/>
      <c r="K496" s="65"/>
      <c r="L496" s="379"/>
      <c r="M496" s="379"/>
      <c r="N496" s="50"/>
      <c r="O496" s="50"/>
      <c r="P496" s="379"/>
      <c r="Q496" s="379"/>
      <c r="R496" s="379"/>
      <c r="T496" s="54"/>
      <c r="V496" s="379"/>
      <c r="W496" s="379"/>
      <c r="X496" s="379"/>
      <c r="Y496" s="379"/>
      <c r="Z496" s="65"/>
      <c r="AA496" s="379"/>
      <c r="AB496" s="379"/>
      <c r="AC496" s="50"/>
      <c r="AD496" s="50"/>
      <c r="AE496" s="379"/>
      <c r="AF496" s="379"/>
      <c r="AG496" s="156"/>
      <c r="AH496" s="60"/>
      <c r="AI496" s="379"/>
      <c r="AJ496" s="379"/>
      <c r="AK496" s="156"/>
      <c r="AL496" s="379"/>
      <c r="AM496" s="60"/>
      <c r="AN496" s="60"/>
    </row>
    <row r="497" spans="1:40" x14ac:dyDescent="0.25">
      <c r="F497" s="379"/>
      <c r="H497" s="379"/>
      <c r="I497" s="379"/>
      <c r="J497" s="65"/>
      <c r="K497" s="65"/>
      <c r="Z497" s="65"/>
    </row>
    <row r="498" spans="1:40" x14ac:dyDescent="0.25">
      <c r="A498" s="53"/>
      <c r="C498" s="54"/>
      <c r="F498" s="379"/>
      <c r="H498" s="449"/>
      <c r="I498" s="449"/>
      <c r="J498" s="221"/>
      <c r="K498" s="221"/>
      <c r="L498" s="379"/>
      <c r="M498" s="379"/>
      <c r="N498" s="50"/>
      <c r="O498" s="50"/>
      <c r="P498" s="379"/>
      <c r="Q498" s="379"/>
      <c r="R498" s="379"/>
      <c r="T498" s="54"/>
      <c r="V498" s="379"/>
      <c r="W498" s="379"/>
      <c r="X498" s="379"/>
      <c r="Y498" s="379"/>
      <c r="Z498" s="221"/>
      <c r="AA498" s="379"/>
      <c r="AB498" s="379"/>
      <c r="AC498" s="50"/>
      <c r="AD498" s="50"/>
      <c r="AE498" s="379"/>
      <c r="AF498" s="379"/>
      <c r="AG498" s="156"/>
      <c r="AH498" s="60"/>
      <c r="AI498" s="379"/>
      <c r="AJ498" s="379"/>
      <c r="AK498" s="156"/>
      <c r="AL498" s="379"/>
      <c r="AM498" s="60"/>
      <c r="AN498" s="60"/>
    </row>
    <row r="499" spans="1:40" x14ac:dyDescent="0.25">
      <c r="F499" s="381"/>
      <c r="H499" s="381"/>
      <c r="I499" s="381"/>
      <c r="J499" s="221"/>
      <c r="K499" s="221"/>
      <c r="L499" s="381"/>
      <c r="M499" s="381"/>
      <c r="N499" s="381"/>
      <c r="O499" s="381"/>
      <c r="P499" s="381"/>
      <c r="Q499" s="381"/>
      <c r="R499" s="381"/>
      <c r="V499" s="381"/>
      <c r="Y499" s="381"/>
      <c r="Z499" s="221"/>
      <c r="AA499" s="381"/>
      <c r="AB499" s="381"/>
      <c r="AC499" s="381"/>
      <c r="AD499" s="381"/>
      <c r="AE499" s="381"/>
      <c r="AF499" s="381"/>
      <c r="AI499" s="381"/>
      <c r="AJ499" s="381"/>
      <c r="AK499" s="162"/>
      <c r="AL499" s="381"/>
    </row>
    <row r="500" spans="1:40" x14ac:dyDescent="0.25">
      <c r="A500" s="53"/>
      <c r="C500" s="54"/>
      <c r="F500" s="379"/>
      <c r="H500" s="379"/>
      <c r="I500" s="379"/>
      <c r="J500" s="65"/>
      <c r="K500" s="65"/>
      <c r="L500" s="379"/>
      <c r="M500" s="379"/>
      <c r="N500" s="53"/>
      <c r="O500" s="53"/>
      <c r="P500" s="379"/>
      <c r="Q500" s="379"/>
      <c r="R500" s="379"/>
      <c r="T500" s="54"/>
      <c r="V500" s="379"/>
      <c r="Y500" s="379"/>
      <c r="Z500" s="65"/>
      <c r="AA500" s="379"/>
      <c r="AB500" s="379"/>
      <c r="AC500" s="60"/>
      <c r="AD500" s="60"/>
      <c r="AE500" s="379"/>
      <c r="AF500" s="379"/>
      <c r="AG500" s="156"/>
      <c r="AH500" s="60"/>
      <c r="AI500" s="379"/>
      <c r="AJ500" s="379"/>
      <c r="AK500" s="156"/>
      <c r="AL500" s="379"/>
      <c r="AM500" s="60"/>
      <c r="AN500" s="60"/>
    </row>
    <row r="501" spans="1:40" x14ac:dyDescent="0.25">
      <c r="F501" s="381"/>
      <c r="H501" s="381"/>
      <c r="I501" s="381"/>
      <c r="J501" s="221"/>
      <c r="K501" s="221"/>
      <c r="L501" s="381"/>
      <c r="M501" s="381"/>
      <c r="N501" s="381"/>
      <c r="O501" s="381"/>
      <c r="P501" s="381"/>
      <c r="Q501" s="381"/>
      <c r="R501" s="381"/>
      <c r="V501" s="381"/>
      <c r="Y501" s="381"/>
      <c r="Z501" s="221"/>
      <c r="AA501" s="381"/>
      <c r="AB501" s="381"/>
      <c r="AC501" s="381"/>
      <c r="AD501" s="381"/>
      <c r="AE501" s="381"/>
      <c r="AF501" s="381"/>
      <c r="AI501" s="381"/>
      <c r="AJ501" s="381"/>
      <c r="AK501" s="162"/>
      <c r="AL501" s="381"/>
    </row>
    <row r="502" spans="1:40" x14ac:dyDescent="0.25">
      <c r="J502" s="65"/>
      <c r="K502" s="65"/>
      <c r="Z502" s="65"/>
    </row>
    <row r="503" spans="1:40" x14ac:dyDescent="0.25">
      <c r="A503" s="53"/>
      <c r="C503" s="54"/>
      <c r="J503" s="65"/>
      <c r="K503" s="65"/>
      <c r="T503" s="54"/>
      <c r="Z503" s="65"/>
    </row>
    <row r="504" spans="1:40" x14ac:dyDescent="0.25">
      <c r="A504" s="53"/>
      <c r="C504" s="54"/>
      <c r="J504" s="65"/>
      <c r="K504" s="65"/>
      <c r="T504" s="54"/>
      <c r="Z504" s="65"/>
    </row>
    <row r="505" spans="1:40" x14ac:dyDescent="0.25">
      <c r="A505" s="53"/>
      <c r="C505" s="54"/>
      <c r="F505" s="449"/>
      <c r="H505" s="449"/>
      <c r="I505" s="449"/>
      <c r="J505" s="221"/>
      <c r="K505" s="221"/>
      <c r="L505" s="379"/>
      <c r="M505" s="379"/>
      <c r="N505" s="50"/>
      <c r="O505" s="50"/>
      <c r="P505" s="379"/>
      <c r="Q505" s="379"/>
      <c r="R505" s="379"/>
      <c r="T505" s="54"/>
      <c r="V505" s="379"/>
      <c r="W505" s="379"/>
      <c r="X505" s="379"/>
      <c r="Y505" s="379"/>
      <c r="Z505" s="221"/>
      <c r="AA505" s="379"/>
      <c r="AB505" s="379"/>
      <c r="AC505" s="50"/>
      <c r="AD505" s="50"/>
      <c r="AE505" s="379"/>
      <c r="AF505" s="379"/>
      <c r="AG505" s="156"/>
      <c r="AH505" s="60"/>
      <c r="AI505" s="379"/>
      <c r="AJ505" s="379"/>
      <c r="AK505" s="156"/>
      <c r="AL505" s="379"/>
      <c r="AM505" s="60"/>
      <c r="AN505" s="60"/>
    </row>
    <row r="506" spans="1:40" x14ac:dyDescent="0.25">
      <c r="A506" s="53"/>
      <c r="C506" s="54"/>
      <c r="J506" s="65"/>
      <c r="K506" s="65"/>
      <c r="T506" s="54"/>
      <c r="Z506" s="65"/>
    </row>
    <row r="507" spans="1:40" x14ac:dyDescent="0.25">
      <c r="A507" s="53"/>
      <c r="C507" s="54"/>
      <c r="F507" s="449"/>
      <c r="H507" s="449"/>
      <c r="I507" s="449"/>
      <c r="J507" s="221"/>
      <c r="K507" s="221"/>
      <c r="L507" s="379"/>
      <c r="M507" s="379"/>
      <c r="N507" s="50"/>
      <c r="O507" s="50"/>
      <c r="P507" s="379"/>
      <c r="Q507" s="379"/>
      <c r="R507" s="379"/>
      <c r="T507" s="54"/>
      <c r="V507" s="379"/>
      <c r="W507" s="379"/>
      <c r="X507" s="379"/>
      <c r="Y507" s="379"/>
      <c r="Z507" s="221"/>
      <c r="AA507" s="379"/>
      <c r="AB507" s="379"/>
      <c r="AC507" s="50"/>
      <c r="AD507" s="50"/>
      <c r="AE507" s="379"/>
      <c r="AF507" s="379"/>
      <c r="AG507" s="156"/>
      <c r="AH507" s="60"/>
      <c r="AI507" s="379"/>
      <c r="AJ507" s="379"/>
      <c r="AK507" s="156"/>
      <c r="AL507" s="379"/>
      <c r="AM507" s="60"/>
      <c r="AN507" s="60"/>
    </row>
    <row r="508" spans="1:40" x14ac:dyDescent="0.25">
      <c r="F508" s="381"/>
      <c r="H508" s="381"/>
      <c r="I508" s="381"/>
      <c r="J508" s="221"/>
      <c r="K508" s="221"/>
      <c r="L508" s="381"/>
      <c r="M508" s="381"/>
      <c r="N508" s="381"/>
      <c r="O508" s="381"/>
      <c r="P508" s="381"/>
      <c r="Q508" s="381"/>
      <c r="R508" s="381"/>
      <c r="V508" s="381"/>
      <c r="Y508" s="381"/>
      <c r="Z508" s="221"/>
      <c r="AA508" s="381"/>
      <c r="AB508" s="381"/>
      <c r="AC508" s="381"/>
      <c r="AD508" s="381"/>
      <c r="AE508" s="381"/>
      <c r="AF508" s="381"/>
      <c r="AI508" s="381"/>
      <c r="AJ508" s="381"/>
      <c r="AK508" s="162"/>
      <c r="AL508" s="381"/>
    </row>
    <row r="509" spans="1:40" x14ac:dyDescent="0.25">
      <c r="A509" s="53"/>
      <c r="C509" s="54"/>
      <c r="F509" s="379"/>
      <c r="H509" s="379"/>
      <c r="I509" s="379"/>
      <c r="J509" s="65"/>
      <c r="K509" s="65"/>
      <c r="L509" s="379"/>
      <c r="M509" s="379"/>
      <c r="N509" s="60"/>
      <c r="O509" s="60"/>
      <c r="P509" s="379"/>
      <c r="Q509" s="379"/>
      <c r="R509" s="379"/>
      <c r="T509" s="54"/>
      <c r="V509" s="379"/>
      <c r="Y509" s="379"/>
      <c r="Z509" s="65"/>
      <c r="AA509" s="379"/>
      <c r="AB509" s="379"/>
      <c r="AC509" s="60"/>
      <c r="AD509" s="60"/>
      <c r="AE509" s="379"/>
      <c r="AF509" s="379"/>
      <c r="AG509" s="156"/>
      <c r="AH509" s="60"/>
      <c r="AI509" s="379"/>
      <c r="AJ509" s="379"/>
      <c r="AK509" s="156"/>
      <c r="AL509" s="379"/>
      <c r="AM509" s="60"/>
      <c r="AN509" s="60"/>
    </row>
    <row r="510" spans="1:40" x14ac:dyDescent="0.25">
      <c r="F510" s="381"/>
      <c r="H510" s="381"/>
      <c r="I510" s="381"/>
      <c r="J510" s="221"/>
      <c r="K510" s="221"/>
      <c r="L510" s="381"/>
      <c r="M510" s="381"/>
      <c r="N510" s="381"/>
      <c r="O510" s="381"/>
      <c r="P510" s="381"/>
      <c r="Q510" s="381"/>
      <c r="R510" s="381"/>
      <c r="V510" s="381"/>
      <c r="Y510" s="381"/>
      <c r="Z510" s="464"/>
      <c r="AA510" s="381"/>
      <c r="AB510" s="381"/>
      <c r="AC510" s="381"/>
      <c r="AD510" s="381"/>
      <c r="AE510" s="381"/>
      <c r="AF510" s="381"/>
      <c r="AI510" s="381"/>
      <c r="AJ510" s="381"/>
      <c r="AK510" s="162"/>
      <c r="AL510" s="381"/>
    </row>
    <row r="511" spans="1:40" x14ac:dyDescent="0.25">
      <c r="J511" s="65"/>
      <c r="K511" s="65"/>
    </row>
    <row r="512" spans="1:40" x14ac:dyDescent="0.25">
      <c r="A512" s="53"/>
      <c r="C512" s="54"/>
      <c r="F512" s="379"/>
      <c r="H512" s="379"/>
      <c r="I512" s="379"/>
      <c r="J512" s="65"/>
      <c r="K512" s="65"/>
      <c r="L512" s="379"/>
      <c r="M512" s="379"/>
      <c r="N512" s="50"/>
      <c r="O512" s="50"/>
      <c r="P512" s="449"/>
      <c r="Q512" s="449"/>
      <c r="R512" s="379"/>
      <c r="T512" s="54"/>
      <c r="V512" s="379"/>
      <c r="Y512" s="379"/>
      <c r="AA512" s="379"/>
      <c r="AB512" s="379"/>
      <c r="AC512" s="60"/>
      <c r="AD512" s="60"/>
      <c r="AE512" s="379"/>
      <c r="AF512" s="379"/>
      <c r="AG512" s="156"/>
      <c r="AH512" s="60"/>
      <c r="AI512" s="449"/>
      <c r="AJ512" s="449"/>
      <c r="AK512" s="156"/>
      <c r="AL512" s="379"/>
      <c r="AM512" s="60"/>
      <c r="AN512" s="60"/>
    </row>
    <row r="513" spans="1:40" x14ac:dyDescent="0.25">
      <c r="H513" s="381"/>
      <c r="I513" s="381"/>
      <c r="J513" s="221"/>
      <c r="K513" s="221"/>
      <c r="L513" s="381"/>
      <c r="M513" s="381"/>
      <c r="N513" s="381"/>
      <c r="O513" s="381"/>
      <c r="P513" s="381"/>
      <c r="Q513" s="381"/>
      <c r="R513" s="381"/>
      <c r="V513" s="381"/>
      <c r="Y513" s="381"/>
      <c r="Z513" s="464"/>
      <c r="AA513" s="381"/>
      <c r="AB513" s="381"/>
      <c r="AC513" s="381"/>
      <c r="AD513" s="381"/>
      <c r="AE513" s="381"/>
      <c r="AF513" s="381"/>
      <c r="AI513" s="381"/>
      <c r="AJ513" s="381"/>
      <c r="AK513" s="162"/>
      <c r="AL513" s="381"/>
    </row>
    <row r="514" spans="1:40" x14ac:dyDescent="0.25">
      <c r="F514" s="381"/>
      <c r="J514" s="77"/>
    </row>
    <row r="515" spans="1:40" x14ac:dyDescent="0.25">
      <c r="C515" s="53"/>
      <c r="J515" s="77"/>
      <c r="T515" s="53"/>
    </row>
    <row r="516" spans="1:40" x14ac:dyDescent="0.25">
      <c r="A516" s="54"/>
      <c r="J516" s="77"/>
    </row>
    <row r="517" spans="1:40" x14ac:dyDescent="0.25">
      <c r="J517" s="65"/>
      <c r="K517" s="53"/>
      <c r="Z517" s="53"/>
    </row>
    <row r="518" spans="1:40" x14ac:dyDescent="0.25">
      <c r="H518" s="54"/>
      <c r="I518" s="54"/>
      <c r="J518" s="77"/>
      <c r="Y518" s="54"/>
    </row>
    <row r="519" spans="1:40" x14ac:dyDescent="0.25">
      <c r="J519" s="65"/>
      <c r="K519" s="53"/>
      <c r="Z519" s="53"/>
    </row>
    <row r="520" spans="1:40" x14ac:dyDescent="0.25">
      <c r="J520" s="77"/>
      <c r="L520" s="54"/>
      <c r="M520" s="54"/>
      <c r="AA520" s="54"/>
      <c r="AB520" s="54"/>
    </row>
    <row r="521" spans="1:40" x14ac:dyDescent="0.25">
      <c r="A521" s="53"/>
      <c r="J521" s="77"/>
      <c r="R521" s="54"/>
      <c r="AK521" s="161"/>
      <c r="AL521" s="54"/>
    </row>
    <row r="522" spans="1:40" x14ac:dyDescent="0.25">
      <c r="A522" s="53"/>
      <c r="J522" s="77"/>
      <c r="R522" s="54"/>
      <c r="AK522" s="161"/>
      <c r="AL522" s="54"/>
    </row>
    <row r="523" spans="1:40" x14ac:dyDescent="0.25">
      <c r="A523" s="54"/>
      <c r="J523" s="77"/>
      <c r="R523" s="54"/>
      <c r="AK523" s="161"/>
      <c r="AL523" s="54"/>
    </row>
    <row r="524" spans="1:40" x14ac:dyDescent="0.25">
      <c r="J524" s="77"/>
      <c r="L524" s="54"/>
      <c r="M524" s="54"/>
      <c r="R524" s="53"/>
      <c r="AA524" s="54"/>
      <c r="AB524" s="54"/>
      <c r="AK524" s="156"/>
      <c r="AL524" s="53"/>
    </row>
    <row r="525" spans="1:40" x14ac:dyDescent="0.25">
      <c r="A525" s="55"/>
      <c r="B525" s="55"/>
      <c r="C525" s="55"/>
      <c r="D525" s="55"/>
      <c r="E525" s="55"/>
      <c r="F525" s="55"/>
      <c r="G525" s="55"/>
      <c r="H525" s="55"/>
      <c r="I525" s="55"/>
      <c r="J525" s="66"/>
      <c r="K525" s="55"/>
      <c r="L525" s="55"/>
      <c r="M525" s="55"/>
      <c r="N525" s="55"/>
      <c r="O525" s="55"/>
      <c r="P525" s="55"/>
      <c r="Q525" s="55"/>
      <c r="R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154"/>
      <c r="AH525" s="55"/>
      <c r="AI525" s="55"/>
      <c r="AJ525" s="55"/>
      <c r="AK525" s="154"/>
      <c r="AL525" s="55"/>
      <c r="AM525" s="55"/>
      <c r="AN525" s="55"/>
    </row>
    <row r="526" spans="1:40" x14ac:dyDescent="0.25">
      <c r="J526" s="77"/>
      <c r="L526" s="56"/>
      <c r="M526" s="56"/>
      <c r="N526" s="56"/>
      <c r="O526" s="56"/>
      <c r="R526" s="56"/>
      <c r="AA526" s="56"/>
      <c r="AB526" s="56"/>
      <c r="AC526" s="56"/>
      <c r="AD526" s="56"/>
      <c r="AE526" s="56"/>
      <c r="AF526" s="56"/>
      <c r="AG526" s="155"/>
      <c r="AH526" s="56"/>
      <c r="AK526" s="155"/>
      <c r="AL526" s="56"/>
      <c r="AM526" s="56"/>
      <c r="AN526" s="56"/>
    </row>
    <row r="527" spans="1:40" x14ac:dyDescent="0.25">
      <c r="J527" s="77"/>
      <c r="L527" s="56"/>
      <c r="M527" s="56"/>
      <c r="N527" s="56"/>
      <c r="O527" s="56"/>
      <c r="R527" s="56"/>
      <c r="Z527" s="56"/>
      <c r="AA527" s="56"/>
      <c r="AB527" s="56"/>
      <c r="AC527" s="56"/>
      <c r="AD527" s="56"/>
      <c r="AE527" s="56"/>
      <c r="AF527" s="56"/>
      <c r="AG527" s="155"/>
      <c r="AH527" s="56"/>
      <c r="AK527" s="155"/>
      <c r="AL527" s="56"/>
      <c r="AM527" s="56"/>
      <c r="AN527" s="56"/>
    </row>
    <row r="528" spans="1:40" x14ac:dyDescent="0.25">
      <c r="A528" s="56"/>
      <c r="C528" s="56"/>
      <c r="D528" s="56"/>
      <c r="E528" s="56"/>
      <c r="F528" s="56"/>
      <c r="J528" s="67"/>
      <c r="K528" s="56"/>
      <c r="L528" s="56"/>
      <c r="M528" s="56"/>
      <c r="N528" s="56"/>
      <c r="O528" s="56"/>
      <c r="P528" s="56"/>
      <c r="Q528" s="56"/>
      <c r="R528" s="56"/>
      <c r="T528" s="56"/>
      <c r="U528" s="56"/>
      <c r="V528" s="56"/>
      <c r="Z528" s="56"/>
      <c r="AA528" s="56"/>
      <c r="AB528" s="56"/>
      <c r="AC528" s="56"/>
      <c r="AD528" s="56"/>
      <c r="AE528" s="56"/>
      <c r="AF528" s="56"/>
      <c r="AG528" s="155"/>
      <c r="AH528" s="56"/>
      <c r="AI528" s="56"/>
      <c r="AJ528" s="56"/>
      <c r="AK528" s="155"/>
      <c r="AL528" s="56"/>
      <c r="AM528" s="56"/>
      <c r="AN528" s="56"/>
    </row>
    <row r="529" spans="1:40" x14ac:dyDescent="0.25">
      <c r="A529" s="56"/>
      <c r="C529" s="56"/>
      <c r="D529" s="56"/>
      <c r="E529" s="56"/>
      <c r="F529" s="56"/>
      <c r="H529" s="56"/>
      <c r="I529" s="56"/>
      <c r="J529" s="67"/>
      <c r="K529" s="56"/>
      <c r="L529" s="56"/>
      <c r="M529" s="56"/>
      <c r="N529" s="56"/>
      <c r="O529" s="56"/>
      <c r="P529" s="56"/>
      <c r="Q529" s="56"/>
      <c r="R529" s="56"/>
      <c r="T529" s="56"/>
      <c r="U529" s="56"/>
      <c r="V529" s="56"/>
      <c r="Y529" s="56"/>
      <c r="Z529" s="56"/>
      <c r="AA529" s="56"/>
      <c r="AB529" s="56"/>
      <c r="AC529" s="56"/>
      <c r="AD529" s="56"/>
      <c r="AE529" s="56"/>
      <c r="AF529" s="56"/>
      <c r="AG529" s="155"/>
      <c r="AH529" s="56"/>
      <c r="AI529" s="56"/>
      <c r="AJ529" s="56"/>
      <c r="AK529" s="155"/>
      <c r="AL529" s="56"/>
      <c r="AM529" s="56"/>
      <c r="AN529" s="56"/>
    </row>
    <row r="530" spans="1:40" x14ac:dyDescent="0.25">
      <c r="C530" s="56"/>
      <c r="D530" s="56"/>
      <c r="E530" s="56"/>
      <c r="F530" s="56"/>
      <c r="H530" s="56"/>
      <c r="I530" s="56"/>
      <c r="J530" s="67"/>
      <c r="K530" s="56"/>
      <c r="L530" s="56"/>
      <c r="M530" s="56"/>
      <c r="N530" s="56"/>
      <c r="O530" s="56"/>
      <c r="P530" s="56"/>
      <c r="Q530" s="56"/>
      <c r="R530" s="56"/>
      <c r="T530" s="56"/>
      <c r="U530" s="56"/>
      <c r="V530" s="56"/>
      <c r="Y530" s="56"/>
      <c r="Z530" s="56"/>
      <c r="AA530" s="56"/>
      <c r="AB530" s="56"/>
      <c r="AC530" s="56"/>
      <c r="AD530" s="56"/>
      <c r="AE530" s="56"/>
      <c r="AF530" s="56"/>
      <c r="AG530" s="155"/>
      <c r="AH530" s="56"/>
      <c r="AI530" s="56"/>
      <c r="AJ530" s="56"/>
      <c r="AK530" s="155"/>
      <c r="AL530" s="56"/>
      <c r="AM530" s="56"/>
      <c r="AN530" s="56"/>
    </row>
    <row r="531" spans="1:40" x14ac:dyDescent="0.25">
      <c r="A531" s="55"/>
      <c r="B531" s="55"/>
      <c r="C531" s="55"/>
      <c r="D531" s="55"/>
      <c r="E531" s="55"/>
      <c r="F531" s="55"/>
      <c r="G531" s="55"/>
      <c r="H531" s="55"/>
      <c r="I531" s="55"/>
      <c r="J531" s="66"/>
      <c r="K531" s="55"/>
      <c r="L531" s="55"/>
      <c r="M531" s="55"/>
      <c r="N531" s="55"/>
      <c r="O531" s="55"/>
      <c r="P531" s="55"/>
      <c r="Q531" s="55"/>
      <c r="R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154"/>
      <c r="AH531" s="55"/>
      <c r="AI531" s="55"/>
      <c r="AJ531" s="55"/>
      <c r="AK531" s="154"/>
      <c r="AL531" s="55"/>
      <c r="AM531" s="55"/>
      <c r="AN531" s="55"/>
    </row>
    <row r="532" spans="1:40" x14ac:dyDescent="0.25">
      <c r="H532" s="56"/>
      <c r="I532" s="56"/>
      <c r="J532" s="67"/>
      <c r="K532" s="56"/>
      <c r="L532" s="56"/>
      <c r="M532" s="56"/>
      <c r="N532" s="56"/>
      <c r="O532" s="56"/>
      <c r="P532" s="56"/>
      <c r="Q532" s="56"/>
      <c r="R532" s="56"/>
      <c r="Y532" s="56"/>
      <c r="Z532" s="56"/>
      <c r="AA532" s="56"/>
      <c r="AB532" s="56"/>
      <c r="AC532" s="56"/>
      <c r="AD532" s="56"/>
      <c r="AE532" s="56"/>
      <c r="AF532" s="56"/>
      <c r="AG532" s="155"/>
      <c r="AH532" s="56"/>
      <c r="AI532" s="56"/>
      <c r="AJ532" s="56"/>
      <c r="AK532" s="155"/>
      <c r="AL532" s="56"/>
      <c r="AM532" s="56"/>
      <c r="AN532" s="56"/>
    </row>
    <row r="533" spans="1:40" x14ac:dyDescent="0.25">
      <c r="A533" s="53"/>
      <c r="C533" s="54"/>
      <c r="D533" s="54"/>
      <c r="E533" s="54"/>
      <c r="J533" s="77"/>
      <c r="T533" s="54"/>
      <c r="U533" s="54"/>
    </row>
    <row r="534" spans="1:40" x14ac:dyDescent="0.25">
      <c r="J534" s="77"/>
    </row>
    <row r="535" spans="1:40" x14ac:dyDescent="0.25">
      <c r="A535" s="53"/>
      <c r="C535" s="54"/>
      <c r="D535" s="54"/>
      <c r="E535" s="54"/>
      <c r="J535" s="77"/>
      <c r="T535" s="54"/>
      <c r="U535" s="54"/>
    </row>
    <row r="536" spans="1:40" x14ac:dyDescent="0.25">
      <c r="A536" s="53"/>
      <c r="C536" s="54"/>
      <c r="J536" s="77"/>
      <c r="T536" s="54"/>
    </row>
    <row r="537" spans="1:40" x14ac:dyDescent="0.25">
      <c r="A537" s="53"/>
      <c r="C537" s="54"/>
      <c r="J537" s="77"/>
      <c r="T537" s="54"/>
    </row>
    <row r="538" spans="1:40" x14ac:dyDescent="0.25">
      <c r="A538" s="53"/>
      <c r="C538" s="54"/>
      <c r="H538" s="449"/>
      <c r="I538" s="449"/>
      <c r="J538" s="221"/>
      <c r="K538" s="221"/>
      <c r="L538" s="379"/>
      <c r="M538" s="379"/>
      <c r="N538" s="50"/>
      <c r="O538" s="50"/>
      <c r="P538" s="379"/>
      <c r="Q538" s="379"/>
      <c r="R538" s="379"/>
      <c r="T538" s="54"/>
      <c r="V538" s="379"/>
      <c r="W538" s="379"/>
      <c r="X538" s="379"/>
      <c r="Y538" s="379"/>
      <c r="Z538" s="221"/>
      <c r="AA538" s="379"/>
      <c r="AB538" s="379"/>
      <c r="AC538" s="50"/>
      <c r="AD538" s="50"/>
      <c r="AE538" s="379"/>
      <c r="AF538" s="379"/>
      <c r="AG538" s="156"/>
      <c r="AH538" s="60"/>
      <c r="AI538" s="379"/>
      <c r="AJ538" s="379"/>
      <c r="AK538" s="156"/>
      <c r="AL538" s="379"/>
      <c r="AM538" s="50"/>
      <c r="AN538" s="50"/>
    </row>
    <row r="539" spans="1:40" x14ac:dyDescent="0.25">
      <c r="A539" s="53"/>
      <c r="C539" s="54"/>
      <c r="F539" s="449"/>
      <c r="J539" s="65"/>
      <c r="K539" s="65"/>
      <c r="T539" s="54"/>
      <c r="V539" s="379"/>
      <c r="W539" s="379"/>
      <c r="X539" s="379"/>
      <c r="Y539" s="379"/>
      <c r="Z539" s="221"/>
    </row>
    <row r="540" spans="1:40" x14ac:dyDescent="0.25">
      <c r="A540" s="53"/>
      <c r="C540" s="54"/>
      <c r="H540" s="449"/>
      <c r="I540" s="449"/>
      <c r="J540" s="221"/>
      <c r="K540" s="221"/>
      <c r="L540" s="379"/>
      <c r="M540" s="379"/>
      <c r="N540" s="50"/>
      <c r="O540" s="50"/>
      <c r="P540" s="379"/>
      <c r="Q540" s="379"/>
      <c r="R540" s="379"/>
      <c r="T540" s="54"/>
      <c r="V540" s="379"/>
      <c r="W540" s="379"/>
      <c r="X540" s="379"/>
      <c r="Y540" s="379"/>
      <c r="Z540" s="221"/>
      <c r="AA540" s="379"/>
      <c r="AB540" s="379"/>
      <c r="AC540" s="50"/>
      <c r="AD540" s="50"/>
      <c r="AE540" s="379"/>
      <c r="AF540" s="379"/>
      <c r="AG540" s="156"/>
      <c r="AH540" s="60"/>
      <c r="AI540" s="379"/>
      <c r="AJ540" s="379"/>
      <c r="AK540" s="156"/>
      <c r="AL540" s="379"/>
      <c r="AM540" s="50"/>
      <c r="AN540" s="50"/>
    </row>
    <row r="541" spans="1:40" x14ac:dyDescent="0.25">
      <c r="A541" s="53"/>
      <c r="C541" s="54"/>
      <c r="F541" s="449"/>
      <c r="J541" s="65"/>
      <c r="K541" s="65"/>
      <c r="T541" s="54"/>
      <c r="V541" s="379"/>
      <c r="W541" s="379"/>
      <c r="X541" s="379"/>
      <c r="Y541" s="379"/>
      <c r="Z541" s="221"/>
    </row>
    <row r="542" spans="1:40" x14ac:dyDescent="0.25">
      <c r="A542" s="53"/>
      <c r="C542" s="54"/>
      <c r="H542" s="449"/>
      <c r="I542" s="449"/>
      <c r="J542" s="221"/>
      <c r="K542" s="221"/>
      <c r="L542" s="379"/>
      <c r="M542" s="379"/>
      <c r="N542" s="50"/>
      <c r="O542" s="50"/>
      <c r="P542" s="379"/>
      <c r="Q542" s="379"/>
      <c r="R542" s="379"/>
      <c r="T542" s="54"/>
      <c r="V542" s="379"/>
      <c r="W542" s="379"/>
      <c r="X542" s="379"/>
      <c r="Y542" s="379"/>
      <c r="Z542" s="221"/>
      <c r="AA542" s="379"/>
      <c r="AB542" s="379"/>
      <c r="AC542" s="50"/>
      <c r="AD542" s="50"/>
      <c r="AE542" s="379"/>
      <c r="AF542" s="379"/>
      <c r="AG542" s="156"/>
      <c r="AH542" s="60"/>
      <c r="AI542" s="379"/>
      <c r="AJ542" s="379"/>
      <c r="AK542" s="156"/>
      <c r="AL542" s="379"/>
      <c r="AM542" s="50"/>
      <c r="AN542" s="50"/>
    </row>
    <row r="543" spans="1:40" x14ac:dyDescent="0.25">
      <c r="A543" s="53"/>
      <c r="C543" s="54"/>
      <c r="F543" s="449"/>
      <c r="J543" s="65"/>
      <c r="K543" s="65"/>
      <c r="T543" s="54"/>
      <c r="V543" s="379"/>
      <c r="W543" s="379"/>
      <c r="X543" s="379"/>
      <c r="Y543" s="379"/>
      <c r="Z543" s="221"/>
    </row>
    <row r="544" spans="1:40" x14ac:dyDescent="0.25">
      <c r="A544" s="53"/>
      <c r="C544" s="54"/>
      <c r="H544" s="449"/>
      <c r="I544" s="449"/>
      <c r="J544" s="221"/>
      <c r="K544" s="221"/>
      <c r="L544" s="379"/>
      <c r="M544" s="379"/>
      <c r="N544" s="50"/>
      <c r="O544" s="50"/>
      <c r="P544" s="379"/>
      <c r="Q544" s="379"/>
      <c r="R544" s="379"/>
      <c r="T544" s="54"/>
      <c r="V544" s="379"/>
      <c r="W544" s="379"/>
      <c r="X544" s="379"/>
      <c r="Y544" s="379"/>
      <c r="Z544" s="221"/>
      <c r="AA544" s="379"/>
      <c r="AB544" s="379"/>
      <c r="AC544" s="50"/>
      <c r="AD544" s="50"/>
      <c r="AE544" s="379"/>
      <c r="AF544" s="379"/>
      <c r="AG544" s="156"/>
      <c r="AH544" s="60"/>
      <c r="AI544" s="379"/>
      <c r="AJ544" s="379"/>
      <c r="AK544" s="156"/>
      <c r="AL544" s="379"/>
      <c r="AM544" s="50"/>
      <c r="AN544" s="50"/>
    </row>
    <row r="545" spans="1:40" x14ac:dyDescent="0.25">
      <c r="A545" s="53"/>
      <c r="C545" s="54"/>
      <c r="F545" s="449"/>
      <c r="J545" s="65"/>
      <c r="K545" s="65"/>
      <c r="T545" s="54"/>
      <c r="V545" s="379"/>
      <c r="W545" s="379"/>
      <c r="X545" s="379"/>
      <c r="Y545" s="379"/>
      <c r="Z545" s="221"/>
    </row>
    <row r="546" spans="1:40" x14ac:dyDescent="0.25">
      <c r="A546" s="53"/>
      <c r="C546" s="54"/>
      <c r="H546" s="449"/>
      <c r="I546" s="449"/>
      <c r="J546" s="221"/>
      <c r="K546" s="221"/>
      <c r="L546" s="379"/>
      <c r="M546" s="379"/>
      <c r="N546" s="50"/>
      <c r="O546" s="50"/>
      <c r="P546" s="379"/>
      <c r="Q546" s="379"/>
      <c r="R546" s="379"/>
      <c r="T546" s="54"/>
      <c r="V546" s="379"/>
      <c r="W546" s="379"/>
      <c r="X546" s="379"/>
      <c r="Y546" s="379"/>
      <c r="Z546" s="221"/>
      <c r="AA546" s="379"/>
      <c r="AB546" s="379"/>
      <c r="AC546" s="50"/>
      <c r="AD546" s="50"/>
      <c r="AE546" s="379"/>
      <c r="AF546" s="379"/>
      <c r="AG546" s="156"/>
      <c r="AH546" s="60"/>
      <c r="AI546" s="379"/>
      <c r="AJ546" s="379"/>
      <c r="AK546" s="156"/>
      <c r="AL546" s="379"/>
      <c r="AM546" s="50"/>
      <c r="AN546" s="50"/>
    </row>
    <row r="547" spans="1:40" x14ac:dyDescent="0.25">
      <c r="A547" s="53"/>
      <c r="C547" s="54"/>
      <c r="F547" s="449"/>
      <c r="J547" s="65"/>
      <c r="K547" s="65"/>
      <c r="T547" s="54"/>
      <c r="V547" s="379"/>
      <c r="W547" s="379"/>
      <c r="X547" s="379"/>
      <c r="Y547" s="379"/>
      <c r="Z547" s="221"/>
    </row>
    <row r="548" spans="1:40" x14ac:dyDescent="0.25">
      <c r="A548" s="53"/>
      <c r="C548" s="54"/>
      <c r="H548" s="449"/>
      <c r="I548" s="449"/>
      <c r="J548" s="221"/>
      <c r="K548" s="221"/>
      <c r="L548" s="379"/>
      <c r="M548" s="379"/>
      <c r="N548" s="50"/>
      <c r="O548" s="50"/>
      <c r="P548" s="379"/>
      <c r="Q548" s="379"/>
      <c r="R548" s="379"/>
      <c r="T548" s="54"/>
      <c r="V548" s="379"/>
      <c r="W548" s="379"/>
      <c r="X548" s="379"/>
      <c r="Y548" s="379"/>
      <c r="Z548" s="221"/>
      <c r="AA548" s="379"/>
      <c r="AB548" s="379"/>
      <c r="AC548" s="50"/>
      <c r="AD548" s="50"/>
      <c r="AE548" s="379"/>
      <c r="AF548" s="379"/>
      <c r="AG548" s="156"/>
      <c r="AH548" s="60"/>
      <c r="AI548" s="379"/>
      <c r="AJ548" s="379"/>
      <c r="AK548" s="156"/>
      <c r="AL548" s="379"/>
      <c r="AM548" s="50"/>
      <c r="AN548" s="50"/>
    </row>
    <row r="549" spans="1:40" x14ac:dyDescent="0.25">
      <c r="F549" s="449"/>
      <c r="H549" s="381"/>
      <c r="I549" s="381"/>
      <c r="J549" s="221"/>
      <c r="K549" s="221"/>
      <c r="L549" s="381"/>
      <c r="M549" s="381"/>
      <c r="N549" s="381"/>
      <c r="O549" s="381"/>
      <c r="P549" s="381"/>
      <c r="Q549" s="381"/>
      <c r="R549" s="381"/>
      <c r="V549" s="381"/>
      <c r="Y549" s="381"/>
      <c r="Z549" s="221"/>
      <c r="AA549" s="381"/>
      <c r="AB549" s="381"/>
      <c r="AC549" s="381"/>
      <c r="AD549" s="381"/>
      <c r="AE549" s="381"/>
      <c r="AF549" s="381"/>
      <c r="AI549" s="381"/>
      <c r="AJ549" s="381"/>
      <c r="AK549" s="162"/>
      <c r="AL549" s="381"/>
      <c r="AM549" s="50"/>
      <c r="AN549" s="50"/>
    </row>
    <row r="550" spans="1:40" x14ac:dyDescent="0.25">
      <c r="A550" s="53"/>
      <c r="C550" s="54"/>
      <c r="F550" s="381"/>
      <c r="H550" s="379"/>
      <c r="I550" s="379"/>
      <c r="J550" s="65"/>
      <c r="K550" s="65"/>
      <c r="L550" s="379"/>
      <c r="M550" s="379"/>
      <c r="N550" s="50"/>
      <c r="O550" s="50"/>
      <c r="P550" s="449"/>
      <c r="Q550" s="449"/>
      <c r="R550" s="379"/>
      <c r="T550" s="54"/>
      <c r="V550" s="379"/>
      <c r="W550" s="379"/>
      <c r="X550" s="379"/>
      <c r="Y550" s="379"/>
      <c r="Z550" s="221"/>
      <c r="AA550" s="379"/>
      <c r="AB550" s="379"/>
      <c r="AC550" s="50"/>
      <c r="AD550" s="50"/>
      <c r="AE550" s="379"/>
      <c r="AF550" s="379"/>
      <c r="AG550" s="156"/>
      <c r="AH550" s="60"/>
      <c r="AI550" s="449"/>
      <c r="AJ550" s="449"/>
      <c r="AK550" s="156"/>
      <c r="AL550" s="379"/>
      <c r="AM550" s="50"/>
      <c r="AN550" s="50"/>
    </row>
    <row r="551" spans="1:40" x14ac:dyDescent="0.25">
      <c r="F551" s="379"/>
      <c r="H551" s="381"/>
      <c r="I551" s="381"/>
      <c r="J551" s="221"/>
      <c r="K551" s="221"/>
      <c r="L551" s="381"/>
      <c r="M551" s="381"/>
      <c r="N551" s="381"/>
      <c r="O551" s="381"/>
      <c r="P551" s="381"/>
      <c r="Q551" s="381"/>
      <c r="R551" s="381"/>
      <c r="V551" s="381"/>
      <c r="Y551" s="381"/>
      <c r="Z551" s="221"/>
      <c r="AA551" s="381"/>
      <c r="AB551" s="381"/>
      <c r="AC551" s="381"/>
      <c r="AD551" s="381"/>
      <c r="AE551" s="381"/>
      <c r="AF551" s="381"/>
      <c r="AI551" s="381"/>
      <c r="AJ551" s="381"/>
      <c r="AK551" s="162"/>
      <c r="AL551" s="381"/>
    </row>
    <row r="552" spans="1:40" x14ac:dyDescent="0.25">
      <c r="A552" s="53"/>
      <c r="C552" s="54"/>
      <c r="D552" s="54"/>
      <c r="E552" s="54"/>
      <c r="F552" s="381"/>
      <c r="J552" s="65"/>
      <c r="K552" s="65"/>
      <c r="T552" s="54"/>
      <c r="U552" s="54"/>
      <c r="V552" s="379"/>
      <c r="W552" s="379"/>
      <c r="X552" s="379"/>
      <c r="Y552" s="379"/>
      <c r="Z552" s="221"/>
    </row>
    <row r="553" spans="1:40" x14ac:dyDescent="0.25">
      <c r="A553" s="53"/>
      <c r="C553" s="54"/>
      <c r="J553" s="65"/>
      <c r="K553" s="65"/>
      <c r="T553" s="54"/>
      <c r="V553" s="379"/>
      <c r="W553" s="379"/>
      <c r="X553" s="379"/>
      <c r="Y553" s="379"/>
      <c r="Z553" s="221"/>
    </row>
    <row r="554" spans="1:40" x14ac:dyDescent="0.25">
      <c r="A554" s="53"/>
      <c r="C554" s="54"/>
      <c r="J554" s="65"/>
      <c r="K554" s="65"/>
      <c r="T554" s="54"/>
      <c r="V554" s="379"/>
      <c r="W554" s="379"/>
      <c r="X554" s="379"/>
      <c r="Y554" s="379"/>
      <c r="Z554" s="221"/>
    </row>
    <row r="555" spans="1:40" x14ac:dyDescent="0.25">
      <c r="A555" s="53"/>
      <c r="C555" s="54"/>
      <c r="H555" s="449"/>
      <c r="I555" s="449"/>
      <c r="J555" s="221"/>
      <c r="K555" s="221"/>
      <c r="L555" s="379"/>
      <c r="M555" s="379"/>
      <c r="N555" s="50"/>
      <c r="O555" s="50"/>
      <c r="P555" s="379"/>
      <c r="Q555" s="379"/>
      <c r="R555" s="379"/>
      <c r="T555" s="54"/>
      <c r="V555" s="379"/>
      <c r="W555" s="379"/>
      <c r="X555" s="379"/>
      <c r="Y555" s="379"/>
      <c r="Z555" s="221"/>
      <c r="AA555" s="379"/>
      <c r="AB555" s="379"/>
      <c r="AC555" s="50"/>
      <c r="AD555" s="50"/>
      <c r="AE555" s="379"/>
      <c r="AF555" s="379"/>
      <c r="AG555" s="156"/>
      <c r="AH555" s="60"/>
      <c r="AI555" s="379"/>
      <c r="AJ555" s="379"/>
      <c r="AK555" s="156"/>
      <c r="AL555" s="379"/>
      <c r="AM555" s="50"/>
      <c r="AN555" s="50"/>
    </row>
    <row r="556" spans="1:40" x14ac:dyDescent="0.25">
      <c r="A556" s="53"/>
      <c r="C556" s="54"/>
      <c r="F556" s="449"/>
      <c r="J556" s="65"/>
      <c r="K556" s="65"/>
      <c r="T556" s="54"/>
      <c r="V556" s="379"/>
      <c r="W556" s="379"/>
      <c r="X556" s="379"/>
      <c r="Y556" s="379"/>
      <c r="Z556" s="221"/>
    </row>
    <row r="557" spans="1:40" x14ac:dyDescent="0.25">
      <c r="A557" s="53"/>
      <c r="C557" s="54"/>
      <c r="H557" s="449"/>
      <c r="I557" s="449"/>
      <c r="J557" s="221"/>
      <c r="K557" s="221"/>
      <c r="L557" s="379"/>
      <c r="M557" s="379"/>
      <c r="N557" s="50"/>
      <c r="O557" s="50"/>
      <c r="P557" s="379"/>
      <c r="Q557" s="379"/>
      <c r="R557" s="379"/>
      <c r="T557" s="54"/>
      <c r="V557" s="379"/>
      <c r="W557" s="379"/>
      <c r="X557" s="379"/>
      <c r="Y557" s="379"/>
      <c r="Z557" s="221"/>
      <c r="AA557" s="379"/>
      <c r="AB557" s="379"/>
      <c r="AC557" s="50"/>
      <c r="AD557" s="50"/>
      <c r="AE557" s="379"/>
      <c r="AF557" s="379"/>
      <c r="AG557" s="156"/>
      <c r="AH557" s="60"/>
      <c r="AI557" s="379"/>
      <c r="AJ557" s="379"/>
      <c r="AK557" s="156"/>
      <c r="AL557" s="379"/>
      <c r="AM557" s="50"/>
      <c r="AN557" s="50"/>
    </row>
    <row r="558" spans="1:40" x14ac:dyDescent="0.25">
      <c r="F558" s="449"/>
      <c r="H558" s="381"/>
      <c r="I558" s="381"/>
      <c r="J558" s="221"/>
      <c r="K558" s="221"/>
      <c r="L558" s="381"/>
      <c r="M558" s="381"/>
      <c r="N558" s="381"/>
      <c r="O558" s="381"/>
      <c r="P558" s="381"/>
      <c r="Q558" s="381"/>
      <c r="R558" s="381"/>
      <c r="V558" s="381"/>
      <c r="Y558" s="381"/>
      <c r="Z558" s="464"/>
      <c r="AA558" s="381"/>
      <c r="AB558" s="381"/>
      <c r="AC558" s="381"/>
      <c r="AD558" s="381"/>
      <c r="AE558" s="381"/>
      <c r="AF558" s="381"/>
      <c r="AI558" s="381"/>
      <c r="AJ558" s="381"/>
      <c r="AK558" s="162"/>
      <c r="AL558" s="381"/>
    </row>
    <row r="559" spans="1:40" x14ac:dyDescent="0.25">
      <c r="A559" s="53"/>
      <c r="C559" s="54"/>
      <c r="F559" s="381"/>
      <c r="H559" s="379"/>
      <c r="I559" s="379"/>
      <c r="L559" s="379"/>
      <c r="M559" s="379"/>
      <c r="N559" s="50"/>
      <c r="O559" s="50"/>
      <c r="P559" s="449"/>
      <c r="Q559" s="449"/>
      <c r="R559" s="379"/>
      <c r="T559" s="54"/>
      <c r="V559" s="379"/>
      <c r="W559" s="379"/>
      <c r="X559" s="379"/>
      <c r="Y559" s="379"/>
      <c r="Z559" s="477"/>
      <c r="AA559" s="379"/>
      <c r="AB559" s="379"/>
      <c r="AC559" s="50"/>
      <c r="AD559" s="50"/>
      <c r="AE559" s="379"/>
      <c r="AF559" s="379"/>
      <c r="AG559" s="156"/>
      <c r="AH559" s="60"/>
      <c r="AI559" s="449"/>
      <c r="AJ559" s="449"/>
      <c r="AK559" s="156"/>
      <c r="AL559" s="379"/>
      <c r="AM559" s="50"/>
      <c r="AN559" s="50"/>
    </row>
    <row r="560" spans="1:40" x14ac:dyDescent="0.25">
      <c r="F560" s="379"/>
      <c r="H560" s="381"/>
      <c r="I560" s="381"/>
      <c r="J560" s="464"/>
      <c r="K560" s="464"/>
      <c r="L560" s="381"/>
      <c r="M560" s="381"/>
      <c r="N560" s="381"/>
      <c r="O560" s="381"/>
      <c r="P560" s="381"/>
      <c r="Q560" s="381"/>
      <c r="R560" s="381"/>
      <c r="V560" s="381"/>
      <c r="Y560" s="381"/>
      <c r="Z560" s="464"/>
      <c r="AA560" s="381"/>
      <c r="AB560" s="381"/>
      <c r="AC560" s="381"/>
      <c r="AD560" s="381"/>
      <c r="AE560" s="381"/>
      <c r="AF560" s="381"/>
      <c r="AI560" s="381"/>
      <c r="AJ560" s="381"/>
      <c r="AK560" s="162"/>
      <c r="AL560" s="381"/>
    </row>
    <row r="561" spans="1:40" x14ac:dyDescent="0.25">
      <c r="A561" s="53"/>
      <c r="C561" s="54"/>
      <c r="D561" s="54"/>
      <c r="E561" s="54"/>
      <c r="F561" s="381"/>
      <c r="T561" s="54"/>
      <c r="U561" s="54"/>
      <c r="V561" s="379"/>
      <c r="W561" s="379"/>
      <c r="X561" s="379"/>
      <c r="Y561" s="379"/>
      <c r="Z561" s="477"/>
    </row>
    <row r="562" spans="1:40" x14ac:dyDescent="0.25">
      <c r="A562" s="53"/>
      <c r="C562" s="54"/>
      <c r="T562" s="54"/>
      <c r="V562" s="379"/>
      <c r="W562" s="379"/>
      <c r="X562" s="379"/>
      <c r="Y562" s="379"/>
      <c r="Z562" s="477"/>
    </row>
    <row r="563" spans="1:40" x14ac:dyDescent="0.25">
      <c r="A563" s="53"/>
      <c r="C563" s="54"/>
      <c r="H563" s="449"/>
      <c r="I563" s="449"/>
      <c r="J563" s="477"/>
      <c r="K563" s="477"/>
      <c r="L563" s="379"/>
      <c r="M563" s="379"/>
      <c r="N563" s="50"/>
      <c r="O563" s="50"/>
      <c r="P563" s="379"/>
      <c r="Q563" s="379"/>
      <c r="R563" s="379"/>
      <c r="T563" s="54"/>
      <c r="V563" s="379"/>
      <c r="W563" s="379"/>
      <c r="X563" s="379"/>
      <c r="Y563" s="379"/>
      <c r="Z563" s="477"/>
      <c r="AA563" s="379"/>
      <c r="AB563" s="379"/>
      <c r="AC563" s="50"/>
      <c r="AD563" s="50"/>
      <c r="AE563" s="379"/>
      <c r="AF563" s="379"/>
      <c r="AG563" s="156"/>
      <c r="AH563" s="60"/>
      <c r="AI563" s="379"/>
      <c r="AJ563" s="379"/>
      <c r="AK563" s="156"/>
      <c r="AL563" s="379"/>
      <c r="AM563" s="50"/>
      <c r="AN563" s="50"/>
    </row>
    <row r="564" spans="1:40" x14ac:dyDescent="0.25">
      <c r="A564" s="53"/>
      <c r="C564" s="54"/>
      <c r="F564" s="449"/>
      <c r="T564" s="54"/>
      <c r="V564" s="379"/>
      <c r="W564" s="379"/>
      <c r="X564" s="379"/>
      <c r="Y564" s="379"/>
      <c r="Z564" s="477"/>
    </row>
    <row r="565" spans="1:40" x14ac:dyDescent="0.25">
      <c r="A565" s="53"/>
      <c r="C565" s="54"/>
      <c r="H565" s="449"/>
      <c r="I565" s="449"/>
      <c r="J565" s="477"/>
      <c r="K565" s="477"/>
      <c r="L565" s="379"/>
      <c r="M565" s="379"/>
      <c r="N565" s="50"/>
      <c r="O565" s="50"/>
      <c r="P565" s="379"/>
      <c r="Q565" s="379"/>
      <c r="R565" s="379"/>
      <c r="T565" s="54"/>
      <c r="V565" s="379"/>
      <c r="W565" s="379"/>
      <c r="X565" s="379"/>
      <c r="Y565" s="379"/>
      <c r="Z565" s="477"/>
      <c r="AA565" s="379"/>
      <c r="AB565" s="379"/>
      <c r="AC565" s="50"/>
      <c r="AD565" s="50"/>
      <c r="AE565" s="379"/>
      <c r="AF565" s="379"/>
      <c r="AG565" s="156"/>
      <c r="AH565" s="60"/>
      <c r="AI565" s="379"/>
      <c r="AJ565" s="379"/>
      <c r="AK565" s="156"/>
      <c r="AL565" s="379"/>
      <c r="AM565" s="50"/>
      <c r="AN565" s="50"/>
    </row>
    <row r="566" spans="1:40" x14ac:dyDescent="0.25">
      <c r="A566" s="53"/>
      <c r="C566" s="54"/>
      <c r="F566" s="449"/>
      <c r="T566" s="54"/>
      <c r="V566" s="379"/>
      <c r="W566" s="379"/>
      <c r="X566" s="379"/>
      <c r="Y566" s="379"/>
      <c r="Z566" s="477"/>
    </row>
    <row r="567" spans="1:40" x14ac:dyDescent="0.25">
      <c r="A567" s="53"/>
      <c r="C567" s="54"/>
      <c r="H567" s="449"/>
      <c r="I567" s="449"/>
      <c r="J567" s="477"/>
      <c r="K567" s="477"/>
      <c r="L567" s="379"/>
      <c r="M567" s="379"/>
      <c r="N567" s="50"/>
      <c r="O567" s="50"/>
      <c r="P567" s="379"/>
      <c r="Q567" s="379"/>
      <c r="R567" s="379"/>
      <c r="T567" s="54"/>
      <c r="V567" s="379"/>
      <c r="W567" s="379"/>
      <c r="X567" s="379"/>
      <c r="Y567" s="379"/>
      <c r="Z567" s="477"/>
      <c r="AA567" s="379"/>
      <c r="AB567" s="379"/>
      <c r="AC567" s="50"/>
      <c r="AD567" s="50"/>
      <c r="AE567" s="379"/>
      <c r="AF567" s="379"/>
      <c r="AG567" s="156"/>
      <c r="AH567" s="60"/>
      <c r="AI567" s="379"/>
      <c r="AJ567" s="379"/>
      <c r="AK567" s="156"/>
      <c r="AL567" s="379"/>
      <c r="AM567" s="50"/>
      <c r="AN567" s="50"/>
    </row>
    <row r="568" spans="1:40" x14ac:dyDescent="0.25">
      <c r="A568" s="53"/>
      <c r="C568" s="54"/>
      <c r="F568" s="449"/>
      <c r="T568" s="54"/>
      <c r="V568" s="379"/>
      <c r="W568" s="379"/>
      <c r="X568" s="379"/>
      <c r="Y568" s="379"/>
      <c r="Z568" s="477"/>
    </row>
    <row r="569" spans="1:40" x14ac:dyDescent="0.25">
      <c r="A569" s="53"/>
      <c r="C569" s="54"/>
      <c r="H569" s="449"/>
      <c r="I569" s="449"/>
      <c r="J569" s="477"/>
      <c r="K569" s="477"/>
      <c r="L569" s="379"/>
      <c r="M569" s="379"/>
      <c r="N569" s="50"/>
      <c r="O569" s="50"/>
      <c r="P569" s="379"/>
      <c r="Q569" s="379"/>
      <c r="R569" s="379"/>
      <c r="T569" s="54"/>
      <c r="V569" s="379"/>
      <c r="W569" s="379"/>
      <c r="X569" s="379"/>
      <c r="Y569" s="379"/>
      <c r="Z569" s="477"/>
      <c r="AA569" s="379"/>
      <c r="AB569" s="379"/>
      <c r="AC569" s="50"/>
      <c r="AD569" s="50"/>
      <c r="AE569" s="379"/>
      <c r="AF569" s="379"/>
      <c r="AG569" s="156"/>
      <c r="AH569" s="60"/>
      <c r="AI569" s="379"/>
      <c r="AJ569" s="379"/>
      <c r="AK569" s="156"/>
      <c r="AL569" s="379"/>
      <c r="AM569" s="50"/>
      <c r="AN569" s="50"/>
    </row>
    <row r="570" spans="1:40" x14ac:dyDescent="0.25">
      <c r="F570" s="449"/>
      <c r="H570" s="381"/>
      <c r="I570" s="381"/>
      <c r="J570" s="464"/>
      <c r="K570" s="464"/>
      <c r="L570" s="381"/>
      <c r="M570" s="381"/>
      <c r="N570" s="381"/>
      <c r="O570" s="381"/>
      <c r="P570" s="381"/>
      <c r="Q570" s="381"/>
      <c r="R570" s="381"/>
      <c r="V570" s="381"/>
      <c r="Y570" s="381"/>
      <c r="Z570" s="464"/>
      <c r="AA570" s="381"/>
      <c r="AB570" s="381"/>
      <c r="AC570" s="381"/>
      <c r="AD570" s="381"/>
      <c r="AE570" s="381"/>
      <c r="AF570" s="381"/>
      <c r="AI570" s="381"/>
      <c r="AJ570" s="381"/>
      <c r="AK570" s="162"/>
      <c r="AL570" s="381"/>
    </row>
    <row r="571" spans="1:40" x14ac:dyDescent="0.25">
      <c r="A571" s="53"/>
      <c r="C571" s="54"/>
      <c r="F571" s="381"/>
      <c r="H571" s="379"/>
      <c r="I571" s="379"/>
      <c r="L571" s="379"/>
      <c r="M571" s="379"/>
      <c r="N571" s="50"/>
      <c r="O571" s="50"/>
      <c r="P571" s="449"/>
      <c r="Q571" s="449"/>
      <c r="R571" s="379"/>
      <c r="T571" s="54"/>
      <c r="V571" s="379"/>
      <c r="W571" s="379"/>
      <c r="X571" s="379"/>
      <c r="Y571" s="379"/>
      <c r="Z571" s="477"/>
      <c r="AA571" s="379"/>
      <c r="AB571" s="379"/>
      <c r="AC571" s="50"/>
      <c r="AD571" s="50"/>
      <c r="AE571" s="379"/>
      <c r="AF571" s="379"/>
      <c r="AG571" s="156"/>
      <c r="AH571" s="60"/>
      <c r="AI571" s="449"/>
      <c r="AJ571" s="449"/>
      <c r="AK571" s="156"/>
      <c r="AL571" s="379"/>
      <c r="AM571" s="50"/>
      <c r="AN571" s="50"/>
    </row>
    <row r="572" spans="1:40" x14ac:dyDescent="0.25">
      <c r="F572" s="379"/>
      <c r="H572" s="381"/>
      <c r="I572" s="381"/>
      <c r="J572" s="464"/>
      <c r="K572" s="464"/>
      <c r="L572" s="381"/>
      <c r="M572" s="381"/>
      <c r="N572" s="381"/>
      <c r="O572" s="381"/>
      <c r="P572" s="381"/>
      <c r="Q572" s="381"/>
      <c r="R572" s="381"/>
      <c r="V572" s="381"/>
      <c r="Y572" s="381"/>
      <c r="Z572" s="464"/>
      <c r="AA572" s="381"/>
      <c r="AB572" s="381"/>
      <c r="AC572" s="381"/>
      <c r="AD572" s="381"/>
      <c r="AE572" s="381"/>
      <c r="AF572" s="381"/>
      <c r="AI572" s="381"/>
      <c r="AJ572" s="381"/>
      <c r="AK572" s="162"/>
      <c r="AL572" s="381"/>
    </row>
    <row r="573" spans="1:40" x14ac:dyDescent="0.25">
      <c r="A573" s="53"/>
      <c r="C573" s="54"/>
      <c r="F573" s="381"/>
      <c r="H573" s="379"/>
      <c r="I573" s="379"/>
      <c r="L573" s="379"/>
      <c r="M573" s="379"/>
      <c r="N573" s="50"/>
      <c r="O573" s="50"/>
      <c r="P573" s="379"/>
      <c r="Q573" s="379"/>
      <c r="R573" s="379"/>
      <c r="T573" s="54"/>
      <c r="V573" s="379"/>
      <c r="W573" s="379"/>
      <c r="X573" s="379"/>
      <c r="Y573" s="379"/>
      <c r="AA573" s="379"/>
      <c r="AB573" s="379"/>
      <c r="AC573" s="50"/>
      <c r="AD573" s="50"/>
      <c r="AE573" s="379"/>
      <c r="AF573" s="379"/>
      <c r="AG573" s="156"/>
      <c r="AH573" s="60"/>
      <c r="AI573" s="379"/>
      <c r="AJ573" s="379"/>
      <c r="AK573" s="156"/>
      <c r="AL573" s="379"/>
      <c r="AM573" s="60"/>
      <c r="AN573" s="60"/>
    </row>
    <row r="574" spans="1:40" x14ac:dyDescent="0.25">
      <c r="F574" s="379"/>
      <c r="H574" s="381"/>
      <c r="I574" s="381"/>
      <c r="J574" s="464"/>
      <c r="K574" s="464"/>
      <c r="L574" s="381"/>
      <c r="M574" s="381"/>
      <c r="N574" s="381"/>
      <c r="O574" s="381"/>
      <c r="P574" s="381"/>
      <c r="Q574" s="381"/>
      <c r="R574" s="381"/>
      <c r="V574" s="381"/>
      <c r="Y574" s="381"/>
      <c r="Z574" s="464"/>
      <c r="AA574" s="381"/>
      <c r="AB574" s="381"/>
      <c r="AC574" s="381"/>
      <c r="AD574" s="381"/>
      <c r="AE574" s="381"/>
      <c r="AF574" s="381"/>
      <c r="AI574" s="381"/>
      <c r="AJ574" s="381"/>
      <c r="AK574" s="162"/>
      <c r="AL574" s="381"/>
    </row>
    <row r="576" spans="1:40" x14ac:dyDescent="0.25">
      <c r="C576" s="53"/>
      <c r="F576" s="381"/>
      <c r="T576" s="53"/>
    </row>
    <row r="577" spans="1:40" x14ac:dyDescent="0.25">
      <c r="A577" s="54"/>
    </row>
    <row r="578" spans="1:40" x14ac:dyDescent="0.25">
      <c r="J578" s="53"/>
      <c r="K578" s="53"/>
      <c r="Z578" s="53"/>
    </row>
    <row r="579" spans="1:40" x14ac:dyDescent="0.25">
      <c r="H579" s="54"/>
      <c r="I579" s="54"/>
      <c r="Y579" s="54"/>
    </row>
    <row r="580" spans="1:40" x14ac:dyDescent="0.25">
      <c r="J580" s="53"/>
      <c r="K580" s="53"/>
      <c r="Z580" s="53"/>
    </row>
    <row r="581" spans="1:40" x14ac:dyDescent="0.25">
      <c r="L581" s="54"/>
      <c r="M581" s="54"/>
      <c r="AA581" s="54"/>
      <c r="AB581" s="54"/>
    </row>
    <row r="582" spans="1:40" x14ac:dyDescent="0.25">
      <c r="A582" s="53"/>
      <c r="R582" s="54"/>
      <c r="AK582" s="161"/>
      <c r="AL582" s="54"/>
    </row>
    <row r="583" spans="1:40" x14ac:dyDescent="0.25">
      <c r="A583" s="53"/>
      <c r="R583" s="54"/>
      <c r="AK583" s="161"/>
      <c r="AL583" s="54"/>
    </row>
    <row r="584" spans="1:40" x14ac:dyDescent="0.25">
      <c r="A584" s="54"/>
      <c r="R584" s="54"/>
      <c r="AK584" s="161"/>
      <c r="AL584" s="54"/>
    </row>
    <row r="585" spans="1:40" x14ac:dyDescent="0.25">
      <c r="L585" s="54"/>
      <c r="M585" s="54"/>
      <c r="R585" s="53"/>
      <c r="AA585" s="54"/>
      <c r="AB585" s="54"/>
      <c r="AK585" s="156"/>
      <c r="AL585" s="53"/>
    </row>
    <row r="586" spans="1:40" x14ac:dyDescent="0.25">
      <c r="A586" s="55"/>
      <c r="B586" s="55"/>
      <c r="C586" s="55"/>
      <c r="D586" s="55"/>
      <c r="E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154"/>
      <c r="AH586" s="55"/>
      <c r="AI586" s="55"/>
      <c r="AJ586" s="55"/>
      <c r="AK586" s="154"/>
      <c r="AL586" s="55"/>
      <c r="AM586" s="55"/>
      <c r="AN586" s="55"/>
    </row>
    <row r="587" spans="1:40" x14ac:dyDescent="0.25">
      <c r="F587" s="55"/>
      <c r="L587" s="56"/>
      <c r="M587" s="56"/>
      <c r="N587" s="56"/>
      <c r="O587" s="56"/>
      <c r="R587" s="56"/>
      <c r="AA587" s="56"/>
      <c r="AB587" s="56"/>
      <c r="AC587" s="56"/>
      <c r="AD587" s="56"/>
      <c r="AE587" s="56"/>
      <c r="AF587" s="56"/>
      <c r="AG587" s="155"/>
      <c r="AH587" s="56"/>
      <c r="AK587" s="155"/>
      <c r="AL587" s="56"/>
      <c r="AM587" s="56"/>
      <c r="AN587" s="56"/>
    </row>
    <row r="588" spans="1:40" x14ac:dyDescent="0.25">
      <c r="L588" s="56"/>
      <c r="M588" s="56"/>
      <c r="N588" s="56"/>
      <c r="O588" s="56"/>
      <c r="R588" s="56"/>
      <c r="Z588" s="56"/>
      <c r="AA588" s="56"/>
      <c r="AB588" s="56"/>
      <c r="AC588" s="56"/>
      <c r="AD588" s="56"/>
      <c r="AE588" s="56"/>
      <c r="AF588" s="56"/>
      <c r="AG588" s="155"/>
      <c r="AH588" s="56"/>
      <c r="AK588" s="155"/>
      <c r="AL588" s="56"/>
      <c r="AM588" s="56"/>
      <c r="AN588" s="56"/>
    </row>
    <row r="589" spans="1:40" x14ac:dyDescent="0.25">
      <c r="A589" s="56"/>
      <c r="C589" s="56"/>
      <c r="D589" s="56"/>
      <c r="E589" s="56"/>
      <c r="J589" s="56"/>
      <c r="K589" s="56"/>
      <c r="L589" s="56"/>
      <c r="M589" s="56"/>
      <c r="N589" s="56"/>
      <c r="O589" s="56"/>
      <c r="P589" s="56"/>
      <c r="Q589" s="56"/>
      <c r="R589" s="56"/>
      <c r="T589" s="56"/>
      <c r="U589" s="56"/>
      <c r="V589" s="56"/>
      <c r="Z589" s="56"/>
      <c r="AA589" s="56"/>
      <c r="AB589" s="56"/>
      <c r="AC589" s="56"/>
      <c r="AD589" s="56"/>
      <c r="AE589" s="56"/>
      <c r="AF589" s="56"/>
      <c r="AG589" s="155"/>
      <c r="AH589" s="56"/>
      <c r="AI589" s="56"/>
      <c r="AJ589" s="56"/>
      <c r="AK589" s="155"/>
      <c r="AL589" s="56"/>
      <c r="AM589" s="56"/>
      <c r="AN589" s="56"/>
    </row>
    <row r="590" spans="1:40" x14ac:dyDescent="0.25">
      <c r="A590" s="56"/>
      <c r="C590" s="56"/>
      <c r="D590" s="56"/>
      <c r="E590" s="56"/>
      <c r="F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T590" s="56"/>
      <c r="U590" s="56"/>
      <c r="V590" s="56"/>
      <c r="Y590" s="56"/>
      <c r="Z590" s="56"/>
      <c r="AA590" s="56"/>
      <c r="AB590" s="56"/>
      <c r="AC590" s="56"/>
      <c r="AD590" s="56"/>
      <c r="AE590" s="56"/>
      <c r="AF590" s="56"/>
      <c r="AG590" s="155"/>
      <c r="AH590" s="56"/>
      <c r="AI590" s="56"/>
      <c r="AJ590" s="56"/>
      <c r="AK590" s="155"/>
      <c r="AL590" s="56"/>
      <c r="AM590" s="56"/>
      <c r="AN590" s="56"/>
    </row>
    <row r="591" spans="1:40" x14ac:dyDescent="0.25">
      <c r="C591" s="56"/>
      <c r="D591" s="56"/>
      <c r="E591" s="56"/>
      <c r="F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T591" s="56"/>
      <c r="U591" s="56"/>
      <c r="V591" s="56"/>
      <c r="Y591" s="56"/>
      <c r="Z591" s="56"/>
      <c r="AA591" s="56"/>
      <c r="AB591" s="56"/>
      <c r="AC591" s="56"/>
      <c r="AD591" s="56"/>
      <c r="AE591" s="56"/>
      <c r="AF591" s="56"/>
      <c r="AG591" s="155"/>
      <c r="AH591" s="56"/>
      <c r="AI591" s="56"/>
      <c r="AJ591" s="56"/>
      <c r="AK591" s="155"/>
      <c r="AL591" s="56"/>
      <c r="AM591" s="56"/>
      <c r="AN591" s="56"/>
    </row>
    <row r="592" spans="1:40" x14ac:dyDescent="0.25">
      <c r="A592" s="55"/>
      <c r="B592" s="55"/>
      <c r="C592" s="55"/>
      <c r="D592" s="55"/>
      <c r="E592" s="55"/>
      <c r="F592" s="56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154"/>
      <c r="AH592" s="55"/>
      <c r="AI592" s="55"/>
      <c r="AJ592" s="55"/>
      <c r="AK592" s="154"/>
      <c r="AL592" s="55"/>
      <c r="AM592" s="55"/>
      <c r="AN592" s="55"/>
    </row>
    <row r="593" spans="1:40" x14ac:dyDescent="0.25">
      <c r="F593" s="55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Y593" s="56"/>
      <c r="Z593" s="56"/>
      <c r="AA593" s="56"/>
      <c r="AB593" s="56"/>
      <c r="AC593" s="56"/>
      <c r="AD593" s="56"/>
      <c r="AE593" s="56"/>
      <c r="AF593" s="56"/>
      <c r="AG593" s="155"/>
      <c r="AH593" s="56"/>
      <c r="AI593" s="56"/>
      <c r="AJ593" s="56"/>
      <c r="AK593" s="155"/>
      <c r="AL593" s="56"/>
      <c r="AM593" s="56"/>
      <c r="AN593" s="56"/>
    </row>
    <row r="594" spans="1:40" x14ac:dyDescent="0.25">
      <c r="A594" s="53"/>
      <c r="C594" s="54"/>
      <c r="D594" s="54"/>
      <c r="E594" s="54"/>
      <c r="H594" s="379"/>
      <c r="I594" s="379"/>
      <c r="J594" s="59"/>
      <c r="K594" s="59"/>
      <c r="L594" s="379"/>
      <c r="M594" s="379"/>
      <c r="N594" s="59"/>
      <c r="O594" s="59"/>
      <c r="P594" s="379"/>
      <c r="Q594" s="379"/>
      <c r="R594" s="379"/>
      <c r="T594" s="54"/>
      <c r="U594" s="54"/>
      <c r="V594" s="379"/>
      <c r="Y594" s="379"/>
      <c r="Z594" s="59"/>
      <c r="AA594" s="379"/>
      <c r="AB594" s="379"/>
      <c r="AC594" s="59"/>
      <c r="AD594" s="59"/>
      <c r="AE594" s="379"/>
      <c r="AF594" s="379"/>
      <c r="AG594" s="156"/>
      <c r="AH594" s="60"/>
      <c r="AI594" s="379"/>
      <c r="AJ594" s="379"/>
      <c r="AK594" s="156"/>
      <c r="AL594" s="379"/>
      <c r="AM594" s="50"/>
      <c r="AN594" s="50"/>
    </row>
    <row r="595" spans="1:40" x14ac:dyDescent="0.25">
      <c r="F595" s="379"/>
      <c r="H595" s="381"/>
      <c r="I595" s="381"/>
      <c r="J595" s="464"/>
      <c r="K595" s="464"/>
      <c r="L595" s="381"/>
      <c r="M595" s="381"/>
      <c r="N595" s="381"/>
      <c r="O595" s="381"/>
      <c r="P595" s="381"/>
      <c r="Q595" s="381"/>
      <c r="R595" s="381"/>
      <c r="V595" s="381"/>
      <c r="Y595" s="381"/>
      <c r="Z595" s="464"/>
      <c r="AA595" s="381"/>
      <c r="AB595" s="381"/>
      <c r="AC595" s="381"/>
      <c r="AD595" s="381"/>
      <c r="AE595" s="381"/>
      <c r="AF595" s="381"/>
      <c r="AI595" s="381"/>
      <c r="AJ595" s="381"/>
      <c r="AK595" s="162"/>
      <c r="AL595" s="381"/>
      <c r="AM595" s="50"/>
      <c r="AN595" s="50"/>
    </row>
    <row r="596" spans="1:40" x14ac:dyDescent="0.25">
      <c r="A596" s="53"/>
      <c r="C596" s="54"/>
      <c r="F596" s="381"/>
      <c r="H596" s="379"/>
      <c r="I596" s="379"/>
      <c r="J596" s="59"/>
      <c r="K596" s="59"/>
      <c r="L596" s="379"/>
      <c r="M596" s="379"/>
      <c r="N596" s="59"/>
      <c r="O596" s="59"/>
      <c r="P596" s="379"/>
      <c r="Q596" s="379"/>
      <c r="R596" s="379"/>
      <c r="T596" s="54"/>
      <c r="V596" s="379"/>
      <c r="Y596" s="379"/>
      <c r="Z596" s="59"/>
      <c r="AA596" s="379"/>
      <c r="AB596" s="379"/>
      <c r="AC596" s="59"/>
      <c r="AD596" s="59"/>
      <c r="AE596" s="379"/>
      <c r="AF596" s="379"/>
      <c r="AG596" s="156"/>
      <c r="AH596" s="60"/>
      <c r="AI596" s="379"/>
      <c r="AJ596" s="379"/>
      <c r="AK596" s="156"/>
      <c r="AL596" s="379"/>
      <c r="AM596" s="50"/>
      <c r="AN596" s="50"/>
    </row>
    <row r="597" spans="1:40" x14ac:dyDescent="0.25">
      <c r="F597" s="379"/>
      <c r="H597" s="379"/>
      <c r="I597" s="379"/>
      <c r="J597" s="59"/>
      <c r="K597" s="59"/>
      <c r="L597" s="379"/>
      <c r="M597" s="379"/>
      <c r="N597" s="59"/>
      <c r="O597" s="59"/>
      <c r="P597" s="379"/>
      <c r="Q597" s="379"/>
      <c r="R597" s="379"/>
      <c r="V597" s="379"/>
      <c r="Y597" s="379"/>
      <c r="Z597" s="59"/>
      <c r="AA597" s="379"/>
      <c r="AB597" s="379"/>
      <c r="AC597" s="59"/>
      <c r="AD597" s="59"/>
      <c r="AG597" s="156"/>
      <c r="AH597" s="60"/>
      <c r="AI597" s="379"/>
      <c r="AJ597" s="379"/>
      <c r="AK597" s="156"/>
      <c r="AL597" s="379"/>
      <c r="AM597" s="50"/>
      <c r="AN597" s="50"/>
    </row>
    <row r="598" spans="1:40" x14ac:dyDescent="0.25">
      <c r="A598" s="53"/>
      <c r="C598" s="54"/>
      <c r="D598" s="54"/>
      <c r="E598" s="54"/>
      <c r="F598" s="379"/>
      <c r="H598" s="379"/>
      <c r="I598" s="379"/>
      <c r="J598" s="59"/>
      <c r="K598" s="59"/>
      <c r="L598" s="379"/>
      <c r="M598" s="379"/>
      <c r="N598" s="59"/>
      <c r="O598" s="59"/>
      <c r="P598" s="379"/>
      <c r="Q598" s="379"/>
      <c r="R598" s="379"/>
      <c r="T598" s="54"/>
      <c r="U598" s="54"/>
      <c r="V598" s="379"/>
      <c r="Y598" s="379"/>
      <c r="Z598" s="59"/>
      <c r="AA598" s="379"/>
      <c r="AB598" s="379"/>
      <c r="AC598" s="59"/>
      <c r="AD598" s="59"/>
      <c r="AE598" s="379"/>
      <c r="AF598" s="379"/>
      <c r="AG598" s="156"/>
      <c r="AH598" s="60"/>
      <c r="AI598" s="379"/>
      <c r="AJ598" s="379"/>
      <c r="AK598" s="156"/>
      <c r="AL598" s="379"/>
      <c r="AM598" s="50"/>
      <c r="AN598" s="50"/>
    </row>
    <row r="599" spans="1:40" x14ac:dyDescent="0.25">
      <c r="A599" s="53"/>
      <c r="C599" s="54"/>
      <c r="D599" s="54"/>
      <c r="E599" s="54"/>
      <c r="F599" s="379"/>
      <c r="H599" s="379"/>
      <c r="I599" s="379"/>
      <c r="J599" s="59"/>
      <c r="K599" s="59"/>
      <c r="L599" s="379"/>
      <c r="M599" s="379"/>
      <c r="N599" s="59"/>
      <c r="O599" s="59"/>
      <c r="P599" s="379"/>
      <c r="Q599" s="379"/>
      <c r="R599" s="379"/>
      <c r="T599" s="54"/>
      <c r="U599" s="54"/>
      <c r="V599" s="379"/>
      <c r="Y599" s="379"/>
      <c r="Z599" s="59"/>
      <c r="AA599" s="379"/>
      <c r="AB599" s="379"/>
      <c r="AC599" s="59"/>
      <c r="AD599" s="59"/>
      <c r="AE599" s="379"/>
      <c r="AF599" s="379"/>
      <c r="AG599" s="156"/>
      <c r="AH599" s="60"/>
      <c r="AI599" s="379"/>
      <c r="AJ599" s="379"/>
      <c r="AK599" s="156"/>
      <c r="AL599" s="379"/>
      <c r="AM599" s="50"/>
      <c r="AN599" s="50"/>
    </row>
    <row r="600" spans="1:40" x14ac:dyDescent="0.25">
      <c r="A600" s="53"/>
      <c r="C600" s="54"/>
      <c r="D600" s="54"/>
      <c r="E600" s="54"/>
      <c r="F600" s="379"/>
      <c r="H600" s="379"/>
      <c r="I600" s="379"/>
      <c r="J600" s="59"/>
      <c r="K600" s="59"/>
      <c r="L600" s="379"/>
      <c r="M600" s="379"/>
      <c r="N600" s="59"/>
      <c r="O600" s="59"/>
      <c r="P600" s="379"/>
      <c r="Q600" s="379"/>
      <c r="R600" s="379"/>
      <c r="T600" s="54"/>
      <c r="U600" s="54"/>
      <c r="V600" s="379"/>
      <c r="Y600" s="379"/>
      <c r="Z600" s="59"/>
      <c r="AA600" s="379"/>
      <c r="AB600" s="379"/>
      <c r="AC600" s="59"/>
      <c r="AD600" s="59"/>
      <c r="AE600" s="379"/>
      <c r="AF600" s="379"/>
      <c r="AG600" s="156"/>
      <c r="AH600" s="60"/>
      <c r="AI600" s="379"/>
      <c r="AJ600" s="379"/>
      <c r="AK600" s="156"/>
      <c r="AL600" s="379"/>
      <c r="AM600" s="50"/>
      <c r="AN600" s="50"/>
    </row>
    <row r="601" spans="1:40" x14ac:dyDescent="0.25">
      <c r="A601" s="53"/>
      <c r="C601" s="54"/>
      <c r="D601" s="54"/>
      <c r="E601" s="54"/>
      <c r="F601" s="379"/>
      <c r="H601" s="379"/>
      <c r="I601" s="379"/>
      <c r="J601" s="59"/>
      <c r="K601" s="59"/>
      <c r="L601" s="379"/>
      <c r="M601" s="379"/>
      <c r="N601" s="59"/>
      <c r="O601" s="59"/>
      <c r="P601" s="379"/>
      <c r="Q601" s="379"/>
      <c r="R601" s="379"/>
      <c r="T601" s="54"/>
      <c r="U601" s="54"/>
      <c r="V601" s="379"/>
      <c r="Y601" s="379"/>
      <c r="Z601" s="59"/>
      <c r="AA601" s="379"/>
      <c r="AB601" s="379"/>
      <c r="AC601" s="59"/>
      <c r="AD601" s="59"/>
      <c r="AE601" s="379"/>
      <c r="AF601" s="379"/>
      <c r="AG601" s="156"/>
      <c r="AH601" s="60"/>
      <c r="AI601" s="379"/>
      <c r="AJ601" s="379"/>
      <c r="AK601" s="156"/>
      <c r="AL601" s="379"/>
      <c r="AM601" s="50"/>
      <c r="AN601" s="50"/>
    </row>
    <row r="602" spans="1:40" x14ac:dyDescent="0.25">
      <c r="A602" s="53"/>
      <c r="C602" s="54"/>
      <c r="D602" s="54"/>
      <c r="E602" s="54"/>
      <c r="F602" s="379"/>
      <c r="H602" s="379"/>
      <c r="I602" s="379"/>
      <c r="J602" s="59"/>
      <c r="K602" s="59"/>
      <c r="L602" s="379"/>
      <c r="M602" s="379"/>
      <c r="N602" s="59"/>
      <c r="O602" s="59"/>
      <c r="P602" s="379"/>
      <c r="Q602" s="379"/>
      <c r="R602" s="379"/>
      <c r="T602" s="54"/>
      <c r="U602" s="54"/>
      <c r="V602" s="379"/>
      <c r="Y602" s="379"/>
      <c r="Z602" s="59"/>
      <c r="AA602" s="379"/>
      <c r="AB602" s="379"/>
      <c r="AC602" s="59"/>
      <c r="AD602" s="59"/>
      <c r="AE602" s="379"/>
      <c r="AF602" s="379"/>
      <c r="AG602" s="156"/>
      <c r="AH602" s="60"/>
      <c r="AI602" s="379"/>
      <c r="AJ602" s="379"/>
      <c r="AK602" s="156"/>
      <c r="AL602" s="379"/>
      <c r="AM602" s="50"/>
      <c r="AN602" s="50"/>
    </row>
    <row r="603" spans="1:40" x14ac:dyDescent="0.25">
      <c r="A603" s="53"/>
      <c r="C603" s="54"/>
      <c r="D603" s="54"/>
      <c r="E603" s="54"/>
      <c r="F603" s="379"/>
      <c r="H603" s="379"/>
      <c r="I603" s="379"/>
      <c r="J603" s="59"/>
      <c r="K603" s="59"/>
      <c r="L603" s="379"/>
      <c r="M603" s="379"/>
      <c r="N603" s="59"/>
      <c r="O603" s="59"/>
      <c r="P603" s="379"/>
      <c r="Q603" s="379"/>
      <c r="R603" s="379"/>
      <c r="T603" s="54"/>
      <c r="U603" s="54"/>
      <c r="V603" s="379"/>
      <c r="Y603" s="379"/>
      <c r="Z603" s="59"/>
      <c r="AA603" s="379"/>
      <c r="AB603" s="379"/>
      <c r="AC603" s="59"/>
      <c r="AD603" s="59"/>
      <c r="AE603" s="379"/>
      <c r="AF603" s="379"/>
      <c r="AG603" s="156"/>
      <c r="AH603" s="60"/>
      <c r="AI603" s="379"/>
      <c r="AJ603" s="379"/>
      <c r="AK603" s="156"/>
      <c r="AL603" s="379"/>
      <c r="AM603" s="50"/>
      <c r="AN603" s="50"/>
    </row>
    <row r="604" spans="1:40" x14ac:dyDescent="0.25">
      <c r="F604" s="379"/>
      <c r="H604" s="381"/>
      <c r="I604" s="381"/>
      <c r="J604" s="464"/>
      <c r="K604" s="464"/>
      <c r="L604" s="381"/>
      <c r="M604" s="381"/>
      <c r="N604" s="381"/>
      <c r="O604" s="381"/>
      <c r="P604" s="381"/>
      <c r="Q604" s="381"/>
      <c r="R604" s="381"/>
      <c r="V604" s="381"/>
      <c r="Y604" s="381"/>
      <c r="Z604" s="464"/>
      <c r="AA604" s="381"/>
      <c r="AB604" s="381"/>
      <c r="AC604" s="381"/>
      <c r="AD604" s="381"/>
      <c r="AE604" s="381"/>
      <c r="AF604" s="381"/>
      <c r="AI604" s="381"/>
      <c r="AJ604" s="381"/>
      <c r="AK604" s="162"/>
      <c r="AL604" s="381"/>
      <c r="AM604" s="50"/>
      <c r="AN604" s="50"/>
    </row>
    <row r="605" spans="1:40" x14ac:dyDescent="0.25">
      <c r="A605" s="53"/>
      <c r="C605" s="54"/>
      <c r="F605" s="381"/>
      <c r="H605" s="379"/>
      <c r="I605" s="379"/>
      <c r="J605" s="59"/>
      <c r="K605" s="59"/>
      <c r="L605" s="379"/>
      <c r="M605" s="379"/>
      <c r="N605" s="59"/>
      <c r="O605" s="59"/>
      <c r="P605" s="379"/>
      <c r="Q605" s="379"/>
      <c r="R605" s="379"/>
      <c r="T605" s="54"/>
      <c r="V605" s="379"/>
      <c r="Y605" s="379"/>
      <c r="Z605" s="59"/>
      <c r="AA605" s="379"/>
      <c r="AB605" s="379"/>
      <c r="AC605" s="59"/>
      <c r="AD605" s="59"/>
      <c r="AE605" s="379"/>
      <c r="AF605" s="379"/>
      <c r="AG605" s="156"/>
      <c r="AH605" s="60"/>
      <c r="AI605" s="379"/>
      <c r="AJ605" s="379"/>
      <c r="AK605" s="156"/>
      <c r="AL605" s="379"/>
      <c r="AM605" s="50"/>
      <c r="AN605" s="50"/>
    </row>
    <row r="606" spans="1:40" x14ac:dyDescent="0.25">
      <c r="F606" s="379"/>
      <c r="H606" s="379"/>
      <c r="I606" s="379"/>
      <c r="J606" s="59"/>
      <c r="K606" s="59"/>
      <c r="L606" s="379"/>
      <c r="M606" s="379"/>
      <c r="N606" s="59"/>
      <c r="O606" s="59"/>
      <c r="P606" s="379"/>
      <c r="Q606" s="379"/>
      <c r="R606" s="379"/>
      <c r="V606" s="379"/>
      <c r="Y606" s="379"/>
      <c r="Z606" s="59"/>
      <c r="AA606" s="379"/>
      <c r="AB606" s="379"/>
      <c r="AC606" s="59"/>
      <c r="AD606" s="59"/>
      <c r="AG606" s="156"/>
      <c r="AH606" s="60"/>
      <c r="AI606" s="379"/>
      <c r="AJ606" s="379"/>
      <c r="AK606" s="156"/>
      <c r="AL606" s="379"/>
      <c r="AM606" s="50"/>
      <c r="AN606" s="50"/>
    </row>
    <row r="607" spans="1:40" x14ac:dyDescent="0.25">
      <c r="A607" s="53"/>
      <c r="C607" s="54"/>
      <c r="D607" s="54"/>
      <c r="E607" s="54"/>
      <c r="F607" s="379"/>
      <c r="H607" s="379"/>
      <c r="I607" s="379"/>
      <c r="J607" s="59"/>
      <c r="K607" s="59"/>
      <c r="L607" s="379"/>
      <c r="M607" s="379"/>
      <c r="N607" s="59"/>
      <c r="O607" s="59"/>
      <c r="P607" s="379"/>
      <c r="Q607" s="379"/>
      <c r="R607" s="379"/>
      <c r="T607" s="54"/>
      <c r="U607" s="54"/>
      <c r="V607" s="379"/>
      <c r="Y607" s="379"/>
      <c r="Z607" s="59"/>
      <c r="AA607" s="379"/>
      <c r="AB607" s="379"/>
      <c r="AC607" s="59"/>
      <c r="AD607" s="59"/>
      <c r="AE607" s="379"/>
      <c r="AF607" s="379"/>
      <c r="AG607" s="156"/>
      <c r="AH607" s="60"/>
      <c r="AI607" s="379"/>
      <c r="AJ607" s="379"/>
      <c r="AK607" s="156"/>
      <c r="AL607" s="379"/>
      <c r="AM607" s="50"/>
      <c r="AN607" s="50"/>
    </row>
    <row r="608" spans="1:40" x14ac:dyDescent="0.25">
      <c r="F608" s="379"/>
      <c r="H608" s="381"/>
      <c r="I608" s="381"/>
      <c r="J608" s="464"/>
      <c r="K608" s="464"/>
      <c r="L608" s="381"/>
      <c r="M608" s="381"/>
      <c r="N608" s="381"/>
      <c r="O608" s="381"/>
      <c r="P608" s="381"/>
      <c r="Q608" s="381"/>
      <c r="R608" s="381"/>
      <c r="V608" s="381"/>
      <c r="Y608" s="381"/>
      <c r="Z608" s="464"/>
      <c r="AA608" s="381"/>
      <c r="AB608" s="381"/>
      <c r="AC608" s="381"/>
      <c r="AD608" s="381"/>
      <c r="AE608" s="381"/>
      <c r="AF608" s="381"/>
      <c r="AI608" s="381"/>
      <c r="AJ608" s="381"/>
      <c r="AK608" s="162"/>
      <c r="AL608" s="381"/>
      <c r="AM608" s="50"/>
      <c r="AN608" s="50"/>
    </row>
    <row r="609" spans="1:40" x14ac:dyDescent="0.25">
      <c r="A609" s="53"/>
      <c r="C609" s="54"/>
      <c r="F609" s="381"/>
      <c r="H609" s="379"/>
      <c r="I609" s="379"/>
      <c r="J609" s="59"/>
      <c r="K609" s="59"/>
      <c r="L609" s="379"/>
      <c r="M609" s="379"/>
      <c r="N609" s="59"/>
      <c r="O609" s="59"/>
      <c r="P609" s="379"/>
      <c r="Q609" s="379"/>
      <c r="R609" s="379"/>
      <c r="T609" s="54"/>
      <c r="V609" s="379"/>
      <c r="Y609" s="379"/>
      <c r="Z609" s="59"/>
      <c r="AA609" s="379"/>
      <c r="AB609" s="379"/>
      <c r="AC609" s="59"/>
      <c r="AD609" s="59"/>
      <c r="AE609" s="379"/>
      <c r="AF609" s="379"/>
      <c r="AG609" s="156"/>
      <c r="AH609" s="60"/>
      <c r="AI609" s="379"/>
      <c r="AJ609" s="379"/>
      <c r="AK609" s="156"/>
      <c r="AL609" s="379"/>
      <c r="AM609" s="50"/>
      <c r="AN609" s="50"/>
    </row>
    <row r="610" spans="1:40" x14ac:dyDescent="0.25">
      <c r="F610" s="379"/>
      <c r="H610" s="379"/>
      <c r="I610" s="379"/>
      <c r="J610" s="59"/>
      <c r="K610" s="59"/>
      <c r="L610" s="379"/>
      <c r="M610" s="379"/>
      <c r="N610" s="59"/>
      <c r="O610" s="59"/>
      <c r="P610" s="379"/>
      <c r="Q610" s="379"/>
      <c r="R610" s="379"/>
      <c r="V610" s="379"/>
      <c r="Y610" s="379"/>
      <c r="Z610" s="59"/>
      <c r="AA610" s="379"/>
      <c r="AB610" s="379"/>
      <c r="AC610" s="59"/>
      <c r="AD610" s="59"/>
      <c r="AG610" s="156"/>
      <c r="AH610" s="60"/>
      <c r="AI610" s="379"/>
      <c r="AJ610" s="379"/>
      <c r="AK610" s="156"/>
      <c r="AL610" s="379"/>
      <c r="AM610" s="50"/>
      <c r="AN610" s="50"/>
    </row>
    <row r="611" spans="1:40" x14ac:dyDescent="0.25">
      <c r="A611" s="53"/>
      <c r="C611" s="54"/>
      <c r="D611" s="54"/>
      <c r="E611" s="54"/>
      <c r="F611" s="379"/>
      <c r="H611" s="379"/>
      <c r="I611" s="379"/>
      <c r="J611" s="59"/>
      <c r="K611" s="59"/>
      <c r="L611" s="379"/>
      <c r="M611" s="379"/>
      <c r="N611" s="59"/>
      <c r="O611" s="59"/>
      <c r="P611" s="379"/>
      <c r="Q611" s="379"/>
      <c r="R611" s="379"/>
      <c r="T611" s="54"/>
      <c r="U611" s="54"/>
      <c r="V611" s="379"/>
      <c r="Y611" s="379"/>
      <c r="Z611" s="59"/>
      <c r="AA611" s="379"/>
      <c r="AB611" s="379"/>
      <c r="AC611" s="59"/>
      <c r="AD611" s="59"/>
      <c r="AE611" s="379"/>
      <c r="AF611" s="379"/>
      <c r="AG611" s="156"/>
      <c r="AH611" s="60"/>
      <c r="AI611" s="379"/>
      <c r="AJ611" s="379"/>
      <c r="AK611" s="156"/>
      <c r="AL611" s="379"/>
      <c r="AM611" s="50"/>
      <c r="AN611" s="50"/>
    </row>
    <row r="612" spans="1:40" x14ac:dyDescent="0.25">
      <c r="A612" s="53"/>
      <c r="C612" s="54"/>
      <c r="D612" s="54"/>
      <c r="E612" s="54"/>
      <c r="F612" s="379"/>
      <c r="G612" s="379"/>
      <c r="H612" s="379"/>
      <c r="I612" s="379"/>
      <c r="J612" s="59"/>
      <c r="K612" s="59"/>
      <c r="L612" s="379"/>
      <c r="M612" s="379"/>
      <c r="N612" s="59"/>
      <c r="O612" s="59"/>
      <c r="P612" s="379"/>
      <c r="Q612" s="379"/>
      <c r="R612" s="379"/>
      <c r="T612" s="54"/>
      <c r="U612" s="54"/>
      <c r="V612" s="379"/>
      <c r="W612" s="379"/>
      <c r="X612" s="379"/>
      <c r="Y612" s="379"/>
      <c r="Z612" s="59"/>
      <c r="AA612" s="379"/>
      <c r="AB612" s="379"/>
      <c r="AC612" s="59"/>
      <c r="AD612" s="59"/>
      <c r="AE612" s="379"/>
      <c r="AF612" s="379"/>
      <c r="AG612" s="156"/>
      <c r="AH612" s="60"/>
      <c r="AI612" s="379"/>
      <c r="AJ612" s="379"/>
      <c r="AK612" s="156"/>
      <c r="AL612" s="379"/>
      <c r="AM612" s="50"/>
      <c r="AN612" s="50"/>
    </row>
    <row r="613" spans="1:40" x14ac:dyDescent="0.25">
      <c r="A613" s="53"/>
      <c r="C613" s="54"/>
      <c r="D613" s="54"/>
      <c r="E613" s="54"/>
      <c r="F613" s="379"/>
      <c r="G613" s="379"/>
      <c r="H613" s="379"/>
      <c r="I613" s="379"/>
      <c r="J613" s="59"/>
      <c r="K613" s="59"/>
      <c r="L613" s="379"/>
      <c r="M613" s="379"/>
      <c r="N613" s="59"/>
      <c r="O613" s="59"/>
      <c r="P613" s="379"/>
      <c r="Q613" s="379"/>
      <c r="R613" s="379"/>
      <c r="T613" s="54"/>
      <c r="U613" s="54"/>
      <c r="V613" s="379"/>
      <c r="W613" s="379"/>
      <c r="X613" s="379"/>
      <c r="Y613" s="379"/>
      <c r="Z613" s="59"/>
      <c r="AA613" s="379"/>
      <c r="AB613" s="379"/>
      <c r="AC613" s="59"/>
      <c r="AD613" s="59"/>
      <c r="AE613" s="379"/>
      <c r="AF613" s="379"/>
      <c r="AG613" s="156"/>
      <c r="AH613" s="60"/>
      <c r="AI613" s="379"/>
      <c r="AJ613" s="379"/>
      <c r="AK613" s="156"/>
      <c r="AL613" s="379"/>
      <c r="AM613" s="50"/>
      <c r="AN613" s="50"/>
    </row>
    <row r="614" spans="1:40" x14ac:dyDescent="0.25">
      <c r="A614" s="53"/>
      <c r="C614" s="54"/>
      <c r="D614" s="54"/>
      <c r="E614" s="54"/>
      <c r="F614" s="379"/>
      <c r="H614" s="379"/>
      <c r="I614" s="379"/>
      <c r="J614" s="59"/>
      <c r="K614" s="59"/>
      <c r="L614" s="379"/>
      <c r="M614" s="379"/>
      <c r="N614" s="59"/>
      <c r="O614" s="59"/>
      <c r="P614" s="379"/>
      <c r="Q614" s="379"/>
      <c r="R614" s="379"/>
      <c r="T614" s="54"/>
      <c r="U614" s="54"/>
      <c r="V614" s="379"/>
      <c r="Y614" s="379"/>
      <c r="Z614" s="59"/>
      <c r="AA614" s="379"/>
      <c r="AB614" s="379"/>
      <c r="AC614" s="59"/>
      <c r="AD614" s="59"/>
      <c r="AE614" s="379"/>
      <c r="AF614" s="379"/>
      <c r="AG614" s="156"/>
      <c r="AH614" s="60"/>
      <c r="AI614" s="379"/>
      <c r="AJ614" s="379"/>
      <c r="AK614" s="156"/>
      <c r="AL614" s="379"/>
      <c r="AM614" s="50"/>
      <c r="AN614" s="50"/>
    </row>
    <row r="615" spans="1:40" x14ac:dyDescent="0.25">
      <c r="A615" s="53"/>
      <c r="C615" s="54"/>
      <c r="D615" s="54"/>
      <c r="E615" s="54"/>
      <c r="F615" s="379"/>
      <c r="H615" s="379"/>
      <c r="I615" s="379"/>
      <c r="J615" s="59"/>
      <c r="K615" s="59"/>
      <c r="L615" s="379"/>
      <c r="M615" s="379"/>
      <c r="N615" s="59"/>
      <c r="O615" s="59"/>
      <c r="P615" s="379"/>
      <c r="Q615" s="379"/>
      <c r="R615" s="379"/>
      <c r="T615" s="54"/>
      <c r="U615" s="54"/>
      <c r="V615" s="379"/>
      <c r="Y615" s="379"/>
      <c r="Z615" s="59"/>
      <c r="AA615" s="379"/>
      <c r="AB615" s="379"/>
      <c r="AC615" s="59"/>
      <c r="AD615" s="59"/>
      <c r="AE615" s="379"/>
      <c r="AF615" s="379"/>
      <c r="AG615" s="156"/>
      <c r="AH615" s="60"/>
      <c r="AI615" s="379"/>
      <c r="AJ615" s="379"/>
      <c r="AK615" s="156"/>
      <c r="AL615" s="379"/>
      <c r="AM615" s="50"/>
      <c r="AN615" s="50"/>
    </row>
    <row r="616" spans="1:40" x14ac:dyDescent="0.25">
      <c r="A616" s="53"/>
      <c r="C616" s="54"/>
      <c r="D616" s="54"/>
      <c r="E616" s="54"/>
      <c r="F616" s="379"/>
      <c r="H616" s="379"/>
      <c r="I616" s="379"/>
      <c r="J616" s="59"/>
      <c r="K616" s="59"/>
      <c r="L616" s="379"/>
      <c r="M616" s="379"/>
      <c r="N616" s="59"/>
      <c r="O616" s="59"/>
      <c r="P616" s="379"/>
      <c r="Q616" s="379"/>
      <c r="R616" s="379"/>
      <c r="T616" s="54"/>
      <c r="U616" s="54"/>
      <c r="V616" s="379"/>
      <c r="Y616" s="379"/>
      <c r="Z616" s="59"/>
      <c r="AA616" s="379"/>
      <c r="AB616" s="379"/>
      <c r="AC616" s="59"/>
      <c r="AD616" s="59"/>
      <c r="AE616" s="379"/>
      <c r="AF616" s="379"/>
      <c r="AG616" s="156"/>
      <c r="AH616" s="60"/>
      <c r="AI616" s="379"/>
      <c r="AJ616" s="379"/>
      <c r="AK616" s="156"/>
      <c r="AL616" s="379"/>
      <c r="AM616" s="50"/>
      <c r="AN616" s="50"/>
    </row>
    <row r="617" spans="1:40" x14ac:dyDescent="0.25">
      <c r="A617" s="53"/>
      <c r="C617" s="54"/>
      <c r="D617" s="54"/>
      <c r="E617" s="54"/>
      <c r="F617" s="379"/>
      <c r="H617" s="379"/>
      <c r="I617" s="379"/>
      <c r="J617" s="59"/>
      <c r="K617" s="59"/>
      <c r="L617" s="379"/>
      <c r="M617" s="379"/>
      <c r="N617" s="59"/>
      <c r="O617" s="59"/>
      <c r="P617" s="379"/>
      <c r="Q617" s="379"/>
      <c r="R617" s="379"/>
      <c r="T617" s="54"/>
      <c r="U617" s="54"/>
      <c r="V617" s="379"/>
      <c r="Y617" s="379"/>
      <c r="Z617" s="59"/>
      <c r="AA617" s="379"/>
      <c r="AB617" s="379"/>
      <c r="AC617" s="59"/>
      <c r="AD617" s="59"/>
      <c r="AE617" s="379"/>
      <c r="AF617" s="379"/>
      <c r="AG617" s="156"/>
      <c r="AH617" s="60"/>
      <c r="AI617" s="379"/>
      <c r="AJ617" s="379"/>
      <c r="AK617" s="156"/>
      <c r="AL617" s="379"/>
      <c r="AM617" s="50"/>
      <c r="AN617" s="50"/>
    </row>
    <row r="618" spans="1:40" x14ac:dyDescent="0.25">
      <c r="F618" s="379"/>
      <c r="H618" s="381"/>
      <c r="I618" s="381"/>
      <c r="J618" s="464"/>
      <c r="K618" s="464"/>
      <c r="L618" s="381"/>
      <c r="M618" s="381"/>
      <c r="N618" s="381"/>
      <c r="O618" s="381"/>
      <c r="P618" s="381"/>
      <c r="Q618" s="381"/>
      <c r="R618" s="381"/>
      <c r="V618" s="381"/>
      <c r="Y618" s="381"/>
      <c r="Z618" s="464"/>
      <c r="AA618" s="381"/>
      <c r="AB618" s="381"/>
      <c r="AC618" s="381"/>
      <c r="AD618" s="381"/>
      <c r="AE618" s="381"/>
      <c r="AF618" s="381"/>
      <c r="AI618" s="381"/>
      <c r="AJ618" s="381"/>
      <c r="AK618" s="162"/>
      <c r="AL618" s="381"/>
      <c r="AM618" s="50"/>
      <c r="AN618" s="50"/>
    </row>
    <row r="619" spans="1:40" x14ac:dyDescent="0.25">
      <c r="A619" s="53"/>
      <c r="C619" s="54"/>
      <c r="F619" s="381"/>
      <c r="H619" s="379"/>
      <c r="I619" s="379"/>
      <c r="J619" s="59"/>
      <c r="K619" s="59"/>
      <c r="L619" s="379"/>
      <c r="M619" s="379"/>
      <c r="N619" s="59"/>
      <c r="O619" s="59"/>
      <c r="P619" s="379"/>
      <c r="Q619" s="379"/>
      <c r="R619" s="379"/>
      <c r="T619" s="54"/>
      <c r="V619" s="379"/>
      <c r="Y619" s="379"/>
      <c r="Z619" s="59"/>
      <c r="AA619" s="379"/>
      <c r="AB619" s="379"/>
      <c r="AC619" s="59"/>
      <c r="AD619" s="59"/>
      <c r="AE619" s="379"/>
      <c r="AF619" s="379"/>
      <c r="AG619" s="156"/>
      <c r="AH619" s="60"/>
      <c r="AI619" s="379"/>
      <c r="AJ619" s="379"/>
      <c r="AK619" s="156"/>
      <c r="AL619" s="379"/>
      <c r="AM619" s="50"/>
      <c r="AN619" s="50"/>
    </row>
    <row r="620" spans="1:40" x14ac:dyDescent="0.25">
      <c r="F620" s="379"/>
      <c r="V620" s="379"/>
      <c r="Y620" s="379"/>
      <c r="Z620" s="464"/>
      <c r="AA620" s="379"/>
      <c r="AB620" s="379"/>
      <c r="AC620" s="379"/>
      <c r="AD620" s="379"/>
      <c r="AE620" s="379"/>
      <c r="AF620" s="379"/>
      <c r="AI620" s="379"/>
      <c r="AJ620" s="379"/>
      <c r="AK620" s="156"/>
      <c r="AL620" s="379"/>
      <c r="AM620" s="50"/>
      <c r="AN620" s="50"/>
    </row>
    <row r="621" spans="1:40" x14ac:dyDescent="0.25">
      <c r="A621" s="53"/>
      <c r="C621" s="54"/>
      <c r="D621" s="54"/>
      <c r="E621" s="54"/>
      <c r="L621" s="379"/>
      <c r="M621" s="379"/>
      <c r="N621" s="59"/>
      <c r="O621" s="59"/>
      <c r="P621" s="53"/>
      <c r="Q621" s="53"/>
      <c r="R621" s="379"/>
      <c r="T621" s="54"/>
      <c r="U621" s="54"/>
      <c r="AA621" s="379"/>
      <c r="AB621" s="379"/>
      <c r="AC621" s="59"/>
      <c r="AD621" s="59"/>
      <c r="AE621" s="379"/>
      <c r="AF621" s="379"/>
      <c r="AG621" s="156"/>
      <c r="AH621" s="60"/>
      <c r="AI621" s="53"/>
      <c r="AJ621" s="53"/>
      <c r="AK621" s="156"/>
      <c r="AL621" s="379"/>
      <c r="AM621" s="50"/>
      <c r="AN621" s="50"/>
    </row>
    <row r="622" spans="1:40" x14ac:dyDescent="0.25">
      <c r="A622" s="53"/>
      <c r="D622" s="54"/>
      <c r="E622" s="54"/>
      <c r="H622" s="449"/>
      <c r="I622" s="449"/>
      <c r="J622" s="59"/>
      <c r="K622" s="59"/>
      <c r="L622" s="379"/>
      <c r="M622" s="379"/>
      <c r="N622" s="59"/>
      <c r="O622" s="59"/>
      <c r="P622" s="449"/>
      <c r="Q622" s="449"/>
      <c r="R622" s="379"/>
      <c r="U622" s="54"/>
      <c r="V622" s="379"/>
      <c r="Y622" s="379"/>
      <c r="Z622" s="59"/>
      <c r="AA622" s="379"/>
      <c r="AB622" s="379"/>
      <c r="AC622" s="59"/>
      <c r="AD622" s="59"/>
      <c r="AE622" s="379"/>
      <c r="AF622" s="379"/>
      <c r="AG622" s="156"/>
      <c r="AH622" s="60"/>
      <c r="AI622" s="379"/>
      <c r="AJ622" s="379"/>
      <c r="AK622" s="156"/>
      <c r="AL622" s="379"/>
      <c r="AM622" s="50"/>
      <c r="AN622" s="50"/>
    </row>
    <row r="623" spans="1:40" x14ac:dyDescent="0.25">
      <c r="F623" s="449"/>
      <c r="H623" s="381"/>
      <c r="I623" s="381"/>
      <c r="J623" s="464"/>
      <c r="K623" s="464"/>
      <c r="L623" s="381"/>
      <c r="M623" s="381"/>
      <c r="N623" s="381"/>
      <c r="O623" s="381"/>
      <c r="P623" s="381"/>
      <c r="Q623" s="381"/>
      <c r="R623" s="381"/>
      <c r="V623" s="381"/>
      <c r="Y623" s="381"/>
      <c r="Z623" s="464"/>
      <c r="AA623" s="381"/>
      <c r="AB623" s="381"/>
      <c r="AC623" s="381"/>
      <c r="AD623" s="381"/>
      <c r="AE623" s="381"/>
      <c r="AF623" s="381"/>
      <c r="AI623" s="381"/>
      <c r="AJ623" s="381"/>
      <c r="AK623" s="162"/>
      <c r="AL623" s="381"/>
      <c r="AM623" s="50"/>
      <c r="AN623" s="50"/>
    </row>
    <row r="624" spans="1:40" x14ac:dyDescent="0.25">
      <c r="A624" s="53"/>
      <c r="C624" s="54"/>
      <c r="F624" s="381"/>
      <c r="H624" s="379"/>
      <c r="I624" s="379"/>
      <c r="J624" s="59"/>
      <c r="K624" s="59"/>
      <c r="L624" s="379"/>
      <c r="M624" s="379"/>
      <c r="N624" s="59"/>
      <c r="O624" s="59"/>
      <c r="P624" s="379"/>
      <c r="Q624" s="379"/>
      <c r="R624" s="379"/>
      <c r="T624" s="54"/>
      <c r="V624" s="379"/>
      <c r="Y624" s="379"/>
      <c r="Z624" s="59"/>
      <c r="AA624" s="379"/>
      <c r="AB624" s="379"/>
      <c r="AC624" s="59"/>
      <c r="AD624" s="59"/>
      <c r="AE624" s="379"/>
      <c r="AF624" s="379"/>
      <c r="AG624" s="156"/>
      <c r="AH624" s="60"/>
      <c r="AI624" s="379"/>
      <c r="AJ624" s="379"/>
      <c r="AK624" s="156"/>
      <c r="AL624" s="379"/>
      <c r="AM624" s="50"/>
      <c r="AN624" s="50"/>
    </row>
    <row r="625" spans="1:40" x14ac:dyDescent="0.25">
      <c r="F625" s="379"/>
      <c r="H625" s="379"/>
      <c r="I625" s="379"/>
      <c r="J625" s="59"/>
      <c r="K625" s="59"/>
      <c r="L625" s="379"/>
      <c r="M625" s="379"/>
      <c r="N625" s="59"/>
      <c r="O625" s="59"/>
      <c r="P625" s="379"/>
      <c r="Q625" s="379"/>
      <c r="R625" s="379"/>
      <c r="V625" s="379"/>
      <c r="Y625" s="379"/>
      <c r="Z625" s="59"/>
      <c r="AA625" s="379"/>
      <c r="AB625" s="379"/>
      <c r="AC625" s="59"/>
      <c r="AD625" s="59"/>
      <c r="AG625" s="156"/>
      <c r="AH625" s="60"/>
      <c r="AI625" s="379"/>
      <c r="AJ625" s="379"/>
      <c r="AK625" s="156"/>
      <c r="AL625" s="379"/>
      <c r="AM625" s="50"/>
      <c r="AN625" s="50"/>
    </row>
    <row r="626" spans="1:40" x14ac:dyDescent="0.25">
      <c r="A626" s="53"/>
      <c r="D626" s="54"/>
      <c r="E626" s="54"/>
      <c r="F626" s="379"/>
      <c r="H626" s="379"/>
      <c r="I626" s="379"/>
      <c r="J626" s="59"/>
      <c r="K626" s="59"/>
      <c r="L626" s="449"/>
      <c r="M626" s="449"/>
      <c r="N626" s="59"/>
      <c r="O626" s="59"/>
      <c r="P626" s="379"/>
      <c r="Q626" s="379"/>
      <c r="R626" s="379"/>
      <c r="U626" s="54"/>
      <c r="V626" s="379"/>
      <c r="Y626" s="379"/>
      <c r="Z626" s="59"/>
      <c r="AA626" s="449"/>
      <c r="AB626" s="449"/>
      <c r="AC626" s="59"/>
      <c r="AD626" s="59"/>
      <c r="AE626" s="379"/>
      <c r="AF626" s="379"/>
      <c r="AG626" s="156"/>
      <c r="AH626" s="60"/>
      <c r="AI626" s="379"/>
      <c r="AJ626" s="379"/>
      <c r="AK626" s="156"/>
      <c r="AL626" s="379"/>
      <c r="AM626" s="50"/>
      <c r="AN626" s="50"/>
    </row>
    <row r="627" spans="1:40" x14ac:dyDescent="0.25">
      <c r="A627" s="53"/>
      <c r="D627" s="54"/>
      <c r="E627" s="54"/>
      <c r="F627" s="379"/>
      <c r="H627" s="379"/>
      <c r="I627" s="379"/>
      <c r="J627" s="59"/>
      <c r="K627" s="59"/>
      <c r="L627" s="449"/>
      <c r="M627" s="449"/>
      <c r="N627" s="59"/>
      <c r="O627" s="59"/>
      <c r="P627" s="379"/>
      <c r="Q627" s="379"/>
      <c r="R627" s="379"/>
      <c r="U627" s="54"/>
      <c r="V627" s="379"/>
      <c r="Y627" s="379"/>
      <c r="Z627" s="59"/>
      <c r="AA627" s="449"/>
      <c r="AB627" s="449"/>
      <c r="AC627" s="59"/>
      <c r="AD627" s="59"/>
      <c r="AE627" s="379"/>
      <c r="AF627" s="379"/>
      <c r="AG627" s="156"/>
      <c r="AH627" s="60"/>
      <c r="AI627" s="379"/>
      <c r="AJ627" s="379"/>
      <c r="AK627" s="156"/>
      <c r="AL627" s="379"/>
      <c r="AM627" s="50"/>
      <c r="AN627" s="50"/>
    </row>
    <row r="628" spans="1:40" x14ac:dyDescent="0.25">
      <c r="A628" s="53"/>
      <c r="D628" s="54"/>
      <c r="E628" s="54"/>
      <c r="F628" s="379"/>
      <c r="H628" s="379"/>
      <c r="I628" s="379"/>
      <c r="J628" s="59"/>
      <c r="K628" s="59"/>
      <c r="L628" s="449"/>
      <c r="M628" s="449"/>
      <c r="N628" s="59"/>
      <c r="O628" s="59"/>
      <c r="P628" s="379"/>
      <c r="Q628" s="379"/>
      <c r="R628" s="379"/>
      <c r="U628" s="54"/>
      <c r="V628" s="379"/>
      <c r="Y628" s="379"/>
      <c r="Z628" s="59"/>
      <c r="AA628" s="449"/>
      <c r="AB628" s="449"/>
      <c r="AC628" s="59"/>
      <c r="AD628" s="59"/>
      <c r="AE628" s="379"/>
      <c r="AF628" s="379"/>
      <c r="AG628" s="156"/>
      <c r="AH628" s="60"/>
      <c r="AI628" s="379"/>
      <c r="AJ628" s="379"/>
      <c r="AK628" s="156"/>
      <c r="AL628" s="379"/>
      <c r="AM628" s="50"/>
      <c r="AN628" s="50"/>
    </row>
    <row r="629" spans="1:40" x14ac:dyDescent="0.25">
      <c r="F629" s="379"/>
      <c r="H629" s="381"/>
      <c r="I629" s="381"/>
      <c r="J629" s="464"/>
      <c r="K629" s="464"/>
      <c r="L629" s="381"/>
      <c r="M629" s="381"/>
      <c r="N629" s="381"/>
      <c r="O629" s="381"/>
      <c r="P629" s="381"/>
      <c r="Q629" s="381"/>
      <c r="R629" s="381"/>
      <c r="V629" s="381"/>
      <c r="Y629" s="381"/>
      <c r="Z629" s="464"/>
      <c r="AA629" s="381"/>
      <c r="AB629" s="381"/>
      <c r="AC629" s="381"/>
      <c r="AD629" s="381"/>
      <c r="AE629" s="381"/>
      <c r="AF629" s="381"/>
      <c r="AI629" s="381"/>
      <c r="AJ629" s="381"/>
      <c r="AK629" s="162"/>
      <c r="AL629" s="381"/>
      <c r="AM629" s="50"/>
      <c r="AN629" s="50"/>
    </row>
    <row r="630" spans="1:40" x14ac:dyDescent="0.25">
      <c r="A630" s="53"/>
      <c r="C630" s="54"/>
      <c r="F630" s="381"/>
      <c r="H630" s="379"/>
      <c r="I630" s="379"/>
      <c r="J630" s="59"/>
      <c r="K630" s="59"/>
      <c r="L630" s="379"/>
      <c r="M630" s="379"/>
      <c r="N630" s="59"/>
      <c r="O630" s="59"/>
      <c r="P630" s="379"/>
      <c r="Q630" s="379"/>
      <c r="R630" s="379"/>
      <c r="T630" s="54"/>
      <c r="V630" s="379"/>
      <c r="Y630" s="379"/>
      <c r="Z630" s="59"/>
      <c r="AA630" s="379"/>
      <c r="AB630" s="379"/>
      <c r="AC630" s="59"/>
      <c r="AD630" s="59"/>
      <c r="AE630" s="379"/>
      <c r="AF630" s="379"/>
      <c r="AG630" s="156"/>
      <c r="AH630" s="60"/>
      <c r="AI630" s="379"/>
      <c r="AJ630" s="379"/>
      <c r="AK630" s="156"/>
      <c r="AL630" s="379"/>
      <c r="AM630" s="50"/>
      <c r="AN630" s="50"/>
    </row>
    <row r="631" spans="1:40" x14ac:dyDescent="0.25">
      <c r="F631" s="379"/>
      <c r="H631" s="379"/>
      <c r="I631" s="379"/>
      <c r="J631" s="59"/>
      <c r="K631" s="59"/>
      <c r="L631" s="379"/>
      <c r="M631" s="379"/>
      <c r="N631" s="59"/>
      <c r="O631" s="59"/>
      <c r="P631" s="379"/>
      <c r="Q631" s="379"/>
      <c r="R631" s="379"/>
      <c r="V631" s="379"/>
      <c r="Y631" s="379"/>
      <c r="Z631" s="59"/>
      <c r="AA631" s="379"/>
      <c r="AB631" s="379"/>
      <c r="AC631" s="59"/>
      <c r="AD631" s="59"/>
      <c r="AG631" s="156"/>
      <c r="AH631" s="60"/>
      <c r="AI631" s="379"/>
      <c r="AJ631" s="379"/>
      <c r="AK631" s="156"/>
      <c r="AL631" s="379"/>
      <c r="AM631" s="50"/>
      <c r="AN631" s="50"/>
    </row>
    <row r="632" spans="1:40" x14ac:dyDescent="0.25">
      <c r="A632" s="53"/>
      <c r="C632" s="54"/>
      <c r="F632" s="379"/>
      <c r="H632" s="379"/>
      <c r="I632" s="379"/>
      <c r="J632" s="59"/>
      <c r="K632" s="59"/>
      <c r="L632" s="379"/>
      <c r="M632" s="379"/>
      <c r="N632" s="59"/>
      <c r="O632" s="59"/>
      <c r="P632" s="379"/>
      <c r="Q632" s="379"/>
      <c r="R632" s="379"/>
      <c r="T632" s="54"/>
      <c r="V632" s="379"/>
      <c r="Y632" s="379"/>
      <c r="Z632" s="59"/>
      <c r="AA632" s="379"/>
      <c r="AB632" s="379"/>
      <c r="AC632" s="59"/>
      <c r="AD632" s="59"/>
      <c r="AE632" s="379"/>
      <c r="AF632" s="379"/>
      <c r="AG632" s="156"/>
      <c r="AH632" s="60"/>
      <c r="AI632" s="379"/>
      <c r="AJ632" s="379"/>
      <c r="AK632" s="156"/>
      <c r="AL632" s="379"/>
      <c r="AM632" s="50"/>
      <c r="AN632" s="50"/>
    </row>
    <row r="633" spans="1:40" x14ac:dyDescent="0.25">
      <c r="F633" s="379"/>
      <c r="H633" s="381"/>
      <c r="I633" s="381"/>
      <c r="J633" s="464"/>
      <c r="K633" s="464"/>
      <c r="L633" s="381"/>
      <c r="M633" s="381"/>
      <c r="N633" s="381"/>
      <c r="O633" s="381"/>
      <c r="P633" s="381"/>
      <c r="Q633" s="381"/>
      <c r="R633" s="381"/>
      <c r="V633" s="381"/>
      <c r="Y633" s="381"/>
      <c r="Z633" s="464"/>
      <c r="AA633" s="381"/>
      <c r="AB633" s="381"/>
      <c r="AC633" s="381"/>
      <c r="AD633" s="381"/>
      <c r="AE633" s="381"/>
      <c r="AF633" s="381"/>
      <c r="AI633" s="381"/>
      <c r="AJ633" s="381"/>
      <c r="AK633" s="162"/>
      <c r="AL633" s="381"/>
    </row>
    <row r="635" spans="1:40" x14ac:dyDescent="0.25">
      <c r="C635" s="54"/>
      <c r="F635" s="381"/>
      <c r="L635" s="379"/>
      <c r="M635" s="379"/>
      <c r="P635" s="379"/>
      <c r="Q635" s="379"/>
      <c r="R635" s="379"/>
      <c r="T635" s="54"/>
    </row>
    <row r="636" spans="1:40" x14ac:dyDescent="0.25">
      <c r="A636" s="54"/>
      <c r="L636" s="379"/>
      <c r="M636" s="379"/>
      <c r="P636" s="379"/>
      <c r="Q636" s="379"/>
      <c r="R636" s="379"/>
    </row>
    <row r="637" spans="1:40" x14ac:dyDescent="0.25">
      <c r="L637" s="379"/>
      <c r="M637" s="379"/>
      <c r="P637" s="379"/>
      <c r="Q637" s="379"/>
      <c r="R637" s="379"/>
    </row>
    <row r="638" spans="1:40" x14ac:dyDescent="0.25">
      <c r="L638" s="379"/>
      <c r="M638" s="379"/>
      <c r="P638" s="379"/>
      <c r="Q638" s="379"/>
      <c r="R638" s="379"/>
    </row>
    <row r="639" spans="1:40" x14ac:dyDescent="0.25">
      <c r="L639" s="379"/>
      <c r="M639" s="379"/>
      <c r="P639" s="379"/>
      <c r="Q639" s="379"/>
      <c r="R639" s="379"/>
    </row>
    <row r="640" spans="1:40" x14ac:dyDescent="0.25">
      <c r="L640" s="379"/>
      <c r="M640" s="379"/>
      <c r="P640" s="379"/>
      <c r="Q640" s="379"/>
      <c r="R640" s="379"/>
    </row>
    <row r="641" spans="12:18" x14ac:dyDescent="0.25">
      <c r="L641" s="379"/>
      <c r="M641" s="379"/>
      <c r="P641" s="379"/>
      <c r="Q641" s="379"/>
      <c r="R641" s="379"/>
    </row>
    <row r="674" spans="49:49" x14ac:dyDescent="0.25">
      <c r="AW674" s="379"/>
    </row>
    <row r="675" spans="49:49" x14ac:dyDescent="0.25">
      <c r="AW675" s="379"/>
    </row>
    <row r="676" spans="49:49" x14ac:dyDescent="0.25">
      <c r="AW676" s="379"/>
    </row>
    <row r="677" spans="49:49" x14ac:dyDescent="0.25">
      <c r="AW677" s="379"/>
    </row>
    <row r="678" spans="49:49" x14ac:dyDescent="0.25">
      <c r="AW678" s="379"/>
    </row>
    <row r="679" spans="49:49" x14ac:dyDescent="0.25">
      <c r="AW679" s="379"/>
    </row>
    <row r="682" spans="49:49" x14ac:dyDescent="0.25">
      <c r="AW682" s="379"/>
    </row>
    <row r="683" spans="49:49" x14ac:dyDescent="0.25">
      <c r="AW683" s="379"/>
    </row>
    <row r="684" spans="49:49" x14ac:dyDescent="0.25">
      <c r="AW684" s="379"/>
    </row>
    <row r="685" spans="49:49" x14ac:dyDescent="0.25">
      <c r="AW685" s="379"/>
    </row>
    <row r="686" spans="49:49" x14ac:dyDescent="0.25">
      <c r="AW686" s="379"/>
    </row>
    <row r="687" spans="49:49" x14ac:dyDescent="0.25">
      <c r="AW687" s="379"/>
    </row>
    <row r="688" spans="49:49" x14ac:dyDescent="0.25">
      <c r="AW688" s="379"/>
    </row>
    <row r="689" spans="49:49" x14ac:dyDescent="0.25">
      <c r="AW689" s="379"/>
    </row>
    <row r="692" spans="49:49" x14ac:dyDescent="0.25">
      <c r="AW692" s="379"/>
    </row>
    <row r="693" spans="49:49" x14ac:dyDescent="0.25">
      <c r="AW693" s="379"/>
    </row>
    <row r="696" spans="49:49" x14ac:dyDescent="0.25">
      <c r="AW696" s="379"/>
    </row>
    <row r="697" spans="49:49" x14ac:dyDescent="0.25">
      <c r="AW697" s="379"/>
    </row>
    <row r="698" spans="49:49" x14ac:dyDescent="0.25">
      <c r="AW698" s="379"/>
    </row>
    <row r="699" spans="49:49" x14ac:dyDescent="0.25">
      <c r="AW699" s="379"/>
    </row>
    <row r="705" spans="45:69" x14ac:dyDescent="0.25">
      <c r="AY705" s="53"/>
    </row>
    <row r="706" spans="45:69" x14ac:dyDescent="0.25">
      <c r="AY706" s="53"/>
    </row>
    <row r="707" spans="45:69" x14ac:dyDescent="0.25">
      <c r="AY707" s="54"/>
    </row>
    <row r="708" spans="45:69" x14ac:dyDescent="0.25">
      <c r="AY708" s="54"/>
    </row>
    <row r="709" spans="45:69" x14ac:dyDescent="0.25">
      <c r="AS709" s="53"/>
      <c r="BD709" s="54"/>
    </row>
    <row r="710" spans="45:69" x14ac:dyDescent="0.25">
      <c r="AS710" s="53"/>
      <c r="BD710" s="54"/>
    </row>
    <row r="711" spans="45:69" x14ac:dyDescent="0.25">
      <c r="AS711" s="54"/>
      <c r="BD711" s="54"/>
    </row>
    <row r="712" spans="45:69" x14ac:dyDescent="0.25">
      <c r="BD712" s="53"/>
    </row>
    <row r="713" spans="45:69" x14ac:dyDescent="0.25"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</row>
    <row r="714" spans="45:69" x14ac:dyDescent="0.25">
      <c r="AX714" s="54"/>
    </row>
    <row r="715" spans="45:69" x14ac:dyDescent="0.25">
      <c r="AX715" s="55"/>
      <c r="AY715" s="55"/>
      <c r="AZ715" s="55"/>
      <c r="BA715" s="55"/>
      <c r="BC715" s="56"/>
      <c r="BD715" s="56"/>
    </row>
    <row r="716" spans="45:69" x14ac:dyDescent="0.25">
      <c r="AV716" s="56"/>
      <c r="AW716" s="56"/>
      <c r="AZ716" s="56"/>
      <c r="BA716" s="56"/>
      <c r="BC716" s="56"/>
      <c r="BD716" s="56"/>
      <c r="BE716" s="56"/>
      <c r="BG716" s="55"/>
      <c r="BH716" s="54"/>
      <c r="BK716" s="55"/>
      <c r="BM716" s="55"/>
      <c r="BN716" s="54"/>
      <c r="BQ716" s="55"/>
    </row>
    <row r="717" spans="45:69" x14ac:dyDescent="0.25"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H717" s="56"/>
      <c r="BI717" s="56"/>
      <c r="BJ717" s="56"/>
      <c r="BN717" s="56"/>
      <c r="BO717" s="56"/>
      <c r="BP717" s="56"/>
    </row>
    <row r="718" spans="45:69" x14ac:dyDescent="0.25">
      <c r="AS718" s="56"/>
      <c r="AU718" s="54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G718" s="56"/>
      <c r="BH718" s="56"/>
      <c r="BI718" s="56"/>
      <c r="BJ718" s="56"/>
      <c r="BK718" s="56"/>
      <c r="BM718" s="56"/>
      <c r="BN718" s="56"/>
      <c r="BO718" s="56"/>
      <c r="BP718" s="56"/>
      <c r="BQ718" s="56"/>
    </row>
    <row r="719" spans="45:69" x14ac:dyDescent="0.25">
      <c r="AS719" s="56"/>
      <c r="AU719" s="54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G719" s="56"/>
      <c r="BH719" s="56"/>
      <c r="BI719" s="56"/>
      <c r="BJ719" s="56"/>
      <c r="BK719" s="56"/>
      <c r="BM719" s="56"/>
      <c r="BN719" s="56"/>
      <c r="BO719" s="56"/>
      <c r="BP719" s="56"/>
      <c r="BQ719" s="56"/>
    </row>
    <row r="720" spans="45:69" x14ac:dyDescent="0.25"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G720" s="55"/>
      <c r="BH720" s="55"/>
      <c r="BI720" s="55"/>
      <c r="BJ720" s="55"/>
      <c r="BK720" s="55"/>
      <c r="BM720" s="55"/>
      <c r="BN720" s="55"/>
      <c r="BO720" s="55"/>
      <c r="BP720" s="55"/>
      <c r="BQ720" s="55"/>
    </row>
    <row r="721" spans="45:69" x14ac:dyDescent="0.25"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</row>
    <row r="722" spans="45:69" x14ac:dyDescent="0.25">
      <c r="AS722" s="53"/>
      <c r="AU722" s="54"/>
      <c r="AV722" s="56"/>
      <c r="AY722" s="59"/>
    </row>
    <row r="723" spans="45:69" x14ac:dyDescent="0.25">
      <c r="AS723" s="53"/>
      <c r="AV723" s="56"/>
      <c r="AW723" s="379"/>
      <c r="AX723" s="65"/>
      <c r="AY723" s="65"/>
      <c r="AZ723" s="65"/>
      <c r="BA723" s="50"/>
      <c r="BB723" s="65"/>
      <c r="BC723" s="59"/>
      <c r="BD723" s="59"/>
      <c r="BE723" s="50"/>
      <c r="BG723" s="65"/>
      <c r="BH723" s="65"/>
      <c r="BI723" s="65"/>
      <c r="BJ723" s="65"/>
      <c r="BK723" s="65"/>
      <c r="BM723" s="65"/>
      <c r="BN723" s="65"/>
      <c r="BO723" s="65"/>
      <c r="BP723" s="65"/>
      <c r="BQ723" s="65"/>
    </row>
    <row r="724" spans="45:69" x14ac:dyDescent="0.25">
      <c r="AS724" s="53"/>
      <c r="AV724" s="56"/>
      <c r="AW724" s="379"/>
      <c r="AX724" s="65"/>
      <c r="AY724" s="65"/>
      <c r="AZ724" s="65"/>
      <c r="BA724" s="50"/>
      <c r="BB724" s="65"/>
      <c r="BC724" s="59"/>
      <c r="BD724" s="59"/>
      <c r="BE724" s="50"/>
      <c r="BG724" s="65"/>
      <c r="BH724" s="65"/>
      <c r="BI724" s="65"/>
      <c r="BJ724" s="65"/>
      <c r="BK724" s="65"/>
      <c r="BM724" s="65"/>
      <c r="BN724" s="65"/>
      <c r="BO724" s="65"/>
      <c r="BP724" s="65"/>
      <c r="BQ724" s="65"/>
    </row>
    <row r="725" spans="45:69" x14ac:dyDescent="0.25">
      <c r="AS725" s="53"/>
      <c r="AV725" s="56"/>
      <c r="AW725" s="379"/>
      <c r="AX725" s="65"/>
      <c r="AY725" s="65"/>
      <c r="AZ725" s="65"/>
      <c r="BA725" s="50"/>
      <c r="BB725" s="65"/>
      <c r="BC725" s="59"/>
      <c r="BD725" s="59"/>
      <c r="BE725" s="50"/>
      <c r="BG725" s="65"/>
      <c r="BH725" s="65"/>
      <c r="BI725" s="65"/>
      <c r="BJ725" s="65"/>
      <c r="BK725" s="65"/>
      <c r="BM725" s="65"/>
      <c r="BN725" s="65"/>
      <c r="BO725" s="65"/>
      <c r="BP725" s="65"/>
      <c r="BQ725" s="65"/>
    </row>
    <row r="726" spans="45:69" x14ac:dyDescent="0.25">
      <c r="AS726" s="53"/>
      <c r="AV726" s="56"/>
      <c r="AW726" s="379"/>
      <c r="AX726" s="65"/>
      <c r="AY726" s="65"/>
      <c r="AZ726" s="65"/>
      <c r="BA726" s="50"/>
      <c r="BB726" s="65"/>
      <c r="BC726" s="59"/>
      <c r="BD726" s="59"/>
      <c r="BE726" s="50"/>
      <c r="BG726" s="65"/>
      <c r="BH726" s="65"/>
      <c r="BI726" s="65"/>
      <c r="BJ726" s="65"/>
      <c r="BK726" s="65"/>
      <c r="BM726" s="65"/>
      <c r="BN726" s="65"/>
      <c r="BO726" s="65"/>
      <c r="BP726" s="65"/>
      <c r="BQ726" s="65"/>
    </row>
    <row r="727" spans="45:69" x14ac:dyDescent="0.25">
      <c r="AS727" s="53"/>
      <c r="AV727" s="56"/>
      <c r="AW727" s="379"/>
      <c r="AX727" s="65"/>
      <c r="AY727" s="65"/>
      <c r="AZ727" s="65"/>
      <c r="BA727" s="50"/>
      <c r="BB727" s="65"/>
      <c r="BC727" s="59"/>
      <c r="BD727" s="59"/>
      <c r="BE727" s="50"/>
      <c r="BG727" s="65"/>
      <c r="BH727" s="65"/>
      <c r="BI727" s="65"/>
      <c r="BJ727" s="65"/>
      <c r="BK727" s="65"/>
      <c r="BM727" s="65"/>
      <c r="BN727" s="65"/>
      <c r="BO727" s="65"/>
      <c r="BP727" s="65"/>
      <c r="BQ727" s="65"/>
    </row>
    <row r="728" spans="45:69" x14ac:dyDescent="0.25">
      <c r="AS728" s="53"/>
      <c r="AV728" s="56"/>
      <c r="AW728" s="379"/>
      <c r="AX728" s="65"/>
      <c r="AY728" s="65"/>
      <c r="AZ728" s="65"/>
      <c r="BA728" s="50"/>
      <c r="BB728" s="65"/>
      <c r="BC728" s="59"/>
      <c r="BD728" s="59"/>
      <c r="BE728" s="50"/>
      <c r="BG728" s="65"/>
      <c r="BH728" s="65"/>
      <c r="BI728" s="65"/>
      <c r="BJ728" s="65"/>
      <c r="BK728" s="65"/>
      <c r="BM728" s="65"/>
      <c r="BN728" s="65"/>
      <c r="BO728" s="65"/>
      <c r="BP728" s="65"/>
      <c r="BQ728" s="65"/>
    </row>
    <row r="729" spans="45:69" x14ac:dyDescent="0.25">
      <c r="AS729" s="53"/>
      <c r="AV729" s="56"/>
      <c r="AW729" s="379"/>
      <c r="AX729" s="65"/>
      <c r="AY729" s="65"/>
      <c r="AZ729" s="65"/>
      <c r="BA729" s="50"/>
      <c r="BB729" s="65"/>
      <c r="BC729" s="59"/>
      <c r="BD729" s="59"/>
      <c r="BE729" s="50"/>
      <c r="BG729" s="65"/>
      <c r="BH729" s="65"/>
      <c r="BI729" s="65"/>
      <c r="BJ729" s="65"/>
      <c r="BK729" s="65"/>
      <c r="BM729" s="65"/>
      <c r="BN729" s="65"/>
      <c r="BO729" s="65"/>
      <c r="BP729" s="65"/>
      <c r="BQ729" s="65"/>
    </row>
    <row r="730" spans="45:69" x14ac:dyDescent="0.25">
      <c r="AY730" s="59"/>
      <c r="AZ730" s="65"/>
      <c r="BA730" s="50"/>
      <c r="BB730" s="65"/>
      <c r="BC730" s="59"/>
      <c r="BD730" s="59"/>
      <c r="BE730" s="50"/>
      <c r="BK730" s="65"/>
      <c r="BQ730" s="65"/>
    </row>
    <row r="731" spans="45:69" x14ac:dyDescent="0.25">
      <c r="AS731" s="53"/>
      <c r="AV731" s="56"/>
      <c r="AY731" s="59"/>
      <c r="AZ731" s="65"/>
      <c r="BA731" s="50"/>
      <c r="BB731" s="65"/>
      <c r="BC731" s="59"/>
      <c r="BD731" s="59"/>
      <c r="BE731" s="50"/>
      <c r="BK731" s="65"/>
      <c r="BQ731" s="65"/>
    </row>
    <row r="732" spans="45:69" x14ac:dyDescent="0.25">
      <c r="AS732" s="53"/>
      <c r="AV732" s="56"/>
      <c r="AW732" s="379"/>
      <c r="AX732" s="65"/>
      <c r="AY732" s="65"/>
      <c r="AZ732" s="65"/>
      <c r="BA732" s="50"/>
      <c r="BB732" s="65"/>
      <c r="BC732" s="59"/>
      <c r="BD732" s="59"/>
      <c r="BE732" s="50"/>
      <c r="BG732" s="65"/>
      <c r="BH732" s="65"/>
      <c r="BI732" s="65"/>
      <c r="BJ732" s="65"/>
      <c r="BK732" s="65"/>
      <c r="BM732" s="65"/>
      <c r="BN732" s="65"/>
      <c r="BO732" s="65"/>
      <c r="BP732" s="65"/>
      <c r="BQ732" s="65"/>
    </row>
    <row r="733" spans="45:69" x14ac:dyDescent="0.25">
      <c r="AS733" s="53"/>
      <c r="AV733" s="56"/>
      <c r="AW733" s="379"/>
      <c r="AX733" s="65"/>
      <c r="AY733" s="65"/>
      <c r="AZ733" s="65"/>
      <c r="BA733" s="50"/>
      <c r="BB733" s="65"/>
      <c r="BC733" s="59"/>
      <c r="BD733" s="59"/>
      <c r="BE733" s="50"/>
      <c r="BG733" s="65"/>
      <c r="BH733" s="65"/>
      <c r="BI733" s="65"/>
      <c r="BJ733" s="65"/>
      <c r="BK733" s="65"/>
      <c r="BM733" s="65"/>
      <c r="BN733" s="65"/>
      <c r="BO733" s="65"/>
      <c r="BP733" s="65"/>
      <c r="BQ733" s="65"/>
    </row>
    <row r="734" spans="45:69" x14ac:dyDescent="0.25">
      <c r="AS734" s="53"/>
      <c r="AV734" s="56"/>
      <c r="AW734" s="379"/>
      <c r="AX734" s="65"/>
      <c r="AY734" s="65"/>
      <c r="AZ734" s="65"/>
      <c r="BA734" s="50"/>
      <c r="BB734" s="65"/>
      <c r="BC734" s="59"/>
      <c r="BD734" s="59"/>
      <c r="BE734" s="50"/>
      <c r="BG734" s="65"/>
      <c r="BH734" s="65"/>
      <c r="BI734" s="65"/>
      <c r="BJ734" s="65"/>
      <c r="BK734" s="65"/>
      <c r="BM734" s="65"/>
      <c r="BN734" s="65"/>
      <c r="BO734" s="65"/>
      <c r="BP734" s="65"/>
      <c r="BQ734" s="65"/>
    </row>
    <row r="735" spans="45:69" x14ac:dyDescent="0.25">
      <c r="AS735" s="53"/>
      <c r="AV735" s="56"/>
      <c r="AW735" s="379"/>
      <c r="AX735" s="65"/>
      <c r="AY735" s="65"/>
      <c r="AZ735" s="65"/>
      <c r="BA735" s="50"/>
      <c r="BB735" s="65"/>
      <c r="BC735" s="59"/>
      <c r="BD735" s="59"/>
      <c r="BE735" s="50"/>
      <c r="BG735" s="65"/>
      <c r="BH735" s="65"/>
      <c r="BI735" s="65"/>
      <c r="BJ735" s="65"/>
      <c r="BK735" s="65"/>
      <c r="BM735" s="65"/>
      <c r="BN735" s="65"/>
      <c r="BO735" s="65"/>
      <c r="BP735" s="65"/>
      <c r="BQ735" s="65"/>
    </row>
    <row r="736" spans="45:69" x14ac:dyDescent="0.25">
      <c r="AS736" s="53"/>
      <c r="AV736" s="56"/>
      <c r="AW736" s="379"/>
      <c r="AX736" s="65"/>
      <c r="AY736" s="65"/>
      <c r="AZ736" s="65"/>
      <c r="BA736" s="50"/>
      <c r="BB736" s="65"/>
      <c r="BC736" s="59"/>
      <c r="BD736" s="59"/>
      <c r="BE736" s="50"/>
      <c r="BG736" s="65"/>
      <c r="BH736" s="65"/>
      <c r="BI736" s="65"/>
      <c r="BJ736" s="65"/>
      <c r="BK736" s="65"/>
      <c r="BM736" s="65"/>
      <c r="BN736" s="65"/>
      <c r="BO736" s="65"/>
      <c r="BP736" s="65"/>
      <c r="BQ736" s="65"/>
    </row>
    <row r="737" spans="45:69" x14ac:dyDescent="0.25">
      <c r="AS737" s="53"/>
      <c r="AV737" s="56"/>
      <c r="AW737" s="379"/>
      <c r="AX737" s="65"/>
      <c r="AY737" s="65"/>
      <c r="AZ737" s="65"/>
      <c r="BA737" s="50"/>
      <c r="BB737" s="65"/>
      <c r="BC737" s="59"/>
      <c r="BD737" s="59"/>
      <c r="BE737" s="50"/>
      <c r="BG737" s="65"/>
      <c r="BH737" s="65"/>
      <c r="BI737" s="65"/>
      <c r="BJ737" s="65"/>
      <c r="BK737" s="65"/>
      <c r="BM737" s="65"/>
      <c r="BN737" s="65"/>
      <c r="BO737" s="65"/>
      <c r="BP737" s="65"/>
      <c r="BQ737" s="65"/>
    </row>
    <row r="738" spans="45:69" x14ac:dyDescent="0.25">
      <c r="AS738" s="53"/>
      <c r="AV738" s="56"/>
      <c r="AW738" s="379"/>
      <c r="AX738" s="65"/>
      <c r="AY738" s="65"/>
      <c r="AZ738" s="65"/>
      <c r="BA738" s="50"/>
      <c r="BB738" s="65"/>
      <c r="BC738" s="59"/>
      <c r="BD738" s="59"/>
      <c r="BE738" s="50"/>
      <c r="BG738" s="65"/>
      <c r="BH738" s="65"/>
      <c r="BI738" s="65"/>
      <c r="BJ738" s="65"/>
      <c r="BK738" s="65"/>
      <c r="BM738" s="65"/>
      <c r="BN738" s="65"/>
      <c r="BO738" s="65"/>
      <c r="BP738" s="65"/>
      <c r="BQ738" s="65"/>
    </row>
    <row r="739" spans="45:69" x14ac:dyDescent="0.25">
      <c r="AS739" s="53"/>
      <c r="AV739" s="56"/>
      <c r="AW739" s="379"/>
      <c r="AX739" s="65"/>
      <c r="AY739" s="65"/>
      <c r="AZ739" s="65"/>
      <c r="BA739" s="50"/>
      <c r="BB739" s="65"/>
      <c r="BC739" s="59"/>
      <c r="BD739" s="59"/>
      <c r="BE739" s="50"/>
      <c r="BG739" s="65"/>
      <c r="BH739" s="65"/>
      <c r="BI739" s="65"/>
      <c r="BJ739" s="65"/>
      <c r="BK739" s="65"/>
      <c r="BM739" s="65"/>
      <c r="BN739" s="65"/>
      <c r="BO739" s="65"/>
      <c r="BP739" s="65"/>
      <c r="BQ739" s="65"/>
    </row>
    <row r="740" spans="45:69" x14ac:dyDescent="0.25">
      <c r="AY740" s="59"/>
      <c r="AZ740" s="65"/>
      <c r="BA740" s="50"/>
      <c r="BB740" s="65"/>
      <c r="BC740" s="59"/>
      <c r="BD740" s="59"/>
      <c r="BE740" s="50"/>
      <c r="BK740" s="65"/>
      <c r="BQ740" s="65"/>
    </row>
    <row r="741" spans="45:69" x14ac:dyDescent="0.25">
      <c r="AU741" s="54"/>
      <c r="AZ741" s="65"/>
      <c r="BB741" s="65"/>
      <c r="BG741" s="65"/>
      <c r="BH741" s="65"/>
      <c r="BJ741" s="65"/>
      <c r="BK741" s="65"/>
    </row>
    <row r="742" spans="45:69" x14ac:dyDescent="0.25">
      <c r="AZ742" s="65"/>
      <c r="BB742" s="65"/>
    </row>
    <row r="743" spans="45:69" x14ac:dyDescent="0.25">
      <c r="AS743" s="54"/>
      <c r="AZ743" s="65"/>
      <c r="BB743" s="65"/>
      <c r="BI743" s="65"/>
    </row>
    <row r="744" spans="45:69" x14ac:dyDescent="0.25">
      <c r="AY744" s="53"/>
      <c r="AZ744" s="65"/>
      <c r="BB744" s="65"/>
    </row>
    <row r="745" spans="45:69" x14ac:dyDescent="0.25">
      <c r="AY745" s="65"/>
      <c r="BB745" s="65"/>
    </row>
    <row r="746" spans="45:69" x14ac:dyDescent="0.25">
      <c r="AY746" s="54"/>
      <c r="AZ746" s="65"/>
      <c r="BB746" s="65"/>
    </row>
    <row r="747" spans="45:69" x14ac:dyDescent="0.25">
      <c r="AY747" s="54"/>
      <c r="AZ747" s="65"/>
      <c r="BB747" s="65"/>
    </row>
    <row r="748" spans="45:69" x14ac:dyDescent="0.25">
      <c r="AS748" s="53"/>
      <c r="AZ748" s="65"/>
      <c r="BB748" s="65"/>
      <c r="BD748" s="54"/>
    </row>
    <row r="749" spans="45:69" x14ac:dyDescent="0.25">
      <c r="AS749" s="53"/>
      <c r="AZ749" s="65"/>
      <c r="BB749" s="65"/>
      <c r="BD749" s="54"/>
    </row>
    <row r="750" spans="45:69" x14ac:dyDescent="0.25">
      <c r="AS750" s="54"/>
      <c r="AZ750" s="65"/>
      <c r="BB750" s="65"/>
      <c r="BD750" s="54"/>
    </row>
    <row r="751" spans="45:69" x14ac:dyDescent="0.25">
      <c r="AZ751" s="65"/>
      <c r="BB751" s="65"/>
      <c r="BD751" s="53"/>
    </row>
    <row r="752" spans="45:69" x14ac:dyDescent="0.25">
      <c r="AS752" s="55"/>
      <c r="AT752" s="55"/>
      <c r="AU752" s="55"/>
      <c r="AV752" s="55"/>
      <c r="AW752" s="55"/>
      <c r="AX752" s="55"/>
      <c r="AY752" s="55"/>
      <c r="AZ752" s="66"/>
      <c r="BA752" s="55"/>
      <c r="BB752" s="66"/>
      <c r="BC752" s="55"/>
      <c r="BD752" s="55"/>
      <c r="BE752" s="55"/>
    </row>
    <row r="753" spans="45:75" x14ac:dyDescent="0.25">
      <c r="AX753" s="54"/>
      <c r="AZ753" s="65"/>
      <c r="BB753" s="65"/>
    </row>
    <row r="754" spans="45:75" x14ac:dyDescent="0.25">
      <c r="AX754" s="55"/>
      <c r="AY754" s="55"/>
      <c r="AZ754" s="66"/>
      <c r="BA754" s="55"/>
      <c r="BB754" s="65"/>
      <c r="BC754" s="56"/>
      <c r="BD754" s="56"/>
    </row>
    <row r="755" spans="45:75" x14ac:dyDescent="0.25">
      <c r="AV755" s="56"/>
      <c r="AW755" s="56"/>
      <c r="AZ755" s="67"/>
      <c r="BA755" s="56"/>
      <c r="BB755" s="65"/>
      <c r="BC755" s="56"/>
      <c r="BD755" s="56"/>
      <c r="BE755" s="56"/>
      <c r="BG755" s="55"/>
      <c r="BH755" s="55"/>
      <c r="BI755" s="54"/>
      <c r="BM755" s="55"/>
      <c r="BN755" s="55"/>
      <c r="BP755" s="55"/>
      <c r="BQ755" s="55"/>
      <c r="BR755" s="54"/>
      <c r="BV755" s="55"/>
      <c r="BW755" s="55"/>
    </row>
    <row r="756" spans="45:75" x14ac:dyDescent="0.25">
      <c r="AV756" s="56"/>
      <c r="AW756" s="56"/>
      <c r="AX756" s="56"/>
      <c r="AY756" s="56"/>
      <c r="AZ756" s="67"/>
      <c r="BA756" s="56"/>
      <c r="BB756" s="67"/>
      <c r="BC756" s="56"/>
      <c r="BD756" s="56"/>
      <c r="BE756" s="56"/>
      <c r="BH756" s="56"/>
      <c r="BI756" s="56"/>
      <c r="BJ756" s="56"/>
      <c r="BK756" s="56"/>
      <c r="BL756" s="56"/>
      <c r="BM756" s="56"/>
      <c r="BQ756" s="56"/>
      <c r="BR756" s="56"/>
      <c r="BS756" s="56"/>
      <c r="BT756" s="56"/>
      <c r="BU756" s="56"/>
      <c r="BV756" s="56"/>
    </row>
    <row r="757" spans="45:75" x14ac:dyDescent="0.25">
      <c r="AS757" s="56"/>
      <c r="AU757" s="54"/>
      <c r="AV757" s="56"/>
      <c r="AW757" s="56"/>
      <c r="AX757" s="56"/>
      <c r="AY757" s="56"/>
      <c r="AZ757" s="67"/>
      <c r="BA757" s="56"/>
      <c r="BB757" s="67"/>
      <c r="BC757" s="56"/>
      <c r="BD757" s="56"/>
      <c r="BE757" s="56"/>
      <c r="BG757" s="56"/>
      <c r="BH757" s="56"/>
      <c r="BI757" s="56"/>
      <c r="BJ757" s="56"/>
      <c r="BK757" s="56"/>
      <c r="BL757" s="56"/>
      <c r="BM757" s="56"/>
      <c r="BN757" s="56"/>
      <c r="BP757" s="56"/>
      <c r="BQ757" s="56"/>
      <c r="BR757" s="56"/>
      <c r="BS757" s="56"/>
      <c r="BT757" s="56"/>
      <c r="BU757" s="56"/>
      <c r="BV757" s="56"/>
      <c r="BW757" s="56"/>
    </row>
    <row r="758" spans="45:75" x14ac:dyDescent="0.25">
      <c r="AS758" s="56"/>
      <c r="AU758" s="54"/>
      <c r="AV758" s="56"/>
      <c r="AW758" s="56"/>
      <c r="AX758" s="56"/>
      <c r="AY758" s="56"/>
      <c r="AZ758" s="67"/>
      <c r="BA758" s="56"/>
      <c r="BB758" s="67"/>
      <c r="BC758" s="56"/>
      <c r="BD758" s="56"/>
      <c r="BE758" s="56"/>
      <c r="BG758" s="56"/>
      <c r="BH758" s="56"/>
      <c r="BI758" s="56"/>
      <c r="BJ758" s="56"/>
      <c r="BK758" s="56"/>
      <c r="BL758" s="56"/>
      <c r="BM758" s="56"/>
      <c r="BN758" s="56"/>
      <c r="BP758" s="56"/>
      <c r="BQ758" s="56"/>
      <c r="BR758" s="56"/>
      <c r="BS758" s="56"/>
      <c r="BT758" s="56"/>
      <c r="BU758" s="56"/>
      <c r="BV758" s="56"/>
      <c r="BW758" s="56"/>
    </row>
    <row r="759" spans="45:75" x14ac:dyDescent="0.25">
      <c r="AS759" s="55"/>
      <c r="AT759" s="55"/>
      <c r="AU759" s="55"/>
      <c r="AV759" s="55"/>
      <c r="AW759" s="55"/>
      <c r="AX759" s="55"/>
      <c r="AY759" s="55"/>
      <c r="AZ759" s="66"/>
      <c r="BA759" s="55"/>
      <c r="BB759" s="66"/>
      <c r="BC759" s="55"/>
      <c r="BD759" s="55"/>
      <c r="BE759" s="55"/>
      <c r="BG759" s="55"/>
      <c r="BH759" s="55"/>
      <c r="BI759" s="55"/>
      <c r="BJ759" s="55"/>
      <c r="BK759" s="55"/>
      <c r="BL759" s="55"/>
      <c r="BM759" s="55"/>
      <c r="BN759" s="55"/>
      <c r="BP759" s="55"/>
      <c r="BQ759" s="55"/>
      <c r="BR759" s="55"/>
      <c r="BS759" s="55"/>
      <c r="BT759" s="55"/>
      <c r="BU759" s="55"/>
      <c r="BV759" s="55"/>
      <c r="BW759" s="55"/>
    </row>
    <row r="760" spans="45:75" x14ac:dyDescent="0.25">
      <c r="AV760" s="56"/>
      <c r="AW760" s="56"/>
      <c r="AX760" s="56"/>
      <c r="AY760" s="56"/>
      <c r="AZ760" s="67"/>
      <c r="BA760" s="56"/>
      <c r="BB760" s="67"/>
      <c r="BC760" s="56"/>
      <c r="BD760" s="56"/>
      <c r="BE760" s="56"/>
      <c r="BG760" s="65"/>
      <c r="BH760" s="65"/>
      <c r="BI760" s="65"/>
      <c r="BJ760" s="65"/>
      <c r="BK760" s="65"/>
      <c r="BL760" s="65"/>
      <c r="BM760" s="65"/>
      <c r="BN760" s="65"/>
      <c r="BO760" s="65"/>
      <c r="BP760" s="65"/>
      <c r="BQ760" s="65"/>
      <c r="BR760" s="65"/>
      <c r="BS760" s="65"/>
      <c r="BT760" s="65"/>
      <c r="BU760" s="65"/>
      <c r="BV760" s="65"/>
      <c r="BW760" s="65"/>
    </row>
    <row r="761" spans="45:75" x14ac:dyDescent="0.25">
      <c r="AS761" s="53"/>
      <c r="AU761" s="54"/>
      <c r="AV761" s="53"/>
      <c r="AW761" s="379"/>
      <c r="AX761" s="65"/>
      <c r="AY761" s="65"/>
      <c r="AZ761" s="65"/>
      <c r="BA761" s="60"/>
      <c r="BB761" s="65"/>
      <c r="BC761" s="65"/>
      <c r="BD761" s="65"/>
      <c r="BE761" s="60"/>
      <c r="BG761" s="65"/>
      <c r="BH761" s="65"/>
      <c r="BI761" s="65"/>
      <c r="BJ761" s="65"/>
      <c r="BK761" s="65"/>
      <c r="BL761" s="65"/>
      <c r="BM761" s="65"/>
      <c r="BN761" s="65"/>
      <c r="BO761" s="65"/>
      <c r="BP761" s="65"/>
      <c r="BQ761" s="65"/>
      <c r="BR761" s="65"/>
      <c r="BS761" s="65"/>
      <c r="BT761" s="65"/>
      <c r="BU761" s="65"/>
      <c r="BV761" s="65"/>
      <c r="BW761" s="65"/>
    </row>
    <row r="762" spans="45:75" x14ac:dyDescent="0.25">
      <c r="AS762" s="53"/>
      <c r="AV762" s="53"/>
      <c r="AW762" s="379"/>
      <c r="AX762" s="65"/>
      <c r="AY762" s="65"/>
      <c r="AZ762" s="65"/>
      <c r="BA762" s="60"/>
      <c r="BB762" s="65"/>
      <c r="BC762" s="65"/>
      <c r="BD762" s="65"/>
      <c r="BE762" s="60"/>
      <c r="BG762" s="65"/>
      <c r="BH762" s="65"/>
      <c r="BI762" s="65"/>
      <c r="BJ762" s="65"/>
      <c r="BK762" s="65"/>
      <c r="BL762" s="65"/>
      <c r="BM762" s="65"/>
      <c r="BN762" s="65"/>
      <c r="BO762" s="65"/>
      <c r="BP762" s="65"/>
      <c r="BQ762" s="65"/>
      <c r="BR762" s="65"/>
      <c r="BS762" s="65"/>
      <c r="BT762" s="65"/>
      <c r="BU762" s="65"/>
      <c r="BV762" s="65"/>
      <c r="BW762" s="65"/>
    </row>
    <row r="763" spans="45:75" x14ac:dyDescent="0.25">
      <c r="AS763" s="53"/>
      <c r="AV763" s="53"/>
      <c r="AW763" s="379"/>
      <c r="AX763" s="65"/>
      <c r="AY763" s="65"/>
      <c r="AZ763" s="65"/>
      <c r="BA763" s="60"/>
      <c r="BB763" s="65"/>
      <c r="BC763" s="65"/>
      <c r="BD763" s="65"/>
      <c r="BE763" s="60"/>
      <c r="BG763" s="65"/>
      <c r="BH763" s="65"/>
      <c r="BI763" s="65"/>
      <c r="BJ763" s="65"/>
      <c r="BK763" s="65"/>
      <c r="BL763" s="65"/>
      <c r="BM763" s="65"/>
      <c r="BN763" s="65"/>
      <c r="BO763" s="65"/>
      <c r="BP763" s="65"/>
      <c r="BQ763" s="65"/>
      <c r="BR763" s="65"/>
      <c r="BS763" s="65"/>
      <c r="BT763" s="65"/>
      <c r="BU763" s="65"/>
      <c r="BV763" s="65"/>
      <c r="BW763" s="65"/>
    </row>
    <row r="764" spans="45:75" x14ac:dyDescent="0.25">
      <c r="AS764" s="53"/>
      <c r="AV764" s="53"/>
      <c r="AW764" s="379"/>
      <c r="AX764" s="65"/>
      <c r="AY764" s="65"/>
      <c r="AZ764" s="65"/>
      <c r="BA764" s="60"/>
      <c r="BB764" s="65"/>
      <c r="BC764" s="65"/>
      <c r="BD764" s="65"/>
      <c r="BE764" s="60"/>
      <c r="BG764" s="65"/>
      <c r="BH764" s="65"/>
      <c r="BI764" s="65"/>
      <c r="BJ764" s="65"/>
      <c r="BK764" s="65"/>
      <c r="BL764" s="65"/>
      <c r="BM764" s="65"/>
      <c r="BN764" s="65"/>
      <c r="BO764" s="65"/>
      <c r="BP764" s="65"/>
      <c r="BQ764" s="65"/>
      <c r="BR764" s="65"/>
      <c r="BS764" s="65"/>
      <c r="BT764" s="65"/>
      <c r="BU764" s="65"/>
      <c r="BV764" s="65"/>
      <c r="BW764" s="65"/>
    </row>
    <row r="765" spans="45:75" x14ac:dyDescent="0.25">
      <c r="AS765" s="53"/>
      <c r="AV765" s="53"/>
      <c r="AW765" s="379"/>
      <c r="AX765" s="65"/>
      <c r="AY765" s="65"/>
      <c r="AZ765" s="65"/>
      <c r="BA765" s="60"/>
      <c r="BB765" s="65"/>
      <c r="BC765" s="65"/>
      <c r="BD765" s="65"/>
      <c r="BE765" s="60"/>
      <c r="BG765" s="65"/>
      <c r="BH765" s="65"/>
      <c r="BI765" s="65"/>
      <c r="BJ765" s="65"/>
      <c r="BK765" s="65"/>
      <c r="BL765" s="65"/>
      <c r="BM765" s="65"/>
      <c r="BN765" s="65"/>
      <c r="BO765" s="65"/>
      <c r="BP765" s="65"/>
      <c r="BQ765" s="65"/>
      <c r="BR765" s="65"/>
      <c r="BS765" s="65"/>
      <c r="BT765" s="65"/>
      <c r="BU765" s="65"/>
      <c r="BV765" s="65"/>
      <c r="BW765" s="65"/>
    </row>
    <row r="766" spans="45:75" x14ac:dyDescent="0.25">
      <c r="AS766" s="53"/>
      <c r="AV766" s="53"/>
      <c r="AW766" s="379"/>
      <c r="AX766" s="65"/>
      <c r="AY766" s="65"/>
      <c r="AZ766" s="65"/>
      <c r="BA766" s="60"/>
      <c r="BB766" s="65"/>
      <c r="BC766" s="65"/>
      <c r="BD766" s="65"/>
      <c r="BE766" s="60"/>
      <c r="BG766" s="65"/>
      <c r="BH766" s="65"/>
      <c r="BI766" s="65"/>
      <c r="BJ766" s="65"/>
      <c r="BK766" s="65"/>
      <c r="BL766" s="65"/>
      <c r="BM766" s="65"/>
      <c r="BN766" s="65"/>
      <c r="BO766" s="65"/>
      <c r="BP766" s="65"/>
      <c r="BQ766" s="65"/>
      <c r="BR766" s="65"/>
      <c r="BS766" s="65"/>
      <c r="BT766" s="65"/>
      <c r="BU766" s="65"/>
      <c r="BV766" s="65"/>
      <c r="BW766" s="65"/>
    </row>
    <row r="767" spans="45:75" x14ac:dyDescent="0.25">
      <c r="AS767" s="53"/>
      <c r="AV767" s="53"/>
      <c r="AW767" s="379"/>
      <c r="AX767" s="65"/>
      <c r="AY767" s="65"/>
      <c r="AZ767" s="65"/>
      <c r="BA767" s="60"/>
      <c r="BB767" s="65"/>
      <c r="BC767" s="65"/>
      <c r="BD767" s="65"/>
      <c r="BE767" s="60"/>
      <c r="BG767" s="65"/>
      <c r="BH767" s="65"/>
      <c r="BI767" s="65"/>
      <c r="BJ767" s="65"/>
      <c r="BK767" s="65"/>
      <c r="BL767" s="65"/>
      <c r="BM767" s="65"/>
      <c r="BN767" s="65"/>
      <c r="BO767" s="65"/>
      <c r="BP767" s="65"/>
      <c r="BQ767" s="65"/>
      <c r="BR767" s="65"/>
      <c r="BS767" s="65"/>
      <c r="BT767" s="65"/>
      <c r="BU767" s="65"/>
      <c r="BV767" s="65"/>
      <c r="BW767" s="65"/>
    </row>
    <row r="768" spans="45:75" x14ac:dyDescent="0.25">
      <c r="AS768" s="53"/>
      <c r="AV768" s="53"/>
      <c r="AW768" s="379"/>
      <c r="AX768" s="65"/>
      <c r="AY768" s="65"/>
      <c r="AZ768" s="65"/>
      <c r="BA768" s="60"/>
      <c r="BB768" s="65"/>
      <c r="BC768" s="65"/>
      <c r="BD768" s="65"/>
      <c r="BE768" s="60"/>
      <c r="BG768" s="65"/>
      <c r="BH768" s="65"/>
      <c r="BI768" s="65"/>
      <c r="BJ768" s="65"/>
      <c r="BK768" s="65"/>
      <c r="BL768" s="65"/>
      <c r="BM768" s="65"/>
      <c r="BN768" s="65"/>
      <c r="BO768" s="65"/>
      <c r="BP768" s="65"/>
      <c r="BQ768" s="65"/>
      <c r="BR768" s="65"/>
      <c r="BS768" s="65"/>
      <c r="BT768" s="65"/>
      <c r="BU768" s="65"/>
      <c r="BV768" s="65"/>
      <c r="BW768" s="65"/>
    </row>
    <row r="769" spans="45:75" x14ac:dyDescent="0.25">
      <c r="AS769" s="53"/>
      <c r="AV769" s="53"/>
      <c r="AW769" s="379"/>
      <c r="AX769" s="65"/>
      <c r="AY769" s="65"/>
      <c r="AZ769" s="65"/>
      <c r="BA769" s="60"/>
      <c r="BB769" s="65"/>
      <c r="BC769" s="65"/>
      <c r="BD769" s="65"/>
      <c r="BE769" s="60"/>
      <c r="BG769" s="65"/>
      <c r="BH769" s="65"/>
      <c r="BI769" s="65"/>
      <c r="BJ769" s="65"/>
      <c r="BK769" s="65"/>
      <c r="BL769" s="65"/>
      <c r="BM769" s="65"/>
      <c r="BN769" s="65"/>
      <c r="BO769" s="65"/>
      <c r="BP769" s="65"/>
      <c r="BQ769" s="65"/>
      <c r="BR769" s="65"/>
      <c r="BS769" s="65"/>
      <c r="BT769" s="65"/>
      <c r="BU769" s="65"/>
      <c r="BV769" s="65"/>
      <c r="BW769" s="65"/>
    </row>
    <row r="770" spans="45:75" x14ac:dyDescent="0.25">
      <c r="AS770" s="53"/>
      <c r="AV770" s="53"/>
      <c r="AW770" s="379"/>
      <c r="AX770" s="65"/>
      <c r="AY770" s="65"/>
      <c r="AZ770" s="65"/>
      <c r="BA770" s="60"/>
      <c r="BB770" s="65"/>
      <c r="BC770" s="65"/>
      <c r="BD770" s="65"/>
      <c r="BE770" s="60"/>
      <c r="BG770" s="65"/>
      <c r="BH770" s="65"/>
      <c r="BI770" s="65"/>
      <c r="BJ770" s="65"/>
      <c r="BK770" s="65"/>
      <c r="BL770" s="65"/>
      <c r="BM770" s="65"/>
      <c r="BN770" s="65"/>
      <c r="BO770" s="65"/>
      <c r="BP770" s="65"/>
      <c r="BQ770" s="65"/>
      <c r="BR770" s="65"/>
      <c r="BS770" s="65"/>
      <c r="BT770" s="65"/>
      <c r="BU770" s="65"/>
      <c r="BV770" s="65"/>
      <c r="BW770" s="65"/>
    </row>
    <row r="771" spans="45:75" x14ac:dyDescent="0.25">
      <c r="AS771" s="53"/>
      <c r="AV771" s="53"/>
      <c r="AW771" s="379"/>
      <c r="AX771" s="65"/>
      <c r="AY771" s="65"/>
      <c r="AZ771" s="65"/>
      <c r="BA771" s="60"/>
      <c r="BB771" s="65"/>
      <c r="BC771" s="65"/>
      <c r="BD771" s="65"/>
      <c r="BE771" s="60"/>
      <c r="BG771" s="65"/>
      <c r="BH771" s="65"/>
      <c r="BI771" s="65"/>
      <c r="BJ771" s="65"/>
      <c r="BK771" s="65"/>
      <c r="BL771" s="65"/>
      <c r="BM771" s="65"/>
      <c r="BN771" s="65"/>
      <c r="BO771" s="65"/>
      <c r="BP771" s="65"/>
      <c r="BQ771" s="65"/>
      <c r="BR771" s="65"/>
      <c r="BS771" s="65"/>
      <c r="BT771" s="65"/>
      <c r="BU771" s="65"/>
      <c r="BV771" s="65"/>
      <c r="BW771" s="65"/>
    </row>
    <row r="772" spans="45:75" x14ac:dyDescent="0.25">
      <c r="AS772" s="53"/>
      <c r="AV772" s="53"/>
      <c r="AW772" s="379"/>
      <c r="AX772" s="65"/>
      <c r="AY772" s="65"/>
      <c r="AZ772" s="65"/>
      <c r="BA772" s="60"/>
      <c r="BB772" s="65"/>
      <c r="BC772" s="65"/>
      <c r="BD772" s="65"/>
      <c r="BE772" s="60"/>
      <c r="BG772" s="65"/>
      <c r="BH772" s="65"/>
      <c r="BI772" s="65"/>
      <c r="BJ772" s="65"/>
      <c r="BK772" s="65"/>
      <c r="BL772" s="65"/>
      <c r="BM772" s="65"/>
      <c r="BN772" s="65"/>
      <c r="BO772" s="65"/>
      <c r="BP772" s="65"/>
      <c r="BQ772" s="65"/>
      <c r="BR772" s="65"/>
      <c r="BS772" s="65"/>
      <c r="BT772" s="65"/>
      <c r="BU772" s="65"/>
      <c r="BV772" s="65"/>
      <c r="BW772" s="65"/>
    </row>
    <row r="773" spans="45:75" x14ac:dyDescent="0.25">
      <c r="AS773" s="53"/>
      <c r="AV773" s="53"/>
      <c r="AW773" s="379"/>
      <c r="AX773" s="65"/>
      <c r="AY773" s="65"/>
      <c r="AZ773" s="65"/>
      <c r="BA773" s="60"/>
      <c r="BB773" s="65"/>
      <c r="BC773" s="65"/>
      <c r="BD773" s="65"/>
      <c r="BE773" s="60"/>
      <c r="BG773" s="65"/>
      <c r="BH773" s="65"/>
      <c r="BI773" s="65"/>
      <c r="BJ773" s="65"/>
      <c r="BK773" s="65"/>
      <c r="BL773" s="65"/>
      <c r="BM773" s="65"/>
      <c r="BN773" s="65"/>
      <c r="BO773" s="65"/>
      <c r="BP773" s="65"/>
      <c r="BQ773" s="65"/>
      <c r="BR773" s="65"/>
      <c r="BS773" s="65"/>
      <c r="BT773" s="65"/>
      <c r="BU773" s="65"/>
      <c r="BV773" s="65"/>
      <c r="BW773" s="65"/>
    </row>
    <row r="774" spans="45:75" x14ac:dyDescent="0.25">
      <c r="AS774" s="53"/>
      <c r="AV774" s="53"/>
      <c r="AW774" s="379"/>
      <c r="AX774" s="65"/>
      <c r="AY774" s="65"/>
      <c r="AZ774" s="65"/>
      <c r="BA774" s="60"/>
      <c r="BB774" s="65"/>
      <c r="BC774" s="65"/>
      <c r="BD774" s="65"/>
      <c r="BE774" s="60"/>
      <c r="BG774" s="65"/>
      <c r="BH774" s="65"/>
      <c r="BI774" s="65"/>
      <c r="BJ774" s="65"/>
      <c r="BK774" s="65"/>
      <c r="BL774" s="65"/>
      <c r="BM774" s="65"/>
      <c r="BN774" s="65"/>
      <c r="BO774" s="65"/>
      <c r="BP774" s="65"/>
      <c r="BQ774" s="65"/>
      <c r="BR774" s="65"/>
      <c r="BS774" s="65"/>
      <c r="BT774" s="65"/>
      <c r="BU774" s="65"/>
      <c r="BV774" s="65"/>
      <c r="BW774" s="65"/>
    </row>
    <row r="775" spans="45:75" x14ac:dyDescent="0.25">
      <c r="AS775" s="53"/>
      <c r="AV775" s="53"/>
      <c r="AW775" s="379"/>
      <c r="AX775" s="65"/>
      <c r="AY775" s="65"/>
      <c r="AZ775" s="65"/>
      <c r="BA775" s="60"/>
      <c r="BB775" s="65"/>
      <c r="BC775" s="65"/>
      <c r="BD775" s="65"/>
      <c r="BE775" s="60"/>
      <c r="BG775" s="65"/>
      <c r="BH775" s="65"/>
      <c r="BI775" s="65"/>
      <c r="BJ775" s="65"/>
      <c r="BK775" s="65"/>
      <c r="BL775" s="65"/>
      <c r="BM775" s="65"/>
      <c r="BN775" s="65"/>
      <c r="BO775" s="65"/>
      <c r="BP775" s="65"/>
      <c r="BQ775" s="65"/>
      <c r="BR775" s="65"/>
      <c r="BS775" s="65"/>
      <c r="BT775" s="65"/>
      <c r="BU775" s="65"/>
      <c r="BV775" s="65"/>
      <c r="BW775" s="65"/>
    </row>
    <row r="776" spans="45:75" x14ac:dyDescent="0.25">
      <c r="AS776" s="53"/>
      <c r="AV776" s="53"/>
      <c r="AW776" s="379"/>
      <c r="AX776" s="65"/>
      <c r="AY776" s="65"/>
      <c r="AZ776" s="65"/>
      <c r="BA776" s="60"/>
      <c r="BB776" s="65"/>
      <c r="BC776" s="65"/>
      <c r="BD776" s="65"/>
      <c r="BE776" s="60"/>
      <c r="BG776" s="65"/>
      <c r="BH776" s="65"/>
      <c r="BI776" s="65"/>
      <c r="BJ776" s="65"/>
      <c r="BK776" s="65"/>
      <c r="BL776" s="65"/>
      <c r="BM776" s="65"/>
      <c r="BN776" s="65"/>
      <c r="BO776" s="65"/>
      <c r="BP776" s="65"/>
      <c r="BQ776" s="65"/>
      <c r="BR776" s="65"/>
      <c r="BS776" s="65"/>
      <c r="BT776" s="65"/>
      <c r="BU776" s="65"/>
      <c r="BV776" s="65"/>
      <c r="BW776" s="65"/>
    </row>
    <row r="777" spans="45:75" x14ac:dyDescent="0.25">
      <c r="AS777" s="53"/>
      <c r="AV777" s="53"/>
      <c r="AW777" s="379"/>
      <c r="AX777" s="65"/>
      <c r="AY777" s="65"/>
      <c r="AZ777" s="65"/>
      <c r="BA777" s="60"/>
      <c r="BB777" s="65"/>
      <c r="BC777" s="65"/>
      <c r="BD777" s="65"/>
      <c r="BE777" s="60"/>
      <c r="BG777" s="65"/>
      <c r="BH777" s="65"/>
      <c r="BI777" s="65"/>
      <c r="BJ777" s="65"/>
      <c r="BK777" s="65"/>
      <c r="BL777" s="65"/>
      <c r="BM777" s="65"/>
      <c r="BN777" s="65"/>
      <c r="BO777" s="65"/>
      <c r="BP777" s="65"/>
      <c r="BQ777" s="65"/>
      <c r="BR777" s="65"/>
      <c r="BS777" s="65"/>
      <c r="BT777" s="65"/>
      <c r="BU777" s="65"/>
      <c r="BV777" s="65"/>
      <c r="BW777" s="65"/>
    </row>
    <row r="778" spans="45:75" x14ac:dyDescent="0.25">
      <c r="AS778" s="53"/>
      <c r="AV778" s="53"/>
      <c r="AW778" s="379"/>
      <c r="AX778" s="65"/>
      <c r="AY778" s="65"/>
      <c r="AZ778" s="65"/>
      <c r="BA778" s="60"/>
      <c r="BB778" s="65"/>
      <c r="BC778" s="65"/>
      <c r="BD778" s="65"/>
      <c r="BE778" s="60"/>
      <c r="BG778" s="65"/>
      <c r="BH778" s="65"/>
      <c r="BI778" s="65"/>
      <c r="BJ778" s="65"/>
      <c r="BK778" s="65"/>
      <c r="BL778" s="65"/>
      <c r="BM778" s="65"/>
      <c r="BN778" s="65"/>
      <c r="BO778" s="65"/>
      <c r="BP778" s="65"/>
      <c r="BQ778" s="65"/>
      <c r="BR778" s="65"/>
      <c r="BS778" s="65"/>
      <c r="BT778" s="65"/>
      <c r="BU778" s="65"/>
      <c r="BV778" s="65"/>
      <c r="BW778" s="65"/>
    </row>
    <row r="779" spans="45:75" x14ac:dyDescent="0.25">
      <c r="AS779" s="53"/>
      <c r="AV779" s="53"/>
      <c r="AW779" s="379"/>
      <c r="AX779" s="65"/>
      <c r="AY779" s="65"/>
      <c r="AZ779" s="65"/>
      <c r="BA779" s="60"/>
      <c r="BB779" s="65"/>
      <c r="BC779" s="65"/>
      <c r="BD779" s="65"/>
      <c r="BE779" s="60"/>
      <c r="BG779" s="65"/>
      <c r="BH779" s="65"/>
      <c r="BI779" s="65"/>
      <c r="BJ779" s="65"/>
      <c r="BK779" s="65"/>
      <c r="BL779" s="65"/>
      <c r="BM779" s="65"/>
      <c r="BN779" s="65"/>
      <c r="BO779" s="65"/>
      <c r="BP779" s="65"/>
      <c r="BQ779" s="65"/>
      <c r="BR779" s="65"/>
      <c r="BS779" s="65"/>
      <c r="BT779" s="65"/>
      <c r="BU779" s="65"/>
      <c r="BV779" s="65"/>
      <c r="BW779" s="65"/>
    </row>
    <row r="780" spans="45:75" x14ac:dyDescent="0.25">
      <c r="AS780" s="53"/>
      <c r="AV780" s="53"/>
      <c r="AW780" s="379"/>
      <c r="AX780" s="65"/>
      <c r="AY780" s="65"/>
      <c r="AZ780" s="65"/>
      <c r="BA780" s="60"/>
      <c r="BB780" s="65"/>
      <c r="BC780" s="65"/>
      <c r="BD780" s="65"/>
      <c r="BE780" s="60"/>
      <c r="BG780" s="65"/>
      <c r="BH780" s="65"/>
      <c r="BI780" s="65"/>
      <c r="BJ780" s="65"/>
      <c r="BK780" s="65"/>
      <c r="BL780" s="65"/>
      <c r="BM780" s="65"/>
      <c r="BN780" s="65"/>
      <c r="BO780" s="65"/>
      <c r="BP780" s="65"/>
      <c r="BQ780" s="65"/>
      <c r="BR780" s="65"/>
      <c r="BS780" s="65"/>
      <c r="BT780" s="65"/>
      <c r="BU780" s="65"/>
      <c r="BV780" s="65"/>
      <c r="BW780" s="65"/>
    </row>
    <row r="781" spans="45:75" x14ac:dyDescent="0.25">
      <c r="AS781" s="53"/>
      <c r="AV781" s="53"/>
      <c r="AW781" s="379"/>
      <c r="AX781" s="65"/>
      <c r="AY781" s="65"/>
      <c r="AZ781" s="65"/>
      <c r="BA781" s="60"/>
      <c r="BB781" s="65"/>
      <c r="BC781" s="65"/>
      <c r="BD781" s="65"/>
      <c r="BE781" s="60"/>
      <c r="BG781" s="65"/>
      <c r="BH781" s="65"/>
      <c r="BI781" s="65"/>
      <c r="BJ781" s="65"/>
      <c r="BK781" s="65"/>
      <c r="BL781" s="65"/>
      <c r="BM781" s="65"/>
      <c r="BN781" s="65"/>
      <c r="BO781" s="65"/>
      <c r="BP781" s="65"/>
      <c r="BQ781" s="65"/>
      <c r="BR781" s="65"/>
      <c r="BS781" s="65"/>
      <c r="BT781" s="65"/>
      <c r="BU781" s="65"/>
      <c r="BV781" s="65"/>
      <c r="BW781" s="65"/>
    </row>
    <row r="782" spans="45:75" x14ac:dyDescent="0.25">
      <c r="AW782" s="379"/>
      <c r="AX782" s="65"/>
      <c r="AY782" s="65"/>
      <c r="AZ782" s="65"/>
      <c r="BA782" s="60"/>
      <c r="BB782" s="65"/>
      <c r="BC782" s="65"/>
      <c r="BD782" s="65"/>
      <c r="BE782" s="60"/>
      <c r="BG782" s="55"/>
      <c r="BH782" s="55"/>
      <c r="BI782" s="54"/>
      <c r="BM782" s="55"/>
      <c r="BN782" s="55"/>
      <c r="BO782" s="65"/>
      <c r="BP782" s="55"/>
      <c r="BQ782" s="55"/>
      <c r="BR782" s="54"/>
      <c r="BV782" s="55"/>
      <c r="BW782" s="55"/>
    </row>
    <row r="783" spans="45:75" x14ac:dyDescent="0.25">
      <c r="AS783" s="53"/>
      <c r="AU783" s="54"/>
      <c r="AV783" s="56"/>
      <c r="AW783" s="379"/>
      <c r="AX783" s="65"/>
      <c r="AY783" s="65"/>
      <c r="AZ783" s="65"/>
      <c r="BA783" s="60"/>
      <c r="BB783" s="65"/>
      <c r="BC783" s="65"/>
      <c r="BD783" s="65"/>
      <c r="BE783" s="60"/>
      <c r="BG783" s="67"/>
      <c r="BH783" s="65"/>
      <c r="BI783" s="65"/>
      <c r="BJ783" s="65"/>
      <c r="BK783" s="67"/>
      <c r="BL783" s="68"/>
      <c r="BM783" s="65"/>
      <c r="BN783" s="67"/>
      <c r="BO783" s="65"/>
      <c r="BP783" s="67"/>
      <c r="BQ783" s="65"/>
      <c r="BR783" s="65"/>
      <c r="BS783" s="65"/>
      <c r="BT783" s="67"/>
      <c r="BU783" s="68"/>
      <c r="BV783" s="65"/>
      <c r="BW783" s="67"/>
    </row>
    <row r="784" spans="45:75" x14ac:dyDescent="0.25">
      <c r="AS784" s="53"/>
      <c r="AV784" s="56"/>
      <c r="AW784" s="379"/>
      <c r="AX784" s="65"/>
      <c r="AY784" s="65"/>
      <c r="AZ784" s="65"/>
      <c r="BA784" s="60"/>
      <c r="BB784" s="65"/>
      <c r="BC784" s="65"/>
      <c r="BD784" s="65"/>
      <c r="BE784" s="60"/>
      <c r="BG784" s="65"/>
      <c r="BH784" s="65"/>
      <c r="BI784" s="65"/>
      <c r="BJ784" s="65"/>
      <c r="BK784" s="65"/>
      <c r="BL784" s="68"/>
      <c r="BM784" s="65"/>
      <c r="BN784" s="65"/>
      <c r="BO784" s="65"/>
      <c r="BP784" s="65"/>
      <c r="BQ784" s="65"/>
      <c r="BR784" s="65"/>
      <c r="BS784" s="65"/>
      <c r="BT784" s="65"/>
      <c r="BU784" s="68"/>
      <c r="BV784" s="65"/>
      <c r="BW784" s="65"/>
    </row>
    <row r="785" spans="45:75" x14ac:dyDescent="0.25">
      <c r="AS785" s="53"/>
      <c r="AV785" s="56"/>
      <c r="AW785" s="379"/>
      <c r="AX785" s="65"/>
      <c r="AY785" s="65"/>
      <c r="AZ785" s="65"/>
      <c r="BA785" s="60"/>
      <c r="BB785" s="65"/>
      <c r="BC785" s="65"/>
      <c r="BD785" s="65"/>
      <c r="BE785" s="60"/>
      <c r="BG785" s="65"/>
      <c r="BH785" s="65"/>
      <c r="BI785" s="65"/>
      <c r="BJ785" s="65"/>
      <c r="BK785" s="65"/>
      <c r="BL785" s="68"/>
      <c r="BM785" s="65"/>
      <c r="BN785" s="65"/>
      <c r="BO785" s="65"/>
      <c r="BP785" s="65"/>
      <c r="BQ785" s="65"/>
      <c r="BR785" s="65"/>
      <c r="BS785" s="65"/>
      <c r="BT785" s="65"/>
      <c r="BU785" s="68"/>
      <c r="BV785" s="65"/>
      <c r="BW785" s="65"/>
    </row>
    <row r="786" spans="45:75" x14ac:dyDescent="0.25">
      <c r="AS786" s="53"/>
      <c r="AV786" s="56"/>
      <c r="AW786" s="379"/>
      <c r="AX786" s="65"/>
      <c r="AY786" s="65"/>
      <c r="AZ786" s="65"/>
      <c r="BA786" s="60"/>
      <c r="BB786" s="65"/>
      <c r="BC786" s="65"/>
      <c r="BD786" s="65"/>
      <c r="BE786" s="60"/>
      <c r="BG786" s="65"/>
      <c r="BH786" s="65"/>
      <c r="BI786" s="65"/>
      <c r="BJ786" s="65"/>
      <c r="BK786" s="65"/>
      <c r="BL786" s="68"/>
      <c r="BM786" s="65"/>
      <c r="BN786" s="65"/>
      <c r="BO786" s="65"/>
      <c r="BP786" s="65"/>
      <c r="BQ786" s="65"/>
      <c r="BR786" s="65"/>
      <c r="BS786" s="65"/>
      <c r="BT786" s="65"/>
      <c r="BU786" s="68"/>
      <c r="BV786" s="65"/>
      <c r="BW786" s="65"/>
    </row>
    <row r="787" spans="45:75" x14ac:dyDescent="0.25">
      <c r="AX787" s="65"/>
      <c r="AY787" s="65"/>
      <c r="AZ787" s="65"/>
      <c r="BA787" s="60"/>
      <c r="BB787" s="65"/>
      <c r="BC787" s="65"/>
      <c r="BD787" s="65"/>
      <c r="BE787" s="60"/>
      <c r="BG787" s="65"/>
      <c r="BH787" s="65"/>
      <c r="BI787" s="65"/>
      <c r="BJ787" s="65"/>
      <c r="BK787" s="65"/>
      <c r="BL787" s="65"/>
      <c r="BM787" s="65"/>
      <c r="BN787" s="65"/>
      <c r="BO787" s="65"/>
      <c r="BP787" s="65"/>
      <c r="BQ787" s="65"/>
      <c r="BR787" s="65"/>
      <c r="BS787" s="65"/>
      <c r="BT787" s="65"/>
      <c r="BU787" s="65"/>
      <c r="BV787" s="65"/>
    </row>
    <row r="788" spans="45:75" x14ac:dyDescent="0.25">
      <c r="AU788" s="54"/>
    </row>
    <row r="789" spans="45:75" x14ac:dyDescent="0.25">
      <c r="AU789" s="54"/>
      <c r="AZ789" s="65"/>
      <c r="BA789" s="60"/>
      <c r="BB789" s="65"/>
      <c r="BC789" s="65"/>
      <c r="BD789" s="65"/>
      <c r="BE789" s="60"/>
      <c r="BG789" s="65"/>
      <c r="BH789" s="65"/>
      <c r="BI789" s="65"/>
      <c r="BJ789" s="65"/>
      <c r="BK789" s="65"/>
      <c r="BL789" s="65"/>
      <c r="BM789" s="65"/>
      <c r="BN789" s="65"/>
      <c r="BO789" s="65"/>
      <c r="BP789" s="65"/>
      <c r="BQ789" s="65"/>
      <c r="BR789" s="65"/>
      <c r="BS789" s="65"/>
      <c r="BT789" s="65"/>
      <c r="BU789" s="65"/>
      <c r="BV789" s="65"/>
    </row>
    <row r="790" spans="45:75" x14ac:dyDescent="0.25">
      <c r="AS790" s="54"/>
      <c r="AZ790" s="65"/>
      <c r="BB790" s="65"/>
    </row>
    <row r="791" spans="45:75" x14ac:dyDescent="0.25">
      <c r="AY791" s="53"/>
      <c r="AZ791" s="65"/>
      <c r="BB791" s="65"/>
      <c r="BO791" s="65"/>
      <c r="BP791" s="65"/>
      <c r="BQ791" s="65"/>
      <c r="BR791" s="65"/>
      <c r="BS791" s="65"/>
      <c r="BT791" s="65"/>
      <c r="BU791" s="65"/>
      <c r="BV791" s="65"/>
    </row>
    <row r="792" spans="45:75" x14ac:dyDescent="0.25">
      <c r="AY792" s="65"/>
      <c r="AZ792" s="65"/>
      <c r="BB792" s="65"/>
      <c r="BO792" s="65"/>
      <c r="BP792" s="65"/>
      <c r="BQ792" s="65"/>
      <c r="BR792" s="65"/>
      <c r="BS792" s="65"/>
      <c r="BT792" s="65"/>
      <c r="BU792" s="65"/>
      <c r="BV792" s="65"/>
    </row>
    <row r="793" spans="45:75" x14ac:dyDescent="0.25">
      <c r="AY793" s="54"/>
      <c r="AZ793" s="65"/>
      <c r="BB793" s="65"/>
      <c r="BO793" s="65"/>
      <c r="BP793" s="65"/>
      <c r="BQ793" s="65"/>
      <c r="BR793" s="65"/>
      <c r="BS793" s="65"/>
      <c r="BT793" s="65"/>
      <c r="BU793" s="65"/>
      <c r="BV793" s="65"/>
    </row>
    <row r="794" spans="45:75" x14ac:dyDescent="0.25">
      <c r="AY794" s="54"/>
      <c r="AZ794" s="65"/>
      <c r="BB794" s="65"/>
      <c r="BO794" s="65"/>
      <c r="BP794" s="65"/>
      <c r="BQ794" s="65"/>
      <c r="BR794" s="65"/>
      <c r="BS794" s="65"/>
      <c r="BT794" s="65"/>
      <c r="BU794" s="65"/>
      <c r="BV794" s="65"/>
    </row>
    <row r="795" spans="45:75" x14ac:dyDescent="0.25">
      <c r="AS795" s="53"/>
      <c r="AZ795" s="65"/>
      <c r="BB795" s="65"/>
      <c r="BD795" s="54"/>
      <c r="BO795" s="65"/>
      <c r="BP795" s="65"/>
      <c r="BQ795" s="65"/>
      <c r="BR795" s="65"/>
      <c r="BS795" s="65"/>
      <c r="BT795" s="65"/>
      <c r="BU795" s="65"/>
      <c r="BV795" s="65"/>
    </row>
    <row r="796" spans="45:75" x14ac:dyDescent="0.25">
      <c r="AS796" s="53"/>
      <c r="AZ796" s="65"/>
      <c r="BB796" s="65"/>
      <c r="BD796" s="54"/>
      <c r="BO796" s="65"/>
      <c r="BP796" s="65"/>
      <c r="BQ796" s="65"/>
      <c r="BR796" s="65"/>
      <c r="BS796" s="65"/>
      <c r="BT796" s="65"/>
      <c r="BU796" s="65"/>
      <c r="BV796" s="65"/>
    </row>
    <row r="797" spans="45:75" x14ac:dyDescent="0.25">
      <c r="AS797" s="54"/>
      <c r="AZ797" s="65"/>
      <c r="BB797" s="65"/>
      <c r="BD797" s="54"/>
      <c r="BO797" s="65"/>
      <c r="BP797" s="65"/>
      <c r="BQ797" s="65"/>
      <c r="BR797" s="65"/>
      <c r="BS797" s="65"/>
      <c r="BT797" s="65"/>
      <c r="BU797" s="65"/>
      <c r="BV797" s="65"/>
    </row>
    <row r="798" spans="45:75" x14ac:dyDescent="0.25">
      <c r="AZ798" s="65"/>
      <c r="BB798" s="65"/>
      <c r="BD798" s="53"/>
      <c r="BO798" s="65"/>
      <c r="BP798" s="65"/>
      <c r="BQ798" s="65"/>
      <c r="BR798" s="65"/>
      <c r="BS798" s="65"/>
      <c r="BT798" s="65"/>
      <c r="BU798" s="65"/>
      <c r="BV798" s="65"/>
    </row>
    <row r="799" spans="45:75" x14ac:dyDescent="0.25">
      <c r="AS799" s="55"/>
      <c r="AT799" s="55"/>
      <c r="AU799" s="55"/>
      <c r="AV799" s="55"/>
      <c r="AW799" s="55"/>
      <c r="AX799" s="55"/>
      <c r="AY799" s="55"/>
      <c r="AZ799" s="66"/>
      <c r="BA799" s="55"/>
      <c r="BB799" s="66"/>
      <c r="BC799" s="55"/>
      <c r="BD799" s="55"/>
      <c r="BE799" s="55"/>
      <c r="BO799" s="65"/>
      <c r="BP799" s="65"/>
      <c r="BQ799" s="65"/>
      <c r="BR799" s="65"/>
      <c r="BS799" s="65"/>
      <c r="BT799" s="65"/>
      <c r="BU799" s="65"/>
      <c r="BV799" s="65"/>
    </row>
    <row r="800" spans="45:75" x14ac:dyDescent="0.25">
      <c r="AX800" s="54"/>
      <c r="AZ800" s="65"/>
      <c r="BB800" s="65"/>
      <c r="BO800" s="65"/>
      <c r="BP800" s="65"/>
      <c r="BQ800" s="65"/>
      <c r="BR800" s="65"/>
      <c r="BS800" s="65"/>
      <c r="BT800" s="65"/>
      <c r="BU800" s="65"/>
      <c r="BV800" s="65"/>
    </row>
    <row r="801" spans="45:74" x14ac:dyDescent="0.25">
      <c r="AX801" s="55"/>
      <c r="AY801" s="55"/>
      <c r="AZ801" s="66"/>
      <c r="BA801" s="55"/>
      <c r="BB801" s="65"/>
      <c r="BC801" s="56"/>
      <c r="BD801" s="56"/>
      <c r="BO801" s="65"/>
      <c r="BP801" s="65"/>
      <c r="BQ801" s="65"/>
      <c r="BR801" s="65"/>
      <c r="BS801" s="65"/>
      <c r="BT801" s="65"/>
      <c r="BU801" s="65"/>
      <c r="BV801" s="65"/>
    </row>
    <row r="802" spans="45:74" x14ac:dyDescent="0.25">
      <c r="AV802" s="56"/>
      <c r="AW802" s="56"/>
      <c r="AZ802" s="67"/>
      <c r="BA802" s="56"/>
      <c r="BB802" s="65"/>
      <c r="BC802" s="56"/>
      <c r="BD802" s="56"/>
      <c r="BE802" s="56"/>
      <c r="BG802" s="55"/>
      <c r="BH802" s="54"/>
      <c r="BK802" s="55"/>
      <c r="BM802" s="55"/>
      <c r="BN802" s="54"/>
      <c r="BQ802" s="55"/>
    </row>
    <row r="803" spans="45:74" x14ac:dyDescent="0.25">
      <c r="AV803" s="56"/>
      <c r="AW803" s="56"/>
      <c r="AX803" s="56"/>
      <c r="AY803" s="56"/>
      <c r="AZ803" s="67"/>
      <c r="BA803" s="56"/>
      <c r="BB803" s="67"/>
      <c r="BC803" s="56"/>
      <c r="BD803" s="56"/>
      <c r="BE803" s="56"/>
      <c r="BH803" s="56"/>
      <c r="BI803" s="56"/>
      <c r="BN803" s="56"/>
      <c r="BO803" s="56"/>
    </row>
    <row r="804" spans="45:74" x14ac:dyDescent="0.25">
      <c r="AS804" s="56"/>
      <c r="AU804" s="54"/>
      <c r="AV804" s="56"/>
      <c r="AW804" s="56"/>
      <c r="AX804" s="56"/>
      <c r="AY804" s="56"/>
      <c r="AZ804" s="67"/>
      <c r="BA804" s="56"/>
      <c r="BB804" s="67"/>
      <c r="BC804" s="56"/>
      <c r="BD804" s="56"/>
      <c r="BE804" s="56"/>
      <c r="BG804" s="56"/>
      <c r="BH804" s="56"/>
      <c r="BI804" s="56"/>
      <c r="BJ804" s="56"/>
      <c r="BK804" s="56"/>
      <c r="BM804" s="56"/>
      <c r="BN804" s="56"/>
      <c r="BO804" s="56"/>
      <c r="BP804" s="56"/>
      <c r="BQ804" s="56"/>
    </row>
    <row r="805" spans="45:74" x14ac:dyDescent="0.25">
      <c r="AS805" s="56"/>
      <c r="AU805" s="54"/>
      <c r="AV805" s="56"/>
      <c r="AW805" s="56"/>
      <c r="AX805" s="56"/>
      <c r="AY805" s="56"/>
      <c r="AZ805" s="67"/>
      <c r="BA805" s="56"/>
      <c r="BB805" s="67"/>
      <c r="BC805" s="56"/>
      <c r="BD805" s="56"/>
      <c r="BE805" s="56"/>
      <c r="BG805" s="56"/>
      <c r="BH805" s="56"/>
      <c r="BI805" s="56"/>
      <c r="BJ805" s="56"/>
      <c r="BK805" s="56"/>
      <c r="BM805" s="56"/>
      <c r="BN805" s="56"/>
      <c r="BO805" s="56"/>
      <c r="BP805" s="56"/>
      <c r="BQ805" s="56"/>
    </row>
    <row r="806" spans="45:74" x14ac:dyDescent="0.25">
      <c r="AS806" s="55"/>
      <c r="AT806" s="55"/>
      <c r="AU806" s="55"/>
      <c r="AV806" s="55"/>
      <c r="AW806" s="55"/>
      <c r="AX806" s="55"/>
      <c r="AY806" s="55"/>
      <c r="AZ806" s="66"/>
      <c r="BA806" s="55"/>
      <c r="BB806" s="66"/>
      <c r="BC806" s="55"/>
      <c r="BD806" s="55"/>
      <c r="BE806" s="55"/>
      <c r="BG806" s="55"/>
      <c r="BH806" s="55"/>
      <c r="BI806" s="55"/>
      <c r="BJ806" s="55"/>
      <c r="BK806" s="55"/>
      <c r="BM806" s="55"/>
      <c r="BN806" s="55"/>
      <c r="BO806" s="55"/>
      <c r="BP806" s="55"/>
      <c r="BQ806" s="55"/>
    </row>
    <row r="807" spans="45:74" x14ac:dyDescent="0.25">
      <c r="AV807" s="56"/>
      <c r="AW807" s="56"/>
      <c r="AX807" s="56"/>
      <c r="AY807" s="56"/>
      <c r="AZ807" s="67"/>
      <c r="BA807" s="56"/>
      <c r="BB807" s="67"/>
      <c r="BC807" s="56"/>
      <c r="BD807" s="56"/>
      <c r="BE807" s="56"/>
      <c r="BG807" s="65"/>
      <c r="BH807" s="65"/>
      <c r="BI807" s="65"/>
      <c r="BJ807" s="65"/>
      <c r="BK807" s="65"/>
      <c r="BL807" s="65"/>
      <c r="BM807" s="65"/>
      <c r="BN807" s="65"/>
      <c r="BO807" s="65"/>
      <c r="BP807" s="65"/>
      <c r="BQ807" s="65"/>
    </row>
    <row r="808" spans="45:74" x14ac:dyDescent="0.25">
      <c r="AS808" s="53"/>
      <c r="AT808" s="54"/>
      <c r="AV808" s="379"/>
      <c r="AW808" s="379"/>
      <c r="AX808" s="65"/>
      <c r="AY808" s="65"/>
      <c r="AZ808" s="65"/>
      <c r="BA808" s="60"/>
      <c r="BB808" s="65"/>
      <c r="BC808" s="65"/>
      <c r="BD808" s="65"/>
      <c r="BE808" s="60"/>
      <c r="BG808" s="65"/>
      <c r="BH808" s="65"/>
      <c r="BI808" s="65"/>
      <c r="BJ808" s="65"/>
      <c r="BK808" s="65"/>
      <c r="BL808" s="65"/>
      <c r="BM808" s="65"/>
      <c r="BN808" s="65"/>
      <c r="BO808" s="65"/>
      <c r="BP808" s="65"/>
      <c r="BQ808" s="65"/>
      <c r="BR808" s="65"/>
      <c r="BS808" s="65"/>
    </row>
    <row r="809" spans="45:74" x14ac:dyDescent="0.25">
      <c r="AS809" s="53"/>
      <c r="AV809" s="379"/>
      <c r="AW809" s="379"/>
      <c r="AX809" s="65"/>
      <c r="AY809" s="65"/>
      <c r="AZ809" s="65"/>
      <c r="BA809" s="60"/>
      <c r="BB809" s="65"/>
      <c r="BC809" s="65"/>
      <c r="BD809" s="65"/>
      <c r="BE809" s="60"/>
      <c r="BG809" s="65"/>
      <c r="BH809" s="65"/>
      <c r="BI809" s="65"/>
      <c r="BJ809" s="65"/>
      <c r="BK809" s="65"/>
      <c r="BL809" s="65"/>
      <c r="BM809" s="65"/>
      <c r="BN809" s="65"/>
      <c r="BO809" s="65"/>
      <c r="BP809" s="65"/>
      <c r="BQ809" s="65"/>
      <c r="BR809" s="65"/>
      <c r="BS809" s="65"/>
    </row>
    <row r="810" spans="45:74" x14ac:dyDescent="0.25">
      <c r="AS810" s="53"/>
      <c r="AV810" s="379"/>
      <c r="AW810" s="379"/>
      <c r="AX810" s="65"/>
      <c r="AY810" s="65"/>
      <c r="AZ810" s="65"/>
      <c r="BA810" s="60"/>
      <c r="BB810" s="65"/>
      <c r="BC810" s="65"/>
      <c r="BD810" s="65"/>
      <c r="BE810" s="60"/>
      <c r="BG810" s="65"/>
      <c r="BH810" s="65"/>
      <c r="BI810" s="65"/>
      <c r="BJ810" s="65"/>
      <c r="BK810" s="65"/>
      <c r="BL810" s="65"/>
      <c r="BM810" s="65"/>
      <c r="BN810" s="65"/>
      <c r="BO810" s="65"/>
      <c r="BP810" s="65"/>
      <c r="BQ810" s="65"/>
      <c r="BR810" s="65"/>
      <c r="BS810" s="65"/>
    </row>
    <row r="811" spans="45:74" x14ac:dyDescent="0.25">
      <c r="AS811" s="53"/>
      <c r="AV811" s="379"/>
      <c r="AW811" s="379"/>
      <c r="AX811" s="65"/>
      <c r="AY811" s="65"/>
      <c r="AZ811" s="65"/>
      <c r="BA811" s="60"/>
      <c r="BB811" s="65"/>
      <c r="BC811" s="65"/>
      <c r="BD811" s="65"/>
      <c r="BE811" s="60"/>
      <c r="BG811" s="65"/>
      <c r="BH811" s="65"/>
      <c r="BI811" s="65"/>
      <c r="BJ811" s="65"/>
      <c r="BK811" s="65"/>
      <c r="BL811" s="65"/>
      <c r="BM811" s="65"/>
      <c r="BN811" s="65"/>
      <c r="BO811" s="65"/>
      <c r="BP811" s="65"/>
      <c r="BQ811" s="65"/>
      <c r="BR811" s="65"/>
      <c r="BS811" s="65"/>
    </row>
    <row r="812" spans="45:74" x14ac:dyDescent="0.25">
      <c r="AS812" s="53"/>
      <c r="AV812" s="379"/>
      <c r="AW812" s="379"/>
      <c r="AX812" s="65"/>
      <c r="AY812" s="65"/>
      <c r="AZ812" s="65"/>
      <c r="BA812" s="60"/>
      <c r="BB812" s="65"/>
      <c r="BC812" s="65"/>
      <c r="BD812" s="65"/>
      <c r="BE812" s="60"/>
      <c r="BG812" s="65"/>
      <c r="BH812" s="65"/>
      <c r="BI812" s="65"/>
      <c r="BJ812" s="65"/>
      <c r="BK812" s="65"/>
      <c r="BL812" s="65"/>
      <c r="BM812" s="65"/>
      <c r="BN812" s="65"/>
      <c r="BO812" s="65"/>
      <c r="BP812" s="65"/>
      <c r="BQ812" s="65"/>
      <c r="BR812" s="65"/>
      <c r="BS812" s="65"/>
    </row>
    <row r="813" spans="45:74" x14ac:dyDescent="0.25">
      <c r="AS813" s="53"/>
      <c r="AV813" s="379"/>
      <c r="AW813" s="379"/>
      <c r="AX813" s="65"/>
      <c r="AY813" s="65"/>
      <c r="AZ813" s="65"/>
      <c r="BA813" s="60"/>
      <c r="BB813" s="65"/>
      <c r="BC813" s="65"/>
      <c r="BD813" s="65"/>
      <c r="BE813" s="60"/>
      <c r="BG813" s="65"/>
      <c r="BH813" s="65"/>
      <c r="BI813" s="65"/>
      <c r="BJ813" s="65"/>
      <c r="BK813" s="65"/>
      <c r="BL813" s="65"/>
      <c r="BM813" s="65"/>
      <c r="BN813" s="65"/>
      <c r="BO813" s="65"/>
      <c r="BP813" s="65"/>
      <c r="BQ813" s="65"/>
      <c r="BR813" s="65"/>
      <c r="BS813" s="65"/>
    </row>
    <row r="814" spans="45:74" x14ac:dyDescent="0.25">
      <c r="AS814" s="53"/>
      <c r="AV814" s="379"/>
      <c r="AW814" s="379"/>
      <c r="AX814" s="65"/>
      <c r="AY814" s="65"/>
      <c r="AZ814" s="65"/>
      <c r="BA814" s="60"/>
      <c r="BB814" s="65"/>
      <c r="BC814" s="65"/>
      <c r="BD814" s="65"/>
      <c r="BE814" s="60"/>
      <c r="BG814" s="65"/>
      <c r="BH814" s="65"/>
      <c r="BI814" s="65"/>
      <c r="BJ814" s="65"/>
      <c r="BK814" s="65"/>
      <c r="BL814" s="65"/>
      <c r="BM814" s="65"/>
      <c r="BN814" s="65"/>
      <c r="BO814" s="65"/>
      <c r="BP814" s="65"/>
      <c r="BQ814" s="65"/>
      <c r="BR814" s="65"/>
      <c r="BS814" s="65"/>
    </row>
    <row r="815" spans="45:74" x14ac:dyDescent="0.25">
      <c r="AS815" s="53"/>
      <c r="AV815" s="379"/>
      <c r="AW815" s="379"/>
      <c r="AX815" s="65"/>
      <c r="AY815" s="65"/>
      <c r="AZ815" s="65"/>
      <c r="BA815" s="60"/>
      <c r="BB815" s="65"/>
      <c r="BC815" s="65"/>
      <c r="BD815" s="65"/>
      <c r="BE815" s="60"/>
      <c r="BG815" s="65"/>
      <c r="BH815" s="65"/>
      <c r="BI815" s="65"/>
      <c r="BJ815" s="65"/>
      <c r="BK815" s="65"/>
      <c r="BL815" s="65"/>
      <c r="BM815" s="65"/>
      <c r="BN815" s="65"/>
      <c r="BO815" s="65"/>
      <c r="BP815" s="65"/>
      <c r="BQ815" s="65"/>
      <c r="BR815" s="65"/>
      <c r="BS815" s="65"/>
    </row>
    <row r="816" spans="45:74" x14ac:dyDescent="0.25">
      <c r="AS816" s="53"/>
      <c r="AV816" s="379"/>
      <c r="AW816" s="379"/>
      <c r="AX816" s="65"/>
      <c r="AY816" s="65"/>
      <c r="AZ816" s="65"/>
      <c r="BA816" s="60"/>
      <c r="BB816" s="65"/>
      <c r="BC816" s="65"/>
      <c r="BD816" s="65"/>
      <c r="BE816" s="60"/>
      <c r="BG816" s="65"/>
      <c r="BH816" s="65"/>
      <c r="BI816" s="65"/>
      <c r="BJ816" s="65"/>
      <c r="BK816" s="65"/>
      <c r="BL816" s="65"/>
      <c r="BM816" s="65"/>
      <c r="BN816" s="65"/>
      <c r="BO816" s="65"/>
      <c r="BP816" s="65"/>
      <c r="BQ816" s="65"/>
      <c r="BR816" s="65"/>
      <c r="BS816" s="65"/>
    </row>
    <row r="817" spans="45:71" x14ac:dyDescent="0.25">
      <c r="AS817" s="53"/>
      <c r="AV817" s="379"/>
      <c r="AW817" s="379"/>
      <c r="AX817" s="65"/>
      <c r="AY817" s="65"/>
      <c r="AZ817" s="65"/>
      <c r="BA817" s="60"/>
      <c r="BB817" s="65"/>
      <c r="BC817" s="65"/>
      <c r="BD817" s="65"/>
      <c r="BE817" s="60"/>
      <c r="BG817" s="65"/>
      <c r="BH817" s="65"/>
      <c r="BI817" s="65"/>
      <c r="BJ817" s="65"/>
      <c r="BK817" s="65"/>
      <c r="BL817" s="65"/>
      <c r="BM817" s="65"/>
      <c r="BN817" s="65"/>
      <c r="BO817" s="65"/>
      <c r="BP817" s="65"/>
      <c r="BQ817" s="65"/>
      <c r="BR817" s="65"/>
      <c r="BS817" s="65"/>
    </row>
    <row r="818" spans="45:71" x14ac:dyDescent="0.25">
      <c r="AS818" s="53"/>
      <c r="AV818" s="379"/>
      <c r="AW818" s="379"/>
      <c r="AX818" s="65"/>
      <c r="AY818" s="65"/>
      <c r="AZ818" s="65"/>
      <c r="BA818" s="60"/>
      <c r="BB818" s="65"/>
      <c r="BC818" s="65"/>
      <c r="BD818" s="65"/>
      <c r="BE818" s="60"/>
      <c r="BG818" s="65"/>
      <c r="BH818" s="65"/>
      <c r="BI818" s="65"/>
      <c r="BJ818" s="65"/>
      <c r="BK818" s="65"/>
      <c r="BL818" s="65"/>
      <c r="BM818" s="65"/>
      <c r="BN818" s="65"/>
      <c r="BO818" s="65"/>
      <c r="BP818" s="65"/>
      <c r="BQ818" s="65"/>
      <c r="BR818" s="65"/>
      <c r="BS818" s="65"/>
    </row>
    <row r="819" spans="45:71" x14ac:dyDescent="0.25">
      <c r="AS819" s="53"/>
      <c r="AV819" s="379"/>
      <c r="AW819" s="379"/>
      <c r="AX819" s="65"/>
      <c r="AY819" s="65"/>
      <c r="AZ819" s="65"/>
      <c r="BA819" s="60"/>
      <c r="BB819" s="65"/>
      <c r="BC819" s="65"/>
      <c r="BD819" s="65"/>
      <c r="BE819" s="60"/>
      <c r="BG819" s="65"/>
      <c r="BH819" s="65"/>
      <c r="BI819" s="65"/>
      <c r="BJ819" s="65"/>
      <c r="BK819" s="65"/>
      <c r="BL819" s="65"/>
      <c r="BM819" s="65"/>
      <c r="BN819" s="65"/>
      <c r="BO819" s="65"/>
      <c r="BP819" s="65"/>
      <c r="BQ819" s="65"/>
      <c r="BR819" s="65"/>
      <c r="BS819" s="65"/>
    </row>
    <row r="820" spans="45:71" x14ac:dyDescent="0.25">
      <c r="AS820" s="53"/>
      <c r="AV820" s="379"/>
      <c r="AW820" s="379"/>
      <c r="AX820" s="65"/>
      <c r="AY820" s="65"/>
      <c r="AZ820" s="65"/>
      <c r="BA820" s="60"/>
      <c r="BB820" s="65"/>
      <c r="BC820" s="65"/>
      <c r="BD820" s="65"/>
      <c r="BE820" s="60"/>
      <c r="BG820" s="65"/>
      <c r="BH820" s="65"/>
      <c r="BI820" s="65"/>
      <c r="BJ820" s="65"/>
      <c r="BK820" s="65"/>
      <c r="BL820" s="65"/>
      <c r="BM820" s="65"/>
      <c r="BN820" s="65"/>
      <c r="BO820" s="65"/>
      <c r="BP820" s="65"/>
      <c r="BQ820" s="65"/>
      <c r="BR820" s="65"/>
      <c r="BS820" s="65"/>
    </row>
    <row r="821" spans="45:71" x14ac:dyDescent="0.25">
      <c r="AS821" s="53"/>
      <c r="AV821" s="379"/>
      <c r="AW821" s="379"/>
      <c r="AX821" s="65"/>
      <c r="AY821" s="65"/>
      <c r="AZ821" s="65"/>
      <c r="BA821" s="60"/>
      <c r="BB821" s="65"/>
      <c r="BC821" s="65"/>
      <c r="BD821" s="65"/>
      <c r="BE821" s="60"/>
      <c r="BG821" s="65"/>
      <c r="BH821" s="65"/>
      <c r="BI821" s="65"/>
      <c r="BJ821" s="65"/>
      <c r="BK821" s="65"/>
      <c r="BL821" s="65"/>
      <c r="BM821" s="65"/>
      <c r="BN821" s="65"/>
      <c r="BO821" s="65"/>
      <c r="BP821" s="65"/>
      <c r="BQ821" s="65"/>
      <c r="BR821" s="65"/>
      <c r="BS821" s="65"/>
    </row>
    <row r="822" spans="45:71" x14ac:dyDescent="0.25">
      <c r="AS822" s="53"/>
      <c r="AV822" s="379"/>
      <c r="AW822" s="379"/>
      <c r="AX822" s="65"/>
      <c r="AY822" s="65"/>
      <c r="AZ822" s="65"/>
      <c r="BA822" s="60"/>
      <c r="BB822" s="65"/>
      <c r="BC822" s="65"/>
      <c r="BD822" s="65"/>
      <c r="BE822" s="60"/>
      <c r="BG822" s="65"/>
      <c r="BH822" s="65"/>
      <c r="BI822" s="65"/>
      <c r="BJ822" s="65"/>
      <c r="BK822" s="65"/>
      <c r="BL822" s="65"/>
      <c r="BM822" s="65"/>
      <c r="BN822" s="65"/>
      <c r="BO822" s="65"/>
      <c r="BP822" s="65"/>
      <c r="BQ822" s="65"/>
      <c r="BR822" s="65"/>
      <c r="BS822" s="65"/>
    </row>
    <row r="823" spans="45:71" x14ac:dyDescent="0.25">
      <c r="AS823" s="53"/>
      <c r="AV823" s="379"/>
      <c r="AW823" s="379"/>
      <c r="AX823" s="65"/>
      <c r="AY823" s="65"/>
      <c r="AZ823" s="65"/>
      <c r="BA823" s="60"/>
      <c r="BB823" s="65"/>
      <c r="BC823" s="65"/>
      <c r="BD823" s="65"/>
      <c r="BE823" s="60"/>
      <c r="BG823" s="65"/>
      <c r="BH823" s="65"/>
      <c r="BI823" s="65"/>
      <c r="BJ823" s="65"/>
      <c r="BK823" s="65"/>
      <c r="BL823" s="65"/>
      <c r="BM823" s="65"/>
      <c r="BN823" s="65"/>
      <c r="BO823" s="65"/>
      <c r="BP823" s="65"/>
      <c r="BQ823" s="65"/>
      <c r="BR823" s="65"/>
      <c r="BS823" s="65"/>
    </row>
    <row r="824" spans="45:71" x14ac:dyDescent="0.25">
      <c r="AS824" s="53"/>
      <c r="AV824" s="379"/>
      <c r="AW824" s="379"/>
      <c r="AX824" s="65"/>
      <c r="AY824" s="65"/>
      <c r="AZ824" s="65"/>
      <c r="BA824" s="60"/>
      <c r="BB824" s="65"/>
      <c r="BC824" s="65"/>
      <c r="BD824" s="65"/>
      <c r="BE824" s="60"/>
      <c r="BG824" s="65"/>
      <c r="BH824" s="65"/>
      <c r="BI824" s="65"/>
      <c r="BJ824" s="65"/>
      <c r="BK824" s="65"/>
      <c r="BL824" s="65"/>
      <c r="BM824" s="65"/>
      <c r="BN824" s="65"/>
      <c r="BO824" s="65"/>
      <c r="BP824" s="65"/>
      <c r="BQ824" s="65"/>
      <c r="BR824" s="65"/>
      <c r="BS824" s="65"/>
    </row>
    <row r="825" spans="45:71" x14ac:dyDescent="0.25">
      <c r="AS825" s="53"/>
      <c r="AV825" s="379"/>
      <c r="AW825" s="379"/>
      <c r="AX825" s="65"/>
      <c r="AY825" s="65"/>
      <c r="AZ825" s="65"/>
      <c r="BA825" s="60"/>
      <c r="BB825" s="65"/>
      <c r="BC825" s="65"/>
      <c r="BD825" s="65"/>
      <c r="BE825" s="60"/>
      <c r="BG825" s="65"/>
      <c r="BH825" s="65"/>
      <c r="BI825" s="65"/>
      <c r="BJ825" s="65"/>
      <c r="BK825" s="65"/>
      <c r="BL825" s="65"/>
      <c r="BM825" s="65"/>
      <c r="BN825" s="65"/>
      <c r="BO825" s="65"/>
      <c r="BP825" s="65"/>
      <c r="BQ825" s="65"/>
      <c r="BR825" s="65"/>
      <c r="BS825" s="65"/>
    </row>
    <row r="826" spans="45:71" x14ac:dyDescent="0.25">
      <c r="AZ826" s="65"/>
      <c r="BB826" s="65"/>
      <c r="BC826" s="65"/>
      <c r="BD826" s="65"/>
      <c r="BG826" s="65"/>
      <c r="BH826" s="65"/>
      <c r="BI826" s="65"/>
      <c r="BJ826" s="65"/>
      <c r="BK826" s="65"/>
      <c r="BL826" s="65"/>
      <c r="BM826" s="65"/>
      <c r="BN826" s="65"/>
      <c r="BO826" s="65"/>
      <c r="BP826" s="65"/>
      <c r="BQ826" s="65"/>
      <c r="BR826" s="65"/>
      <c r="BS826" s="65"/>
    </row>
    <row r="827" spans="45:71" x14ac:dyDescent="0.25">
      <c r="AS827" s="53"/>
      <c r="AT827" s="54"/>
      <c r="AV827" s="379"/>
      <c r="AW827" s="379"/>
      <c r="AX827" s="65"/>
      <c r="AY827" s="65"/>
      <c r="AZ827" s="65"/>
      <c r="BA827" s="60"/>
      <c r="BB827" s="65"/>
      <c r="BC827" s="65"/>
      <c r="BD827" s="65"/>
      <c r="BE827" s="60"/>
    </row>
    <row r="828" spans="45:71" x14ac:dyDescent="0.25">
      <c r="AS828" s="53"/>
      <c r="AV828" s="379"/>
      <c r="AW828" s="379"/>
      <c r="AX828" s="65"/>
      <c r="AY828" s="65"/>
      <c r="AZ828" s="65"/>
      <c r="BA828" s="60"/>
      <c r="BB828" s="65"/>
      <c r="BC828" s="65"/>
      <c r="BD828" s="65"/>
      <c r="BE828" s="60"/>
    </row>
    <row r="829" spans="45:71" x14ac:dyDescent="0.25">
      <c r="AS829" s="53"/>
      <c r="AV829" s="379"/>
      <c r="AW829" s="379"/>
      <c r="AX829" s="65"/>
      <c r="AY829" s="65"/>
      <c r="AZ829" s="65"/>
      <c r="BA829" s="60"/>
      <c r="BB829" s="65"/>
      <c r="BC829" s="65"/>
      <c r="BD829" s="65"/>
      <c r="BE829" s="60"/>
    </row>
    <row r="830" spans="45:71" x14ac:dyDescent="0.25">
      <c r="AS830" s="53"/>
      <c r="AV830" s="379"/>
      <c r="AW830" s="379"/>
      <c r="AX830" s="65"/>
      <c r="AY830" s="65"/>
      <c r="AZ830" s="65"/>
      <c r="BA830" s="60"/>
      <c r="BB830" s="65"/>
      <c r="BC830" s="65"/>
      <c r="BD830" s="65"/>
      <c r="BE830" s="60"/>
    </row>
    <row r="831" spans="45:71" x14ac:dyDescent="0.25">
      <c r="AS831" s="53"/>
      <c r="AV831" s="379"/>
      <c r="AW831" s="379"/>
      <c r="AX831" s="65"/>
      <c r="AY831" s="65"/>
      <c r="AZ831" s="65"/>
      <c r="BA831" s="60"/>
      <c r="BB831" s="65"/>
      <c r="BC831" s="65"/>
      <c r="BD831" s="65"/>
      <c r="BE831" s="60"/>
    </row>
    <row r="832" spans="45:71" x14ac:dyDescent="0.25">
      <c r="AS832" s="53"/>
      <c r="AV832" s="379"/>
      <c r="AW832" s="379"/>
      <c r="AX832" s="65"/>
      <c r="AY832" s="65"/>
      <c r="AZ832" s="65"/>
      <c r="BA832" s="60"/>
      <c r="BB832" s="65"/>
      <c r="BC832" s="65"/>
      <c r="BD832" s="65"/>
      <c r="BE832" s="60"/>
    </row>
    <row r="833" spans="45:57" x14ac:dyDescent="0.25">
      <c r="AS833" s="53"/>
      <c r="AV833" s="379"/>
      <c r="AW833" s="379"/>
      <c r="AX833" s="65"/>
      <c r="AY833" s="65"/>
      <c r="AZ833" s="65"/>
      <c r="BA833" s="60"/>
      <c r="BB833" s="65"/>
      <c r="BC833" s="65"/>
      <c r="BD833" s="65"/>
      <c r="BE833" s="60"/>
    </row>
    <row r="834" spans="45:57" x14ac:dyDescent="0.25">
      <c r="AS834" s="53"/>
      <c r="AV834" s="379"/>
      <c r="AW834" s="379"/>
      <c r="AX834" s="65"/>
      <c r="AY834" s="65"/>
      <c r="AZ834" s="65"/>
      <c r="BA834" s="60"/>
      <c r="BB834" s="65"/>
      <c r="BC834" s="65"/>
      <c r="BD834" s="65"/>
      <c r="BE834" s="60"/>
    </row>
    <row r="835" spans="45:57" x14ac:dyDescent="0.25">
      <c r="AS835" s="53"/>
      <c r="AV835" s="379"/>
      <c r="AW835" s="379"/>
      <c r="AX835" s="65"/>
      <c r="AY835" s="65"/>
      <c r="AZ835" s="65"/>
      <c r="BA835" s="60"/>
      <c r="BB835" s="65"/>
      <c r="BC835" s="65"/>
      <c r="BD835" s="65"/>
      <c r="BE835" s="60"/>
    </row>
    <row r="836" spans="45:57" x14ac:dyDescent="0.25">
      <c r="AS836" s="53"/>
      <c r="AV836" s="379"/>
      <c r="AW836" s="379"/>
      <c r="AX836" s="65"/>
      <c r="AY836" s="65"/>
      <c r="AZ836" s="65"/>
      <c r="BA836" s="60"/>
      <c r="BB836" s="65"/>
      <c r="BC836" s="65"/>
      <c r="BD836" s="65"/>
      <c r="BE836" s="60"/>
    </row>
    <row r="837" spans="45:57" x14ac:dyDescent="0.25">
      <c r="AS837" s="53"/>
      <c r="AV837" s="379"/>
      <c r="AW837" s="379"/>
      <c r="AX837" s="65"/>
      <c r="AY837" s="65"/>
      <c r="AZ837" s="65"/>
      <c r="BA837" s="60"/>
      <c r="BB837" s="65"/>
      <c r="BC837" s="65"/>
      <c r="BD837" s="65"/>
      <c r="BE837" s="60"/>
    </row>
    <row r="838" spans="45:57" x14ac:dyDescent="0.25">
      <c r="AS838" s="53"/>
      <c r="AV838" s="379"/>
      <c r="AW838" s="379"/>
      <c r="AX838" s="65"/>
      <c r="AY838" s="65"/>
      <c r="AZ838" s="65"/>
      <c r="BA838" s="60"/>
      <c r="BB838" s="65"/>
      <c r="BC838" s="65"/>
      <c r="BD838" s="65"/>
      <c r="BE838" s="60"/>
    </row>
    <row r="839" spans="45:57" x14ac:dyDescent="0.25">
      <c r="AS839" s="53"/>
      <c r="AV839" s="379"/>
      <c r="AW839" s="379"/>
      <c r="AX839" s="65"/>
      <c r="AY839" s="65"/>
      <c r="AZ839" s="65"/>
      <c r="BA839" s="60"/>
      <c r="BB839" s="65"/>
      <c r="BC839" s="65"/>
      <c r="BD839" s="65"/>
      <c r="BE839" s="60"/>
    </row>
    <row r="840" spans="45:57" x14ac:dyDescent="0.25">
      <c r="AS840" s="53"/>
      <c r="AV840" s="379"/>
      <c r="AW840" s="379"/>
      <c r="AX840" s="65"/>
      <c r="AY840" s="65"/>
      <c r="AZ840" s="65"/>
      <c r="BA840" s="60"/>
      <c r="BB840" s="65"/>
      <c r="BC840" s="65"/>
      <c r="BD840" s="65"/>
      <c r="BE840" s="60"/>
    </row>
    <row r="841" spans="45:57" x14ac:dyDescent="0.25">
      <c r="AS841" s="53"/>
      <c r="AV841" s="379"/>
      <c r="AW841" s="379"/>
      <c r="AX841" s="65"/>
      <c r="AY841" s="65"/>
      <c r="AZ841" s="65"/>
      <c r="BA841" s="60"/>
      <c r="BB841" s="65"/>
      <c r="BC841" s="65"/>
      <c r="BD841" s="65"/>
      <c r="BE841" s="60"/>
    </row>
    <row r="842" spans="45:57" x14ac:dyDescent="0.25">
      <c r="AS842" s="53"/>
      <c r="AV842" s="379"/>
      <c r="AW842" s="379"/>
      <c r="AX842" s="65"/>
      <c r="AY842" s="65"/>
      <c r="AZ842" s="65"/>
      <c r="BA842" s="60"/>
      <c r="BB842" s="65"/>
      <c r="BC842" s="65"/>
      <c r="BD842" s="65"/>
      <c r="BE842" s="60"/>
    </row>
    <row r="843" spans="45:57" x14ac:dyDescent="0.25">
      <c r="AS843" s="53"/>
      <c r="AV843" s="379"/>
      <c r="AW843" s="379"/>
      <c r="AX843" s="65"/>
      <c r="AY843" s="65"/>
      <c r="AZ843" s="65"/>
      <c r="BA843" s="60"/>
      <c r="BB843" s="65"/>
      <c r="BC843" s="65"/>
      <c r="BD843" s="65"/>
      <c r="BE843" s="60"/>
    </row>
    <row r="844" spans="45:57" x14ac:dyDescent="0.25">
      <c r="AS844" s="53"/>
      <c r="AV844" s="379"/>
      <c r="AW844" s="379"/>
      <c r="AX844" s="65"/>
      <c r="AY844" s="65"/>
      <c r="AZ844" s="65"/>
      <c r="BA844" s="60"/>
      <c r="BB844" s="65"/>
      <c r="BC844" s="65"/>
      <c r="BD844" s="65"/>
      <c r="BE844" s="60"/>
    </row>
    <row r="845" spans="45:57" x14ac:dyDescent="0.25">
      <c r="BB845" s="65"/>
    </row>
    <row r="846" spans="45:57" x14ac:dyDescent="0.25">
      <c r="AU846" s="54"/>
      <c r="BB846" s="65"/>
    </row>
    <row r="847" spans="45:57" x14ac:dyDescent="0.25">
      <c r="AU847" s="54"/>
    </row>
    <row r="848" spans="45:57" x14ac:dyDescent="0.25">
      <c r="AU848" s="54"/>
      <c r="BB848" s="65"/>
    </row>
    <row r="849" spans="45:57" x14ac:dyDescent="0.25">
      <c r="AS849" s="54"/>
      <c r="AZ849" s="65"/>
      <c r="BB849" s="65"/>
    </row>
    <row r="850" spans="45:57" x14ac:dyDescent="0.25">
      <c r="AY850" s="53"/>
      <c r="AZ850" s="65"/>
      <c r="BB850" s="65"/>
    </row>
    <row r="851" spans="45:57" x14ac:dyDescent="0.25">
      <c r="AY851" s="65"/>
      <c r="AZ851" s="65"/>
      <c r="BB851" s="65"/>
    </row>
    <row r="852" spans="45:57" x14ac:dyDescent="0.25">
      <c r="AY852" s="54"/>
      <c r="AZ852" s="65"/>
      <c r="BB852" s="65"/>
    </row>
    <row r="853" spans="45:57" x14ac:dyDescent="0.25">
      <c r="AY853" s="54"/>
      <c r="AZ853" s="65"/>
      <c r="BB853" s="65"/>
    </row>
    <row r="854" spans="45:57" x14ac:dyDescent="0.25">
      <c r="AS854" s="53"/>
      <c r="AZ854" s="65"/>
      <c r="BB854" s="65"/>
      <c r="BD854" s="54"/>
    </row>
    <row r="855" spans="45:57" x14ac:dyDescent="0.25">
      <c r="AS855" s="53"/>
      <c r="AZ855" s="65"/>
      <c r="BB855" s="65"/>
      <c r="BD855" s="54"/>
    </row>
    <row r="856" spans="45:57" x14ac:dyDescent="0.25">
      <c r="AS856" s="54"/>
      <c r="AZ856" s="65"/>
      <c r="BB856" s="65"/>
      <c r="BD856" s="54"/>
    </row>
    <row r="857" spans="45:57" x14ac:dyDescent="0.25">
      <c r="AZ857" s="65"/>
      <c r="BB857" s="65"/>
      <c r="BD857" s="53"/>
    </row>
    <row r="858" spans="45:57" x14ac:dyDescent="0.25">
      <c r="AS858" s="55"/>
      <c r="AT858" s="55"/>
      <c r="AU858" s="55"/>
      <c r="AV858" s="55"/>
      <c r="AW858" s="55"/>
      <c r="AX858" s="55"/>
      <c r="AY858" s="55"/>
      <c r="AZ858" s="66"/>
      <c r="BA858" s="55"/>
      <c r="BB858" s="66"/>
      <c r="BC858" s="55"/>
      <c r="BD858" s="55"/>
      <c r="BE858" s="55"/>
    </row>
    <row r="859" spans="45:57" x14ac:dyDescent="0.25">
      <c r="AX859" s="54"/>
      <c r="AZ859" s="65"/>
      <c r="BB859" s="65"/>
    </row>
    <row r="860" spans="45:57" x14ac:dyDescent="0.25">
      <c r="AX860" s="55"/>
      <c r="AY860" s="55"/>
      <c r="AZ860" s="66"/>
      <c r="BA860" s="55"/>
      <c r="BB860" s="65"/>
      <c r="BC860" s="56"/>
      <c r="BD860" s="56"/>
    </row>
    <row r="861" spans="45:57" x14ac:dyDescent="0.25">
      <c r="AV861" s="56"/>
      <c r="AW861" s="56"/>
      <c r="AZ861" s="67"/>
      <c r="BA861" s="56"/>
      <c r="BB861" s="65"/>
      <c r="BC861" s="56"/>
      <c r="BD861" s="56"/>
      <c r="BE861" s="56"/>
    </row>
    <row r="862" spans="45:57" x14ac:dyDescent="0.25">
      <c r="AV862" s="56"/>
      <c r="AW862" s="56"/>
      <c r="AX862" s="56"/>
      <c r="AY862" s="56"/>
      <c r="AZ862" s="67"/>
      <c r="BA862" s="56"/>
      <c r="BB862" s="67"/>
      <c r="BC862" s="56"/>
      <c r="BD862" s="56"/>
      <c r="BE862" s="56"/>
    </row>
    <row r="863" spans="45:57" x14ac:dyDescent="0.25">
      <c r="AS863" s="56"/>
      <c r="AU863" s="54"/>
      <c r="AV863" s="56"/>
      <c r="AW863" s="56"/>
      <c r="AX863" s="56"/>
      <c r="AY863" s="56"/>
      <c r="AZ863" s="67"/>
      <c r="BA863" s="56"/>
      <c r="BB863" s="67"/>
      <c r="BC863" s="56"/>
      <c r="BD863" s="56"/>
      <c r="BE863" s="56"/>
    </row>
    <row r="864" spans="45:57" x14ac:dyDescent="0.25">
      <c r="AS864" s="56"/>
      <c r="AU864" s="54"/>
      <c r="AV864" s="56"/>
      <c r="AW864" s="56"/>
      <c r="AX864" s="56"/>
      <c r="AY864" s="56"/>
      <c r="AZ864" s="67"/>
      <c r="BA864" s="56"/>
      <c r="BB864" s="67"/>
      <c r="BC864" s="56"/>
      <c r="BD864" s="56"/>
      <c r="BE864" s="56"/>
    </row>
    <row r="865" spans="45:57" x14ac:dyDescent="0.25">
      <c r="AS865" s="55"/>
      <c r="AT865" s="55"/>
      <c r="AU865" s="55"/>
      <c r="AV865" s="55"/>
      <c r="AW865" s="55"/>
      <c r="AX865" s="55"/>
      <c r="AY865" s="55"/>
      <c r="AZ865" s="66"/>
      <c r="BA865" s="55"/>
      <c r="BB865" s="66"/>
      <c r="BC865" s="55"/>
      <c r="BD865" s="55"/>
      <c r="BE865" s="55"/>
    </row>
    <row r="866" spans="45:57" x14ac:dyDescent="0.25">
      <c r="AV866" s="56"/>
      <c r="AW866" s="56"/>
      <c r="AX866" s="56"/>
      <c r="AY866" s="56"/>
      <c r="AZ866" s="67"/>
      <c r="BA866" s="56"/>
      <c r="BB866" s="67"/>
      <c r="BC866" s="56"/>
      <c r="BD866" s="56"/>
      <c r="BE866" s="56"/>
    </row>
    <row r="867" spans="45:57" x14ac:dyDescent="0.25">
      <c r="AS867" s="53"/>
      <c r="AT867" s="54"/>
      <c r="AV867" s="379"/>
      <c r="AW867" s="379"/>
      <c r="AX867" s="65"/>
      <c r="AY867" s="65"/>
      <c r="AZ867" s="65"/>
      <c r="BA867" s="60"/>
      <c r="BB867" s="65"/>
      <c r="BC867" s="65"/>
      <c r="BD867" s="65"/>
      <c r="BE867" s="60"/>
    </row>
    <row r="868" spans="45:57" x14ac:dyDescent="0.25">
      <c r="AS868" s="53"/>
      <c r="AV868" s="379"/>
      <c r="AW868" s="379"/>
      <c r="AX868" s="65"/>
      <c r="AY868" s="65"/>
      <c r="AZ868" s="65"/>
      <c r="BA868" s="60"/>
      <c r="BB868" s="65"/>
      <c r="BC868" s="65"/>
      <c r="BD868" s="65"/>
      <c r="BE868" s="60"/>
    </row>
    <row r="869" spans="45:57" x14ac:dyDescent="0.25">
      <c r="AS869" s="53"/>
      <c r="AV869" s="379"/>
      <c r="AW869" s="379"/>
      <c r="AX869" s="65"/>
      <c r="AY869" s="65"/>
      <c r="AZ869" s="65"/>
      <c r="BA869" s="60"/>
      <c r="BB869" s="65"/>
      <c r="BC869" s="65"/>
      <c r="BD869" s="65"/>
      <c r="BE869" s="60"/>
    </row>
    <row r="870" spans="45:57" x14ac:dyDescent="0.25">
      <c r="AS870" s="53"/>
      <c r="AV870" s="379"/>
      <c r="AW870" s="379"/>
      <c r="AX870" s="65"/>
      <c r="AY870" s="65"/>
      <c r="AZ870" s="65"/>
      <c r="BA870" s="60"/>
      <c r="BB870" s="65"/>
      <c r="BC870" s="65"/>
      <c r="BD870" s="65"/>
      <c r="BE870" s="60"/>
    </row>
    <row r="871" spans="45:57" x14ac:dyDescent="0.25">
      <c r="AS871" s="53"/>
      <c r="AV871" s="379"/>
      <c r="AW871" s="379"/>
      <c r="AX871" s="65"/>
      <c r="AY871" s="65"/>
      <c r="AZ871" s="65"/>
      <c r="BA871" s="60"/>
      <c r="BB871" s="65"/>
      <c r="BC871" s="65"/>
      <c r="BD871" s="65"/>
      <c r="BE871" s="60"/>
    </row>
    <row r="872" spans="45:57" x14ac:dyDescent="0.25">
      <c r="AS872" s="53"/>
      <c r="AV872" s="379"/>
      <c r="AW872" s="379"/>
      <c r="AX872" s="65"/>
      <c r="AY872" s="65"/>
      <c r="AZ872" s="65"/>
      <c r="BA872" s="60"/>
      <c r="BB872" s="65"/>
      <c r="BC872" s="65"/>
      <c r="BD872" s="65"/>
      <c r="BE872" s="60"/>
    </row>
    <row r="873" spans="45:57" x14ac:dyDescent="0.25">
      <c r="AS873" s="53"/>
      <c r="AV873" s="379"/>
      <c r="AW873" s="379"/>
      <c r="AX873" s="65"/>
      <c r="AY873" s="65"/>
      <c r="AZ873" s="65"/>
      <c r="BA873" s="60"/>
      <c r="BB873" s="65"/>
      <c r="BC873" s="65"/>
      <c r="BD873" s="65"/>
      <c r="BE873" s="60"/>
    </row>
    <row r="874" spans="45:57" x14ac:dyDescent="0.25">
      <c r="AS874" s="53"/>
      <c r="AV874" s="379"/>
      <c r="AW874" s="379"/>
      <c r="AX874" s="65"/>
      <c r="AY874" s="65"/>
      <c r="AZ874" s="65"/>
      <c r="BA874" s="60"/>
      <c r="BB874" s="65"/>
      <c r="BC874" s="65"/>
      <c r="BD874" s="65"/>
      <c r="BE874" s="60"/>
    </row>
    <row r="875" spans="45:57" x14ac:dyDescent="0.25">
      <c r="AS875" s="53"/>
      <c r="AV875" s="379"/>
      <c r="AW875" s="379"/>
      <c r="AX875" s="65"/>
      <c r="AY875" s="65"/>
      <c r="AZ875" s="65"/>
      <c r="BA875" s="60"/>
      <c r="BB875" s="65"/>
      <c r="BC875" s="65"/>
      <c r="BD875" s="65"/>
      <c r="BE875" s="60"/>
    </row>
    <row r="876" spans="45:57" x14ac:dyDescent="0.25">
      <c r="AS876" s="53"/>
      <c r="AV876" s="379"/>
      <c r="AW876" s="379"/>
      <c r="AX876" s="65"/>
      <c r="AY876" s="65"/>
      <c r="AZ876" s="65"/>
      <c r="BA876" s="60"/>
      <c r="BB876" s="65"/>
      <c r="BC876" s="65"/>
      <c r="BD876" s="65"/>
      <c r="BE876" s="60"/>
    </row>
    <row r="877" spans="45:57" x14ac:dyDescent="0.25">
      <c r="AV877" s="379"/>
      <c r="AW877" s="379"/>
      <c r="BB877" s="65"/>
    </row>
    <row r="878" spans="45:57" x14ac:dyDescent="0.25">
      <c r="AS878" s="53"/>
      <c r="AT878" s="54"/>
      <c r="AV878" s="379"/>
      <c r="AW878" s="379"/>
      <c r="AX878" s="65"/>
      <c r="AY878" s="65"/>
      <c r="AZ878" s="65"/>
      <c r="BA878" s="60"/>
      <c r="BB878" s="65"/>
      <c r="BC878" s="65"/>
      <c r="BD878" s="65"/>
      <c r="BE878" s="60"/>
    </row>
    <row r="879" spans="45:57" x14ac:dyDescent="0.25">
      <c r="AS879" s="53"/>
      <c r="AV879" s="379"/>
      <c r="AW879" s="379"/>
      <c r="AX879" s="65"/>
      <c r="AY879" s="65"/>
      <c r="AZ879" s="65"/>
      <c r="BA879" s="60"/>
      <c r="BB879" s="65"/>
      <c r="BC879" s="65"/>
      <c r="BD879" s="65"/>
      <c r="BE879" s="60"/>
    </row>
    <row r="880" spans="45:57" x14ac:dyDescent="0.25">
      <c r="AS880" s="53"/>
      <c r="AV880" s="379"/>
      <c r="AW880" s="379"/>
      <c r="AX880" s="65"/>
      <c r="AY880" s="65"/>
      <c r="AZ880" s="65"/>
      <c r="BA880" s="60"/>
      <c r="BB880" s="65"/>
      <c r="BC880" s="65"/>
      <c r="BD880" s="65"/>
      <c r="BE880" s="60"/>
    </row>
    <row r="881" spans="45:57" x14ac:dyDescent="0.25">
      <c r="AS881" s="53"/>
      <c r="AV881" s="379"/>
      <c r="AW881" s="379"/>
      <c r="AX881" s="65"/>
      <c r="AY881" s="65"/>
      <c r="AZ881" s="65"/>
      <c r="BA881" s="60"/>
      <c r="BB881" s="65"/>
      <c r="BC881" s="65"/>
      <c r="BD881" s="65"/>
      <c r="BE881" s="60"/>
    </row>
    <row r="882" spans="45:57" x14ac:dyDescent="0.25">
      <c r="AS882" s="53"/>
      <c r="AV882" s="379"/>
      <c r="AW882" s="379"/>
      <c r="AX882" s="65"/>
      <c r="AY882" s="65"/>
      <c r="AZ882" s="65"/>
      <c r="BA882" s="60"/>
      <c r="BB882" s="65"/>
      <c r="BC882" s="65"/>
      <c r="BD882" s="65"/>
      <c r="BE882" s="60"/>
    </row>
    <row r="883" spans="45:57" x14ac:dyDescent="0.25">
      <c r="AS883" s="53"/>
      <c r="AV883" s="379"/>
      <c r="AW883" s="379"/>
      <c r="AX883" s="65"/>
      <c r="AY883" s="65"/>
      <c r="AZ883" s="65"/>
      <c r="BA883" s="60"/>
      <c r="BB883" s="65"/>
      <c r="BC883" s="65"/>
      <c r="BD883" s="65"/>
      <c r="BE883" s="60"/>
    </row>
    <row r="884" spans="45:57" x14ac:dyDescent="0.25">
      <c r="AS884" s="53"/>
      <c r="AV884" s="379"/>
      <c r="AW884" s="379"/>
      <c r="AX884" s="65"/>
      <c r="AY884" s="65"/>
      <c r="AZ884" s="65"/>
      <c r="BA884" s="60"/>
      <c r="BB884" s="65"/>
      <c r="BC884" s="65"/>
      <c r="BD884" s="65"/>
      <c r="BE884" s="60"/>
    </row>
    <row r="885" spans="45:57" x14ac:dyDescent="0.25">
      <c r="AS885" s="53"/>
      <c r="AV885" s="379"/>
      <c r="AW885" s="379"/>
      <c r="AX885" s="65"/>
      <c r="AY885" s="65"/>
      <c r="AZ885" s="65"/>
      <c r="BA885" s="60"/>
      <c r="BB885" s="65"/>
      <c r="BC885" s="65"/>
      <c r="BD885" s="65"/>
      <c r="BE885" s="60"/>
    </row>
    <row r="886" spans="45:57" x14ac:dyDescent="0.25">
      <c r="AS886" s="53"/>
      <c r="AV886" s="379"/>
      <c r="AW886" s="379"/>
      <c r="AX886" s="65"/>
      <c r="AY886" s="65"/>
      <c r="AZ886" s="65"/>
      <c r="BA886" s="60"/>
      <c r="BB886" s="65"/>
      <c r="BC886" s="65"/>
      <c r="BD886" s="65"/>
      <c r="BE886" s="60"/>
    </row>
    <row r="887" spans="45:57" x14ac:dyDescent="0.25">
      <c r="AS887" s="53"/>
      <c r="AV887" s="379"/>
      <c r="AW887" s="379"/>
      <c r="AX887" s="65"/>
      <c r="AY887" s="65"/>
      <c r="AZ887" s="65"/>
      <c r="BA887" s="60"/>
      <c r="BB887" s="65"/>
      <c r="BC887" s="65"/>
      <c r="BD887" s="65"/>
      <c r="BE887" s="60"/>
    </row>
    <row r="889" spans="45:57" x14ac:dyDescent="0.25">
      <c r="AU889" s="54"/>
    </row>
    <row r="890" spans="45:57" x14ac:dyDescent="0.25">
      <c r="AU890" s="54"/>
    </row>
    <row r="891" spans="45:57" x14ac:dyDescent="0.25">
      <c r="AU891" s="54"/>
    </row>
    <row r="892" spans="45:57" x14ac:dyDescent="0.25">
      <c r="AS892" s="54"/>
    </row>
    <row r="913" spans="52:71" x14ac:dyDescent="0.25">
      <c r="AZ913" s="65"/>
      <c r="BB913" s="65"/>
      <c r="BC913" s="65"/>
      <c r="BD913" s="65"/>
      <c r="BG913" s="65"/>
      <c r="BH913" s="65"/>
      <c r="BI913" s="65"/>
      <c r="BJ913" s="65"/>
      <c r="BK913" s="65"/>
      <c r="BL913" s="65"/>
      <c r="BM913" s="65"/>
      <c r="BN913" s="65"/>
      <c r="BO913" s="65"/>
      <c r="BP913" s="65"/>
      <c r="BQ913" s="65"/>
      <c r="BR913" s="65"/>
      <c r="BS913" s="65"/>
    </row>
    <row r="914" spans="52:71" x14ac:dyDescent="0.25">
      <c r="AZ914" s="65"/>
      <c r="BB914" s="65"/>
      <c r="BC914" s="65"/>
      <c r="BD914" s="65"/>
      <c r="BG914" s="65"/>
      <c r="BH914" s="65"/>
      <c r="BI914" s="65"/>
      <c r="BJ914" s="65"/>
      <c r="BK914" s="65"/>
      <c r="BL914" s="65"/>
      <c r="BM914" s="65"/>
      <c r="BN914" s="65"/>
      <c r="BO914" s="65"/>
      <c r="BP914" s="65"/>
      <c r="BQ914" s="65"/>
      <c r="BR914" s="65"/>
      <c r="BS914" s="65"/>
    </row>
    <row r="915" spans="52:71" x14ac:dyDescent="0.25">
      <c r="AZ915" s="65"/>
      <c r="BB915" s="65"/>
      <c r="BC915" s="65"/>
      <c r="BD915" s="65"/>
      <c r="BG915" s="65"/>
      <c r="BH915" s="65"/>
      <c r="BI915" s="65"/>
      <c r="BJ915" s="65"/>
      <c r="BK915" s="65"/>
      <c r="BL915" s="65"/>
      <c r="BM915" s="65"/>
      <c r="BN915" s="65"/>
      <c r="BO915" s="65"/>
      <c r="BP915" s="65"/>
      <c r="BQ915" s="65"/>
      <c r="BR915" s="65"/>
      <c r="BS915" s="65"/>
    </row>
    <row r="916" spans="52:71" x14ac:dyDescent="0.25">
      <c r="AZ916" s="65"/>
      <c r="BB916" s="65"/>
      <c r="BC916" s="65"/>
      <c r="BD916" s="65"/>
      <c r="BG916" s="65"/>
      <c r="BH916" s="65"/>
      <c r="BI916" s="65"/>
      <c r="BJ916" s="65"/>
      <c r="BK916" s="65"/>
      <c r="BL916" s="65"/>
      <c r="BM916" s="65"/>
      <c r="BN916" s="65"/>
      <c r="BO916" s="65"/>
      <c r="BP916" s="65"/>
      <c r="BQ916" s="65"/>
      <c r="BR916" s="65"/>
      <c r="BS916" s="65"/>
    </row>
    <row r="917" spans="52:71" x14ac:dyDescent="0.25">
      <c r="AZ917" s="65"/>
      <c r="BB917" s="65"/>
      <c r="BC917" s="65"/>
      <c r="BD917" s="65"/>
      <c r="BG917" s="65"/>
      <c r="BH917" s="65"/>
      <c r="BI917" s="65"/>
      <c r="BJ917" s="65"/>
      <c r="BK917" s="65"/>
      <c r="BL917" s="65"/>
      <c r="BM917" s="65"/>
      <c r="BN917" s="65"/>
      <c r="BO917" s="65"/>
      <c r="BP917" s="65"/>
      <c r="BQ917" s="65"/>
      <c r="BR917" s="65"/>
      <c r="BS917" s="65"/>
    </row>
    <row r="918" spans="52:71" x14ac:dyDescent="0.25">
      <c r="AZ918" s="65"/>
      <c r="BB918" s="65"/>
      <c r="BC918" s="65"/>
      <c r="BD918" s="65"/>
      <c r="BG918" s="65"/>
      <c r="BH918" s="65"/>
      <c r="BI918" s="65"/>
      <c r="BJ918" s="65"/>
      <c r="BK918" s="65"/>
      <c r="BL918" s="65"/>
      <c r="BM918" s="65"/>
      <c r="BN918" s="65"/>
      <c r="BO918" s="65"/>
      <c r="BP918" s="65"/>
      <c r="BQ918" s="65"/>
      <c r="BR918" s="65"/>
      <c r="BS918" s="65"/>
    </row>
    <row r="919" spans="52:71" x14ac:dyDescent="0.25">
      <c r="AZ919" s="65"/>
      <c r="BB919" s="65"/>
      <c r="BC919" s="65"/>
      <c r="BD919" s="65"/>
      <c r="BG919" s="65"/>
      <c r="BH919" s="65"/>
      <c r="BI919" s="65"/>
      <c r="BJ919" s="65"/>
      <c r="BK919" s="65"/>
      <c r="BL919" s="65"/>
      <c r="BM919" s="65"/>
      <c r="BN919" s="65"/>
      <c r="BO919" s="65"/>
      <c r="BP919" s="65"/>
      <c r="BQ919" s="65"/>
      <c r="BR919" s="65"/>
      <c r="BS919" s="65"/>
    </row>
    <row r="920" spans="52:71" x14ac:dyDescent="0.25">
      <c r="AZ920" s="65"/>
      <c r="BB920" s="65"/>
      <c r="BC920" s="65"/>
      <c r="BD920" s="65"/>
      <c r="BG920" s="65"/>
      <c r="BH920" s="65"/>
      <c r="BI920" s="65"/>
      <c r="BJ920" s="65"/>
      <c r="BK920" s="65"/>
      <c r="BL920" s="65"/>
      <c r="BM920" s="65"/>
      <c r="BN920" s="65"/>
      <c r="BO920" s="65"/>
      <c r="BP920" s="65"/>
      <c r="BQ920" s="65"/>
      <c r="BR920" s="65"/>
      <c r="BS920" s="65"/>
    </row>
    <row r="921" spans="52:71" x14ac:dyDescent="0.25">
      <c r="AZ921" s="65"/>
      <c r="BB921" s="65"/>
      <c r="BC921" s="65"/>
      <c r="BD921" s="65"/>
      <c r="BG921" s="65"/>
      <c r="BH921" s="65"/>
      <c r="BI921" s="65"/>
      <c r="BJ921" s="65"/>
      <c r="BK921" s="65"/>
      <c r="BL921" s="65"/>
      <c r="BM921" s="65"/>
      <c r="BN921" s="65"/>
      <c r="BO921" s="65"/>
      <c r="BP921" s="65"/>
      <c r="BQ921" s="65"/>
      <c r="BR921" s="65"/>
      <c r="BS921" s="65"/>
    </row>
    <row r="922" spans="52:71" x14ac:dyDescent="0.25">
      <c r="AZ922" s="65"/>
      <c r="BB922" s="65"/>
      <c r="BC922" s="65"/>
      <c r="BD922" s="65"/>
      <c r="BG922" s="65"/>
      <c r="BH922" s="65"/>
      <c r="BI922" s="65"/>
      <c r="BJ922" s="65"/>
      <c r="BK922" s="65"/>
      <c r="BL922" s="65"/>
      <c r="BM922" s="65"/>
      <c r="BN922" s="65"/>
      <c r="BO922" s="65"/>
      <c r="BP922" s="65"/>
      <c r="BQ922" s="65"/>
      <c r="BR922" s="65"/>
      <c r="BS922" s="65"/>
    </row>
    <row r="923" spans="52:71" x14ac:dyDescent="0.25">
      <c r="AZ923" s="65"/>
      <c r="BB923" s="65"/>
      <c r="BC923" s="65"/>
      <c r="BD923" s="65"/>
      <c r="BG923" s="65"/>
      <c r="BH923" s="65"/>
      <c r="BI923" s="65"/>
      <c r="BJ923" s="65"/>
      <c r="BK923" s="65"/>
      <c r="BL923" s="65"/>
      <c r="BM923" s="65"/>
      <c r="BN923" s="65"/>
      <c r="BO923" s="65"/>
      <c r="BP923" s="65"/>
      <c r="BQ923" s="65"/>
      <c r="BR923" s="65"/>
      <c r="BS923" s="65"/>
    </row>
    <row r="924" spans="52:71" x14ac:dyDescent="0.25">
      <c r="AZ924" s="65"/>
      <c r="BB924" s="65"/>
      <c r="BC924" s="65"/>
      <c r="BD924" s="65"/>
      <c r="BG924" s="65"/>
      <c r="BH924" s="65"/>
      <c r="BI924" s="65"/>
      <c r="BJ924" s="65"/>
      <c r="BK924" s="65"/>
      <c r="BL924" s="65"/>
      <c r="BM924" s="65"/>
      <c r="BN924" s="65"/>
      <c r="BO924" s="65"/>
      <c r="BP924" s="65"/>
      <c r="BQ924" s="65"/>
      <c r="BR924" s="65"/>
      <c r="BS924" s="65"/>
    </row>
    <row r="925" spans="52:71" x14ac:dyDescent="0.25">
      <c r="AZ925" s="65"/>
      <c r="BG925" s="65"/>
      <c r="BH925" s="65"/>
      <c r="BI925" s="65"/>
      <c r="BJ925" s="65"/>
      <c r="BK925" s="65"/>
      <c r="BL925" s="65"/>
      <c r="BM925" s="65"/>
      <c r="BN925" s="65"/>
      <c r="BO925" s="65"/>
      <c r="BP925" s="65"/>
      <c r="BQ925" s="65"/>
      <c r="BR925" s="65"/>
      <c r="BS925" s="65"/>
    </row>
    <row r="926" spans="52:71" x14ac:dyDescent="0.25">
      <c r="AZ926" s="65"/>
      <c r="BG926" s="65"/>
      <c r="BH926" s="65"/>
      <c r="BI926" s="65"/>
      <c r="BJ926" s="65"/>
      <c r="BK926" s="65"/>
      <c r="BL926" s="65"/>
      <c r="BM926" s="65"/>
      <c r="BN926" s="65"/>
      <c r="BO926" s="65"/>
      <c r="BP926" s="65"/>
      <c r="BQ926" s="65"/>
      <c r="BR926" s="65"/>
      <c r="BS926" s="65"/>
    </row>
    <row r="927" spans="52:71" x14ac:dyDescent="0.25">
      <c r="AZ927" s="65"/>
      <c r="BG927" s="65"/>
      <c r="BH927" s="65"/>
      <c r="BI927" s="65"/>
      <c r="BJ927" s="65"/>
      <c r="BK927" s="65"/>
      <c r="BL927" s="65"/>
      <c r="BM927" s="65"/>
      <c r="BN927" s="65"/>
      <c r="BO927" s="65"/>
      <c r="BP927" s="65"/>
      <c r="BQ927" s="65"/>
      <c r="BR927" s="65"/>
      <c r="BS927" s="65"/>
    </row>
    <row r="928" spans="52:71" x14ac:dyDescent="0.25">
      <c r="AZ928" s="65"/>
      <c r="BG928" s="65"/>
      <c r="BH928" s="65"/>
      <c r="BI928" s="65"/>
      <c r="BJ928" s="65"/>
      <c r="BK928" s="65"/>
      <c r="BL928" s="65"/>
      <c r="BM928" s="65"/>
      <c r="BN928" s="65"/>
      <c r="BO928" s="65"/>
      <c r="BP928" s="65"/>
      <c r="BQ928" s="65"/>
      <c r="BR928" s="65"/>
      <c r="BS928" s="65"/>
    </row>
    <row r="929" spans="52:71" x14ac:dyDescent="0.25">
      <c r="AZ929" s="65"/>
      <c r="BG929" s="65"/>
      <c r="BH929" s="65"/>
      <c r="BI929" s="65"/>
      <c r="BJ929" s="65"/>
      <c r="BK929" s="65"/>
      <c r="BL929" s="65"/>
      <c r="BM929" s="65"/>
      <c r="BN929" s="65"/>
      <c r="BO929" s="65"/>
      <c r="BP929" s="65"/>
      <c r="BQ929" s="65"/>
      <c r="BR929" s="65"/>
      <c r="BS929" s="65"/>
    </row>
    <row r="930" spans="52:71" x14ac:dyDescent="0.25">
      <c r="AZ930" s="65"/>
      <c r="BG930" s="65"/>
      <c r="BH930" s="65"/>
      <c r="BI930" s="65"/>
      <c r="BJ930" s="65"/>
      <c r="BK930" s="65"/>
      <c r="BL930" s="65"/>
      <c r="BM930" s="65"/>
      <c r="BN930" s="65"/>
      <c r="BO930" s="65"/>
      <c r="BP930" s="65"/>
      <c r="BQ930" s="65"/>
      <c r="BR930" s="65"/>
      <c r="BS930" s="65"/>
    </row>
    <row r="931" spans="52:71" x14ac:dyDescent="0.25">
      <c r="AZ931" s="65"/>
      <c r="BG931" s="65"/>
      <c r="BH931" s="65"/>
      <c r="BI931" s="65"/>
      <c r="BJ931" s="65"/>
      <c r="BK931" s="65"/>
      <c r="BL931" s="65"/>
      <c r="BM931" s="65"/>
      <c r="BN931" s="65"/>
      <c r="BO931" s="65"/>
      <c r="BP931" s="65"/>
      <c r="BQ931" s="65"/>
      <c r="BR931" s="65"/>
      <c r="BS931" s="65"/>
    </row>
    <row r="932" spans="52:71" x14ac:dyDescent="0.25">
      <c r="AZ932" s="65"/>
    </row>
    <row r="933" spans="52:71" x14ac:dyDescent="0.25">
      <c r="AZ933" s="65"/>
    </row>
    <row r="947" spans="1:28" x14ac:dyDescent="0.25">
      <c r="A947" s="54"/>
    </row>
    <row r="950" spans="1:28" x14ac:dyDescent="0.25">
      <c r="Y950" s="54"/>
    </row>
    <row r="951" spans="1:28" x14ac:dyDescent="0.25">
      <c r="A951" s="54"/>
      <c r="H951" s="54"/>
      <c r="I951" s="54"/>
    </row>
    <row r="952" spans="1:28" x14ac:dyDescent="0.25">
      <c r="A952" s="54"/>
      <c r="V952" s="56"/>
      <c r="AA952" s="56"/>
      <c r="AB952" s="56"/>
    </row>
    <row r="953" spans="1:28" x14ac:dyDescent="0.25">
      <c r="A953" s="54"/>
      <c r="V953" s="55"/>
      <c r="AA953" s="55"/>
      <c r="AB953" s="55"/>
    </row>
    <row r="954" spans="1:28" x14ac:dyDescent="0.25">
      <c r="A954" s="54"/>
      <c r="U954" s="54"/>
      <c r="AA954" s="56"/>
      <c r="AB954" s="56"/>
    </row>
    <row r="955" spans="1:28" x14ac:dyDescent="0.25">
      <c r="A955" s="54"/>
    </row>
    <row r="956" spans="1:28" x14ac:dyDescent="0.25">
      <c r="A956" s="54"/>
      <c r="U956" s="54"/>
      <c r="AA956" s="56"/>
      <c r="AB956" s="56"/>
    </row>
    <row r="957" spans="1:28" x14ac:dyDescent="0.25">
      <c r="A957" s="54"/>
    </row>
    <row r="958" spans="1:28" x14ac:dyDescent="0.25">
      <c r="A958" s="54"/>
      <c r="U958" s="54"/>
      <c r="V958" s="480"/>
      <c r="AA958" s="56"/>
      <c r="AB958" s="56"/>
    </row>
    <row r="959" spans="1:28" x14ac:dyDescent="0.25">
      <c r="A959" s="54"/>
    </row>
    <row r="960" spans="1:28" x14ac:dyDescent="0.25">
      <c r="A960" s="54"/>
      <c r="U960" s="54"/>
      <c r="AA960" s="56"/>
      <c r="AB960" s="56"/>
    </row>
    <row r="961" spans="1:28" x14ac:dyDescent="0.25">
      <c r="A961" s="54"/>
    </row>
    <row r="962" spans="1:28" x14ac:dyDescent="0.25">
      <c r="A962" s="54"/>
      <c r="U962" s="54"/>
      <c r="AA962" s="56"/>
      <c r="AB962" s="56"/>
    </row>
    <row r="963" spans="1:28" x14ac:dyDescent="0.25">
      <c r="A963" s="54"/>
    </row>
    <row r="964" spans="1:28" x14ac:dyDescent="0.25">
      <c r="A964" s="54"/>
    </row>
    <row r="965" spans="1:28" x14ac:dyDescent="0.25">
      <c r="A965" s="54"/>
    </row>
    <row r="966" spans="1:28" x14ac:dyDescent="0.25">
      <c r="A966" s="54"/>
    </row>
    <row r="967" spans="1:28" x14ac:dyDescent="0.25">
      <c r="A967" s="54"/>
    </row>
    <row r="968" spans="1:28" x14ac:dyDescent="0.25">
      <c r="A968" s="54"/>
    </row>
    <row r="969" spans="1:28" x14ac:dyDescent="0.25">
      <c r="A969" s="54"/>
    </row>
    <row r="970" spans="1:28" x14ac:dyDescent="0.25">
      <c r="A970" s="54"/>
    </row>
    <row r="971" spans="1:28" x14ac:dyDescent="0.25">
      <c r="A971" s="54"/>
    </row>
    <row r="972" spans="1:28" x14ac:dyDescent="0.25">
      <c r="A972" s="54"/>
    </row>
    <row r="973" spans="1:28" x14ac:dyDescent="0.25">
      <c r="A973" s="54"/>
      <c r="H973" s="54"/>
      <c r="I973" s="54"/>
    </row>
    <row r="976" spans="1:28" x14ac:dyDescent="0.25">
      <c r="A976" s="54"/>
    </row>
    <row r="979" spans="1:1" x14ac:dyDescent="0.25">
      <c r="A979" s="54"/>
    </row>
    <row r="982" spans="1:1" x14ac:dyDescent="0.25">
      <c r="A982" s="54"/>
    </row>
    <row r="983" spans="1:1" x14ac:dyDescent="0.25">
      <c r="A983" s="54"/>
    </row>
    <row r="984" spans="1:1" x14ac:dyDescent="0.25">
      <c r="A984" s="54"/>
    </row>
    <row r="985" spans="1:1" x14ac:dyDescent="0.25">
      <c r="A985" s="54"/>
    </row>
    <row r="986" spans="1:1" x14ac:dyDescent="0.25">
      <c r="A986" s="54"/>
    </row>
    <row r="987" spans="1:1" x14ac:dyDescent="0.25">
      <c r="A987" s="54"/>
    </row>
    <row r="988" spans="1:1" x14ac:dyDescent="0.25">
      <c r="A988" s="54"/>
    </row>
    <row r="989" spans="1:1" x14ac:dyDescent="0.25">
      <c r="A989" s="54"/>
    </row>
    <row r="990" spans="1:1" x14ac:dyDescent="0.25">
      <c r="A990" s="54"/>
    </row>
    <row r="991" spans="1:1" x14ac:dyDescent="0.25">
      <c r="A991" s="54"/>
    </row>
    <row r="992" spans="1:1" x14ac:dyDescent="0.25">
      <c r="A992" s="54"/>
    </row>
    <row r="993" spans="1:1" x14ac:dyDescent="0.25">
      <c r="A993" s="54"/>
    </row>
    <row r="994" spans="1:1" x14ac:dyDescent="0.25">
      <c r="A994" s="54"/>
    </row>
    <row r="995" spans="1:1" x14ac:dyDescent="0.25">
      <c r="A995" s="54"/>
    </row>
    <row r="996" spans="1:1" x14ac:dyDescent="0.25">
      <c r="A996" s="54"/>
    </row>
    <row r="997" spans="1:1" x14ac:dyDescent="0.25">
      <c r="A997" s="54"/>
    </row>
    <row r="998" spans="1:1" x14ac:dyDescent="0.25">
      <c r="A998" s="54"/>
    </row>
    <row r="999" spans="1:1" x14ac:dyDescent="0.25">
      <c r="A999" s="54"/>
    </row>
    <row r="1000" spans="1:1" x14ac:dyDescent="0.25">
      <c r="A1000" s="54"/>
    </row>
    <row r="1001" spans="1:1" x14ac:dyDescent="0.25">
      <c r="A1001" s="54"/>
    </row>
    <row r="1002" spans="1:1" x14ac:dyDescent="0.25">
      <c r="A1002" s="54"/>
    </row>
    <row r="1003" spans="1:1" x14ac:dyDescent="0.25">
      <c r="A1003" s="54"/>
    </row>
    <row r="1004" spans="1:1" x14ac:dyDescent="0.25">
      <c r="A1004" s="54"/>
    </row>
    <row r="1005" spans="1:1" x14ac:dyDescent="0.25">
      <c r="A1005" s="54"/>
    </row>
    <row r="1006" spans="1:1" x14ac:dyDescent="0.25">
      <c r="A1006" s="54"/>
    </row>
    <row r="1007" spans="1:1" x14ac:dyDescent="0.25">
      <c r="A1007" s="54"/>
    </row>
    <row r="1008" spans="1:1" x14ac:dyDescent="0.25">
      <c r="A1008" s="54"/>
    </row>
    <row r="1009" spans="1:1" x14ac:dyDescent="0.25">
      <c r="A1009" s="54"/>
    </row>
    <row r="1010" spans="1:1" x14ac:dyDescent="0.25">
      <c r="A1010" s="54"/>
    </row>
    <row r="1011" spans="1:1" x14ac:dyDescent="0.25">
      <c r="A1011" s="54"/>
    </row>
    <row r="1012" spans="1:1" x14ac:dyDescent="0.25">
      <c r="A1012" s="54"/>
    </row>
    <row r="1013" spans="1:1" x14ac:dyDescent="0.25">
      <c r="A1013" s="54"/>
    </row>
    <row r="1014" spans="1:1" x14ac:dyDescent="0.25">
      <c r="A1014" s="54"/>
    </row>
    <row r="1015" spans="1:1" x14ac:dyDescent="0.25">
      <c r="A1015" s="54"/>
    </row>
    <row r="1016" spans="1:1" x14ac:dyDescent="0.25">
      <c r="A1016" s="54"/>
    </row>
    <row r="1021" spans="1:1" x14ac:dyDescent="0.25">
      <c r="A1021" s="54"/>
    </row>
    <row r="1022" spans="1:1" x14ac:dyDescent="0.25">
      <c r="A1022" s="54"/>
    </row>
    <row r="1025" spans="1:1" x14ac:dyDescent="0.25">
      <c r="A1025" s="54"/>
    </row>
    <row r="1027" spans="1:1" x14ac:dyDescent="0.25">
      <c r="A1027" s="54"/>
    </row>
    <row r="1029" spans="1:1" x14ac:dyDescent="0.25">
      <c r="A1029" s="54"/>
    </row>
    <row r="1031" spans="1:1" x14ac:dyDescent="0.25">
      <c r="A1031" s="54"/>
    </row>
    <row r="1034" spans="1:1" x14ac:dyDescent="0.25">
      <c r="A1034" s="54"/>
    </row>
    <row r="1035" spans="1:1" x14ac:dyDescent="0.25">
      <c r="A1035" s="54"/>
    </row>
    <row r="1036" spans="1:1" x14ac:dyDescent="0.25">
      <c r="A1036" s="54"/>
    </row>
    <row r="1037" spans="1:1" x14ac:dyDescent="0.25">
      <c r="A1037" s="54"/>
    </row>
    <row r="1038" spans="1:1" x14ac:dyDescent="0.25">
      <c r="A1038" s="54"/>
    </row>
    <row r="1039" spans="1:1" x14ac:dyDescent="0.25">
      <c r="A1039" s="54"/>
    </row>
    <row r="1040" spans="1:1" x14ac:dyDescent="0.25">
      <c r="A1040" s="54"/>
    </row>
    <row r="1041" spans="1:1" x14ac:dyDescent="0.25">
      <c r="A1041" s="54"/>
    </row>
  </sheetData>
  <customSheetViews>
    <customSheetView guid="{195DF303-1BBD-4236-94B5-47432850B006}" scale="75" fitToPage="1" showRuler="0"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1"/>
      <headerFooter alignWithMargins="0"/>
    </customSheetView>
    <customSheetView guid="{0C49E549-011E-46F4-A82E-2CC8951A9C1E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2"/>
      <headerFooter alignWithMargins="0"/>
    </customSheetView>
    <customSheetView guid="{4BC93440-BA85-4935-A8C9-66DC6AE5DE5E}" scale="75" fitToPage="1" showRuler="0" topLeftCell="N100">
      <selection activeCell="AC117" sqref="AC11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3"/>
      <headerFooter alignWithMargins="0"/>
    </customSheetView>
    <customSheetView guid="{2431C9E5-7CC2-4B8D-99C3-962247B1DBF5}" scale="75" fitToPage="1" showRuler="0" topLeftCell="N100">
      <selection activeCell="AC117" sqref="AC11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4"/>
      <headerFooter alignWithMargins="0"/>
    </customSheetView>
    <customSheetView guid="{2EA35095-1ADC-4CC7-8C3C-B487D65FA247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5"/>
      <headerFooter alignWithMargins="0"/>
    </customSheetView>
    <customSheetView guid="{8FC77C99-DBF7-40B8-99B8-01B75826CDCB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8"/>
      <headerFooter alignWithMargins="0"/>
    </customSheetView>
    <customSheetView guid="{0BC1F393-8A13-47D5-BC6C-0C99615B5AB9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9"/>
      <headerFooter alignWithMargins="0"/>
    </customSheetView>
    <customSheetView guid="{18BDED73-BFA0-442E-87EC-CED86EE4CF94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10"/>
      <headerFooter alignWithMargins="0"/>
    </customSheetView>
    <customSheetView guid="{35F19056-2E6F-4935-B863-78836FE990BF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3" orientation="landscape" r:id="rId11"/>
      <headerFooter alignWithMargins="0"/>
    </customSheetView>
    <customSheetView guid="{F562D92E-120C-4AE9-9663-89E64D41DC53}" scale="75" fitToPage="1" topLeftCell="A41">
      <selection activeCell="P67" sqref="P6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3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3" orientation="landscape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6" manualBreakCount="16">
    <brk id="132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  <legacyDrawing r:id="rId14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transitionEntry="1" codeName="Sheet14"/>
  <dimension ref="A1:BW1079"/>
  <sheetViews>
    <sheetView tabSelected="1" view="pageBreakPreview" zoomScale="60" zoomScaleNormal="75" workbookViewId="0">
      <selection sqref="A1:J1"/>
    </sheetView>
  </sheetViews>
  <sheetFormatPr defaultColWidth="9.77734375" defaultRowHeight="15.75" x14ac:dyDescent="0.25"/>
  <cols>
    <col min="1" max="1" width="5.21875" style="380" customWidth="1"/>
    <col min="2" max="2" width="0.44140625" style="380" customWidth="1"/>
    <col min="3" max="3" width="6.77734375" style="380" customWidth="1"/>
    <col min="4" max="4" width="37.77734375" style="380" customWidth="1"/>
    <col min="5" max="5" width="0.7773437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1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2.77734375" style="380" customWidth="1"/>
    <col min="15" max="15" width="0.5546875" style="380" customWidth="1"/>
    <col min="16" max="16" width="14.77734375" style="380" customWidth="1"/>
    <col min="17" max="17" width="0.5546875" style="380" customWidth="1"/>
    <col min="18" max="18" width="18.21875" style="380" customWidth="1"/>
    <col min="19" max="19" width="6.77734375" style="380" customWidth="1"/>
    <col min="20" max="20" width="5.44140625" style="380" customWidth="1"/>
    <col min="21" max="21" width="0.5546875" style="380" customWidth="1"/>
    <col min="22" max="22" width="4.5546875" style="380" customWidth="1"/>
    <col min="23" max="23" width="38.5546875" style="380" customWidth="1"/>
    <col min="24" max="24" width="0.88671875" style="380" customWidth="1"/>
    <col min="25" max="25" width="9.6640625" style="380" customWidth="1"/>
    <col min="26" max="26" width="0.6640625" style="380" customWidth="1"/>
    <col min="27" max="27" width="13.33203125" style="380" customWidth="1"/>
    <col min="28" max="28" width="0.6640625" style="380" customWidth="1"/>
    <col min="29" max="29" width="12.33203125" style="380" customWidth="1"/>
    <col min="30" max="30" width="0.88671875" style="380" customWidth="1"/>
    <col min="31" max="31" width="12.88671875" style="380" customWidth="1"/>
    <col min="32" max="32" width="0.77734375" style="380" customWidth="1"/>
    <col min="33" max="33" width="13.6640625" style="153" customWidth="1"/>
    <col min="34" max="34" width="0.6640625" style="380" customWidth="1"/>
    <col min="35" max="35" width="14.33203125" style="380" customWidth="1"/>
    <col min="36" max="36" width="0.77734375" style="380" customWidth="1"/>
    <col min="37" max="37" width="14.5546875" style="153" customWidth="1"/>
    <col min="38" max="38" width="0.5546875" style="380" customWidth="1"/>
    <col min="39" max="39" width="12.109375" style="380" customWidth="1"/>
    <col min="40" max="40" width="0.5546875" style="380" customWidth="1"/>
    <col min="41" max="41" width="13.21875" style="380" customWidth="1"/>
    <col min="42" max="42" width="0.6640625" style="380" customWidth="1"/>
    <col min="43" max="43" width="11.21875" style="153" customWidth="1"/>
    <col min="44" max="44" width="14.77734375" style="380" customWidth="1"/>
    <col min="45" max="45" width="4.77734375" style="380" customWidth="1"/>
    <col min="46" max="46" width="5.77734375" style="380" customWidth="1"/>
    <col min="47" max="47" width="10.77734375" style="380" customWidth="1"/>
    <col min="48" max="48" width="11.77734375" style="380" customWidth="1"/>
    <col min="49" max="49" width="12.77734375" style="380" customWidth="1"/>
    <col min="50" max="52" width="15.77734375" style="380" customWidth="1"/>
    <col min="53" max="53" width="12.77734375" style="380" customWidth="1"/>
    <col min="54" max="56" width="15.77734375" style="380" customWidth="1"/>
    <col min="57" max="57" width="12.77734375" style="380" customWidth="1"/>
    <col min="58" max="59" width="9.77734375" style="380"/>
    <col min="60" max="62" width="12.77734375" style="380" customWidth="1"/>
    <col min="63" max="63" width="14.77734375" style="380" customWidth="1"/>
    <col min="64" max="65" width="9.77734375" style="380"/>
    <col min="66" max="68" width="12.77734375" style="380" customWidth="1"/>
    <col min="69" max="69" width="14.77734375" style="380" customWidth="1"/>
    <col min="70" max="76" width="9.77734375" style="380"/>
    <col min="77" max="77" width="1.77734375" style="380" customWidth="1"/>
    <col min="78" max="79" width="9.77734375" style="380"/>
    <col min="80" max="80" width="10.77734375" style="380" customWidth="1"/>
    <col min="81" max="82" width="9.77734375" style="380"/>
    <col min="83" max="83" width="7.77734375" style="380" customWidth="1"/>
    <col min="84" max="16384" width="9.77734375" style="380"/>
  </cols>
  <sheetData>
    <row r="1" spans="1:40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4"/>
      <c r="K1" s="44"/>
      <c r="L1" s="43"/>
      <c r="M1" s="43"/>
      <c r="N1" s="43"/>
      <c r="O1" s="43"/>
      <c r="P1" s="43"/>
      <c r="Q1" s="43"/>
      <c r="R1" s="43"/>
      <c r="Y1" s="54"/>
    </row>
    <row r="2" spans="1:40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4"/>
      <c r="K2" s="44"/>
      <c r="L2" s="43"/>
      <c r="M2" s="43"/>
      <c r="N2" s="43"/>
      <c r="O2" s="43"/>
      <c r="P2" s="43"/>
      <c r="Q2" s="43"/>
      <c r="R2" s="43"/>
      <c r="Y2" s="54"/>
    </row>
    <row r="3" spans="1:40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Z3" s="53"/>
    </row>
    <row r="4" spans="1:4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4"/>
      <c r="K4" s="44"/>
      <c r="L4" s="43"/>
      <c r="M4" s="43"/>
      <c r="N4" s="43"/>
      <c r="O4" s="43"/>
      <c r="P4" s="43"/>
      <c r="Q4" s="43"/>
      <c r="R4" s="43"/>
      <c r="AA4" s="54"/>
      <c r="AB4" s="54"/>
    </row>
    <row r="5" spans="1:4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4"/>
      <c r="M5" s="44"/>
      <c r="N5" s="43"/>
      <c r="O5" s="43"/>
      <c r="P5" s="43"/>
      <c r="Q5" s="43"/>
      <c r="R5" s="43"/>
      <c r="AK5" s="161"/>
      <c r="AL5" s="54"/>
    </row>
    <row r="6" spans="1:40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K6" s="161"/>
      <c r="AL6" s="54"/>
    </row>
    <row r="7" spans="1:40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20 OF "&amp;TEXT(Page_Num_2.3,"00")</f>
        <v>PAGE 20 OF 23</v>
      </c>
      <c r="AK7" s="161"/>
      <c r="AL7" s="54"/>
    </row>
    <row r="8" spans="1:40" x14ac:dyDescent="0.25">
      <c r="A8" s="46" t="s">
        <v>177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K8" s="161"/>
      <c r="AL8" s="54"/>
    </row>
    <row r="9" spans="1:40" x14ac:dyDescent="0.25">
      <c r="A9" s="218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M9" s="46"/>
      <c r="N9" s="378"/>
      <c r="O9" s="378"/>
      <c r="P9" s="378"/>
      <c r="Q9" s="378"/>
      <c r="R9" s="45" t="str">
        <f>WIT</f>
        <v>J. L. Kern</v>
      </c>
      <c r="AA9" s="54"/>
      <c r="AB9" s="54"/>
      <c r="AK9" s="156"/>
      <c r="AL9" s="53"/>
    </row>
    <row r="10" spans="1:40" x14ac:dyDescent="0.25">
      <c r="A10" s="44" t="s">
        <v>136</v>
      </c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4"/>
      <c r="M10" s="44"/>
      <c r="N10" s="43"/>
      <c r="O10" s="43"/>
      <c r="P10" s="43"/>
      <c r="Q10" s="43"/>
      <c r="R10" s="44"/>
      <c r="X10" s="55"/>
      <c r="Y10" s="55"/>
      <c r="Z10" s="55"/>
      <c r="AA10" s="55"/>
      <c r="AB10" s="55"/>
      <c r="AC10" s="55"/>
      <c r="AD10" s="55"/>
      <c r="AE10" s="55"/>
      <c r="AF10" s="55"/>
      <c r="AG10" s="154"/>
      <c r="AH10" s="55"/>
      <c r="AI10" s="55"/>
      <c r="AJ10" s="55"/>
      <c r="AK10" s="154"/>
      <c r="AL10" s="55"/>
      <c r="AM10" s="55"/>
      <c r="AN10" s="55"/>
    </row>
    <row r="11" spans="1:40" x14ac:dyDescent="0.25">
      <c r="A11" s="72"/>
      <c r="B11" s="72"/>
      <c r="C11" s="72"/>
      <c r="D11" s="72"/>
      <c r="E11" s="72"/>
      <c r="F11" s="378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AA11" s="56"/>
      <c r="AB11" s="56"/>
      <c r="AC11" s="56"/>
      <c r="AD11" s="56"/>
      <c r="AE11" s="56"/>
      <c r="AF11" s="56"/>
      <c r="AG11" s="155"/>
      <c r="AH11" s="56"/>
      <c r="AK11" s="155"/>
      <c r="AL11" s="56"/>
      <c r="AM11" s="56"/>
      <c r="AN11" s="56"/>
    </row>
    <row r="12" spans="1:40" ht="18" customHeight="1" x14ac:dyDescent="0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4" t="s">
        <v>6</v>
      </c>
      <c r="M12" s="74"/>
      <c r="N12" s="74" t="s">
        <v>7</v>
      </c>
      <c r="O12" s="74"/>
      <c r="P12" s="73"/>
      <c r="Q12" s="73"/>
      <c r="R12" s="74" t="s">
        <v>6</v>
      </c>
      <c r="Z12" s="56"/>
      <c r="AA12" s="56"/>
      <c r="AB12" s="56"/>
      <c r="AC12" s="56"/>
      <c r="AD12" s="56"/>
      <c r="AE12" s="56"/>
      <c r="AF12" s="56"/>
      <c r="AG12" s="155"/>
      <c r="AH12" s="56"/>
      <c r="AK12" s="155"/>
      <c r="AL12" s="56"/>
      <c r="AM12" s="56"/>
      <c r="AN12" s="56"/>
    </row>
    <row r="13" spans="1:40" x14ac:dyDescent="0.25">
      <c r="A13" s="378"/>
      <c r="B13" s="378"/>
      <c r="C13" s="378"/>
      <c r="D13" s="378"/>
      <c r="E13" s="378"/>
      <c r="F13" s="378"/>
      <c r="G13" s="378"/>
      <c r="H13" s="378"/>
      <c r="I13" s="378"/>
      <c r="J13" s="378"/>
      <c r="K13" s="378"/>
      <c r="L13" s="426" t="s">
        <v>12</v>
      </c>
      <c r="M13" s="426"/>
      <c r="N13" s="426" t="s">
        <v>13</v>
      </c>
      <c r="O13" s="426"/>
      <c r="P13" s="378"/>
      <c r="Q13" s="378"/>
      <c r="R13" s="426" t="s">
        <v>11</v>
      </c>
      <c r="T13" s="56"/>
      <c r="U13" s="56"/>
      <c r="V13" s="56"/>
      <c r="Z13" s="56"/>
      <c r="AA13" s="56"/>
      <c r="AB13" s="56"/>
      <c r="AC13" s="56"/>
      <c r="AD13" s="56"/>
      <c r="AE13" s="56"/>
      <c r="AF13" s="56"/>
      <c r="AG13" s="155"/>
      <c r="AH13" s="56"/>
      <c r="AI13" s="56"/>
      <c r="AJ13" s="56"/>
      <c r="AK13" s="155"/>
      <c r="AL13" s="56"/>
      <c r="AM13" s="56"/>
      <c r="AN13" s="56"/>
    </row>
    <row r="14" spans="1:40" x14ac:dyDescent="0.25">
      <c r="A14" s="426" t="s">
        <v>17</v>
      </c>
      <c r="B14" s="378"/>
      <c r="C14" s="426" t="s">
        <v>18</v>
      </c>
      <c r="D14" s="426" t="s">
        <v>19</v>
      </c>
      <c r="E14" s="426"/>
      <c r="F14" s="426" t="s">
        <v>20</v>
      </c>
      <c r="G14" s="378"/>
      <c r="H14" s="378"/>
      <c r="I14" s="378"/>
      <c r="J14" s="426" t="s">
        <v>6</v>
      </c>
      <c r="K14" s="426"/>
      <c r="L14" s="426" t="s">
        <v>21</v>
      </c>
      <c r="M14" s="426"/>
      <c r="N14" s="426" t="s">
        <v>21</v>
      </c>
      <c r="O14" s="426"/>
      <c r="P14" s="426" t="s">
        <v>21</v>
      </c>
      <c r="Q14" s="426"/>
      <c r="R14" s="426" t="s">
        <v>9</v>
      </c>
      <c r="T14" s="56"/>
      <c r="U14" s="56"/>
      <c r="V14" s="56"/>
      <c r="Y14" s="56"/>
      <c r="Z14" s="56"/>
      <c r="AA14" s="56"/>
      <c r="AB14" s="56"/>
      <c r="AC14" s="56"/>
      <c r="AD14" s="56"/>
      <c r="AE14" s="56"/>
      <c r="AF14" s="56"/>
      <c r="AG14" s="155"/>
      <c r="AH14" s="56"/>
      <c r="AI14" s="56"/>
      <c r="AJ14" s="56"/>
      <c r="AK14" s="155"/>
      <c r="AL14" s="56"/>
      <c r="AM14" s="56"/>
      <c r="AN14" s="56"/>
    </row>
    <row r="15" spans="1:40" x14ac:dyDescent="0.25">
      <c r="A15" s="426" t="s">
        <v>24</v>
      </c>
      <c r="B15" s="378"/>
      <c r="C15" s="426" t="s">
        <v>25</v>
      </c>
      <c r="D15" s="426" t="s">
        <v>26</v>
      </c>
      <c r="E15" s="426"/>
      <c r="F15" s="426" t="s">
        <v>27</v>
      </c>
      <c r="G15" s="378"/>
      <c r="H15" s="426" t="s">
        <v>28</v>
      </c>
      <c r="I15" s="426"/>
      <c r="J15" s="70" t="s">
        <v>380</v>
      </c>
      <c r="K15" s="426"/>
      <c r="L15" s="426" t="s">
        <v>9</v>
      </c>
      <c r="M15" s="426"/>
      <c r="N15" s="426" t="s">
        <v>9</v>
      </c>
      <c r="O15" s="426"/>
      <c r="P15" s="426" t="s">
        <v>379</v>
      </c>
      <c r="Q15" s="426"/>
      <c r="R15" s="265" t="s">
        <v>30</v>
      </c>
      <c r="T15" s="55"/>
      <c r="U15" s="55"/>
      <c r="V15" s="55"/>
      <c r="W15" s="55"/>
      <c r="X15" s="55"/>
      <c r="Y15" s="137" t="s">
        <v>470</v>
      </c>
      <c r="Z15" s="55"/>
      <c r="AA15" s="55"/>
      <c r="AB15" s="55"/>
      <c r="AC15" s="55"/>
      <c r="AD15" s="55"/>
      <c r="AE15" s="55"/>
      <c r="AF15" s="55"/>
      <c r="AG15" s="154"/>
      <c r="AH15" s="55"/>
      <c r="AI15" s="55"/>
      <c r="AJ15" s="55"/>
      <c r="AK15" s="154"/>
      <c r="AL15" s="55"/>
      <c r="AM15" s="55"/>
      <c r="AN15" s="55"/>
    </row>
    <row r="16" spans="1:40" x14ac:dyDescent="0.25">
      <c r="A16" s="378"/>
      <c r="B16" s="378"/>
      <c r="C16" s="265" t="s">
        <v>35</v>
      </c>
      <c r="D16" s="265" t="s">
        <v>36</v>
      </c>
      <c r="E16" s="265"/>
      <c r="F16" s="265" t="s">
        <v>37</v>
      </c>
      <c r="G16" s="218"/>
      <c r="H16" s="265" t="s">
        <v>38</v>
      </c>
      <c r="I16" s="265"/>
      <c r="J16" s="265" t="s">
        <v>39</v>
      </c>
      <c r="K16" s="265"/>
      <c r="L16" s="265" t="s">
        <v>40</v>
      </c>
      <c r="M16" s="265"/>
      <c r="N16" s="265" t="s">
        <v>41</v>
      </c>
      <c r="O16" s="265"/>
      <c r="P16" s="265" t="s">
        <v>42</v>
      </c>
      <c r="Q16" s="265"/>
      <c r="R16" s="265" t="s">
        <v>43</v>
      </c>
      <c r="Y16" s="137" t="s">
        <v>471</v>
      </c>
      <c r="Z16" s="56"/>
      <c r="AA16" s="56" t="s">
        <v>625</v>
      </c>
      <c r="AB16" s="56"/>
      <c r="AC16" s="56"/>
      <c r="AD16" s="56"/>
      <c r="AE16" s="56"/>
      <c r="AF16" s="56"/>
      <c r="AG16" s="155"/>
      <c r="AH16" s="56"/>
      <c r="AI16" s="56"/>
      <c r="AJ16" s="56"/>
      <c r="AK16" s="155"/>
      <c r="AL16" s="56"/>
      <c r="AM16" s="56"/>
      <c r="AN16" s="56"/>
    </row>
    <row r="17" spans="1:40" ht="17.100000000000001" customHeight="1" x14ac:dyDescent="0.25">
      <c r="A17" s="73"/>
      <c r="B17" s="73"/>
      <c r="C17" s="73"/>
      <c r="D17" s="73"/>
      <c r="E17" s="73"/>
      <c r="F17" s="73"/>
      <c r="G17" s="73"/>
      <c r="H17" s="496" t="s">
        <v>51</v>
      </c>
      <c r="I17" s="496"/>
      <c r="J17" s="495" t="s">
        <v>71</v>
      </c>
      <c r="K17" s="496"/>
      <c r="L17" s="496" t="s">
        <v>52</v>
      </c>
      <c r="M17" s="496"/>
      <c r="N17" s="496" t="s">
        <v>53</v>
      </c>
      <c r="O17" s="496"/>
      <c r="P17" s="496" t="s">
        <v>52</v>
      </c>
      <c r="Q17" s="496"/>
      <c r="R17" s="496" t="s">
        <v>52</v>
      </c>
      <c r="T17" s="54"/>
      <c r="U17" s="54"/>
      <c r="Y17" s="137" t="s">
        <v>472</v>
      </c>
      <c r="AA17" s="380" t="s">
        <v>471</v>
      </c>
    </row>
    <row r="18" spans="1:40" x14ac:dyDescent="0.25">
      <c r="A18" s="380">
        <v>1</v>
      </c>
      <c r="C18" s="249" t="s">
        <v>72</v>
      </c>
      <c r="D18" s="571" t="s">
        <v>80</v>
      </c>
      <c r="F18" s="84"/>
      <c r="G18" s="84"/>
      <c r="H18" s="100"/>
      <c r="I18" s="100"/>
      <c r="J18" s="113"/>
      <c r="K18" s="100"/>
      <c r="L18" s="100"/>
      <c r="M18" s="100"/>
      <c r="N18" s="100"/>
      <c r="O18" s="100"/>
      <c r="P18" s="100"/>
      <c r="Q18" s="100"/>
      <c r="R18" s="100"/>
      <c r="T18" s="54"/>
      <c r="U18" s="54"/>
    </row>
    <row r="19" spans="1:40" x14ac:dyDescent="0.25">
      <c r="A19" s="378">
        <v>2</v>
      </c>
      <c r="B19" s="378"/>
      <c r="C19" s="218"/>
      <c r="D19" s="222" t="s">
        <v>74</v>
      </c>
      <c r="E19" s="46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T19" s="54"/>
    </row>
    <row r="20" spans="1:40" x14ac:dyDescent="0.25">
      <c r="A20" s="378"/>
      <c r="B20" s="378"/>
      <c r="C20" s="378"/>
      <c r="D20" s="46"/>
      <c r="E20" s="4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T20" s="54"/>
    </row>
    <row r="21" spans="1:40" x14ac:dyDescent="0.25">
      <c r="A21" s="45">
        <v>3</v>
      </c>
      <c r="B21" s="378"/>
      <c r="C21" s="444" t="s">
        <v>241</v>
      </c>
      <c r="D21" s="378"/>
      <c r="E21" s="378"/>
      <c r="F21" s="86"/>
      <c r="G21" s="2"/>
      <c r="H21" s="86"/>
      <c r="I21" s="86"/>
      <c r="J21" s="485"/>
      <c r="K21" s="485"/>
      <c r="L21" s="5"/>
      <c r="M21" s="5"/>
      <c r="N21" s="6"/>
      <c r="O21" s="6"/>
      <c r="P21" s="5"/>
      <c r="Q21" s="5"/>
      <c r="R21" s="5"/>
      <c r="Z21" s="53"/>
    </row>
    <row r="22" spans="1:40" x14ac:dyDescent="0.25">
      <c r="A22" s="45">
        <v>4</v>
      </c>
      <c r="B22" s="378"/>
      <c r="C22" s="46" t="s">
        <v>242</v>
      </c>
      <c r="D22" s="378"/>
      <c r="E22" s="378"/>
      <c r="F22" s="336">
        <v>6900</v>
      </c>
      <c r="G22" s="131"/>
      <c r="H22" s="336">
        <f>ROUND(F22*AA22/12,0)</f>
        <v>490475</v>
      </c>
      <c r="I22" s="5"/>
      <c r="J22" s="223">
        <f>ROUND(AC78+(AC78*LT_COS_RATE),2)</f>
        <v>8.36</v>
      </c>
      <c r="K22" s="485"/>
      <c r="L22" s="5">
        <f>ROUND(F22*J22,0)</f>
        <v>57684</v>
      </c>
      <c r="M22" s="5"/>
      <c r="N22" s="6">
        <f>ROUND((L22/L$52)*100,1)</f>
        <v>23.1</v>
      </c>
      <c r="O22" s="6"/>
      <c r="P22" s="5">
        <f>ROUND((P$52/H$52)*H22,0)</f>
        <v>334</v>
      </c>
      <c r="Q22" s="5"/>
      <c r="R22" s="5">
        <f>P22+L22</f>
        <v>58018</v>
      </c>
      <c r="S22" s="77"/>
      <c r="Y22" s="77">
        <f>J22-AY78</f>
        <v>6.67</v>
      </c>
      <c r="AA22" s="380">
        <v>853</v>
      </c>
    </row>
    <row r="23" spans="1:40" x14ac:dyDescent="0.25">
      <c r="A23" s="45">
        <v>5</v>
      </c>
      <c r="B23" s="378"/>
      <c r="C23" s="46" t="s">
        <v>243</v>
      </c>
      <c r="D23" s="378"/>
      <c r="E23" s="378"/>
      <c r="F23" s="336">
        <f>2292+36</f>
        <v>2328</v>
      </c>
      <c r="G23" s="131"/>
      <c r="H23" s="336">
        <f t="shared" ref="H23:H25" si="0">ROUND(F23*AA23/12,0)</f>
        <v>169556</v>
      </c>
      <c r="I23" s="5"/>
      <c r="J23" s="223">
        <f>ROUND(AC79+(AC79*LT_COS_RATE),2)</f>
        <v>8.4</v>
      </c>
      <c r="K23" s="485"/>
      <c r="L23" s="5">
        <f>ROUND(F23*J23,0)</f>
        <v>19555</v>
      </c>
      <c r="M23" s="5"/>
      <c r="N23" s="6">
        <f>ROUND((L23/L$52)*100,1)</f>
        <v>7.8</v>
      </c>
      <c r="O23" s="6"/>
      <c r="P23" s="5">
        <f>ROUND((P$52/H$52)*H23,0)</f>
        <v>116</v>
      </c>
      <c r="Q23" s="5"/>
      <c r="R23" s="5">
        <f>P23+L23</f>
        <v>19671</v>
      </c>
      <c r="S23" s="77"/>
      <c r="Y23" s="77">
        <f>J23-AY79</f>
        <v>6.66</v>
      </c>
      <c r="AA23" s="380">
        <v>874</v>
      </c>
    </row>
    <row r="24" spans="1:40" x14ac:dyDescent="0.25">
      <c r="A24" s="45">
        <v>6</v>
      </c>
      <c r="B24" s="378"/>
      <c r="C24" s="46" t="s">
        <v>244</v>
      </c>
      <c r="D24" s="378"/>
      <c r="E24" s="378"/>
      <c r="F24" s="336">
        <f>36+326+132+204</f>
        <v>698</v>
      </c>
      <c r="G24" s="131"/>
      <c r="H24" s="336">
        <f t="shared" si="0"/>
        <v>50838</v>
      </c>
      <c r="I24" s="5"/>
      <c r="J24" s="223">
        <f>ROUND(AC80+(AC80*LT_COS_RATE),2)</f>
        <v>8.4</v>
      </c>
      <c r="K24" s="485"/>
      <c r="L24" s="5">
        <f>ROUND(F24*J24,0)</f>
        <v>5863</v>
      </c>
      <c r="M24" s="5"/>
      <c r="N24" s="6">
        <f>ROUND((L24/L$52)*100,1)</f>
        <v>2.2999999999999998</v>
      </c>
      <c r="O24" s="6"/>
      <c r="P24" s="5">
        <f>ROUND((P$52/H$52)*H24,0)</f>
        <v>35</v>
      </c>
      <c r="Q24" s="5"/>
      <c r="R24" s="5">
        <f>P24+L24</f>
        <v>5898</v>
      </c>
      <c r="S24" s="77"/>
      <c r="Y24" s="77">
        <f>J24-AY80</f>
        <v>6.66</v>
      </c>
      <c r="AA24" s="380">
        <v>874</v>
      </c>
    </row>
    <row r="25" spans="1:40" x14ac:dyDescent="0.25">
      <c r="A25" s="45">
        <v>7</v>
      </c>
      <c r="B25" s="378"/>
      <c r="C25" s="46" t="s">
        <v>245</v>
      </c>
      <c r="D25" s="378"/>
      <c r="E25" s="378"/>
      <c r="F25" s="336">
        <v>132</v>
      </c>
      <c r="G25" s="131"/>
      <c r="H25" s="336">
        <f t="shared" si="0"/>
        <v>9614</v>
      </c>
      <c r="I25" s="5"/>
      <c r="J25" s="223">
        <f>ROUND(AC81+(AC81*LT_COS_RATE),2)</f>
        <v>8.4</v>
      </c>
      <c r="K25" s="485"/>
      <c r="L25" s="5">
        <f>ROUND(F25*J25,0)</f>
        <v>1109</v>
      </c>
      <c r="M25" s="5"/>
      <c r="N25" s="6">
        <f>ROUND((L25/L$52)*100,1)</f>
        <v>0.4</v>
      </c>
      <c r="O25" s="6"/>
      <c r="P25" s="5">
        <f>ROUND((P$52/H$52)*H25,0)</f>
        <v>7</v>
      </c>
      <c r="Q25" s="5"/>
      <c r="R25" s="5">
        <f>P25+L25</f>
        <v>1116</v>
      </c>
      <c r="S25" s="77"/>
      <c r="Y25" s="77">
        <f>J25-AY81</f>
        <v>6.66</v>
      </c>
      <c r="AA25" s="380">
        <v>874</v>
      </c>
    </row>
    <row r="26" spans="1:40" x14ac:dyDescent="0.25">
      <c r="A26" s="378"/>
      <c r="B26" s="378"/>
      <c r="C26" s="378"/>
      <c r="D26" s="378"/>
      <c r="E26" s="378"/>
      <c r="F26" s="194"/>
      <c r="G26" s="131"/>
      <c r="H26" s="131"/>
      <c r="I26" s="2"/>
      <c r="J26" s="378"/>
      <c r="K26" s="2"/>
      <c r="L26" s="2"/>
      <c r="M26" s="2"/>
      <c r="N26" s="2"/>
      <c r="O26" s="2"/>
      <c r="P26" s="2"/>
      <c r="Q26" s="2"/>
      <c r="R26" s="2"/>
      <c r="S26" s="77"/>
    </row>
    <row r="27" spans="1:40" x14ac:dyDescent="0.25">
      <c r="A27" s="53">
        <v>8</v>
      </c>
      <c r="C27" s="572" t="s">
        <v>479</v>
      </c>
      <c r="F27" s="347"/>
      <c r="G27" s="198"/>
      <c r="H27" s="310"/>
      <c r="I27" s="83"/>
      <c r="J27" s="221"/>
      <c r="K27" s="487"/>
      <c r="L27" s="83"/>
      <c r="M27" s="83"/>
      <c r="N27" s="91"/>
      <c r="O27" s="91"/>
      <c r="P27" s="83"/>
      <c r="Q27" s="83"/>
      <c r="R27" s="83"/>
      <c r="S27" s="65"/>
      <c r="V27" s="449"/>
      <c r="Y27" s="449"/>
      <c r="Z27" s="464"/>
      <c r="AA27" s="379"/>
      <c r="AB27" s="379"/>
      <c r="AC27" s="50"/>
      <c r="AD27" s="50"/>
      <c r="AE27" s="379"/>
      <c r="AF27" s="379"/>
      <c r="AI27" s="379"/>
      <c r="AJ27" s="379"/>
      <c r="AK27" s="156"/>
      <c r="AL27" s="379"/>
      <c r="AM27" s="50"/>
      <c r="AN27" s="50"/>
    </row>
    <row r="28" spans="1:40" x14ac:dyDescent="0.25">
      <c r="A28" s="53">
        <v>9</v>
      </c>
      <c r="C28" s="54" t="s">
        <v>407</v>
      </c>
      <c r="F28" s="447">
        <f>3084+72+48</f>
        <v>3204</v>
      </c>
      <c r="G28" s="198"/>
      <c r="H28" s="336">
        <f t="shared" ref="H28:H30" si="1">ROUND(F28*AA28/12,0)</f>
        <v>227751</v>
      </c>
      <c r="I28" s="83"/>
      <c r="J28" s="223">
        <f>ROUND(AC84+(AC84*LT_COS_RATE),2)</f>
        <v>8.36</v>
      </c>
      <c r="K28" s="524"/>
      <c r="L28" s="83">
        <f>ROUND(F28*J28,0)</f>
        <v>26785</v>
      </c>
      <c r="M28" s="83"/>
      <c r="N28" s="91">
        <f>ROUND((L28/L$52)*100,1)</f>
        <v>10.7</v>
      </c>
      <c r="O28" s="91"/>
      <c r="P28" s="83">
        <f>ROUND((P$52/H$52)*H28,0)</f>
        <v>155</v>
      </c>
      <c r="Q28" s="83"/>
      <c r="R28" s="83">
        <f>P28+L28</f>
        <v>26940</v>
      </c>
      <c r="S28" s="65"/>
      <c r="V28" s="449"/>
      <c r="Y28" s="77">
        <f>J28-AY84</f>
        <v>6.67</v>
      </c>
      <c r="Z28" s="464"/>
      <c r="AA28" s="380">
        <v>853</v>
      </c>
      <c r="AB28" s="379"/>
      <c r="AC28" s="50"/>
      <c r="AD28" s="50"/>
      <c r="AE28" s="379"/>
      <c r="AF28" s="379"/>
      <c r="AI28" s="379"/>
      <c r="AJ28" s="379"/>
      <c r="AK28" s="156"/>
      <c r="AL28" s="379"/>
      <c r="AM28" s="50"/>
      <c r="AN28" s="50"/>
    </row>
    <row r="29" spans="1:40" x14ac:dyDescent="0.25">
      <c r="A29" s="53">
        <v>10</v>
      </c>
      <c r="C29" s="54" t="s">
        <v>306</v>
      </c>
      <c r="F29" s="447">
        <v>0</v>
      </c>
      <c r="G29" s="198"/>
      <c r="H29" s="336">
        <f t="shared" si="1"/>
        <v>0</v>
      </c>
      <c r="I29" s="83"/>
      <c r="J29" s="223">
        <f>ROUND(AC85+(AC85*LT_COS_RATE),2)</f>
        <v>8.4</v>
      </c>
      <c r="K29" s="524"/>
      <c r="L29" s="83">
        <f>ROUND(F29*J29,0)</f>
        <v>0</v>
      </c>
      <c r="M29" s="83"/>
      <c r="N29" s="91">
        <f>ROUND((L29/L$52)*100,1)</f>
        <v>0</v>
      </c>
      <c r="O29" s="91"/>
      <c r="P29" s="83">
        <f>ROUND((P$52/H$52)*H29,0)</f>
        <v>0</v>
      </c>
      <c r="Q29" s="83"/>
      <c r="R29" s="83">
        <f>P29+L29</f>
        <v>0</v>
      </c>
      <c r="S29" s="65"/>
      <c r="V29" s="449"/>
      <c r="Y29" s="77">
        <f>J29-AY85</f>
        <v>6.66</v>
      </c>
      <c r="Z29" s="464"/>
      <c r="AA29" s="380">
        <v>874</v>
      </c>
      <c r="AB29" s="379"/>
      <c r="AC29" s="50"/>
      <c r="AD29" s="50"/>
      <c r="AE29" s="379"/>
      <c r="AF29" s="379"/>
      <c r="AI29" s="379"/>
      <c r="AJ29" s="379"/>
      <c r="AK29" s="156"/>
      <c r="AL29" s="379"/>
      <c r="AM29" s="50"/>
      <c r="AN29" s="50"/>
    </row>
    <row r="30" spans="1:40" x14ac:dyDescent="0.25">
      <c r="A30" s="53">
        <v>11</v>
      </c>
      <c r="C30" s="54" t="s">
        <v>244</v>
      </c>
      <c r="F30" s="447">
        <f>260+264+36</f>
        <v>560</v>
      </c>
      <c r="G30" s="198"/>
      <c r="H30" s="336">
        <f t="shared" si="1"/>
        <v>40787</v>
      </c>
      <c r="I30" s="83"/>
      <c r="J30" s="223">
        <f>ROUND(AC86+(AC86*LT_COS_RATE),2)</f>
        <v>8.4</v>
      </c>
      <c r="K30" s="524"/>
      <c r="L30" s="83">
        <f>ROUND(F30*J30,0)</f>
        <v>4704</v>
      </c>
      <c r="M30" s="83"/>
      <c r="N30" s="91">
        <f>ROUND((L30/L$52)*100,1)</f>
        <v>1.9</v>
      </c>
      <c r="O30" s="91"/>
      <c r="P30" s="83">
        <f>ROUND((P$52/H$52)*H30,0)</f>
        <v>28</v>
      </c>
      <c r="Q30" s="83"/>
      <c r="R30" s="83">
        <f>P30+L30</f>
        <v>4732</v>
      </c>
      <c r="S30" s="65"/>
      <c r="V30" s="449"/>
      <c r="Y30" s="77">
        <f>J30-AY86</f>
        <v>6.66</v>
      </c>
      <c r="Z30" s="464"/>
      <c r="AA30" s="380">
        <v>874</v>
      </c>
      <c r="AB30" s="379"/>
      <c r="AC30" s="50"/>
      <c r="AD30" s="50"/>
      <c r="AE30" s="379"/>
      <c r="AF30" s="379"/>
      <c r="AI30" s="379"/>
      <c r="AJ30" s="379"/>
      <c r="AK30" s="156"/>
      <c r="AL30" s="379"/>
      <c r="AM30" s="50"/>
      <c r="AN30" s="50"/>
    </row>
    <row r="31" spans="1:40" x14ac:dyDescent="0.25">
      <c r="A31" s="378"/>
      <c r="B31" s="378"/>
      <c r="C31" s="378"/>
      <c r="D31" s="378"/>
      <c r="E31" s="378"/>
      <c r="F31" s="194"/>
      <c r="G31" s="131"/>
      <c r="H31" s="131"/>
      <c r="I31" s="2"/>
      <c r="J31" s="378"/>
      <c r="K31" s="2"/>
      <c r="L31" s="2"/>
      <c r="M31" s="2"/>
      <c r="N31" s="2"/>
      <c r="O31" s="2"/>
      <c r="P31" s="2"/>
      <c r="Q31" s="2"/>
      <c r="R31" s="2"/>
      <c r="S31" s="77"/>
    </row>
    <row r="32" spans="1:40" x14ac:dyDescent="0.25">
      <c r="A32" s="45">
        <v>12</v>
      </c>
      <c r="B32" s="378"/>
      <c r="C32" s="444" t="s">
        <v>246</v>
      </c>
      <c r="D32" s="218"/>
      <c r="E32" s="378"/>
      <c r="F32" s="194"/>
      <c r="G32" s="131"/>
      <c r="H32" s="131"/>
      <c r="I32" s="2"/>
      <c r="J32" s="76"/>
      <c r="K32" s="2"/>
      <c r="L32" s="2"/>
      <c r="M32" s="2"/>
      <c r="N32" s="2"/>
      <c r="O32" s="2"/>
      <c r="P32" s="2"/>
      <c r="Q32" s="2"/>
      <c r="R32" s="2"/>
      <c r="S32" s="65"/>
      <c r="V32" s="381"/>
      <c r="Y32" s="77"/>
      <c r="Z32" s="449"/>
      <c r="AA32" s="379"/>
      <c r="AB32" s="379"/>
      <c r="AC32" s="50"/>
      <c r="AD32" s="50"/>
      <c r="AE32" s="379"/>
      <c r="AF32" s="379"/>
      <c r="AI32" s="379"/>
      <c r="AJ32" s="379"/>
      <c r="AK32" s="156"/>
      <c r="AL32" s="379"/>
    </row>
    <row r="33" spans="1:40" x14ac:dyDescent="0.25">
      <c r="A33" s="45">
        <v>13</v>
      </c>
      <c r="B33" s="378"/>
      <c r="C33" s="46" t="s">
        <v>242</v>
      </c>
      <c r="D33" s="378"/>
      <c r="E33" s="378"/>
      <c r="F33" s="391">
        <f>84+3127</f>
        <v>3211</v>
      </c>
      <c r="G33" s="131"/>
      <c r="H33" s="336">
        <f t="shared" ref="H33:H39" si="2">ROUND(F33*AA33/12,0)</f>
        <v>130313</v>
      </c>
      <c r="I33" s="86"/>
      <c r="J33" s="223">
        <f t="shared" ref="J33:J39" si="3">ROUND(AC89+(AC89*LT_COS_RATE),2)</f>
        <v>9.1199999999999992</v>
      </c>
      <c r="K33" s="485"/>
      <c r="L33" s="5">
        <f t="shared" ref="L33:L39" si="4">ROUND(F33*J33,0)</f>
        <v>29284</v>
      </c>
      <c r="M33" s="5"/>
      <c r="N33" s="6">
        <f t="shared" ref="N33:N39" si="5">ROUND((L33/L$52)*100,1)</f>
        <v>11.7</v>
      </c>
      <c r="O33" s="6"/>
      <c r="P33" s="5">
        <f t="shared" ref="P33:P39" si="6">ROUND((P$52/H$52)*H33,0)</f>
        <v>89</v>
      </c>
      <c r="Q33" s="5"/>
      <c r="R33" s="5">
        <f t="shared" ref="R33:R39" si="7">P33+L33</f>
        <v>29373</v>
      </c>
      <c r="S33" s="65"/>
      <c r="V33" s="381"/>
      <c r="Y33" s="77">
        <f t="shared" ref="Y33:Y39" si="8">J33-AY89</f>
        <v>8.1499999999999986</v>
      </c>
      <c r="Z33" s="464"/>
      <c r="AA33" s="381">
        <v>487</v>
      </c>
      <c r="AB33" s="381"/>
      <c r="AC33" s="381"/>
      <c r="AD33" s="381"/>
      <c r="AE33" s="381"/>
      <c r="AF33" s="381"/>
      <c r="AI33" s="381"/>
      <c r="AJ33" s="381"/>
      <c r="AK33" s="162"/>
      <c r="AL33" s="381"/>
      <c r="AM33" s="50"/>
      <c r="AN33" s="50"/>
    </row>
    <row r="34" spans="1:40" x14ac:dyDescent="0.25">
      <c r="A34" s="45">
        <v>15</v>
      </c>
      <c r="B34" s="378"/>
      <c r="C34" s="46" t="s">
        <v>243</v>
      </c>
      <c r="D34" s="378"/>
      <c r="E34" s="378"/>
      <c r="F34" s="336">
        <v>2480</v>
      </c>
      <c r="G34" s="131"/>
      <c r="H34" s="336">
        <f t="shared" si="2"/>
        <v>109947</v>
      </c>
      <c r="I34" s="5"/>
      <c r="J34" s="223">
        <f t="shared" si="3"/>
        <v>9.24</v>
      </c>
      <c r="K34" s="446"/>
      <c r="L34" s="5">
        <f>ROUND(F34*J34,0)</f>
        <v>22915</v>
      </c>
      <c r="M34" s="5"/>
      <c r="N34" s="6">
        <f t="shared" si="5"/>
        <v>9.1999999999999993</v>
      </c>
      <c r="O34" s="6"/>
      <c r="P34" s="5">
        <f t="shared" si="6"/>
        <v>75</v>
      </c>
      <c r="Q34" s="5"/>
      <c r="R34" s="5">
        <f>P34+L34</f>
        <v>22990</v>
      </c>
      <c r="S34" s="65"/>
      <c r="V34" s="449"/>
      <c r="Y34" s="77">
        <f t="shared" si="8"/>
        <v>8.18</v>
      </c>
      <c r="Z34" s="464"/>
      <c r="AA34" s="379">
        <v>532</v>
      </c>
      <c r="AB34" s="379"/>
      <c r="AC34" s="50"/>
      <c r="AD34" s="50"/>
      <c r="AE34" s="379"/>
      <c r="AF34" s="379"/>
      <c r="AI34" s="379"/>
      <c r="AJ34" s="379"/>
      <c r="AK34" s="156"/>
      <c r="AL34" s="379"/>
      <c r="AM34" s="50"/>
      <c r="AN34" s="50"/>
    </row>
    <row r="35" spans="1:40" x14ac:dyDescent="0.25">
      <c r="A35" s="45">
        <v>16</v>
      </c>
      <c r="B35" s="378"/>
      <c r="C35" s="52" t="s">
        <v>247</v>
      </c>
      <c r="D35" s="378"/>
      <c r="E35" s="378"/>
      <c r="F35" s="336">
        <f>468+122+384</f>
        <v>974</v>
      </c>
      <c r="G35" s="131"/>
      <c r="H35" s="336">
        <f t="shared" si="2"/>
        <v>39528</v>
      </c>
      <c r="I35" s="5"/>
      <c r="J35" s="223">
        <f t="shared" si="3"/>
        <v>9.1199999999999992</v>
      </c>
      <c r="K35" s="446"/>
      <c r="L35" s="5">
        <f>ROUND(F35*J35,0)</f>
        <v>8883</v>
      </c>
      <c r="M35" s="5"/>
      <c r="N35" s="6">
        <f t="shared" si="5"/>
        <v>3.6</v>
      </c>
      <c r="O35" s="6"/>
      <c r="P35" s="5">
        <f t="shared" si="6"/>
        <v>27</v>
      </c>
      <c r="Q35" s="5"/>
      <c r="R35" s="5">
        <f>P35+L35</f>
        <v>8910</v>
      </c>
      <c r="S35" s="65"/>
      <c r="V35" s="449"/>
      <c r="Y35" s="77">
        <f t="shared" si="8"/>
        <v>8.1499999999999986</v>
      </c>
      <c r="Z35" s="464"/>
      <c r="AA35" s="379">
        <v>487</v>
      </c>
      <c r="AB35" s="379"/>
      <c r="AC35" s="50"/>
      <c r="AD35" s="50"/>
      <c r="AE35" s="379"/>
      <c r="AF35" s="379"/>
      <c r="AI35" s="379"/>
      <c r="AJ35" s="379"/>
      <c r="AK35" s="156"/>
      <c r="AL35" s="379"/>
      <c r="AM35" s="50"/>
      <c r="AN35" s="50"/>
    </row>
    <row r="36" spans="1:40" x14ac:dyDescent="0.25">
      <c r="A36" s="45">
        <v>17</v>
      </c>
      <c r="B36" s="378"/>
      <c r="C36" s="46" t="s">
        <v>244</v>
      </c>
      <c r="D36" s="378"/>
      <c r="E36" s="378"/>
      <c r="F36" s="336">
        <f>588+72+612</f>
        <v>1272</v>
      </c>
      <c r="G36" s="131"/>
      <c r="H36" s="336">
        <f t="shared" si="2"/>
        <v>56392</v>
      </c>
      <c r="I36" s="5"/>
      <c r="J36" s="223">
        <f t="shared" si="3"/>
        <v>9.23</v>
      </c>
      <c r="K36" s="446"/>
      <c r="L36" s="5">
        <f>ROUND(F36*J36,0)</f>
        <v>11741</v>
      </c>
      <c r="M36" s="5"/>
      <c r="N36" s="6">
        <f t="shared" si="5"/>
        <v>4.7</v>
      </c>
      <c r="O36" s="6"/>
      <c r="P36" s="5">
        <f t="shared" si="6"/>
        <v>38</v>
      </c>
      <c r="Q36" s="5"/>
      <c r="R36" s="5">
        <f>P36+L36</f>
        <v>11779</v>
      </c>
      <c r="S36" s="65"/>
      <c r="V36" s="449"/>
      <c r="Y36" s="77">
        <f t="shared" si="8"/>
        <v>8.17</v>
      </c>
      <c r="Z36" s="464"/>
      <c r="AA36" s="379">
        <v>532</v>
      </c>
      <c r="AB36" s="379"/>
      <c r="AC36" s="50"/>
      <c r="AD36" s="50"/>
      <c r="AE36" s="379"/>
      <c r="AF36" s="379"/>
      <c r="AI36" s="379"/>
      <c r="AJ36" s="379"/>
      <c r="AK36" s="156"/>
      <c r="AL36" s="379"/>
      <c r="AM36" s="50"/>
      <c r="AN36" s="50"/>
    </row>
    <row r="37" spans="1:40" x14ac:dyDescent="0.25">
      <c r="A37" s="45">
        <v>19</v>
      </c>
      <c r="B37" s="378"/>
      <c r="C37" s="46" t="s">
        <v>245</v>
      </c>
      <c r="D37" s="378"/>
      <c r="E37" s="378"/>
      <c r="F37" s="336">
        <v>2616</v>
      </c>
      <c r="G37" s="131"/>
      <c r="H37" s="336">
        <f t="shared" si="2"/>
        <v>115976</v>
      </c>
      <c r="I37" s="5"/>
      <c r="J37" s="223">
        <f t="shared" si="3"/>
        <v>9.23</v>
      </c>
      <c r="K37" s="446"/>
      <c r="L37" s="5">
        <f>ROUND(F37*J37,0)</f>
        <v>24146</v>
      </c>
      <c r="M37" s="5"/>
      <c r="N37" s="6">
        <f t="shared" si="5"/>
        <v>9.6999999999999993</v>
      </c>
      <c r="O37" s="6"/>
      <c r="P37" s="5">
        <f t="shared" si="6"/>
        <v>79</v>
      </c>
      <c r="Q37" s="5"/>
      <c r="R37" s="5">
        <f>P37+L37</f>
        <v>24225</v>
      </c>
      <c r="S37" s="65"/>
      <c r="V37" s="449"/>
      <c r="Y37" s="77">
        <f t="shared" si="8"/>
        <v>8.17</v>
      </c>
      <c r="Z37" s="464"/>
      <c r="AA37" s="379">
        <v>532</v>
      </c>
      <c r="AB37" s="379"/>
      <c r="AC37" s="50"/>
      <c r="AD37" s="50"/>
      <c r="AE37" s="379"/>
      <c r="AF37" s="379"/>
      <c r="AI37" s="379"/>
      <c r="AJ37" s="379"/>
      <c r="AK37" s="156"/>
      <c r="AL37" s="379"/>
      <c r="AM37" s="50"/>
      <c r="AN37" s="50"/>
    </row>
    <row r="38" spans="1:40" x14ac:dyDescent="0.25">
      <c r="A38" s="45">
        <v>14</v>
      </c>
      <c r="B38" s="378"/>
      <c r="C38" s="46" t="s">
        <v>335</v>
      </c>
      <c r="D38" s="378"/>
      <c r="E38" s="378"/>
      <c r="F38" s="391">
        <v>0</v>
      </c>
      <c r="G38" s="131"/>
      <c r="H38" s="336">
        <f t="shared" si="2"/>
        <v>0</v>
      </c>
      <c r="I38" s="86"/>
      <c r="J38" s="223">
        <f t="shared" si="3"/>
        <v>9.1199999999999992</v>
      </c>
      <c r="K38" s="485"/>
      <c r="L38" s="5">
        <f>ROUND(F38*J38,0)</f>
        <v>0</v>
      </c>
      <c r="M38" s="5"/>
      <c r="N38" s="6">
        <f t="shared" si="5"/>
        <v>0</v>
      </c>
      <c r="O38" s="6"/>
      <c r="P38" s="5">
        <f t="shared" si="6"/>
        <v>0</v>
      </c>
      <c r="Q38" s="5"/>
      <c r="R38" s="5">
        <f>P38+L38</f>
        <v>0</v>
      </c>
      <c r="S38" s="65"/>
      <c r="V38" s="381"/>
      <c r="Y38" s="77">
        <f t="shared" si="8"/>
        <v>8.1499999999999986</v>
      </c>
      <c r="Z38" s="464"/>
      <c r="AA38" s="381">
        <v>487</v>
      </c>
      <c r="AB38" s="381"/>
      <c r="AC38" s="381"/>
      <c r="AD38" s="381"/>
      <c r="AE38" s="381"/>
      <c r="AF38" s="381"/>
      <c r="AI38" s="381"/>
      <c r="AJ38" s="381"/>
      <c r="AK38" s="162"/>
      <c r="AL38" s="381"/>
      <c r="AM38" s="50"/>
      <c r="AN38" s="50"/>
    </row>
    <row r="39" spans="1:40" x14ac:dyDescent="0.25">
      <c r="A39" s="45">
        <v>18</v>
      </c>
      <c r="B39" s="378"/>
      <c r="C39" s="46" t="s">
        <v>306</v>
      </c>
      <c r="D39" s="378"/>
      <c r="E39" s="378"/>
      <c r="F39" s="336">
        <f>84+72</f>
        <v>156</v>
      </c>
      <c r="G39" s="131"/>
      <c r="H39" s="336">
        <f t="shared" si="2"/>
        <v>6916</v>
      </c>
      <c r="I39" s="5"/>
      <c r="J39" s="223">
        <f t="shared" si="3"/>
        <v>9.23</v>
      </c>
      <c r="K39" s="446"/>
      <c r="L39" s="5">
        <f t="shared" si="4"/>
        <v>1440</v>
      </c>
      <c r="M39" s="5"/>
      <c r="N39" s="6">
        <f t="shared" si="5"/>
        <v>0.6</v>
      </c>
      <c r="O39" s="6"/>
      <c r="P39" s="5">
        <f t="shared" si="6"/>
        <v>5</v>
      </c>
      <c r="Q39" s="5"/>
      <c r="R39" s="5">
        <f t="shared" si="7"/>
        <v>1445</v>
      </c>
      <c r="S39" s="65"/>
      <c r="V39" s="449"/>
      <c r="Y39" s="77">
        <f t="shared" si="8"/>
        <v>8.17</v>
      </c>
      <c r="Z39" s="464"/>
      <c r="AA39" s="379">
        <v>532</v>
      </c>
      <c r="AB39" s="379"/>
      <c r="AC39" s="50"/>
      <c r="AD39" s="50"/>
      <c r="AE39" s="379"/>
      <c r="AF39" s="379"/>
      <c r="AI39" s="379"/>
      <c r="AJ39" s="379"/>
      <c r="AK39" s="156"/>
      <c r="AL39" s="379"/>
      <c r="AM39" s="50"/>
      <c r="AN39" s="50"/>
    </row>
    <row r="40" spans="1:40" x14ac:dyDescent="0.25">
      <c r="A40" s="45"/>
      <c r="B40" s="378"/>
      <c r="C40" s="46"/>
      <c r="D40" s="378"/>
      <c r="E40" s="378"/>
      <c r="F40" s="336"/>
      <c r="G40" s="131"/>
      <c r="H40" s="191"/>
      <c r="I40" s="5"/>
      <c r="J40" s="223"/>
      <c r="K40" s="446"/>
      <c r="L40" s="5"/>
      <c r="M40" s="5"/>
      <c r="N40" s="6"/>
      <c r="O40" s="6"/>
      <c r="P40" s="5"/>
      <c r="Q40" s="5"/>
      <c r="R40" s="5"/>
      <c r="S40" s="65"/>
      <c r="V40" s="449"/>
      <c r="Y40" s="449"/>
      <c r="Z40" s="464"/>
      <c r="AA40" s="379"/>
      <c r="AB40" s="379"/>
      <c r="AC40" s="50"/>
      <c r="AD40" s="50"/>
      <c r="AE40" s="379"/>
      <c r="AF40" s="379"/>
      <c r="AI40" s="379"/>
      <c r="AJ40" s="379"/>
      <c r="AK40" s="156"/>
      <c r="AL40" s="379"/>
      <c r="AM40" s="50"/>
      <c r="AN40" s="50"/>
    </row>
    <row r="41" spans="1:40" x14ac:dyDescent="0.25">
      <c r="A41" s="45">
        <v>20</v>
      </c>
      <c r="B41" s="378"/>
      <c r="C41" s="222" t="s">
        <v>209</v>
      </c>
      <c r="D41" s="378"/>
      <c r="E41" s="378"/>
      <c r="F41" s="336"/>
      <c r="G41" s="131"/>
      <c r="H41" s="191"/>
      <c r="I41" s="5"/>
      <c r="J41" s="223"/>
      <c r="K41" s="446"/>
      <c r="L41" s="5"/>
      <c r="M41" s="5"/>
      <c r="N41" s="6"/>
      <c r="O41" s="6"/>
      <c r="P41" s="5"/>
      <c r="Q41" s="5"/>
      <c r="R41" s="5"/>
      <c r="S41" s="65"/>
      <c r="V41" s="449"/>
      <c r="Y41" s="449"/>
      <c r="Z41" s="464"/>
      <c r="AA41" s="379"/>
      <c r="AB41" s="379"/>
      <c r="AC41" s="50"/>
      <c r="AD41" s="50"/>
      <c r="AE41" s="379"/>
      <c r="AF41" s="379"/>
      <c r="AI41" s="379"/>
      <c r="AJ41" s="379"/>
      <c r="AK41" s="156"/>
      <c r="AL41" s="379"/>
      <c r="AM41" s="50"/>
      <c r="AN41" s="50"/>
    </row>
    <row r="42" spans="1:40" x14ac:dyDescent="0.25">
      <c r="A42" s="45">
        <v>21</v>
      </c>
      <c r="B42" s="378"/>
      <c r="C42" s="52" t="s">
        <v>250</v>
      </c>
      <c r="D42" s="378"/>
      <c r="E42" s="378"/>
      <c r="F42" s="391">
        <v>481</v>
      </c>
      <c r="G42" s="131"/>
      <c r="H42" s="336">
        <f t="shared" ref="H42:H44" si="9">ROUND(F42*AA42/12,0)</f>
        <v>41005</v>
      </c>
      <c r="I42" s="86"/>
      <c r="J42" s="223">
        <f>ROUND(AC98+(AC98*LT_COS_RATE),2)</f>
        <v>13.1</v>
      </c>
      <c r="K42" s="485"/>
      <c r="L42" s="5">
        <f>ROUND(F42*J42,0)</f>
        <v>6301</v>
      </c>
      <c r="M42" s="5"/>
      <c r="N42" s="6">
        <f>ROUND((L42/L$52)*100,1)</f>
        <v>2.5</v>
      </c>
      <c r="O42" s="6"/>
      <c r="P42" s="5">
        <f>ROUND((P$52/H$52)*H42,0)</f>
        <v>28</v>
      </c>
      <c r="Q42" s="5"/>
      <c r="R42" s="5">
        <f>P42+L42</f>
        <v>6329</v>
      </c>
      <c r="S42" s="65"/>
      <c r="V42" s="381"/>
      <c r="Y42" s="77">
        <f>J42-AY98</f>
        <v>11.07</v>
      </c>
      <c r="Z42" s="464"/>
      <c r="AA42" s="381">
        <v>1023</v>
      </c>
      <c r="AB42" s="381"/>
      <c r="AC42" s="381"/>
      <c r="AD42" s="381"/>
      <c r="AE42" s="381"/>
      <c r="AF42" s="381"/>
      <c r="AI42" s="381"/>
      <c r="AJ42" s="381"/>
      <c r="AK42" s="162"/>
      <c r="AL42" s="381"/>
      <c r="AM42" s="50"/>
      <c r="AN42" s="50"/>
    </row>
    <row r="43" spans="1:40" x14ac:dyDescent="0.25">
      <c r="A43" s="45">
        <v>22</v>
      </c>
      <c r="B43" s="378"/>
      <c r="C43" s="52" t="s">
        <v>249</v>
      </c>
      <c r="D43" s="378"/>
      <c r="E43" s="378"/>
      <c r="F43" s="391">
        <v>24</v>
      </c>
      <c r="G43" s="131"/>
      <c r="H43" s="336">
        <f t="shared" si="9"/>
        <v>3918</v>
      </c>
      <c r="I43" s="86"/>
      <c r="J43" s="223">
        <f>ROUND(AC99+(AC99*LT_COS_RATE),2)</f>
        <v>17.329999999999998</v>
      </c>
      <c r="K43" s="485"/>
      <c r="L43" s="5">
        <f>ROUND(F43*J43,0)</f>
        <v>416</v>
      </c>
      <c r="M43" s="5"/>
      <c r="N43" s="6">
        <f>ROUND((L43/L$52)*100,1)</f>
        <v>0.2</v>
      </c>
      <c r="O43" s="6"/>
      <c r="P43" s="5">
        <f>ROUND((P$52/H$52)*H43,0)</f>
        <v>3</v>
      </c>
      <c r="Q43" s="5"/>
      <c r="R43" s="5">
        <f>P43+L43</f>
        <v>419</v>
      </c>
      <c r="S43" s="65"/>
      <c r="Y43" s="77">
        <f>J43-AY99</f>
        <v>13.439999999999998</v>
      </c>
      <c r="AA43" s="379">
        <v>1959</v>
      </c>
      <c r="AB43" s="379"/>
      <c r="AC43" s="379"/>
      <c r="AD43" s="379"/>
      <c r="AI43" s="379"/>
      <c r="AJ43" s="379"/>
      <c r="AK43" s="156"/>
      <c r="AL43" s="379"/>
    </row>
    <row r="44" spans="1:40" x14ac:dyDescent="0.25">
      <c r="A44" s="380">
        <v>23</v>
      </c>
      <c r="C44" s="380" t="s">
        <v>248</v>
      </c>
      <c r="F44" s="494">
        <v>0</v>
      </c>
      <c r="G44" s="198"/>
      <c r="H44" s="336">
        <f t="shared" si="9"/>
        <v>0</v>
      </c>
      <c r="I44" s="94"/>
      <c r="J44" s="223">
        <f>ROUND(AC100+(AC100*LT_COS_RATE),2)</f>
        <v>17.329999999999998</v>
      </c>
      <c r="K44" s="524"/>
      <c r="L44" s="81">
        <f>ROUND(F44*J44,0)</f>
        <v>0</v>
      </c>
      <c r="M44" s="83"/>
      <c r="N44" s="88">
        <f>ROUND((L44/L$52)*100,1)</f>
        <v>0</v>
      </c>
      <c r="O44" s="91"/>
      <c r="P44" s="81">
        <f>ROUND((P$52/H$52)*H44,0)</f>
        <v>0</v>
      </c>
      <c r="Q44" s="83"/>
      <c r="R44" s="81">
        <f>P44+L44</f>
        <v>0</v>
      </c>
      <c r="S44" s="77"/>
      <c r="Y44" s="77">
        <f>J44-AY100</f>
        <v>13.439999999999998</v>
      </c>
      <c r="AA44" s="379">
        <v>1959</v>
      </c>
      <c r="AD44" s="379"/>
      <c r="AI44" s="379"/>
      <c r="AJ44" s="379"/>
      <c r="AK44" s="156"/>
      <c r="AL44" s="379"/>
    </row>
    <row r="45" spans="1:40" ht="20.100000000000001" customHeight="1" x14ac:dyDescent="0.25">
      <c r="A45" s="45">
        <v>24</v>
      </c>
      <c r="B45" s="378"/>
      <c r="C45" s="444" t="s">
        <v>547</v>
      </c>
      <c r="D45" s="378"/>
      <c r="F45" s="264">
        <f>SUM(F22:F44)</f>
        <v>25036</v>
      </c>
      <c r="G45" s="198"/>
      <c r="H45" s="264">
        <f>SUM(H22:H44)</f>
        <v>1493016</v>
      </c>
      <c r="I45" s="94"/>
      <c r="J45" s="223"/>
      <c r="K45" s="524"/>
      <c r="L45" s="264">
        <f>SUM(L22:L44)</f>
        <v>220826</v>
      </c>
      <c r="M45" s="83"/>
      <c r="N45" s="93">
        <f>ROUND((L45/L$52)*100,1)</f>
        <v>88.3</v>
      </c>
      <c r="O45" s="91"/>
      <c r="P45" s="264">
        <f>SUM(P22:P44)</f>
        <v>1019</v>
      </c>
      <c r="Q45" s="83"/>
      <c r="R45" s="264">
        <f>SUM(R22:R44)</f>
        <v>221845</v>
      </c>
      <c r="S45" s="77"/>
      <c r="Y45" s="77"/>
      <c r="AD45" s="379"/>
      <c r="AI45" s="379"/>
      <c r="AJ45" s="379"/>
      <c r="AK45" s="156"/>
      <c r="AL45" s="379"/>
    </row>
    <row r="46" spans="1:40" x14ac:dyDescent="0.25">
      <c r="A46" s="45"/>
      <c r="B46" s="378"/>
      <c r="C46" s="444"/>
      <c r="D46" s="378"/>
      <c r="F46" s="447"/>
      <c r="G46" s="198"/>
      <c r="H46" s="347"/>
      <c r="I46" s="94"/>
      <c r="J46" s="223"/>
      <c r="K46" s="524"/>
      <c r="L46" s="83"/>
      <c r="M46" s="83"/>
      <c r="N46" s="91"/>
      <c r="O46" s="91"/>
      <c r="P46" s="83"/>
      <c r="Q46" s="83"/>
      <c r="R46" s="83"/>
      <c r="S46" s="77"/>
      <c r="Y46" s="77"/>
      <c r="AD46" s="379"/>
      <c r="AI46" s="379"/>
      <c r="AJ46" s="379"/>
      <c r="AK46" s="156"/>
      <c r="AL46" s="379"/>
    </row>
    <row r="47" spans="1:40" x14ac:dyDescent="0.25">
      <c r="A47" s="45">
        <v>25</v>
      </c>
      <c r="B47" s="378"/>
      <c r="C47" s="222" t="s">
        <v>542</v>
      </c>
      <c r="D47" s="378"/>
      <c r="F47" s="447"/>
      <c r="G47" s="198"/>
      <c r="H47" s="347"/>
      <c r="I47" s="94"/>
      <c r="J47" s="223"/>
      <c r="K47" s="524"/>
      <c r="L47" s="83"/>
      <c r="M47" s="83"/>
      <c r="N47" s="91"/>
      <c r="O47" s="91"/>
      <c r="P47" s="83"/>
      <c r="Q47" s="83"/>
      <c r="R47" s="83"/>
      <c r="S47" s="77"/>
      <c r="Y47" s="77"/>
      <c r="AD47" s="379"/>
      <c r="AI47" s="379"/>
      <c r="AJ47" s="379"/>
      <c r="AK47" s="156"/>
      <c r="AL47" s="379"/>
    </row>
    <row r="48" spans="1:40" x14ac:dyDescent="0.25">
      <c r="A48" s="45">
        <v>26</v>
      </c>
      <c r="B48" s="378"/>
      <c r="C48" s="216" t="str">
        <f>ESM_Name</f>
        <v>ENVIRONMENTAL SURCHARGE MECHANISM RIDER (ESM)</v>
      </c>
      <c r="D48" s="378"/>
      <c r="E48" s="378"/>
      <c r="F48" s="310"/>
      <c r="G48" s="2"/>
      <c r="H48" s="83"/>
      <c r="I48" s="5"/>
      <c r="J48" s="522"/>
      <c r="K48" s="524"/>
      <c r="L48" s="83">
        <f>AE104</f>
        <v>29443</v>
      </c>
      <c r="M48" s="83"/>
      <c r="N48" s="91">
        <f>ROUND((L48/L$52)*100,1)</f>
        <v>11.8</v>
      </c>
      <c r="O48" s="91"/>
      <c r="P48" s="83"/>
      <c r="Q48" s="83"/>
      <c r="R48" s="83">
        <f t="shared" ref="R48" si="10">P48+L48</f>
        <v>29443</v>
      </c>
      <c r="S48" s="77"/>
      <c r="Y48" s="77"/>
      <c r="AD48" s="379"/>
      <c r="AI48" s="379"/>
      <c r="AJ48" s="379"/>
      <c r="AK48" s="156"/>
      <c r="AL48" s="379"/>
    </row>
    <row r="49" spans="1:47" x14ac:dyDescent="0.25">
      <c r="A49" s="45">
        <v>29</v>
      </c>
      <c r="B49" s="378"/>
      <c r="C49" s="300" t="str">
        <f>PSM_Name</f>
        <v>PROFIT SHARING MECHANISM (PSM)</v>
      </c>
      <c r="D49" s="378"/>
      <c r="E49" s="378"/>
      <c r="F49" s="83"/>
      <c r="G49" s="2"/>
      <c r="H49" s="83"/>
      <c r="I49" s="5"/>
      <c r="J49" s="551">
        <f>PRO_PSM</f>
        <v>-1.63E-4</v>
      </c>
      <c r="K49" s="524"/>
      <c r="L49" s="81">
        <f>ROUND($H$45*J49,0)</f>
        <v>-243</v>
      </c>
      <c r="M49" s="83"/>
      <c r="N49" s="148">
        <f>ROUND((L49/L$52)*100,1)</f>
        <v>-0.1</v>
      </c>
      <c r="O49" s="91"/>
      <c r="P49" s="81"/>
      <c r="Q49" s="83"/>
      <c r="R49" s="81">
        <f t="shared" ref="R49" si="11">P49+L49</f>
        <v>-243</v>
      </c>
      <c r="S49" s="77"/>
      <c r="Y49" s="77"/>
      <c r="AD49" s="379"/>
      <c r="AI49" s="379"/>
      <c r="AJ49" s="379"/>
      <c r="AK49" s="156"/>
      <c r="AL49" s="379"/>
    </row>
    <row r="50" spans="1:47" ht="20.100000000000001" customHeight="1" x14ac:dyDescent="0.25">
      <c r="A50" s="45">
        <v>30</v>
      </c>
      <c r="B50" s="378"/>
      <c r="C50" s="222" t="s">
        <v>538</v>
      </c>
      <c r="D50" s="378"/>
      <c r="F50" s="494"/>
      <c r="G50" s="198"/>
      <c r="H50" s="573"/>
      <c r="I50" s="94"/>
      <c r="J50" s="223"/>
      <c r="K50" s="524"/>
      <c r="L50" s="81">
        <f>SUM(L48:L49)</f>
        <v>29200</v>
      </c>
      <c r="M50" s="83"/>
      <c r="N50" s="150">
        <f>ROUND((L50/L$52)*100,1)</f>
        <v>11.7</v>
      </c>
      <c r="O50" s="91"/>
      <c r="P50" s="90"/>
      <c r="Q50" s="83"/>
      <c r="R50" s="90">
        <f>SUM(R48:R49)</f>
        <v>29200</v>
      </c>
      <c r="S50" s="77"/>
      <c r="Y50" s="77"/>
      <c r="AD50" s="379"/>
      <c r="AI50" s="379"/>
      <c r="AJ50" s="379"/>
      <c r="AK50" s="156"/>
      <c r="AL50" s="379"/>
    </row>
    <row r="51" spans="1:47" x14ac:dyDescent="0.25">
      <c r="F51" s="447"/>
      <c r="G51" s="198"/>
      <c r="H51" s="347"/>
      <c r="I51" s="94"/>
      <c r="J51" s="223"/>
      <c r="K51" s="524"/>
      <c r="L51" s="83"/>
      <c r="M51" s="83"/>
      <c r="N51" s="91"/>
      <c r="O51" s="91"/>
      <c r="P51" s="83"/>
      <c r="Q51" s="83"/>
      <c r="R51" s="83"/>
      <c r="S51" s="77"/>
      <c r="Y51" s="77"/>
      <c r="AD51" s="379"/>
      <c r="AI51" s="379"/>
      <c r="AJ51" s="379"/>
      <c r="AK51" s="156"/>
      <c r="AL51" s="379"/>
    </row>
    <row r="52" spans="1:47" ht="20.100000000000001" customHeight="1" thickBot="1" x14ac:dyDescent="0.3">
      <c r="A52" s="45">
        <v>31</v>
      </c>
      <c r="B52" s="378"/>
      <c r="C52" s="222" t="s">
        <v>548</v>
      </c>
      <c r="D52" s="378"/>
      <c r="E52" s="378"/>
      <c r="F52" s="82">
        <f>SUM(F22:F44)</f>
        <v>25036</v>
      </c>
      <c r="G52" s="2"/>
      <c r="H52" s="82">
        <f>SUM(H22:H44)</f>
        <v>1493016</v>
      </c>
      <c r="I52" s="5"/>
      <c r="J52" s="485"/>
      <c r="K52" s="485"/>
      <c r="L52" s="82">
        <f>L50+L45</f>
        <v>250026</v>
      </c>
      <c r="M52" s="5"/>
      <c r="N52" s="98">
        <v>100</v>
      </c>
      <c r="O52" s="8"/>
      <c r="P52" s="525">
        <f>ROUND(H52*CUR_FAC,0)+1</f>
        <v>1018</v>
      </c>
      <c r="Q52" s="5"/>
      <c r="R52" s="82">
        <f>R50+R45</f>
        <v>251045</v>
      </c>
    </row>
    <row r="53" spans="1:47" ht="16.5" thickTop="1" x14ac:dyDescent="0.25">
      <c r="A53" s="378"/>
      <c r="B53" s="378"/>
      <c r="C53" s="378"/>
      <c r="D53" s="378"/>
      <c r="E53" s="378"/>
      <c r="F53" s="2"/>
      <c r="G53" s="2"/>
      <c r="H53" s="2"/>
      <c r="I53" s="2"/>
      <c r="J53" s="112"/>
      <c r="K53" s="2"/>
      <c r="L53" s="2"/>
      <c r="M53" s="2"/>
      <c r="N53" s="2"/>
      <c r="O53" s="2"/>
      <c r="P53" s="2"/>
      <c r="Q53" s="2"/>
      <c r="R53" s="2"/>
      <c r="T53" s="58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158"/>
      <c r="AH53" s="57"/>
      <c r="AI53" s="57"/>
      <c r="AJ53" s="57"/>
      <c r="AK53" s="158"/>
      <c r="AL53" s="57"/>
      <c r="AM53" s="57"/>
      <c r="AN53" s="57"/>
      <c r="AO53" s="57"/>
      <c r="AP53" s="57"/>
      <c r="AQ53" s="158"/>
    </row>
    <row r="54" spans="1:47" x14ac:dyDescent="0.25">
      <c r="B54" s="378"/>
      <c r="C54" s="243" t="s">
        <v>78</v>
      </c>
      <c r="D54" s="378"/>
      <c r="E54" s="378"/>
      <c r="F54" s="392"/>
      <c r="G54" s="378"/>
      <c r="H54" s="392"/>
      <c r="I54" s="392"/>
      <c r="J54" s="223"/>
      <c r="K54" s="450"/>
      <c r="L54" s="48"/>
      <c r="M54" s="48"/>
      <c r="N54" s="49"/>
      <c r="O54" s="49"/>
      <c r="P54" s="48"/>
      <c r="Q54" s="48"/>
      <c r="R54" s="48"/>
      <c r="AS54" s="379"/>
      <c r="AT54" s="379"/>
      <c r="AU54" s="50"/>
    </row>
    <row r="55" spans="1:47" x14ac:dyDescent="0.25">
      <c r="B55" s="378"/>
      <c r="C55" s="243" t="str">
        <f>"(2) REFLECTS FUEL COMPONENT OF "&amp;TEXT(PRO_FAC,"$0.000000;($0.000000)")&amp;" PER KWH."</f>
        <v>(2) REFLECTS FUEL COMPONENT OF $0.000681 PER KWH.</v>
      </c>
      <c r="D55" s="378"/>
      <c r="E55" s="378"/>
      <c r="F55" s="392"/>
      <c r="G55" s="378"/>
      <c r="H55" s="392"/>
      <c r="I55" s="392"/>
      <c r="J55" s="223"/>
      <c r="K55" s="450"/>
      <c r="L55" s="48"/>
      <c r="M55" s="48"/>
      <c r="N55" s="49"/>
      <c r="O55" s="49"/>
      <c r="P55" s="48"/>
      <c r="Q55" s="48"/>
      <c r="R55" s="48"/>
      <c r="AS55" s="379"/>
      <c r="AT55" s="379"/>
      <c r="AU55" s="50"/>
    </row>
    <row r="56" spans="1:47" x14ac:dyDescent="0.25">
      <c r="B56" s="378"/>
      <c r="C56" s="243" t="str">
        <f>"(3) REFLECTS FUEL COST RECOVERY INCLUDED IN BASE RATES OF "&amp;TEXT(PRO_BASE_FUEL,"$0.000000;($0.000000)")&amp;"  PER KWH."</f>
        <v>(3) REFLECTS FUEL COST RECOVERY INCLUDED IN BASE RATES OF $0.023837  PER KWH.</v>
      </c>
      <c r="D56" s="378"/>
      <c r="E56" s="378"/>
      <c r="F56" s="392"/>
      <c r="G56" s="378"/>
      <c r="H56" s="392"/>
      <c r="I56" s="392"/>
      <c r="J56" s="223"/>
      <c r="K56" s="450"/>
      <c r="L56" s="48"/>
      <c r="M56" s="48"/>
      <c r="N56" s="49"/>
      <c r="O56" s="49"/>
      <c r="P56" s="48"/>
      <c r="Q56" s="48"/>
      <c r="R56" s="48"/>
      <c r="T56" s="53"/>
      <c r="V56" s="54"/>
      <c r="Y56" s="379"/>
      <c r="AC56" s="62"/>
      <c r="AD56" s="62"/>
      <c r="AE56" s="379"/>
      <c r="AF56" s="379"/>
      <c r="AO56" s="379"/>
      <c r="AP56" s="379"/>
      <c r="AS56" s="379"/>
      <c r="AT56" s="379"/>
      <c r="AU56" s="50"/>
    </row>
    <row r="57" spans="1:47" x14ac:dyDescent="0.25">
      <c r="J57" s="77"/>
      <c r="L57" s="54"/>
      <c r="M57" s="54"/>
      <c r="T57" s="43" t="str">
        <f>NAME</f>
        <v>DUKE ENERGY KENTUCKY, INC.</v>
      </c>
      <c r="U57" s="43"/>
      <c r="V57" s="43"/>
      <c r="W57" s="43"/>
      <c r="X57" s="43"/>
      <c r="Y57" s="43"/>
      <c r="Z57" s="43"/>
      <c r="AA57" s="43"/>
      <c r="AB57" s="43"/>
      <c r="AC57" s="44"/>
      <c r="AD57" s="44"/>
      <c r="AE57" s="43"/>
      <c r="AF57" s="57"/>
      <c r="AG57" s="144"/>
      <c r="AH57" s="57"/>
      <c r="AI57" s="43"/>
      <c r="AJ57" s="43"/>
      <c r="AK57" s="144"/>
      <c r="AL57" s="43"/>
      <c r="AM57" s="43"/>
      <c r="AN57" s="57"/>
      <c r="AO57" s="43"/>
      <c r="AP57" s="43"/>
      <c r="AQ57" s="144"/>
      <c r="AR57" s="449"/>
    </row>
    <row r="58" spans="1:47" x14ac:dyDescent="0.25">
      <c r="F58" s="382"/>
      <c r="H58" s="382"/>
      <c r="I58" s="382"/>
      <c r="J58" s="77"/>
      <c r="K58" s="77"/>
      <c r="L58" s="381"/>
      <c r="M58" s="181"/>
      <c r="N58" s="184"/>
      <c r="O58" s="184"/>
      <c r="P58" s="382"/>
      <c r="Q58" s="382"/>
      <c r="R58" s="382"/>
      <c r="T58" s="43" t="str">
        <f>CASE_NO</f>
        <v>CASE NO.   2019-000271</v>
      </c>
      <c r="U58" s="43"/>
      <c r="V58" s="43"/>
      <c r="W58" s="43"/>
      <c r="X58" s="43"/>
      <c r="Y58" s="43"/>
      <c r="Z58" s="43"/>
      <c r="AA58" s="43"/>
      <c r="AB58" s="43"/>
      <c r="AC58" s="44"/>
      <c r="AD58" s="44"/>
      <c r="AE58" s="43"/>
      <c r="AF58" s="57"/>
      <c r="AG58" s="144"/>
      <c r="AH58" s="57"/>
      <c r="AI58" s="43"/>
      <c r="AJ58" s="43"/>
      <c r="AK58" s="144"/>
      <c r="AL58" s="43"/>
      <c r="AM58" s="43"/>
      <c r="AN58" s="57"/>
      <c r="AO58" s="43"/>
      <c r="AP58" s="43"/>
      <c r="AQ58" s="144"/>
      <c r="AR58" s="449"/>
    </row>
    <row r="59" spans="1:47" x14ac:dyDescent="0.25">
      <c r="A59" s="53"/>
      <c r="F59" s="382"/>
      <c r="G59" s="382"/>
      <c r="H59" s="382"/>
      <c r="I59" s="382"/>
      <c r="J59" s="382"/>
      <c r="K59" s="382"/>
      <c r="L59" s="382"/>
      <c r="M59" s="382"/>
      <c r="N59" s="382"/>
      <c r="O59" s="382"/>
      <c r="P59" s="382"/>
      <c r="Q59" s="382"/>
      <c r="R59" s="381"/>
      <c r="T59" s="44" t="str">
        <f>TITLE</f>
        <v>ANNUALIZED BASE YEAR REVENUES AT PROPOSED VS. MOST CURRENT RATES</v>
      </c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57"/>
      <c r="AG59" s="144"/>
      <c r="AH59" s="57"/>
      <c r="AI59" s="43"/>
      <c r="AJ59" s="43"/>
      <c r="AK59" s="144"/>
      <c r="AL59" s="43"/>
      <c r="AM59" s="43"/>
      <c r="AN59" s="57"/>
      <c r="AO59" s="43"/>
      <c r="AP59" s="43"/>
      <c r="AQ59" s="144"/>
      <c r="AR59" s="449"/>
    </row>
    <row r="60" spans="1:47" x14ac:dyDescent="0.25">
      <c r="A60" s="53"/>
      <c r="F60" s="382"/>
      <c r="G60" s="382"/>
      <c r="H60" s="382"/>
      <c r="I60" s="382"/>
      <c r="J60" s="382"/>
      <c r="K60" s="382"/>
      <c r="L60" s="382"/>
      <c r="M60" s="382"/>
      <c r="N60" s="382"/>
      <c r="O60" s="382"/>
      <c r="P60" s="382"/>
      <c r="Q60" s="382"/>
      <c r="R60" s="382"/>
      <c r="T60" s="43" t="str">
        <f>DATE</f>
        <v>FOR THE TWELVE MONTHS ENDED November 30, 2019</v>
      </c>
      <c r="U60" s="43"/>
      <c r="V60" s="43"/>
      <c r="W60" s="43"/>
      <c r="X60" s="43"/>
      <c r="Y60" s="43"/>
      <c r="Z60" s="43"/>
      <c r="AA60" s="43"/>
      <c r="AB60" s="43"/>
      <c r="AC60" s="44"/>
      <c r="AD60" s="44"/>
      <c r="AE60" s="43"/>
      <c r="AF60" s="57"/>
      <c r="AG60" s="144"/>
      <c r="AH60" s="57"/>
      <c r="AI60" s="43"/>
      <c r="AJ60" s="43"/>
      <c r="AK60" s="144"/>
      <c r="AL60" s="43"/>
      <c r="AM60" s="43"/>
      <c r="AN60" s="57"/>
      <c r="AO60" s="43"/>
      <c r="AP60" s="43"/>
      <c r="AQ60" s="144"/>
      <c r="AR60" s="379"/>
    </row>
    <row r="61" spans="1:47" x14ac:dyDescent="0.25">
      <c r="A61" s="54"/>
      <c r="J61" s="77"/>
      <c r="R61" s="54"/>
      <c r="T61" s="43" t="str">
        <f>SERVICE</f>
        <v>(ELECTRIC SERVICE)</v>
      </c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4"/>
      <c r="AF61" s="58"/>
      <c r="AG61" s="144"/>
      <c r="AH61" s="57"/>
      <c r="AI61" s="43"/>
      <c r="AJ61" s="43"/>
      <c r="AK61" s="144"/>
      <c r="AL61" s="43"/>
      <c r="AM61" s="43"/>
      <c r="AN61" s="57"/>
      <c r="AO61" s="43"/>
      <c r="AP61" s="43"/>
      <c r="AQ61" s="144"/>
      <c r="AR61" s="379"/>
    </row>
    <row r="62" spans="1:47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66"/>
      <c r="K62" s="55"/>
      <c r="L62" s="55"/>
      <c r="M62" s="55"/>
      <c r="N62" s="55"/>
      <c r="O62" s="55"/>
      <c r="P62" s="55"/>
      <c r="Q62" s="55"/>
      <c r="R62" s="55"/>
      <c r="T62" s="45" t="str">
        <f>DATA_PERIOD</f>
        <v>DATA: __X__ BASE PERIOD   ____FORECASTED PERIOD</v>
      </c>
      <c r="U62" s="378"/>
      <c r="V62" s="378"/>
      <c r="W62" s="378"/>
      <c r="X62" s="378"/>
      <c r="Y62" s="378"/>
      <c r="Z62" s="378"/>
      <c r="AA62" s="378"/>
      <c r="AB62" s="378"/>
      <c r="AC62" s="378"/>
      <c r="AD62" s="378"/>
      <c r="AE62" s="378"/>
      <c r="AG62" s="143"/>
      <c r="AI62" s="378"/>
      <c r="AJ62" s="378"/>
      <c r="AK62" s="143"/>
      <c r="AL62" s="378"/>
      <c r="AM62" s="378"/>
      <c r="AO62" s="46" t="s">
        <v>164</v>
      </c>
      <c r="AP62" s="46"/>
      <c r="AQ62" s="143"/>
    </row>
    <row r="63" spans="1:47" x14ac:dyDescent="0.25">
      <c r="J63" s="77"/>
      <c r="L63" s="56"/>
      <c r="M63" s="56"/>
      <c r="N63" s="56"/>
      <c r="O63" s="56"/>
      <c r="R63" s="56"/>
      <c r="T63" s="45" t="str">
        <f>TYPE</f>
        <v>TYPE OF FILING: _X_ ORIGINAL   ___UPDATED  ___ REVISED</v>
      </c>
      <c r="U63" s="378"/>
      <c r="V63" s="378"/>
      <c r="W63" s="378"/>
      <c r="X63" s="378"/>
      <c r="Y63" s="378"/>
      <c r="Z63" s="378"/>
      <c r="AA63" s="378"/>
      <c r="AB63" s="378"/>
      <c r="AC63" s="378"/>
      <c r="AD63" s="378"/>
      <c r="AE63" s="378"/>
      <c r="AG63" s="143"/>
      <c r="AI63" s="378"/>
      <c r="AJ63" s="378"/>
      <c r="AK63" s="143"/>
      <c r="AL63" s="378"/>
      <c r="AM63" s="378"/>
      <c r="AO63" s="52" t="str">
        <f>"PAGE 20 OF "&amp;TEXT(Page_Num_2.2,"00")</f>
        <v>PAGE 20 OF 22</v>
      </c>
      <c r="AP63" s="46"/>
      <c r="AQ63" s="143"/>
    </row>
    <row r="64" spans="1:47" x14ac:dyDescent="0.25">
      <c r="C64" s="56"/>
      <c r="D64" s="56"/>
      <c r="E64" s="56"/>
      <c r="F64" s="56"/>
      <c r="H64" s="56"/>
      <c r="I64" s="56"/>
      <c r="J64" s="67"/>
      <c r="K64" s="56"/>
      <c r="L64" s="56"/>
      <c r="M64" s="56"/>
      <c r="N64" s="56"/>
      <c r="O64" s="56"/>
      <c r="P64" s="56"/>
      <c r="Q64" s="56"/>
      <c r="R64" s="56"/>
      <c r="T64" s="46" t="s">
        <v>177</v>
      </c>
      <c r="U64" s="378"/>
      <c r="V64" s="378"/>
      <c r="W64" s="378"/>
      <c r="X64" s="378"/>
      <c r="Y64" s="378"/>
      <c r="Z64" s="378"/>
      <c r="AA64" s="378"/>
      <c r="AB64" s="378"/>
      <c r="AC64" s="378"/>
      <c r="AD64" s="378"/>
      <c r="AE64" s="378"/>
      <c r="AF64" s="378"/>
      <c r="AG64" s="143"/>
      <c r="AH64" s="378"/>
      <c r="AI64" s="378"/>
      <c r="AJ64" s="378"/>
      <c r="AK64" s="143"/>
      <c r="AL64" s="378"/>
      <c r="AM64" s="378"/>
      <c r="AN64" s="378"/>
      <c r="AO64" s="46" t="s">
        <v>3</v>
      </c>
      <c r="AP64" s="46"/>
      <c r="AQ64" s="143"/>
    </row>
    <row r="65" spans="1:5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66"/>
      <c r="K65" s="55"/>
      <c r="L65" s="55"/>
      <c r="M65" s="55"/>
      <c r="N65" s="55"/>
      <c r="O65" s="55"/>
      <c r="P65" s="55"/>
      <c r="Q65" s="55"/>
      <c r="R65" s="55"/>
      <c r="T65" s="218" t="str">
        <f>TIME</f>
        <v>6 Months Actual and 6 Months Projected with Riders</v>
      </c>
      <c r="U65" s="378"/>
      <c r="V65" s="378"/>
      <c r="W65" s="378"/>
      <c r="X65" s="378"/>
      <c r="Y65" s="378"/>
      <c r="Z65" s="378"/>
      <c r="AA65" s="378"/>
      <c r="AB65" s="378"/>
      <c r="AC65" s="378"/>
      <c r="AD65" s="378"/>
      <c r="AF65" s="46"/>
      <c r="AG65" s="143"/>
      <c r="AH65" s="378"/>
      <c r="AI65" s="378"/>
      <c r="AJ65" s="378"/>
      <c r="AK65" s="143"/>
      <c r="AL65" s="378"/>
      <c r="AM65" s="378"/>
      <c r="AN65" s="378"/>
      <c r="AO65" s="48" t="str">
        <f>WIT</f>
        <v>J. L. Kern</v>
      </c>
      <c r="AP65" s="45"/>
      <c r="AQ65" s="143"/>
    </row>
    <row r="66" spans="1:51" x14ac:dyDescent="0.25">
      <c r="H66" s="56"/>
      <c r="I66" s="56"/>
      <c r="J66" s="67"/>
      <c r="K66" s="56"/>
      <c r="L66" s="56"/>
      <c r="M66" s="56"/>
      <c r="N66" s="56"/>
      <c r="O66" s="56"/>
      <c r="P66" s="56"/>
      <c r="Q66" s="56"/>
      <c r="R66" s="56"/>
      <c r="T66" s="44" t="s">
        <v>137</v>
      </c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4"/>
      <c r="AF66" s="44"/>
      <c r="AG66" s="144"/>
      <c r="AH66" s="43"/>
      <c r="AI66" s="43"/>
      <c r="AJ66" s="43"/>
      <c r="AK66" s="144"/>
      <c r="AL66" s="43"/>
      <c r="AM66" s="43"/>
      <c r="AN66" s="43"/>
      <c r="AO66" s="44"/>
      <c r="AP66" s="44"/>
      <c r="AQ66" s="144"/>
    </row>
    <row r="67" spans="1:51" x14ac:dyDescent="0.25">
      <c r="A67" s="53"/>
      <c r="C67" s="54"/>
      <c r="D67" s="54"/>
      <c r="E67" s="54"/>
      <c r="J67" s="77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159"/>
      <c r="AH67" s="72"/>
      <c r="AI67" s="72"/>
      <c r="AJ67" s="72"/>
      <c r="AK67" s="159"/>
      <c r="AL67" s="72"/>
      <c r="AM67" s="72"/>
      <c r="AN67" s="72"/>
      <c r="AO67" s="72"/>
      <c r="AP67" s="72"/>
      <c r="AQ67" s="159"/>
    </row>
    <row r="68" spans="1:51" ht="18" customHeight="1" x14ac:dyDescent="0.25">
      <c r="A68" s="53"/>
      <c r="C68" s="54"/>
      <c r="J68" s="77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4" t="s">
        <v>8</v>
      </c>
      <c r="AF68" s="74"/>
      <c r="AG68" s="160" t="s">
        <v>7</v>
      </c>
      <c r="AH68" s="74"/>
      <c r="AI68" s="74" t="s">
        <v>9</v>
      </c>
      <c r="AJ68" s="74"/>
      <c r="AK68" s="160" t="s">
        <v>10</v>
      </c>
      <c r="AL68" s="74"/>
      <c r="AM68" s="73"/>
      <c r="AN68" s="73"/>
      <c r="AO68" s="74" t="s">
        <v>8</v>
      </c>
      <c r="AP68" s="74"/>
      <c r="AQ68" s="160" t="s">
        <v>11</v>
      </c>
    </row>
    <row r="69" spans="1:51" x14ac:dyDescent="0.25">
      <c r="J69" s="77"/>
      <c r="T69" s="378"/>
      <c r="U69" s="378"/>
      <c r="V69" s="378"/>
      <c r="W69" s="378"/>
      <c r="X69" s="378"/>
      <c r="Y69" s="378"/>
      <c r="Z69" s="378"/>
      <c r="AA69" s="378"/>
      <c r="AB69" s="378"/>
      <c r="AC69" s="426" t="s">
        <v>14</v>
      </c>
      <c r="AD69" s="426"/>
      <c r="AE69" s="426" t="s">
        <v>12</v>
      </c>
      <c r="AF69" s="426"/>
      <c r="AG69" s="146" t="s">
        <v>13</v>
      </c>
      <c r="AH69" s="426"/>
      <c r="AI69" s="426" t="s">
        <v>15</v>
      </c>
      <c r="AJ69" s="426"/>
      <c r="AK69" s="146" t="s">
        <v>16</v>
      </c>
      <c r="AL69" s="426"/>
      <c r="AM69" s="378"/>
      <c r="AN69" s="378"/>
      <c r="AO69" s="426" t="s">
        <v>11</v>
      </c>
      <c r="AP69" s="426"/>
      <c r="AQ69" s="146" t="s">
        <v>9</v>
      </c>
    </row>
    <row r="70" spans="1:51" x14ac:dyDescent="0.25">
      <c r="A70" s="53"/>
      <c r="C70" s="54"/>
      <c r="F70" s="449"/>
      <c r="H70" s="449"/>
      <c r="I70" s="449"/>
      <c r="J70" s="221"/>
      <c r="K70" s="461"/>
      <c r="L70" s="379"/>
      <c r="M70" s="379"/>
      <c r="N70" s="50"/>
      <c r="O70" s="50"/>
      <c r="P70" s="53"/>
      <c r="Q70" s="53"/>
      <c r="R70" s="379"/>
      <c r="T70" s="426" t="s">
        <v>17</v>
      </c>
      <c r="U70" s="378"/>
      <c r="V70" s="426" t="s">
        <v>18</v>
      </c>
      <c r="W70" s="426" t="s">
        <v>19</v>
      </c>
      <c r="X70" s="426"/>
      <c r="Y70" s="426" t="s">
        <v>20</v>
      </c>
      <c r="Z70" s="378"/>
      <c r="AA70" s="378"/>
      <c r="AB70" s="378"/>
      <c r="AC70" s="426" t="s">
        <v>8</v>
      </c>
      <c r="AD70" s="426"/>
      <c r="AE70" s="426" t="s">
        <v>21</v>
      </c>
      <c r="AF70" s="426"/>
      <c r="AG70" s="146" t="s">
        <v>21</v>
      </c>
      <c r="AH70" s="426"/>
      <c r="AI70" s="426" t="s">
        <v>22</v>
      </c>
      <c r="AJ70" s="426"/>
      <c r="AK70" s="146" t="s">
        <v>22</v>
      </c>
      <c r="AL70" s="426"/>
      <c r="AM70" s="426" t="s">
        <v>21</v>
      </c>
      <c r="AN70" s="426"/>
      <c r="AO70" s="426" t="s">
        <v>9</v>
      </c>
      <c r="AP70" s="426"/>
      <c r="AQ70" s="146" t="s">
        <v>23</v>
      </c>
      <c r="AU70" s="137" t="s">
        <v>470</v>
      </c>
      <c r="AX70" s="380" t="s">
        <v>354</v>
      </c>
      <c r="AY70" s="380" t="s">
        <v>355</v>
      </c>
    </row>
    <row r="71" spans="1:51" x14ac:dyDescent="0.25">
      <c r="A71" s="53"/>
      <c r="C71" s="54"/>
      <c r="F71" s="449"/>
      <c r="H71" s="449"/>
      <c r="I71" s="449"/>
      <c r="J71" s="221"/>
      <c r="K71" s="461"/>
      <c r="L71" s="379"/>
      <c r="M71" s="379"/>
      <c r="N71" s="50"/>
      <c r="O71" s="50"/>
      <c r="P71" s="53"/>
      <c r="Q71" s="53"/>
      <c r="R71" s="379"/>
      <c r="T71" s="426" t="s">
        <v>24</v>
      </c>
      <c r="U71" s="378"/>
      <c r="V71" s="426" t="s">
        <v>25</v>
      </c>
      <c r="W71" s="426" t="s">
        <v>26</v>
      </c>
      <c r="X71" s="426"/>
      <c r="Y71" s="426" t="s">
        <v>27</v>
      </c>
      <c r="Z71" s="378"/>
      <c r="AA71" s="426" t="s">
        <v>28</v>
      </c>
      <c r="AB71" s="426"/>
      <c r="AC71" s="70" t="s">
        <v>380</v>
      </c>
      <c r="AD71" s="426"/>
      <c r="AE71" s="426" t="s">
        <v>9</v>
      </c>
      <c r="AF71" s="426"/>
      <c r="AG71" s="146" t="s">
        <v>9</v>
      </c>
      <c r="AH71" s="426"/>
      <c r="AI71" s="265" t="s">
        <v>31</v>
      </c>
      <c r="AJ71" s="265"/>
      <c r="AK71" s="440" t="s">
        <v>32</v>
      </c>
      <c r="AL71" s="426"/>
      <c r="AM71" s="426" t="s">
        <v>379</v>
      </c>
      <c r="AN71" s="426"/>
      <c r="AO71" s="265" t="s">
        <v>33</v>
      </c>
      <c r="AP71" s="265"/>
      <c r="AQ71" s="440" t="s">
        <v>34</v>
      </c>
      <c r="AU71" s="137" t="s">
        <v>471</v>
      </c>
      <c r="AW71" s="380" t="s">
        <v>353</v>
      </c>
      <c r="AX71" s="380" t="s">
        <v>352</v>
      </c>
      <c r="AY71" s="380" t="s">
        <v>352</v>
      </c>
    </row>
    <row r="72" spans="1:51" x14ac:dyDescent="0.25">
      <c r="A72" s="53"/>
      <c r="C72" s="54"/>
      <c r="F72" s="449"/>
      <c r="H72" s="449"/>
      <c r="I72" s="449"/>
      <c r="J72" s="221"/>
      <c r="K72" s="461"/>
      <c r="L72" s="379"/>
      <c r="M72" s="379"/>
      <c r="N72" s="50"/>
      <c r="O72" s="50"/>
      <c r="P72" s="53"/>
      <c r="Q72" s="53"/>
      <c r="R72" s="379"/>
      <c r="T72" s="378"/>
      <c r="U72" s="378"/>
      <c r="V72" s="265" t="s">
        <v>35</v>
      </c>
      <c r="W72" s="265" t="s">
        <v>36</v>
      </c>
      <c r="X72" s="265"/>
      <c r="Y72" s="265" t="s">
        <v>37</v>
      </c>
      <c r="Z72" s="218"/>
      <c r="AA72" s="265" t="s">
        <v>38</v>
      </c>
      <c r="AB72" s="265"/>
      <c r="AC72" s="265" t="s">
        <v>44</v>
      </c>
      <c r="AD72" s="265"/>
      <c r="AE72" s="265" t="s">
        <v>45</v>
      </c>
      <c r="AF72" s="265"/>
      <c r="AG72" s="440" t="s">
        <v>46</v>
      </c>
      <c r="AH72" s="265"/>
      <c r="AI72" s="265" t="s">
        <v>47</v>
      </c>
      <c r="AJ72" s="265"/>
      <c r="AK72" s="440" t="s">
        <v>48</v>
      </c>
      <c r="AL72" s="265"/>
      <c r="AM72" s="265" t="s">
        <v>42</v>
      </c>
      <c r="AN72" s="265"/>
      <c r="AO72" s="265" t="s">
        <v>49</v>
      </c>
      <c r="AP72" s="265"/>
      <c r="AQ72" s="440" t="s">
        <v>50</v>
      </c>
      <c r="AU72" s="137" t="s">
        <v>472</v>
      </c>
      <c r="AX72" s="380">
        <f>CUR_BASE_FUEL</f>
        <v>2.3837000000000001E-2</v>
      </c>
      <c r="AY72" s="380">
        <f>PRO_BASE_FUEL</f>
        <v>2.3837000000000001E-2</v>
      </c>
    </row>
    <row r="73" spans="1:51" ht="17.100000000000001" customHeight="1" x14ac:dyDescent="0.25">
      <c r="F73" s="381"/>
      <c r="H73" s="379"/>
      <c r="I73" s="379"/>
      <c r="J73" s="221"/>
      <c r="K73" s="464"/>
      <c r="L73" s="381"/>
      <c r="M73" s="381"/>
      <c r="N73" s="381"/>
      <c r="O73" s="381"/>
      <c r="P73" s="381"/>
      <c r="Q73" s="381"/>
      <c r="R73" s="381"/>
      <c r="T73" s="73"/>
      <c r="U73" s="73"/>
      <c r="V73" s="73"/>
      <c r="W73" s="73"/>
      <c r="X73" s="73"/>
      <c r="Y73" s="73"/>
      <c r="Z73" s="73"/>
      <c r="AA73" s="496" t="s">
        <v>51</v>
      </c>
      <c r="AB73" s="496"/>
      <c r="AC73" s="495" t="s">
        <v>71</v>
      </c>
      <c r="AD73" s="496"/>
      <c r="AE73" s="496" t="s">
        <v>52</v>
      </c>
      <c r="AF73" s="496"/>
      <c r="AG73" s="498" t="s">
        <v>53</v>
      </c>
      <c r="AH73" s="496"/>
      <c r="AI73" s="496" t="s">
        <v>52</v>
      </c>
      <c r="AJ73" s="496"/>
      <c r="AK73" s="498" t="s">
        <v>53</v>
      </c>
      <c r="AL73" s="496"/>
      <c r="AM73" s="496" t="s">
        <v>52</v>
      </c>
      <c r="AN73" s="496"/>
      <c r="AO73" s="496" t="s">
        <v>52</v>
      </c>
      <c r="AP73" s="496"/>
      <c r="AQ73" s="498" t="s">
        <v>53</v>
      </c>
    </row>
    <row r="74" spans="1:51" x14ac:dyDescent="0.25">
      <c r="A74" s="53"/>
      <c r="C74" s="54"/>
      <c r="F74" s="379"/>
      <c r="H74" s="379"/>
      <c r="I74" s="379"/>
      <c r="J74" s="221"/>
      <c r="K74" s="464"/>
      <c r="L74" s="379"/>
      <c r="M74" s="379"/>
      <c r="N74" s="50"/>
      <c r="O74" s="50"/>
      <c r="P74" s="379"/>
      <c r="Q74" s="379"/>
      <c r="R74" s="379"/>
      <c r="T74" s="45">
        <v>1</v>
      </c>
      <c r="U74" s="378"/>
      <c r="V74" s="222" t="s">
        <v>72</v>
      </c>
      <c r="W74" s="222" t="s">
        <v>73</v>
      </c>
      <c r="X74" s="46"/>
      <c r="Y74" s="2"/>
      <c r="Z74" s="2"/>
      <c r="AA74" s="2"/>
      <c r="AB74" s="2"/>
      <c r="AC74" s="2"/>
      <c r="AD74" s="2"/>
      <c r="AE74" s="2"/>
      <c r="AF74" s="2"/>
      <c r="AG74" s="147"/>
      <c r="AH74" s="2"/>
      <c r="AI74" s="2"/>
      <c r="AJ74" s="2"/>
      <c r="AK74" s="147"/>
      <c r="AL74" s="2"/>
      <c r="AM74" s="2"/>
      <c r="AN74" s="2"/>
      <c r="AO74" s="2"/>
      <c r="AP74" s="2"/>
      <c r="AQ74" s="147"/>
    </row>
    <row r="75" spans="1:51" x14ac:dyDescent="0.25">
      <c r="A75" s="53"/>
      <c r="C75" s="54"/>
      <c r="F75" s="449"/>
      <c r="H75" s="449"/>
      <c r="I75" s="449"/>
      <c r="J75" s="221"/>
      <c r="K75" s="477"/>
      <c r="L75" s="379"/>
      <c r="M75" s="379"/>
      <c r="N75" s="50"/>
      <c r="O75" s="50"/>
      <c r="P75" s="379"/>
      <c r="Q75" s="379"/>
      <c r="R75" s="379"/>
      <c r="S75" s="379"/>
      <c r="T75" s="378">
        <v>2</v>
      </c>
      <c r="U75" s="378"/>
      <c r="V75" s="218"/>
      <c r="W75" s="222" t="s">
        <v>74</v>
      </c>
      <c r="X75" s="46"/>
      <c r="Y75" s="2"/>
      <c r="Z75" s="2"/>
      <c r="AA75" s="2"/>
      <c r="AB75" s="2"/>
      <c r="AC75" s="2"/>
      <c r="AD75" s="2"/>
      <c r="AE75" s="2"/>
      <c r="AF75" s="2"/>
      <c r="AG75" s="147"/>
      <c r="AH75" s="2"/>
      <c r="AI75" s="2"/>
      <c r="AJ75" s="2"/>
      <c r="AK75" s="147"/>
      <c r="AL75" s="2"/>
      <c r="AM75" s="2"/>
      <c r="AN75" s="2"/>
      <c r="AO75" s="2"/>
      <c r="AP75" s="2"/>
      <c r="AQ75" s="147"/>
    </row>
    <row r="76" spans="1:51" x14ac:dyDescent="0.25">
      <c r="A76" s="53"/>
      <c r="C76" s="54"/>
      <c r="F76" s="449"/>
      <c r="H76" s="449"/>
      <c r="I76" s="449"/>
      <c r="J76" s="221"/>
      <c r="K76" s="461"/>
      <c r="L76" s="379"/>
      <c r="M76" s="379"/>
      <c r="N76" s="50"/>
      <c r="O76" s="50"/>
      <c r="P76" s="379"/>
      <c r="Q76" s="379"/>
      <c r="R76" s="379"/>
      <c r="T76" s="378"/>
      <c r="U76" s="378"/>
      <c r="V76" s="218"/>
      <c r="W76" s="218"/>
      <c r="X76" s="378"/>
      <c r="Y76" s="2"/>
      <c r="Z76" s="2"/>
      <c r="AA76" s="2"/>
      <c r="AB76" s="2"/>
      <c r="AC76" s="112"/>
      <c r="AD76" s="2"/>
      <c r="AE76" s="2"/>
      <c r="AF76" s="2"/>
      <c r="AG76" s="147"/>
      <c r="AH76" s="2"/>
      <c r="AI76" s="2"/>
      <c r="AJ76" s="2"/>
      <c r="AK76" s="147"/>
      <c r="AL76" s="2"/>
      <c r="AM76" s="2"/>
      <c r="AN76" s="2"/>
      <c r="AO76" s="2"/>
      <c r="AP76" s="2"/>
      <c r="AQ76" s="147"/>
    </row>
    <row r="77" spans="1:51" x14ac:dyDescent="0.25">
      <c r="A77" s="53"/>
      <c r="C77" s="54"/>
      <c r="F77" s="449"/>
      <c r="H77" s="449"/>
      <c r="I77" s="449"/>
      <c r="J77" s="221"/>
      <c r="K77" s="461"/>
      <c r="L77" s="379"/>
      <c r="M77" s="379"/>
      <c r="N77" s="50"/>
      <c r="O77" s="50"/>
      <c r="P77" s="379"/>
      <c r="Q77" s="379"/>
      <c r="R77" s="379"/>
      <c r="T77" s="45">
        <v>3</v>
      </c>
      <c r="U77" s="378"/>
      <c r="V77" s="444" t="s">
        <v>241</v>
      </c>
      <c r="W77" s="218"/>
      <c r="X77" s="378"/>
      <c r="Y77" s="86"/>
      <c r="Z77" s="5"/>
      <c r="AA77" s="86"/>
      <c r="AB77" s="86"/>
      <c r="AC77" s="485"/>
      <c r="AD77" s="485"/>
      <c r="AE77" s="5"/>
      <c r="AF77" s="5"/>
      <c r="AG77" s="149"/>
      <c r="AH77" s="6"/>
      <c r="AI77" s="5"/>
      <c r="AJ77" s="5"/>
      <c r="AK77" s="149"/>
      <c r="AL77" s="8"/>
      <c r="AM77" s="5"/>
      <c r="AN77" s="5"/>
      <c r="AO77" s="5"/>
      <c r="AP77" s="5"/>
      <c r="AQ77" s="149"/>
    </row>
    <row r="78" spans="1:51" x14ac:dyDescent="0.25">
      <c r="A78" s="53"/>
      <c r="C78" s="54"/>
      <c r="F78" s="449"/>
      <c r="H78" s="449"/>
      <c r="I78" s="449"/>
      <c r="J78" s="221"/>
      <c r="K78" s="461"/>
      <c r="L78" s="379"/>
      <c r="M78" s="379"/>
      <c r="N78" s="50"/>
      <c r="O78" s="50"/>
      <c r="P78" s="379"/>
      <c r="Q78" s="379"/>
      <c r="R78" s="379"/>
      <c r="T78" s="45">
        <v>4</v>
      </c>
      <c r="U78" s="378"/>
      <c r="V78" s="46" t="s">
        <v>242</v>
      </c>
      <c r="W78" s="378"/>
      <c r="X78" s="378"/>
      <c r="Y78" s="86">
        <f>F22</f>
        <v>6900</v>
      </c>
      <c r="Z78" s="5"/>
      <c r="AA78" s="86">
        <f>H22</f>
        <v>490475</v>
      </c>
      <c r="AB78" s="86"/>
      <c r="AC78" s="223">
        <v>7.45</v>
      </c>
      <c r="AD78" s="485"/>
      <c r="AE78" s="5">
        <f>ROUND(Y78*AC78,0)</f>
        <v>51405</v>
      </c>
      <c r="AF78" s="5"/>
      <c r="AG78" s="149">
        <f>ROUND((AE78/AE$108)*100,1)</f>
        <v>22.8</v>
      </c>
      <c r="AH78" s="6"/>
      <c r="AI78" s="5">
        <f>L22-AE78</f>
        <v>6279</v>
      </c>
      <c r="AJ78" s="5"/>
      <c r="AK78" s="149">
        <f>IF(AE78=0,"0.0 ",ROUND((AI78/AE78)*100,1))</f>
        <v>12.2</v>
      </c>
      <c r="AL78" s="8"/>
      <c r="AM78" s="5">
        <f>ROUND((AM$108/AA$108)*AA78,0)</f>
        <v>334</v>
      </c>
      <c r="AN78" s="5"/>
      <c r="AO78" s="5">
        <f>AM78+AE78</f>
        <v>51739</v>
      </c>
      <c r="AP78" s="5"/>
      <c r="AQ78" s="149">
        <f>IF(AO78=0,"0.0 ",ROUND((AI78/AO78)*100,1))</f>
        <v>12.1</v>
      </c>
      <c r="AU78" s="77">
        <f>AC78-AX78</f>
        <v>5.76</v>
      </c>
      <c r="AW78" s="48">
        <f>853</f>
        <v>853</v>
      </c>
      <c r="AX78" s="380">
        <f>ROUND((AW78/12)*CUR_BASE_FUEL,2)</f>
        <v>1.69</v>
      </c>
      <c r="AY78" s="380">
        <f>ROUND((AW78/12)*PRO_BASE_FUEL,2)</f>
        <v>1.69</v>
      </c>
    </row>
    <row r="79" spans="1:51" x14ac:dyDescent="0.25">
      <c r="A79" s="53"/>
      <c r="C79" s="54"/>
      <c r="F79" s="449"/>
      <c r="H79" s="449"/>
      <c r="I79" s="449"/>
      <c r="J79" s="221"/>
      <c r="K79" s="461"/>
      <c r="L79" s="379"/>
      <c r="M79" s="379"/>
      <c r="N79" s="50"/>
      <c r="O79" s="50"/>
      <c r="P79" s="379"/>
      <c r="Q79" s="379"/>
      <c r="R79" s="379"/>
      <c r="T79" s="45">
        <v>5</v>
      </c>
      <c r="U79" s="378"/>
      <c r="V79" s="46" t="s">
        <v>243</v>
      </c>
      <c r="W79" s="378"/>
      <c r="X79" s="378"/>
      <c r="Y79" s="86">
        <f>F23</f>
        <v>2328</v>
      </c>
      <c r="Z79" s="5"/>
      <c r="AA79" s="86">
        <f>H23</f>
        <v>169556</v>
      </c>
      <c r="AB79" s="86"/>
      <c r="AC79" s="223">
        <v>7.48</v>
      </c>
      <c r="AD79" s="485"/>
      <c r="AE79" s="5">
        <f>ROUND(Y79*AC79,0)</f>
        <v>17413</v>
      </c>
      <c r="AF79" s="5"/>
      <c r="AG79" s="149">
        <f>ROUND((AE79/AE$108)*100,1)</f>
        <v>7.7</v>
      </c>
      <c r="AH79" s="6"/>
      <c r="AI79" s="5">
        <f>L23-AE79</f>
        <v>2142</v>
      </c>
      <c r="AJ79" s="5"/>
      <c r="AK79" s="164">
        <f>IF(AE79=0,"0.0 ",ROUND((AI79/AE79)*100,1))</f>
        <v>12.3</v>
      </c>
      <c r="AL79" s="8"/>
      <c r="AM79" s="5">
        <f>ROUND((AM$108/AA$108)*AA79,0)</f>
        <v>116</v>
      </c>
      <c r="AN79" s="5"/>
      <c r="AO79" s="5">
        <f>AM79+AE79</f>
        <v>17529</v>
      </c>
      <c r="AP79" s="5"/>
      <c r="AQ79" s="164">
        <f>IF(AO79=0,"0.0 ",ROUND((AI79/AO79)*100,1))</f>
        <v>12.2</v>
      </c>
      <c r="AU79" s="77">
        <f>AC79-AX79</f>
        <v>5.74</v>
      </c>
      <c r="AW79" s="48">
        <v>874</v>
      </c>
      <c r="AX79" s="380">
        <f>ROUND((AW79/12)*CUR_BASE_FUEL,2)</f>
        <v>1.74</v>
      </c>
      <c r="AY79" s="380">
        <f>ROUND((AW79/12)*PRO_BASE_FUEL,2)</f>
        <v>1.74</v>
      </c>
    </row>
    <row r="80" spans="1:51" x14ac:dyDescent="0.25">
      <c r="A80" s="53"/>
      <c r="C80" s="54"/>
      <c r="F80" s="449"/>
      <c r="H80" s="449"/>
      <c r="I80" s="449"/>
      <c r="J80" s="221"/>
      <c r="K80" s="461"/>
      <c r="L80" s="379"/>
      <c r="M80" s="379"/>
      <c r="N80" s="50"/>
      <c r="O80" s="50"/>
      <c r="P80" s="379"/>
      <c r="Q80" s="379"/>
      <c r="R80" s="379"/>
      <c r="T80" s="45">
        <v>6</v>
      </c>
      <c r="U80" s="378"/>
      <c r="V80" s="46" t="s">
        <v>244</v>
      </c>
      <c r="W80" s="378"/>
      <c r="X80" s="378"/>
      <c r="Y80" s="86">
        <f>F24</f>
        <v>698</v>
      </c>
      <c r="Z80" s="2"/>
      <c r="AA80" s="86">
        <f>H24</f>
        <v>50838</v>
      </c>
      <c r="AB80" s="2"/>
      <c r="AC80" s="223">
        <v>7.48</v>
      </c>
      <c r="AD80" s="2"/>
      <c r="AE80" s="5">
        <f>ROUND(Y80*AC80,0)</f>
        <v>5221</v>
      </c>
      <c r="AF80" s="2"/>
      <c r="AG80" s="149">
        <f>ROUND((AE80/AE$108)*100,1)</f>
        <v>2.2999999999999998</v>
      </c>
      <c r="AH80" s="2"/>
      <c r="AI80" s="5">
        <f>L24-AE80</f>
        <v>642</v>
      </c>
      <c r="AJ80" s="2"/>
      <c r="AK80" s="164">
        <f>IF(AE80=0,"0.0 ",ROUND((AI80/AE80)*100,1))</f>
        <v>12.3</v>
      </c>
      <c r="AL80" s="2"/>
      <c r="AM80" s="5">
        <f>ROUND((AM$108/AA$108)*AA80,0)</f>
        <v>35</v>
      </c>
      <c r="AN80" s="2"/>
      <c r="AO80" s="5">
        <f>AM80+AE80</f>
        <v>5256</v>
      </c>
      <c r="AP80" s="2"/>
      <c r="AQ80" s="164">
        <f>IF(AO80=0,"0.0 ",ROUND((AI80/AO80)*100,1))</f>
        <v>12.2</v>
      </c>
      <c r="AU80" s="77">
        <f>AC80-AX80</f>
        <v>5.74</v>
      </c>
      <c r="AW80" s="48">
        <v>874</v>
      </c>
      <c r="AX80" s="380">
        <f>ROUND((AW80/12)*CUR_BASE_FUEL,2)</f>
        <v>1.74</v>
      </c>
      <c r="AY80" s="380">
        <f>ROUND((AW80/12)*PRO_BASE_FUEL,2)</f>
        <v>1.74</v>
      </c>
    </row>
    <row r="81" spans="1:51" x14ac:dyDescent="0.25">
      <c r="A81" s="53"/>
      <c r="C81" s="54"/>
      <c r="F81" s="449"/>
      <c r="H81" s="449"/>
      <c r="I81" s="449"/>
      <c r="J81" s="221"/>
      <c r="K81" s="461"/>
      <c r="L81" s="379"/>
      <c r="M81" s="379"/>
      <c r="N81" s="50"/>
      <c r="O81" s="50"/>
      <c r="P81" s="379"/>
      <c r="Q81" s="379"/>
      <c r="R81" s="379"/>
      <c r="T81" s="45">
        <v>7</v>
      </c>
      <c r="U81" s="378"/>
      <c r="V81" s="46" t="s">
        <v>245</v>
      </c>
      <c r="W81" s="378"/>
      <c r="X81" s="378"/>
      <c r="Y81" s="86">
        <f>F25</f>
        <v>132</v>
      </c>
      <c r="Z81" s="2"/>
      <c r="AA81" s="86">
        <f>H25</f>
        <v>9614</v>
      </c>
      <c r="AB81" s="2"/>
      <c r="AC81" s="223">
        <v>7.48</v>
      </c>
      <c r="AD81" s="2"/>
      <c r="AE81" s="5">
        <f>ROUND(Y81*AC81,0)</f>
        <v>987</v>
      </c>
      <c r="AF81" s="2"/>
      <c r="AG81" s="149">
        <f>ROUND((AE81/AE$108)*100,1)</f>
        <v>0.4</v>
      </c>
      <c r="AH81" s="2"/>
      <c r="AI81" s="5">
        <f>L25-AE81</f>
        <v>122</v>
      </c>
      <c r="AJ81" s="2"/>
      <c r="AK81" s="164">
        <f>IF(AE81=0,"0.0 ",ROUND((AI81/AE81)*100,1))</f>
        <v>12.4</v>
      </c>
      <c r="AL81" s="2"/>
      <c r="AM81" s="5">
        <f>ROUND((AM$108/AA$108)*AA81,0)</f>
        <v>7</v>
      </c>
      <c r="AN81" s="2"/>
      <c r="AO81" s="5">
        <f>AM81+AE81</f>
        <v>994</v>
      </c>
      <c r="AP81" s="2"/>
      <c r="AQ81" s="164">
        <f>IF(AO81=0,"0.0 ",ROUND((AI81/AO81)*100,1))</f>
        <v>12.3</v>
      </c>
      <c r="AU81" s="77">
        <f>AC81-AX81</f>
        <v>5.74</v>
      </c>
      <c r="AW81" s="48">
        <v>874</v>
      </c>
      <c r="AX81" s="380">
        <f>ROUND((AW81/12)*CUR_BASE_FUEL,2)</f>
        <v>1.74</v>
      </c>
      <c r="AY81" s="380">
        <f>ROUND((AW81/12)*PRO_BASE_FUEL,2)</f>
        <v>1.74</v>
      </c>
    </row>
    <row r="82" spans="1:51" x14ac:dyDescent="0.25">
      <c r="A82" s="53"/>
      <c r="C82" s="54"/>
      <c r="F82" s="449"/>
      <c r="H82" s="449"/>
      <c r="I82" s="449"/>
      <c r="J82" s="221"/>
      <c r="K82" s="461"/>
      <c r="L82" s="379"/>
      <c r="M82" s="379"/>
      <c r="N82" s="50"/>
      <c r="O82" s="50"/>
      <c r="P82" s="379"/>
      <c r="Q82" s="379"/>
      <c r="R82" s="379"/>
      <c r="T82" s="378"/>
      <c r="U82" s="378"/>
      <c r="V82" s="378"/>
      <c r="W82" s="378"/>
      <c r="X82" s="378"/>
      <c r="Y82" s="2"/>
      <c r="Z82" s="2"/>
      <c r="AA82" s="2"/>
      <c r="AB82" s="2"/>
      <c r="AC82" s="378"/>
      <c r="AD82" s="2"/>
      <c r="AE82" s="2"/>
      <c r="AF82" s="2"/>
      <c r="AG82" s="147"/>
      <c r="AH82" s="2"/>
      <c r="AI82" s="2"/>
      <c r="AJ82" s="2"/>
      <c r="AK82" s="147"/>
      <c r="AL82" s="2"/>
      <c r="AM82" s="2"/>
      <c r="AN82" s="2"/>
      <c r="AO82" s="2"/>
      <c r="AP82" s="2"/>
      <c r="AQ82" s="147"/>
      <c r="AW82" s="378"/>
    </row>
    <row r="83" spans="1:51" x14ac:dyDescent="0.25">
      <c r="F83" s="379"/>
      <c r="H83" s="379"/>
      <c r="I83" s="379"/>
      <c r="J83" s="221"/>
      <c r="K83" s="464"/>
      <c r="L83" s="381"/>
      <c r="M83" s="381"/>
      <c r="N83" s="381"/>
      <c r="O83" s="381"/>
      <c r="P83" s="381"/>
      <c r="Q83" s="381"/>
      <c r="R83" s="381"/>
      <c r="T83" s="45">
        <v>8</v>
      </c>
      <c r="U83" s="378"/>
      <c r="V83" s="222" t="s">
        <v>479</v>
      </c>
      <c r="W83" s="378"/>
      <c r="X83" s="378"/>
      <c r="Y83" s="5"/>
      <c r="Z83" s="2"/>
      <c r="AA83" s="5"/>
      <c r="AB83" s="5"/>
      <c r="AC83" s="223"/>
      <c r="AD83" s="524"/>
      <c r="AE83" s="83"/>
      <c r="AF83" s="83"/>
      <c r="AG83" s="149"/>
      <c r="AH83" s="91"/>
      <c r="AI83" s="83"/>
      <c r="AJ83" s="83"/>
      <c r="AK83" s="168"/>
      <c r="AL83" s="103"/>
      <c r="AM83" s="83"/>
      <c r="AN83" s="83"/>
      <c r="AO83" s="83"/>
      <c r="AP83" s="83"/>
      <c r="AQ83" s="168"/>
      <c r="AW83" s="48"/>
    </row>
    <row r="84" spans="1:51" x14ac:dyDescent="0.25">
      <c r="F84" s="379"/>
      <c r="H84" s="379"/>
      <c r="I84" s="379"/>
      <c r="J84" s="221"/>
      <c r="K84" s="464"/>
      <c r="L84" s="381"/>
      <c r="M84" s="381"/>
      <c r="N84" s="381"/>
      <c r="O84" s="381"/>
      <c r="P84" s="381"/>
      <c r="Q84" s="381"/>
      <c r="R84" s="381"/>
      <c r="T84" s="45">
        <v>9</v>
      </c>
      <c r="U84" s="378"/>
      <c r="V84" s="46" t="s">
        <v>335</v>
      </c>
      <c r="W84" s="378"/>
      <c r="X84" s="378"/>
      <c r="Y84" s="86">
        <f>F28</f>
        <v>3204</v>
      </c>
      <c r="Z84" s="2"/>
      <c r="AA84" s="86">
        <f>H28</f>
        <v>227751</v>
      </c>
      <c r="AB84" s="5"/>
      <c r="AC84" s="223">
        <v>7.45</v>
      </c>
      <c r="AD84" s="524"/>
      <c r="AE84" s="83">
        <f>ROUND(Y84*AC84,0)</f>
        <v>23870</v>
      </c>
      <c r="AF84" s="83"/>
      <c r="AG84" s="149">
        <f>ROUND((AE84/AE$108)*100,1)</f>
        <v>10.6</v>
      </c>
      <c r="AH84" s="91"/>
      <c r="AI84" s="5">
        <f>L28-AE84</f>
        <v>2915</v>
      </c>
      <c r="AJ84" s="83"/>
      <c r="AK84" s="168">
        <f>IF(AE84=0,"0.0 ",ROUND((AI84/AE84)*100,1))</f>
        <v>12.2</v>
      </c>
      <c r="AL84" s="103"/>
      <c r="AM84" s="5">
        <f>ROUND((AM$108/AA$108)*AA84,0)</f>
        <v>155</v>
      </c>
      <c r="AN84" s="83"/>
      <c r="AO84" s="83">
        <f>AM84+AE84</f>
        <v>24025</v>
      </c>
      <c r="AP84" s="83"/>
      <c r="AQ84" s="168">
        <f>IF(AO84=0,"0.0 ",ROUND((AI84/AO84)*100,1))</f>
        <v>12.1</v>
      </c>
      <c r="AU84" s="77">
        <f>AC84-AX84</f>
        <v>5.76</v>
      </c>
      <c r="AW84" s="48">
        <v>853</v>
      </c>
      <c r="AX84" s="380">
        <f>ROUND((AW84/12)*CUR_BASE_FUEL,2)</f>
        <v>1.69</v>
      </c>
      <c r="AY84" s="380">
        <f>ROUND((AW84/12)*PRO_BASE_FUEL,2)</f>
        <v>1.69</v>
      </c>
    </row>
    <row r="85" spans="1:51" x14ac:dyDescent="0.25">
      <c r="F85" s="379"/>
      <c r="H85" s="379"/>
      <c r="I85" s="379"/>
      <c r="J85" s="221"/>
      <c r="K85" s="464"/>
      <c r="L85" s="381"/>
      <c r="M85" s="381"/>
      <c r="N85" s="381"/>
      <c r="O85" s="381"/>
      <c r="P85" s="381"/>
      <c r="Q85" s="381"/>
      <c r="R85" s="381"/>
      <c r="T85" s="45">
        <v>10</v>
      </c>
      <c r="U85" s="378"/>
      <c r="V85" s="46" t="s">
        <v>480</v>
      </c>
      <c r="W85" s="378"/>
      <c r="X85" s="378"/>
      <c r="Y85" s="86">
        <f>F29</f>
        <v>0</v>
      </c>
      <c r="Z85" s="2"/>
      <c r="AA85" s="86">
        <f>H29</f>
        <v>0</v>
      </c>
      <c r="AB85" s="5"/>
      <c r="AC85" s="223">
        <v>7.48</v>
      </c>
      <c r="AD85" s="524"/>
      <c r="AE85" s="83">
        <f>ROUND(Y85*AC85,0)</f>
        <v>0</v>
      </c>
      <c r="AF85" s="83"/>
      <c r="AG85" s="149">
        <f>ROUND((AE85/AE$108)*100,1)</f>
        <v>0</v>
      </c>
      <c r="AH85" s="91"/>
      <c r="AI85" s="5">
        <f>L29-AE85</f>
        <v>0</v>
      </c>
      <c r="AJ85" s="83"/>
      <c r="AK85" s="168" t="str">
        <f>IF(AE85=0,"0.0 ",ROUND((AI85/AE85)*100,1))</f>
        <v xml:space="preserve">0.0 </v>
      </c>
      <c r="AL85" s="103"/>
      <c r="AM85" s="5">
        <f>ROUND((AM$108/AA$108)*AA85,0)</f>
        <v>0</v>
      </c>
      <c r="AN85" s="83"/>
      <c r="AO85" s="83">
        <f>AM85+AE85</f>
        <v>0</v>
      </c>
      <c r="AP85" s="83"/>
      <c r="AQ85" s="168" t="str">
        <f>IF(AO85=0,"0.0 ",ROUND((AI85/AO85)*100,1))</f>
        <v xml:space="preserve">0.0 </v>
      </c>
      <c r="AU85" s="77">
        <f>AC85-AX85</f>
        <v>5.74</v>
      </c>
      <c r="AW85" s="48">
        <v>874</v>
      </c>
      <c r="AX85" s="380">
        <f>ROUND((AW85/12)*CUR_BASE_FUEL,2)</f>
        <v>1.74</v>
      </c>
      <c r="AY85" s="380">
        <f>ROUND((AW85/12)*PRO_BASE_FUEL,2)</f>
        <v>1.74</v>
      </c>
    </row>
    <row r="86" spans="1:51" x14ac:dyDescent="0.25">
      <c r="F86" s="379"/>
      <c r="H86" s="379"/>
      <c r="I86" s="379"/>
      <c r="J86" s="221"/>
      <c r="K86" s="464"/>
      <c r="L86" s="381"/>
      <c r="M86" s="381"/>
      <c r="N86" s="381"/>
      <c r="O86" s="381"/>
      <c r="P86" s="381"/>
      <c r="Q86" s="381"/>
      <c r="R86" s="381"/>
      <c r="T86" s="45">
        <v>11</v>
      </c>
      <c r="U86" s="378"/>
      <c r="V86" s="46" t="s">
        <v>481</v>
      </c>
      <c r="W86" s="378"/>
      <c r="X86" s="378"/>
      <c r="Y86" s="86">
        <f>F30</f>
        <v>560</v>
      </c>
      <c r="Z86" s="2"/>
      <c r="AA86" s="86">
        <f>H30</f>
        <v>40787</v>
      </c>
      <c r="AB86" s="83"/>
      <c r="AC86" s="221">
        <v>7.48</v>
      </c>
      <c r="AD86" s="524"/>
      <c r="AE86" s="83">
        <f>ROUND(Y86*AC86,0)</f>
        <v>4189</v>
      </c>
      <c r="AF86" s="83"/>
      <c r="AG86" s="383">
        <f>ROUND((AE86/AE$108)*100,1)</f>
        <v>1.9</v>
      </c>
      <c r="AH86" s="91"/>
      <c r="AI86" s="5">
        <f>L30-AE86</f>
        <v>515</v>
      </c>
      <c r="AJ86" s="83"/>
      <c r="AK86" s="168">
        <f>IF(AE86=0,"0.0 ",ROUND((AI86/AE86)*100,1))</f>
        <v>12.3</v>
      </c>
      <c r="AL86" s="103"/>
      <c r="AM86" s="83">
        <f>ROUND((AM$108/AA$108)*AA86,0)</f>
        <v>28</v>
      </c>
      <c r="AN86" s="83"/>
      <c r="AO86" s="83">
        <f>AM86+AE86</f>
        <v>4217</v>
      </c>
      <c r="AP86" s="83"/>
      <c r="AQ86" s="168">
        <f>IF(AO86=0,"0.0 ",ROUND((AI86/AO86)*100,1))</f>
        <v>12.2</v>
      </c>
      <c r="AU86" s="77">
        <f>AC86-AX86</f>
        <v>5.74</v>
      </c>
      <c r="AW86" s="379">
        <v>874</v>
      </c>
      <c r="AX86" s="380">
        <f>ROUND((AW86/12)*CUR_BASE_FUEL,2)</f>
        <v>1.74</v>
      </c>
      <c r="AY86" s="380">
        <f>ROUND((AW86/12)*PRO_BASE_FUEL,2)</f>
        <v>1.74</v>
      </c>
    </row>
    <row r="87" spans="1:51" x14ac:dyDescent="0.25">
      <c r="A87" s="53"/>
      <c r="C87" s="54"/>
      <c r="F87" s="449"/>
      <c r="H87" s="449"/>
      <c r="I87" s="449"/>
      <c r="J87" s="221"/>
      <c r="K87" s="461"/>
      <c r="L87" s="379"/>
      <c r="M87" s="379"/>
      <c r="N87" s="50"/>
      <c r="O87" s="50"/>
      <c r="P87" s="379"/>
      <c r="Q87" s="379"/>
      <c r="R87" s="379"/>
      <c r="T87" s="378"/>
      <c r="U87" s="378"/>
      <c r="V87" s="378"/>
      <c r="W87" s="378"/>
      <c r="X87" s="378"/>
      <c r="Y87" s="2"/>
      <c r="Z87" s="2"/>
      <c r="AA87" s="2"/>
      <c r="AB87" s="2"/>
      <c r="AC87" s="378"/>
      <c r="AD87" s="2"/>
      <c r="AE87" s="2"/>
      <c r="AF87" s="2"/>
      <c r="AG87" s="147"/>
      <c r="AH87" s="2"/>
      <c r="AI87" s="2"/>
      <c r="AJ87" s="2"/>
      <c r="AK87" s="147"/>
      <c r="AL87" s="2"/>
      <c r="AM87" s="2"/>
      <c r="AN87" s="2"/>
      <c r="AO87" s="2"/>
      <c r="AP87" s="2"/>
      <c r="AQ87" s="147"/>
      <c r="AW87" s="378"/>
    </row>
    <row r="88" spans="1:51" x14ac:dyDescent="0.25">
      <c r="A88" s="53"/>
      <c r="C88" s="54"/>
      <c r="F88" s="449"/>
      <c r="H88" s="449"/>
      <c r="I88" s="449"/>
      <c r="J88" s="221"/>
      <c r="K88" s="461"/>
      <c r="L88" s="379"/>
      <c r="M88" s="379"/>
      <c r="N88" s="50"/>
      <c r="O88" s="50"/>
      <c r="P88" s="379"/>
      <c r="Q88" s="379"/>
      <c r="R88" s="379"/>
      <c r="T88" s="45">
        <v>12</v>
      </c>
      <c r="U88" s="378"/>
      <c r="V88" s="444" t="s">
        <v>246</v>
      </c>
      <c r="W88" s="378"/>
      <c r="X88" s="378"/>
      <c r="Y88" s="2"/>
      <c r="Z88" s="2"/>
      <c r="AA88" s="2"/>
      <c r="AB88" s="2"/>
      <c r="AC88" s="76"/>
      <c r="AD88" s="2"/>
      <c r="AE88" s="2"/>
      <c r="AF88" s="2"/>
      <c r="AG88" s="147"/>
      <c r="AH88" s="2"/>
      <c r="AI88" s="2"/>
      <c r="AJ88" s="2"/>
      <c r="AK88" s="147"/>
      <c r="AL88" s="2"/>
      <c r="AM88" s="2"/>
      <c r="AN88" s="2"/>
      <c r="AO88" s="2"/>
      <c r="AP88" s="2"/>
      <c r="AQ88" s="147"/>
      <c r="AW88" s="378"/>
    </row>
    <row r="89" spans="1:51" x14ac:dyDescent="0.25">
      <c r="A89" s="53"/>
      <c r="C89" s="54"/>
      <c r="F89" s="449"/>
      <c r="H89" s="449"/>
      <c r="I89" s="449"/>
      <c r="J89" s="221"/>
      <c r="K89" s="461"/>
      <c r="L89" s="379"/>
      <c r="M89" s="379"/>
      <c r="N89" s="50"/>
      <c r="O89" s="50"/>
      <c r="P89" s="379"/>
      <c r="Q89" s="379"/>
      <c r="R89" s="379"/>
      <c r="T89" s="45">
        <v>13</v>
      </c>
      <c r="U89" s="378"/>
      <c r="V89" s="46" t="s">
        <v>242</v>
      </c>
      <c r="W89" s="378"/>
      <c r="X89" s="378"/>
      <c r="Y89" s="86">
        <f t="shared" ref="Y89:Y95" si="12">F33</f>
        <v>3211</v>
      </c>
      <c r="Z89" s="2"/>
      <c r="AA89" s="86">
        <f t="shared" ref="AA89:AA95" si="13">H33</f>
        <v>130313</v>
      </c>
      <c r="AB89" s="2"/>
      <c r="AC89" s="223">
        <v>8.1199999999999992</v>
      </c>
      <c r="AD89" s="2"/>
      <c r="AE89" s="5">
        <f t="shared" ref="AE89:AE95" si="14">ROUND(Y89*AC89,0)</f>
        <v>26073</v>
      </c>
      <c r="AF89" s="2"/>
      <c r="AG89" s="149">
        <f t="shared" ref="AG89:AG95" si="15">ROUND((AE89/AE$108)*100,1)</f>
        <v>11.5</v>
      </c>
      <c r="AH89" s="2"/>
      <c r="AI89" s="5">
        <f t="shared" ref="AI89:AI95" si="16">L33-AE89</f>
        <v>3211</v>
      </c>
      <c r="AJ89" s="2"/>
      <c r="AK89" s="164">
        <f t="shared" ref="AK89:AK95" si="17">IF(AE89=0,"0.0 ",ROUND((AI89/AE89)*100,1))</f>
        <v>12.3</v>
      </c>
      <c r="AL89" s="2"/>
      <c r="AM89" s="5">
        <f t="shared" ref="AM89:AM95" si="18">ROUND((AM$108/AA$108)*AA89,0)</f>
        <v>89</v>
      </c>
      <c r="AN89" s="2"/>
      <c r="AO89" s="5">
        <f t="shared" ref="AO89:AO95" si="19">AM89+AE89</f>
        <v>26162</v>
      </c>
      <c r="AP89" s="2"/>
      <c r="AQ89" s="164">
        <f t="shared" ref="AQ89:AQ95" si="20">IF(AO89=0,"0.0 ",ROUND((AI89/AO89)*100,1))</f>
        <v>12.3</v>
      </c>
      <c r="AU89" s="77">
        <f t="shared" ref="AU89:AU95" si="21">AC89-AX89</f>
        <v>7.1499999999999995</v>
      </c>
      <c r="AW89" s="392">
        <v>487</v>
      </c>
      <c r="AX89" s="380">
        <f t="shared" ref="AX89:AX95" si="22">ROUND((AW89/12)*CUR_BASE_FUEL,2)</f>
        <v>0.97</v>
      </c>
      <c r="AY89" s="380">
        <f t="shared" ref="AY89:AY95" si="23">ROUND((AW89/12)*PRO_BASE_FUEL,2)</f>
        <v>0.97</v>
      </c>
    </row>
    <row r="90" spans="1:51" x14ac:dyDescent="0.25">
      <c r="A90" s="53"/>
      <c r="C90" s="54"/>
      <c r="F90" s="449"/>
      <c r="H90" s="449"/>
      <c r="I90" s="449"/>
      <c r="J90" s="221"/>
      <c r="K90" s="461"/>
      <c r="L90" s="379"/>
      <c r="M90" s="379"/>
      <c r="N90" s="50"/>
      <c r="O90" s="50"/>
      <c r="P90" s="379"/>
      <c r="Q90" s="379"/>
      <c r="R90" s="379"/>
      <c r="T90" s="45">
        <v>15</v>
      </c>
      <c r="U90" s="378"/>
      <c r="V90" s="46" t="s">
        <v>243</v>
      </c>
      <c r="W90" s="378"/>
      <c r="X90" s="378"/>
      <c r="Y90" s="86">
        <f t="shared" si="12"/>
        <v>2480</v>
      </c>
      <c r="Z90" s="2"/>
      <c r="AA90" s="86">
        <f t="shared" si="13"/>
        <v>109947</v>
      </c>
      <c r="AB90" s="2"/>
      <c r="AC90" s="223">
        <v>8.23</v>
      </c>
      <c r="AD90" s="2"/>
      <c r="AE90" s="5">
        <f>ROUND(Y90*AC90,0)</f>
        <v>20410</v>
      </c>
      <c r="AF90" s="2"/>
      <c r="AG90" s="149">
        <f t="shared" si="15"/>
        <v>9</v>
      </c>
      <c r="AH90" s="2"/>
      <c r="AI90" s="5">
        <f t="shared" si="16"/>
        <v>2505</v>
      </c>
      <c r="AJ90" s="2"/>
      <c r="AK90" s="164">
        <f>IF(AE90=0,"0.0 ",ROUND((AI90/AE90)*100,1))</f>
        <v>12.3</v>
      </c>
      <c r="AL90" s="2"/>
      <c r="AM90" s="5">
        <f t="shared" si="18"/>
        <v>75</v>
      </c>
      <c r="AN90" s="2"/>
      <c r="AO90" s="5">
        <f>AM90+AE90</f>
        <v>20485</v>
      </c>
      <c r="AP90" s="2"/>
      <c r="AQ90" s="164">
        <f>IF(AO90=0,"0.0 ",ROUND((AI90/AO90)*100,1))</f>
        <v>12.2</v>
      </c>
      <c r="AU90" s="77">
        <f>AC90-AX90</f>
        <v>7.17</v>
      </c>
      <c r="AW90" s="48">
        <v>532</v>
      </c>
      <c r="AX90" s="380">
        <f>ROUND((AW90/12)*CUR_BASE_FUEL,2)</f>
        <v>1.06</v>
      </c>
      <c r="AY90" s="380">
        <f>ROUND((AW90/12)*PRO_BASE_FUEL,2)</f>
        <v>1.06</v>
      </c>
    </row>
    <row r="91" spans="1:51" x14ac:dyDescent="0.25">
      <c r="A91" s="53"/>
      <c r="C91" s="54"/>
      <c r="F91" s="449"/>
      <c r="H91" s="449"/>
      <c r="I91" s="449"/>
      <c r="J91" s="221"/>
      <c r="K91" s="461"/>
      <c r="L91" s="379"/>
      <c r="M91" s="379"/>
      <c r="N91" s="50"/>
      <c r="O91" s="50"/>
      <c r="P91" s="379"/>
      <c r="Q91" s="379"/>
      <c r="R91" s="379"/>
      <c r="T91" s="45">
        <v>16</v>
      </c>
      <c r="U91" s="378"/>
      <c r="V91" s="52" t="s">
        <v>247</v>
      </c>
      <c r="W91" s="378"/>
      <c r="X91" s="378"/>
      <c r="Y91" s="86">
        <f t="shared" si="12"/>
        <v>974</v>
      </c>
      <c r="Z91" s="2"/>
      <c r="AA91" s="86">
        <f t="shared" si="13"/>
        <v>39528</v>
      </c>
      <c r="AB91" s="2"/>
      <c r="AC91" s="223">
        <v>8.1199999999999992</v>
      </c>
      <c r="AD91" s="2"/>
      <c r="AE91" s="5">
        <f>ROUND(Y91*AC91,0)</f>
        <v>7909</v>
      </c>
      <c r="AF91" s="2"/>
      <c r="AG91" s="149">
        <f t="shared" si="15"/>
        <v>3.5</v>
      </c>
      <c r="AH91" s="2"/>
      <c r="AI91" s="5">
        <f t="shared" si="16"/>
        <v>974</v>
      </c>
      <c r="AJ91" s="2"/>
      <c r="AK91" s="164">
        <f>IF(AE91=0,"0.0 ",ROUND((AI91/AE91)*100,1))</f>
        <v>12.3</v>
      </c>
      <c r="AL91" s="2"/>
      <c r="AM91" s="5">
        <f t="shared" si="18"/>
        <v>27</v>
      </c>
      <c r="AN91" s="2"/>
      <c r="AO91" s="5">
        <f>AM91+AE91</f>
        <v>7936</v>
      </c>
      <c r="AP91" s="2"/>
      <c r="AQ91" s="164">
        <f>IF(AO91=0,"0.0 ",ROUND((AI91/AO91)*100,1))</f>
        <v>12.3</v>
      </c>
      <c r="AU91" s="77">
        <f>AC91-AX91</f>
        <v>7.1499999999999995</v>
      </c>
      <c r="AW91" s="48">
        <v>487</v>
      </c>
      <c r="AX91" s="380">
        <f>ROUND((AW91/12)*CUR_BASE_FUEL,2)</f>
        <v>0.97</v>
      </c>
      <c r="AY91" s="380">
        <f>ROUND((AW91/12)*PRO_BASE_FUEL,2)</f>
        <v>0.97</v>
      </c>
    </row>
    <row r="92" spans="1:51" x14ac:dyDescent="0.25">
      <c r="A92" s="53"/>
      <c r="C92" s="54"/>
      <c r="F92" s="379"/>
      <c r="H92" s="379"/>
      <c r="I92" s="379"/>
      <c r="J92" s="221"/>
      <c r="K92" s="464"/>
      <c r="L92" s="379"/>
      <c r="M92" s="379"/>
      <c r="N92" s="50"/>
      <c r="O92" s="50"/>
      <c r="P92" s="379"/>
      <c r="Q92" s="379"/>
      <c r="R92" s="379"/>
      <c r="T92" s="45">
        <v>17</v>
      </c>
      <c r="U92" s="378"/>
      <c r="V92" s="46" t="s">
        <v>244</v>
      </c>
      <c r="W92" s="378"/>
      <c r="X92" s="378"/>
      <c r="Y92" s="86">
        <f t="shared" si="12"/>
        <v>1272</v>
      </c>
      <c r="Z92" s="2"/>
      <c r="AA92" s="86">
        <f t="shared" si="13"/>
        <v>56392</v>
      </c>
      <c r="AB92" s="86"/>
      <c r="AC92" s="223">
        <v>8.2200000000000006</v>
      </c>
      <c r="AD92" s="485"/>
      <c r="AE92" s="5">
        <f>ROUND(Y92*AC92,0)</f>
        <v>10456</v>
      </c>
      <c r="AF92" s="5"/>
      <c r="AG92" s="149">
        <f t="shared" si="15"/>
        <v>4.5999999999999996</v>
      </c>
      <c r="AH92" s="6"/>
      <c r="AI92" s="5">
        <f t="shared" si="16"/>
        <v>1285</v>
      </c>
      <c r="AJ92" s="5"/>
      <c r="AK92" s="164">
        <f>IF(AE92=0,"0.0 ",ROUND((AI92/AE92)*100,1))</f>
        <v>12.3</v>
      </c>
      <c r="AL92" s="8"/>
      <c r="AM92" s="5">
        <f t="shared" si="18"/>
        <v>38</v>
      </c>
      <c r="AN92" s="5"/>
      <c r="AO92" s="5">
        <f>AM92+AE92</f>
        <v>10494</v>
      </c>
      <c r="AP92" s="5"/>
      <c r="AQ92" s="164">
        <f>IF(AO92=0,"0.0 ",ROUND((AI92/AO92)*100,1))</f>
        <v>12.2</v>
      </c>
      <c r="AU92" s="77">
        <f>AC92-AX92</f>
        <v>7.16</v>
      </c>
      <c r="AW92" s="48">
        <v>532</v>
      </c>
      <c r="AX92" s="380">
        <f>ROUND((AW92/12)*CUR_BASE_FUEL,2)</f>
        <v>1.06</v>
      </c>
      <c r="AY92" s="380">
        <f>ROUND((AW92/12)*PRO_BASE_FUEL,2)</f>
        <v>1.06</v>
      </c>
    </row>
    <row r="93" spans="1:51" x14ac:dyDescent="0.25">
      <c r="A93" s="53"/>
      <c r="C93" s="54"/>
      <c r="F93" s="379"/>
      <c r="H93" s="379"/>
      <c r="I93" s="379"/>
      <c r="J93" s="221"/>
      <c r="K93" s="464"/>
      <c r="L93" s="379"/>
      <c r="M93" s="379"/>
      <c r="N93" s="379"/>
      <c r="O93" s="379"/>
      <c r="P93" s="379"/>
      <c r="Q93" s="379"/>
      <c r="R93" s="379"/>
      <c r="T93" s="45">
        <v>19</v>
      </c>
      <c r="U93" s="378"/>
      <c r="V93" s="46" t="s">
        <v>245</v>
      </c>
      <c r="W93" s="378"/>
      <c r="X93" s="378"/>
      <c r="Y93" s="86">
        <f t="shared" si="12"/>
        <v>2616</v>
      </c>
      <c r="Z93" s="2"/>
      <c r="AA93" s="86">
        <f t="shared" si="13"/>
        <v>115976</v>
      </c>
      <c r="AB93" s="86"/>
      <c r="AC93" s="223">
        <v>8.2200000000000006</v>
      </c>
      <c r="AD93" s="446"/>
      <c r="AE93" s="5">
        <f>ROUND(Y93*AC93,0)</f>
        <v>21504</v>
      </c>
      <c r="AF93" s="5"/>
      <c r="AG93" s="149">
        <f t="shared" si="15"/>
        <v>9.5</v>
      </c>
      <c r="AH93" s="6"/>
      <c r="AI93" s="5">
        <f t="shared" si="16"/>
        <v>2642</v>
      </c>
      <c r="AJ93" s="5"/>
      <c r="AK93" s="164">
        <f>IF(AE93=0,"0.0 ",ROUND((AI93/AE93)*100,1))</f>
        <v>12.3</v>
      </c>
      <c r="AL93" s="8"/>
      <c r="AM93" s="5">
        <f t="shared" si="18"/>
        <v>79</v>
      </c>
      <c r="AN93" s="5"/>
      <c r="AO93" s="5">
        <f>AM93+AE93</f>
        <v>21583</v>
      </c>
      <c r="AP93" s="5"/>
      <c r="AQ93" s="164">
        <f>IF(AO93=0,"0.0 ",ROUND((AI93/AO93)*100,1))</f>
        <v>12.2</v>
      </c>
      <c r="AU93" s="77">
        <f>AC93-AX93</f>
        <v>7.16</v>
      </c>
      <c r="AW93" s="48">
        <v>532</v>
      </c>
      <c r="AX93" s="380">
        <f>ROUND((AW93/12)*CUR_BASE_FUEL,2)</f>
        <v>1.06</v>
      </c>
      <c r="AY93" s="380">
        <f>ROUND((AW93/12)*PRO_BASE_FUEL,2)</f>
        <v>1.06</v>
      </c>
    </row>
    <row r="94" spans="1:51" x14ac:dyDescent="0.25">
      <c r="A94" s="53"/>
      <c r="C94" s="54"/>
      <c r="F94" s="449"/>
      <c r="H94" s="449"/>
      <c r="I94" s="449"/>
      <c r="J94" s="221"/>
      <c r="K94" s="461"/>
      <c r="L94" s="379"/>
      <c r="M94" s="379"/>
      <c r="N94" s="50"/>
      <c r="O94" s="50"/>
      <c r="P94" s="379"/>
      <c r="Q94" s="379"/>
      <c r="R94" s="379"/>
      <c r="T94" s="45">
        <v>14</v>
      </c>
      <c r="U94" s="378"/>
      <c r="V94" s="46" t="s">
        <v>335</v>
      </c>
      <c r="W94" s="378"/>
      <c r="X94" s="378"/>
      <c r="Y94" s="86">
        <f t="shared" si="12"/>
        <v>0</v>
      </c>
      <c r="Z94" s="2"/>
      <c r="AA94" s="86">
        <f t="shared" si="13"/>
        <v>0</v>
      </c>
      <c r="AB94" s="2"/>
      <c r="AC94" s="223">
        <v>8.1199999999999992</v>
      </c>
      <c r="AD94" s="2"/>
      <c r="AE94" s="5">
        <f>ROUND(Y94*AC94,0)</f>
        <v>0</v>
      </c>
      <c r="AF94" s="2"/>
      <c r="AG94" s="149">
        <f t="shared" si="15"/>
        <v>0</v>
      </c>
      <c r="AH94" s="2"/>
      <c r="AI94" s="5">
        <f t="shared" si="16"/>
        <v>0</v>
      </c>
      <c r="AJ94" s="2"/>
      <c r="AK94" s="164" t="str">
        <f>IF(AE94=0,"0.0 ",ROUND((AI94/AE94)*100,1))</f>
        <v xml:space="preserve">0.0 </v>
      </c>
      <c r="AL94" s="2"/>
      <c r="AM94" s="5">
        <f t="shared" si="18"/>
        <v>0</v>
      </c>
      <c r="AN94" s="2"/>
      <c r="AO94" s="5">
        <f>AM94+AE94</f>
        <v>0</v>
      </c>
      <c r="AP94" s="2"/>
      <c r="AQ94" s="164" t="str">
        <f>IF(AO94=0,"0.0 ",ROUND((AI94/AO94)*100,1))</f>
        <v xml:space="preserve">0.0 </v>
      </c>
      <c r="AU94" s="77">
        <f t="shared" si="21"/>
        <v>7.1499999999999995</v>
      </c>
      <c r="AW94" s="392">
        <v>487</v>
      </c>
      <c r="AX94" s="380">
        <f t="shared" si="22"/>
        <v>0.97</v>
      </c>
      <c r="AY94" s="380">
        <f t="shared" si="23"/>
        <v>0.97</v>
      </c>
    </row>
    <row r="95" spans="1:51" x14ac:dyDescent="0.25">
      <c r="A95" s="53"/>
      <c r="C95" s="54"/>
      <c r="F95" s="379"/>
      <c r="H95" s="379"/>
      <c r="I95" s="379"/>
      <c r="J95" s="221"/>
      <c r="K95" s="464"/>
      <c r="L95" s="379"/>
      <c r="M95" s="379"/>
      <c r="N95" s="50"/>
      <c r="O95" s="50"/>
      <c r="P95" s="379"/>
      <c r="Q95" s="379"/>
      <c r="R95" s="379"/>
      <c r="T95" s="45">
        <v>18</v>
      </c>
      <c r="U95" s="378"/>
      <c r="V95" s="46" t="s">
        <v>306</v>
      </c>
      <c r="W95" s="378"/>
      <c r="X95" s="378"/>
      <c r="Y95" s="86">
        <f t="shared" si="12"/>
        <v>156</v>
      </c>
      <c r="Z95" s="2"/>
      <c r="AA95" s="86">
        <f t="shared" si="13"/>
        <v>6916</v>
      </c>
      <c r="AB95" s="86"/>
      <c r="AC95" s="223">
        <v>8.2200000000000006</v>
      </c>
      <c r="AD95" s="485"/>
      <c r="AE95" s="5">
        <f t="shared" si="14"/>
        <v>1282</v>
      </c>
      <c r="AF95" s="5"/>
      <c r="AG95" s="149">
        <f t="shared" si="15"/>
        <v>0.6</v>
      </c>
      <c r="AH95" s="6"/>
      <c r="AI95" s="5">
        <f t="shared" si="16"/>
        <v>158</v>
      </c>
      <c r="AJ95" s="5"/>
      <c r="AK95" s="164">
        <f t="shared" si="17"/>
        <v>12.3</v>
      </c>
      <c r="AL95" s="8"/>
      <c r="AM95" s="5">
        <f t="shared" si="18"/>
        <v>5</v>
      </c>
      <c r="AN95" s="5"/>
      <c r="AO95" s="5">
        <f t="shared" si="19"/>
        <v>1287</v>
      </c>
      <c r="AP95" s="5"/>
      <c r="AQ95" s="164">
        <f t="shared" si="20"/>
        <v>12.3</v>
      </c>
      <c r="AU95" s="77">
        <f t="shared" si="21"/>
        <v>7.16</v>
      </c>
      <c r="AW95" s="48">
        <v>532</v>
      </c>
      <c r="AX95" s="380">
        <f t="shared" si="22"/>
        <v>1.06</v>
      </c>
      <c r="AY95" s="380">
        <f t="shared" si="23"/>
        <v>1.06</v>
      </c>
    </row>
    <row r="96" spans="1:51" x14ac:dyDescent="0.25">
      <c r="A96" s="53"/>
      <c r="C96" s="54"/>
      <c r="F96" s="379"/>
      <c r="H96" s="379"/>
      <c r="I96" s="379"/>
      <c r="J96" s="221"/>
      <c r="K96" s="464"/>
      <c r="L96" s="379"/>
      <c r="M96" s="379"/>
      <c r="N96" s="379"/>
      <c r="O96" s="379"/>
      <c r="P96" s="379"/>
      <c r="Q96" s="379"/>
      <c r="R96" s="379"/>
      <c r="T96" s="45"/>
      <c r="U96" s="378"/>
      <c r="V96" s="46"/>
      <c r="W96" s="378"/>
      <c r="X96" s="378"/>
      <c r="Y96" s="86"/>
      <c r="Z96" s="5"/>
      <c r="AA96" s="86"/>
      <c r="AB96" s="86"/>
      <c r="AC96" s="223"/>
      <c r="AD96" s="446"/>
      <c r="AE96" s="5"/>
      <c r="AF96" s="5"/>
      <c r="AG96" s="149"/>
      <c r="AH96" s="6"/>
      <c r="AI96" s="5"/>
      <c r="AJ96" s="5"/>
      <c r="AK96" s="149"/>
      <c r="AL96" s="8"/>
      <c r="AM96" s="5"/>
      <c r="AN96" s="5"/>
      <c r="AO96" s="5"/>
      <c r="AP96" s="5"/>
      <c r="AQ96" s="149"/>
      <c r="AW96" s="48"/>
    </row>
    <row r="97" spans="1:51" x14ac:dyDescent="0.25">
      <c r="A97" s="53"/>
      <c r="C97" s="54"/>
      <c r="F97" s="379"/>
      <c r="H97" s="379"/>
      <c r="I97" s="379"/>
      <c r="J97" s="221"/>
      <c r="K97" s="464"/>
      <c r="L97" s="379"/>
      <c r="M97" s="379"/>
      <c r="N97" s="379"/>
      <c r="O97" s="379"/>
      <c r="P97" s="379"/>
      <c r="Q97" s="379"/>
      <c r="R97" s="379"/>
      <c r="T97" s="45">
        <v>20</v>
      </c>
      <c r="U97" s="378"/>
      <c r="V97" s="222" t="s">
        <v>209</v>
      </c>
      <c r="W97" s="378"/>
      <c r="X97" s="378"/>
      <c r="Y97" s="86"/>
      <c r="Z97" s="5"/>
      <c r="AA97" s="86"/>
      <c r="AB97" s="86"/>
      <c r="AC97" s="223"/>
      <c r="AD97" s="446"/>
      <c r="AE97" s="5"/>
      <c r="AF97" s="5"/>
      <c r="AG97" s="149"/>
      <c r="AH97" s="6"/>
      <c r="AI97" s="5"/>
      <c r="AJ97" s="5"/>
      <c r="AK97" s="149"/>
      <c r="AL97" s="8"/>
      <c r="AM97" s="5"/>
      <c r="AN97" s="5"/>
      <c r="AO97" s="5"/>
      <c r="AP97" s="5"/>
      <c r="AQ97" s="149"/>
      <c r="AW97" s="48"/>
    </row>
    <row r="98" spans="1:51" x14ac:dyDescent="0.25">
      <c r="A98" s="53"/>
      <c r="C98" s="54"/>
      <c r="F98" s="379"/>
      <c r="H98" s="449"/>
      <c r="I98" s="449"/>
      <c r="J98" s="221"/>
      <c r="K98" s="221"/>
      <c r="L98" s="379"/>
      <c r="M98" s="379"/>
      <c r="N98" s="50"/>
      <c r="O98" s="50"/>
      <c r="P98" s="379"/>
      <c r="Q98" s="379"/>
      <c r="R98" s="379"/>
      <c r="T98" s="380">
        <v>21</v>
      </c>
      <c r="U98" s="378"/>
      <c r="V98" s="52" t="s">
        <v>250</v>
      </c>
      <c r="W98" s="378"/>
      <c r="X98" s="378"/>
      <c r="Y98" s="86">
        <f>F42</f>
        <v>481</v>
      </c>
      <c r="Z98" s="5"/>
      <c r="AA98" s="86">
        <f>H42</f>
        <v>41005</v>
      </c>
      <c r="AB98" s="86"/>
      <c r="AC98" s="223">
        <v>11.67</v>
      </c>
      <c r="AD98" s="485"/>
      <c r="AE98" s="5">
        <f>ROUND(Y98*AC98,0)</f>
        <v>5613</v>
      </c>
      <c r="AF98" s="5"/>
      <c r="AG98" s="149">
        <f>ROUND((AE98/AE$108)*100,1)</f>
        <v>2.5</v>
      </c>
      <c r="AH98" s="6"/>
      <c r="AI98" s="5">
        <f>L42-AE98</f>
        <v>688</v>
      </c>
      <c r="AJ98" s="5"/>
      <c r="AK98" s="164">
        <f>IF(AE98=0,"0.0 ",ROUND((AI98/AE98)*100,1))</f>
        <v>12.3</v>
      </c>
      <c r="AL98" s="8"/>
      <c r="AM98" s="5">
        <f>ROUND((AM$108/AA$108)*AA98,0)</f>
        <v>28</v>
      </c>
      <c r="AN98" s="5"/>
      <c r="AO98" s="5">
        <f>AM98+AE98</f>
        <v>5641</v>
      </c>
      <c r="AP98" s="5"/>
      <c r="AQ98" s="164">
        <f>IF(AO98=0,"0.0 ",ROUND((AI98/AO98)*100,1))</f>
        <v>12.2</v>
      </c>
      <c r="AU98" s="77">
        <f>AC98-AX98</f>
        <v>9.64</v>
      </c>
      <c r="AW98" s="48">
        <v>1023</v>
      </c>
      <c r="AX98" s="380">
        <f>ROUND((AW98/12)*CUR_BASE_FUEL,2)</f>
        <v>2.0299999999999998</v>
      </c>
      <c r="AY98" s="380">
        <f>ROUND((AW98/12)*PRO_BASE_FUEL,2)</f>
        <v>2.0299999999999998</v>
      </c>
    </row>
    <row r="99" spans="1:51" x14ac:dyDescent="0.25">
      <c r="F99" s="379"/>
      <c r="H99" s="379"/>
      <c r="I99" s="379"/>
      <c r="J99" s="221"/>
      <c r="K99" s="464"/>
      <c r="L99" s="381"/>
      <c r="M99" s="381"/>
      <c r="N99" s="381"/>
      <c r="O99" s="381"/>
      <c r="P99" s="381"/>
      <c r="Q99" s="381"/>
      <c r="R99" s="381"/>
      <c r="T99" s="380">
        <v>22</v>
      </c>
      <c r="U99" s="378"/>
      <c r="V99" s="52" t="s">
        <v>249</v>
      </c>
      <c r="W99" s="378"/>
      <c r="X99" s="378"/>
      <c r="Y99" s="86">
        <f>F43</f>
        <v>24</v>
      </c>
      <c r="Z99" s="5"/>
      <c r="AA99" s="86">
        <f>H43</f>
        <v>3918</v>
      </c>
      <c r="AB99" s="86"/>
      <c r="AC99" s="223">
        <v>15.44</v>
      </c>
      <c r="AD99" s="485"/>
      <c r="AE99" s="5">
        <f>ROUND(Y99*AC99,0)</f>
        <v>371</v>
      </c>
      <c r="AF99" s="5"/>
      <c r="AG99" s="149">
        <f>ROUND((AE99/AE$108)*100,1)</f>
        <v>0.2</v>
      </c>
      <c r="AH99" s="6"/>
      <c r="AI99" s="83">
        <f>L43-AE99</f>
        <v>45</v>
      </c>
      <c r="AJ99" s="5"/>
      <c r="AK99" s="164">
        <f>IF(AE99=0,"0.0 ",ROUND((AI99/AE99)*100,1))</f>
        <v>12.1</v>
      </c>
      <c r="AL99" s="8"/>
      <c r="AM99" s="5">
        <f>ROUND((AM$108/AA$108)*AA99,0)</f>
        <v>3</v>
      </c>
      <c r="AN99" s="5"/>
      <c r="AO99" s="5">
        <f>AM99+AE99</f>
        <v>374</v>
      </c>
      <c r="AP99" s="5"/>
      <c r="AQ99" s="164">
        <f>IF(AO99=0,"0.0 ",ROUND((AI99/AO99)*100,1))</f>
        <v>12</v>
      </c>
      <c r="AU99" s="77">
        <f>AC99-AX99</f>
        <v>11.549999999999999</v>
      </c>
      <c r="AW99" s="48">
        <v>1959</v>
      </c>
      <c r="AX99" s="380">
        <f>ROUND((AW99/12)*CUR_BASE_FUEL,2)</f>
        <v>3.89</v>
      </c>
      <c r="AY99" s="380">
        <f>ROUND((AW99/12)*PRO_BASE_FUEL,2)</f>
        <v>3.89</v>
      </c>
    </row>
    <row r="100" spans="1:51" x14ac:dyDescent="0.25">
      <c r="F100" s="379"/>
      <c r="H100" s="379"/>
      <c r="I100" s="379"/>
      <c r="J100" s="221"/>
      <c r="K100" s="464"/>
      <c r="L100" s="381"/>
      <c r="M100" s="381"/>
      <c r="N100" s="381"/>
      <c r="O100" s="381"/>
      <c r="P100" s="381"/>
      <c r="Q100" s="381"/>
      <c r="R100" s="381"/>
      <c r="T100" s="380">
        <v>23</v>
      </c>
      <c r="V100" s="380" t="s">
        <v>248</v>
      </c>
      <c r="W100" s="378"/>
      <c r="X100" s="378"/>
      <c r="Y100" s="87">
        <f>F44</f>
        <v>0</v>
      </c>
      <c r="Z100" s="83"/>
      <c r="AA100" s="87">
        <f>H44</f>
        <v>0</v>
      </c>
      <c r="AB100" s="94"/>
      <c r="AC100" s="221">
        <v>15.44</v>
      </c>
      <c r="AD100" s="524"/>
      <c r="AE100" s="81">
        <f>ROUND(Y100*AC100,0)</f>
        <v>0</v>
      </c>
      <c r="AF100" s="83"/>
      <c r="AG100" s="148">
        <f>ROUND((AE100/AE$108)*100,1)</f>
        <v>0</v>
      </c>
      <c r="AH100" s="91"/>
      <c r="AI100" s="81">
        <f>L44-AE100</f>
        <v>0</v>
      </c>
      <c r="AJ100" s="83"/>
      <c r="AK100" s="163" t="str">
        <f>IF(AE100=0,"0.0 ",ROUND((AI100/AE100)*100,1))</f>
        <v xml:space="preserve">0.0 </v>
      </c>
      <c r="AL100" s="103"/>
      <c r="AM100" s="81">
        <f>ROUND((AM$108/AA$108)*AA100,0)</f>
        <v>0</v>
      </c>
      <c r="AN100" s="83"/>
      <c r="AO100" s="81">
        <f>AM100+AE100</f>
        <v>0</v>
      </c>
      <c r="AP100" s="83"/>
      <c r="AQ100" s="168" t="str">
        <f>IF(AO100=0,"0.0 ",ROUND((AI100/AO100)*100,1))</f>
        <v xml:space="preserve">0.0 </v>
      </c>
      <c r="AU100" s="77">
        <f>AC100-AX100</f>
        <v>11.549999999999999</v>
      </c>
      <c r="AW100" s="48">
        <v>1959</v>
      </c>
      <c r="AX100" s="380">
        <f>ROUND((AW100/12)*CUR_BASE_FUEL,2)</f>
        <v>3.89</v>
      </c>
      <c r="AY100" s="380">
        <f>ROUND((AW100/12)*PRO_BASE_FUEL,2)</f>
        <v>3.89</v>
      </c>
    </row>
    <row r="101" spans="1:51" ht="20.100000000000001" customHeight="1" x14ac:dyDescent="0.25">
      <c r="F101" s="379"/>
      <c r="H101" s="379"/>
      <c r="I101" s="379"/>
      <c r="J101" s="221"/>
      <c r="K101" s="464"/>
      <c r="L101" s="381"/>
      <c r="M101" s="381"/>
      <c r="N101" s="381"/>
      <c r="O101" s="381"/>
      <c r="P101" s="381"/>
      <c r="Q101" s="381"/>
      <c r="R101" s="381"/>
      <c r="T101" s="45">
        <v>24</v>
      </c>
      <c r="U101" s="378"/>
      <c r="V101" s="444" t="s">
        <v>547</v>
      </c>
      <c r="W101" s="378"/>
      <c r="X101" s="378"/>
      <c r="Y101" s="89">
        <f>SUM(Y78:Y100)</f>
        <v>25036</v>
      </c>
      <c r="Z101" s="83"/>
      <c r="AA101" s="89">
        <f>SUM(AA78:AA100)</f>
        <v>1493016</v>
      </c>
      <c r="AB101" s="94"/>
      <c r="AC101" s="221"/>
      <c r="AD101" s="524"/>
      <c r="AE101" s="89">
        <f>SUM(AE78:AE100)</f>
        <v>196703</v>
      </c>
      <c r="AF101" s="83"/>
      <c r="AG101" s="150">
        <f>ROUND((AE101/AE$108)*100,1)</f>
        <v>87.1</v>
      </c>
      <c r="AH101" s="91"/>
      <c r="AI101" s="89">
        <f>SUM(AI78:AI100)</f>
        <v>24123</v>
      </c>
      <c r="AJ101" s="83"/>
      <c r="AK101" s="165">
        <f>IF(AE101=0,"0.0 ",ROUND((AI101/AE101)*100,1))</f>
        <v>12.3</v>
      </c>
      <c r="AL101" s="103"/>
      <c r="AM101" s="89">
        <f>SUM(AM78:AM100)</f>
        <v>1019</v>
      </c>
      <c r="AN101" s="83"/>
      <c r="AO101" s="89">
        <f>SUM(AO78:AO100)</f>
        <v>197722</v>
      </c>
      <c r="AP101" s="83"/>
      <c r="AQ101" s="168">
        <f>IF(AO101=0,"0.0 ",ROUND((AI101/AO101)*100,1))</f>
        <v>12.2</v>
      </c>
      <c r="AU101" s="77"/>
      <c r="AW101" s="48"/>
    </row>
    <row r="102" spans="1:51" x14ac:dyDescent="0.25">
      <c r="F102" s="379"/>
      <c r="H102" s="379"/>
      <c r="I102" s="379"/>
      <c r="J102" s="221"/>
      <c r="K102" s="464"/>
      <c r="L102" s="381"/>
      <c r="M102" s="381"/>
      <c r="N102" s="381"/>
      <c r="O102" s="381"/>
      <c r="P102" s="381"/>
      <c r="Q102" s="381"/>
      <c r="R102" s="381"/>
      <c r="T102" s="45"/>
      <c r="U102" s="378"/>
      <c r="V102" s="444"/>
      <c r="W102" s="378"/>
      <c r="X102" s="378"/>
      <c r="Y102" s="94"/>
      <c r="Z102" s="83"/>
      <c r="AA102" s="94"/>
      <c r="AB102" s="94"/>
      <c r="AC102" s="221"/>
      <c r="AD102" s="524"/>
      <c r="AE102" s="83"/>
      <c r="AF102" s="83"/>
      <c r="AG102" s="383"/>
      <c r="AH102" s="91"/>
      <c r="AI102" s="83"/>
      <c r="AJ102" s="83"/>
      <c r="AK102" s="168"/>
      <c r="AL102" s="103"/>
      <c r="AM102" s="83"/>
      <c r="AN102" s="83"/>
      <c r="AO102" s="83"/>
      <c r="AP102" s="83"/>
      <c r="AQ102" s="168"/>
      <c r="AU102" s="77"/>
      <c r="AW102" s="48"/>
    </row>
    <row r="103" spans="1:51" x14ac:dyDescent="0.25">
      <c r="F103" s="379"/>
      <c r="H103" s="379"/>
      <c r="I103" s="379"/>
      <c r="J103" s="221"/>
      <c r="K103" s="464"/>
      <c r="L103" s="381"/>
      <c r="M103" s="381"/>
      <c r="N103" s="381"/>
      <c r="O103" s="381"/>
      <c r="P103" s="381"/>
      <c r="Q103" s="381"/>
      <c r="R103" s="381"/>
      <c r="T103" s="45">
        <f>A47</f>
        <v>25</v>
      </c>
      <c r="U103" s="378"/>
      <c r="V103" s="222" t="s">
        <v>542</v>
      </c>
      <c r="W103" s="378"/>
      <c r="X103" s="378"/>
      <c r="Y103" s="94"/>
      <c r="Z103" s="83"/>
      <c r="AA103" s="94"/>
      <c r="AB103" s="94"/>
      <c r="AC103" s="221"/>
      <c r="AD103" s="524"/>
      <c r="AE103" s="83"/>
      <c r="AF103" s="83"/>
      <c r="AG103" s="383"/>
      <c r="AH103" s="91"/>
      <c r="AI103" s="83"/>
      <c r="AJ103" s="83"/>
      <c r="AK103" s="168"/>
      <c r="AL103" s="103"/>
      <c r="AM103" s="83"/>
      <c r="AN103" s="83"/>
      <c r="AO103" s="83"/>
      <c r="AP103" s="83"/>
      <c r="AQ103" s="168"/>
      <c r="AU103" s="77"/>
      <c r="AW103" s="48"/>
    </row>
    <row r="104" spans="1:51" x14ac:dyDescent="0.25">
      <c r="F104" s="379"/>
      <c r="H104" s="379"/>
      <c r="I104" s="379"/>
      <c r="J104" s="221"/>
      <c r="K104" s="464"/>
      <c r="L104" s="381"/>
      <c r="M104" s="381"/>
      <c r="N104" s="381"/>
      <c r="O104" s="381"/>
      <c r="P104" s="381"/>
      <c r="Q104" s="381"/>
      <c r="R104" s="381"/>
      <c r="T104" s="45">
        <f>A48</f>
        <v>26</v>
      </c>
      <c r="U104" s="378"/>
      <c r="V104" s="216" t="str">
        <f>C48</f>
        <v>ENVIRONMENTAL SURCHARGE MECHANISM RIDER (ESM)</v>
      </c>
      <c r="W104" s="378"/>
      <c r="X104" s="378"/>
      <c r="Y104" s="94"/>
      <c r="Z104" s="83"/>
      <c r="AA104" s="94"/>
      <c r="AB104" s="94"/>
      <c r="AC104" s="538">
        <f>CUR_ESM_NONRES</f>
        <v>0.18160000000000001</v>
      </c>
      <c r="AD104" s="481"/>
      <c r="AE104" s="83">
        <f>ROUND((AO101-CUR_BASE_FUEL*AA101)*AC104,0)</f>
        <v>29443</v>
      </c>
      <c r="AF104" s="83"/>
      <c r="AG104" s="383">
        <f>ROUND((AE104/AE$108)*100,1)</f>
        <v>13</v>
      </c>
      <c r="AH104" s="91"/>
      <c r="AI104" s="83">
        <f>L48-AE104</f>
        <v>0</v>
      </c>
      <c r="AJ104" s="83"/>
      <c r="AK104" s="168">
        <f t="shared" ref="AK104" si="24">IF(AE104=0,"0.0 ",ROUND((AI104/AE104)*100,1))</f>
        <v>0</v>
      </c>
      <c r="AL104" s="103"/>
      <c r="AM104" s="83"/>
      <c r="AN104" s="83"/>
      <c r="AO104" s="83">
        <f t="shared" ref="AO104" si="25">AM104+AE104</f>
        <v>29443</v>
      </c>
      <c r="AP104" s="83"/>
      <c r="AQ104" s="168">
        <f t="shared" ref="AQ104" si="26">IF(AO104=0,"0.0 ",ROUND((AI104/AO104)*100,1))</f>
        <v>0</v>
      </c>
      <c r="AU104" s="77"/>
      <c r="AW104" s="48"/>
    </row>
    <row r="105" spans="1:51" x14ac:dyDescent="0.25">
      <c r="F105" s="379"/>
      <c r="H105" s="379"/>
      <c r="I105" s="379"/>
      <c r="J105" s="221"/>
      <c r="K105" s="464"/>
      <c r="L105" s="381"/>
      <c r="M105" s="381"/>
      <c r="N105" s="381"/>
      <c r="O105" s="381"/>
      <c r="P105" s="381"/>
      <c r="Q105" s="381"/>
      <c r="R105" s="381"/>
      <c r="T105" s="45">
        <f>A49</f>
        <v>29</v>
      </c>
      <c r="U105" s="378"/>
      <c r="V105" s="216" t="str">
        <f>C49</f>
        <v>PROFIT SHARING MECHANISM (PSM)</v>
      </c>
      <c r="W105" s="378"/>
      <c r="X105" s="378"/>
      <c r="Y105" s="94"/>
      <c r="Z105" s="83"/>
      <c r="AA105" s="94"/>
      <c r="AB105" s="94"/>
      <c r="AC105" s="453">
        <f>RS_PSM</f>
        <v>-1.63E-4</v>
      </c>
      <c r="AD105" s="524"/>
      <c r="AE105" s="83">
        <f>ROUND($AA$101*AC105,0)</f>
        <v>-243</v>
      </c>
      <c r="AF105" s="83"/>
      <c r="AG105" s="148">
        <f>ROUND((AE105/AE$108)*100,1)</f>
        <v>-0.1</v>
      </c>
      <c r="AH105" s="91"/>
      <c r="AI105" s="81">
        <f>L49-AE105</f>
        <v>0</v>
      </c>
      <c r="AJ105" s="83"/>
      <c r="AK105" s="163">
        <f t="shared" ref="AK105:AK106" si="27">IF(AE105=0,"0.0 ",ROUND((AI105/AE105)*100,1))</f>
        <v>0</v>
      </c>
      <c r="AL105" s="103"/>
      <c r="AM105" s="81"/>
      <c r="AN105" s="83"/>
      <c r="AO105" s="81">
        <f t="shared" ref="AO105" si="28">AM105+AE105</f>
        <v>-243</v>
      </c>
      <c r="AP105" s="83"/>
      <c r="AQ105" s="168">
        <f t="shared" ref="AQ105:AQ106" si="29">IF(AO105=0,"0.0 ",ROUND((AI105/AO105)*100,1))</f>
        <v>0</v>
      </c>
      <c r="AU105" s="77"/>
      <c r="AW105" s="48"/>
    </row>
    <row r="106" spans="1:51" x14ac:dyDescent="0.25">
      <c r="F106" s="379"/>
      <c r="H106" s="379"/>
      <c r="I106" s="379"/>
      <c r="J106" s="221"/>
      <c r="K106" s="464"/>
      <c r="L106" s="381"/>
      <c r="M106" s="381"/>
      <c r="N106" s="381"/>
      <c r="O106" s="381"/>
      <c r="P106" s="381"/>
      <c r="Q106" s="381"/>
      <c r="R106" s="381"/>
      <c r="T106" s="45">
        <f>A50</f>
        <v>30</v>
      </c>
      <c r="U106" s="378"/>
      <c r="V106" s="222" t="s">
        <v>538</v>
      </c>
      <c r="W106" s="378"/>
      <c r="X106" s="378"/>
      <c r="Y106" s="87"/>
      <c r="Z106" s="83"/>
      <c r="AA106" s="87"/>
      <c r="AB106" s="94"/>
      <c r="AC106" s="221"/>
      <c r="AD106" s="524"/>
      <c r="AE106" s="90">
        <f>SUM(AE104:AE105)</f>
        <v>29200</v>
      </c>
      <c r="AF106" s="83"/>
      <c r="AG106" s="150">
        <f>ROUND((AE106/AE$108)*100,1)</f>
        <v>12.9</v>
      </c>
      <c r="AH106" s="91"/>
      <c r="AI106" s="90">
        <f>SUM(AI104:AI105)</f>
        <v>0</v>
      </c>
      <c r="AJ106" s="83"/>
      <c r="AK106" s="163">
        <f t="shared" si="27"/>
        <v>0</v>
      </c>
      <c r="AL106" s="103"/>
      <c r="AM106" s="90"/>
      <c r="AN106" s="83"/>
      <c r="AO106" s="90">
        <f>SUM(AO104:AO105)</f>
        <v>29200</v>
      </c>
      <c r="AP106" s="83"/>
      <c r="AQ106" s="168">
        <f t="shared" si="29"/>
        <v>0</v>
      </c>
      <c r="AU106" s="77"/>
      <c r="AW106" s="48"/>
    </row>
    <row r="107" spans="1:51" x14ac:dyDescent="0.25">
      <c r="F107" s="379"/>
      <c r="H107" s="379"/>
      <c r="I107" s="379"/>
      <c r="J107" s="221"/>
      <c r="K107" s="464"/>
      <c r="L107" s="381"/>
      <c r="M107" s="381"/>
      <c r="N107" s="381"/>
      <c r="O107" s="381"/>
      <c r="P107" s="381"/>
      <c r="Q107" s="381"/>
      <c r="R107" s="381"/>
      <c r="W107" s="378"/>
      <c r="X107" s="378"/>
      <c r="Y107" s="94"/>
      <c r="Z107" s="83"/>
      <c r="AA107" s="94"/>
      <c r="AB107" s="94"/>
      <c r="AC107" s="221"/>
      <c r="AD107" s="524"/>
      <c r="AE107" s="83"/>
      <c r="AF107" s="83"/>
      <c r="AG107" s="383"/>
      <c r="AH107" s="91"/>
      <c r="AI107" s="83"/>
      <c r="AJ107" s="83"/>
      <c r="AK107" s="168"/>
      <c r="AL107" s="103"/>
      <c r="AM107" s="83"/>
      <c r="AN107" s="83"/>
      <c r="AO107" s="83"/>
      <c r="AP107" s="83"/>
      <c r="AQ107" s="168"/>
      <c r="AU107" s="77"/>
      <c r="AW107" s="48"/>
    </row>
    <row r="108" spans="1:51" ht="20.100000000000001" customHeight="1" thickBot="1" x14ac:dyDescent="0.3">
      <c r="J108" s="77"/>
      <c r="T108" s="45">
        <f>A52</f>
        <v>31</v>
      </c>
      <c r="U108" s="378"/>
      <c r="V108" s="222" t="s">
        <v>548</v>
      </c>
      <c r="W108" s="378"/>
      <c r="X108" s="378"/>
      <c r="Y108" s="82">
        <f>Y101</f>
        <v>25036</v>
      </c>
      <c r="Z108" s="5"/>
      <c r="AA108" s="82">
        <f>AA101</f>
        <v>1493016</v>
      </c>
      <c r="AB108" s="5"/>
      <c r="AC108" s="485"/>
      <c r="AD108" s="485"/>
      <c r="AE108" s="82">
        <f>AE106+AE101</f>
        <v>225903</v>
      </c>
      <c r="AF108" s="5"/>
      <c r="AG108" s="151">
        <v>100</v>
      </c>
      <c r="AH108" s="8"/>
      <c r="AI108" s="82">
        <f>AI106+AI101</f>
        <v>24123</v>
      </c>
      <c r="AJ108" s="5"/>
      <c r="AK108" s="151">
        <f>ROUND((AI108/AE108)*100,1)</f>
        <v>10.7</v>
      </c>
      <c r="AL108" s="8"/>
      <c r="AM108" s="525">
        <f>ROUND(AA108*CUR_FAC,0)+1</f>
        <v>1018</v>
      </c>
      <c r="AN108" s="5"/>
      <c r="AO108" s="82">
        <f>AO106+AO101</f>
        <v>226922</v>
      </c>
      <c r="AP108" s="5"/>
      <c r="AQ108" s="383">
        <f>ROUND((AI108/AO108)*100,1)</f>
        <v>10.6</v>
      </c>
    </row>
    <row r="109" spans="1:51" ht="16.5" thickTop="1" x14ac:dyDescent="0.25">
      <c r="F109" s="379"/>
      <c r="H109" s="379"/>
      <c r="I109" s="379"/>
      <c r="J109" s="221"/>
      <c r="K109" s="464"/>
      <c r="L109" s="381"/>
      <c r="M109" s="381"/>
      <c r="N109" s="381"/>
      <c r="O109" s="381"/>
      <c r="P109" s="381"/>
      <c r="Q109" s="381"/>
      <c r="R109" s="381"/>
      <c r="T109" s="378"/>
      <c r="U109" s="378"/>
      <c r="V109" s="378"/>
      <c r="W109" s="378"/>
      <c r="X109" s="378"/>
      <c r="Y109" s="378"/>
      <c r="Z109" s="378"/>
      <c r="AA109" s="378"/>
      <c r="AB109" s="378"/>
      <c r="AC109" s="76"/>
      <c r="AD109" s="378"/>
      <c r="AE109" s="378"/>
      <c r="AF109" s="378"/>
      <c r="AG109" s="143"/>
      <c r="AH109" s="378"/>
      <c r="AI109" s="378"/>
      <c r="AJ109" s="378"/>
      <c r="AK109" s="143"/>
      <c r="AL109" s="378"/>
      <c r="AM109" s="378"/>
      <c r="AN109" s="378"/>
      <c r="AO109" s="378"/>
      <c r="AP109" s="378"/>
      <c r="AQ109" s="143"/>
    </row>
    <row r="110" spans="1:51" x14ac:dyDescent="0.25">
      <c r="A110" s="53"/>
      <c r="C110" s="54"/>
      <c r="F110" s="379"/>
      <c r="H110" s="379"/>
      <c r="I110" s="379"/>
      <c r="J110" s="65"/>
      <c r="K110" s="59"/>
      <c r="L110" s="379"/>
      <c r="M110" s="379"/>
      <c r="N110" s="50"/>
      <c r="O110" s="50"/>
      <c r="P110" s="379"/>
      <c r="Q110" s="379"/>
      <c r="R110" s="379"/>
      <c r="U110" s="378"/>
      <c r="V110" s="243" t="s">
        <v>78</v>
      </c>
      <c r="W110" s="378"/>
      <c r="X110" s="378"/>
      <c r="Y110" s="378"/>
      <c r="Z110" s="378"/>
      <c r="AA110" s="378"/>
      <c r="AB110" s="378"/>
      <c r="AC110" s="76"/>
      <c r="AD110" s="378"/>
      <c r="AE110" s="378"/>
      <c r="AF110" s="378"/>
      <c r="AG110" s="143"/>
      <c r="AH110" s="378"/>
      <c r="AI110" s="378"/>
      <c r="AJ110" s="378"/>
      <c r="AK110" s="143"/>
      <c r="AL110" s="378"/>
      <c r="AM110" s="378"/>
      <c r="AN110" s="378"/>
      <c r="AO110" s="378"/>
      <c r="AP110" s="378"/>
      <c r="AQ110" s="143"/>
    </row>
    <row r="111" spans="1:51" x14ac:dyDescent="0.25">
      <c r="A111" s="53"/>
      <c r="C111" s="54"/>
      <c r="F111" s="379"/>
      <c r="H111" s="379"/>
      <c r="I111" s="379"/>
      <c r="J111" s="65"/>
      <c r="K111" s="59"/>
      <c r="L111" s="379"/>
      <c r="M111" s="379"/>
      <c r="N111" s="50"/>
      <c r="O111" s="50"/>
      <c r="P111" s="379"/>
      <c r="Q111" s="379"/>
      <c r="R111" s="379"/>
      <c r="U111" s="378"/>
      <c r="V111" s="243" t="str">
        <f>"(2) REFLECTS FUEL COMPONENT OF "&amp;TEXT(CUR_FAC,"$0.000000;($0.000000)")&amp;" PER KWH."</f>
        <v>(2) REFLECTS FUEL COMPONENT OF $0.000681 PER KWH.</v>
      </c>
      <c r="W111" s="378"/>
      <c r="X111" s="378"/>
      <c r="Y111" s="378"/>
      <c r="Z111" s="378"/>
      <c r="AA111" s="378"/>
      <c r="AB111" s="378"/>
      <c r="AC111" s="76"/>
      <c r="AD111" s="378"/>
      <c r="AE111" s="378"/>
      <c r="AF111" s="378"/>
      <c r="AG111" s="143"/>
      <c r="AH111" s="378"/>
      <c r="AI111" s="378"/>
      <c r="AJ111" s="378"/>
      <c r="AK111" s="143"/>
      <c r="AL111" s="378"/>
      <c r="AM111" s="378"/>
      <c r="AN111" s="378"/>
      <c r="AO111" s="378"/>
      <c r="AP111" s="378"/>
      <c r="AQ111" s="143"/>
    </row>
    <row r="112" spans="1:51" x14ac:dyDescent="0.25">
      <c r="F112" s="379"/>
      <c r="H112" s="379"/>
      <c r="I112" s="379"/>
      <c r="J112" s="221"/>
      <c r="K112" s="464"/>
      <c r="L112" s="381"/>
      <c r="M112" s="381"/>
      <c r="N112" s="381"/>
      <c r="O112" s="381"/>
      <c r="P112" s="381"/>
      <c r="Q112" s="381"/>
      <c r="R112" s="381"/>
      <c r="U112" s="378"/>
      <c r="V112" s="243" t="str">
        <f>"(3) REFLECTS FUEL COST RECOVERY INCLUDED IN BASE RATES OF "&amp;TEXT(CUR_BASE_FUEL,"$0.000000;($0.000000)")&amp;"  PER KWH."</f>
        <v>(3) REFLECTS FUEL COST RECOVERY INCLUDED IN BASE RATES OF $0.023837  PER KWH.</v>
      </c>
      <c r="W112" s="378"/>
      <c r="X112" s="378"/>
      <c r="Y112" s="378"/>
      <c r="Z112" s="378"/>
      <c r="AA112" s="378"/>
      <c r="AB112" s="378"/>
      <c r="AC112" s="76"/>
      <c r="AD112" s="378"/>
      <c r="AE112" s="378"/>
      <c r="AF112" s="378"/>
      <c r="AG112" s="143"/>
      <c r="AH112" s="378"/>
      <c r="AI112" s="378"/>
      <c r="AJ112" s="378"/>
      <c r="AK112" s="143"/>
      <c r="AL112" s="378"/>
      <c r="AM112" s="378"/>
      <c r="AN112" s="378"/>
      <c r="AO112" s="378"/>
      <c r="AP112" s="378"/>
      <c r="AQ112" s="143"/>
    </row>
    <row r="113" spans="1:43" x14ac:dyDescent="0.25">
      <c r="A113" s="53"/>
      <c r="C113" s="54"/>
      <c r="F113" s="379"/>
      <c r="H113" s="379"/>
      <c r="I113" s="379"/>
      <c r="J113" s="65"/>
      <c r="K113" s="59"/>
      <c r="L113" s="379"/>
      <c r="M113" s="379"/>
      <c r="N113" s="50"/>
      <c r="O113" s="50"/>
      <c r="P113" s="379"/>
      <c r="Q113" s="379"/>
      <c r="R113" s="379"/>
      <c r="T113" s="46"/>
      <c r="U113" s="378"/>
      <c r="V113" s="378"/>
      <c r="W113" s="378"/>
      <c r="X113" s="378"/>
      <c r="Y113" s="378"/>
      <c r="Z113" s="378"/>
      <c r="AA113" s="378"/>
      <c r="AB113" s="378"/>
      <c r="AC113" s="76"/>
      <c r="AD113" s="378"/>
      <c r="AE113" s="378"/>
      <c r="AF113" s="378"/>
      <c r="AG113" s="143"/>
      <c r="AH113" s="378"/>
      <c r="AI113" s="378"/>
      <c r="AJ113" s="378"/>
      <c r="AK113" s="143"/>
      <c r="AL113" s="378"/>
      <c r="AM113" s="378"/>
      <c r="AN113" s="378"/>
      <c r="AO113" s="378"/>
      <c r="AP113" s="378"/>
      <c r="AQ113" s="143"/>
    </row>
    <row r="114" spans="1:43" x14ac:dyDescent="0.25">
      <c r="A114" s="53"/>
      <c r="C114" s="54"/>
      <c r="F114" s="449"/>
      <c r="H114" s="449"/>
      <c r="I114" s="449"/>
      <c r="J114" s="221"/>
      <c r="K114" s="472"/>
      <c r="L114" s="379"/>
      <c r="M114" s="379"/>
      <c r="N114" s="50"/>
      <c r="O114" s="50"/>
      <c r="P114" s="379"/>
      <c r="Q114" s="379"/>
      <c r="R114" s="379"/>
      <c r="V114" s="379"/>
      <c r="Y114" s="381"/>
      <c r="Z114" s="464"/>
      <c r="AA114" s="381"/>
      <c r="AB114" s="381"/>
      <c r="AC114" s="78"/>
      <c r="AD114" s="381"/>
      <c r="AE114" s="381"/>
      <c r="AF114" s="381"/>
      <c r="AI114" s="381"/>
      <c r="AJ114" s="381"/>
      <c r="AK114" s="162"/>
      <c r="AL114" s="381"/>
      <c r="AM114" s="50"/>
      <c r="AN114" s="50"/>
    </row>
    <row r="115" spans="1:43" x14ac:dyDescent="0.25">
      <c r="F115" s="381"/>
      <c r="H115" s="381"/>
      <c r="I115" s="381"/>
      <c r="J115" s="221"/>
      <c r="K115" s="464"/>
      <c r="L115" s="381"/>
      <c r="M115" s="381"/>
      <c r="N115" s="381"/>
      <c r="O115" s="381"/>
      <c r="P115" s="381"/>
      <c r="Q115" s="381"/>
      <c r="R115" s="381"/>
      <c r="T115" s="54"/>
      <c r="V115" s="379"/>
      <c r="Y115" s="379"/>
      <c r="Z115" s="464"/>
      <c r="AA115" s="379"/>
      <c r="AB115" s="379"/>
      <c r="AC115" s="65"/>
      <c r="AD115" s="379"/>
      <c r="AE115" s="379"/>
      <c r="AF115" s="379"/>
      <c r="AG115" s="156"/>
      <c r="AH115" s="60"/>
      <c r="AI115" s="379"/>
      <c r="AJ115" s="379"/>
      <c r="AK115" s="156"/>
      <c r="AL115" s="379"/>
      <c r="AM115" s="50"/>
      <c r="AN115" s="50"/>
    </row>
    <row r="116" spans="1:43" x14ac:dyDescent="0.25">
      <c r="A116" s="53"/>
      <c r="C116" s="54"/>
      <c r="F116" s="379"/>
      <c r="H116" s="379"/>
      <c r="I116" s="379"/>
      <c r="J116" s="221"/>
      <c r="K116" s="464"/>
      <c r="L116" s="379"/>
      <c r="M116" s="379"/>
      <c r="N116" s="50"/>
      <c r="O116" s="50"/>
      <c r="P116" s="379"/>
      <c r="Q116" s="379"/>
      <c r="R116" s="379"/>
      <c r="S116" s="379"/>
      <c r="T116" s="54"/>
      <c r="V116" s="379"/>
      <c r="Y116" s="379"/>
      <c r="Z116" s="221"/>
      <c r="AA116" s="379"/>
      <c r="AB116" s="379"/>
      <c r="AC116" s="65"/>
      <c r="AD116" s="50"/>
      <c r="AE116" s="379"/>
      <c r="AF116" s="379"/>
      <c r="AG116" s="156"/>
      <c r="AH116" s="60"/>
      <c r="AI116" s="379"/>
      <c r="AJ116" s="379"/>
      <c r="AK116" s="156"/>
      <c r="AL116" s="379"/>
      <c r="AM116" s="50"/>
      <c r="AN116" s="50"/>
    </row>
    <row r="117" spans="1:43" x14ac:dyDescent="0.25">
      <c r="F117" s="381"/>
      <c r="H117" s="381"/>
      <c r="I117" s="381"/>
      <c r="J117" s="221"/>
      <c r="K117" s="464"/>
      <c r="L117" s="381"/>
      <c r="M117" s="381"/>
      <c r="N117" s="381"/>
      <c r="O117" s="381"/>
      <c r="P117" s="381"/>
      <c r="Q117" s="381"/>
      <c r="R117" s="381"/>
      <c r="S117" s="379"/>
      <c r="T117" s="54"/>
      <c r="Y117" s="379"/>
      <c r="Z117" s="221"/>
      <c r="AA117" s="379"/>
      <c r="AB117" s="379"/>
      <c r="AC117" s="65"/>
      <c r="AD117" s="50"/>
      <c r="AE117" s="379"/>
      <c r="AF117" s="379"/>
      <c r="AG117" s="156"/>
      <c r="AH117" s="60"/>
      <c r="AI117" s="379"/>
      <c r="AJ117" s="379"/>
      <c r="AK117" s="156"/>
      <c r="AL117" s="379"/>
      <c r="AM117" s="50"/>
      <c r="AN117" s="50"/>
    </row>
    <row r="118" spans="1:43" x14ac:dyDescent="0.25">
      <c r="A118" s="53"/>
      <c r="C118" s="54"/>
      <c r="J118" s="77"/>
      <c r="V118" s="379"/>
      <c r="Y118" s="379"/>
      <c r="Z118" s="464"/>
      <c r="AA118" s="381"/>
      <c r="AB118" s="381"/>
      <c r="AC118" s="78"/>
      <c r="AD118" s="381"/>
      <c r="AE118" s="381"/>
      <c r="AF118" s="381"/>
      <c r="AI118" s="381"/>
      <c r="AJ118" s="381"/>
      <c r="AK118" s="162"/>
      <c r="AL118" s="381"/>
      <c r="AM118" s="50"/>
      <c r="AN118" s="50"/>
    </row>
    <row r="119" spans="1:43" x14ac:dyDescent="0.25">
      <c r="A119" s="53"/>
      <c r="C119" s="54"/>
      <c r="F119" s="379"/>
      <c r="H119" s="379"/>
      <c r="I119" s="379"/>
      <c r="J119" s="77"/>
      <c r="L119" s="379"/>
      <c r="M119" s="379"/>
      <c r="N119" s="50"/>
      <c r="O119" s="50"/>
      <c r="P119" s="449"/>
      <c r="Q119" s="449"/>
      <c r="R119" s="379"/>
      <c r="T119" s="54"/>
      <c r="V119" s="379"/>
      <c r="Y119" s="379"/>
      <c r="Z119" s="59"/>
      <c r="AA119" s="379"/>
      <c r="AB119" s="379"/>
      <c r="AC119" s="65"/>
      <c r="AD119" s="50"/>
      <c r="AE119" s="379"/>
      <c r="AF119" s="379"/>
      <c r="AG119" s="156"/>
      <c r="AH119" s="60"/>
      <c r="AI119" s="379"/>
      <c r="AJ119" s="379"/>
      <c r="AK119" s="156"/>
      <c r="AL119" s="379"/>
      <c r="AM119" s="50"/>
      <c r="AN119" s="50"/>
    </row>
    <row r="120" spans="1:43" x14ac:dyDescent="0.25">
      <c r="F120" s="381"/>
      <c r="H120" s="381"/>
      <c r="I120" s="381"/>
      <c r="J120" s="221"/>
      <c r="K120" s="464"/>
      <c r="L120" s="381"/>
      <c r="M120" s="381"/>
      <c r="N120" s="381"/>
      <c r="O120" s="381"/>
      <c r="P120" s="381"/>
      <c r="Q120" s="381"/>
      <c r="R120" s="381"/>
      <c r="V120" s="379"/>
      <c r="Y120" s="379"/>
      <c r="Z120" s="464"/>
      <c r="AA120" s="381"/>
      <c r="AB120" s="381"/>
      <c r="AC120" s="78"/>
      <c r="AD120" s="381"/>
      <c r="AE120" s="381"/>
      <c r="AF120" s="381"/>
      <c r="AI120" s="381"/>
      <c r="AJ120" s="381"/>
      <c r="AK120" s="162"/>
      <c r="AL120" s="381"/>
      <c r="AM120" s="50"/>
      <c r="AN120" s="50"/>
    </row>
    <row r="121" spans="1:43" x14ac:dyDescent="0.25">
      <c r="J121" s="77"/>
      <c r="T121" s="54"/>
      <c r="V121" s="379"/>
      <c r="Y121" s="379"/>
      <c r="Z121" s="59"/>
      <c r="AA121" s="379"/>
      <c r="AB121" s="379"/>
      <c r="AC121" s="65"/>
      <c r="AD121" s="50"/>
      <c r="AE121" s="379"/>
      <c r="AF121" s="379"/>
      <c r="AG121" s="156"/>
      <c r="AH121" s="60"/>
      <c r="AI121" s="379"/>
      <c r="AJ121" s="379"/>
      <c r="AK121" s="156"/>
      <c r="AL121" s="379"/>
      <c r="AM121" s="50"/>
      <c r="AN121" s="50"/>
    </row>
    <row r="122" spans="1:43" x14ac:dyDescent="0.25">
      <c r="C122" s="54"/>
      <c r="J122" s="77"/>
      <c r="L122" s="379"/>
      <c r="M122" s="379"/>
      <c r="N122" s="379"/>
      <c r="O122" s="379"/>
      <c r="P122" s="379"/>
      <c r="Q122" s="379"/>
      <c r="R122" s="379"/>
      <c r="S122" s="379"/>
      <c r="T122" s="54"/>
      <c r="V122" s="449"/>
      <c r="Y122" s="379"/>
      <c r="Z122" s="472"/>
      <c r="AA122" s="379"/>
      <c r="AB122" s="379"/>
      <c r="AC122" s="65"/>
      <c r="AD122" s="50"/>
      <c r="AE122" s="379"/>
      <c r="AF122" s="379"/>
      <c r="AG122" s="156"/>
      <c r="AH122" s="60"/>
      <c r="AI122" s="379"/>
      <c r="AJ122" s="379"/>
      <c r="AK122" s="156"/>
      <c r="AL122" s="379"/>
      <c r="AM122" s="50"/>
      <c r="AN122" s="50"/>
    </row>
    <row r="123" spans="1:43" x14ac:dyDescent="0.25">
      <c r="A123" s="54"/>
      <c r="J123" s="77"/>
      <c r="V123" s="381"/>
      <c r="Y123" s="381"/>
      <c r="Z123" s="464"/>
      <c r="AA123" s="381"/>
      <c r="AB123" s="381"/>
      <c r="AC123" s="78"/>
      <c r="AD123" s="381"/>
      <c r="AE123" s="381"/>
      <c r="AF123" s="381"/>
      <c r="AI123" s="381"/>
      <c r="AJ123" s="381"/>
      <c r="AK123" s="162"/>
      <c r="AL123" s="381"/>
      <c r="AM123" s="50"/>
      <c r="AN123" s="50"/>
    </row>
    <row r="124" spans="1:43" x14ac:dyDescent="0.25">
      <c r="J124" s="65"/>
      <c r="K124" s="53"/>
      <c r="T124" s="54"/>
      <c r="V124" s="379"/>
      <c r="Y124" s="379"/>
      <c r="Z124" s="464"/>
      <c r="AA124" s="379"/>
      <c r="AB124" s="379"/>
      <c r="AC124" s="65"/>
      <c r="AD124" s="50"/>
      <c r="AE124" s="379"/>
      <c r="AF124" s="379"/>
      <c r="AG124" s="156"/>
      <c r="AH124" s="50"/>
      <c r="AI124" s="379"/>
      <c r="AJ124" s="379"/>
      <c r="AK124" s="156"/>
      <c r="AL124" s="379"/>
      <c r="AM124" s="50"/>
      <c r="AN124" s="50"/>
    </row>
    <row r="125" spans="1:43" x14ac:dyDescent="0.25">
      <c r="H125" s="54"/>
      <c r="I125" s="54"/>
      <c r="J125" s="77"/>
      <c r="V125" s="381"/>
      <c r="Y125" s="381"/>
      <c r="Z125" s="464"/>
      <c r="AA125" s="381"/>
      <c r="AB125" s="381"/>
      <c r="AC125" s="78"/>
      <c r="AD125" s="381"/>
      <c r="AE125" s="381"/>
      <c r="AF125" s="381"/>
      <c r="AI125" s="381"/>
      <c r="AJ125" s="381"/>
      <c r="AK125" s="162"/>
      <c r="AL125" s="381"/>
      <c r="AM125" s="50"/>
      <c r="AN125" s="50"/>
    </row>
    <row r="126" spans="1:43" x14ac:dyDescent="0.25">
      <c r="J126" s="65"/>
      <c r="K126" s="53"/>
      <c r="T126" s="54"/>
      <c r="AC126" s="77"/>
    </row>
    <row r="127" spans="1:43" x14ac:dyDescent="0.25">
      <c r="J127" s="77"/>
      <c r="L127" s="54"/>
      <c r="M127" s="54"/>
      <c r="AA127" s="54"/>
      <c r="AB127" s="54"/>
      <c r="AC127" s="77"/>
    </row>
    <row r="128" spans="1:43" x14ac:dyDescent="0.25">
      <c r="A128" s="53"/>
      <c r="J128" s="77"/>
      <c r="R128" s="54"/>
      <c r="AC128" s="77"/>
      <c r="AK128" s="161"/>
      <c r="AL128" s="54"/>
    </row>
    <row r="129" spans="1:40" x14ac:dyDescent="0.25">
      <c r="A129" s="53"/>
      <c r="J129" s="77"/>
      <c r="R129" s="54"/>
      <c r="AC129" s="77"/>
      <c r="AK129" s="161"/>
      <c r="AL129" s="54"/>
    </row>
    <row r="130" spans="1:40" x14ac:dyDescent="0.25">
      <c r="A130" s="54"/>
      <c r="J130" s="77"/>
      <c r="R130" s="54"/>
      <c r="AC130" s="77"/>
      <c r="AK130" s="161"/>
      <c r="AL130" s="54"/>
    </row>
    <row r="131" spans="1:40" x14ac:dyDescent="0.25">
      <c r="J131" s="77"/>
      <c r="L131" s="54"/>
      <c r="M131" s="54"/>
      <c r="R131" s="53"/>
      <c r="AA131" s="54"/>
      <c r="AB131" s="54"/>
      <c r="AC131" s="77"/>
      <c r="AK131" s="156"/>
      <c r="AL131" s="53"/>
    </row>
    <row r="132" spans="1:40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66"/>
      <c r="K132" s="55"/>
      <c r="L132" s="55"/>
      <c r="M132" s="55"/>
      <c r="N132" s="55"/>
      <c r="O132" s="55"/>
      <c r="P132" s="55"/>
      <c r="Q132" s="55"/>
      <c r="R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154"/>
      <c r="AH132" s="55"/>
      <c r="AI132" s="55"/>
      <c r="AJ132" s="55"/>
      <c r="AK132" s="154"/>
      <c r="AL132" s="55"/>
      <c r="AM132" s="55"/>
      <c r="AN132" s="55"/>
    </row>
    <row r="133" spans="1:40" x14ac:dyDescent="0.25">
      <c r="J133" s="77"/>
      <c r="L133" s="56"/>
      <c r="M133" s="56"/>
      <c r="N133" s="56"/>
      <c r="O133" s="56"/>
      <c r="R133" s="56"/>
      <c r="AA133" s="56"/>
      <c r="AB133" s="56"/>
      <c r="AC133" s="56"/>
      <c r="AD133" s="56"/>
      <c r="AE133" s="56"/>
      <c r="AF133" s="56"/>
      <c r="AG133" s="155"/>
      <c r="AH133" s="56"/>
      <c r="AK133" s="155"/>
      <c r="AL133" s="56"/>
      <c r="AM133" s="56"/>
      <c r="AN133" s="56"/>
    </row>
    <row r="134" spans="1:40" x14ac:dyDescent="0.25">
      <c r="J134" s="77"/>
      <c r="L134" s="56"/>
      <c r="M134" s="56"/>
      <c r="N134" s="56"/>
      <c r="O134" s="56"/>
      <c r="R134" s="56"/>
      <c r="Z134" s="56"/>
      <c r="AA134" s="56"/>
      <c r="AB134" s="56"/>
      <c r="AC134" s="56"/>
      <c r="AD134" s="56"/>
      <c r="AE134" s="56"/>
      <c r="AF134" s="56"/>
      <c r="AG134" s="155"/>
      <c r="AH134" s="56"/>
      <c r="AK134" s="155"/>
      <c r="AL134" s="56"/>
      <c r="AM134" s="56"/>
      <c r="AN134" s="56"/>
    </row>
    <row r="135" spans="1:40" x14ac:dyDescent="0.25">
      <c r="A135" s="56"/>
      <c r="C135" s="56"/>
      <c r="D135" s="56"/>
      <c r="E135" s="56"/>
      <c r="F135" s="56"/>
      <c r="J135" s="67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Z135" s="56"/>
      <c r="AA135" s="56"/>
      <c r="AB135" s="56"/>
      <c r="AC135" s="56"/>
      <c r="AD135" s="56"/>
      <c r="AE135" s="56"/>
      <c r="AF135" s="56"/>
      <c r="AG135" s="155"/>
      <c r="AH135" s="56"/>
      <c r="AI135" s="56"/>
      <c r="AJ135" s="56"/>
      <c r="AK135" s="155"/>
      <c r="AL135" s="56"/>
      <c r="AM135" s="56"/>
      <c r="AN135" s="56"/>
    </row>
    <row r="136" spans="1:40" x14ac:dyDescent="0.25">
      <c r="A136" s="56"/>
      <c r="C136" s="56"/>
      <c r="D136" s="56"/>
      <c r="E136" s="56"/>
      <c r="F136" s="56"/>
      <c r="H136" s="56"/>
      <c r="I136" s="56"/>
      <c r="J136" s="67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Y136" s="56"/>
      <c r="Z136" s="56"/>
      <c r="AA136" s="56"/>
      <c r="AB136" s="56"/>
      <c r="AC136" s="56"/>
      <c r="AD136" s="56"/>
      <c r="AE136" s="56"/>
      <c r="AF136" s="56"/>
      <c r="AG136" s="155"/>
      <c r="AH136" s="56"/>
      <c r="AI136" s="56"/>
      <c r="AJ136" s="56"/>
      <c r="AK136" s="155"/>
      <c r="AL136" s="56"/>
      <c r="AM136" s="56"/>
      <c r="AN136" s="56"/>
    </row>
    <row r="137" spans="1:40" x14ac:dyDescent="0.25">
      <c r="C137" s="56"/>
      <c r="D137" s="56"/>
      <c r="E137" s="56"/>
      <c r="F137" s="56"/>
      <c r="H137" s="56"/>
      <c r="I137" s="56"/>
      <c r="J137" s="67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Y137" s="56"/>
      <c r="Z137" s="56"/>
      <c r="AA137" s="56"/>
      <c r="AB137" s="56"/>
      <c r="AC137" s="56"/>
      <c r="AD137" s="56"/>
      <c r="AE137" s="56"/>
      <c r="AF137" s="56"/>
      <c r="AG137" s="155"/>
      <c r="AH137" s="56"/>
      <c r="AI137" s="56"/>
      <c r="AJ137" s="56"/>
      <c r="AK137" s="155"/>
      <c r="AL137" s="56"/>
      <c r="AM137" s="56"/>
      <c r="AN137" s="56"/>
    </row>
    <row r="138" spans="1:40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66"/>
      <c r="K138" s="55"/>
      <c r="L138" s="55"/>
      <c r="M138" s="55"/>
      <c r="N138" s="55"/>
      <c r="O138" s="55"/>
      <c r="P138" s="55"/>
      <c r="Q138" s="55"/>
      <c r="R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154"/>
      <c r="AH138" s="55"/>
      <c r="AI138" s="55"/>
      <c r="AJ138" s="55"/>
      <c r="AK138" s="154"/>
      <c r="AL138" s="55"/>
      <c r="AM138" s="55"/>
      <c r="AN138" s="55"/>
    </row>
    <row r="139" spans="1:40" x14ac:dyDescent="0.25">
      <c r="H139" s="56"/>
      <c r="I139" s="56"/>
      <c r="J139" s="67"/>
      <c r="K139" s="56"/>
      <c r="L139" s="56"/>
      <c r="M139" s="56"/>
      <c r="N139" s="56"/>
      <c r="O139" s="56"/>
      <c r="P139" s="56"/>
      <c r="Q139" s="56"/>
      <c r="R139" s="56"/>
      <c r="Y139" s="56"/>
      <c r="Z139" s="56"/>
      <c r="AA139" s="56"/>
      <c r="AB139" s="56"/>
      <c r="AC139" s="56"/>
      <c r="AD139" s="56"/>
      <c r="AE139" s="56"/>
      <c r="AF139" s="56"/>
      <c r="AG139" s="155"/>
      <c r="AH139" s="56"/>
      <c r="AI139" s="56"/>
      <c r="AJ139" s="56"/>
      <c r="AK139" s="155"/>
      <c r="AL139" s="56"/>
      <c r="AM139" s="56"/>
      <c r="AN139" s="56"/>
    </row>
    <row r="140" spans="1:40" x14ac:dyDescent="0.25">
      <c r="A140" s="53"/>
      <c r="C140" s="54"/>
      <c r="D140" s="54"/>
      <c r="E140" s="54"/>
      <c r="J140" s="77"/>
      <c r="T140" s="54"/>
      <c r="U140" s="54"/>
    </row>
    <row r="141" spans="1:40" x14ac:dyDescent="0.25">
      <c r="A141" s="53"/>
      <c r="D141" s="54"/>
      <c r="E141" s="54"/>
      <c r="J141" s="77"/>
      <c r="U141" s="54"/>
    </row>
    <row r="142" spans="1:40" x14ac:dyDescent="0.25">
      <c r="J142" s="77"/>
    </row>
    <row r="143" spans="1:40" x14ac:dyDescent="0.25">
      <c r="A143" s="53"/>
      <c r="C143" s="54"/>
      <c r="F143" s="449"/>
      <c r="H143" s="449"/>
      <c r="I143" s="449"/>
      <c r="J143" s="221"/>
      <c r="K143" s="461"/>
      <c r="L143" s="379"/>
      <c r="M143" s="379"/>
      <c r="N143" s="50"/>
      <c r="O143" s="50"/>
      <c r="R143" s="379"/>
      <c r="T143" s="54"/>
      <c r="V143" s="379"/>
      <c r="Y143" s="449"/>
      <c r="Z143" s="461"/>
      <c r="AA143" s="379"/>
      <c r="AB143" s="379"/>
      <c r="AC143" s="50"/>
      <c r="AD143" s="50"/>
      <c r="AE143" s="379"/>
      <c r="AF143" s="379"/>
      <c r="AG143" s="474"/>
      <c r="AH143" s="475"/>
      <c r="AK143" s="156"/>
      <c r="AL143" s="379"/>
      <c r="AM143" s="476"/>
      <c r="AN143" s="476"/>
    </row>
    <row r="144" spans="1:40" x14ac:dyDescent="0.25">
      <c r="A144" s="53"/>
      <c r="C144" s="54"/>
      <c r="F144" s="449"/>
      <c r="H144" s="449"/>
      <c r="I144" s="449"/>
      <c r="J144" s="221"/>
      <c r="K144" s="461"/>
      <c r="L144" s="379"/>
      <c r="M144" s="379"/>
      <c r="N144" s="50"/>
      <c r="O144" s="50"/>
      <c r="P144" s="53"/>
      <c r="Q144" s="53"/>
      <c r="R144" s="379"/>
      <c r="T144" s="54"/>
      <c r="V144" s="379"/>
      <c r="Y144" s="449"/>
      <c r="Z144" s="461"/>
      <c r="AA144" s="379"/>
      <c r="AB144" s="379"/>
      <c r="AC144" s="50"/>
      <c r="AD144" s="50"/>
      <c r="AE144" s="379"/>
      <c r="AF144" s="379"/>
      <c r="AG144" s="156"/>
      <c r="AH144" s="60"/>
      <c r="AI144" s="53"/>
      <c r="AJ144" s="53"/>
      <c r="AK144" s="156"/>
      <c r="AL144" s="379"/>
      <c r="AM144" s="50"/>
      <c r="AN144" s="50"/>
    </row>
    <row r="145" spans="1:40" x14ac:dyDescent="0.25">
      <c r="F145" s="381"/>
      <c r="H145" s="379"/>
      <c r="I145" s="379"/>
      <c r="J145" s="221"/>
      <c r="K145" s="464"/>
      <c r="L145" s="381"/>
      <c r="M145" s="381"/>
      <c r="N145" s="381"/>
      <c r="O145" s="381"/>
      <c r="P145" s="381"/>
      <c r="Q145" s="381"/>
      <c r="R145" s="381"/>
      <c r="V145" s="381"/>
      <c r="Y145" s="379"/>
      <c r="Z145" s="464"/>
      <c r="AA145" s="381"/>
      <c r="AB145" s="381"/>
      <c r="AC145" s="381"/>
      <c r="AD145" s="381"/>
      <c r="AE145" s="381"/>
      <c r="AF145" s="381"/>
      <c r="AI145" s="381"/>
      <c r="AJ145" s="381"/>
      <c r="AK145" s="162"/>
      <c r="AL145" s="381"/>
      <c r="AM145" s="50"/>
      <c r="AN145" s="50"/>
    </row>
    <row r="146" spans="1:40" x14ac:dyDescent="0.25">
      <c r="A146" s="53"/>
      <c r="C146" s="54"/>
      <c r="F146" s="379"/>
      <c r="H146" s="379"/>
      <c r="I146" s="379"/>
      <c r="J146" s="221"/>
      <c r="K146" s="464"/>
      <c r="L146" s="379"/>
      <c r="M146" s="379"/>
      <c r="N146" s="50"/>
      <c r="O146" s="50"/>
      <c r="P146" s="379"/>
      <c r="Q146" s="379"/>
      <c r="R146" s="379"/>
      <c r="T146" s="54"/>
      <c r="V146" s="379"/>
      <c r="Y146" s="379"/>
      <c r="Z146" s="59"/>
      <c r="AA146" s="379"/>
      <c r="AB146" s="379"/>
      <c r="AC146" s="50"/>
      <c r="AD146" s="50"/>
      <c r="AE146" s="379"/>
      <c r="AF146" s="379"/>
      <c r="AG146" s="156"/>
      <c r="AH146" s="60"/>
      <c r="AI146" s="379"/>
      <c r="AJ146" s="379"/>
      <c r="AK146" s="156"/>
      <c r="AL146" s="379"/>
      <c r="AM146" s="50"/>
      <c r="AN146" s="50"/>
    </row>
    <row r="147" spans="1:40" x14ac:dyDescent="0.25">
      <c r="F147" s="381"/>
      <c r="H147" s="379"/>
      <c r="I147" s="379"/>
      <c r="J147" s="221"/>
      <c r="K147" s="464"/>
      <c r="L147" s="381"/>
      <c r="M147" s="381"/>
      <c r="N147" s="381"/>
      <c r="O147" s="381"/>
      <c r="P147" s="381"/>
      <c r="Q147" s="381"/>
      <c r="R147" s="381"/>
      <c r="V147" s="381"/>
      <c r="Y147" s="379"/>
      <c r="Z147" s="464"/>
      <c r="AA147" s="381"/>
      <c r="AB147" s="381"/>
      <c r="AC147" s="381"/>
      <c r="AD147" s="381"/>
      <c r="AE147" s="381"/>
      <c r="AF147" s="381"/>
      <c r="AI147" s="381"/>
      <c r="AJ147" s="381"/>
      <c r="AK147" s="162"/>
      <c r="AL147" s="381"/>
      <c r="AM147" s="50"/>
      <c r="AN147" s="50"/>
    </row>
    <row r="148" spans="1:40" x14ac:dyDescent="0.25">
      <c r="F148" s="379"/>
      <c r="H148" s="379"/>
      <c r="I148" s="379"/>
      <c r="J148" s="221"/>
      <c r="K148" s="464"/>
      <c r="L148" s="379"/>
      <c r="M148" s="379"/>
      <c r="N148" s="50"/>
      <c r="O148" s="50"/>
      <c r="P148" s="379"/>
      <c r="Q148" s="379"/>
      <c r="R148" s="379"/>
      <c r="V148" s="379"/>
      <c r="Y148" s="379"/>
      <c r="Z148" s="59"/>
      <c r="AA148" s="379"/>
      <c r="AB148" s="379"/>
      <c r="AC148" s="50"/>
      <c r="AD148" s="50"/>
      <c r="AE148" s="379"/>
      <c r="AF148" s="379"/>
      <c r="AG148" s="156"/>
      <c r="AH148" s="60"/>
      <c r="AI148" s="379"/>
      <c r="AJ148" s="379"/>
      <c r="AK148" s="156"/>
      <c r="AL148" s="379"/>
      <c r="AM148" s="50"/>
      <c r="AN148" s="50"/>
    </row>
    <row r="149" spans="1:40" x14ac:dyDescent="0.25">
      <c r="A149" s="53"/>
      <c r="C149" s="54"/>
      <c r="F149" s="449"/>
      <c r="H149" s="449"/>
      <c r="I149" s="449"/>
      <c r="J149" s="221"/>
      <c r="K149" s="461"/>
      <c r="L149" s="379"/>
      <c r="M149" s="379"/>
      <c r="N149" s="50"/>
      <c r="O149" s="50"/>
      <c r="P149" s="379"/>
      <c r="Q149" s="379"/>
      <c r="R149" s="379"/>
      <c r="T149" s="54"/>
      <c r="V149" s="449"/>
      <c r="Y149" s="379"/>
      <c r="Z149" s="461"/>
      <c r="AA149" s="379"/>
      <c r="AB149" s="379"/>
      <c r="AC149" s="50"/>
      <c r="AD149" s="50"/>
      <c r="AE149" s="379"/>
      <c r="AF149" s="379"/>
      <c r="AG149" s="474"/>
      <c r="AH149" s="475"/>
      <c r="AI149" s="379"/>
      <c r="AJ149" s="379"/>
      <c r="AK149" s="156"/>
      <c r="AL149" s="379"/>
      <c r="AM149" s="476"/>
      <c r="AN149" s="476"/>
    </row>
    <row r="150" spans="1:40" x14ac:dyDescent="0.25">
      <c r="A150" s="53"/>
      <c r="C150" s="54"/>
      <c r="F150" s="449"/>
      <c r="H150" s="449"/>
      <c r="I150" s="449"/>
      <c r="J150" s="221"/>
      <c r="K150" s="461"/>
      <c r="L150" s="379"/>
      <c r="M150" s="379"/>
      <c r="N150" s="50"/>
      <c r="O150" s="50"/>
      <c r="P150" s="379"/>
      <c r="Q150" s="379"/>
      <c r="R150" s="379"/>
      <c r="T150" s="54"/>
      <c r="V150" s="449"/>
      <c r="Y150" s="379"/>
      <c r="Z150" s="461"/>
      <c r="AA150" s="379"/>
      <c r="AB150" s="379"/>
      <c r="AC150" s="50"/>
      <c r="AD150" s="50"/>
      <c r="AE150" s="379"/>
      <c r="AF150" s="379"/>
      <c r="AG150" s="156"/>
      <c r="AH150" s="60"/>
      <c r="AI150" s="379"/>
      <c r="AJ150" s="379"/>
      <c r="AK150" s="156"/>
      <c r="AL150" s="379"/>
      <c r="AM150" s="50"/>
      <c r="AN150" s="50"/>
    </row>
    <row r="151" spans="1:40" x14ac:dyDescent="0.25">
      <c r="F151" s="379"/>
      <c r="H151" s="381"/>
      <c r="I151" s="381"/>
      <c r="J151" s="221"/>
      <c r="K151" s="464"/>
      <c r="L151" s="381"/>
      <c r="M151" s="381"/>
      <c r="N151" s="381"/>
      <c r="O151" s="381"/>
      <c r="P151" s="381"/>
      <c r="Q151" s="381"/>
      <c r="R151" s="381"/>
      <c r="V151" s="379"/>
      <c r="Y151" s="381"/>
      <c r="Z151" s="464"/>
      <c r="AA151" s="381"/>
      <c r="AB151" s="381"/>
      <c r="AC151" s="381"/>
      <c r="AD151" s="381"/>
      <c r="AE151" s="381"/>
      <c r="AF151" s="381"/>
      <c r="AI151" s="381"/>
      <c r="AJ151" s="381"/>
      <c r="AK151" s="162"/>
      <c r="AL151" s="381"/>
      <c r="AM151" s="50"/>
      <c r="AN151" s="50"/>
    </row>
    <row r="152" spans="1:40" x14ac:dyDescent="0.25">
      <c r="A152" s="53"/>
      <c r="C152" s="54"/>
      <c r="F152" s="379"/>
      <c r="H152" s="379"/>
      <c r="I152" s="379"/>
      <c r="J152" s="221"/>
      <c r="K152" s="464"/>
      <c r="L152" s="379"/>
      <c r="M152" s="379"/>
      <c r="N152" s="50"/>
      <c r="O152" s="50"/>
      <c r="P152" s="379"/>
      <c r="Q152" s="379"/>
      <c r="R152" s="379"/>
      <c r="T152" s="54"/>
      <c r="V152" s="379"/>
      <c r="Y152" s="379"/>
      <c r="Z152" s="464"/>
      <c r="AA152" s="379"/>
      <c r="AB152" s="379"/>
      <c r="AC152" s="50"/>
      <c r="AD152" s="50"/>
      <c r="AE152" s="379"/>
      <c r="AF152" s="379"/>
      <c r="AG152" s="156"/>
      <c r="AH152" s="60"/>
      <c r="AI152" s="379"/>
      <c r="AJ152" s="379"/>
      <c r="AK152" s="156"/>
      <c r="AL152" s="379"/>
      <c r="AM152" s="50"/>
      <c r="AN152" s="50"/>
    </row>
    <row r="153" spans="1:40" x14ac:dyDescent="0.25">
      <c r="F153" s="379"/>
      <c r="H153" s="381"/>
      <c r="I153" s="381"/>
      <c r="J153" s="221"/>
      <c r="K153" s="464"/>
      <c r="L153" s="381"/>
      <c r="M153" s="381"/>
      <c r="N153" s="381"/>
      <c r="O153" s="381"/>
      <c r="P153" s="381"/>
      <c r="Q153" s="381"/>
      <c r="R153" s="381"/>
      <c r="V153" s="379"/>
      <c r="Y153" s="381"/>
      <c r="Z153" s="464"/>
      <c r="AA153" s="381"/>
      <c r="AB153" s="381"/>
      <c r="AC153" s="381"/>
      <c r="AD153" s="381"/>
      <c r="AE153" s="381"/>
      <c r="AF153" s="381"/>
      <c r="AI153" s="381"/>
      <c r="AJ153" s="381"/>
      <c r="AK153" s="162"/>
      <c r="AL153" s="381"/>
      <c r="AM153" s="50"/>
      <c r="AN153" s="50"/>
    </row>
    <row r="154" spans="1:40" x14ac:dyDescent="0.25">
      <c r="F154" s="379"/>
      <c r="H154" s="379"/>
      <c r="I154" s="379"/>
      <c r="J154" s="221"/>
      <c r="K154" s="464"/>
      <c r="L154" s="379"/>
      <c r="M154" s="379"/>
      <c r="N154" s="379"/>
      <c r="O154" s="379"/>
      <c r="P154" s="379"/>
      <c r="Q154" s="379"/>
      <c r="R154" s="379"/>
      <c r="V154" s="379"/>
      <c r="Y154" s="379"/>
      <c r="Z154" s="464"/>
      <c r="AA154" s="379"/>
      <c r="AB154" s="379"/>
      <c r="AC154" s="379"/>
      <c r="AD154" s="379"/>
      <c r="AE154" s="379"/>
      <c r="AF154" s="379"/>
      <c r="AG154" s="156"/>
      <c r="AH154" s="60"/>
      <c r="AI154" s="379"/>
      <c r="AJ154" s="379"/>
      <c r="AK154" s="156"/>
      <c r="AL154" s="379"/>
      <c r="AM154" s="50"/>
      <c r="AN154" s="50"/>
    </row>
    <row r="155" spans="1:40" x14ac:dyDescent="0.25">
      <c r="A155" s="53"/>
      <c r="C155" s="54"/>
      <c r="F155" s="449"/>
      <c r="H155" s="449"/>
      <c r="I155" s="449"/>
      <c r="J155" s="221"/>
      <c r="K155" s="472"/>
      <c r="L155" s="379"/>
      <c r="M155" s="379"/>
      <c r="N155" s="50"/>
      <c r="O155" s="50"/>
      <c r="P155" s="449"/>
      <c r="Q155" s="449"/>
      <c r="R155" s="379"/>
      <c r="T155" s="54"/>
      <c r="V155" s="449"/>
      <c r="Y155" s="449"/>
      <c r="Z155" s="477"/>
      <c r="AA155" s="379"/>
      <c r="AB155" s="379"/>
      <c r="AC155" s="50"/>
      <c r="AD155" s="50"/>
      <c r="AE155" s="379"/>
      <c r="AF155" s="379"/>
      <c r="AG155" s="156"/>
      <c r="AH155" s="60"/>
      <c r="AI155" s="449"/>
      <c r="AJ155" s="449"/>
      <c r="AK155" s="156"/>
      <c r="AL155" s="379"/>
      <c r="AM155" s="50"/>
      <c r="AN155" s="50"/>
    </row>
    <row r="156" spans="1:40" x14ac:dyDescent="0.25">
      <c r="A156" s="53"/>
      <c r="C156" s="54"/>
      <c r="F156" s="449"/>
      <c r="H156" s="449"/>
      <c r="I156" s="449"/>
      <c r="J156" s="221"/>
      <c r="K156" s="472"/>
      <c r="L156" s="379"/>
      <c r="M156" s="379"/>
      <c r="N156" s="50"/>
      <c r="O156" s="50"/>
      <c r="P156" s="449"/>
      <c r="Q156" s="449"/>
      <c r="R156" s="379"/>
      <c r="T156" s="54"/>
      <c r="V156" s="449"/>
      <c r="Y156" s="379"/>
      <c r="Z156" s="463"/>
      <c r="AA156" s="379"/>
      <c r="AB156" s="379"/>
      <c r="AC156" s="50"/>
      <c r="AD156" s="50"/>
      <c r="AE156" s="379"/>
      <c r="AF156" s="379"/>
      <c r="AG156" s="156"/>
      <c r="AH156" s="60"/>
      <c r="AI156" s="449"/>
      <c r="AJ156" s="449"/>
      <c r="AK156" s="156"/>
      <c r="AL156" s="379"/>
      <c r="AM156" s="50"/>
      <c r="AN156" s="50"/>
    </row>
    <row r="157" spans="1:40" x14ac:dyDescent="0.25">
      <c r="A157" s="53"/>
      <c r="C157" s="54"/>
      <c r="F157" s="449"/>
      <c r="H157" s="449"/>
      <c r="I157" s="449"/>
      <c r="J157" s="221"/>
      <c r="K157" s="472"/>
      <c r="L157" s="379"/>
      <c r="M157" s="379"/>
      <c r="N157" s="50"/>
      <c r="O157" s="50"/>
      <c r="P157" s="449"/>
      <c r="Q157" s="449"/>
      <c r="R157" s="379"/>
      <c r="T157" s="54"/>
      <c r="V157" s="449"/>
      <c r="Y157" s="379"/>
      <c r="Z157" s="463"/>
      <c r="AA157" s="379"/>
      <c r="AB157" s="379"/>
      <c r="AC157" s="50"/>
      <c r="AD157" s="50"/>
      <c r="AE157" s="379"/>
      <c r="AF157" s="379"/>
      <c r="AG157" s="156"/>
      <c r="AH157" s="60"/>
      <c r="AI157" s="449"/>
      <c r="AJ157" s="449"/>
      <c r="AK157" s="156"/>
      <c r="AL157" s="379"/>
      <c r="AM157" s="50"/>
      <c r="AN157" s="50"/>
    </row>
    <row r="158" spans="1:40" x14ac:dyDescent="0.25">
      <c r="F158" s="381"/>
      <c r="H158" s="381"/>
      <c r="I158" s="381"/>
      <c r="J158" s="221"/>
      <c r="K158" s="464"/>
      <c r="L158" s="381"/>
      <c r="M158" s="381"/>
      <c r="N158" s="381"/>
      <c r="O158" s="381"/>
      <c r="P158" s="381"/>
      <c r="Q158" s="381"/>
      <c r="R158" s="381"/>
      <c r="V158" s="381"/>
      <c r="Y158" s="381"/>
      <c r="Z158" s="464"/>
      <c r="AA158" s="381"/>
      <c r="AB158" s="381"/>
      <c r="AC158" s="381"/>
      <c r="AD158" s="381"/>
      <c r="AE158" s="381"/>
      <c r="AF158" s="381"/>
      <c r="AI158" s="381"/>
      <c r="AJ158" s="381"/>
      <c r="AK158" s="162"/>
      <c r="AL158" s="381"/>
      <c r="AM158" s="50"/>
      <c r="AN158" s="50"/>
    </row>
    <row r="159" spans="1:40" x14ac:dyDescent="0.25">
      <c r="A159" s="53"/>
      <c r="C159" s="54"/>
      <c r="F159" s="379"/>
      <c r="H159" s="379"/>
      <c r="I159" s="379"/>
      <c r="J159" s="65"/>
      <c r="K159" s="59"/>
      <c r="L159" s="379"/>
      <c r="M159" s="379"/>
      <c r="N159" s="50"/>
      <c r="O159" s="50"/>
      <c r="P159" s="379"/>
      <c r="Q159" s="379"/>
      <c r="R159" s="379"/>
      <c r="T159" s="54"/>
      <c r="V159" s="379"/>
      <c r="Y159" s="379"/>
      <c r="Z159" s="59"/>
      <c r="AA159" s="379"/>
      <c r="AB159" s="379"/>
      <c r="AC159" s="50"/>
      <c r="AD159" s="50"/>
      <c r="AE159" s="379"/>
      <c r="AF159" s="379"/>
      <c r="AG159" s="156"/>
      <c r="AH159" s="60"/>
      <c r="AI159" s="379"/>
      <c r="AJ159" s="379"/>
      <c r="AK159" s="156"/>
      <c r="AL159" s="379"/>
      <c r="AM159" s="50"/>
      <c r="AN159" s="50"/>
    </row>
    <row r="160" spans="1:40" x14ac:dyDescent="0.25">
      <c r="F160" s="381"/>
      <c r="H160" s="381"/>
      <c r="I160" s="381"/>
      <c r="J160" s="221"/>
      <c r="K160" s="464"/>
      <c r="L160" s="381"/>
      <c r="M160" s="381"/>
      <c r="N160" s="381"/>
      <c r="O160" s="381"/>
      <c r="P160" s="381"/>
      <c r="Q160" s="381"/>
      <c r="R160" s="381"/>
      <c r="V160" s="381"/>
      <c r="Y160" s="381"/>
      <c r="Z160" s="464"/>
      <c r="AA160" s="381"/>
      <c r="AB160" s="381"/>
      <c r="AC160" s="381"/>
      <c r="AD160" s="381"/>
      <c r="AE160" s="381"/>
      <c r="AF160" s="381"/>
      <c r="AI160" s="381"/>
      <c r="AJ160" s="381"/>
      <c r="AK160" s="162"/>
      <c r="AL160" s="381"/>
      <c r="AM160" s="50"/>
      <c r="AN160" s="50"/>
    </row>
    <row r="161" spans="1:40" x14ac:dyDescent="0.25">
      <c r="A161" s="53"/>
      <c r="C161" s="54"/>
      <c r="F161" s="379"/>
      <c r="H161" s="379"/>
      <c r="I161" s="379"/>
      <c r="J161" s="65"/>
      <c r="K161" s="59"/>
      <c r="L161" s="379"/>
      <c r="M161" s="379"/>
      <c r="N161" s="50"/>
      <c r="O161" s="50"/>
      <c r="P161" s="379"/>
      <c r="Q161" s="379"/>
      <c r="R161" s="379"/>
      <c r="T161" s="54"/>
      <c r="V161" s="379"/>
      <c r="Y161" s="379"/>
      <c r="Z161" s="59"/>
      <c r="AA161" s="379"/>
      <c r="AB161" s="379"/>
      <c r="AC161" s="50"/>
      <c r="AD161" s="50"/>
      <c r="AE161" s="379"/>
      <c r="AF161" s="379"/>
      <c r="AG161" s="156"/>
      <c r="AH161" s="60"/>
      <c r="AI161" s="379"/>
      <c r="AJ161" s="379"/>
      <c r="AK161" s="156"/>
      <c r="AL161" s="379"/>
      <c r="AM161" s="50"/>
      <c r="AN161" s="50"/>
    </row>
    <row r="162" spans="1:40" x14ac:dyDescent="0.25">
      <c r="A162" s="53"/>
      <c r="C162" s="54"/>
      <c r="F162" s="379"/>
      <c r="H162" s="379"/>
      <c r="I162" s="379"/>
      <c r="J162" s="65"/>
      <c r="K162" s="59"/>
      <c r="L162" s="379"/>
      <c r="M162" s="379"/>
      <c r="N162" s="50"/>
      <c r="O162" s="50"/>
      <c r="P162" s="379"/>
      <c r="Q162" s="379"/>
      <c r="R162" s="379"/>
      <c r="T162" s="54"/>
      <c r="V162" s="379"/>
      <c r="Y162" s="379"/>
      <c r="Z162" s="59"/>
      <c r="AA162" s="379"/>
      <c r="AB162" s="379"/>
      <c r="AC162" s="50"/>
      <c r="AD162" s="50"/>
      <c r="AE162" s="379"/>
      <c r="AF162" s="379"/>
      <c r="AG162" s="156"/>
      <c r="AH162" s="60"/>
      <c r="AI162" s="379"/>
      <c r="AJ162" s="379"/>
      <c r="AK162" s="156"/>
      <c r="AL162" s="379"/>
      <c r="AM162" s="50"/>
      <c r="AN162" s="50"/>
    </row>
    <row r="163" spans="1:40" x14ac:dyDescent="0.25">
      <c r="F163" s="381"/>
      <c r="H163" s="381"/>
      <c r="I163" s="381"/>
      <c r="J163" s="221"/>
      <c r="K163" s="464"/>
      <c r="L163" s="381"/>
      <c r="M163" s="381"/>
      <c r="N163" s="381"/>
      <c r="O163" s="381"/>
      <c r="P163" s="381"/>
      <c r="Q163" s="381"/>
      <c r="R163" s="381"/>
      <c r="V163" s="381"/>
      <c r="Y163" s="381"/>
      <c r="Z163" s="464"/>
      <c r="AA163" s="381"/>
      <c r="AB163" s="381"/>
      <c r="AC163" s="381"/>
      <c r="AD163" s="381"/>
      <c r="AE163" s="381"/>
      <c r="AF163" s="381"/>
      <c r="AI163" s="381"/>
      <c r="AJ163" s="381"/>
      <c r="AK163" s="162"/>
      <c r="AL163" s="381"/>
      <c r="AM163" s="379"/>
      <c r="AN163" s="379"/>
    </row>
    <row r="164" spans="1:40" x14ac:dyDescent="0.25">
      <c r="F164" s="379"/>
      <c r="H164" s="379"/>
      <c r="I164" s="379"/>
      <c r="J164" s="65"/>
      <c r="K164" s="59"/>
      <c r="L164" s="379"/>
      <c r="M164" s="379"/>
      <c r="N164" s="379"/>
      <c r="O164" s="379"/>
      <c r="P164" s="379"/>
      <c r="Q164" s="379"/>
      <c r="R164" s="379"/>
      <c r="V164" s="379"/>
      <c r="Y164" s="379"/>
      <c r="Z164" s="59"/>
      <c r="AA164" s="379"/>
      <c r="AB164" s="379"/>
      <c r="AC164" s="379"/>
      <c r="AD164" s="379"/>
    </row>
    <row r="165" spans="1:40" x14ac:dyDescent="0.25">
      <c r="C165" s="54"/>
      <c r="F165" s="379"/>
      <c r="H165" s="379"/>
      <c r="I165" s="379"/>
      <c r="J165" s="65"/>
      <c r="K165" s="59"/>
      <c r="L165" s="379"/>
      <c r="M165" s="379"/>
      <c r="N165" s="379"/>
      <c r="O165" s="379"/>
      <c r="P165" s="379"/>
      <c r="Q165" s="379"/>
      <c r="R165" s="379"/>
      <c r="T165" s="54"/>
      <c r="V165" s="379"/>
      <c r="Y165" s="379"/>
      <c r="Z165" s="59"/>
      <c r="AA165" s="379"/>
      <c r="AB165" s="379"/>
      <c r="AC165" s="379"/>
      <c r="AD165" s="379"/>
    </row>
    <row r="166" spans="1:40" x14ac:dyDescent="0.25">
      <c r="A166" s="54"/>
      <c r="J166" s="77"/>
    </row>
    <row r="167" spans="1:40" x14ac:dyDescent="0.25">
      <c r="J167" s="65"/>
      <c r="K167" s="53"/>
      <c r="Z167" s="53"/>
    </row>
    <row r="168" spans="1:40" x14ac:dyDescent="0.25">
      <c r="H168" s="54"/>
      <c r="I168" s="54"/>
      <c r="J168" s="77"/>
      <c r="Y168" s="54"/>
    </row>
    <row r="169" spans="1:40" x14ac:dyDescent="0.25">
      <c r="J169" s="65"/>
      <c r="K169" s="53"/>
      <c r="Z169" s="53"/>
    </row>
    <row r="170" spans="1:40" x14ac:dyDescent="0.25">
      <c r="J170" s="77"/>
      <c r="L170" s="54"/>
      <c r="M170" s="54"/>
      <c r="AA170" s="54"/>
      <c r="AB170" s="54"/>
    </row>
    <row r="171" spans="1:40" x14ac:dyDescent="0.25">
      <c r="A171" s="53"/>
      <c r="J171" s="77"/>
      <c r="R171" s="54"/>
      <c r="AK171" s="161"/>
      <c r="AL171" s="54"/>
    </row>
    <row r="172" spans="1:40" x14ac:dyDescent="0.25">
      <c r="A172" s="53"/>
      <c r="J172" s="77"/>
      <c r="R172" s="54"/>
      <c r="AK172" s="161"/>
      <c r="AL172" s="54"/>
    </row>
    <row r="173" spans="1:40" x14ac:dyDescent="0.25">
      <c r="A173" s="54"/>
      <c r="J173" s="77"/>
      <c r="R173" s="54"/>
      <c r="AK173" s="161"/>
      <c r="AL173" s="54"/>
    </row>
    <row r="174" spans="1:40" x14ac:dyDescent="0.25">
      <c r="J174" s="77"/>
      <c r="L174" s="54"/>
      <c r="M174" s="54"/>
      <c r="R174" s="53"/>
      <c r="AA174" s="54"/>
      <c r="AB174" s="54"/>
      <c r="AK174" s="156"/>
      <c r="AL174" s="53"/>
    </row>
    <row r="175" spans="1:40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66"/>
      <c r="K175" s="55"/>
      <c r="L175" s="55"/>
      <c r="M175" s="55"/>
      <c r="N175" s="55"/>
      <c r="O175" s="55"/>
      <c r="P175" s="55"/>
      <c r="Q175" s="55"/>
      <c r="R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154"/>
      <c r="AH175" s="55"/>
      <c r="AI175" s="55"/>
      <c r="AJ175" s="55"/>
      <c r="AK175" s="154"/>
      <c r="AL175" s="55"/>
      <c r="AM175" s="55"/>
      <c r="AN175" s="55"/>
    </row>
    <row r="176" spans="1:40" x14ac:dyDescent="0.25">
      <c r="J176" s="77"/>
      <c r="L176" s="56"/>
      <c r="M176" s="56"/>
      <c r="N176" s="56"/>
      <c r="O176" s="56"/>
      <c r="R176" s="56"/>
      <c r="AA176" s="56"/>
      <c r="AB176" s="56"/>
      <c r="AC176" s="56"/>
      <c r="AD176" s="56"/>
      <c r="AE176" s="56"/>
      <c r="AF176" s="56"/>
      <c r="AG176" s="155"/>
      <c r="AH176" s="56"/>
      <c r="AK176" s="155"/>
      <c r="AL176" s="56"/>
      <c r="AM176" s="56"/>
      <c r="AN176" s="56"/>
    </row>
    <row r="177" spans="1:40" x14ac:dyDescent="0.25">
      <c r="J177" s="77"/>
      <c r="L177" s="56"/>
      <c r="M177" s="56"/>
      <c r="N177" s="56"/>
      <c r="O177" s="56"/>
      <c r="R177" s="56"/>
      <c r="Z177" s="56"/>
      <c r="AA177" s="56"/>
      <c r="AB177" s="56"/>
      <c r="AC177" s="56"/>
      <c r="AD177" s="56"/>
      <c r="AE177" s="56"/>
      <c r="AF177" s="56"/>
      <c r="AG177" s="155"/>
      <c r="AH177" s="56"/>
      <c r="AK177" s="155"/>
      <c r="AL177" s="56"/>
      <c r="AM177" s="56"/>
      <c r="AN177" s="56"/>
    </row>
    <row r="178" spans="1:40" x14ac:dyDescent="0.25">
      <c r="A178" s="56"/>
      <c r="C178" s="56"/>
      <c r="D178" s="56"/>
      <c r="E178" s="56"/>
      <c r="F178" s="56"/>
      <c r="J178" s="67"/>
      <c r="K178" s="56"/>
      <c r="L178" s="56"/>
      <c r="M178" s="56"/>
      <c r="N178" s="56"/>
      <c r="O178" s="56"/>
      <c r="P178" s="56"/>
      <c r="Q178" s="56"/>
      <c r="R178" s="56"/>
      <c r="T178" s="56"/>
      <c r="U178" s="56"/>
      <c r="V178" s="56"/>
      <c r="Z178" s="56"/>
      <c r="AA178" s="56"/>
      <c r="AB178" s="56"/>
      <c r="AC178" s="56"/>
      <c r="AD178" s="56"/>
      <c r="AE178" s="56"/>
      <c r="AF178" s="56"/>
      <c r="AG178" s="155"/>
      <c r="AH178" s="56"/>
      <c r="AI178" s="56"/>
      <c r="AJ178" s="56"/>
      <c r="AK178" s="155"/>
      <c r="AL178" s="56"/>
      <c r="AM178" s="56"/>
      <c r="AN178" s="56"/>
    </row>
    <row r="179" spans="1:40" x14ac:dyDescent="0.25">
      <c r="A179" s="56"/>
      <c r="C179" s="56"/>
      <c r="D179" s="56"/>
      <c r="E179" s="56"/>
      <c r="F179" s="56"/>
      <c r="H179" s="56"/>
      <c r="I179" s="56"/>
      <c r="J179" s="67"/>
      <c r="K179" s="56"/>
      <c r="L179" s="56"/>
      <c r="M179" s="56"/>
      <c r="N179" s="56"/>
      <c r="O179" s="56"/>
      <c r="P179" s="56"/>
      <c r="Q179" s="56"/>
      <c r="R179" s="56"/>
      <c r="T179" s="56"/>
      <c r="U179" s="56"/>
      <c r="V179" s="56"/>
      <c r="Y179" s="56"/>
      <c r="Z179" s="56"/>
      <c r="AA179" s="56"/>
      <c r="AB179" s="56"/>
      <c r="AC179" s="56"/>
      <c r="AD179" s="56"/>
      <c r="AE179" s="56"/>
      <c r="AF179" s="56"/>
      <c r="AG179" s="155"/>
      <c r="AH179" s="56"/>
      <c r="AI179" s="56"/>
      <c r="AJ179" s="56"/>
      <c r="AK179" s="155"/>
      <c r="AL179" s="56"/>
      <c r="AM179" s="56"/>
      <c r="AN179" s="56"/>
    </row>
    <row r="180" spans="1:40" x14ac:dyDescent="0.25">
      <c r="C180" s="56"/>
      <c r="D180" s="56"/>
      <c r="E180" s="56"/>
      <c r="F180" s="56"/>
      <c r="H180" s="56"/>
      <c r="I180" s="56"/>
      <c r="J180" s="67"/>
      <c r="K180" s="56"/>
      <c r="L180" s="56"/>
      <c r="M180" s="56"/>
      <c r="N180" s="56"/>
      <c r="O180" s="56"/>
      <c r="P180" s="56"/>
      <c r="Q180" s="56"/>
      <c r="R180" s="56"/>
      <c r="T180" s="56"/>
      <c r="U180" s="56"/>
      <c r="V180" s="56"/>
      <c r="Y180" s="56"/>
      <c r="Z180" s="56"/>
      <c r="AA180" s="56"/>
      <c r="AB180" s="56"/>
      <c r="AC180" s="56"/>
      <c r="AD180" s="56"/>
      <c r="AE180" s="56"/>
      <c r="AF180" s="56"/>
      <c r="AG180" s="155"/>
      <c r="AH180" s="56"/>
      <c r="AI180" s="56"/>
      <c r="AJ180" s="56"/>
      <c r="AK180" s="155"/>
      <c r="AL180" s="56"/>
      <c r="AM180" s="56"/>
      <c r="AN180" s="56"/>
    </row>
    <row r="181" spans="1:40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66"/>
      <c r="K181" s="55"/>
      <c r="L181" s="55"/>
      <c r="M181" s="55"/>
      <c r="N181" s="55"/>
      <c r="O181" s="55"/>
      <c r="P181" s="55"/>
      <c r="Q181" s="55"/>
      <c r="R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154"/>
      <c r="AH181" s="55"/>
      <c r="AI181" s="55"/>
      <c r="AJ181" s="55"/>
      <c r="AK181" s="154"/>
      <c r="AL181" s="55"/>
      <c r="AM181" s="55"/>
      <c r="AN181" s="55"/>
    </row>
    <row r="182" spans="1:40" x14ac:dyDescent="0.25">
      <c r="H182" s="56"/>
      <c r="I182" s="56"/>
      <c r="J182" s="67"/>
      <c r="K182" s="56"/>
      <c r="L182" s="56"/>
      <c r="M182" s="56"/>
      <c r="N182" s="56"/>
      <c r="O182" s="56"/>
      <c r="P182" s="56"/>
      <c r="Q182" s="56"/>
      <c r="R182" s="56"/>
      <c r="Y182" s="56"/>
      <c r="Z182" s="56"/>
      <c r="AA182" s="56"/>
      <c r="AB182" s="56"/>
      <c r="AC182" s="56"/>
      <c r="AD182" s="56"/>
      <c r="AE182" s="56"/>
      <c r="AF182" s="56"/>
      <c r="AG182" s="155"/>
      <c r="AH182" s="56"/>
      <c r="AI182" s="56"/>
      <c r="AJ182" s="56"/>
      <c r="AK182" s="155"/>
      <c r="AL182" s="56"/>
      <c r="AM182" s="56"/>
      <c r="AN182" s="56"/>
    </row>
    <row r="183" spans="1:40" x14ac:dyDescent="0.25">
      <c r="A183" s="53"/>
      <c r="C183" s="54"/>
      <c r="D183" s="54"/>
      <c r="E183" s="54"/>
      <c r="J183" s="77"/>
      <c r="T183" s="54"/>
      <c r="U183" s="54"/>
    </row>
    <row r="184" spans="1:40" x14ac:dyDescent="0.25">
      <c r="J184" s="77"/>
    </row>
    <row r="185" spans="1:40" x14ac:dyDescent="0.25">
      <c r="A185" s="53"/>
      <c r="C185" s="54"/>
      <c r="F185" s="449"/>
      <c r="H185" s="470"/>
      <c r="I185" s="470"/>
      <c r="J185" s="221"/>
      <c r="K185" s="461"/>
      <c r="L185" s="379"/>
      <c r="M185" s="379"/>
      <c r="N185" s="53"/>
      <c r="O185" s="53"/>
      <c r="P185" s="53"/>
      <c r="Q185" s="53"/>
      <c r="R185" s="379"/>
      <c r="T185" s="54"/>
      <c r="V185" s="379"/>
      <c r="Y185" s="53"/>
      <c r="Z185" s="461"/>
      <c r="AA185" s="379"/>
      <c r="AB185" s="379"/>
      <c r="AC185" s="53"/>
      <c r="AD185" s="53"/>
      <c r="AE185" s="379"/>
      <c r="AF185" s="379"/>
      <c r="AG185" s="474"/>
      <c r="AH185" s="475"/>
      <c r="AI185" s="379"/>
      <c r="AJ185" s="379"/>
      <c r="AK185" s="156"/>
      <c r="AL185" s="379"/>
      <c r="AM185" s="476"/>
      <c r="AN185" s="476"/>
    </row>
    <row r="186" spans="1:40" x14ac:dyDescent="0.25">
      <c r="F186" s="449"/>
      <c r="H186" s="470"/>
      <c r="I186" s="470"/>
      <c r="J186" s="221"/>
      <c r="K186" s="470"/>
      <c r="R186" s="379"/>
      <c r="V186" s="379"/>
      <c r="Z186" s="470"/>
    </row>
    <row r="187" spans="1:40" x14ac:dyDescent="0.25">
      <c r="A187" s="53"/>
      <c r="C187" s="54"/>
      <c r="F187" s="449"/>
      <c r="H187" s="449"/>
      <c r="I187" s="449"/>
      <c r="J187" s="221"/>
      <c r="K187" s="472"/>
      <c r="L187" s="379"/>
      <c r="M187" s="379"/>
      <c r="N187" s="50"/>
      <c r="O187" s="50"/>
      <c r="P187" s="449"/>
      <c r="Q187" s="449"/>
      <c r="R187" s="379"/>
      <c r="T187" s="54"/>
      <c r="V187" s="379"/>
      <c r="Y187" s="379"/>
      <c r="Z187" s="463"/>
      <c r="AA187" s="379"/>
      <c r="AB187" s="379"/>
      <c r="AC187" s="50"/>
      <c r="AD187" s="50"/>
      <c r="AE187" s="379"/>
      <c r="AF187" s="379"/>
      <c r="AG187" s="156"/>
      <c r="AH187" s="60"/>
      <c r="AI187" s="449"/>
      <c r="AJ187" s="449"/>
      <c r="AK187" s="156"/>
      <c r="AL187" s="379"/>
      <c r="AM187" s="50"/>
      <c r="AN187" s="50"/>
    </row>
    <row r="188" spans="1:40" x14ac:dyDescent="0.25">
      <c r="F188" s="381"/>
      <c r="H188" s="381"/>
      <c r="I188" s="381"/>
      <c r="J188" s="221"/>
      <c r="K188" s="464"/>
      <c r="L188" s="381"/>
      <c r="M188" s="381"/>
      <c r="N188" s="381"/>
      <c r="O188" s="381"/>
      <c r="P188" s="381"/>
      <c r="Q188" s="381"/>
      <c r="R188" s="381"/>
      <c r="V188" s="381"/>
      <c r="Y188" s="381"/>
      <c r="Z188" s="464"/>
      <c r="AA188" s="381"/>
      <c r="AB188" s="381"/>
      <c r="AC188" s="381"/>
      <c r="AD188" s="381"/>
      <c r="AE188" s="381"/>
      <c r="AF188" s="381"/>
      <c r="AI188" s="381"/>
      <c r="AJ188" s="381"/>
      <c r="AK188" s="162"/>
      <c r="AL188" s="381"/>
    </row>
    <row r="189" spans="1:40" x14ac:dyDescent="0.25">
      <c r="A189" s="53"/>
      <c r="D189" s="54"/>
      <c r="E189" s="54"/>
      <c r="F189" s="379"/>
      <c r="H189" s="379"/>
      <c r="I189" s="379"/>
      <c r="J189" s="65"/>
      <c r="K189" s="59"/>
      <c r="L189" s="379"/>
      <c r="M189" s="379"/>
      <c r="N189" s="50"/>
      <c r="O189" s="50"/>
      <c r="P189" s="379"/>
      <c r="Q189" s="379"/>
      <c r="R189" s="379"/>
      <c r="U189" s="54"/>
      <c r="V189" s="379"/>
      <c r="Y189" s="379"/>
      <c r="Z189" s="59"/>
      <c r="AA189" s="379"/>
      <c r="AB189" s="379"/>
      <c r="AC189" s="50"/>
      <c r="AD189" s="50"/>
      <c r="AE189" s="379"/>
      <c r="AF189" s="379"/>
      <c r="AG189" s="156"/>
      <c r="AH189" s="60"/>
      <c r="AI189" s="379"/>
      <c r="AJ189" s="379"/>
      <c r="AK189" s="156"/>
      <c r="AL189" s="379"/>
      <c r="AM189" s="50"/>
      <c r="AN189" s="50"/>
    </row>
    <row r="190" spans="1:40" x14ac:dyDescent="0.25">
      <c r="F190" s="381"/>
      <c r="H190" s="381"/>
      <c r="I190" s="381"/>
      <c r="J190" s="221"/>
      <c r="K190" s="464"/>
      <c r="L190" s="381"/>
      <c r="M190" s="381"/>
      <c r="N190" s="381"/>
      <c r="O190" s="381"/>
      <c r="P190" s="381"/>
      <c r="Q190" s="381"/>
      <c r="R190" s="381"/>
      <c r="V190" s="381"/>
      <c r="Y190" s="381"/>
      <c r="Z190" s="464"/>
      <c r="AA190" s="381"/>
      <c r="AB190" s="381"/>
      <c r="AC190" s="381"/>
      <c r="AD190" s="381"/>
      <c r="AE190" s="381"/>
      <c r="AF190" s="381"/>
      <c r="AI190" s="381"/>
      <c r="AJ190" s="381"/>
      <c r="AK190" s="162"/>
      <c r="AL190" s="381"/>
    </row>
    <row r="191" spans="1:40" x14ac:dyDescent="0.25">
      <c r="J191" s="77"/>
      <c r="R191" s="379"/>
    </row>
    <row r="192" spans="1:40" x14ac:dyDescent="0.25">
      <c r="J192" s="77"/>
      <c r="R192" s="379"/>
    </row>
    <row r="193" spans="1:40" x14ac:dyDescent="0.25">
      <c r="J193" s="77"/>
      <c r="R193" s="379"/>
    </row>
    <row r="194" spans="1:40" x14ac:dyDescent="0.25">
      <c r="A194" s="53"/>
      <c r="C194" s="54"/>
      <c r="D194" s="54"/>
      <c r="E194" s="54"/>
      <c r="H194" s="379"/>
      <c r="I194" s="379"/>
      <c r="J194" s="65"/>
      <c r="K194" s="59"/>
      <c r="L194" s="379"/>
      <c r="M194" s="379"/>
      <c r="N194" s="50"/>
      <c r="O194" s="50"/>
      <c r="P194" s="379"/>
      <c r="Q194" s="379"/>
      <c r="R194" s="379"/>
      <c r="T194" s="54"/>
      <c r="U194" s="54"/>
      <c r="Y194" s="379"/>
      <c r="Z194" s="59"/>
      <c r="AA194" s="379"/>
      <c r="AB194" s="379"/>
      <c r="AC194" s="50"/>
      <c r="AD194" s="50"/>
    </row>
    <row r="195" spans="1:40" x14ac:dyDescent="0.25">
      <c r="H195" s="379"/>
      <c r="I195" s="379"/>
      <c r="J195" s="65"/>
      <c r="K195" s="59"/>
      <c r="L195" s="379"/>
      <c r="M195" s="379"/>
      <c r="N195" s="50"/>
      <c r="O195" s="50"/>
      <c r="P195" s="379"/>
      <c r="Q195" s="379"/>
      <c r="R195" s="379"/>
      <c r="Y195" s="379"/>
      <c r="Z195" s="59"/>
      <c r="AA195" s="379"/>
      <c r="AB195" s="379"/>
      <c r="AC195" s="50"/>
      <c r="AD195" s="50"/>
    </row>
    <row r="196" spans="1:40" x14ac:dyDescent="0.25">
      <c r="A196" s="53"/>
      <c r="C196" s="54"/>
      <c r="F196" s="449"/>
      <c r="H196" s="449"/>
      <c r="I196" s="449"/>
      <c r="J196" s="67"/>
      <c r="K196" s="61"/>
      <c r="L196" s="449"/>
      <c r="M196" s="449"/>
      <c r="N196" s="50"/>
      <c r="O196" s="50"/>
      <c r="P196" s="379"/>
      <c r="Q196" s="379"/>
      <c r="R196" s="379"/>
      <c r="T196" s="54"/>
      <c r="V196" s="379"/>
      <c r="Y196" s="379"/>
      <c r="Z196" s="61"/>
      <c r="AA196" s="379"/>
      <c r="AB196" s="379"/>
      <c r="AC196" s="50"/>
      <c r="AD196" s="50"/>
      <c r="AE196" s="379"/>
      <c r="AF196" s="379"/>
      <c r="AG196" s="156"/>
      <c r="AH196" s="60"/>
      <c r="AI196" s="379"/>
      <c r="AJ196" s="379"/>
      <c r="AK196" s="156"/>
      <c r="AL196" s="379"/>
      <c r="AM196" s="50"/>
      <c r="AN196" s="50"/>
    </row>
    <row r="197" spans="1:40" x14ac:dyDescent="0.25">
      <c r="F197" s="449"/>
      <c r="H197" s="470"/>
      <c r="I197" s="470"/>
      <c r="J197" s="221"/>
      <c r="K197" s="470"/>
      <c r="R197" s="379"/>
      <c r="V197" s="379"/>
      <c r="Z197" s="470"/>
    </row>
    <row r="198" spans="1:40" x14ac:dyDescent="0.25">
      <c r="A198" s="53"/>
      <c r="C198" s="54"/>
      <c r="F198" s="449"/>
      <c r="H198" s="449"/>
      <c r="I198" s="449"/>
      <c r="J198" s="221"/>
      <c r="K198" s="461"/>
      <c r="L198" s="379"/>
      <c r="M198" s="379"/>
      <c r="N198" s="50"/>
      <c r="O198" s="50"/>
      <c r="P198" s="379"/>
      <c r="Q198" s="379"/>
      <c r="R198" s="379"/>
      <c r="T198" s="54"/>
      <c r="V198" s="379"/>
      <c r="Y198" s="379"/>
      <c r="Z198" s="461"/>
      <c r="AA198" s="379"/>
      <c r="AB198" s="379"/>
      <c r="AC198" s="50"/>
      <c r="AD198" s="50"/>
      <c r="AE198" s="379"/>
      <c r="AF198" s="379"/>
      <c r="AG198" s="156"/>
      <c r="AH198" s="60"/>
      <c r="AI198" s="379"/>
      <c r="AJ198" s="379"/>
      <c r="AK198" s="156"/>
      <c r="AL198" s="379"/>
      <c r="AM198" s="50"/>
      <c r="AN198" s="50"/>
    </row>
    <row r="199" spans="1:40" x14ac:dyDescent="0.25">
      <c r="F199" s="449"/>
      <c r="H199" s="470"/>
      <c r="I199" s="470"/>
      <c r="J199" s="221"/>
      <c r="K199" s="470"/>
      <c r="R199" s="379"/>
      <c r="V199" s="379"/>
      <c r="Z199" s="470"/>
    </row>
    <row r="200" spans="1:40" x14ac:dyDescent="0.25">
      <c r="A200" s="53"/>
      <c r="C200" s="54"/>
      <c r="F200" s="449"/>
      <c r="H200" s="449"/>
      <c r="I200" s="449"/>
      <c r="J200" s="221"/>
      <c r="K200" s="472"/>
      <c r="L200" s="379"/>
      <c r="M200" s="379"/>
      <c r="N200" s="50"/>
      <c r="O200" s="50"/>
      <c r="P200" s="379"/>
      <c r="Q200" s="379"/>
      <c r="R200" s="379"/>
      <c r="T200" s="54"/>
      <c r="V200" s="379"/>
      <c r="Y200" s="379"/>
      <c r="Z200" s="463"/>
      <c r="AA200" s="379"/>
      <c r="AB200" s="379"/>
      <c r="AC200" s="50"/>
      <c r="AD200" s="50"/>
      <c r="AE200" s="379"/>
      <c r="AF200" s="379"/>
      <c r="AG200" s="156"/>
      <c r="AH200" s="60"/>
      <c r="AI200" s="379"/>
      <c r="AJ200" s="379"/>
      <c r="AK200" s="156"/>
      <c r="AL200" s="379"/>
      <c r="AM200" s="50"/>
      <c r="AN200" s="50"/>
    </row>
    <row r="201" spans="1:40" x14ac:dyDescent="0.25">
      <c r="F201" s="381"/>
      <c r="H201" s="381"/>
      <c r="I201" s="381"/>
      <c r="J201" s="221"/>
      <c r="K201" s="464"/>
      <c r="L201" s="381"/>
      <c r="M201" s="381"/>
      <c r="N201" s="381"/>
      <c r="O201" s="381"/>
      <c r="P201" s="381"/>
      <c r="Q201" s="381"/>
      <c r="R201" s="381"/>
      <c r="S201" s="379"/>
      <c r="V201" s="381"/>
      <c r="Y201" s="381"/>
      <c r="Z201" s="464"/>
      <c r="AA201" s="381"/>
      <c r="AB201" s="381"/>
      <c r="AC201" s="381"/>
      <c r="AD201" s="381"/>
      <c r="AE201" s="381"/>
      <c r="AF201" s="381"/>
      <c r="AI201" s="381"/>
      <c r="AJ201" s="381"/>
      <c r="AK201" s="162"/>
      <c r="AL201" s="381"/>
    </row>
    <row r="202" spans="1:40" x14ac:dyDescent="0.25">
      <c r="A202" s="53"/>
      <c r="D202" s="54"/>
      <c r="E202" s="54"/>
      <c r="F202" s="379"/>
      <c r="H202" s="379"/>
      <c r="I202" s="379"/>
      <c r="J202" s="65"/>
      <c r="K202" s="59"/>
      <c r="L202" s="379"/>
      <c r="M202" s="379"/>
      <c r="N202" s="50"/>
      <c r="O202" s="50"/>
      <c r="P202" s="449"/>
      <c r="Q202" s="449"/>
      <c r="R202" s="379"/>
      <c r="S202" s="379"/>
      <c r="U202" s="54"/>
      <c r="V202" s="379"/>
      <c r="Y202" s="379"/>
      <c r="Z202" s="59"/>
      <c r="AA202" s="379"/>
      <c r="AB202" s="379"/>
      <c r="AC202" s="50"/>
      <c r="AD202" s="50"/>
      <c r="AE202" s="379"/>
      <c r="AF202" s="379"/>
      <c r="AG202" s="156"/>
      <c r="AH202" s="60"/>
      <c r="AI202" s="449"/>
      <c r="AJ202" s="449"/>
      <c r="AK202" s="156"/>
      <c r="AL202" s="379"/>
      <c r="AM202" s="50"/>
      <c r="AN202" s="50"/>
    </row>
    <row r="203" spans="1:40" x14ac:dyDescent="0.25">
      <c r="F203" s="381"/>
      <c r="H203" s="381"/>
      <c r="I203" s="381"/>
      <c r="J203" s="221"/>
      <c r="K203" s="464"/>
      <c r="L203" s="381"/>
      <c r="M203" s="381"/>
      <c r="N203" s="381"/>
      <c r="O203" s="381"/>
      <c r="P203" s="381"/>
      <c r="Q203" s="381"/>
      <c r="R203" s="381"/>
      <c r="S203" s="379"/>
      <c r="V203" s="381"/>
      <c r="Y203" s="381"/>
      <c r="Z203" s="464"/>
      <c r="AA203" s="381"/>
      <c r="AB203" s="381"/>
      <c r="AC203" s="381"/>
      <c r="AD203" s="381"/>
      <c r="AE203" s="381"/>
      <c r="AF203" s="381"/>
      <c r="AI203" s="381"/>
      <c r="AJ203" s="381"/>
      <c r="AK203" s="162"/>
      <c r="AL203" s="381"/>
    </row>
    <row r="204" spans="1:40" x14ac:dyDescent="0.25">
      <c r="J204" s="77"/>
      <c r="R204" s="379"/>
    </row>
    <row r="205" spans="1:40" x14ac:dyDescent="0.25">
      <c r="F205" s="379"/>
      <c r="H205" s="379"/>
      <c r="I205" s="379"/>
      <c r="J205" s="65"/>
      <c r="K205" s="59"/>
      <c r="L205" s="379"/>
      <c r="M205" s="379"/>
      <c r="N205" s="379"/>
      <c r="O205" s="379"/>
      <c r="P205" s="379"/>
      <c r="Q205" s="379"/>
      <c r="R205" s="379"/>
      <c r="V205" s="379"/>
      <c r="Y205" s="379"/>
      <c r="Z205" s="59"/>
      <c r="AA205" s="379"/>
      <c r="AB205" s="379"/>
      <c r="AC205" s="379"/>
      <c r="AD205" s="379"/>
    </row>
    <row r="206" spans="1:40" x14ac:dyDescent="0.25">
      <c r="C206" s="54"/>
      <c r="F206" s="379"/>
      <c r="H206" s="379"/>
      <c r="I206" s="379"/>
      <c r="J206" s="65"/>
      <c r="K206" s="59"/>
      <c r="L206" s="379"/>
      <c r="M206" s="379"/>
      <c r="N206" s="379"/>
      <c r="O206" s="379"/>
      <c r="P206" s="379"/>
      <c r="Q206" s="379"/>
      <c r="R206" s="379"/>
      <c r="T206" s="54"/>
      <c r="V206" s="379"/>
      <c r="Y206" s="379"/>
      <c r="Z206" s="59"/>
      <c r="AA206" s="379"/>
      <c r="AB206" s="379"/>
      <c r="AC206" s="379"/>
      <c r="AD206" s="379"/>
    </row>
    <row r="207" spans="1:40" x14ac:dyDescent="0.25">
      <c r="C207" s="54"/>
      <c r="J207" s="77"/>
      <c r="T207" s="54"/>
    </row>
    <row r="208" spans="1:40" x14ac:dyDescent="0.25">
      <c r="A208" s="54"/>
      <c r="J208" s="77"/>
    </row>
    <row r="209" spans="1:40" x14ac:dyDescent="0.25">
      <c r="J209" s="77"/>
    </row>
    <row r="210" spans="1:40" x14ac:dyDescent="0.25">
      <c r="J210" s="65"/>
      <c r="K210" s="53"/>
      <c r="Z210" s="53"/>
    </row>
    <row r="211" spans="1:40" x14ac:dyDescent="0.25">
      <c r="H211" s="54"/>
      <c r="I211" s="54"/>
      <c r="J211" s="77"/>
      <c r="Y211" s="54"/>
    </row>
    <row r="212" spans="1:40" x14ac:dyDescent="0.25">
      <c r="J212" s="65"/>
      <c r="K212" s="53"/>
      <c r="Z212" s="53"/>
    </row>
    <row r="213" spans="1:40" x14ac:dyDescent="0.25">
      <c r="J213" s="77"/>
      <c r="L213" s="54"/>
      <c r="M213" s="54"/>
      <c r="AA213" s="54"/>
      <c r="AB213" s="54"/>
    </row>
    <row r="214" spans="1:40" x14ac:dyDescent="0.25">
      <c r="A214" s="53"/>
      <c r="J214" s="77"/>
      <c r="R214" s="54"/>
      <c r="AK214" s="161"/>
      <c r="AL214" s="54"/>
    </row>
    <row r="215" spans="1:40" x14ac:dyDescent="0.25">
      <c r="A215" s="53"/>
      <c r="J215" s="77"/>
      <c r="R215" s="54"/>
      <c r="AK215" s="161"/>
      <c r="AL215" s="54"/>
    </row>
    <row r="216" spans="1:40" x14ac:dyDescent="0.25">
      <c r="A216" s="54"/>
      <c r="J216" s="77"/>
      <c r="R216" s="54"/>
      <c r="AK216" s="161"/>
      <c r="AL216" s="54"/>
    </row>
    <row r="217" spans="1:40" x14ac:dyDescent="0.25">
      <c r="J217" s="77"/>
      <c r="L217" s="54"/>
      <c r="M217" s="54"/>
      <c r="R217" s="53"/>
      <c r="AA217" s="54"/>
      <c r="AB217" s="54"/>
      <c r="AK217" s="156"/>
      <c r="AL217" s="53"/>
    </row>
    <row r="218" spans="1:40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66"/>
      <c r="K218" s="55"/>
      <c r="L218" s="55"/>
      <c r="M218" s="55"/>
      <c r="N218" s="55"/>
      <c r="O218" s="55"/>
      <c r="P218" s="55"/>
      <c r="Q218" s="55"/>
      <c r="R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154"/>
      <c r="AH218" s="55"/>
      <c r="AI218" s="55"/>
      <c r="AJ218" s="55"/>
      <c r="AK218" s="154"/>
      <c r="AL218" s="55"/>
      <c r="AM218" s="55"/>
      <c r="AN218" s="55"/>
    </row>
    <row r="219" spans="1:40" x14ac:dyDescent="0.25">
      <c r="J219" s="77"/>
      <c r="L219" s="56"/>
      <c r="M219" s="56"/>
      <c r="N219" s="56"/>
      <c r="O219" s="56"/>
      <c r="R219" s="56"/>
      <c r="AA219" s="56"/>
      <c r="AB219" s="56"/>
      <c r="AC219" s="56"/>
      <c r="AD219" s="56"/>
      <c r="AE219" s="56"/>
      <c r="AF219" s="56"/>
      <c r="AG219" s="155"/>
      <c r="AH219" s="56"/>
      <c r="AK219" s="155"/>
      <c r="AL219" s="56"/>
      <c r="AM219" s="56"/>
      <c r="AN219" s="56"/>
    </row>
    <row r="220" spans="1:40" x14ac:dyDescent="0.25">
      <c r="J220" s="77"/>
      <c r="L220" s="56"/>
      <c r="M220" s="56"/>
      <c r="N220" s="56"/>
      <c r="O220" s="56"/>
      <c r="R220" s="56"/>
      <c r="Z220" s="56"/>
      <c r="AA220" s="56"/>
      <c r="AB220" s="56"/>
      <c r="AC220" s="56"/>
      <c r="AD220" s="56"/>
      <c r="AE220" s="56"/>
      <c r="AF220" s="56"/>
      <c r="AG220" s="155"/>
      <c r="AH220" s="56"/>
      <c r="AK220" s="155"/>
      <c r="AL220" s="56"/>
      <c r="AM220" s="56"/>
      <c r="AN220" s="56"/>
    </row>
    <row r="221" spans="1:40" x14ac:dyDescent="0.25">
      <c r="A221" s="56"/>
      <c r="C221" s="56"/>
      <c r="D221" s="56"/>
      <c r="E221" s="56"/>
      <c r="F221" s="56"/>
      <c r="J221" s="67"/>
      <c r="K221" s="56"/>
      <c r="L221" s="56"/>
      <c r="M221" s="56"/>
      <c r="N221" s="56"/>
      <c r="O221" s="56"/>
      <c r="P221" s="56"/>
      <c r="Q221" s="56"/>
      <c r="R221" s="56"/>
      <c r="T221" s="56"/>
      <c r="U221" s="56"/>
      <c r="V221" s="56"/>
      <c r="Z221" s="56"/>
      <c r="AA221" s="56"/>
      <c r="AB221" s="56"/>
      <c r="AC221" s="56"/>
      <c r="AD221" s="56"/>
      <c r="AE221" s="56"/>
      <c r="AF221" s="56"/>
      <c r="AG221" s="155"/>
      <c r="AH221" s="56"/>
      <c r="AI221" s="56"/>
      <c r="AJ221" s="56"/>
      <c r="AK221" s="155"/>
      <c r="AL221" s="56"/>
      <c r="AM221" s="56"/>
      <c r="AN221" s="56"/>
    </row>
    <row r="222" spans="1:40" x14ac:dyDescent="0.25">
      <c r="A222" s="56"/>
      <c r="C222" s="56"/>
      <c r="D222" s="56"/>
      <c r="E222" s="56"/>
      <c r="F222" s="56"/>
      <c r="H222" s="56"/>
      <c r="I222" s="56"/>
      <c r="J222" s="67"/>
      <c r="K222" s="56"/>
      <c r="L222" s="56"/>
      <c r="M222" s="56"/>
      <c r="N222" s="56"/>
      <c r="O222" s="56"/>
      <c r="P222" s="56"/>
      <c r="Q222" s="56"/>
      <c r="R222" s="56"/>
      <c r="T222" s="56"/>
      <c r="U222" s="56"/>
      <c r="V222" s="56"/>
      <c r="Y222" s="56"/>
      <c r="Z222" s="56"/>
      <c r="AA222" s="56"/>
      <c r="AB222" s="56"/>
      <c r="AC222" s="56"/>
      <c r="AD222" s="56"/>
      <c r="AE222" s="56"/>
      <c r="AF222" s="56"/>
      <c r="AG222" s="155"/>
      <c r="AH222" s="56"/>
      <c r="AI222" s="56"/>
      <c r="AJ222" s="56"/>
      <c r="AK222" s="155"/>
      <c r="AL222" s="56"/>
      <c r="AM222" s="56"/>
      <c r="AN222" s="56"/>
    </row>
    <row r="223" spans="1:40" x14ac:dyDescent="0.25">
      <c r="C223" s="56"/>
      <c r="D223" s="56"/>
      <c r="E223" s="56"/>
      <c r="F223" s="56"/>
      <c r="H223" s="56"/>
      <c r="I223" s="56"/>
      <c r="J223" s="67"/>
      <c r="K223" s="56"/>
      <c r="L223" s="56"/>
      <c r="M223" s="56"/>
      <c r="N223" s="56"/>
      <c r="O223" s="56"/>
      <c r="P223" s="56"/>
      <c r="Q223" s="56"/>
      <c r="R223" s="56"/>
      <c r="T223" s="56"/>
      <c r="U223" s="56"/>
      <c r="V223" s="56"/>
      <c r="Y223" s="56"/>
      <c r="Z223" s="56"/>
      <c r="AA223" s="56"/>
      <c r="AB223" s="56"/>
      <c r="AC223" s="56"/>
      <c r="AD223" s="56"/>
      <c r="AE223" s="56"/>
      <c r="AF223" s="56"/>
      <c r="AG223" s="155"/>
      <c r="AH223" s="56"/>
      <c r="AI223" s="56"/>
      <c r="AJ223" s="56"/>
      <c r="AK223" s="155"/>
      <c r="AL223" s="56"/>
      <c r="AM223" s="56"/>
      <c r="AN223" s="56"/>
    </row>
    <row r="224" spans="1:40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66"/>
      <c r="K224" s="55"/>
      <c r="L224" s="55"/>
      <c r="M224" s="55"/>
      <c r="N224" s="55"/>
      <c r="O224" s="55"/>
      <c r="P224" s="55"/>
      <c r="Q224" s="55"/>
      <c r="R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154"/>
      <c r="AH224" s="55"/>
      <c r="AI224" s="55"/>
      <c r="AJ224" s="55"/>
      <c r="AK224" s="154"/>
      <c r="AL224" s="55"/>
      <c r="AM224" s="55"/>
      <c r="AN224" s="55"/>
    </row>
    <row r="225" spans="1:40" x14ac:dyDescent="0.25">
      <c r="H225" s="56"/>
      <c r="I225" s="56"/>
      <c r="J225" s="67"/>
      <c r="K225" s="56"/>
      <c r="L225" s="56"/>
      <c r="M225" s="56"/>
      <c r="N225" s="56"/>
      <c r="O225" s="56"/>
      <c r="P225" s="56"/>
      <c r="Q225" s="56"/>
      <c r="R225" s="56"/>
      <c r="Y225" s="56"/>
      <c r="Z225" s="56"/>
      <c r="AA225" s="56"/>
      <c r="AB225" s="56"/>
      <c r="AC225" s="56"/>
      <c r="AD225" s="56"/>
      <c r="AE225" s="56"/>
      <c r="AF225" s="56"/>
      <c r="AG225" s="155"/>
      <c r="AH225" s="56"/>
      <c r="AI225" s="56"/>
      <c r="AJ225" s="56"/>
      <c r="AK225" s="155"/>
      <c r="AL225" s="56"/>
      <c r="AM225" s="56"/>
      <c r="AN225" s="56"/>
    </row>
    <row r="226" spans="1:40" x14ac:dyDescent="0.25">
      <c r="A226" s="53"/>
      <c r="C226" s="54"/>
      <c r="D226" s="54"/>
      <c r="E226" s="54"/>
      <c r="J226" s="77"/>
      <c r="T226" s="54"/>
      <c r="U226" s="54"/>
    </row>
    <row r="227" spans="1:40" x14ac:dyDescent="0.25">
      <c r="A227" s="53"/>
      <c r="D227" s="54"/>
      <c r="E227" s="54"/>
      <c r="J227" s="77"/>
      <c r="U227" s="54"/>
    </row>
    <row r="228" spans="1:40" x14ac:dyDescent="0.25">
      <c r="J228" s="77"/>
    </row>
    <row r="229" spans="1:40" x14ac:dyDescent="0.25">
      <c r="A229" s="53"/>
      <c r="C229" s="54"/>
      <c r="F229" s="379"/>
      <c r="J229" s="65"/>
      <c r="K229" s="62"/>
      <c r="L229" s="379"/>
      <c r="M229" s="379"/>
      <c r="R229" s="379"/>
      <c r="T229" s="54"/>
      <c r="V229" s="379"/>
      <c r="Z229" s="62"/>
      <c r="AA229" s="379"/>
      <c r="AB229" s="379"/>
      <c r="AK229" s="156"/>
      <c r="AL229" s="379"/>
    </row>
    <row r="230" spans="1:40" x14ac:dyDescent="0.25">
      <c r="F230" s="379"/>
      <c r="J230" s="77"/>
      <c r="R230" s="379"/>
      <c r="V230" s="379"/>
      <c r="AK230" s="156"/>
      <c r="AL230" s="379"/>
    </row>
    <row r="231" spans="1:40" x14ac:dyDescent="0.25">
      <c r="A231" s="53"/>
      <c r="C231" s="54"/>
      <c r="F231" s="449"/>
      <c r="H231" s="449"/>
      <c r="I231" s="449"/>
      <c r="J231" s="221"/>
      <c r="K231" s="461"/>
      <c r="L231" s="379"/>
      <c r="M231" s="379"/>
      <c r="N231" s="50"/>
      <c r="O231" s="50"/>
      <c r="P231" s="379"/>
      <c r="Q231" s="379"/>
      <c r="R231" s="379"/>
      <c r="T231" s="54"/>
      <c r="V231" s="379"/>
      <c r="Y231" s="379"/>
      <c r="Z231" s="461"/>
      <c r="AA231" s="379"/>
      <c r="AB231" s="379"/>
      <c r="AC231" s="50"/>
      <c r="AD231" s="50"/>
      <c r="AE231" s="379"/>
      <c r="AF231" s="379"/>
      <c r="AG231" s="156"/>
      <c r="AH231" s="60"/>
      <c r="AI231" s="379"/>
      <c r="AJ231" s="379"/>
      <c r="AK231" s="156"/>
      <c r="AL231" s="379"/>
      <c r="AM231" s="50"/>
      <c r="AN231" s="50"/>
    </row>
    <row r="232" spans="1:40" x14ac:dyDescent="0.25">
      <c r="A232" s="53"/>
      <c r="C232" s="54"/>
      <c r="F232" s="449"/>
      <c r="H232" s="470"/>
      <c r="I232" s="470"/>
      <c r="J232" s="221"/>
      <c r="K232" s="461"/>
      <c r="L232" s="379"/>
      <c r="M232" s="379"/>
      <c r="N232" s="50"/>
      <c r="O232" s="50"/>
      <c r="P232" s="379"/>
      <c r="Q232" s="379"/>
      <c r="R232" s="379"/>
      <c r="T232" s="54"/>
      <c r="V232" s="379"/>
      <c r="Y232" s="379"/>
      <c r="Z232" s="461"/>
      <c r="AA232" s="379"/>
      <c r="AB232" s="379"/>
      <c r="AC232" s="50"/>
      <c r="AD232" s="50"/>
      <c r="AE232" s="379"/>
      <c r="AF232" s="379"/>
      <c r="AG232" s="156"/>
      <c r="AH232" s="60"/>
      <c r="AI232" s="379"/>
      <c r="AJ232" s="379"/>
      <c r="AK232" s="156"/>
      <c r="AL232" s="379"/>
      <c r="AM232" s="50"/>
      <c r="AN232" s="50"/>
    </row>
    <row r="233" spans="1:40" x14ac:dyDescent="0.25">
      <c r="F233" s="381"/>
      <c r="H233" s="379"/>
      <c r="I233" s="379"/>
      <c r="J233" s="221"/>
      <c r="K233" s="464"/>
      <c r="L233" s="381"/>
      <c r="M233" s="381"/>
      <c r="N233" s="381"/>
      <c r="O233" s="381"/>
      <c r="P233" s="381"/>
      <c r="Q233" s="381"/>
      <c r="R233" s="381"/>
      <c r="V233" s="381"/>
      <c r="Y233" s="379"/>
      <c r="Z233" s="464"/>
      <c r="AA233" s="381"/>
      <c r="AB233" s="381"/>
      <c r="AC233" s="381"/>
      <c r="AD233" s="381"/>
      <c r="AE233" s="381"/>
      <c r="AF233" s="381"/>
      <c r="AI233" s="381"/>
      <c r="AJ233" s="381"/>
      <c r="AK233" s="162"/>
      <c r="AL233" s="381"/>
    </row>
    <row r="234" spans="1:40" x14ac:dyDescent="0.25">
      <c r="A234" s="53"/>
      <c r="C234" s="54"/>
      <c r="F234" s="379"/>
      <c r="H234" s="379"/>
      <c r="I234" s="379"/>
      <c r="J234" s="65"/>
      <c r="K234" s="59"/>
      <c r="L234" s="379"/>
      <c r="M234" s="379"/>
      <c r="N234" s="50"/>
      <c r="O234" s="50"/>
      <c r="P234" s="379"/>
      <c r="Q234" s="379"/>
      <c r="R234" s="379"/>
      <c r="T234" s="54"/>
      <c r="V234" s="379"/>
      <c r="Y234" s="379"/>
      <c r="Z234" s="59"/>
      <c r="AA234" s="379"/>
      <c r="AB234" s="379"/>
      <c r="AC234" s="50"/>
      <c r="AD234" s="50"/>
      <c r="AE234" s="379"/>
      <c r="AF234" s="379"/>
      <c r="AG234" s="156"/>
      <c r="AH234" s="60"/>
      <c r="AI234" s="379"/>
      <c r="AJ234" s="379"/>
      <c r="AK234" s="156"/>
      <c r="AL234" s="379"/>
      <c r="AM234" s="50"/>
      <c r="AN234" s="50"/>
    </row>
    <row r="235" spans="1:40" x14ac:dyDescent="0.25">
      <c r="F235" s="381"/>
      <c r="H235" s="379"/>
      <c r="I235" s="379"/>
      <c r="J235" s="221"/>
      <c r="K235" s="464"/>
      <c r="L235" s="381"/>
      <c r="M235" s="381"/>
      <c r="N235" s="381"/>
      <c r="O235" s="381"/>
      <c r="P235" s="381"/>
      <c r="Q235" s="381"/>
      <c r="R235" s="381"/>
      <c r="V235" s="381"/>
      <c r="Y235" s="379"/>
      <c r="Z235" s="464"/>
      <c r="AA235" s="381"/>
      <c r="AB235" s="381"/>
      <c r="AC235" s="381"/>
      <c r="AD235" s="381"/>
      <c r="AE235" s="381"/>
      <c r="AF235" s="381"/>
      <c r="AI235" s="381"/>
      <c r="AJ235" s="381"/>
      <c r="AK235" s="162"/>
      <c r="AL235" s="381"/>
    </row>
    <row r="236" spans="1:40" x14ac:dyDescent="0.25">
      <c r="F236" s="379"/>
      <c r="J236" s="77"/>
      <c r="R236" s="379"/>
      <c r="V236" s="379"/>
      <c r="AK236" s="156"/>
      <c r="AL236" s="379"/>
    </row>
    <row r="237" spans="1:40" x14ac:dyDescent="0.25">
      <c r="A237" s="53"/>
      <c r="C237" s="54"/>
      <c r="F237" s="379"/>
      <c r="J237" s="77"/>
      <c r="R237" s="379"/>
      <c r="T237" s="54"/>
      <c r="V237" s="379"/>
      <c r="AK237" s="156"/>
      <c r="AL237" s="379"/>
    </row>
    <row r="238" spans="1:40" x14ac:dyDescent="0.25">
      <c r="F238" s="379"/>
      <c r="J238" s="77"/>
      <c r="R238" s="379"/>
      <c r="V238" s="379"/>
      <c r="AK238" s="156"/>
      <c r="AL238" s="379"/>
    </row>
    <row r="239" spans="1:40" x14ac:dyDescent="0.25">
      <c r="A239" s="53"/>
      <c r="C239" s="54"/>
      <c r="F239" s="379"/>
      <c r="H239" s="449"/>
      <c r="I239" s="449"/>
      <c r="J239" s="221"/>
      <c r="K239" s="472"/>
      <c r="L239" s="379"/>
      <c r="M239" s="379"/>
      <c r="N239" s="50"/>
      <c r="O239" s="50"/>
      <c r="P239" s="449"/>
      <c r="Q239" s="449"/>
      <c r="R239" s="379"/>
      <c r="T239" s="54"/>
      <c r="V239" s="379"/>
      <c r="Y239" s="379"/>
      <c r="Z239" s="463"/>
      <c r="AA239" s="379"/>
      <c r="AB239" s="379"/>
      <c r="AC239" s="50"/>
      <c r="AD239" s="50"/>
      <c r="AE239" s="379"/>
      <c r="AF239" s="379"/>
      <c r="AG239" s="156"/>
      <c r="AH239" s="60"/>
      <c r="AI239" s="449"/>
      <c r="AJ239" s="449"/>
      <c r="AK239" s="156"/>
      <c r="AL239" s="379"/>
      <c r="AM239" s="50"/>
      <c r="AN239" s="50"/>
    </row>
    <row r="240" spans="1:40" x14ac:dyDescent="0.25">
      <c r="H240" s="381"/>
      <c r="I240" s="381"/>
      <c r="J240" s="221"/>
      <c r="K240" s="464"/>
      <c r="L240" s="381"/>
      <c r="M240" s="381"/>
      <c r="N240" s="381"/>
      <c r="O240" s="381"/>
      <c r="P240" s="381"/>
      <c r="Q240" s="381"/>
      <c r="R240" s="381"/>
      <c r="V240" s="381"/>
      <c r="Y240" s="381"/>
      <c r="Z240" s="464"/>
      <c r="AA240" s="381"/>
      <c r="AB240" s="381"/>
      <c r="AC240" s="381"/>
      <c r="AD240" s="381"/>
      <c r="AE240" s="381"/>
      <c r="AF240" s="381"/>
      <c r="AI240" s="381"/>
      <c r="AJ240" s="381"/>
      <c r="AK240" s="162"/>
      <c r="AL240" s="381"/>
    </row>
    <row r="241" spans="1:40" x14ac:dyDescent="0.25">
      <c r="F241" s="381"/>
      <c r="J241" s="77"/>
    </row>
    <row r="242" spans="1:40" x14ac:dyDescent="0.25">
      <c r="A242" s="53"/>
      <c r="C242" s="54"/>
      <c r="F242" s="379"/>
      <c r="H242" s="379"/>
      <c r="I242" s="379"/>
      <c r="J242" s="65"/>
      <c r="K242" s="62"/>
      <c r="L242" s="379"/>
      <c r="M242" s="379"/>
      <c r="N242" s="50"/>
      <c r="O242" s="50"/>
      <c r="P242" s="379"/>
      <c r="Q242" s="379"/>
      <c r="R242" s="379"/>
      <c r="T242" s="54"/>
      <c r="V242" s="379"/>
      <c r="Y242" s="379"/>
      <c r="Z242" s="62"/>
      <c r="AA242" s="379"/>
      <c r="AB242" s="379"/>
      <c r="AC242" s="50"/>
      <c r="AD242" s="50"/>
      <c r="AE242" s="379"/>
      <c r="AF242" s="379"/>
      <c r="AG242" s="156"/>
      <c r="AH242" s="60"/>
      <c r="AI242" s="379"/>
      <c r="AJ242" s="379"/>
      <c r="AK242" s="156"/>
      <c r="AL242" s="379"/>
      <c r="AM242" s="50"/>
      <c r="AN242" s="50"/>
    </row>
    <row r="243" spans="1:40" x14ac:dyDescent="0.25">
      <c r="F243" s="381"/>
      <c r="H243" s="381"/>
      <c r="I243" s="381"/>
      <c r="J243" s="221"/>
      <c r="K243" s="464"/>
      <c r="L243" s="381"/>
      <c r="M243" s="381"/>
      <c r="N243" s="381"/>
      <c r="O243" s="381"/>
      <c r="P243" s="381"/>
      <c r="Q243" s="381"/>
      <c r="R243" s="381"/>
      <c r="V243" s="381"/>
      <c r="Y243" s="381"/>
      <c r="Z243" s="464"/>
      <c r="AA243" s="381"/>
      <c r="AB243" s="381"/>
      <c r="AC243" s="381"/>
      <c r="AD243" s="381"/>
      <c r="AE243" s="381"/>
      <c r="AF243" s="381"/>
      <c r="AI243" s="381"/>
      <c r="AJ243" s="381"/>
      <c r="AK243" s="162"/>
      <c r="AL243" s="381"/>
    </row>
    <row r="244" spans="1:40" x14ac:dyDescent="0.25">
      <c r="J244" s="77"/>
      <c r="R244" s="379"/>
      <c r="AG244" s="156"/>
      <c r="AH244" s="379"/>
    </row>
    <row r="245" spans="1:40" x14ac:dyDescent="0.25">
      <c r="F245" s="379"/>
      <c r="H245" s="379"/>
      <c r="I245" s="379"/>
      <c r="J245" s="65"/>
      <c r="K245" s="59"/>
      <c r="L245" s="379"/>
      <c r="M245" s="379"/>
      <c r="N245" s="379"/>
      <c r="O245" s="379"/>
      <c r="P245" s="379"/>
      <c r="Q245" s="379"/>
      <c r="R245" s="379"/>
      <c r="V245" s="379"/>
      <c r="Y245" s="379"/>
      <c r="Z245" s="59"/>
      <c r="AA245" s="379"/>
      <c r="AB245" s="379"/>
      <c r="AC245" s="379"/>
      <c r="AD245" s="379"/>
      <c r="AE245" s="379"/>
      <c r="AF245" s="379"/>
      <c r="AG245" s="156"/>
      <c r="AH245" s="379"/>
    </row>
    <row r="246" spans="1:40" x14ac:dyDescent="0.25">
      <c r="C246" s="54"/>
      <c r="F246" s="379"/>
      <c r="H246" s="379"/>
      <c r="I246" s="379"/>
      <c r="J246" s="65"/>
      <c r="K246" s="59"/>
      <c r="L246" s="379"/>
      <c r="M246" s="379"/>
      <c r="N246" s="379"/>
      <c r="O246" s="379"/>
      <c r="P246" s="379"/>
      <c r="Q246" s="379"/>
      <c r="R246" s="379"/>
      <c r="T246" s="54"/>
      <c r="V246" s="379"/>
      <c r="Y246" s="379"/>
      <c r="Z246" s="59"/>
      <c r="AA246" s="379"/>
      <c r="AB246" s="379"/>
      <c r="AC246" s="379"/>
      <c r="AD246" s="379"/>
      <c r="AE246" s="379"/>
      <c r="AF246" s="379"/>
      <c r="AG246" s="156"/>
      <c r="AH246" s="379"/>
    </row>
    <row r="247" spans="1:40" x14ac:dyDescent="0.25">
      <c r="A247" s="54"/>
      <c r="J247" s="77"/>
    </row>
    <row r="248" spans="1:40" x14ac:dyDescent="0.25">
      <c r="J248" s="77"/>
    </row>
    <row r="249" spans="1:40" x14ac:dyDescent="0.25">
      <c r="J249" s="65"/>
      <c r="K249" s="53"/>
      <c r="Z249" s="53"/>
    </row>
    <row r="250" spans="1:40" x14ac:dyDescent="0.25">
      <c r="H250" s="54"/>
      <c r="I250" s="54"/>
      <c r="J250" s="77"/>
      <c r="Y250" s="54"/>
    </row>
    <row r="251" spans="1:40" x14ac:dyDescent="0.25">
      <c r="J251" s="65"/>
      <c r="K251" s="53"/>
      <c r="Z251" s="53"/>
    </row>
    <row r="252" spans="1:40" x14ac:dyDescent="0.25">
      <c r="J252" s="77"/>
      <c r="L252" s="54"/>
      <c r="M252" s="54"/>
      <c r="AA252" s="54"/>
      <c r="AB252" s="54"/>
    </row>
    <row r="253" spans="1:40" x14ac:dyDescent="0.25">
      <c r="A253" s="53"/>
      <c r="J253" s="77"/>
      <c r="R253" s="54"/>
      <c r="AK253" s="161"/>
      <c r="AL253" s="54"/>
    </row>
    <row r="254" spans="1:40" x14ac:dyDescent="0.25">
      <c r="A254" s="53"/>
      <c r="J254" s="77"/>
      <c r="R254" s="54"/>
      <c r="AK254" s="161"/>
      <c r="AL254" s="54"/>
    </row>
    <row r="255" spans="1:40" x14ac:dyDescent="0.25">
      <c r="A255" s="54"/>
      <c r="J255" s="77"/>
      <c r="R255" s="54"/>
      <c r="AK255" s="161"/>
      <c r="AL255" s="54"/>
    </row>
    <row r="256" spans="1:40" x14ac:dyDescent="0.25">
      <c r="J256" s="77"/>
      <c r="L256" s="54"/>
      <c r="M256" s="54"/>
      <c r="R256" s="53"/>
      <c r="AA256" s="54"/>
      <c r="AB256" s="54"/>
      <c r="AK256" s="156"/>
      <c r="AL256" s="53"/>
    </row>
    <row r="257" spans="1:40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66"/>
      <c r="K257" s="55"/>
      <c r="L257" s="55"/>
      <c r="M257" s="55"/>
      <c r="N257" s="55"/>
      <c r="O257" s="55"/>
      <c r="P257" s="55"/>
      <c r="Q257" s="55"/>
      <c r="R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154"/>
      <c r="AH257" s="55"/>
      <c r="AI257" s="55"/>
      <c r="AJ257" s="55"/>
      <c r="AK257" s="154"/>
      <c r="AL257" s="55"/>
      <c r="AM257" s="55"/>
      <c r="AN257" s="55"/>
    </row>
    <row r="258" spans="1:40" x14ac:dyDescent="0.25">
      <c r="J258" s="77"/>
      <c r="L258" s="56"/>
      <c r="M258" s="56"/>
      <c r="N258" s="56"/>
      <c r="O258" s="56"/>
      <c r="R258" s="56"/>
      <c r="AA258" s="56"/>
      <c r="AB258" s="56"/>
      <c r="AC258" s="56"/>
      <c r="AD258" s="56"/>
      <c r="AE258" s="56"/>
      <c r="AF258" s="56"/>
      <c r="AG258" s="155"/>
      <c r="AH258" s="56"/>
      <c r="AK258" s="155"/>
      <c r="AL258" s="56"/>
      <c r="AM258" s="56"/>
      <c r="AN258" s="56"/>
    </row>
    <row r="259" spans="1:40" x14ac:dyDescent="0.25">
      <c r="J259" s="77"/>
      <c r="L259" s="56"/>
      <c r="M259" s="56"/>
      <c r="N259" s="56"/>
      <c r="O259" s="56"/>
      <c r="R259" s="56"/>
      <c r="Z259" s="56"/>
      <c r="AA259" s="56"/>
      <c r="AB259" s="56"/>
      <c r="AC259" s="56"/>
      <c r="AD259" s="56"/>
      <c r="AE259" s="56"/>
      <c r="AF259" s="56"/>
      <c r="AG259" s="155"/>
      <c r="AH259" s="56"/>
      <c r="AK259" s="155"/>
      <c r="AL259" s="56"/>
      <c r="AM259" s="56"/>
      <c r="AN259" s="56"/>
    </row>
    <row r="260" spans="1:40" x14ac:dyDescent="0.25">
      <c r="A260" s="56"/>
      <c r="C260" s="56"/>
      <c r="D260" s="56"/>
      <c r="E260" s="56"/>
      <c r="F260" s="56"/>
      <c r="J260" s="67"/>
      <c r="K260" s="56"/>
      <c r="L260" s="56"/>
      <c r="M260" s="56"/>
      <c r="N260" s="56"/>
      <c r="O260" s="56"/>
      <c r="P260" s="56"/>
      <c r="Q260" s="56"/>
      <c r="R260" s="56"/>
      <c r="T260" s="56"/>
      <c r="U260" s="56"/>
      <c r="V260" s="56"/>
      <c r="Z260" s="56"/>
      <c r="AA260" s="56"/>
      <c r="AB260" s="56"/>
      <c r="AC260" s="56"/>
      <c r="AD260" s="56"/>
      <c r="AE260" s="56"/>
      <c r="AF260" s="56"/>
      <c r="AG260" s="155"/>
      <c r="AH260" s="56"/>
      <c r="AI260" s="56"/>
      <c r="AJ260" s="56"/>
      <c r="AK260" s="155"/>
      <c r="AL260" s="56"/>
      <c r="AM260" s="56"/>
      <c r="AN260" s="56"/>
    </row>
    <row r="261" spans="1:40" x14ac:dyDescent="0.25">
      <c r="A261" s="56"/>
      <c r="C261" s="56"/>
      <c r="D261" s="56"/>
      <c r="E261" s="56"/>
      <c r="F261" s="56"/>
      <c r="H261" s="56"/>
      <c r="I261" s="56"/>
      <c r="J261" s="67"/>
      <c r="K261" s="56"/>
      <c r="L261" s="56"/>
      <c r="M261" s="56"/>
      <c r="N261" s="56"/>
      <c r="O261" s="56"/>
      <c r="P261" s="56"/>
      <c r="Q261" s="56"/>
      <c r="R261" s="56"/>
      <c r="T261" s="56"/>
      <c r="U261" s="56"/>
      <c r="V261" s="56"/>
      <c r="Y261" s="56"/>
      <c r="Z261" s="56"/>
      <c r="AA261" s="56"/>
      <c r="AB261" s="56"/>
      <c r="AC261" s="56"/>
      <c r="AD261" s="56"/>
      <c r="AE261" s="56"/>
      <c r="AF261" s="56"/>
      <c r="AG261" s="155"/>
      <c r="AH261" s="56"/>
      <c r="AI261" s="56"/>
      <c r="AJ261" s="56"/>
      <c r="AK261" s="155"/>
      <c r="AL261" s="56"/>
      <c r="AM261" s="56"/>
      <c r="AN261" s="56"/>
    </row>
    <row r="262" spans="1:40" x14ac:dyDescent="0.25">
      <c r="C262" s="56"/>
      <c r="D262" s="56"/>
      <c r="E262" s="56"/>
      <c r="F262" s="56"/>
      <c r="H262" s="56"/>
      <c r="I262" s="56"/>
      <c r="J262" s="67"/>
      <c r="K262" s="56"/>
      <c r="L262" s="56"/>
      <c r="M262" s="56"/>
      <c r="N262" s="56"/>
      <c r="O262" s="56"/>
      <c r="P262" s="56"/>
      <c r="Q262" s="56"/>
      <c r="R262" s="56"/>
      <c r="T262" s="56"/>
      <c r="U262" s="56"/>
      <c r="V262" s="56"/>
      <c r="Y262" s="56"/>
      <c r="Z262" s="56"/>
      <c r="AA262" s="56"/>
      <c r="AB262" s="56"/>
      <c r="AC262" s="56"/>
      <c r="AD262" s="56"/>
      <c r="AE262" s="56"/>
      <c r="AF262" s="56"/>
      <c r="AG262" s="155"/>
      <c r="AH262" s="56"/>
      <c r="AI262" s="56"/>
      <c r="AJ262" s="56"/>
      <c r="AK262" s="155"/>
      <c r="AL262" s="56"/>
      <c r="AM262" s="56"/>
      <c r="AN262" s="56"/>
    </row>
    <row r="263" spans="1:40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66"/>
      <c r="K263" s="55"/>
      <c r="L263" s="55"/>
      <c r="M263" s="55"/>
      <c r="N263" s="55"/>
      <c r="O263" s="55"/>
      <c r="P263" s="55"/>
      <c r="Q263" s="55"/>
      <c r="R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154"/>
      <c r="AH263" s="55"/>
      <c r="AI263" s="55"/>
      <c r="AJ263" s="55"/>
      <c r="AK263" s="154"/>
      <c r="AL263" s="55"/>
      <c r="AM263" s="55"/>
      <c r="AN263" s="55"/>
    </row>
    <row r="264" spans="1:40" x14ac:dyDescent="0.25">
      <c r="H264" s="56"/>
      <c r="I264" s="56"/>
      <c r="J264" s="67"/>
      <c r="K264" s="56"/>
      <c r="L264" s="56"/>
      <c r="M264" s="56"/>
      <c r="N264" s="56"/>
      <c r="O264" s="56"/>
      <c r="P264" s="56"/>
      <c r="Q264" s="56"/>
      <c r="R264" s="56"/>
      <c r="Y264" s="56"/>
      <c r="Z264" s="56"/>
      <c r="AA264" s="56"/>
      <c r="AB264" s="56"/>
      <c r="AC264" s="56"/>
      <c r="AD264" s="56"/>
      <c r="AE264" s="56"/>
      <c r="AF264" s="56"/>
      <c r="AG264" s="155"/>
      <c r="AH264" s="56"/>
      <c r="AI264" s="56"/>
      <c r="AJ264" s="56"/>
      <c r="AK264" s="155"/>
      <c r="AL264" s="56"/>
      <c r="AM264" s="56"/>
      <c r="AN264" s="56"/>
    </row>
    <row r="265" spans="1:40" x14ac:dyDescent="0.25">
      <c r="A265" s="53"/>
      <c r="C265" s="54"/>
      <c r="D265" s="54"/>
      <c r="E265" s="54"/>
      <c r="J265" s="77"/>
      <c r="T265" s="54"/>
      <c r="U265" s="54"/>
    </row>
    <row r="266" spans="1:40" x14ac:dyDescent="0.25">
      <c r="A266" s="53"/>
      <c r="C266" s="54"/>
      <c r="J266" s="77"/>
      <c r="T266" s="54"/>
    </row>
    <row r="267" spans="1:40" x14ac:dyDescent="0.25">
      <c r="J267" s="77"/>
    </row>
    <row r="268" spans="1:40" x14ac:dyDescent="0.25">
      <c r="A268" s="53"/>
      <c r="C268" s="54"/>
      <c r="F268" s="449"/>
      <c r="H268" s="449"/>
      <c r="I268" s="449"/>
      <c r="J268" s="221"/>
      <c r="K268" s="461"/>
      <c r="L268" s="379"/>
      <c r="M268" s="379"/>
      <c r="N268" s="50"/>
      <c r="O268" s="50"/>
      <c r="P268" s="53"/>
      <c r="Q268" s="53"/>
      <c r="R268" s="379"/>
      <c r="T268" s="54"/>
      <c r="V268" s="379"/>
      <c r="Y268" s="449"/>
      <c r="Z268" s="461"/>
      <c r="AA268" s="379"/>
      <c r="AB268" s="379"/>
      <c r="AC268" s="50"/>
      <c r="AD268" s="50"/>
      <c r="AE268" s="379"/>
      <c r="AF268" s="379"/>
      <c r="AG268" s="156"/>
      <c r="AH268" s="60"/>
      <c r="AI268" s="53"/>
      <c r="AJ268" s="53"/>
      <c r="AK268" s="156"/>
      <c r="AL268" s="379"/>
      <c r="AM268" s="50"/>
      <c r="AN268" s="50"/>
    </row>
    <row r="269" spans="1:40" x14ac:dyDescent="0.25">
      <c r="F269" s="381"/>
      <c r="H269" s="379"/>
      <c r="I269" s="379"/>
      <c r="J269" s="221"/>
      <c r="K269" s="464"/>
      <c r="L269" s="381"/>
      <c r="M269" s="381"/>
      <c r="N269" s="381"/>
      <c r="O269" s="381"/>
      <c r="P269" s="381"/>
      <c r="Q269" s="381"/>
      <c r="R269" s="381"/>
      <c r="V269" s="381"/>
      <c r="Y269" s="379"/>
      <c r="Z269" s="464"/>
      <c r="AA269" s="381"/>
      <c r="AB269" s="381"/>
      <c r="AC269" s="381"/>
      <c r="AD269" s="381"/>
      <c r="AE269" s="381"/>
      <c r="AF269" s="381"/>
      <c r="AI269" s="381"/>
      <c r="AJ269" s="381"/>
      <c r="AK269" s="162"/>
      <c r="AL269" s="381"/>
      <c r="AM269" s="50"/>
      <c r="AN269" s="50"/>
    </row>
    <row r="270" spans="1:40" x14ac:dyDescent="0.25">
      <c r="A270" s="53"/>
      <c r="C270" s="54"/>
      <c r="F270" s="449"/>
      <c r="H270" s="449"/>
      <c r="I270" s="449"/>
      <c r="J270" s="221"/>
      <c r="K270" s="477"/>
      <c r="L270" s="379"/>
      <c r="M270" s="379"/>
      <c r="N270" s="50"/>
      <c r="O270" s="50"/>
      <c r="P270" s="379"/>
      <c r="Q270" s="379"/>
      <c r="R270" s="379"/>
      <c r="S270" s="379"/>
      <c r="T270" s="54"/>
      <c r="V270" s="449"/>
      <c r="Y270" s="449"/>
      <c r="Z270" s="477"/>
      <c r="AA270" s="379"/>
      <c r="AB270" s="379"/>
      <c r="AC270" s="50"/>
      <c r="AD270" s="50"/>
      <c r="AE270" s="379"/>
      <c r="AF270" s="379"/>
      <c r="AG270" s="156"/>
      <c r="AH270" s="50"/>
      <c r="AI270" s="379"/>
      <c r="AJ270" s="379"/>
      <c r="AK270" s="156"/>
      <c r="AL270" s="379"/>
      <c r="AM270" s="50"/>
      <c r="AN270" s="50"/>
    </row>
    <row r="271" spans="1:40" x14ac:dyDescent="0.25">
      <c r="A271" s="53"/>
      <c r="C271" s="54"/>
      <c r="F271" s="449"/>
      <c r="H271" s="449"/>
      <c r="I271" s="449"/>
      <c r="J271" s="221"/>
      <c r="K271" s="461"/>
      <c r="L271" s="379"/>
      <c r="M271" s="379"/>
      <c r="N271" s="50"/>
      <c r="O271" s="50"/>
      <c r="P271" s="379"/>
      <c r="Q271" s="379"/>
      <c r="R271" s="379"/>
      <c r="T271" s="54"/>
      <c r="V271" s="449"/>
      <c r="Y271" s="379"/>
      <c r="Z271" s="461"/>
      <c r="AA271" s="379"/>
      <c r="AB271" s="379"/>
      <c r="AC271" s="50"/>
      <c r="AD271" s="50"/>
      <c r="AE271" s="379"/>
      <c r="AF271" s="379"/>
      <c r="AG271" s="156"/>
      <c r="AH271" s="60"/>
      <c r="AI271" s="379"/>
      <c r="AJ271" s="379"/>
      <c r="AK271" s="156"/>
      <c r="AL271" s="379"/>
      <c r="AM271" s="50"/>
      <c r="AN271" s="50"/>
    </row>
    <row r="272" spans="1:40" x14ac:dyDescent="0.25">
      <c r="A272" s="53"/>
      <c r="C272" s="54"/>
      <c r="F272" s="449"/>
      <c r="H272" s="449"/>
      <c r="I272" s="449"/>
      <c r="J272" s="221"/>
      <c r="K272" s="461"/>
      <c r="L272" s="379"/>
      <c r="M272" s="379"/>
      <c r="N272" s="50"/>
      <c r="O272" s="50"/>
      <c r="P272" s="379"/>
      <c r="Q272" s="379"/>
      <c r="R272" s="379"/>
      <c r="T272" s="54"/>
      <c r="V272" s="449"/>
      <c r="Y272" s="379"/>
      <c r="Z272" s="461"/>
      <c r="AA272" s="379"/>
      <c r="AB272" s="379"/>
      <c r="AC272" s="50"/>
      <c r="AD272" s="50"/>
      <c r="AE272" s="379"/>
      <c r="AF272" s="379"/>
      <c r="AG272" s="156"/>
      <c r="AH272" s="60"/>
      <c r="AI272" s="379"/>
      <c r="AJ272" s="379"/>
      <c r="AK272" s="156"/>
      <c r="AL272" s="379"/>
      <c r="AM272" s="50"/>
      <c r="AN272" s="50"/>
    </row>
    <row r="273" spans="1:40" x14ac:dyDescent="0.25">
      <c r="F273" s="381"/>
      <c r="H273" s="381"/>
      <c r="I273" s="381"/>
      <c r="J273" s="221"/>
      <c r="K273" s="464"/>
      <c r="L273" s="381"/>
      <c r="M273" s="381"/>
      <c r="N273" s="381"/>
      <c r="O273" s="381"/>
      <c r="P273" s="381"/>
      <c r="Q273" s="381"/>
      <c r="R273" s="381"/>
      <c r="V273" s="381"/>
      <c r="Y273" s="381"/>
      <c r="Z273" s="464"/>
      <c r="AA273" s="381"/>
      <c r="AB273" s="381"/>
      <c r="AC273" s="381"/>
      <c r="AD273" s="381"/>
      <c r="AE273" s="381"/>
      <c r="AF273" s="381"/>
      <c r="AI273" s="381"/>
      <c r="AJ273" s="381"/>
      <c r="AK273" s="162"/>
      <c r="AL273" s="381"/>
      <c r="AM273" s="50"/>
      <c r="AN273" s="50"/>
    </row>
    <row r="274" spans="1:40" x14ac:dyDescent="0.25">
      <c r="A274" s="53"/>
      <c r="C274" s="54"/>
      <c r="F274" s="379"/>
      <c r="H274" s="379"/>
      <c r="I274" s="379"/>
      <c r="J274" s="65"/>
      <c r="K274" s="59"/>
      <c r="L274" s="379"/>
      <c r="M274" s="379"/>
      <c r="N274" s="50"/>
      <c r="O274" s="50"/>
      <c r="P274" s="379"/>
      <c r="Q274" s="379"/>
      <c r="R274" s="379"/>
      <c r="T274" s="54"/>
      <c r="V274" s="379"/>
      <c r="Y274" s="379"/>
      <c r="Z274" s="59"/>
      <c r="AA274" s="379"/>
      <c r="AB274" s="379"/>
      <c r="AC274" s="50"/>
      <c r="AD274" s="50"/>
      <c r="AE274" s="379"/>
      <c r="AF274" s="379"/>
      <c r="AG274" s="156"/>
      <c r="AH274" s="60"/>
      <c r="AI274" s="379"/>
      <c r="AJ274" s="379"/>
      <c r="AK274" s="156"/>
      <c r="AL274" s="379"/>
      <c r="AM274" s="50"/>
      <c r="AN274" s="50"/>
    </row>
    <row r="275" spans="1:40" x14ac:dyDescent="0.25">
      <c r="F275" s="381"/>
      <c r="H275" s="381"/>
      <c r="I275" s="381"/>
      <c r="J275" s="221"/>
      <c r="K275" s="464"/>
      <c r="L275" s="381"/>
      <c r="M275" s="381"/>
      <c r="N275" s="381"/>
      <c r="O275" s="381"/>
      <c r="P275" s="381"/>
      <c r="Q275" s="381"/>
      <c r="R275" s="381"/>
      <c r="V275" s="381"/>
      <c r="Y275" s="381"/>
      <c r="Z275" s="464"/>
      <c r="AA275" s="381"/>
      <c r="AB275" s="381"/>
      <c r="AC275" s="381"/>
      <c r="AD275" s="381"/>
      <c r="AE275" s="381"/>
      <c r="AF275" s="381"/>
      <c r="AI275" s="381"/>
      <c r="AJ275" s="381"/>
      <c r="AK275" s="162"/>
      <c r="AL275" s="381"/>
      <c r="AM275" s="50"/>
      <c r="AN275" s="50"/>
    </row>
    <row r="276" spans="1:40" x14ac:dyDescent="0.25">
      <c r="A276" s="53"/>
      <c r="C276" s="54"/>
      <c r="F276" s="379"/>
      <c r="H276" s="379"/>
      <c r="I276" s="379"/>
      <c r="J276" s="65"/>
      <c r="K276" s="59"/>
      <c r="L276" s="379"/>
      <c r="M276" s="379"/>
      <c r="N276" s="50"/>
      <c r="O276" s="50"/>
      <c r="P276" s="379"/>
      <c r="Q276" s="379"/>
      <c r="R276" s="379"/>
      <c r="T276" s="54"/>
      <c r="V276" s="379"/>
      <c r="Y276" s="379"/>
      <c r="Z276" s="59"/>
      <c r="AA276" s="379"/>
      <c r="AB276" s="379"/>
      <c r="AC276" s="50"/>
      <c r="AD276" s="50"/>
      <c r="AE276" s="379"/>
      <c r="AF276" s="379"/>
      <c r="AG276" s="156"/>
      <c r="AH276" s="60"/>
      <c r="AI276" s="379"/>
      <c r="AJ276" s="379"/>
      <c r="AK276" s="156"/>
      <c r="AL276" s="379"/>
      <c r="AM276" s="50"/>
      <c r="AN276" s="50"/>
    </row>
    <row r="277" spans="1:40" x14ac:dyDescent="0.25">
      <c r="A277" s="53"/>
      <c r="C277" s="54"/>
      <c r="F277" s="379"/>
      <c r="H277" s="449"/>
      <c r="I277" s="449"/>
      <c r="J277" s="221"/>
      <c r="K277" s="472"/>
      <c r="L277" s="379"/>
      <c r="M277" s="379"/>
      <c r="N277" s="50"/>
      <c r="O277" s="50"/>
      <c r="P277" s="379"/>
      <c r="Q277" s="379"/>
      <c r="R277" s="379"/>
      <c r="T277" s="54"/>
      <c r="V277" s="379"/>
      <c r="Y277" s="379"/>
      <c r="Z277" s="463"/>
      <c r="AA277" s="379"/>
      <c r="AB277" s="379"/>
      <c r="AC277" s="50"/>
      <c r="AD277" s="50"/>
      <c r="AE277" s="379"/>
      <c r="AF277" s="379"/>
      <c r="AG277" s="156"/>
      <c r="AH277" s="60"/>
      <c r="AI277" s="379"/>
      <c r="AJ277" s="379"/>
      <c r="AK277" s="156"/>
      <c r="AL277" s="379"/>
      <c r="AM277" s="50"/>
      <c r="AN277" s="50"/>
    </row>
    <row r="278" spans="1:40" x14ac:dyDescent="0.25">
      <c r="H278" s="381"/>
      <c r="I278" s="381"/>
      <c r="J278" s="221"/>
      <c r="K278" s="464"/>
      <c r="L278" s="381"/>
      <c r="M278" s="381"/>
      <c r="N278" s="381"/>
      <c r="O278" s="381"/>
      <c r="P278" s="381"/>
      <c r="Q278" s="381"/>
      <c r="R278" s="381"/>
      <c r="V278" s="381"/>
      <c r="Y278" s="381"/>
      <c r="Z278" s="464"/>
      <c r="AA278" s="381"/>
      <c r="AB278" s="381"/>
      <c r="AC278" s="381"/>
      <c r="AD278" s="381"/>
      <c r="AE278" s="381"/>
      <c r="AF278" s="381"/>
      <c r="AI278" s="381"/>
      <c r="AJ278" s="381"/>
      <c r="AK278" s="162"/>
      <c r="AL278" s="381"/>
      <c r="AM278" s="50"/>
      <c r="AN278" s="50"/>
    </row>
    <row r="279" spans="1:40" x14ac:dyDescent="0.25">
      <c r="F279" s="381"/>
      <c r="J279" s="77"/>
    </row>
    <row r="280" spans="1:40" x14ac:dyDescent="0.25">
      <c r="A280" s="53"/>
      <c r="C280" s="54"/>
      <c r="F280" s="379"/>
      <c r="H280" s="379"/>
      <c r="I280" s="379"/>
      <c r="J280" s="221"/>
      <c r="K280" s="464"/>
      <c r="L280" s="379"/>
      <c r="M280" s="379"/>
      <c r="N280" s="50"/>
      <c r="O280" s="50"/>
      <c r="P280" s="379"/>
      <c r="Q280" s="379"/>
      <c r="R280" s="379"/>
      <c r="S280" s="379"/>
      <c r="T280" s="54"/>
      <c r="V280" s="379"/>
      <c r="Y280" s="379"/>
      <c r="Z280" s="464"/>
      <c r="AA280" s="379"/>
      <c r="AB280" s="379"/>
      <c r="AC280" s="50"/>
      <c r="AD280" s="50"/>
      <c r="AE280" s="379"/>
      <c r="AF280" s="379"/>
      <c r="AG280" s="156"/>
      <c r="AH280" s="50"/>
      <c r="AI280" s="379"/>
      <c r="AJ280" s="379"/>
      <c r="AK280" s="156"/>
      <c r="AL280" s="379"/>
      <c r="AM280" s="50"/>
      <c r="AN280" s="50"/>
    </row>
    <row r="281" spans="1:40" x14ac:dyDescent="0.25">
      <c r="F281" s="381"/>
      <c r="H281" s="381"/>
      <c r="I281" s="381"/>
      <c r="J281" s="221"/>
      <c r="K281" s="464"/>
      <c r="L281" s="381"/>
      <c r="M281" s="381"/>
      <c r="N281" s="381"/>
      <c r="O281" s="381"/>
      <c r="P281" s="381"/>
      <c r="Q281" s="381"/>
      <c r="R281" s="381"/>
      <c r="S281" s="379"/>
      <c r="V281" s="381"/>
      <c r="Y281" s="381"/>
      <c r="Z281" s="464"/>
      <c r="AA281" s="381"/>
      <c r="AB281" s="381"/>
      <c r="AC281" s="381"/>
      <c r="AD281" s="381"/>
      <c r="AE281" s="381"/>
      <c r="AF281" s="381"/>
      <c r="AI281" s="381"/>
      <c r="AJ281" s="381"/>
      <c r="AK281" s="162"/>
      <c r="AL281" s="381"/>
      <c r="AM281" s="50"/>
      <c r="AN281" s="50"/>
    </row>
    <row r="282" spans="1:40" x14ac:dyDescent="0.25">
      <c r="A282" s="53"/>
      <c r="C282" s="54"/>
      <c r="H282" s="449"/>
      <c r="I282" s="449"/>
      <c r="J282" s="221"/>
      <c r="K282" s="464"/>
      <c r="L282" s="379"/>
      <c r="M282" s="379"/>
      <c r="N282" s="50"/>
      <c r="O282" s="50"/>
      <c r="P282" s="379"/>
      <c r="Q282" s="379"/>
      <c r="R282" s="379"/>
      <c r="S282" s="379"/>
      <c r="T282" s="54"/>
      <c r="V282" s="449"/>
      <c r="Y282" s="449"/>
      <c r="Z282" s="464"/>
      <c r="AA282" s="379"/>
      <c r="AB282" s="379"/>
      <c r="AC282" s="50"/>
      <c r="AD282" s="50"/>
      <c r="AE282" s="379"/>
      <c r="AF282" s="379"/>
      <c r="AI282" s="379"/>
      <c r="AJ282" s="379"/>
      <c r="AK282" s="156"/>
      <c r="AL282" s="379"/>
      <c r="AM282" s="50"/>
      <c r="AN282" s="50"/>
    </row>
    <row r="283" spans="1:40" x14ac:dyDescent="0.25">
      <c r="F283" s="449"/>
      <c r="J283" s="77"/>
    </row>
    <row r="284" spans="1:40" x14ac:dyDescent="0.25">
      <c r="A284" s="53"/>
      <c r="C284" s="54"/>
      <c r="F284" s="449"/>
      <c r="H284" s="449"/>
      <c r="I284" s="449"/>
      <c r="J284" s="221"/>
      <c r="K284" s="461"/>
      <c r="L284" s="379"/>
      <c r="M284" s="379"/>
      <c r="N284" s="50"/>
      <c r="O284" s="50"/>
      <c r="P284" s="53"/>
      <c r="Q284" s="53"/>
      <c r="R284" s="379"/>
      <c r="T284" s="54"/>
      <c r="V284" s="379"/>
      <c r="Y284" s="449"/>
      <c r="Z284" s="461"/>
      <c r="AA284" s="379"/>
      <c r="AB284" s="379"/>
      <c r="AC284" s="50"/>
      <c r="AD284" s="50"/>
      <c r="AE284" s="379"/>
      <c r="AF284" s="379"/>
      <c r="AG284" s="156"/>
      <c r="AH284" s="60"/>
      <c r="AI284" s="53"/>
      <c r="AJ284" s="53"/>
      <c r="AK284" s="156"/>
      <c r="AL284" s="379"/>
      <c r="AM284" s="50"/>
      <c r="AN284" s="50"/>
    </row>
    <row r="285" spans="1:40" x14ac:dyDescent="0.25">
      <c r="F285" s="381"/>
      <c r="H285" s="379"/>
      <c r="I285" s="379"/>
      <c r="J285" s="221"/>
      <c r="K285" s="464"/>
      <c r="L285" s="381"/>
      <c r="M285" s="381"/>
      <c r="N285" s="381"/>
      <c r="O285" s="381"/>
      <c r="P285" s="381"/>
      <c r="Q285" s="381"/>
      <c r="R285" s="381"/>
      <c r="V285" s="381"/>
      <c r="Y285" s="379"/>
      <c r="Z285" s="464"/>
      <c r="AA285" s="381"/>
      <c r="AB285" s="381"/>
      <c r="AC285" s="381"/>
      <c r="AD285" s="381"/>
      <c r="AE285" s="381"/>
      <c r="AF285" s="381"/>
      <c r="AI285" s="381"/>
      <c r="AJ285" s="381"/>
      <c r="AK285" s="162"/>
      <c r="AL285" s="381"/>
      <c r="AM285" s="50"/>
      <c r="AN285" s="50"/>
    </row>
    <row r="286" spans="1:40" x14ac:dyDescent="0.25">
      <c r="A286" s="53"/>
      <c r="C286" s="54"/>
      <c r="F286" s="449"/>
      <c r="H286" s="449"/>
      <c r="I286" s="449"/>
      <c r="J286" s="221"/>
      <c r="K286" s="477"/>
      <c r="L286" s="379"/>
      <c r="M286" s="379"/>
      <c r="N286" s="50"/>
      <c r="O286" s="50"/>
      <c r="P286" s="379"/>
      <c r="Q286" s="379"/>
      <c r="R286" s="379"/>
      <c r="S286" s="379"/>
      <c r="T286" s="54"/>
      <c r="V286" s="449"/>
      <c r="Y286" s="449"/>
      <c r="Z286" s="477"/>
      <c r="AA286" s="379"/>
      <c r="AB286" s="379"/>
      <c r="AC286" s="50"/>
      <c r="AD286" s="50"/>
      <c r="AE286" s="379"/>
      <c r="AF286" s="379"/>
      <c r="AG286" s="156"/>
      <c r="AH286" s="50"/>
      <c r="AI286" s="379"/>
      <c r="AJ286" s="379"/>
      <c r="AK286" s="156"/>
      <c r="AL286" s="379"/>
      <c r="AM286" s="50"/>
      <c r="AN286" s="50"/>
    </row>
    <row r="287" spans="1:40" x14ac:dyDescent="0.25">
      <c r="A287" s="53"/>
      <c r="C287" s="54"/>
      <c r="F287" s="449"/>
      <c r="H287" s="449"/>
      <c r="I287" s="449"/>
      <c r="J287" s="221"/>
      <c r="K287" s="461"/>
      <c r="L287" s="379"/>
      <c r="M287" s="379"/>
      <c r="N287" s="50"/>
      <c r="O287" s="50"/>
      <c r="P287" s="379"/>
      <c r="Q287" s="379"/>
      <c r="R287" s="379"/>
      <c r="T287" s="54"/>
      <c r="V287" s="449"/>
      <c r="Y287" s="379"/>
      <c r="Z287" s="461"/>
      <c r="AA287" s="379"/>
      <c r="AB287" s="379"/>
      <c r="AC287" s="50"/>
      <c r="AD287" s="50"/>
      <c r="AE287" s="379"/>
      <c r="AF287" s="379"/>
      <c r="AG287" s="156"/>
      <c r="AH287" s="60"/>
      <c r="AI287" s="379"/>
      <c r="AJ287" s="379"/>
      <c r="AK287" s="156"/>
      <c r="AL287" s="379"/>
      <c r="AM287" s="50"/>
      <c r="AN287" s="50"/>
    </row>
    <row r="288" spans="1:40" x14ac:dyDescent="0.25">
      <c r="A288" s="53"/>
      <c r="C288" s="54"/>
      <c r="F288" s="449"/>
      <c r="H288" s="449"/>
      <c r="I288" s="449"/>
      <c r="J288" s="221"/>
      <c r="K288" s="461"/>
      <c r="L288" s="379"/>
      <c r="M288" s="379"/>
      <c r="N288" s="50"/>
      <c r="O288" s="50"/>
      <c r="P288" s="379"/>
      <c r="Q288" s="379"/>
      <c r="R288" s="379"/>
      <c r="T288" s="54"/>
      <c r="V288" s="449"/>
      <c r="Y288" s="379"/>
      <c r="Z288" s="461"/>
      <c r="AA288" s="379"/>
      <c r="AB288" s="379"/>
      <c r="AC288" s="50"/>
      <c r="AD288" s="50"/>
      <c r="AE288" s="379"/>
      <c r="AF288" s="379"/>
      <c r="AG288" s="156"/>
      <c r="AH288" s="60"/>
      <c r="AI288" s="379"/>
      <c r="AJ288" s="379"/>
      <c r="AK288" s="156"/>
      <c r="AL288" s="379"/>
      <c r="AM288" s="50"/>
      <c r="AN288" s="50"/>
    </row>
    <row r="289" spans="1:40" x14ac:dyDescent="0.25">
      <c r="F289" s="381"/>
      <c r="H289" s="381"/>
      <c r="I289" s="381"/>
      <c r="J289" s="221"/>
      <c r="K289" s="464"/>
      <c r="L289" s="381"/>
      <c r="M289" s="381"/>
      <c r="N289" s="381"/>
      <c r="O289" s="381"/>
      <c r="P289" s="381"/>
      <c r="Q289" s="381"/>
      <c r="R289" s="381"/>
      <c r="V289" s="381"/>
      <c r="Y289" s="381"/>
      <c r="Z289" s="464"/>
      <c r="AA289" s="381"/>
      <c r="AB289" s="381"/>
      <c r="AC289" s="381"/>
      <c r="AD289" s="381"/>
      <c r="AE289" s="381"/>
      <c r="AF289" s="381"/>
      <c r="AI289" s="381"/>
      <c r="AJ289" s="381"/>
      <c r="AK289" s="162"/>
      <c r="AL289" s="381"/>
      <c r="AM289" s="50"/>
      <c r="AN289" s="50"/>
    </row>
    <row r="290" spans="1:40" x14ac:dyDescent="0.25">
      <c r="A290" s="53"/>
      <c r="C290" s="54"/>
      <c r="F290" s="379"/>
      <c r="H290" s="379"/>
      <c r="I290" s="379"/>
      <c r="J290" s="65"/>
      <c r="K290" s="59"/>
      <c r="L290" s="379"/>
      <c r="M290" s="379"/>
      <c r="N290" s="50"/>
      <c r="O290" s="50"/>
      <c r="P290" s="379"/>
      <c r="Q290" s="379"/>
      <c r="R290" s="379"/>
      <c r="T290" s="54"/>
      <c r="V290" s="379"/>
      <c r="Y290" s="379"/>
      <c r="Z290" s="59"/>
      <c r="AA290" s="379"/>
      <c r="AB290" s="379"/>
      <c r="AC290" s="50"/>
      <c r="AD290" s="50"/>
      <c r="AE290" s="379"/>
      <c r="AF290" s="379"/>
      <c r="AG290" s="156"/>
      <c r="AH290" s="60"/>
      <c r="AI290" s="379"/>
      <c r="AJ290" s="379"/>
      <c r="AK290" s="156"/>
      <c r="AL290" s="379"/>
      <c r="AM290" s="50"/>
      <c r="AN290" s="50"/>
    </row>
    <row r="291" spans="1:40" x14ac:dyDescent="0.25">
      <c r="F291" s="381"/>
      <c r="H291" s="381"/>
      <c r="I291" s="381"/>
      <c r="J291" s="221"/>
      <c r="K291" s="464"/>
      <c r="L291" s="381"/>
      <c r="M291" s="381"/>
      <c r="N291" s="381"/>
      <c r="O291" s="381"/>
      <c r="P291" s="381"/>
      <c r="Q291" s="381"/>
      <c r="R291" s="381"/>
      <c r="V291" s="381"/>
      <c r="Y291" s="381"/>
      <c r="Z291" s="464"/>
      <c r="AA291" s="381"/>
      <c r="AB291" s="381"/>
      <c r="AC291" s="381"/>
      <c r="AD291" s="381"/>
      <c r="AE291" s="381"/>
      <c r="AF291" s="381"/>
      <c r="AI291" s="381"/>
      <c r="AJ291" s="381"/>
      <c r="AK291" s="162"/>
      <c r="AL291" s="381"/>
      <c r="AM291" s="50"/>
      <c r="AN291" s="50"/>
    </row>
    <row r="292" spans="1:40" x14ac:dyDescent="0.25">
      <c r="A292" s="53"/>
      <c r="C292" s="54"/>
      <c r="F292" s="379"/>
      <c r="H292" s="379"/>
      <c r="I292" s="379"/>
      <c r="J292" s="65"/>
      <c r="K292" s="59"/>
      <c r="L292" s="379"/>
      <c r="M292" s="379"/>
      <c r="N292" s="50"/>
      <c r="O292" s="50"/>
      <c r="P292" s="379"/>
      <c r="Q292" s="379"/>
      <c r="R292" s="379"/>
      <c r="T292" s="54"/>
      <c r="V292" s="379"/>
      <c r="Y292" s="379"/>
      <c r="Z292" s="59"/>
      <c r="AA292" s="379"/>
      <c r="AB292" s="379"/>
      <c r="AC292" s="50"/>
      <c r="AD292" s="50"/>
      <c r="AE292" s="379"/>
      <c r="AF292" s="379"/>
      <c r="AG292" s="156"/>
      <c r="AH292" s="60"/>
      <c r="AI292" s="379"/>
      <c r="AJ292" s="379"/>
      <c r="AK292" s="156"/>
      <c r="AL292" s="379"/>
      <c r="AM292" s="50"/>
      <c r="AN292" s="50"/>
    </row>
    <row r="293" spans="1:40" x14ac:dyDescent="0.25">
      <c r="A293" s="53"/>
      <c r="C293" s="54"/>
      <c r="F293" s="379"/>
      <c r="H293" s="449"/>
      <c r="I293" s="449"/>
      <c r="J293" s="221"/>
      <c r="K293" s="472"/>
      <c r="L293" s="379"/>
      <c r="M293" s="379"/>
      <c r="N293" s="50"/>
      <c r="O293" s="50"/>
      <c r="P293" s="379"/>
      <c r="Q293" s="379"/>
      <c r="R293" s="379"/>
      <c r="T293" s="54"/>
      <c r="V293" s="379"/>
      <c r="Y293" s="379"/>
      <c r="Z293" s="463"/>
      <c r="AA293" s="379"/>
      <c r="AB293" s="379"/>
      <c r="AC293" s="50"/>
      <c r="AD293" s="50"/>
      <c r="AE293" s="379"/>
      <c r="AF293" s="379"/>
      <c r="AG293" s="156"/>
      <c r="AH293" s="60"/>
      <c r="AI293" s="379"/>
      <c r="AJ293" s="379"/>
      <c r="AK293" s="156"/>
      <c r="AL293" s="379"/>
      <c r="AM293" s="50"/>
      <c r="AN293" s="50"/>
    </row>
    <row r="294" spans="1:40" x14ac:dyDescent="0.25">
      <c r="H294" s="381"/>
      <c r="I294" s="381"/>
      <c r="J294" s="221"/>
      <c r="K294" s="464"/>
      <c r="L294" s="381"/>
      <c r="M294" s="381"/>
      <c r="N294" s="381"/>
      <c r="O294" s="381"/>
      <c r="P294" s="381"/>
      <c r="Q294" s="381"/>
      <c r="R294" s="381"/>
      <c r="V294" s="381"/>
      <c r="Y294" s="381"/>
      <c r="Z294" s="464"/>
      <c r="AA294" s="381"/>
      <c r="AB294" s="381"/>
      <c r="AC294" s="381"/>
      <c r="AD294" s="381"/>
      <c r="AE294" s="381"/>
      <c r="AF294" s="381"/>
      <c r="AI294" s="381"/>
      <c r="AJ294" s="381"/>
      <c r="AK294" s="162"/>
      <c r="AL294" s="381"/>
      <c r="AM294" s="50"/>
      <c r="AN294" s="50"/>
    </row>
    <row r="295" spans="1:40" x14ac:dyDescent="0.25">
      <c r="F295" s="381"/>
      <c r="J295" s="77"/>
    </row>
    <row r="296" spans="1:40" x14ac:dyDescent="0.25">
      <c r="A296" s="53"/>
      <c r="C296" s="54"/>
      <c r="F296" s="379"/>
      <c r="H296" s="379"/>
      <c r="I296" s="379"/>
      <c r="J296" s="221"/>
      <c r="K296" s="464"/>
      <c r="L296" s="379"/>
      <c r="M296" s="379"/>
      <c r="N296" s="50"/>
      <c r="O296" s="50"/>
      <c r="P296" s="379"/>
      <c r="Q296" s="379"/>
      <c r="R296" s="379"/>
      <c r="S296" s="379"/>
      <c r="T296" s="54"/>
      <c r="V296" s="379"/>
      <c r="Y296" s="379"/>
      <c r="Z296" s="464"/>
      <c r="AA296" s="379"/>
      <c r="AB296" s="379"/>
      <c r="AC296" s="50"/>
      <c r="AD296" s="50"/>
      <c r="AE296" s="379"/>
      <c r="AF296" s="379"/>
      <c r="AG296" s="156"/>
      <c r="AH296" s="50"/>
      <c r="AI296" s="379"/>
      <c r="AJ296" s="379"/>
      <c r="AK296" s="156"/>
      <c r="AL296" s="379"/>
      <c r="AM296" s="50"/>
      <c r="AN296" s="50"/>
    </row>
    <row r="297" spans="1:40" x14ac:dyDescent="0.25">
      <c r="F297" s="381"/>
      <c r="H297" s="381"/>
      <c r="I297" s="381"/>
      <c r="J297" s="221"/>
      <c r="K297" s="464"/>
      <c r="L297" s="381"/>
      <c r="M297" s="381"/>
      <c r="N297" s="381"/>
      <c r="O297" s="381"/>
      <c r="P297" s="381"/>
      <c r="Q297" s="381"/>
      <c r="R297" s="381"/>
      <c r="S297" s="379"/>
      <c r="V297" s="381"/>
      <c r="Y297" s="381"/>
      <c r="Z297" s="464"/>
      <c r="AA297" s="381"/>
      <c r="AB297" s="381"/>
      <c r="AC297" s="381"/>
      <c r="AD297" s="381"/>
      <c r="AE297" s="381"/>
      <c r="AF297" s="381"/>
      <c r="AI297" s="381"/>
      <c r="AJ297" s="381"/>
      <c r="AK297" s="162"/>
      <c r="AL297" s="381"/>
      <c r="AM297" s="50"/>
      <c r="AN297" s="50"/>
    </row>
    <row r="298" spans="1:40" x14ac:dyDescent="0.25">
      <c r="A298" s="53"/>
      <c r="C298" s="54"/>
      <c r="J298" s="77"/>
      <c r="T298" s="54"/>
    </row>
    <row r="299" spans="1:40" x14ac:dyDescent="0.25">
      <c r="A299" s="53"/>
      <c r="C299" s="54"/>
      <c r="F299" s="379"/>
      <c r="H299" s="379"/>
      <c r="I299" s="379"/>
      <c r="J299" s="77"/>
      <c r="L299" s="379"/>
      <c r="M299" s="379"/>
      <c r="N299" s="50"/>
      <c r="O299" s="50"/>
      <c r="P299" s="449"/>
      <c r="Q299" s="449"/>
      <c r="R299" s="379"/>
      <c r="T299" s="54"/>
      <c r="V299" s="379"/>
      <c r="Y299" s="379"/>
      <c r="AA299" s="379"/>
      <c r="AB299" s="379"/>
      <c r="AC299" s="50"/>
      <c r="AD299" s="50"/>
      <c r="AE299" s="379"/>
      <c r="AF299" s="379"/>
      <c r="AG299" s="156"/>
      <c r="AH299" s="50"/>
      <c r="AI299" s="449"/>
      <c r="AJ299" s="449"/>
      <c r="AK299" s="156"/>
      <c r="AL299" s="379"/>
      <c r="AM299" s="50"/>
      <c r="AN299" s="50"/>
    </row>
    <row r="300" spans="1:40" x14ac:dyDescent="0.25">
      <c r="H300" s="381"/>
      <c r="I300" s="381"/>
      <c r="J300" s="221"/>
      <c r="K300" s="464"/>
      <c r="L300" s="381"/>
      <c r="M300" s="381"/>
      <c r="N300" s="381"/>
      <c r="O300" s="381"/>
      <c r="P300" s="381"/>
      <c r="Q300" s="381"/>
      <c r="R300" s="381"/>
      <c r="V300" s="381"/>
      <c r="Y300" s="381"/>
      <c r="Z300" s="464"/>
      <c r="AA300" s="381"/>
      <c r="AB300" s="381"/>
      <c r="AC300" s="381"/>
      <c r="AD300" s="381"/>
      <c r="AE300" s="381"/>
      <c r="AF300" s="381"/>
      <c r="AI300" s="381"/>
      <c r="AJ300" s="381"/>
      <c r="AK300" s="162"/>
      <c r="AL300" s="381"/>
    </row>
    <row r="301" spans="1:40" x14ac:dyDescent="0.25">
      <c r="F301" s="381"/>
      <c r="J301" s="77"/>
    </row>
    <row r="302" spans="1:40" x14ac:dyDescent="0.25">
      <c r="C302" s="54"/>
      <c r="J302" s="77"/>
      <c r="L302" s="379"/>
      <c r="M302" s="379"/>
      <c r="N302" s="379"/>
      <c r="O302" s="379"/>
      <c r="P302" s="379"/>
      <c r="Q302" s="379"/>
      <c r="R302" s="379"/>
      <c r="S302" s="379"/>
      <c r="T302" s="54"/>
      <c r="AA302" s="379"/>
      <c r="AB302" s="379"/>
      <c r="AC302" s="379"/>
      <c r="AD302" s="379"/>
      <c r="AI302" s="379"/>
      <c r="AJ302" s="379"/>
      <c r="AK302" s="156"/>
      <c r="AL302" s="379"/>
    </row>
    <row r="303" spans="1:40" x14ac:dyDescent="0.25">
      <c r="A303" s="54"/>
      <c r="J303" s="77"/>
    </row>
    <row r="304" spans="1:40" x14ac:dyDescent="0.25">
      <c r="J304" s="65"/>
      <c r="K304" s="53"/>
      <c r="Z304" s="53"/>
    </row>
    <row r="305" spans="1:40" x14ac:dyDescent="0.25">
      <c r="H305" s="54"/>
      <c r="I305" s="54"/>
      <c r="J305" s="77"/>
      <c r="Y305" s="54"/>
    </row>
    <row r="306" spans="1:40" x14ac:dyDescent="0.25">
      <c r="J306" s="65"/>
      <c r="K306" s="53"/>
      <c r="Z306" s="53"/>
    </row>
    <row r="307" spans="1:40" x14ac:dyDescent="0.25">
      <c r="J307" s="77"/>
      <c r="L307" s="54"/>
      <c r="M307" s="54"/>
      <c r="AA307" s="54"/>
      <c r="AB307" s="54"/>
    </row>
    <row r="308" spans="1:40" x14ac:dyDescent="0.25">
      <c r="A308" s="53"/>
      <c r="J308" s="77"/>
      <c r="R308" s="54"/>
      <c r="AK308" s="161"/>
      <c r="AL308" s="54"/>
    </row>
    <row r="309" spans="1:40" x14ac:dyDescent="0.25">
      <c r="A309" s="53"/>
      <c r="J309" s="77"/>
      <c r="R309" s="54"/>
      <c r="AK309" s="161"/>
      <c r="AL309" s="54"/>
    </row>
    <row r="310" spans="1:40" x14ac:dyDescent="0.25">
      <c r="A310" s="54"/>
      <c r="J310" s="77"/>
      <c r="R310" s="54"/>
      <c r="AK310" s="161"/>
      <c r="AL310" s="54"/>
    </row>
    <row r="311" spans="1:40" x14ac:dyDescent="0.25">
      <c r="J311" s="77"/>
      <c r="L311" s="54"/>
      <c r="M311" s="54"/>
      <c r="R311" s="53"/>
      <c r="AA311" s="54"/>
      <c r="AB311" s="54"/>
      <c r="AK311" s="156"/>
      <c r="AL311" s="53"/>
    </row>
    <row r="312" spans="1:40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66"/>
      <c r="K312" s="55"/>
      <c r="L312" s="55"/>
      <c r="M312" s="55"/>
      <c r="N312" s="55"/>
      <c r="O312" s="55"/>
      <c r="P312" s="55"/>
      <c r="Q312" s="55"/>
      <c r="R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154"/>
      <c r="AH312" s="55"/>
      <c r="AI312" s="55"/>
      <c r="AJ312" s="55"/>
      <c r="AK312" s="154"/>
      <c r="AL312" s="55"/>
      <c r="AM312" s="55"/>
      <c r="AN312" s="55"/>
    </row>
    <row r="313" spans="1:40" x14ac:dyDescent="0.25">
      <c r="J313" s="77"/>
      <c r="L313" s="56"/>
      <c r="M313" s="56"/>
      <c r="N313" s="56"/>
      <c r="O313" s="56"/>
      <c r="R313" s="56"/>
      <c r="AA313" s="56"/>
      <c r="AB313" s="56"/>
      <c r="AC313" s="56"/>
      <c r="AD313" s="56"/>
      <c r="AE313" s="56"/>
      <c r="AF313" s="56"/>
      <c r="AG313" s="155"/>
      <c r="AH313" s="56"/>
      <c r="AK313" s="155"/>
      <c r="AL313" s="56"/>
      <c r="AM313" s="56"/>
      <c r="AN313" s="56"/>
    </row>
    <row r="314" spans="1:40" x14ac:dyDescent="0.25">
      <c r="J314" s="77"/>
      <c r="L314" s="56"/>
      <c r="M314" s="56"/>
      <c r="N314" s="56"/>
      <c r="O314" s="56"/>
      <c r="R314" s="56"/>
      <c r="Z314" s="56"/>
      <c r="AA314" s="56"/>
      <c r="AB314" s="56"/>
      <c r="AC314" s="56"/>
      <c r="AD314" s="56"/>
      <c r="AE314" s="56"/>
      <c r="AF314" s="56"/>
      <c r="AG314" s="155"/>
      <c r="AH314" s="56"/>
      <c r="AK314" s="155"/>
      <c r="AL314" s="56"/>
      <c r="AM314" s="56"/>
      <c r="AN314" s="56"/>
    </row>
    <row r="315" spans="1:40" x14ac:dyDescent="0.25">
      <c r="A315" s="56"/>
      <c r="C315" s="56"/>
      <c r="D315" s="56"/>
      <c r="E315" s="56"/>
      <c r="F315" s="56"/>
      <c r="J315" s="67"/>
      <c r="K315" s="56"/>
      <c r="L315" s="56"/>
      <c r="M315" s="56"/>
      <c r="N315" s="56"/>
      <c r="O315" s="56"/>
      <c r="P315" s="56"/>
      <c r="Q315" s="56"/>
      <c r="R315" s="56"/>
      <c r="T315" s="56"/>
      <c r="U315" s="56"/>
      <c r="V315" s="56"/>
      <c r="Z315" s="56"/>
      <c r="AA315" s="56"/>
      <c r="AB315" s="56"/>
      <c r="AC315" s="56"/>
      <c r="AD315" s="56"/>
      <c r="AE315" s="56"/>
      <c r="AF315" s="56"/>
      <c r="AG315" s="155"/>
      <c r="AH315" s="56"/>
      <c r="AI315" s="56"/>
      <c r="AJ315" s="56"/>
      <c r="AK315" s="155"/>
      <c r="AL315" s="56"/>
      <c r="AM315" s="56"/>
      <c r="AN315" s="56"/>
    </row>
    <row r="316" spans="1:40" x14ac:dyDescent="0.25">
      <c r="A316" s="56"/>
      <c r="C316" s="56"/>
      <c r="D316" s="56"/>
      <c r="E316" s="56"/>
      <c r="F316" s="56"/>
      <c r="H316" s="56"/>
      <c r="I316" s="56"/>
      <c r="J316" s="67"/>
      <c r="K316" s="56"/>
      <c r="L316" s="56"/>
      <c r="M316" s="56"/>
      <c r="N316" s="56"/>
      <c r="O316" s="56"/>
      <c r="P316" s="56"/>
      <c r="Q316" s="56"/>
      <c r="R316" s="56"/>
      <c r="T316" s="56"/>
      <c r="U316" s="56"/>
      <c r="V316" s="56"/>
      <c r="Y316" s="56"/>
      <c r="Z316" s="56"/>
      <c r="AA316" s="56"/>
      <c r="AB316" s="56"/>
      <c r="AC316" s="56"/>
      <c r="AD316" s="56"/>
      <c r="AE316" s="56"/>
      <c r="AF316" s="56"/>
      <c r="AG316" s="155"/>
      <c r="AH316" s="56"/>
      <c r="AI316" s="56"/>
      <c r="AJ316" s="56"/>
      <c r="AK316" s="155"/>
      <c r="AL316" s="56"/>
      <c r="AM316" s="56"/>
      <c r="AN316" s="56"/>
    </row>
    <row r="317" spans="1:40" x14ac:dyDescent="0.25">
      <c r="C317" s="56"/>
      <c r="D317" s="56"/>
      <c r="E317" s="56"/>
      <c r="F317" s="56"/>
      <c r="H317" s="56"/>
      <c r="I317" s="56"/>
      <c r="J317" s="67"/>
      <c r="K317" s="56"/>
      <c r="L317" s="56"/>
      <c r="M317" s="56"/>
      <c r="N317" s="56"/>
      <c r="O317" s="56"/>
      <c r="P317" s="56"/>
      <c r="Q317" s="56"/>
      <c r="R317" s="56"/>
      <c r="T317" s="56"/>
      <c r="U317" s="56"/>
      <c r="V317" s="56"/>
      <c r="Y317" s="56"/>
      <c r="Z317" s="56"/>
      <c r="AA317" s="56"/>
      <c r="AB317" s="56"/>
      <c r="AC317" s="56"/>
      <c r="AD317" s="56"/>
      <c r="AE317" s="56"/>
      <c r="AF317" s="56"/>
      <c r="AG317" s="155"/>
      <c r="AH317" s="56"/>
      <c r="AI317" s="56"/>
      <c r="AJ317" s="56"/>
      <c r="AK317" s="155"/>
      <c r="AL317" s="56"/>
      <c r="AM317" s="56"/>
      <c r="AN317" s="56"/>
    </row>
    <row r="318" spans="1:40" x14ac:dyDescent="0.25">
      <c r="A318" s="55"/>
      <c r="B318" s="55"/>
      <c r="C318" s="55"/>
      <c r="D318" s="55"/>
      <c r="E318" s="55"/>
      <c r="F318" s="55"/>
      <c r="G318" s="55"/>
      <c r="H318" s="55"/>
      <c r="I318" s="55"/>
      <c r="J318" s="66"/>
      <c r="K318" s="55"/>
      <c r="L318" s="55"/>
      <c r="M318" s="55"/>
      <c r="N318" s="55"/>
      <c r="O318" s="55"/>
      <c r="P318" s="55"/>
      <c r="Q318" s="55"/>
      <c r="R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154"/>
      <c r="AH318" s="55"/>
      <c r="AI318" s="55"/>
      <c r="AJ318" s="55"/>
      <c r="AK318" s="154"/>
      <c r="AL318" s="55"/>
      <c r="AM318" s="55"/>
      <c r="AN318" s="55"/>
    </row>
    <row r="319" spans="1:40" x14ac:dyDescent="0.25">
      <c r="H319" s="56"/>
      <c r="I319" s="56"/>
      <c r="J319" s="67"/>
      <c r="K319" s="56"/>
      <c r="L319" s="56"/>
      <c r="M319" s="56"/>
      <c r="N319" s="56"/>
      <c r="O319" s="56"/>
      <c r="P319" s="56"/>
      <c r="Q319" s="56"/>
      <c r="R319" s="56"/>
      <c r="Y319" s="56"/>
      <c r="Z319" s="56"/>
      <c r="AA319" s="56"/>
      <c r="AB319" s="56"/>
      <c r="AC319" s="56"/>
      <c r="AD319" s="56"/>
      <c r="AE319" s="56"/>
      <c r="AF319" s="56"/>
      <c r="AG319" s="155"/>
      <c r="AH319" s="56"/>
      <c r="AI319" s="56"/>
      <c r="AJ319" s="56"/>
      <c r="AK319" s="155"/>
      <c r="AL319" s="56"/>
      <c r="AM319" s="56"/>
      <c r="AN319" s="56"/>
    </row>
    <row r="320" spans="1:40" x14ac:dyDescent="0.25">
      <c r="A320" s="53"/>
      <c r="C320" s="54"/>
      <c r="D320" s="54"/>
      <c r="E320" s="54"/>
      <c r="J320" s="77"/>
      <c r="T320" s="54"/>
      <c r="U320" s="54"/>
    </row>
    <row r="321" spans="1:40" x14ac:dyDescent="0.25">
      <c r="D321" s="54"/>
      <c r="E321" s="54"/>
      <c r="J321" s="77"/>
      <c r="U321" s="54"/>
    </row>
    <row r="322" spans="1:40" x14ac:dyDescent="0.25">
      <c r="J322" s="77"/>
    </row>
    <row r="323" spans="1:40" x14ac:dyDescent="0.25">
      <c r="A323" s="53"/>
      <c r="C323" s="54"/>
      <c r="J323" s="77"/>
      <c r="T323" s="54"/>
    </row>
    <row r="324" spans="1:40" x14ac:dyDescent="0.25">
      <c r="A324" s="53"/>
      <c r="C324" s="54"/>
      <c r="F324" s="449"/>
      <c r="H324" s="449"/>
      <c r="I324" s="449"/>
      <c r="J324" s="221"/>
      <c r="K324" s="221"/>
      <c r="L324" s="379"/>
      <c r="M324" s="379"/>
      <c r="N324" s="50"/>
      <c r="O324" s="50"/>
      <c r="P324" s="379"/>
      <c r="Q324" s="379"/>
      <c r="R324" s="379"/>
      <c r="T324" s="54"/>
      <c r="V324" s="449"/>
      <c r="W324" s="379"/>
      <c r="X324" s="379"/>
      <c r="Y324" s="449"/>
      <c r="Z324" s="221"/>
      <c r="AA324" s="379"/>
      <c r="AB324" s="379"/>
      <c r="AC324" s="50"/>
      <c r="AD324" s="50"/>
      <c r="AE324" s="379"/>
      <c r="AF324" s="379"/>
      <c r="AG324" s="156"/>
      <c r="AH324" s="60"/>
      <c r="AI324" s="379"/>
      <c r="AJ324" s="379"/>
      <c r="AK324" s="156"/>
      <c r="AL324" s="379"/>
      <c r="AM324" s="50"/>
      <c r="AN324" s="50"/>
    </row>
    <row r="325" spans="1:40" x14ac:dyDescent="0.25">
      <c r="A325" s="53"/>
      <c r="C325" s="54"/>
      <c r="F325" s="379"/>
      <c r="H325" s="379"/>
      <c r="I325" s="379"/>
      <c r="J325" s="221"/>
      <c r="K325" s="464"/>
      <c r="L325" s="379"/>
      <c r="M325" s="379"/>
      <c r="N325" s="50"/>
      <c r="O325" s="50"/>
      <c r="P325" s="379"/>
      <c r="Q325" s="379"/>
      <c r="R325" s="379"/>
      <c r="T325" s="54"/>
      <c r="V325" s="449"/>
      <c r="W325" s="379"/>
      <c r="X325" s="379"/>
      <c r="Y325" s="449"/>
      <c r="Z325" s="464"/>
      <c r="AA325" s="379"/>
      <c r="AB325" s="379"/>
      <c r="AC325" s="50"/>
      <c r="AD325" s="50"/>
      <c r="AE325" s="379"/>
      <c r="AF325" s="379"/>
      <c r="AG325" s="156"/>
      <c r="AH325" s="60"/>
      <c r="AI325" s="379"/>
      <c r="AJ325" s="379"/>
      <c r="AK325" s="156"/>
      <c r="AL325" s="379"/>
      <c r="AM325" s="50"/>
      <c r="AN325" s="50"/>
    </row>
    <row r="326" spans="1:40" x14ac:dyDescent="0.25">
      <c r="A326" s="53"/>
      <c r="C326" s="54"/>
      <c r="F326" s="449"/>
      <c r="H326" s="449"/>
      <c r="I326" s="449"/>
      <c r="J326" s="221"/>
      <c r="K326" s="221"/>
      <c r="L326" s="379"/>
      <c r="M326" s="379"/>
      <c r="N326" s="50"/>
      <c r="O326" s="50"/>
      <c r="P326" s="379"/>
      <c r="Q326" s="379"/>
      <c r="R326" s="379"/>
      <c r="T326" s="54"/>
      <c r="V326" s="449"/>
      <c r="W326" s="379"/>
      <c r="X326" s="379"/>
      <c r="Y326" s="449"/>
      <c r="Z326" s="221"/>
      <c r="AA326" s="379"/>
      <c r="AB326" s="379"/>
      <c r="AC326" s="50"/>
      <c r="AD326" s="50"/>
      <c r="AE326" s="379"/>
      <c r="AF326" s="379"/>
      <c r="AG326" s="156"/>
      <c r="AH326" s="60"/>
      <c r="AI326" s="379"/>
      <c r="AJ326" s="379"/>
      <c r="AK326" s="156"/>
      <c r="AL326" s="379"/>
      <c r="AM326" s="50"/>
      <c r="AN326" s="50"/>
    </row>
    <row r="327" spans="1:40" x14ac:dyDescent="0.25">
      <c r="A327" s="53"/>
      <c r="C327" s="54"/>
      <c r="F327" s="449"/>
      <c r="H327" s="449"/>
      <c r="I327" s="449"/>
      <c r="J327" s="221"/>
      <c r="K327" s="221"/>
      <c r="L327" s="379"/>
      <c r="M327" s="379"/>
      <c r="N327" s="50"/>
      <c r="O327" s="50"/>
      <c r="P327" s="379"/>
      <c r="Q327" s="379"/>
      <c r="R327" s="379"/>
      <c r="T327" s="54"/>
      <c r="V327" s="449"/>
      <c r="W327" s="379"/>
      <c r="X327" s="379"/>
      <c r="Y327" s="449"/>
      <c r="Z327" s="221"/>
      <c r="AA327" s="379"/>
      <c r="AB327" s="379"/>
      <c r="AC327" s="50"/>
      <c r="AD327" s="50"/>
      <c r="AE327" s="379"/>
      <c r="AF327" s="379"/>
      <c r="AG327" s="156"/>
      <c r="AH327" s="60"/>
      <c r="AI327" s="379"/>
      <c r="AJ327" s="379"/>
      <c r="AK327" s="156"/>
      <c r="AL327" s="379"/>
      <c r="AM327" s="50"/>
      <c r="AN327" s="50"/>
    </row>
    <row r="328" spans="1:40" x14ac:dyDescent="0.25">
      <c r="A328" s="53"/>
      <c r="C328" s="54"/>
      <c r="F328" s="449"/>
      <c r="H328" s="449"/>
      <c r="I328" s="449"/>
      <c r="J328" s="221"/>
      <c r="K328" s="221"/>
      <c r="L328" s="379"/>
      <c r="M328" s="379"/>
      <c r="N328" s="50"/>
      <c r="O328" s="50"/>
      <c r="P328" s="379"/>
      <c r="Q328" s="379"/>
      <c r="R328" s="379"/>
      <c r="T328" s="54"/>
      <c r="V328" s="449"/>
      <c r="W328" s="379"/>
      <c r="X328" s="379"/>
      <c r="Y328" s="449"/>
      <c r="Z328" s="221"/>
      <c r="AA328" s="379"/>
      <c r="AB328" s="379"/>
      <c r="AC328" s="50"/>
      <c r="AD328" s="50"/>
      <c r="AE328" s="379"/>
      <c r="AF328" s="379"/>
      <c r="AG328" s="156"/>
      <c r="AH328" s="60"/>
      <c r="AI328" s="379"/>
      <c r="AJ328" s="379"/>
      <c r="AK328" s="156"/>
      <c r="AL328" s="379"/>
      <c r="AM328" s="50"/>
      <c r="AN328" s="50"/>
    </row>
    <row r="329" spans="1:40" x14ac:dyDescent="0.25">
      <c r="A329" s="53"/>
      <c r="C329" s="54"/>
      <c r="F329" s="379"/>
      <c r="H329" s="379"/>
      <c r="I329" s="379"/>
      <c r="J329" s="221"/>
      <c r="K329" s="221"/>
      <c r="L329" s="379"/>
      <c r="M329" s="379"/>
      <c r="N329" s="50"/>
      <c r="O329" s="50"/>
      <c r="P329" s="379"/>
      <c r="Q329" s="379"/>
      <c r="R329" s="379"/>
      <c r="T329" s="54"/>
      <c r="V329" s="449"/>
      <c r="W329" s="379"/>
      <c r="X329" s="379"/>
      <c r="Y329" s="449"/>
      <c r="Z329" s="221"/>
      <c r="AA329" s="379"/>
      <c r="AB329" s="379"/>
      <c r="AC329" s="50"/>
      <c r="AD329" s="50"/>
      <c r="AE329" s="379"/>
      <c r="AF329" s="379"/>
      <c r="AG329" s="156"/>
      <c r="AH329" s="60"/>
      <c r="AI329" s="379"/>
      <c r="AJ329" s="379"/>
      <c r="AK329" s="156"/>
      <c r="AL329" s="379"/>
      <c r="AM329" s="50"/>
      <c r="AN329" s="50"/>
    </row>
    <row r="330" spans="1:40" x14ac:dyDescent="0.25">
      <c r="A330" s="53"/>
      <c r="C330" s="54"/>
      <c r="F330" s="379"/>
      <c r="H330" s="379"/>
      <c r="I330" s="379"/>
      <c r="J330" s="221"/>
      <c r="K330" s="221"/>
      <c r="L330" s="379"/>
      <c r="M330" s="379"/>
      <c r="N330" s="50"/>
      <c r="O330" s="50"/>
      <c r="P330" s="379"/>
      <c r="Q330" s="379"/>
      <c r="R330" s="379"/>
      <c r="T330" s="54"/>
      <c r="V330" s="449"/>
      <c r="W330" s="379"/>
      <c r="X330" s="379"/>
      <c r="Y330" s="449"/>
      <c r="Z330" s="221"/>
      <c r="AA330" s="379"/>
      <c r="AB330" s="379"/>
      <c r="AC330" s="50"/>
      <c r="AD330" s="50"/>
      <c r="AE330" s="379"/>
      <c r="AF330" s="379"/>
      <c r="AG330" s="156"/>
      <c r="AH330" s="60"/>
      <c r="AI330" s="379"/>
      <c r="AJ330" s="379"/>
      <c r="AK330" s="156"/>
      <c r="AL330" s="379"/>
      <c r="AM330" s="50"/>
      <c r="AN330" s="50"/>
    </row>
    <row r="331" spans="1:40" x14ac:dyDescent="0.25">
      <c r="F331" s="63"/>
      <c r="H331" s="479"/>
      <c r="I331" s="479"/>
      <c r="J331" s="221"/>
      <c r="K331" s="221"/>
      <c r="L331" s="63"/>
      <c r="M331" s="63"/>
      <c r="N331" s="381"/>
      <c r="O331" s="381"/>
      <c r="P331" s="63"/>
      <c r="Q331" s="63"/>
      <c r="R331" s="63"/>
      <c r="V331" s="63"/>
      <c r="W331" s="379"/>
      <c r="X331" s="379"/>
      <c r="Y331" s="63"/>
      <c r="Z331" s="221"/>
      <c r="AA331" s="63"/>
      <c r="AB331" s="63"/>
      <c r="AC331" s="64"/>
      <c r="AD331" s="64"/>
      <c r="AE331" s="63"/>
      <c r="AF331" s="63"/>
      <c r="AG331" s="156"/>
      <c r="AH331" s="60"/>
      <c r="AI331" s="63"/>
      <c r="AJ331" s="63"/>
      <c r="AK331" s="154"/>
      <c r="AL331" s="63"/>
      <c r="AM331" s="50"/>
      <c r="AN331" s="50"/>
    </row>
    <row r="332" spans="1:40" x14ac:dyDescent="0.25">
      <c r="A332" s="53"/>
      <c r="C332" s="54"/>
      <c r="F332" s="379"/>
      <c r="H332" s="379"/>
      <c r="I332" s="379"/>
      <c r="J332" s="221"/>
      <c r="K332" s="221"/>
      <c r="L332" s="379"/>
      <c r="M332" s="379"/>
      <c r="N332" s="60"/>
      <c r="O332" s="60"/>
      <c r="P332" s="379"/>
      <c r="Q332" s="379"/>
      <c r="R332" s="379"/>
      <c r="T332" s="56"/>
      <c r="V332" s="379"/>
      <c r="W332" s="379"/>
      <c r="X332" s="379"/>
      <c r="Y332" s="379"/>
      <c r="Z332" s="221"/>
      <c r="AA332" s="379"/>
      <c r="AB332" s="379"/>
      <c r="AC332" s="60"/>
      <c r="AD332" s="60"/>
      <c r="AE332" s="379"/>
      <c r="AF332" s="379"/>
      <c r="AG332" s="156"/>
      <c r="AH332" s="60"/>
      <c r="AI332" s="379"/>
      <c r="AJ332" s="379"/>
      <c r="AK332" s="156"/>
      <c r="AL332" s="379"/>
      <c r="AM332" s="50"/>
      <c r="AN332" s="50"/>
    </row>
    <row r="333" spans="1:40" x14ac:dyDescent="0.25">
      <c r="F333" s="55"/>
      <c r="H333" s="55"/>
      <c r="I333" s="55"/>
      <c r="J333" s="77"/>
      <c r="L333" s="55"/>
      <c r="M333" s="55"/>
      <c r="N333" s="64"/>
      <c r="O333" s="64"/>
      <c r="P333" s="63"/>
      <c r="Q333" s="63"/>
      <c r="R333" s="63"/>
      <c r="V333" s="63"/>
      <c r="Y333" s="63"/>
      <c r="Z333" s="464"/>
      <c r="AA333" s="63"/>
      <c r="AB333" s="63"/>
      <c r="AC333" s="63"/>
      <c r="AD333" s="63"/>
      <c r="AE333" s="63"/>
      <c r="AF333" s="63"/>
      <c r="AI333" s="63"/>
      <c r="AJ333" s="63"/>
      <c r="AK333" s="154"/>
      <c r="AL333" s="63"/>
      <c r="AM333" s="64"/>
      <c r="AN333" s="64"/>
    </row>
    <row r="334" spans="1:40" x14ac:dyDescent="0.25">
      <c r="J334" s="77"/>
      <c r="AI334" s="53"/>
      <c r="AJ334" s="53"/>
    </row>
    <row r="335" spans="1:40" x14ac:dyDescent="0.25">
      <c r="J335" s="77"/>
    </row>
    <row r="336" spans="1:40" x14ac:dyDescent="0.25">
      <c r="J336" s="77"/>
    </row>
    <row r="337" spans="1:40" x14ac:dyDescent="0.25">
      <c r="J337" s="77"/>
    </row>
    <row r="338" spans="1:40" x14ac:dyDescent="0.25">
      <c r="J338" s="77"/>
      <c r="N338" s="379"/>
      <c r="O338" s="379"/>
      <c r="P338" s="379"/>
      <c r="Q338" s="379"/>
      <c r="R338" s="379"/>
      <c r="V338" s="379"/>
      <c r="Y338" s="379"/>
      <c r="Z338" s="59"/>
      <c r="AA338" s="379"/>
      <c r="AB338" s="379"/>
      <c r="AC338" s="50"/>
      <c r="AD338" s="50"/>
      <c r="AE338" s="379"/>
      <c r="AF338" s="379"/>
      <c r="AG338" s="156"/>
      <c r="AH338" s="60"/>
      <c r="AI338" s="379"/>
      <c r="AJ338" s="379"/>
      <c r="AK338" s="156"/>
      <c r="AL338" s="379"/>
      <c r="AM338" s="50"/>
      <c r="AN338" s="50"/>
    </row>
    <row r="339" spans="1:40" x14ac:dyDescent="0.25">
      <c r="A339" s="53"/>
      <c r="C339" s="54"/>
      <c r="D339" s="54"/>
      <c r="E339" s="54"/>
      <c r="J339" s="65"/>
      <c r="K339" s="65"/>
      <c r="T339" s="54"/>
      <c r="U339" s="54"/>
      <c r="Z339" s="65"/>
      <c r="AE339" s="379"/>
      <c r="AF339" s="379"/>
      <c r="AI339" s="379"/>
      <c r="AJ339" s="379"/>
      <c r="AK339" s="156"/>
      <c r="AL339" s="379"/>
      <c r="AM339" s="50"/>
      <c r="AN339" s="50"/>
    </row>
    <row r="340" spans="1:40" x14ac:dyDescent="0.25">
      <c r="D340" s="54"/>
      <c r="E340" s="54"/>
      <c r="F340" s="379"/>
      <c r="H340" s="379"/>
      <c r="I340" s="379"/>
      <c r="J340" s="221"/>
      <c r="K340" s="221"/>
      <c r="L340" s="379"/>
      <c r="M340" s="379"/>
      <c r="N340" s="50"/>
      <c r="O340" s="50"/>
      <c r="P340" s="379"/>
      <c r="Q340" s="379"/>
      <c r="R340" s="379"/>
      <c r="U340" s="54"/>
      <c r="V340" s="379"/>
      <c r="Y340" s="379"/>
      <c r="Z340" s="221"/>
      <c r="AA340" s="379"/>
      <c r="AB340" s="379"/>
      <c r="AC340" s="50"/>
      <c r="AD340" s="50"/>
      <c r="AE340" s="379"/>
      <c r="AF340" s="379"/>
      <c r="AG340" s="156"/>
      <c r="AH340" s="60"/>
      <c r="AI340" s="379"/>
      <c r="AJ340" s="379"/>
      <c r="AK340" s="156"/>
      <c r="AL340" s="379"/>
      <c r="AM340" s="50"/>
      <c r="AN340" s="50"/>
    </row>
    <row r="341" spans="1:40" x14ac:dyDescent="0.25">
      <c r="F341" s="379"/>
      <c r="H341" s="379"/>
      <c r="I341" s="379"/>
      <c r="J341" s="221"/>
      <c r="K341" s="464"/>
      <c r="L341" s="379"/>
      <c r="M341" s="379"/>
      <c r="N341" s="379"/>
      <c r="O341" s="379"/>
      <c r="P341" s="379"/>
      <c r="Q341" s="379"/>
      <c r="R341" s="379"/>
      <c r="V341" s="379"/>
      <c r="Y341" s="379"/>
      <c r="Z341" s="464"/>
      <c r="AA341" s="379"/>
      <c r="AB341" s="379"/>
      <c r="AC341" s="379"/>
      <c r="AD341" s="379"/>
      <c r="AE341" s="379"/>
      <c r="AF341" s="379"/>
      <c r="AG341" s="156"/>
      <c r="AH341" s="60"/>
      <c r="AI341" s="449"/>
      <c r="AJ341" s="449"/>
      <c r="AK341" s="156"/>
      <c r="AL341" s="379"/>
      <c r="AM341" s="50"/>
      <c r="AN341" s="50"/>
    </row>
    <row r="342" spans="1:40" x14ac:dyDescent="0.25">
      <c r="A342" s="53"/>
      <c r="C342" s="54"/>
      <c r="F342" s="449"/>
      <c r="H342" s="449"/>
      <c r="I342" s="449"/>
      <c r="J342" s="221"/>
      <c r="K342" s="463"/>
      <c r="L342" s="379"/>
      <c r="M342" s="379"/>
      <c r="N342" s="50"/>
      <c r="O342" s="50"/>
      <c r="P342" s="379"/>
      <c r="Q342" s="379"/>
      <c r="R342" s="379"/>
      <c r="T342" s="54"/>
      <c r="V342" s="449"/>
      <c r="Y342" s="449"/>
      <c r="Z342" s="463"/>
      <c r="AA342" s="379"/>
      <c r="AB342" s="379"/>
      <c r="AC342" s="50"/>
      <c r="AD342" s="50"/>
      <c r="AE342" s="379"/>
      <c r="AF342" s="379"/>
      <c r="AG342" s="156"/>
      <c r="AH342" s="60"/>
      <c r="AI342" s="379"/>
      <c r="AJ342" s="379"/>
      <c r="AK342" s="156"/>
      <c r="AL342" s="379"/>
      <c r="AM342" s="50"/>
      <c r="AN342" s="50"/>
    </row>
    <row r="343" spans="1:40" x14ac:dyDescent="0.25">
      <c r="F343" s="55"/>
      <c r="H343" s="55"/>
      <c r="I343" s="55"/>
      <c r="J343" s="77"/>
      <c r="L343" s="55"/>
      <c r="M343" s="55"/>
      <c r="N343" s="55"/>
      <c r="O343" s="55"/>
      <c r="P343" s="55"/>
      <c r="Q343" s="55"/>
      <c r="R343" s="55"/>
      <c r="V343" s="55"/>
      <c r="Y343" s="55"/>
      <c r="AA343" s="55"/>
      <c r="AB343" s="55"/>
      <c r="AC343" s="55"/>
      <c r="AD343" s="55"/>
      <c r="AE343" s="55"/>
      <c r="AF343" s="55"/>
      <c r="AG343" s="154"/>
      <c r="AH343" s="55"/>
      <c r="AI343" s="55"/>
      <c r="AJ343" s="55"/>
      <c r="AK343" s="154"/>
      <c r="AL343" s="55"/>
      <c r="AM343" s="55"/>
      <c r="AN343" s="55"/>
    </row>
    <row r="344" spans="1:40" x14ac:dyDescent="0.25">
      <c r="A344" s="53"/>
      <c r="C344" s="56"/>
      <c r="F344" s="449"/>
      <c r="H344" s="449"/>
      <c r="I344" s="449"/>
      <c r="J344" s="221"/>
      <c r="K344" s="461"/>
      <c r="L344" s="449"/>
      <c r="M344" s="449"/>
      <c r="N344" s="50"/>
      <c r="O344" s="50"/>
      <c r="P344" s="449"/>
      <c r="Q344" s="449"/>
      <c r="R344" s="449"/>
      <c r="T344" s="56"/>
      <c r="V344" s="379"/>
      <c r="Y344" s="379"/>
      <c r="Z344" s="59"/>
      <c r="AA344" s="379"/>
      <c r="AB344" s="379"/>
      <c r="AC344" s="50"/>
      <c r="AD344" s="50"/>
      <c r="AE344" s="53"/>
      <c r="AF344" s="53"/>
      <c r="AG344" s="156"/>
      <c r="AH344" s="60"/>
      <c r="AI344" s="379"/>
      <c r="AJ344" s="379"/>
      <c r="AK344" s="156"/>
      <c r="AL344" s="379"/>
      <c r="AM344" s="50"/>
      <c r="AN344" s="50"/>
    </row>
    <row r="345" spans="1:40" x14ac:dyDescent="0.25">
      <c r="F345" s="63"/>
      <c r="H345" s="63"/>
      <c r="I345" s="63"/>
      <c r="J345" s="221"/>
      <c r="K345" s="464"/>
      <c r="L345" s="63"/>
      <c r="M345" s="63"/>
      <c r="N345" s="63"/>
      <c r="O345" s="63"/>
      <c r="P345" s="63"/>
      <c r="Q345" s="63"/>
      <c r="R345" s="63"/>
      <c r="V345" s="55"/>
      <c r="Y345" s="55"/>
      <c r="AA345" s="55"/>
      <c r="AB345" s="55"/>
      <c r="AC345" s="55"/>
      <c r="AD345" s="55"/>
      <c r="AE345" s="55"/>
      <c r="AF345" s="55"/>
      <c r="AG345" s="154"/>
      <c r="AH345" s="55"/>
      <c r="AI345" s="55"/>
      <c r="AJ345" s="55"/>
      <c r="AK345" s="154"/>
      <c r="AL345" s="55"/>
      <c r="AM345" s="55"/>
      <c r="AN345" s="55"/>
    </row>
    <row r="346" spans="1:40" x14ac:dyDescent="0.25">
      <c r="F346" s="449"/>
      <c r="H346" s="449"/>
      <c r="I346" s="449"/>
      <c r="J346" s="221"/>
      <c r="K346" s="477"/>
      <c r="L346" s="379"/>
      <c r="M346" s="379"/>
      <c r="N346" s="50"/>
      <c r="O346" s="50"/>
      <c r="P346" s="379"/>
      <c r="Q346" s="379"/>
      <c r="R346" s="379"/>
    </row>
    <row r="347" spans="1:40" x14ac:dyDescent="0.25">
      <c r="A347" s="54"/>
      <c r="F347" s="449"/>
      <c r="H347" s="449"/>
      <c r="I347" s="449"/>
      <c r="J347" s="221"/>
      <c r="K347" s="461"/>
      <c r="L347" s="379"/>
      <c r="M347" s="379"/>
      <c r="N347" s="50"/>
      <c r="O347" s="50"/>
      <c r="P347" s="379"/>
      <c r="Q347" s="379"/>
      <c r="R347" s="379"/>
    </row>
    <row r="348" spans="1:40" x14ac:dyDescent="0.25">
      <c r="F348" s="449"/>
      <c r="H348" s="449"/>
      <c r="I348" s="449"/>
      <c r="J348" s="221"/>
      <c r="K348" s="461"/>
      <c r="L348" s="379"/>
      <c r="M348" s="379"/>
      <c r="N348" s="50"/>
      <c r="O348" s="50"/>
      <c r="P348" s="379"/>
      <c r="Q348" s="379"/>
      <c r="R348" s="379"/>
    </row>
    <row r="349" spans="1:40" x14ac:dyDescent="0.25">
      <c r="A349" s="54"/>
      <c r="J349" s="77"/>
    </row>
    <row r="350" spans="1:40" x14ac:dyDescent="0.25">
      <c r="J350" s="77"/>
    </row>
    <row r="351" spans="1:40" x14ac:dyDescent="0.25">
      <c r="J351" s="65"/>
      <c r="K351" s="53"/>
      <c r="Z351" s="53"/>
    </row>
    <row r="352" spans="1:40" x14ac:dyDescent="0.25">
      <c r="H352" s="54"/>
      <c r="I352" s="54"/>
      <c r="J352" s="77"/>
      <c r="Y352" s="54"/>
    </row>
    <row r="353" spans="1:40" x14ac:dyDescent="0.25">
      <c r="J353" s="65"/>
      <c r="K353" s="53"/>
      <c r="Z353" s="53"/>
    </row>
    <row r="354" spans="1:40" x14ac:dyDescent="0.25">
      <c r="J354" s="77"/>
      <c r="L354" s="54"/>
      <c r="M354" s="54"/>
      <c r="AA354" s="54"/>
      <c r="AB354" s="54"/>
    </row>
    <row r="355" spans="1:40" x14ac:dyDescent="0.25">
      <c r="A355" s="53"/>
      <c r="J355" s="77"/>
      <c r="R355" s="54"/>
      <c r="AK355" s="161"/>
      <c r="AL355" s="54"/>
    </row>
    <row r="356" spans="1:40" x14ac:dyDescent="0.25">
      <c r="A356" s="53"/>
      <c r="J356" s="77"/>
      <c r="R356" s="54"/>
      <c r="AK356" s="161"/>
      <c r="AL356" s="54"/>
    </row>
    <row r="357" spans="1:40" x14ac:dyDescent="0.25">
      <c r="A357" s="54"/>
      <c r="J357" s="77"/>
      <c r="R357" s="54"/>
      <c r="AK357" s="161"/>
      <c r="AL357" s="54"/>
    </row>
    <row r="358" spans="1:40" x14ac:dyDescent="0.25">
      <c r="J358" s="77"/>
      <c r="L358" s="54"/>
      <c r="M358" s="54"/>
      <c r="R358" s="53"/>
      <c r="AA358" s="54"/>
      <c r="AB358" s="54"/>
      <c r="AK358" s="156"/>
      <c r="AL358" s="53"/>
    </row>
    <row r="359" spans="1:40" x14ac:dyDescent="0.25">
      <c r="A359" s="55"/>
      <c r="B359" s="55"/>
      <c r="C359" s="55"/>
      <c r="D359" s="55"/>
      <c r="E359" s="55"/>
      <c r="F359" s="55"/>
      <c r="G359" s="55"/>
      <c r="H359" s="55"/>
      <c r="I359" s="55"/>
      <c r="J359" s="66"/>
      <c r="K359" s="55"/>
      <c r="L359" s="55"/>
      <c r="M359" s="55"/>
      <c r="N359" s="55"/>
      <c r="O359" s="55"/>
      <c r="P359" s="55"/>
      <c r="Q359" s="55"/>
      <c r="R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154"/>
      <c r="AH359" s="55"/>
      <c r="AI359" s="55"/>
      <c r="AJ359" s="55"/>
      <c r="AK359" s="154"/>
      <c r="AL359" s="55"/>
      <c r="AM359" s="55"/>
      <c r="AN359" s="55"/>
    </row>
    <row r="360" spans="1:40" x14ac:dyDescent="0.25">
      <c r="J360" s="77"/>
      <c r="L360" s="56"/>
      <c r="M360" s="56"/>
      <c r="N360" s="56"/>
      <c r="O360" s="56"/>
      <c r="R360" s="56"/>
      <c r="AA360" s="56"/>
      <c r="AB360" s="56"/>
      <c r="AC360" s="56"/>
      <c r="AD360" s="56"/>
      <c r="AE360" s="56"/>
      <c r="AF360" s="56"/>
      <c r="AG360" s="155"/>
      <c r="AH360" s="56"/>
      <c r="AK360" s="155"/>
      <c r="AL360" s="56"/>
      <c r="AM360" s="56"/>
      <c r="AN360" s="56"/>
    </row>
    <row r="361" spans="1:40" x14ac:dyDescent="0.25">
      <c r="J361" s="77"/>
      <c r="L361" s="56"/>
      <c r="M361" s="56"/>
      <c r="N361" s="56"/>
      <c r="O361" s="56"/>
      <c r="R361" s="56"/>
      <c r="Z361" s="56"/>
      <c r="AA361" s="56"/>
      <c r="AB361" s="56"/>
      <c r="AC361" s="56"/>
      <c r="AD361" s="56"/>
      <c r="AE361" s="56"/>
      <c r="AF361" s="56"/>
      <c r="AG361" s="155"/>
      <c r="AH361" s="56"/>
      <c r="AK361" s="155"/>
      <c r="AL361" s="56"/>
      <c r="AM361" s="56"/>
      <c r="AN361" s="56"/>
    </row>
    <row r="362" spans="1:40" x14ac:dyDescent="0.25">
      <c r="A362" s="56"/>
      <c r="C362" s="56"/>
      <c r="D362" s="56"/>
      <c r="E362" s="56"/>
      <c r="F362" s="56"/>
      <c r="J362" s="67"/>
      <c r="K362" s="56"/>
      <c r="L362" s="56"/>
      <c r="M362" s="56"/>
      <c r="N362" s="56"/>
      <c r="O362" s="56"/>
      <c r="P362" s="56"/>
      <c r="Q362" s="56"/>
      <c r="R362" s="56"/>
      <c r="T362" s="56"/>
      <c r="U362" s="56"/>
      <c r="V362" s="56"/>
      <c r="Z362" s="56"/>
      <c r="AA362" s="56"/>
      <c r="AB362" s="56"/>
      <c r="AC362" s="56"/>
      <c r="AD362" s="56"/>
      <c r="AE362" s="56"/>
      <c r="AF362" s="56"/>
      <c r="AG362" s="155"/>
      <c r="AH362" s="56"/>
      <c r="AI362" s="56"/>
      <c r="AJ362" s="56"/>
      <c r="AK362" s="155"/>
      <c r="AL362" s="56"/>
      <c r="AM362" s="56"/>
      <c r="AN362" s="56"/>
    </row>
    <row r="363" spans="1:40" x14ac:dyDescent="0.25">
      <c r="A363" s="56"/>
      <c r="C363" s="56"/>
      <c r="D363" s="56"/>
      <c r="E363" s="56"/>
      <c r="F363" s="56"/>
      <c r="H363" s="56"/>
      <c r="I363" s="56"/>
      <c r="J363" s="67"/>
      <c r="K363" s="56"/>
      <c r="L363" s="56"/>
      <c r="M363" s="56"/>
      <c r="N363" s="56"/>
      <c r="O363" s="56"/>
      <c r="P363" s="56"/>
      <c r="Q363" s="56"/>
      <c r="R363" s="56"/>
      <c r="T363" s="56"/>
      <c r="U363" s="56"/>
      <c r="V363" s="56"/>
      <c r="Y363" s="56"/>
      <c r="Z363" s="56"/>
      <c r="AA363" s="56"/>
      <c r="AB363" s="56"/>
      <c r="AC363" s="56"/>
      <c r="AD363" s="56"/>
      <c r="AE363" s="56"/>
      <c r="AF363" s="56"/>
      <c r="AG363" s="155"/>
      <c r="AH363" s="56"/>
      <c r="AI363" s="56"/>
      <c r="AJ363" s="56"/>
      <c r="AK363" s="155"/>
      <c r="AL363" s="56"/>
      <c r="AM363" s="56"/>
      <c r="AN363" s="56"/>
    </row>
    <row r="364" spans="1:40" x14ac:dyDescent="0.25">
      <c r="C364" s="56"/>
      <c r="D364" s="56"/>
      <c r="E364" s="56"/>
      <c r="F364" s="56"/>
      <c r="H364" s="56"/>
      <c r="I364" s="56"/>
      <c r="J364" s="67"/>
      <c r="K364" s="56"/>
      <c r="L364" s="56"/>
      <c r="M364" s="56"/>
      <c r="N364" s="56"/>
      <c r="O364" s="56"/>
      <c r="P364" s="56"/>
      <c r="Q364" s="56"/>
      <c r="R364" s="56"/>
      <c r="T364" s="56"/>
      <c r="U364" s="56"/>
      <c r="V364" s="56"/>
      <c r="Y364" s="56"/>
      <c r="Z364" s="56"/>
      <c r="AA364" s="56"/>
      <c r="AB364" s="56"/>
      <c r="AC364" s="56"/>
      <c r="AD364" s="56"/>
      <c r="AE364" s="56"/>
      <c r="AF364" s="56"/>
      <c r="AG364" s="155"/>
      <c r="AH364" s="56"/>
      <c r="AI364" s="56"/>
      <c r="AJ364" s="56"/>
      <c r="AK364" s="155"/>
      <c r="AL364" s="56"/>
      <c r="AM364" s="56"/>
      <c r="AN364" s="56"/>
    </row>
    <row r="365" spans="1:40" x14ac:dyDescent="0.25">
      <c r="A365" s="55"/>
      <c r="B365" s="55"/>
      <c r="C365" s="55"/>
      <c r="D365" s="55"/>
      <c r="E365" s="55"/>
      <c r="F365" s="55"/>
      <c r="G365" s="55"/>
      <c r="H365" s="55"/>
      <c r="I365" s="55"/>
      <c r="J365" s="66"/>
      <c r="K365" s="55"/>
      <c r="L365" s="55"/>
      <c r="M365" s="55"/>
      <c r="N365" s="55"/>
      <c r="O365" s="55"/>
      <c r="P365" s="55"/>
      <c r="Q365" s="55"/>
      <c r="R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154"/>
      <c r="AH365" s="55"/>
      <c r="AI365" s="55"/>
      <c r="AJ365" s="55"/>
      <c r="AK365" s="154"/>
      <c r="AL365" s="55"/>
      <c r="AM365" s="55"/>
      <c r="AN365" s="55"/>
    </row>
    <row r="366" spans="1:40" x14ac:dyDescent="0.25">
      <c r="H366" s="56"/>
      <c r="I366" s="56"/>
      <c r="J366" s="67"/>
      <c r="K366" s="56"/>
      <c r="L366" s="56"/>
      <c r="M366" s="56"/>
      <c r="N366" s="56"/>
      <c r="O366" s="56"/>
      <c r="P366" s="56"/>
      <c r="Q366" s="56"/>
      <c r="R366" s="56"/>
      <c r="Y366" s="56"/>
      <c r="Z366" s="56"/>
      <c r="AA366" s="56"/>
      <c r="AB366" s="56"/>
      <c r="AC366" s="56"/>
      <c r="AD366" s="56"/>
      <c r="AE366" s="56"/>
      <c r="AF366" s="56"/>
      <c r="AG366" s="155"/>
      <c r="AH366" s="56"/>
      <c r="AI366" s="56"/>
      <c r="AJ366" s="56"/>
      <c r="AK366" s="155"/>
      <c r="AL366" s="56"/>
      <c r="AM366" s="56"/>
      <c r="AN366" s="56"/>
    </row>
    <row r="367" spans="1:40" x14ac:dyDescent="0.25">
      <c r="A367" s="53"/>
      <c r="C367" s="54"/>
      <c r="D367" s="54"/>
      <c r="E367" s="54"/>
      <c r="J367" s="77"/>
      <c r="T367" s="54"/>
      <c r="U367" s="54"/>
    </row>
    <row r="368" spans="1:40" x14ac:dyDescent="0.25">
      <c r="J368" s="77"/>
    </row>
    <row r="369" spans="1:40" x14ac:dyDescent="0.25">
      <c r="A369" s="53"/>
      <c r="C369" s="54"/>
      <c r="J369" s="77"/>
      <c r="T369" s="54"/>
    </row>
    <row r="370" spans="1:40" x14ac:dyDescent="0.25">
      <c r="A370" s="53"/>
      <c r="C370" s="54"/>
      <c r="F370" s="449"/>
      <c r="H370" s="449"/>
      <c r="I370" s="449"/>
      <c r="J370" s="221"/>
      <c r="K370" s="464"/>
      <c r="L370" s="379"/>
      <c r="M370" s="379"/>
      <c r="N370" s="50"/>
      <c r="O370" s="50"/>
      <c r="P370" s="379"/>
      <c r="Q370" s="379"/>
      <c r="R370" s="379"/>
      <c r="T370" s="54"/>
      <c r="V370" s="449"/>
      <c r="Y370" s="449"/>
      <c r="Z370" s="464"/>
      <c r="AA370" s="379"/>
      <c r="AB370" s="379"/>
      <c r="AC370" s="50"/>
      <c r="AD370" s="50"/>
      <c r="AE370" s="379"/>
      <c r="AF370" s="379"/>
      <c r="AG370" s="156"/>
      <c r="AH370" s="60"/>
      <c r="AI370" s="379"/>
      <c r="AJ370" s="379"/>
      <c r="AK370" s="156"/>
      <c r="AL370" s="379"/>
      <c r="AM370" s="50"/>
      <c r="AN370" s="50"/>
    </row>
    <row r="371" spans="1:40" x14ac:dyDescent="0.25">
      <c r="A371" s="53"/>
      <c r="C371" s="54"/>
      <c r="J371" s="77"/>
      <c r="T371" s="54"/>
    </row>
    <row r="372" spans="1:40" x14ac:dyDescent="0.25">
      <c r="A372" s="53"/>
      <c r="C372" s="54"/>
      <c r="F372" s="449"/>
      <c r="H372" s="449"/>
      <c r="I372" s="449"/>
      <c r="J372" s="221"/>
      <c r="K372" s="221"/>
      <c r="L372" s="379"/>
      <c r="M372" s="379"/>
      <c r="N372" s="50"/>
      <c r="O372" s="50"/>
      <c r="P372" s="379"/>
      <c r="Q372" s="379"/>
      <c r="R372" s="379"/>
      <c r="T372" s="54"/>
      <c r="V372" s="379"/>
      <c r="Y372" s="379"/>
      <c r="Z372" s="221"/>
      <c r="AA372" s="379"/>
      <c r="AB372" s="379"/>
      <c r="AC372" s="50"/>
      <c r="AD372" s="50"/>
      <c r="AE372" s="379"/>
      <c r="AF372" s="379"/>
      <c r="AG372" s="156"/>
      <c r="AH372" s="60"/>
      <c r="AI372" s="379"/>
      <c r="AJ372" s="379"/>
      <c r="AK372" s="156"/>
      <c r="AL372" s="379"/>
      <c r="AM372" s="50"/>
      <c r="AN372" s="50"/>
    </row>
    <row r="373" spans="1:40" x14ac:dyDescent="0.25">
      <c r="A373" s="53"/>
      <c r="C373" s="54"/>
      <c r="F373" s="449"/>
      <c r="H373" s="449"/>
      <c r="I373" s="449"/>
      <c r="J373" s="221"/>
      <c r="K373" s="221"/>
      <c r="L373" s="379"/>
      <c r="M373" s="379"/>
      <c r="N373" s="50"/>
      <c r="O373" s="50"/>
      <c r="P373" s="379"/>
      <c r="Q373" s="379"/>
      <c r="R373" s="379"/>
      <c r="T373" s="54"/>
      <c r="V373" s="379"/>
      <c r="Y373" s="379"/>
      <c r="Z373" s="221"/>
      <c r="AA373" s="379"/>
      <c r="AB373" s="379"/>
      <c r="AC373" s="50"/>
      <c r="AD373" s="50"/>
      <c r="AE373" s="379"/>
      <c r="AF373" s="379"/>
      <c r="AG373" s="156"/>
      <c r="AH373" s="60"/>
      <c r="AI373" s="379"/>
      <c r="AJ373" s="379"/>
      <c r="AK373" s="156"/>
      <c r="AL373" s="379"/>
      <c r="AM373" s="50"/>
      <c r="AN373" s="50"/>
    </row>
    <row r="374" spans="1:40" x14ac:dyDescent="0.25">
      <c r="A374" s="53"/>
      <c r="C374" s="54"/>
      <c r="F374" s="449"/>
      <c r="H374" s="449"/>
      <c r="I374" s="449"/>
      <c r="J374" s="221"/>
      <c r="K374" s="221"/>
      <c r="L374" s="379"/>
      <c r="M374" s="379"/>
      <c r="N374" s="50"/>
      <c r="O374" s="50"/>
      <c r="P374" s="379"/>
      <c r="Q374" s="379"/>
      <c r="R374" s="379"/>
      <c r="T374" s="54"/>
      <c r="V374" s="379"/>
      <c r="Y374" s="379"/>
      <c r="Z374" s="221"/>
      <c r="AA374" s="379"/>
      <c r="AB374" s="379"/>
      <c r="AC374" s="50"/>
      <c r="AD374" s="50"/>
      <c r="AE374" s="379"/>
      <c r="AF374" s="379"/>
      <c r="AG374" s="156"/>
      <c r="AH374" s="60"/>
      <c r="AI374" s="379"/>
      <c r="AJ374" s="379"/>
      <c r="AK374" s="156"/>
      <c r="AL374" s="379"/>
      <c r="AM374" s="50"/>
      <c r="AN374" s="50"/>
    </row>
    <row r="375" spans="1:40" x14ac:dyDescent="0.25">
      <c r="A375" s="53"/>
      <c r="C375" s="54"/>
      <c r="F375" s="449"/>
      <c r="H375" s="449"/>
      <c r="I375" s="449"/>
      <c r="J375" s="221"/>
      <c r="K375" s="221"/>
      <c r="L375" s="379"/>
      <c r="M375" s="379"/>
      <c r="N375" s="50"/>
      <c r="O375" s="50"/>
      <c r="P375" s="379"/>
      <c r="Q375" s="379"/>
      <c r="R375" s="379"/>
      <c r="T375" s="54"/>
      <c r="V375" s="379"/>
      <c r="Y375" s="379"/>
      <c r="Z375" s="221"/>
      <c r="AA375" s="379"/>
      <c r="AB375" s="379"/>
      <c r="AC375" s="50"/>
      <c r="AD375" s="50"/>
      <c r="AE375" s="379"/>
      <c r="AF375" s="379"/>
      <c r="AG375" s="156"/>
      <c r="AH375" s="60"/>
      <c r="AI375" s="379"/>
      <c r="AJ375" s="379"/>
      <c r="AK375" s="156"/>
      <c r="AL375" s="379"/>
      <c r="AM375" s="50"/>
      <c r="AN375" s="50"/>
    </row>
    <row r="376" spans="1:40" x14ac:dyDescent="0.25">
      <c r="A376" s="53"/>
      <c r="C376" s="54"/>
      <c r="J376" s="65"/>
      <c r="K376" s="65"/>
      <c r="T376" s="54"/>
      <c r="Z376" s="65"/>
    </row>
    <row r="377" spans="1:40" x14ac:dyDescent="0.25">
      <c r="A377" s="53"/>
      <c r="C377" s="54"/>
      <c r="F377" s="449"/>
      <c r="H377" s="449"/>
      <c r="I377" s="449"/>
      <c r="J377" s="221"/>
      <c r="K377" s="221"/>
      <c r="L377" s="379"/>
      <c r="M377" s="379"/>
      <c r="N377" s="50"/>
      <c r="O377" s="50"/>
      <c r="P377" s="379"/>
      <c r="Q377" s="379"/>
      <c r="R377" s="379"/>
      <c r="T377" s="54"/>
      <c r="V377" s="379"/>
      <c r="Y377" s="379"/>
      <c r="Z377" s="221"/>
      <c r="AA377" s="379"/>
      <c r="AB377" s="379"/>
      <c r="AC377" s="50"/>
      <c r="AD377" s="50"/>
      <c r="AE377" s="379"/>
      <c r="AF377" s="379"/>
      <c r="AG377" s="156"/>
      <c r="AH377" s="60"/>
      <c r="AI377" s="379"/>
      <c r="AJ377" s="379"/>
      <c r="AK377" s="156"/>
      <c r="AL377" s="379"/>
      <c r="AM377" s="50"/>
      <c r="AN377" s="50"/>
    </row>
    <row r="378" spans="1:40" x14ac:dyDescent="0.25">
      <c r="A378" s="53"/>
      <c r="C378" s="54"/>
      <c r="F378" s="449"/>
      <c r="H378" s="449"/>
      <c r="I378" s="449"/>
      <c r="J378" s="221"/>
      <c r="K378" s="221"/>
      <c r="L378" s="379"/>
      <c r="M378" s="379"/>
      <c r="N378" s="50"/>
      <c r="O378" s="50"/>
      <c r="P378" s="379"/>
      <c r="Q378" s="379"/>
      <c r="R378" s="379"/>
      <c r="T378" s="54"/>
      <c r="V378" s="379"/>
      <c r="Y378" s="379"/>
      <c r="Z378" s="221"/>
      <c r="AA378" s="379"/>
      <c r="AB378" s="379"/>
      <c r="AC378" s="50"/>
      <c r="AD378" s="50"/>
      <c r="AE378" s="379"/>
      <c r="AF378" s="379"/>
      <c r="AG378" s="156"/>
      <c r="AH378" s="60"/>
      <c r="AI378" s="379"/>
      <c r="AJ378" s="379"/>
      <c r="AK378" s="156"/>
      <c r="AL378" s="379"/>
      <c r="AM378" s="50"/>
      <c r="AN378" s="50"/>
    </row>
    <row r="379" spans="1:40" x14ac:dyDescent="0.25">
      <c r="A379" s="53"/>
      <c r="C379" s="54"/>
      <c r="F379" s="449"/>
      <c r="H379" s="449"/>
      <c r="I379" s="449"/>
      <c r="J379" s="221"/>
      <c r="K379" s="221"/>
      <c r="L379" s="379"/>
      <c r="M379" s="379"/>
      <c r="N379" s="50"/>
      <c r="O379" s="50"/>
      <c r="P379" s="379"/>
      <c r="Q379" s="379"/>
      <c r="R379" s="379"/>
      <c r="T379" s="54"/>
      <c r="V379" s="379"/>
      <c r="Y379" s="379"/>
      <c r="Z379" s="221"/>
      <c r="AA379" s="379"/>
      <c r="AB379" s="379"/>
      <c r="AC379" s="50"/>
      <c r="AD379" s="50"/>
      <c r="AE379" s="379"/>
      <c r="AF379" s="379"/>
      <c r="AG379" s="156"/>
      <c r="AH379" s="60"/>
      <c r="AI379" s="379"/>
      <c r="AJ379" s="379"/>
      <c r="AK379" s="156"/>
      <c r="AL379" s="379"/>
      <c r="AM379" s="50"/>
      <c r="AN379" s="50"/>
    </row>
    <row r="380" spans="1:40" x14ac:dyDescent="0.25">
      <c r="A380" s="53"/>
      <c r="C380" s="54"/>
      <c r="J380" s="65"/>
      <c r="K380" s="65"/>
      <c r="T380" s="54"/>
      <c r="Z380" s="65"/>
    </row>
    <row r="381" spans="1:40" x14ac:dyDescent="0.25">
      <c r="A381" s="53"/>
      <c r="C381" s="54"/>
      <c r="F381" s="449"/>
      <c r="H381" s="449"/>
      <c r="I381" s="449"/>
      <c r="J381" s="221"/>
      <c r="K381" s="221"/>
      <c r="L381" s="379"/>
      <c r="M381" s="379"/>
      <c r="N381" s="50"/>
      <c r="O381" s="50"/>
      <c r="P381" s="379"/>
      <c r="Q381" s="379"/>
      <c r="R381" s="379"/>
      <c r="T381" s="54"/>
      <c r="V381" s="379"/>
      <c r="Y381" s="379"/>
      <c r="Z381" s="221"/>
      <c r="AA381" s="379"/>
      <c r="AB381" s="379"/>
      <c r="AC381" s="50"/>
      <c r="AD381" s="50"/>
      <c r="AE381" s="379"/>
      <c r="AF381" s="379"/>
      <c r="AG381" s="156"/>
      <c r="AH381" s="60"/>
      <c r="AI381" s="379"/>
      <c r="AJ381" s="379"/>
      <c r="AK381" s="156"/>
      <c r="AL381" s="379"/>
      <c r="AM381" s="50"/>
      <c r="AN381" s="50"/>
    </row>
    <row r="382" spans="1:40" x14ac:dyDescent="0.25">
      <c r="A382" s="53"/>
      <c r="C382" s="54"/>
      <c r="F382" s="449"/>
      <c r="H382" s="449"/>
      <c r="I382" s="449"/>
      <c r="J382" s="221"/>
      <c r="K382" s="221"/>
      <c r="L382" s="379"/>
      <c r="M382" s="379"/>
      <c r="N382" s="50"/>
      <c r="O382" s="50"/>
      <c r="P382" s="379"/>
      <c r="Q382" s="379"/>
      <c r="R382" s="379"/>
      <c r="T382" s="54"/>
      <c r="V382" s="379"/>
      <c r="Y382" s="379"/>
      <c r="Z382" s="221"/>
      <c r="AA382" s="379"/>
      <c r="AB382" s="379"/>
      <c r="AC382" s="50"/>
      <c r="AD382" s="50"/>
      <c r="AE382" s="379"/>
      <c r="AF382" s="379"/>
      <c r="AG382" s="156"/>
      <c r="AH382" s="60"/>
      <c r="AI382" s="379"/>
      <c r="AJ382" s="379"/>
      <c r="AK382" s="156"/>
      <c r="AL382" s="379"/>
      <c r="AM382" s="50"/>
      <c r="AN382" s="50"/>
    </row>
    <row r="383" spans="1:40" x14ac:dyDescent="0.25">
      <c r="A383" s="53"/>
      <c r="C383" s="54"/>
      <c r="J383" s="65"/>
      <c r="K383" s="65"/>
      <c r="T383" s="54"/>
      <c r="Z383" s="65"/>
    </row>
    <row r="384" spans="1:40" x14ac:dyDescent="0.25">
      <c r="A384" s="53"/>
      <c r="C384" s="54"/>
      <c r="F384" s="449"/>
      <c r="H384" s="449"/>
      <c r="I384" s="449"/>
      <c r="J384" s="221"/>
      <c r="K384" s="221"/>
      <c r="L384" s="379"/>
      <c r="M384" s="379"/>
      <c r="N384" s="50"/>
      <c r="O384" s="50"/>
      <c r="P384" s="379"/>
      <c r="Q384" s="379"/>
      <c r="R384" s="379"/>
      <c r="T384" s="54"/>
      <c r="V384" s="379"/>
      <c r="Y384" s="379"/>
      <c r="Z384" s="221"/>
      <c r="AA384" s="379"/>
      <c r="AB384" s="379"/>
      <c r="AC384" s="50"/>
      <c r="AD384" s="50"/>
      <c r="AE384" s="379"/>
      <c r="AF384" s="379"/>
      <c r="AG384" s="156"/>
      <c r="AH384" s="60"/>
      <c r="AI384" s="379"/>
      <c r="AJ384" s="379"/>
      <c r="AK384" s="156"/>
      <c r="AL384" s="379"/>
      <c r="AM384" s="50"/>
      <c r="AN384" s="50"/>
    </row>
    <row r="385" spans="1:40" x14ac:dyDescent="0.25">
      <c r="A385" s="53"/>
      <c r="C385" s="54"/>
      <c r="F385" s="449"/>
      <c r="H385" s="449"/>
      <c r="I385" s="449"/>
      <c r="J385" s="221"/>
      <c r="K385" s="221"/>
      <c r="L385" s="379"/>
      <c r="M385" s="379"/>
      <c r="N385" s="50"/>
      <c r="O385" s="50"/>
      <c r="P385" s="379"/>
      <c r="Q385" s="379"/>
      <c r="R385" s="379"/>
      <c r="T385" s="54"/>
      <c r="V385" s="379"/>
      <c r="Y385" s="379"/>
      <c r="Z385" s="221"/>
      <c r="AA385" s="379"/>
      <c r="AB385" s="379"/>
      <c r="AC385" s="50"/>
      <c r="AD385" s="50"/>
      <c r="AE385" s="379"/>
      <c r="AF385" s="379"/>
      <c r="AG385" s="156"/>
      <c r="AH385" s="60"/>
      <c r="AI385" s="379"/>
      <c r="AJ385" s="379"/>
      <c r="AK385" s="156"/>
      <c r="AL385" s="379"/>
      <c r="AM385" s="50"/>
      <c r="AN385" s="50"/>
    </row>
    <row r="386" spans="1:40" x14ac:dyDescent="0.25">
      <c r="A386" s="53"/>
      <c r="C386" s="54"/>
      <c r="F386" s="449"/>
      <c r="H386" s="449"/>
      <c r="I386" s="449"/>
      <c r="J386" s="221"/>
      <c r="K386" s="221"/>
      <c r="L386" s="379"/>
      <c r="M386" s="379"/>
      <c r="N386" s="50"/>
      <c r="O386" s="50"/>
      <c r="P386" s="379"/>
      <c r="Q386" s="379"/>
      <c r="R386" s="379"/>
      <c r="T386" s="54"/>
      <c r="V386" s="379"/>
      <c r="Y386" s="379"/>
      <c r="Z386" s="221"/>
      <c r="AA386" s="379"/>
      <c r="AB386" s="379"/>
      <c r="AC386" s="50"/>
      <c r="AD386" s="50"/>
      <c r="AE386" s="379"/>
      <c r="AF386" s="379"/>
      <c r="AG386" s="156"/>
      <c r="AH386" s="60"/>
      <c r="AI386" s="379"/>
      <c r="AJ386" s="379"/>
      <c r="AK386" s="156"/>
      <c r="AL386" s="379"/>
      <c r="AM386" s="50"/>
      <c r="AN386" s="50"/>
    </row>
    <row r="387" spans="1:40" x14ac:dyDescent="0.25">
      <c r="F387" s="381"/>
      <c r="H387" s="381"/>
      <c r="I387" s="381"/>
      <c r="J387" s="221"/>
      <c r="K387" s="221"/>
      <c r="L387" s="381"/>
      <c r="M387" s="381"/>
      <c r="N387" s="381"/>
      <c r="O387" s="381"/>
      <c r="P387" s="381"/>
      <c r="Q387" s="381"/>
      <c r="R387" s="381"/>
      <c r="V387" s="381"/>
      <c r="Y387" s="381"/>
      <c r="Z387" s="221"/>
      <c r="AA387" s="381"/>
      <c r="AB387" s="381"/>
      <c r="AC387" s="381"/>
      <c r="AD387" s="381"/>
      <c r="AE387" s="381"/>
      <c r="AF387" s="381"/>
      <c r="AI387" s="381"/>
      <c r="AJ387" s="381"/>
      <c r="AK387" s="162"/>
      <c r="AL387" s="381"/>
    </row>
    <row r="388" spans="1:40" x14ac:dyDescent="0.25">
      <c r="A388" s="53"/>
      <c r="C388" s="56"/>
      <c r="F388" s="379"/>
      <c r="H388" s="379"/>
      <c r="I388" s="379"/>
      <c r="J388" s="65"/>
      <c r="K388" s="65"/>
      <c r="L388" s="379"/>
      <c r="M388" s="379"/>
      <c r="N388" s="60"/>
      <c r="O388" s="60"/>
      <c r="P388" s="379"/>
      <c r="Q388" s="379"/>
      <c r="R388" s="379"/>
      <c r="T388" s="56"/>
      <c r="V388" s="379"/>
      <c r="Y388" s="379"/>
      <c r="Z388" s="65"/>
      <c r="AA388" s="379"/>
      <c r="AB388" s="379"/>
      <c r="AC388" s="379"/>
      <c r="AD388" s="379"/>
      <c r="AE388" s="379"/>
      <c r="AF388" s="379"/>
      <c r="AG388" s="156"/>
      <c r="AH388" s="60"/>
      <c r="AI388" s="379"/>
      <c r="AJ388" s="379"/>
      <c r="AK388" s="156"/>
      <c r="AL388" s="379"/>
      <c r="AM388" s="50"/>
      <c r="AN388" s="50"/>
    </row>
    <row r="389" spans="1:40" x14ac:dyDescent="0.25">
      <c r="F389" s="381"/>
      <c r="H389" s="381"/>
      <c r="I389" s="381"/>
      <c r="J389" s="221"/>
      <c r="K389" s="221"/>
      <c r="L389" s="381"/>
      <c r="M389" s="381"/>
      <c r="N389" s="381"/>
      <c r="O389" s="381"/>
      <c r="P389" s="381"/>
      <c r="Q389" s="381"/>
      <c r="R389" s="381"/>
      <c r="V389" s="381"/>
      <c r="Y389" s="381"/>
      <c r="Z389" s="221"/>
      <c r="AA389" s="381"/>
      <c r="AB389" s="381"/>
      <c r="AC389" s="381"/>
      <c r="AD389" s="381"/>
      <c r="AE389" s="381"/>
      <c r="AF389" s="381"/>
      <c r="AI389" s="381"/>
      <c r="AJ389" s="381"/>
      <c r="AK389" s="162"/>
      <c r="AL389" s="381"/>
    </row>
    <row r="390" spans="1:40" x14ac:dyDescent="0.25">
      <c r="A390" s="53"/>
      <c r="C390" s="54"/>
      <c r="J390" s="65"/>
      <c r="K390" s="65"/>
      <c r="T390" s="54"/>
      <c r="Z390" s="65"/>
    </row>
    <row r="391" spans="1:40" x14ac:dyDescent="0.25">
      <c r="A391" s="53"/>
      <c r="C391" s="54"/>
      <c r="J391" s="65"/>
      <c r="K391" s="65"/>
      <c r="T391" s="54"/>
      <c r="Z391" s="65"/>
    </row>
    <row r="392" spans="1:40" x14ac:dyDescent="0.25">
      <c r="A392" s="53"/>
      <c r="C392" s="54"/>
      <c r="F392" s="449"/>
      <c r="H392" s="449"/>
      <c r="I392" s="449"/>
      <c r="J392" s="221"/>
      <c r="K392" s="221"/>
      <c r="L392" s="379"/>
      <c r="M392" s="379"/>
      <c r="N392" s="50"/>
      <c r="O392" s="50"/>
      <c r="P392" s="379"/>
      <c r="Q392" s="379"/>
      <c r="R392" s="379"/>
      <c r="T392" s="54"/>
      <c r="V392" s="379"/>
      <c r="Y392" s="379"/>
      <c r="Z392" s="221"/>
      <c r="AA392" s="379"/>
      <c r="AB392" s="379"/>
      <c r="AC392" s="50"/>
      <c r="AD392" s="50"/>
      <c r="AE392" s="379"/>
      <c r="AF392" s="379"/>
      <c r="AG392" s="156"/>
      <c r="AH392" s="60"/>
      <c r="AI392" s="379"/>
      <c r="AJ392" s="379"/>
      <c r="AK392" s="156"/>
      <c r="AL392" s="379"/>
      <c r="AM392" s="50"/>
      <c r="AN392" s="50"/>
    </row>
    <row r="393" spans="1:40" x14ac:dyDescent="0.25">
      <c r="A393" s="53"/>
      <c r="C393" s="54"/>
      <c r="F393" s="449"/>
      <c r="H393" s="449"/>
      <c r="I393" s="449"/>
      <c r="J393" s="221"/>
      <c r="K393" s="221"/>
      <c r="L393" s="379"/>
      <c r="M393" s="379"/>
      <c r="N393" s="50"/>
      <c r="O393" s="50"/>
      <c r="P393" s="379"/>
      <c r="Q393" s="379"/>
      <c r="R393" s="379"/>
      <c r="T393" s="54"/>
      <c r="V393" s="379"/>
      <c r="Y393" s="379"/>
      <c r="Z393" s="221"/>
      <c r="AA393" s="379"/>
      <c r="AB393" s="379"/>
      <c r="AC393" s="50"/>
      <c r="AD393" s="50"/>
      <c r="AE393" s="379"/>
      <c r="AF393" s="379"/>
      <c r="AG393" s="156"/>
      <c r="AH393" s="60"/>
      <c r="AI393" s="379"/>
      <c r="AJ393" s="379"/>
      <c r="AK393" s="156"/>
      <c r="AL393" s="379"/>
      <c r="AM393" s="50"/>
      <c r="AN393" s="50"/>
    </row>
    <row r="394" spans="1:40" x14ac:dyDescent="0.25">
      <c r="A394" s="53"/>
      <c r="C394" s="54"/>
      <c r="F394" s="449"/>
      <c r="H394" s="449"/>
      <c r="I394" s="449"/>
      <c r="J394" s="221"/>
      <c r="K394" s="221"/>
      <c r="L394" s="379"/>
      <c r="M394" s="379"/>
      <c r="N394" s="50"/>
      <c r="O394" s="50"/>
      <c r="P394" s="379"/>
      <c r="Q394" s="379"/>
      <c r="R394" s="379"/>
      <c r="T394" s="54"/>
      <c r="V394" s="379"/>
      <c r="Y394" s="379"/>
      <c r="Z394" s="221"/>
      <c r="AA394" s="379"/>
      <c r="AB394" s="379"/>
      <c r="AC394" s="50"/>
      <c r="AD394" s="50"/>
      <c r="AE394" s="379"/>
      <c r="AF394" s="379"/>
      <c r="AG394" s="156"/>
      <c r="AH394" s="60"/>
      <c r="AI394" s="379"/>
      <c r="AJ394" s="379"/>
      <c r="AK394" s="156"/>
      <c r="AL394" s="379"/>
      <c r="AM394" s="50"/>
      <c r="AN394" s="50"/>
    </row>
    <row r="395" spans="1:40" x14ac:dyDescent="0.25">
      <c r="A395" s="53"/>
      <c r="C395" s="54"/>
      <c r="F395" s="449"/>
      <c r="H395" s="449"/>
      <c r="I395" s="449"/>
      <c r="J395" s="221"/>
      <c r="K395" s="221"/>
      <c r="L395" s="379"/>
      <c r="M395" s="379"/>
      <c r="N395" s="50"/>
      <c r="O395" s="50"/>
      <c r="P395" s="379"/>
      <c r="Q395" s="379"/>
      <c r="R395" s="379"/>
      <c r="T395" s="54"/>
      <c r="V395" s="379"/>
      <c r="Y395" s="379"/>
      <c r="Z395" s="221"/>
      <c r="AA395" s="379"/>
      <c r="AB395" s="379"/>
      <c r="AC395" s="50"/>
      <c r="AD395" s="50"/>
      <c r="AE395" s="379"/>
      <c r="AF395" s="379"/>
      <c r="AG395" s="156"/>
      <c r="AH395" s="60"/>
      <c r="AI395" s="379"/>
      <c r="AJ395" s="379"/>
      <c r="AK395" s="156"/>
      <c r="AL395" s="379"/>
      <c r="AM395" s="50"/>
      <c r="AN395" s="50"/>
    </row>
    <row r="396" spans="1:40" x14ac:dyDescent="0.25">
      <c r="A396" s="53"/>
      <c r="C396" s="54"/>
      <c r="F396" s="449"/>
      <c r="H396" s="449"/>
      <c r="I396" s="449"/>
      <c r="J396" s="221"/>
      <c r="K396" s="221"/>
      <c r="L396" s="379"/>
      <c r="M396" s="379"/>
      <c r="N396" s="50"/>
      <c r="O396" s="50"/>
      <c r="P396" s="379"/>
      <c r="Q396" s="379"/>
      <c r="R396" s="379"/>
      <c r="T396" s="54"/>
      <c r="V396" s="379"/>
      <c r="Y396" s="379"/>
      <c r="Z396" s="221"/>
      <c r="AA396" s="379"/>
      <c r="AB396" s="379"/>
      <c r="AC396" s="50"/>
      <c r="AD396" s="50"/>
      <c r="AE396" s="379"/>
      <c r="AF396" s="379"/>
      <c r="AG396" s="156"/>
      <c r="AH396" s="60"/>
      <c r="AI396" s="379"/>
      <c r="AJ396" s="379"/>
      <c r="AK396" s="156"/>
      <c r="AL396" s="379"/>
      <c r="AM396" s="50"/>
      <c r="AN396" s="50"/>
    </row>
    <row r="397" spans="1:40" x14ac:dyDescent="0.25">
      <c r="A397" s="53"/>
      <c r="C397" s="54"/>
      <c r="F397" s="449"/>
      <c r="H397" s="449"/>
      <c r="I397" s="449"/>
      <c r="J397" s="221"/>
      <c r="K397" s="221"/>
      <c r="L397" s="379"/>
      <c r="M397" s="379"/>
      <c r="N397" s="50"/>
      <c r="O397" s="50"/>
      <c r="P397" s="379"/>
      <c r="Q397" s="379"/>
      <c r="R397" s="379"/>
      <c r="T397" s="54"/>
      <c r="V397" s="379"/>
      <c r="Y397" s="379"/>
      <c r="Z397" s="221"/>
      <c r="AA397" s="379"/>
      <c r="AB397" s="379"/>
      <c r="AC397" s="50"/>
      <c r="AD397" s="50"/>
      <c r="AE397" s="379"/>
      <c r="AF397" s="379"/>
      <c r="AG397" s="156"/>
      <c r="AH397" s="60"/>
      <c r="AI397" s="379"/>
      <c r="AJ397" s="379"/>
      <c r="AK397" s="156"/>
      <c r="AL397" s="379"/>
      <c r="AM397" s="50"/>
      <c r="AN397" s="50"/>
    </row>
    <row r="398" spans="1:40" x14ac:dyDescent="0.25">
      <c r="A398" s="53"/>
      <c r="C398" s="54"/>
      <c r="F398" s="449"/>
      <c r="H398" s="449"/>
      <c r="I398" s="449"/>
      <c r="J398" s="221"/>
      <c r="K398" s="221"/>
      <c r="L398" s="379"/>
      <c r="M398" s="379"/>
      <c r="N398" s="50"/>
      <c r="O398" s="50"/>
      <c r="P398" s="379"/>
      <c r="Q398" s="379"/>
      <c r="R398" s="379"/>
      <c r="T398" s="54"/>
      <c r="V398" s="379"/>
      <c r="Y398" s="379"/>
      <c r="Z398" s="221"/>
      <c r="AA398" s="379"/>
      <c r="AB398" s="379"/>
      <c r="AC398" s="50"/>
      <c r="AD398" s="50"/>
      <c r="AE398" s="379"/>
      <c r="AF398" s="379"/>
      <c r="AG398" s="156"/>
      <c r="AH398" s="60"/>
      <c r="AI398" s="379"/>
      <c r="AJ398" s="379"/>
      <c r="AK398" s="156"/>
      <c r="AL398" s="379"/>
      <c r="AM398" s="50"/>
      <c r="AN398" s="50"/>
    </row>
    <row r="399" spans="1:40" x14ac:dyDescent="0.25">
      <c r="A399" s="53"/>
      <c r="C399" s="54"/>
      <c r="J399" s="65"/>
      <c r="K399" s="65"/>
      <c r="T399" s="54"/>
      <c r="Z399" s="65"/>
    </row>
    <row r="400" spans="1:40" x14ac:dyDescent="0.25">
      <c r="A400" s="53"/>
      <c r="C400" s="54"/>
      <c r="F400" s="449"/>
      <c r="H400" s="449"/>
      <c r="I400" s="449"/>
      <c r="J400" s="221"/>
      <c r="K400" s="221"/>
      <c r="L400" s="379"/>
      <c r="M400" s="379"/>
      <c r="N400" s="50"/>
      <c r="O400" s="50"/>
      <c r="P400" s="379"/>
      <c r="Q400" s="379"/>
      <c r="R400" s="379"/>
      <c r="T400" s="54"/>
      <c r="V400" s="379"/>
      <c r="Y400" s="379"/>
      <c r="Z400" s="221"/>
      <c r="AA400" s="379"/>
      <c r="AB400" s="379"/>
      <c r="AC400" s="50"/>
      <c r="AD400" s="50"/>
      <c r="AE400" s="379"/>
      <c r="AF400" s="379"/>
      <c r="AG400" s="156"/>
      <c r="AH400" s="60"/>
      <c r="AI400" s="379"/>
      <c r="AJ400" s="379"/>
      <c r="AK400" s="156"/>
      <c r="AL400" s="379"/>
      <c r="AM400" s="50"/>
      <c r="AN400" s="50"/>
    </row>
    <row r="401" spans="1:40" x14ac:dyDescent="0.25">
      <c r="A401" s="53"/>
      <c r="C401" s="54"/>
      <c r="F401" s="449"/>
      <c r="H401" s="449"/>
      <c r="I401" s="449"/>
      <c r="J401" s="221"/>
      <c r="K401" s="221"/>
      <c r="L401" s="379"/>
      <c r="M401" s="379"/>
      <c r="N401" s="50"/>
      <c r="O401" s="50"/>
      <c r="P401" s="379"/>
      <c r="Q401" s="379"/>
      <c r="R401" s="379"/>
      <c r="T401" s="54"/>
      <c r="V401" s="379"/>
      <c r="Y401" s="379"/>
      <c r="Z401" s="221"/>
      <c r="AA401" s="379"/>
      <c r="AB401" s="379"/>
      <c r="AC401" s="50"/>
      <c r="AD401" s="50"/>
      <c r="AE401" s="379"/>
      <c r="AF401" s="379"/>
      <c r="AG401" s="156"/>
      <c r="AH401" s="60"/>
      <c r="AI401" s="379"/>
      <c r="AJ401" s="379"/>
      <c r="AK401" s="156"/>
      <c r="AL401" s="379"/>
      <c r="AM401" s="50"/>
      <c r="AN401" s="50"/>
    </row>
    <row r="402" spans="1:40" x14ac:dyDescent="0.25">
      <c r="A402" s="53"/>
      <c r="C402" s="54"/>
      <c r="F402" s="449"/>
      <c r="H402" s="449"/>
      <c r="I402" s="449"/>
      <c r="J402" s="221"/>
      <c r="K402" s="221"/>
      <c r="L402" s="379"/>
      <c r="M402" s="379"/>
      <c r="N402" s="50"/>
      <c r="O402" s="50"/>
      <c r="P402" s="379"/>
      <c r="Q402" s="379"/>
      <c r="R402" s="379"/>
      <c r="T402" s="54"/>
      <c r="V402" s="379"/>
      <c r="Y402" s="379"/>
      <c r="Z402" s="221"/>
      <c r="AA402" s="379"/>
      <c r="AB402" s="379"/>
      <c r="AC402" s="50"/>
      <c r="AD402" s="50"/>
      <c r="AE402" s="379"/>
      <c r="AF402" s="379"/>
      <c r="AG402" s="156"/>
      <c r="AH402" s="60"/>
      <c r="AI402" s="379"/>
      <c r="AJ402" s="379"/>
      <c r="AK402" s="156"/>
      <c r="AL402" s="379"/>
      <c r="AM402" s="50"/>
      <c r="AN402" s="50"/>
    </row>
    <row r="403" spans="1:40" x14ac:dyDescent="0.25">
      <c r="A403" s="53"/>
      <c r="C403" s="54"/>
      <c r="F403" s="449"/>
      <c r="H403" s="449"/>
      <c r="I403" s="449"/>
      <c r="J403" s="221"/>
      <c r="K403" s="221"/>
      <c r="L403" s="379"/>
      <c r="M403" s="379"/>
      <c r="N403" s="50"/>
      <c r="O403" s="50"/>
      <c r="P403" s="379"/>
      <c r="Q403" s="379"/>
      <c r="R403" s="379"/>
      <c r="T403" s="54"/>
      <c r="V403" s="379"/>
      <c r="Y403" s="379"/>
      <c r="Z403" s="221"/>
      <c r="AA403" s="379"/>
      <c r="AB403" s="379"/>
      <c r="AC403" s="50"/>
      <c r="AD403" s="50"/>
      <c r="AE403" s="379"/>
      <c r="AF403" s="379"/>
      <c r="AG403" s="156"/>
      <c r="AH403" s="60"/>
      <c r="AI403" s="379"/>
      <c r="AJ403" s="379"/>
      <c r="AK403" s="156"/>
      <c r="AL403" s="379"/>
      <c r="AM403" s="50"/>
      <c r="AN403" s="50"/>
    </row>
    <row r="404" spans="1:40" x14ac:dyDescent="0.25">
      <c r="A404" s="53"/>
      <c r="C404" s="54"/>
      <c r="J404" s="65"/>
      <c r="K404" s="65"/>
      <c r="T404" s="54"/>
      <c r="Z404" s="65"/>
    </row>
    <row r="405" spans="1:40" x14ac:dyDescent="0.25">
      <c r="A405" s="53"/>
      <c r="C405" s="54"/>
      <c r="F405" s="449"/>
      <c r="H405" s="449"/>
      <c r="I405" s="449"/>
      <c r="J405" s="221"/>
      <c r="K405" s="221"/>
      <c r="L405" s="379"/>
      <c r="M405" s="379"/>
      <c r="N405" s="50"/>
      <c r="O405" s="50"/>
      <c r="P405" s="379"/>
      <c r="Q405" s="379"/>
      <c r="R405" s="379"/>
      <c r="T405" s="54"/>
      <c r="V405" s="379"/>
      <c r="Y405" s="379"/>
      <c r="Z405" s="221"/>
      <c r="AA405" s="379"/>
      <c r="AB405" s="379"/>
      <c r="AC405" s="50"/>
      <c r="AD405" s="50"/>
      <c r="AE405" s="379"/>
      <c r="AF405" s="379"/>
      <c r="AG405" s="156"/>
      <c r="AH405" s="60"/>
      <c r="AI405" s="379"/>
      <c r="AJ405" s="379"/>
      <c r="AK405" s="156"/>
      <c r="AL405" s="379"/>
      <c r="AM405" s="50"/>
      <c r="AN405" s="50"/>
    </row>
    <row r="406" spans="1:40" x14ac:dyDescent="0.25">
      <c r="A406" s="53"/>
      <c r="C406" s="54"/>
      <c r="F406" s="449"/>
      <c r="H406" s="449"/>
      <c r="I406" s="449"/>
      <c r="J406" s="221"/>
      <c r="K406" s="221"/>
      <c r="L406" s="379"/>
      <c r="M406" s="379"/>
      <c r="N406" s="50"/>
      <c r="O406" s="50"/>
      <c r="P406" s="379"/>
      <c r="Q406" s="379"/>
      <c r="R406" s="379"/>
      <c r="T406" s="54"/>
      <c r="V406" s="379"/>
      <c r="Y406" s="379"/>
      <c r="Z406" s="221"/>
      <c r="AA406" s="379"/>
      <c r="AB406" s="379"/>
      <c r="AC406" s="50"/>
      <c r="AD406" s="50"/>
      <c r="AE406" s="379"/>
      <c r="AF406" s="379"/>
      <c r="AG406" s="156"/>
      <c r="AH406" s="60"/>
      <c r="AI406" s="379"/>
      <c r="AJ406" s="379"/>
      <c r="AK406" s="156"/>
      <c r="AL406" s="379"/>
      <c r="AM406" s="50"/>
      <c r="AN406" s="50"/>
    </row>
    <row r="407" spans="1:40" x14ac:dyDescent="0.25">
      <c r="A407" s="53"/>
      <c r="C407" s="54"/>
      <c r="F407" s="449"/>
      <c r="H407" s="449"/>
      <c r="I407" s="449"/>
      <c r="J407" s="221"/>
      <c r="K407" s="221"/>
      <c r="L407" s="379"/>
      <c r="M407" s="379"/>
      <c r="N407" s="50"/>
      <c r="O407" s="50"/>
      <c r="P407" s="379"/>
      <c r="Q407" s="379"/>
      <c r="R407" s="379"/>
      <c r="T407" s="54"/>
      <c r="V407" s="379"/>
      <c r="Y407" s="379"/>
      <c r="Z407" s="221"/>
      <c r="AA407" s="379"/>
      <c r="AB407" s="379"/>
      <c r="AC407" s="50"/>
      <c r="AD407" s="50"/>
      <c r="AE407" s="379"/>
      <c r="AF407" s="379"/>
      <c r="AG407" s="156"/>
      <c r="AH407" s="60"/>
      <c r="AI407" s="379"/>
      <c r="AJ407" s="379"/>
      <c r="AK407" s="156"/>
      <c r="AL407" s="379"/>
      <c r="AM407" s="50"/>
      <c r="AN407" s="50"/>
    </row>
    <row r="408" spans="1:40" x14ac:dyDescent="0.25">
      <c r="A408" s="53"/>
      <c r="C408" s="54"/>
      <c r="F408" s="449"/>
      <c r="H408" s="449"/>
      <c r="I408" s="449"/>
      <c r="J408" s="221"/>
      <c r="K408" s="221"/>
      <c r="L408" s="379"/>
      <c r="M408" s="379"/>
      <c r="N408" s="50"/>
      <c r="O408" s="50"/>
      <c r="P408" s="379"/>
      <c r="Q408" s="379"/>
      <c r="R408" s="379"/>
      <c r="T408" s="54"/>
      <c r="V408" s="379"/>
      <c r="Y408" s="379"/>
      <c r="Z408" s="221"/>
      <c r="AA408" s="379"/>
      <c r="AB408" s="379"/>
      <c r="AC408" s="50"/>
      <c r="AD408" s="50"/>
      <c r="AE408" s="379"/>
      <c r="AF408" s="379"/>
      <c r="AG408" s="156"/>
      <c r="AH408" s="60"/>
      <c r="AI408" s="379"/>
      <c r="AJ408" s="379"/>
      <c r="AK408" s="156"/>
      <c r="AL408" s="379"/>
      <c r="AM408" s="50"/>
      <c r="AN408" s="50"/>
    </row>
    <row r="409" spans="1:40" x14ac:dyDescent="0.25">
      <c r="A409" s="53"/>
      <c r="C409" s="54"/>
      <c r="F409" s="449"/>
      <c r="H409" s="449"/>
      <c r="I409" s="449"/>
      <c r="J409" s="221"/>
      <c r="K409" s="221"/>
      <c r="L409" s="379"/>
      <c r="M409" s="379"/>
      <c r="N409" s="50"/>
      <c r="O409" s="50"/>
      <c r="P409" s="379"/>
      <c r="Q409" s="379"/>
      <c r="R409" s="379"/>
      <c r="T409" s="54"/>
      <c r="V409" s="379"/>
      <c r="Y409" s="379"/>
      <c r="Z409" s="221"/>
      <c r="AA409" s="379"/>
      <c r="AB409" s="379"/>
      <c r="AC409" s="50"/>
      <c r="AD409" s="50"/>
      <c r="AE409" s="379"/>
      <c r="AF409" s="379"/>
      <c r="AG409" s="156"/>
      <c r="AH409" s="60"/>
      <c r="AI409" s="379"/>
      <c r="AJ409" s="379"/>
      <c r="AK409" s="156"/>
      <c r="AL409" s="379"/>
      <c r="AM409" s="50"/>
      <c r="AN409" s="50"/>
    </row>
    <row r="410" spans="1:40" x14ac:dyDescent="0.25">
      <c r="F410" s="381"/>
      <c r="H410" s="381"/>
      <c r="I410" s="381"/>
      <c r="J410" s="221"/>
      <c r="K410" s="464"/>
      <c r="L410" s="381"/>
      <c r="M410" s="381"/>
      <c r="N410" s="381"/>
      <c r="O410" s="381"/>
      <c r="P410" s="381"/>
      <c r="Q410" s="381"/>
      <c r="R410" s="381"/>
      <c r="V410" s="381"/>
      <c r="Y410" s="381"/>
      <c r="Z410" s="221"/>
      <c r="AA410" s="381"/>
      <c r="AB410" s="381"/>
      <c r="AC410" s="381"/>
      <c r="AD410" s="381"/>
      <c r="AE410" s="381"/>
      <c r="AF410" s="381"/>
      <c r="AI410" s="381"/>
      <c r="AJ410" s="381"/>
      <c r="AK410" s="162"/>
      <c r="AL410" s="381"/>
    </row>
    <row r="411" spans="1:40" x14ac:dyDescent="0.25">
      <c r="A411" s="53"/>
      <c r="C411" s="54"/>
      <c r="F411" s="379"/>
      <c r="H411" s="379"/>
      <c r="I411" s="379"/>
      <c r="J411" s="77"/>
      <c r="L411" s="379"/>
      <c r="M411" s="379"/>
      <c r="N411" s="60"/>
      <c r="O411" s="60"/>
      <c r="P411" s="379"/>
      <c r="Q411" s="379"/>
      <c r="R411" s="379"/>
      <c r="T411" s="54"/>
      <c r="V411" s="379"/>
      <c r="Y411" s="379"/>
      <c r="AA411" s="379"/>
      <c r="AB411" s="379"/>
      <c r="AC411" s="50"/>
      <c r="AD411" s="50"/>
      <c r="AE411" s="379"/>
      <c r="AF411" s="379"/>
      <c r="AG411" s="156"/>
      <c r="AH411" s="60"/>
      <c r="AI411" s="379"/>
      <c r="AJ411" s="379"/>
      <c r="AK411" s="156"/>
      <c r="AL411" s="379"/>
      <c r="AM411" s="50"/>
      <c r="AN411" s="50"/>
    </row>
    <row r="412" spans="1:40" x14ac:dyDescent="0.25">
      <c r="F412" s="381"/>
      <c r="H412" s="381"/>
      <c r="I412" s="381"/>
      <c r="J412" s="221"/>
      <c r="K412" s="464"/>
      <c r="L412" s="381"/>
      <c r="M412" s="381"/>
      <c r="N412" s="381"/>
      <c r="O412" s="381"/>
      <c r="P412" s="381"/>
      <c r="Q412" s="381"/>
      <c r="R412" s="381"/>
      <c r="V412" s="381"/>
      <c r="Y412" s="381"/>
      <c r="Z412" s="464"/>
      <c r="AA412" s="381"/>
      <c r="AB412" s="381"/>
      <c r="AC412" s="381"/>
      <c r="AD412" s="381"/>
      <c r="AE412" s="381"/>
      <c r="AF412" s="381"/>
      <c r="AI412" s="381"/>
      <c r="AJ412" s="381"/>
      <c r="AK412" s="162"/>
      <c r="AL412" s="381"/>
    </row>
    <row r="413" spans="1:40" x14ac:dyDescent="0.25">
      <c r="A413" s="53"/>
      <c r="C413" s="54"/>
      <c r="J413" s="77"/>
      <c r="T413" s="54"/>
    </row>
    <row r="414" spans="1:40" x14ac:dyDescent="0.25">
      <c r="A414" s="53"/>
      <c r="C414" s="54"/>
      <c r="F414" s="449"/>
      <c r="H414" s="449"/>
      <c r="I414" s="449"/>
      <c r="J414" s="221"/>
      <c r="K414" s="461"/>
      <c r="L414" s="379"/>
      <c r="M414" s="379"/>
      <c r="N414" s="50"/>
      <c r="O414" s="50"/>
      <c r="P414" s="379"/>
      <c r="Q414" s="379"/>
      <c r="R414" s="379"/>
      <c r="T414" s="54"/>
      <c r="V414" s="379"/>
      <c r="Y414" s="379"/>
      <c r="Z414" s="461"/>
      <c r="AA414" s="379"/>
      <c r="AB414" s="379"/>
      <c r="AC414" s="50"/>
      <c r="AD414" s="50"/>
      <c r="AE414" s="379"/>
      <c r="AF414" s="379"/>
      <c r="AG414" s="156"/>
      <c r="AH414" s="60"/>
      <c r="AI414" s="379"/>
      <c r="AJ414" s="379"/>
      <c r="AK414" s="156"/>
      <c r="AL414" s="379"/>
      <c r="AM414" s="50"/>
      <c r="AN414" s="50"/>
    </row>
    <row r="415" spans="1:40" x14ac:dyDescent="0.25">
      <c r="A415" s="53"/>
      <c r="C415" s="54"/>
      <c r="F415" s="449"/>
      <c r="H415" s="449"/>
      <c r="I415" s="449"/>
      <c r="J415" s="221"/>
      <c r="K415" s="461"/>
      <c r="L415" s="379"/>
      <c r="M415" s="379"/>
      <c r="N415" s="50"/>
      <c r="O415" s="50"/>
      <c r="P415" s="379"/>
      <c r="Q415" s="379"/>
      <c r="R415" s="379"/>
      <c r="T415" s="54"/>
      <c r="V415" s="379"/>
      <c r="Y415" s="379"/>
      <c r="Z415" s="461"/>
      <c r="AA415" s="379"/>
      <c r="AB415" s="379"/>
      <c r="AC415" s="50"/>
      <c r="AD415" s="50"/>
      <c r="AE415" s="379"/>
      <c r="AF415" s="379"/>
      <c r="AG415" s="156"/>
      <c r="AH415" s="60"/>
      <c r="AI415" s="379"/>
      <c r="AJ415" s="379"/>
      <c r="AK415" s="156"/>
      <c r="AL415" s="379"/>
      <c r="AM415" s="50"/>
      <c r="AN415" s="50"/>
    </row>
    <row r="416" spans="1:40" x14ac:dyDescent="0.25">
      <c r="F416" s="381"/>
      <c r="H416" s="379"/>
      <c r="I416" s="379"/>
      <c r="J416" s="221"/>
      <c r="K416" s="464"/>
      <c r="L416" s="381"/>
      <c r="M416" s="381"/>
      <c r="N416" s="381"/>
      <c r="O416" s="381"/>
      <c r="P416" s="381"/>
      <c r="Q416" s="381"/>
      <c r="R416" s="381"/>
      <c r="V416" s="381"/>
      <c r="Y416" s="379"/>
      <c r="Z416" s="464"/>
      <c r="AA416" s="381"/>
      <c r="AB416" s="381"/>
      <c r="AC416" s="381"/>
      <c r="AD416" s="381"/>
      <c r="AE416" s="381"/>
      <c r="AF416" s="381"/>
      <c r="AI416" s="381"/>
      <c r="AJ416" s="381"/>
      <c r="AK416" s="162"/>
      <c r="AL416" s="381"/>
    </row>
    <row r="417" spans="1:40" x14ac:dyDescent="0.25">
      <c r="F417" s="379"/>
      <c r="H417" s="379"/>
      <c r="I417" s="379"/>
      <c r="J417" s="221"/>
      <c r="K417" s="464"/>
      <c r="L417" s="379"/>
      <c r="M417" s="379"/>
      <c r="N417" s="379"/>
      <c r="O417" s="379"/>
      <c r="P417" s="379"/>
      <c r="Q417" s="379"/>
      <c r="R417" s="379"/>
      <c r="V417" s="379"/>
      <c r="Y417" s="379"/>
      <c r="Z417" s="464"/>
      <c r="AA417" s="379"/>
      <c r="AB417" s="379"/>
      <c r="AC417" s="379"/>
      <c r="AD417" s="379"/>
      <c r="AE417" s="379"/>
      <c r="AF417" s="379"/>
      <c r="AI417" s="379"/>
      <c r="AJ417" s="379"/>
      <c r="AK417" s="156"/>
      <c r="AL417" s="379"/>
    </row>
    <row r="418" spans="1:40" x14ac:dyDescent="0.25">
      <c r="A418" s="53"/>
      <c r="C418" s="54"/>
      <c r="F418" s="379"/>
      <c r="H418" s="379"/>
      <c r="I418" s="379"/>
      <c r="J418" s="77"/>
      <c r="L418" s="379"/>
      <c r="M418" s="379"/>
      <c r="N418" s="50"/>
      <c r="O418" s="50"/>
      <c r="P418" s="379"/>
      <c r="Q418" s="379"/>
      <c r="R418" s="379"/>
      <c r="T418" s="54"/>
      <c r="V418" s="379"/>
      <c r="Y418" s="379"/>
      <c r="AA418" s="379"/>
      <c r="AB418" s="379"/>
      <c r="AC418" s="50"/>
      <c r="AD418" s="50"/>
      <c r="AE418" s="379"/>
      <c r="AF418" s="379"/>
      <c r="AG418" s="156"/>
      <c r="AH418" s="60"/>
      <c r="AI418" s="449"/>
      <c r="AJ418" s="449"/>
      <c r="AK418" s="156"/>
      <c r="AL418" s="379"/>
      <c r="AM418" s="50"/>
      <c r="AN418" s="50"/>
    </row>
    <row r="419" spans="1:40" x14ac:dyDescent="0.25">
      <c r="H419" s="381"/>
      <c r="I419" s="381"/>
      <c r="J419" s="221"/>
      <c r="K419" s="464"/>
      <c r="L419" s="381"/>
      <c r="M419" s="381"/>
      <c r="N419" s="381"/>
      <c r="O419" s="381"/>
      <c r="P419" s="381"/>
      <c r="Q419" s="381"/>
      <c r="R419" s="381"/>
      <c r="V419" s="381"/>
      <c r="Y419" s="381"/>
      <c r="Z419" s="464"/>
      <c r="AA419" s="381"/>
      <c r="AB419" s="381"/>
      <c r="AC419" s="381"/>
      <c r="AD419" s="381"/>
      <c r="AE419" s="381"/>
      <c r="AF419" s="381"/>
      <c r="AI419" s="381"/>
      <c r="AJ419" s="381"/>
      <c r="AK419" s="162"/>
      <c r="AL419" s="381"/>
    </row>
    <row r="420" spans="1:40" x14ac:dyDescent="0.25">
      <c r="F420" s="381"/>
      <c r="J420" s="77"/>
    </row>
    <row r="421" spans="1:40" x14ac:dyDescent="0.25">
      <c r="A421" s="54"/>
      <c r="J421" s="77"/>
      <c r="T421" s="54"/>
    </row>
    <row r="422" spans="1:40" x14ac:dyDescent="0.25">
      <c r="A422" s="54"/>
      <c r="J422" s="77"/>
      <c r="T422" s="54"/>
    </row>
    <row r="423" spans="1:40" x14ac:dyDescent="0.25">
      <c r="A423" s="54"/>
      <c r="J423" s="77"/>
      <c r="T423" s="54"/>
    </row>
    <row r="424" spans="1:40" x14ac:dyDescent="0.25">
      <c r="A424" s="54"/>
      <c r="J424" s="77"/>
      <c r="T424" s="54"/>
    </row>
    <row r="425" spans="1:40" x14ac:dyDescent="0.25">
      <c r="A425" s="54"/>
      <c r="J425" s="77"/>
      <c r="T425" s="54"/>
    </row>
    <row r="426" spans="1:40" x14ac:dyDescent="0.25">
      <c r="A426" s="54"/>
      <c r="J426" s="77"/>
      <c r="T426" s="54"/>
    </row>
    <row r="427" spans="1:40" x14ac:dyDescent="0.25">
      <c r="A427" s="54"/>
      <c r="J427" s="77"/>
      <c r="T427" s="54"/>
    </row>
    <row r="428" spans="1:40" x14ac:dyDescent="0.25">
      <c r="A428" s="54"/>
      <c r="J428" s="77"/>
      <c r="T428" s="54"/>
    </row>
    <row r="429" spans="1:40" x14ac:dyDescent="0.25">
      <c r="A429" s="54"/>
      <c r="J429" s="77"/>
      <c r="T429" s="54"/>
    </row>
    <row r="430" spans="1:40" x14ac:dyDescent="0.25">
      <c r="J430" s="77"/>
    </row>
    <row r="431" spans="1:40" x14ac:dyDescent="0.25">
      <c r="A431" s="54"/>
      <c r="J431" s="77"/>
    </row>
    <row r="432" spans="1:40" x14ac:dyDescent="0.25">
      <c r="J432" s="65"/>
      <c r="K432" s="53"/>
      <c r="Z432" s="53"/>
    </row>
    <row r="433" spans="1:40" x14ac:dyDescent="0.25">
      <c r="H433" s="54"/>
      <c r="I433" s="54"/>
      <c r="J433" s="77"/>
      <c r="Y433" s="54"/>
    </row>
    <row r="434" spans="1:40" x14ac:dyDescent="0.25">
      <c r="J434" s="65"/>
      <c r="K434" s="53"/>
      <c r="Z434" s="53"/>
    </row>
    <row r="435" spans="1:40" x14ac:dyDescent="0.25">
      <c r="J435" s="77"/>
      <c r="L435" s="54"/>
      <c r="M435" s="54"/>
      <c r="AA435" s="54"/>
      <c r="AB435" s="54"/>
    </row>
    <row r="436" spans="1:40" x14ac:dyDescent="0.25">
      <c r="A436" s="53"/>
      <c r="J436" s="77"/>
      <c r="R436" s="54"/>
      <c r="AK436" s="161"/>
      <c r="AL436" s="54"/>
    </row>
    <row r="437" spans="1:40" x14ac:dyDescent="0.25">
      <c r="A437" s="53"/>
      <c r="J437" s="77"/>
      <c r="R437" s="54"/>
      <c r="AK437" s="161"/>
      <c r="AL437" s="54"/>
    </row>
    <row r="438" spans="1:40" x14ac:dyDescent="0.25">
      <c r="A438" s="54"/>
      <c r="J438" s="77"/>
      <c r="R438" s="54"/>
      <c r="AK438" s="161"/>
      <c r="AL438" s="54"/>
    </row>
    <row r="439" spans="1:40" x14ac:dyDescent="0.25">
      <c r="J439" s="77"/>
      <c r="L439" s="54"/>
      <c r="M439" s="54"/>
      <c r="R439" s="53"/>
      <c r="AA439" s="54"/>
      <c r="AB439" s="54"/>
      <c r="AK439" s="156"/>
      <c r="AL439" s="53"/>
    </row>
    <row r="440" spans="1:40" x14ac:dyDescent="0.25">
      <c r="A440" s="55"/>
      <c r="B440" s="55"/>
      <c r="C440" s="55"/>
      <c r="D440" s="55"/>
      <c r="E440" s="55"/>
      <c r="F440" s="55"/>
      <c r="G440" s="55"/>
      <c r="H440" s="55"/>
      <c r="I440" s="55"/>
      <c r="J440" s="66"/>
      <c r="K440" s="55"/>
      <c r="L440" s="55"/>
      <c r="M440" s="55"/>
      <c r="N440" s="55"/>
      <c r="O440" s="55"/>
      <c r="P440" s="55"/>
      <c r="Q440" s="55"/>
      <c r="R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154"/>
      <c r="AH440" s="55"/>
      <c r="AI440" s="55"/>
      <c r="AJ440" s="55"/>
      <c r="AK440" s="154"/>
      <c r="AL440" s="55"/>
      <c r="AM440" s="55"/>
      <c r="AN440" s="55"/>
    </row>
    <row r="441" spans="1:40" x14ac:dyDescent="0.25">
      <c r="J441" s="77"/>
      <c r="L441" s="56"/>
      <c r="M441" s="56"/>
      <c r="N441" s="56"/>
      <c r="O441" s="56"/>
      <c r="R441" s="56"/>
      <c r="AA441" s="56"/>
      <c r="AB441" s="56"/>
      <c r="AC441" s="56"/>
      <c r="AD441" s="56"/>
      <c r="AE441" s="56"/>
      <c r="AF441" s="56"/>
      <c r="AG441" s="155"/>
      <c r="AH441" s="56"/>
      <c r="AK441" s="155"/>
      <c r="AL441" s="56"/>
      <c r="AM441" s="56"/>
      <c r="AN441" s="56"/>
    </row>
    <row r="442" spans="1:40" x14ac:dyDescent="0.25">
      <c r="J442" s="77"/>
      <c r="L442" s="56"/>
      <c r="M442" s="56"/>
      <c r="N442" s="56"/>
      <c r="O442" s="56"/>
      <c r="R442" s="56"/>
      <c r="Z442" s="56"/>
      <c r="AA442" s="56"/>
      <c r="AB442" s="56"/>
      <c r="AC442" s="56"/>
      <c r="AD442" s="56"/>
      <c r="AE442" s="56"/>
      <c r="AF442" s="56"/>
      <c r="AG442" s="155"/>
      <c r="AH442" s="56"/>
      <c r="AK442" s="155"/>
      <c r="AL442" s="56"/>
      <c r="AM442" s="56"/>
      <c r="AN442" s="56"/>
    </row>
    <row r="443" spans="1:40" x14ac:dyDescent="0.25">
      <c r="A443" s="56"/>
      <c r="C443" s="56"/>
      <c r="D443" s="56"/>
      <c r="E443" s="56"/>
      <c r="F443" s="56"/>
      <c r="J443" s="67"/>
      <c r="K443" s="56"/>
      <c r="L443" s="56"/>
      <c r="M443" s="56"/>
      <c r="N443" s="56"/>
      <c r="O443" s="56"/>
      <c r="P443" s="56"/>
      <c r="Q443" s="56"/>
      <c r="R443" s="56"/>
      <c r="T443" s="56"/>
      <c r="U443" s="56"/>
      <c r="V443" s="56"/>
      <c r="Z443" s="56"/>
      <c r="AA443" s="56"/>
      <c r="AB443" s="56"/>
      <c r="AC443" s="56"/>
      <c r="AD443" s="56"/>
      <c r="AE443" s="56"/>
      <c r="AF443" s="56"/>
      <c r="AG443" s="155"/>
      <c r="AH443" s="56"/>
      <c r="AI443" s="56"/>
      <c r="AJ443" s="56"/>
      <c r="AK443" s="155"/>
      <c r="AL443" s="56"/>
      <c r="AM443" s="56"/>
      <c r="AN443" s="56"/>
    </row>
    <row r="444" spans="1:40" x14ac:dyDescent="0.25">
      <c r="A444" s="56"/>
      <c r="C444" s="56"/>
      <c r="D444" s="56"/>
      <c r="E444" s="56"/>
      <c r="F444" s="56"/>
      <c r="H444" s="56"/>
      <c r="I444" s="56"/>
      <c r="J444" s="67"/>
      <c r="K444" s="56"/>
      <c r="L444" s="56"/>
      <c r="M444" s="56"/>
      <c r="N444" s="56"/>
      <c r="O444" s="56"/>
      <c r="P444" s="56"/>
      <c r="Q444" s="56"/>
      <c r="R444" s="56"/>
      <c r="T444" s="56"/>
      <c r="U444" s="56"/>
      <c r="V444" s="56"/>
      <c r="Y444" s="56"/>
      <c r="Z444" s="56"/>
      <c r="AA444" s="56"/>
      <c r="AB444" s="56"/>
      <c r="AC444" s="56"/>
      <c r="AD444" s="56"/>
      <c r="AE444" s="56"/>
      <c r="AF444" s="56"/>
      <c r="AG444" s="155"/>
      <c r="AH444" s="56"/>
      <c r="AI444" s="56"/>
      <c r="AJ444" s="56"/>
      <c r="AK444" s="155"/>
      <c r="AL444" s="56"/>
      <c r="AM444" s="56"/>
      <c r="AN444" s="56"/>
    </row>
    <row r="445" spans="1:40" x14ac:dyDescent="0.25">
      <c r="C445" s="56"/>
      <c r="D445" s="56"/>
      <c r="E445" s="56"/>
      <c r="F445" s="56"/>
      <c r="H445" s="56"/>
      <c r="I445" s="56"/>
      <c r="J445" s="67"/>
      <c r="K445" s="56"/>
      <c r="L445" s="56"/>
      <c r="M445" s="56"/>
      <c r="N445" s="56"/>
      <c r="O445" s="56"/>
      <c r="P445" s="56"/>
      <c r="Q445" s="56"/>
      <c r="R445" s="56"/>
      <c r="T445" s="56"/>
      <c r="U445" s="56"/>
      <c r="V445" s="56"/>
      <c r="Y445" s="56"/>
      <c r="Z445" s="56"/>
      <c r="AA445" s="56"/>
      <c r="AB445" s="56"/>
      <c r="AC445" s="56"/>
      <c r="AD445" s="56"/>
      <c r="AE445" s="56"/>
      <c r="AF445" s="56"/>
      <c r="AG445" s="155"/>
      <c r="AH445" s="56"/>
      <c r="AI445" s="56"/>
      <c r="AJ445" s="56"/>
      <c r="AK445" s="155"/>
      <c r="AL445" s="56"/>
      <c r="AM445" s="56"/>
      <c r="AN445" s="56"/>
    </row>
    <row r="446" spans="1:40" x14ac:dyDescent="0.25">
      <c r="A446" s="55"/>
      <c r="B446" s="55"/>
      <c r="C446" s="55"/>
      <c r="D446" s="55"/>
      <c r="E446" s="55"/>
      <c r="F446" s="55"/>
      <c r="G446" s="55"/>
      <c r="H446" s="55"/>
      <c r="I446" s="55"/>
      <c r="J446" s="66"/>
      <c r="K446" s="55"/>
      <c r="L446" s="55"/>
      <c r="M446" s="55"/>
      <c r="N446" s="55"/>
      <c r="O446" s="55"/>
      <c r="P446" s="55"/>
      <c r="Q446" s="55"/>
      <c r="R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154"/>
      <c r="AH446" s="55"/>
      <c r="AI446" s="55"/>
      <c r="AJ446" s="55"/>
      <c r="AK446" s="154"/>
      <c r="AL446" s="55"/>
      <c r="AM446" s="55"/>
      <c r="AN446" s="55"/>
    </row>
    <row r="447" spans="1:40" x14ac:dyDescent="0.25">
      <c r="H447" s="56"/>
      <c r="I447" s="56"/>
      <c r="J447" s="67"/>
      <c r="K447" s="56"/>
      <c r="L447" s="56"/>
      <c r="M447" s="56"/>
      <c r="N447" s="56"/>
      <c r="O447" s="56"/>
      <c r="P447" s="56"/>
      <c r="Q447" s="56"/>
      <c r="R447" s="56"/>
      <c r="Y447" s="56"/>
      <c r="Z447" s="56"/>
      <c r="AA447" s="56"/>
      <c r="AB447" s="56"/>
      <c r="AC447" s="56"/>
      <c r="AD447" s="56"/>
      <c r="AE447" s="56"/>
      <c r="AF447" s="56"/>
      <c r="AG447" s="155"/>
      <c r="AH447" s="56"/>
      <c r="AI447" s="56"/>
      <c r="AJ447" s="56"/>
      <c r="AK447" s="155"/>
      <c r="AL447" s="56"/>
      <c r="AM447" s="56"/>
      <c r="AN447" s="56"/>
    </row>
    <row r="448" spans="1:40" x14ac:dyDescent="0.25">
      <c r="A448" s="53"/>
      <c r="C448" s="54"/>
      <c r="D448" s="54"/>
      <c r="E448" s="54"/>
      <c r="J448" s="77"/>
      <c r="T448" s="54"/>
      <c r="U448" s="54"/>
    </row>
    <row r="449" spans="1:40" x14ac:dyDescent="0.25">
      <c r="A449" s="53"/>
      <c r="D449" s="54"/>
      <c r="E449" s="54"/>
      <c r="J449" s="77"/>
      <c r="U449" s="54"/>
    </row>
    <row r="450" spans="1:40" x14ac:dyDescent="0.25">
      <c r="J450" s="77"/>
    </row>
    <row r="451" spans="1:40" x14ac:dyDescent="0.25">
      <c r="A451" s="53"/>
      <c r="C451" s="54"/>
      <c r="F451" s="379"/>
      <c r="J451" s="65"/>
      <c r="K451" s="62"/>
      <c r="L451" s="379"/>
      <c r="M451" s="379"/>
      <c r="R451" s="379"/>
      <c r="T451" s="54"/>
      <c r="V451" s="379"/>
      <c r="Z451" s="62"/>
      <c r="AA451" s="379"/>
      <c r="AB451" s="379"/>
      <c r="AG451" s="156"/>
      <c r="AH451" s="379"/>
      <c r="AK451" s="156"/>
      <c r="AL451" s="379"/>
    </row>
    <row r="452" spans="1:40" x14ac:dyDescent="0.25">
      <c r="A452" s="53"/>
      <c r="C452" s="54"/>
      <c r="F452" s="379"/>
      <c r="J452" s="77"/>
      <c r="R452" s="379"/>
      <c r="T452" s="54"/>
      <c r="V452" s="379"/>
      <c r="AG452" s="156"/>
      <c r="AH452" s="379"/>
      <c r="AK452" s="156"/>
      <c r="AL452" s="379"/>
    </row>
    <row r="453" spans="1:40" x14ac:dyDescent="0.25">
      <c r="J453" s="77"/>
      <c r="AI453" s="379"/>
      <c r="AJ453" s="379"/>
      <c r="AK453" s="156"/>
      <c r="AL453" s="379"/>
      <c r="AM453" s="50"/>
      <c r="AN453" s="50"/>
    </row>
    <row r="454" spans="1:40" x14ac:dyDescent="0.25">
      <c r="A454" s="53"/>
      <c r="C454" s="54"/>
      <c r="F454" s="449"/>
      <c r="H454" s="449"/>
      <c r="I454" s="449"/>
      <c r="J454" s="221"/>
      <c r="K454" s="477"/>
      <c r="L454" s="379"/>
      <c r="M454" s="379"/>
      <c r="N454" s="50"/>
      <c r="O454" s="50"/>
      <c r="P454" s="379"/>
      <c r="Q454" s="379"/>
      <c r="R454" s="379"/>
      <c r="T454" s="54"/>
      <c r="V454" s="379"/>
      <c r="Y454" s="379"/>
      <c r="Z454" s="477"/>
      <c r="AA454" s="379"/>
      <c r="AB454" s="379"/>
      <c r="AC454" s="50"/>
      <c r="AD454" s="50"/>
      <c r="AE454" s="379"/>
      <c r="AF454" s="379"/>
      <c r="AG454" s="156"/>
      <c r="AH454" s="60"/>
      <c r="AI454" s="379"/>
      <c r="AJ454" s="379"/>
      <c r="AK454" s="156"/>
      <c r="AL454" s="379"/>
      <c r="AM454" s="50"/>
      <c r="AN454" s="50"/>
    </row>
    <row r="455" spans="1:40" x14ac:dyDescent="0.25">
      <c r="F455" s="379"/>
      <c r="H455" s="379"/>
      <c r="I455" s="379"/>
      <c r="J455" s="65"/>
      <c r="K455" s="59"/>
      <c r="L455" s="379"/>
      <c r="M455" s="379"/>
      <c r="P455" s="379"/>
      <c r="Q455" s="379"/>
      <c r="R455" s="379"/>
      <c r="V455" s="379"/>
      <c r="Y455" s="379"/>
      <c r="Z455" s="59"/>
      <c r="AA455" s="379"/>
      <c r="AB455" s="379"/>
      <c r="AI455" s="379"/>
      <c r="AJ455" s="379"/>
      <c r="AK455" s="156"/>
      <c r="AL455" s="379"/>
      <c r="AM455" s="50"/>
      <c r="AN455" s="50"/>
    </row>
    <row r="456" spans="1:40" x14ac:dyDescent="0.25">
      <c r="F456" s="379"/>
      <c r="J456" s="77"/>
      <c r="R456" s="379"/>
      <c r="V456" s="379"/>
      <c r="AK456" s="156"/>
      <c r="AL456" s="379"/>
      <c r="AM456" s="50"/>
      <c r="AN456" s="50"/>
    </row>
    <row r="457" spans="1:40" x14ac:dyDescent="0.25">
      <c r="A457" s="53"/>
      <c r="C457" s="54"/>
      <c r="F457" s="379"/>
      <c r="J457" s="65"/>
      <c r="K457" s="62"/>
      <c r="L457" s="379"/>
      <c r="M457" s="379"/>
      <c r="N457" s="50"/>
      <c r="O457" s="50"/>
      <c r="R457" s="379"/>
      <c r="T457" s="54"/>
      <c r="V457" s="379"/>
      <c r="Z457" s="62"/>
      <c r="AA457" s="379"/>
      <c r="AB457" s="379"/>
      <c r="AC457" s="50"/>
      <c r="AD457" s="50"/>
      <c r="AK457" s="156"/>
      <c r="AL457" s="379"/>
      <c r="AM457" s="50"/>
      <c r="AN457" s="50"/>
    </row>
    <row r="458" spans="1:40" x14ac:dyDescent="0.25">
      <c r="A458" s="53"/>
      <c r="C458" s="54"/>
      <c r="F458" s="379"/>
      <c r="H458" s="379"/>
      <c r="I458" s="379"/>
      <c r="J458" s="65"/>
      <c r="K458" s="62"/>
      <c r="L458" s="379"/>
      <c r="M458" s="379"/>
      <c r="N458" s="50"/>
      <c r="O458" s="50"/>
      <c r="P458" s="379"/>
      <c r="Q458" s="379"/>
      <c r="R458" s="379"/>
      <c r="T458" s="54"/>
      <c r="V458" s="379"/>
      <c r="Y458" s="379"/>
      <c r="Z458" s="62"/>
      <c r="AA458" s="379"/>
      <c r="AB458" s="379"/>
      <c r="AC458" s="50"/>
      <c r="AD458" s="50"/>
      <c r="AI458" s="379"/>
      <c r="AJ458" s="379"/>
      <c r="AK458" s="156"/>
      <c r="AL458" s="379"/>
      <c r="AM458" s="50"/>
      <c r="AN458" s="50"/>
    </row>
    <row r="459" spans="1:40" x14ac:dyDescent="0.25">
      <c r="A459" s="53"/>
      <c r="C459" s="54"/>
      <c r="J459" s="77"/>
      <c r="T459" s="54"/>
      <c r="AM459" s="50"/>
      <c r="AN459" s="50"/>
    </row>
    <row r="460" spans="1:40" x14ac:dyDescent="0.25">
      <c r="A460" s="53"/>
      <c r="C460" s="54"/>
      <c r="J460" s="77"/>
      <c r="T460" s="54"/>
      <c r="AM460" s="50"/>
      <c r="AN460" s="50"/>
    </row>
    <row r="461" spans="1:40" x14ac:dyDescent="0.25">
      <c r="J461" s="77"/>
      <c r="AM461" s="50"/>
      <c r="AN461" s="50"/>
    </row>
    <row r="462" spans="1:40" x14ac:dyDescent="0.25">
      <c r="A462" s="53"/>
      <c r="C462" s="54"/>
      <c r="F462" s="449"/>
      <c r="H462" s="449"/>
      <c r="I462" s="449"/>
      <c r="J462" s="221"/>
      <c r="K462" s="477"/>
      <c r="L462" s="379"/>
      <c r="M462" s="379"/>
      <c r="N462" s="50"/>
      <c r="O462" s="50"/>
      <c r="P462" s="379"/>
      <c r="Q462" s="379"/>
      <c r="R462" s="379"/>
      <c r="T462" s="54"/>
      <c r="V462" s="379"/>
      <c r="Y462" s="379"/>
      <c r="Z462" s="477"/>
      <c r="AA462" s="379"/>
      <c r="AB462" s="379"/>
      <c r="AC462" s="50"/>
      <c r="AD462" s="50"/>
      <c r="AE462" s="379"/>
      <c r="AF462" s="379"/>
      <c r="AG462" s="156"/>
      <c r="AH462" s="60"/>
      <c r="AI462" s="379"/>
      <c r="AJ462" s="379"/>
      <c r="AK462" s="156"/>
      <c r="AL462" s="379"/>
      <c r="AM462" s="50"/>
      <c r="AN462" s="50"/>
    </row>
    <row r="463" spans="1:40" x14ac:dyDescent="0.25">
      <c r="F463" s="381"/>
      <c r="H463" s="381"/>
      <c r="I463" s="381"/>
      <c r="J463" s="221"/>
      <c r="K463" s="464"/>
      <c r="L463" s="381"/>
      <c r="M463" s="381"/>
      <c r="N463" s="381"/>
      <c r="O463" s="381"/>
      <c r="P463" s="381"/>
      <c r="Q463" s="381"/>
      <c r="R463" s="381"/>
      <c r="V463" s="381"/>
      <c r="Y463" s="381"/>
      <c r="Z463" s="464"/>
      <c r="AA463" s="381"/>
      <c r="AB463" s="381"/>
      <c r="AC463" s="381"/>
      <c r="AD463" s="381"/>
      <c r="AE463" s="381"/>
      <c r="AF463" s="381"/>
      <c r="AI463" s="381"/>
      <c r="AJ463" s="381"/>
      <c r="AK463" s="162"/>
      <c r="AL463" s="381"/>
      <c r="AM463" s="50"/>
      <c r="AN463" s="50"/>
    </row>
    <row r="464" spans="1:40" x14ac:dyDescent="0.25">
      <c r="H464" s="379"/>
      <c r="I464" s="379"/>
      <c r="J464" s="77"/>
      <c r="Y464" s="379"/>
      <c r="AM464" s="50"/>
      <c r="AN464" s="50"/>
    </row>
    <row r="465" spans="1:40" x14ac:dyDescent="0.25">
      <c r="A465" s="53"/>
      <c r="C465" s="54"/>
      <c r="F465" s="379"/>
      <c r="H465" s="379"/>
      <c r="I465" s="379"/>
      <c r="J465" s="77"/>
      <c r="L465" s="379"/>
      <c r="M465" s="379"/>
      <c r="N465" s="50"/>
      <c r="O465" s="50"/>
      <c r="P465" s="449"/>
      <c r="Q465" s="449"/>
      <c r="R465" s="379"/>
      <c r="T465" s="54"/>
      <c r="V465" s="379"/>
      <c r="Y465" s="379"/>
      <c r="AA465" s="379"/>
      <c r="AB465" s="379"/>
      <c r="AC465" s="50"/>
      <c r="AD465" s="50"/>
      <c r="AE465" s="379"/>
      <c r="AF465" s="379"/>
      <c r="AG465" s="156"/>
      <c r="AH465" s="60"/>
      <c r="AI465" s="449"/>
      <c r="AJ465" s="449"/>
      <c r="AK465" s="156"/>
      <c r="AL465" s="379"/>
      <c r="AM465" s="50"/>
      <c r="AN465" s="50"/>
    </row>
    <row r="466" spans="1:40" x14ac:dyDescent="0.25">
      <c r="H466" s="381"/>
      <c r="I466" s="381"/>
      <c r="J466" s="221"/>
      <c r="K466" s="464"/>
      <c r="L466" s="381"/>
      <c r="M466" s="381"/>
      <c r="N466" s="381"/>
      <c r="O466" s="381"/>
      <c r="P466" s="381"/>
      <c r="Q466" s="381"/>
      <c r="R466" s="381"/>
      <c r="V466" s="381"/>
      <c r="Y466" s="381"/>
      <c r="Z466" s="464"/>
      <c r="AA466" s="381"/>
      <c r="AB466" s="381"/>
      <c r="AC466" s="381"/>
      <c r="AD466" s="381"/>
      <c r="AE466" s="381"/>
      <c r="AF466" s="381"/>
      <c r="AI466" s="381"/>
      <c r="AJ466" s="381"/>
      <c r="AK466" s="162"/>
      <c r="AL466" s="381"/>
      <c r="AM466" s="50"/>
      <c r="AN466" s="50"/>
    </row>
    <row r="467" spans="1:40" x14ac:dyDescent="0.25">
      <c r="F467" s="381"/>
      <c r="J467" s="77"/>
    </row>
    <row r="468" spans="1:40" x14ac:dyDescent="0.25">
      <c r="F468" s="379"/>
      <c r="H468" s="379"/>
      <c r="I468" s="379"/>
      <c r="J468" s="65"/>
      <c r="K468" s="59"/>
      <c r="L468" s="379"/>
      <c r="M468" s="379"/>
      <c r="N468" s="379"/>
      <c r="O468" s="379"/>
      <c r="P468" s="379"/>
      <c r="Q468" s="379"/>
      <c r="R468" s="379"/>
      <c r="V468" s="379"/>
      <c r="Y468" s="379"/>
      <c r="Z468" s="59"/>
      <c r="AA468" s="379"/>
      <c r="AB468" s="379"/>
      <c r="AC468" s="379"/>
      <c r="AD468" s="379"/>
      <c r="AE468" s="379"/>
      <c r="AF468" s="379"/>
      <c r="AG468" s="156"/>
      <c r="AH468" s="379"/>
      <c r="AI468" s="379"/>
      <c r="AJ468" s="379"/>
      <c r="AK468" s="156"/>
      <c r="AL468" s="379"/>
    </row>
    <row r="469" spans="1:40" x14ac:dyDescent="0.25">
      <c r="A469" s="54"/>
      <c r="J469" s="77"/>
    </row>
    <row r="470" spans="1:40" x14ac:dyDescent="0.25">
      <c r="J470" s="65"/>
      <c r="K470" s="53"/>
      <c r="Z470" s="53"/>
    </row>
    <row r="471" spans="1:40" x14ac:dyDescent="0.25">
      <c r="H471" s="54"/>
      <c r="I471" s="54"/>
      <c r="J471" s="77"/>
      <c r="Y471" s="54"/>
    </row>
    <row r="472" spans="1:40" x14ac:dyDescent="0.25">
      <c r="J472" s="65"/>
      <c r="K472" s="53"/>
      <c r="Z472" s="53"/>
    </row>
    <row r="473" spans="1:40" x14ac:dyDescent="0.25">
      <c r="J473" s="77"/>
      <c r="L473" s="54"/>
      <c r="M473" s="54"/>
      <c r="AA473" s="54"/>
      <c r="AB473" s="54"/>
    </row>
    <row r="474" spans="1:40" x14ac:dyDescent="0.25">
      <c r="A474" s="53"/>
      <c r="J474" s="77"/>
      <c r="R474" s="54"/>
      <c r="AK474" s="161"/>
      <c r="AL474" s="54"/>
    </row>
    <row r="475" spans="1:40" x14ac:dyDescent="0.25">
      <c r="A475" s="53"/>
      <c r="J475" s="77"/>
      <c r="R475" s="54"/>
      <c r="AK475" s="161"/>
      <c r="AL475" s="54"/>
    </row>
    <row r="476" spans="1:40" x14ac:dyDescent="0.25">
      <c r="A476" s="54"/>
      <c r="J476" s="77"/>
      <c r="R476" s="54"/>
      <c r="AK476" s="161"/>
      <c r="AL476" s="54"/>
    </row>
    <row r="477" spans="1:40" x14ac:dyDescent="0.25">
      <c r="J477" s="77"/>
      <c r="L477" s="54"/>
      <c r="M477" s="54"/>
      <c r="R477" s="53"/>
      <c r="AA477" s="54"/>
      <c r="AB477" s="54"/>
      <c r="AK477" s="156"/>
      <c r="AL477" s="53"/>
    </row>
    <row r="478" spans="1:40" x14ac:dyDescent="0.25">
      <c r="A478" s="55"/>
      <c r="B478" s="55"/>
      <c r="C478" s="55"/>
      <c r="D478" s="55"/>
      <c r="E478" s="55"/>
      <c r="F478" s="55"/>
      <c r="G478" s="55"/>
      <c r="H478" s="55"/>
      <c r="I478" s="55"/>
      <c r="J478" s="66"/>
      <c r="K478" s="55"/>
      <c r="L478" s="55"/>
      <c r="M478" s="55"/>
      <c r="N478" s="55"/>
      <c r="O478" s="55"/>
      <c r="P478" s="55"/>
      <c r="Q478" s="55"/>
      <c r="R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154"/>
      <c r="AH478" s="55"/>
      <c r="AI478" s="55"/>
      <c r="AJ478" s="55"/>
      <c r="AK478" s="154"/>
      <c r="AL478" s="55"/>
      <c r="AM478" s="55"/>
      <c r="AN478" s="55"/>
    </row>
    <row r="479" spans="1:40" x14ac:dyDescent="0.25">
      <c r="J479" s="77"/>
      <c r="L479" s="56"/>
      <c r="M479" s="56"/>
      <c r="N479" s="56"/>
      <c r="O479" s="56"/>
      <c r="R479" s="56"/>
      <c r="AA479" s="56"/>
      <c r="AB479" s="56"/>
      <c r="AC479" s="56"/>
      <c r="AD479" s="56"/>
      <c r="AE479" s="56"/>
      <c r="AF479" s="56"/>
      <c r="AG479" s="155"/>
      <c r="AH479" s="56"/>
      <c r="AK479" s="155"/>
      <c r="AL479" s="56"/>
      <c r="AM479" s="56"/>
      <c r="AN479" s="56"/>
    </row>
    <row r="480" spans="1:40" x14ac:dyDescent="0.25">
      <c r="J480" s="77"/>
      <c r="L480" s="56"/>
      <c r="M480" s="56"/>
      <c r="N480" s="56"/>
      <c r="O480" s="56"/>
      <c r="R480" s="56"/>
      <c r="Z480" s="56"/>
      <c r="AA480" s="56"/>
      <c r="AB480" s="56"/>
      <c r="AC480" s="56"/>
      <c r="AD480" s="56"/>
      <c r="AE480" s="56"/>
      <c r="AF480" s="56"/>
      <c r="AG480" s="155"/>
      <c r="AH480" s="56"/>
      <c r="AK480" s="155"/>
      <c r="AL480" s="56"/>
      <c r="AM480" s="56"/>
      <c r="AN480" s="56"/>
    </row>
    <row r="481" spans="1:40" x14ac:dyDescent="0.25">
      <c r="A481" s="56"/>
      <c r="C481" s="56"/>
      <c r="D481" s="56"/>
      <c r="E481" s="56"/>
      <c r="F481" s="56"/>
      <c r="J481" s="67"/>
      <c r="K481" s="56"/>
      <c r="L481" s="56"/>
      <c r="M481" s="56"/>
      <c r="N481" s="56"/>
      <c r="O481" s="56"/>
      <c r="P481" s="56"/>
      <c r="Q481" s="56"/>
      <c r="R481" s="56"/>
      <c r="T481" s="56"/>
      <c r="U481" s="56"/>
      <c r="V481" s="56"/>
      <c r="Z481" s="56"/>
      <c r="AA481" s="56"/>
      <c r="AB481" s="56"/>
      <c r="AC481" s="56"/>
      <c r="AD481" s="56"/>
      <c r="AE481" s="56"/>
      <c r="AF481" s="56"/>
      <c r="AG481" s="155"/>
      <c r="AH481" s="56"/>
      <c r="AI481" s="56"/>
      <c r="AJ481" s="56"/>
      <c r="AK481" s="155"/>
      <c r="AL481" s="56"/>
      <c r="AM481" s="56"/>
      <c r="AN481" s="56"/>
    </row>
    <row r="482" spans="1:40" x14ac:dyDescent="0.25">
      <c r="A482" s="56"/>
      <c r="C482" s="56"/>
      <c r="D482" s="56"/>
      <c r="E482" s="56"/>
      <c r="F482" s="56"/>
      <c r="H482" s="56"/>
      <c r="I482" s="56"/>
      <c r="J482" s="67"/>
      <c r="K482" s="56"/>
      <c r="L482" s="56"/>
      <c r="M482" s="56"/>
      <c r="N482" s="56"/>
      <c r="O482" s="56"/>
      <c r="P482" s="56"/>
      <c r="Q482" s="56"/>
      <c r="R482" s="56"/>
      <c r="T482" s="56"/>
      <c r="U482" s="56"/>
      <c r="V482" s="56"/>
      <c r="Y482" s="56"/>
      <c r="Z482" s="56"/>
      <c r="AA482" s="56"/>
      <c r="AB482" s="56"/>
      <c r="AC482" s="56"/>
      <c r="AD482" s="56"/>
      <c r="AE482" s="56"/>
      <c r="AF482" s="56"/>
      <c r="AG482" s="155"/>
      <c r="AH482" s="56"/>
      <c r="AI482" s="56"/>
      <c r="AJ482" s="56"/>
      <c r="AK482" s="155"/>
      <c r="AL482" s="56"/>
      <c r="AM482" s="56"/>
      <c r="AN482" s="56"/>
    </row>
    <row r="483" spans="1:40" x14ac:dyDescent="0.25">
      <c r="C483" s="56"/>
      <c r="D483" s="56"/>
      <c r="E483" s="56"/>
      <c r="F483" s="56"/>
      <c r="H483" s="56"/>
      <c r="I483" s="56"/>
      <c r="J483" s="67"/>
      <c r="K483" s="56"/>
      <c r="L483" s="56"/>
      <c r="M483" s="56"/>
      <c r="N483" s="56"/>
      <c r="O483" s="56"/>
      <c r="P483" s="56"/>
      <c r="Q483" s="56"/>
      <c r="R483" s="56"/>
      <c r="T483" s="56"/>
      <c r="U483" s="56"/>
      <c r="V483" s="56"/>
      <c r="Y483" s="56"/>
      <c r="Z483" s="56"/>
      <c r="AA483" s="56"/>
      <c r="AB483" s="56"/>
      <c r="AC483" s="56"/>
      <c r="AD483" s="56"/>
      <c r="AE483" s="56"/>
      <c r="AF483" s="56"/>
      <c r="AG483" s="155"/>
      <c r="AH483" s="56"/>
      <c r="AI483" s="56"/>
      <c r="AJ483" s="56"/>
      <c r="AK483" s="155"/>
      <c r="AL483" s="56"/>
      <c r="AM483" s="56"/>
      <c r="AN483" s="56"/>
    </row>
    <row r="484" spans="1:40" x14ac:dyDescent="0.25">
      <c r="A484" s="55"/>
      <c r="B484" s="55"/>
      <c r="C484" s="55"/>
      <c r="D484" s="55"/>
      <c r="E484" s="55"/>
      <c r="F484" s="55"/>
      <c r="G484" s="55"/>
      <c r="H484" s="55"/>
      <c r="I484" s="55"/>
      <c r="J484" s="66"/>
      <c r="K484" s="55"/>
      <c r="L484" s="55"/>
      <c r="M484" s="55"/>
      <c r="N484" s="55"/>
      <c r="O484" s="55"/>
      <c r="P484" s="55"/>
      <c r="Q484" s="55"/>
      <c r="R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154"/>
      <c r="AH484" s="55"/>
      <c r="AI484" s="55"/>
      <c r="AJ484" s="55"/>
      <c r="AK484" s="154"/>
      <c r="AL484" s="55"/>
      <c r="AM484" s="55"/>
      <c r="AN484" s="55"/>
    </row>
    <row r="485" spans="1:40" x14ac:dyDescent="0.25">
      <c r="H485" s="56"/>
      <c r="I485" s="56"/>
      <c r="J485" s="67"/>
      <c r="K485" s="56"/>
      <c r="L485" s="56"/>
      <c r="M485" s="56"/>
      <c r="N485" s="56"/>
      <c r="O485" s="56"/>
      <c r="P485" s="56"/>
      <c r="Q485" s="56"/>
      <c r="R485" s="56"/>
      <c r="Y485" s="56"/>
      <c r="Z485" s="56"/>
      <c r="AA485" s="56"/>
      <c r="AB485" s="56"/>
      <c r="AC485" s="56"/>
      <c r="AD485" s="56"/>
      <c r="AE485" s="56"/>
      <c r="AF485" s="56"/>
      <c r="AG485" s="155"/>
      <c r="AH485" s="56"/>
      <c r="AI485" s="56"/>
      <c r="AJ485" s="56"/>
      <c r="AK485" s="155"/>
      <c r="AL485" s="56"/>
      <c r="AM485" s="56"/>
      <c r="AN485" s="56"/>
    </row>
    <row r="486" spans="1:40" x14ac:dyDescent="0.25">
      <c r="A486" s="53"/>
      <c r="C486" s="54"/>
      <c r="D486" s="54"/>
      <c r="E486" s="54"/>
      <c r="J486" s="77"/>
      <c r="T486" s="54"/>
      <c r="U486" s="54"/>
      <c r="V486" s="379"/>
      <c r="W486" s="379"/>
      <c r="X486" s="379"/>
      <c r="Y486" s="379"/>
      <c r="Z486" s="477"/>
    </row>
    <row r="487" spans="1:40" x14ac:dyDescent="0.25">
      <c r="J487" s="77"/>
    </row>
    <row r="488" spans="1:40" x14ac:dyDescent="0.25">
      <c r="A488" s="53"/>
      <c r="C488" s="54"/>
      <c r="J488" s="77"/>
      <c r="T488" s="54"/>
      <c r="V488" s="379"/>
      <c r="W488" s="379"/>
      <c r="X488" s="379"/>
      <c r="Y488" s="379"/>
      <c r="Z488" s="477"/>
    </row>
    <row r="489" spans="1:40" x14ac:dyDescent="0.25">
      <c r="A489" s="53"/>
      <c r="C489" s="54"/>
      <c r="F489" s="449"/>
      <c r="H489" s="449"/>
      <c r="I489" s="449"/>
      <c r="J489" s="221"/>
      <c r="K489" s="221"/>
      <c r="L489" s="379"/>
      <c r="M489" s="379"/>
      <c r="N489" s="50"/>
      <c r="O489" s="50"/>
      <c r="P489" s="379"/>
      <c r="Q489" s="379"/>
      <c r="R489" s="379"/>
      <c r="T489" s="54"/>
      <c r="V489" s="379"/>
      <c r="W489" s="379"/>
      <c r="X489" s="379"/>
      <c r="Y489" s="379"/>
      <c r="Z489" s="221"/>
      <c r="AA489" s="379"/>
      <c r="AB489" s="379"/>
      <c r="AC489" s="50"/>
      <c r="AD489" s="50"/>
      <c r="AE489" s="379"/>
      <c r="AF489" s="379"/>
      <c r="AG489" s="156"/>
      <c r="AH489" s="60"/>
      <c r="AI489" s="379"/>
      <c r="AJ489" s="379"/>
      <c r="AK489" s="156"/>
      <c r="AL489" s="379"/>
      <c r="AM489" s="50"/>
      <c r="AN489" s="50"/>
    </row>
    <row r="490" spans="1:40" x14ac:dyDescent="0.25">
      <c r="A490" s="53"/>
      <c r="C490" s="54"/>
      <c r="F490" s="449"/>
      <c r="H490" s="449"/>
      <c r="I490" s="449"/>
      <c r="J490" s="221"/>
      <c r="K490" s="221"/>
      <c r="L490" s="379"/>
      <c r="M490" s="379"/>
      <c r="N490" s="50"/>
      <c r="O490" s="50"/>
      <c r="P490" s="379"/>
      <c r="Q490" s="379"/>
      <c r="R490" s="379"/>
      <c r="T490" s="54"/>
      <c r="V490" s="379"/>
      <c r="W490" s="379"/>
      <c r="X490" s="379"/>
      <c r="Y490" s="379"/>
      <c r="Z490" s="221"/>
      <c r="AA490" s="379"/>
      <c r="AB490" s="379"/>
      <c r="AC490" s="50"/>
      <c r="AD490" s="50"/>
      <c r="AE490" s="379"/>
      <c r="AF490" s="379"/>
      <c r="AG490" s="156"/>
      <c r="AH490" s="60"/>
      <c r="AI490" s="379"/>
      <c r="AJ490" s="379"/>
      <c r="AK490" s="156"/>
      <c r="AL490" s="379"/>
      <c r="AM490" s="50"/>
      <c r="AN490" s="50"/>
    </row>
    <row r="491" spans="1:40" x14ac:dyDescent="0.25">
      <c r="A491" s="53"/>
      <c r="C491" s="54"/>
      <c r="F491" s="449"/>
      <c r="H491" s="449"/>
      <c r="I491" s="449"/>
      <c r="J491" s="221"/>
      <c r="K491" s="221"/>
      <c r="L491" s="379"/>
      <c r="M491" s="379"/>
      <c r="N491" s="50"/>
      <c r="O491" s="50"/>
      <c r="P491" s="379"/>
      <c r="Q491" s="379"/>
      <c r="R491" s="379"/>
      <c r="T491" s="54"/>
      <c r="V491" s="379"/>
      <c r="W491" s="379"/>
      <c r="X491" s="379"/>
      <c r="Y491" s="379"/>
      <c r="Z491" s="221"/>
      <c r="AA491" s="379"/>
      <c r="AB491" s="379"/>
      <c r="AC491" s="50"/>
      <c r="AD491" s="50"/>
      <c r="AE491" s="379"/>
      <c r="AF491" s="379"/>
      <c r="AG491" s="156"/>
      <c r="AH491" s="60"/>
      <c r="AI491" s="379"/>
      <c r="AJ491" s="379"/>
      <c r="AK491" s="156"/>
      <c r="AL491" s="379"/>
      <c r="AM491" s="50"/>
      <c r="AN491" s="50"/>
    </row>
    <row r="492" spans="1:40" x14ac:dyDescent="0.25">
      <c r="A492" s="53"/>
      <c r="C492" s="54"/>
      <c r="F492" s="449"/>
      <c r="H492" s="449"/>
      <c r="I492" s="449"/>
      <c r="J492" s="221"/>
      <c r="K492" s="221"/>
      <c r="L492" s="379"/>
      <c r="M492" s="379"/>
      <c r="N492" s="50"/>
      <c r="O492" s="50"/>
      <c r="P492" s="379"/>
      <c r="Q492" s="379"/>
      <c r="R492" s="379"/>
      <c r="T492" s="54"/>
      <c r="V492" s="379"/>
      <c r="W492" s="379"/>
      <c r="X492" s="379"/>
      <c r="Y492" s="379"/>
      <c r="Z492" s="221"/>
      <c r="AA492" s="379"/>
      <c r="AB492" s="379"/>
      <c r="AC492" s="50"/>
      <c r="AD492" s="50"/>
      <c r="AE492" s="379"/>
      <c r="AF492" s="379"/>
      <c r="AG492" s="156"/>
      <c r="AH492" s="60"/>
      <c r="AI492" s="379"/>
      <c r="AJ492" s="379"/>
      <c r="AK492" s="156"/>
      <c r="AL492" s="379"/>
      <c r="AM492" s="50"/>
      <c r="AN492" s="50"/>
    </row>
    <row r="493" spans="1:40" x14ac:dyDescent="0.25">
      <c r="J493" s="65"/>
      <c r="K493" s="65"/>
      <c r="V493" s="379"/>
      <c r="W493" s="379"/>
      <c r="X493" s="379"/>
      <c r="Y493" s="379"/>
      <c r="Z493" s="221"/>
    </row>
    <row r="494" spans="1:40" x14ac:dyDescent="0.25">
      <c r="A494" s="53"/>
      <c r="C494" s="54"/>
      <c r="F494" s="449"/>
      <c r="H494" s="449"/>
      <c r="I494" s="449"/>
      <c r="J494" s="221"/>
      <c r="K494" s="221"/>
      <c r="L494" s="379"/>
      <c r="M494" s="379"/>
      <c r="N494" s="50"/>
      <c r="O494" s="50"/>
      <c r="P494" s="379"/>
      <c r="Q494" s="379"/>
      <c r="R494" s="379"/>
      <c r="T494" s="54"/>
      <c r="V494" s="379"/>
      <c r="W494" s="379"/>
      <c r="X494" s="379"/>
      <c r="Y494" s="379"/>
      <c r="Z494" s="221"/>
      <c r="AA494" s="379"/>
      <c r="AB494" s="379"/>
      <c r="AC494" s="50"/>
      <c r="AD494" s="50"/>
      <c r="AE494" s="379"/>
      <c r="AF494" s="379"/>
      <c r="AG494" s="156"/>
      <c r="AH494" s="60"/>
      <c r="AI494" s="379"/>
      <c r="AJ494" s="379"/>
      <c r="AK494" s="156"/>
      <c r="AL494" s="379"/>
      <c r="AM494" s="60"/>
      <c r="AN494" s="60"/>
    </row>
    <row r="495" spans="1:40" x14ac:dyDescent="0.25">
      <c r="A495" s="53"/>
      <c r="C495" s="54"/>
      <c r="J495" s="65"/>
      <c r="K495" s="65"/>
      <c r="T495" s="54"/>
      <c r="V495" s="379"/>
      <c r="W495" s="379"/>
      <c r="X495" s="379"/>
      <c r="Y495" s="379"/>
      <c r="Z495" s="221"/>
    </row>
    <row r="496" spans="1:40" x14ac:dyDescent="0.25">
      <c r="A496" s="53"/>
      <c r="C496" s="54"/>
      <c r="F496" s="449"/>
      <c r="H496" s="449"/>
      <c r="I496" s="449"/>
      <c r="J496" s="221"/>
      <c r="K496" s="221"/>
      <c r="L496" s="379"/>
      <c r="M496" s="379"/>
      <c r="N496" s="50"/>
      <c r="O496" s="50"/>
      <c r="P496" s="379"/>
      <c r="Q496" s="379"/>
      <c r="R496" s="379"/>
      <c r="T496" s="54"/>
      <c r="V496" s="379"/>
      <c r="W496" s="379"/>
      <c r="X496" s="379"/>
      <c r="Y496" s="379"/>
      <c r="Z496" s="221"/>
      <c r="AA496" s="379"/>
      <c r="AB496" s="379"/>
      <c r="AC496" s="50"/>
      <c r="AD496" s="50"/>
      <c r="AE496" s="379"/>
      <c r="AF496" s="379"/>
      <c r="AG496" s="156"/>
      <c r="AH496" s="60"/>
      <c r="AI496" s="379"/>
      <c r="AJ496" s="379"/>
      <c r="AK496" s="156"/>
      <c r="AL496" s="379"/>
      <c r="AM496" s="60"/>
      <c r="AN496" s="60"/>
    </row>
    <row r="497" spans="1:40" x14ac:dyDescent="0.25">
      <c r="J497" s="65"/>
      <c r="K497" s="65"/>
      <c r="Z497" s="65"/>
    </row>
    <row r="498" spans="1:40" x14ac:dyDescent="0.25">
      <c r="A498" s="53"/>
      <c r="C498" s="54"/>
      <c r="J498" s="65"/>
      <c r="K498" s="65"/>
      <c r="T498" s="54"/>
      <c r="V498" s="379"/>
      <c r="W498" s="379"/>
      <c r="X498" s="379"/>
      <c r="Y498" s="379"/>
      <c r="Z498" s="221"/>
    </row>
    <row r="499" spans="1:40" x14ac:dyDescent="0.25">
      <c r="A499" s="53"/>
      <c r="C499" s="54"/>
      <c r="F499" s="449"/>
      <c r="H499" s="449"/>
      <c r="I499" s="449"/>
      <c r="J499" s="221"/>
      <c r="K499" s="221"/>
      <c r="L499" s="379"/>
      <c r="M499" s="379"/>
      <c r="N499" s="50"/>
      <c r="O499" s="50"/>
      <c r="P499" s="379"/>
      <c r="Q499" s="379"/>
      <c r="R499" s="379"/>
      <c r="T499" s="54"/>
      <c r="V499" s="379"/>
      <c r="W499" s="379"/>
      <c r="X499" s="379"/>
      <c r="Y499" s="379"/>
      <c r="Z499" s="221"/>
      <c r="AA499" s="379"/>
      <c r="AB499" s="379"/>
      <c r="AC499" s="50"/>
      <c r="AD499" s="50"/>
      <c r="AE499" s="379"/>
      <c r="AF499" s="379"/>
      <c r="AG499" s="156"/>
      <c r="AH499" s="60"/>
      <c r="AI499" s="379"/>
      <c r="AJ499" s="379"/>
      <c r="AK499" s="156"/>
      <c r="AL499" s="379"/>
      <c r="AM499" s="60"/>
      <c r="AN499" s="60"/>
    </row>
    <row r="500" spans="1:40" x14ac:dyDescent="0.25">
      <c r="A500" s="53"/>
      <c r="C500" s="54"/>
      <c r="F500" s="449"/>
      <c r="H500" s="449"/>
      <c r="I500" s="449"/>
      <c r="J500" s="221"/>
      <c r="K500" s="221"/>
      <c r="L500" s="379"/>
      <c r="M500" s="379"/>
      <c r="N500" s="50"/>
      <c r="O500" s="50"/>
      <c r="P500" s="379"/>
      <c r="Q500" s="379"/>
      <c r="R500" s="379"/>
      <c r="T500" s="54"/>
      <c r="V500" s="379"/>
      <c r="W500" s="379"/>
      <c r="X500" s="379"/>
      <c r="Y500" s="379"/>
      <c r="Z500" s="221"/>
      <c r="AA500" s="379"/>
      <c r="AB500" s="379"/>
      <c r="AC500" s="50"/>
      <c r="AD500" s="50"/>
      <c r="AE500" s="379"/>
      <c r="AF500" s="379"/>
      <c r="AG500" s="156"/>
      <c r="AH500" s="60"/>
      <c r="AI500" s="379"/>
      <c r="AJ500" s="379"/>
      <c r="AK500" s="156"/>
      <c r="AL500" s="379"/>
      <c r="AM500" s="60"/>
      <c r="AN500" s="60"/>
    </row>
    <row r="501" spans="1:40" x14ac:dyDescent="0.25">
      <c r="F501" s="381"/>
      <c r="H501" s="381"/>
      <c r="I501" s="381"/>
      <c r="J501" s="221"/>
      <c r="K501" s="221"/>
      <c r="L501" s="381"/>
      <c r="M501" s="381"/>
      <c r="N501" s="381"/>
      <c r="O501" s="381"/>
      <c r="P501" s="381"/>
      <c r="Q501" s="381"/>
      <c r="R501" s="381"/>
      <c r="V501" s="381"/>
      <c r="Y501" s="381"/>
      <c r="Z501" s="464"/>
      <c r="AA501" s="381"/>
      <c r="AB501" s="381"/>
      <c r="AC501" s="381"/>
      <c r="AD501" s="381"/>
      <c r="AE501" s="381"/>
      <c r="AF501" s="381"/>
      <c r="AI501" s="381"/>
      <c r="AJ501" s="381"/>
      <c r="AK501" s="162"/>
      <c r="AL501" s="381"/>
    </row>
    <row r="502" spans="1:40" x14ac:dyDescent="0.25">
      <c r="A502" s="53"/>
      <c r="C502" s="54"/>
      <c r="F502" s="379"/>
      <c r="H502" s="379"/>
      <c r="I502" s="379"/>
      <c r="J502" s="77"/>
      <c r="L502" s="379"/>
      <c r="M502" s="379"/>
      <c r="N502" s="50"/>
      <c r="O502" s="50"/>
      <c r="P502" s="449"/>
      <c r="Q502" s="449"/>
      <c r="R502" s="379"/>
      <c r="T502" s="54"/>
      <c r="V502" s="379"/>
      <c r="W502" s="379"/>
      <c r="X502" s="379"/>
      <c r="Y502" s="379"/>
      <c r="Z502" s="477"/>
      <c r="AA502" s="379"/>
      <c r="AB502" s="379"/>
      <c r="AC502" s="50"/>
      <c r="AD502" s="50"/>
      <c r="AE502" s="379"/>
      <c r="AF502" s="379"/>
      <c r="AG502" s="156"/>
      <c r="AH502" s="60"/>
      <c r="AI502" s="449"/>
      <c r="AJ502" s="449"/>
      <c r="AK502" s="156"/>
      <c r="AL502" s="379"/>
      <c r="AM502" s="60"/>
      <c r="AN502" s="60"/>
    </row>
    <row r="503" spans="1:40" x14ac:dyDescent="0.25">
      <c r="H503" s="381"/>
      <c r="I503" s="381"/>
      <c r="J503" s="221"/>
      <c r="K503" s="464"/>
      <c r="L503" s="381"/>
      <c r="M503" s="381"/>
      <c r="N503" s="381"/>
      <c r="O503" s="381"/>
      <c r="P503" s="381"/>
      <c r="Q503" s="381"/>
      <c r="R503" s="381"/>
      <c r="V503" s="381"/>
      <c r="Y503" s="381"/>
      <c r="Z503" s="464"/>
      <c r="AA503" s="381"/>
      <c r="AB503" s="381"/>
      <c r="AC503" s="381"/>
      <c r="AD503" s="381"/>
      <c r="AE503" s="381"/>
      <c r="AF503" s="381"/>
      <c r="AI503" s="381"/>
      <c r="AJ503" s="381"/>
      <c r="AK503" s="162"/>
      <c r="AL503" s="381"/>
    </row>
    <row r="504" spans="1:40" x14ac:dyDescent="0.25">
      <c r="F504" s="381"/>
      <c r="J504" s="77"/>
    </row>
    <row r="505" spans="1:40" x14ac:dyDescent="0.25">
      <c r="C505" s="53"/>
      <c r="J505" s="77"/>
      <c r="T505" s="53"/>
    </row>
    <row r="506" spans="1:40" x14ac:dyDescent="0.25">
      <c r="A506" s="54"/>
      <c r="J506" s="77"/>
    </row>
    <row r="507" spans="1:40" x14ac:dyDescent="0.25">
      <c r="J507" s="65"/>
      <c r="K507" s="53"/>
      <c r="Z507" s="53"/>
    </row>
    <row r="508" spans="1:40" x14ac:dyDescent="0.25">
      <c r="H508" s="54"/>
      <c r="I508" s="54"/>
      <c r="J508" s="77"/>
      <c r="Y508" s="54"/>
    </row>
    <row r="509" spans="1:40" x14ac:dyDescent="0.25">
      <c r="J509" s="65"/>
      <c r="K509" s="53"/>
      <c r="Z509" s="53"/>
    </row>
    <row r="510" spans="1:40" x14ac:dyDescent="0.25">
      <c r="J510" s="77"/>
      <c r="L510" s="54"/>
      <c r="M510" s="54"/>
      <c r="AA510" s="54"/>
      <c r="AB510" s="54"/>
    </row>
    <row r="511" spans="1:40" x14ac:dyDescent="0.25">
      <c r="A511" s="53"/>
      <c r="J511" s="77"/>
      <c r="R511" s="54"/>
      <c r="AK511" s="161"/>
      <c r="AL511" s="54"/>
    </row>
    <row r="512" spans="1:40" x14ac:dyDescent="0.25">
      <c r="A512" s="53"/>
      <c r="J512" s="77"/>
      <c r="R512" s="54"/>
      <c r="AK512" s="161"/>
      <c r="AL512" s="54"/>
    </row>
    <row r="513" spans="1:40" x14ac:dyDescent="0.25">
      <c r="A513" s="54"/>
      <c r="J513" s="77"/>
      <c r="R513" s="54"/>
      <c r="AK513" s="161"/>
      <c r="AL513" s="54"/>
    </row>
    <row r="514" spans="1:40" x14ac:dyDescent="0.25">
      <c r="J514" s="77"/>
      <c r="L514" s="54"/>
      <c r="M514" s="54"/>
      <c r="R514" s="53"/>
      <c r="AA514" s="54"/>
      <c r="AB514" s="54"/>
      <c r="AK514" s="156"/>
      <c r="AL514" s="53"/>
    </row>
    <row r="515" spans="1:40" x14ac:dyDescent="0.25">
      <c r="A515" s="55"/>
      <c r="B515" s="55"/>
      <c r="C515" s="55"/>
      <c r="D515" s="55"/>
      <c r="E515" s="55"/>
      <c r="F515" s="55"/>
      <c r="G515" s="55"/>
      <c r="H515" s="55"/>
      <c r="I515" s="55"/>
      <c r="J515" s="66"/>
      <c r="K515" s="55"/>
      <c r="L515" s="55"/>
      <c r="M515" s="55"/>
      <c r="N515" s="55"/>
      <c r="O515" s="55"/>
      <c r="P515" s="55"/>
      <c r="Q515" s="55"/>
      <c r="R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154"/>
      <c r="AH515" s="55"/>
      <c r="AI515" s="55"/>
      <c r="AJ515" s="55"/>
      <c r="AK515" s="154"/>
      <c r="AL515" s="55"/>
      <c r="AM515" s="55"/>
      <c r="AN515" s="55"/>
    </row>
    <row r="516" spans="1:40" x14ac:dyDescent="0.25">
      <c r="J516" s="77"/>
      <c r="L516" s="56"/>
      <c r="M516" s="56"/>
      <c r="N516" s="56"/>
      <c r="O516" s="56"/>
      <c r="R516" s="56"/>
      <c r="AA516" s="56"/>
      <c r="AB516" s="56"/>
      <c r="AC516" s="56"/>
      <c r="AD516" s="56"/>
      <c r="AE516" s="56"/>
      <c r="AF516" s="56"/>
      <c r="AG516" s="155"/>
      <c r="AH516" s="56"/>
      <c r="AK516" s="155"/>
      <c r="AL516" s="56"/>
      <c r="AM516" s="56"/>
      <c r="AN516" s="56"/>
    </row>
    <row r="517" spans="1:40" x14ac:dyDescent="0.25">
      <c r="J517" s="77"/>
      <c r="L517" s="56"/>
      <c r="M517" s="56"/>
      <c r="N517" s="56"/>
      <c r="O517" s="56"/>
      <c r="R517" s="56"/>
      <c r="Z517" s="56"/>
      <c r="AA517" s="56"/>
      <c r="AB517" s="56"/>
      <c r="AC517" s="56"/>
      <c r="AD517" s="56"/>
      <c r="AE517" s="56"/>
      <c r="AF517" s="56"/>
      <c r="AG517" s="155"/>
      <c r="AH517" s="56"/>
      <c r="AK517" s="155"/>
      <c r="AL517" s="56"/>
      <c r="AM517" s="56"/>
      <c r="AN517" s="56"/>
    </row>
    <row r="518" spans="1:40" x14ac:dyDescent="0.25">
      <c r="A518" s="56"/>
      <c r="C518" s="56"/>
      <c r="D518" s="56"/>
      <c r="E518" s="56"/>
      <c r="F518" s="56"/>
      <c r="J518" s="67"/>
      <c r="K518" s="56"/>
      <c r="L518" s="56"/>
      <c r="M518" s="56"/>
      <c r="N518" s="56"/>
      <c r="O518" s="56"/>
      <c r="P518" s="56"/>
      <c r="Q518" s="56"/>
      <c r="R518" s="56"/>
      <c r="T518" s="56"/>
      <c r="U518" s="56"/>
      <c r="V518" s="56"/>
      <c r="Z518" s="56"/>
      <c r="AA518" s="56"/>
      <c r="AB518" s="56"/>
      <c r="AC518" s="56"/>
      <c r="AD518" s="56"/>
      <c r="AE518" s="56"/>
      <c r="AF518" s="56"/>
      <c r="AG518" s="155"/>
      <c r="AH518" s="56"/>
      <c r="AI518" s="56"/>
      <c r="AJ518" s="56"/>
      <c r="AK518" s="155"/>
      <c r="AL518" s="56"/>
      <c r="AM518" s="56"/>
      <c r="AN518" s="56"/>
    </row>
    <row r="519" spans="1:40" x14ac:dyDescent="0.25">
      <c r="A519" s="56"/>
      <c r="C519" s="56"/>
      <c r="D519" s="56"/>
      <c r="E519" s="56"/>
      <c r="F519" s="56"/>
      <c r="H519" s="56"/>
      <c r="I519" s="56"/>
      <c r="J519" s="67"/>
      <c r="K519" s="56"/>
      <c r="L519" s="56"/>
      <c r="M519" s="56"/>
      <c r="N519" s="56"/>
      <c r="O519" s="56"/>
      <c r="P519" s="56"/>
      <c r="Q519" s="56"/>
      <c r="R519" s="56"/>
      <c r="T519" s="56"/>
      <c r="U519" s="56"/>
      <c r="V519" s="56"/>
      <c r="Y519" s="56"/>
      <c r="Z519" s="56"/>
      <c r="AA519" s="56"/>
      <c r="AB519" s="56"/>
      <c r="AC519" s="56"/>
      <c r="AD519" s="56"/>
      <c r="AE519" s="56"/>
      <c r="AF519" s="56"/>
      <c r="AG519" s="155"/>
      <c r="AH519" s="56"/>
      <c r="AI519" s="56"/>
      <c r="AJ519" s="56"/>
      <c r="AK519" s="155"/>
      <c r="AL519" s="56"/>
      <c r="AM519" s="56"/>
      <c r="AN519" s="56"/>
    </row>
    <row r="520" spans="1:40" x14ac:dyDescent="0.25">
      <c r="C520" s="56"/>
      <c r="D520" s="56"/>
      <c r="E520" s="56"/>
      <c r="F520" s="56"/>
      <c r="H520" s="56"/>
      <c r="I520" s="56"/>
      <c r="J520" s="67"/>
      <c r="K520" s="56"/>
      <c r="L520" s="56"/>
      <c r="M520" s="56"/>
      <c r="N520" s="56"/>
      <c r="O520" s="56"/>
      <c r="P520" s="56"/>
      <c r="Q520" s="56"/>
      <c r="R520" s="56"/>
      <c r="T520" s="56"/>
      <c r="U520" s="56"/>
      <c r="V520" s="56"/>
      <c r="Y520" s="56"/>
      <c r="Z520" s="56"/>
      <c r="AA520" s="56"/>
      <c r="AB520" s="56"/>
      <c r="AC520" s="56"/>
      <c r="AD520" s="56"/>
      <c r="AE520" s="56"/>
      <c r="AF520" s="56"/>
      <c r="AG520" s="155"/>
      <c r="AH520" s="56"/>
      <c r="AI520" s="56"/>
      <c r="AJ520" s="56"/>
      <c r="AK520" s="155"/>
      <c r="AL520" s="56"/>
      <c r="AM520" s="56"/>
      <c r="AN520" s="56"/>
    </row>
    <row r="521" spans="1:40" x14ac:dyDescent="0.25">
      <c r="A521" s="55"/>
      <c r="B521" s="55"/>
      <c r="C521" s="55"/>
      <c r="D521" s="55"/>
      <c r="E521" s="55"/>
      <c r="F521" s="55"/>
      <c r="G521" s="55"/>
      <c r="H521" s="55"/>
      <c r="I521" s="55"/>
      <c r="J521" s="66"/>
      <c r="K521" s="55"/>
      <c r="L521" s="55"/>
      <c r="M521" s="55"/>
      <c r="N521" s="55"/>
      <c r="O521" s="55"/>
      <c r="P521" s="55"/>
      <c r="Q521" s="55"/>
      <c r="R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154"/>
      <c r="AH521" s="55"/>
      <c r="AI521" s="55"/>
      <c r="AJ521" s="55"/>
      <c r="AK521" s="154"/>
      <c r="AL521" s="55"/>
      <c r="AM521" s="55"/>
      <c r="AN521" s="55"/>
    </row>
    <row r="522" spans="1:40" x14ac:dyDescent="0.25">
      <c r="H522" s="56"/>
      <c r="I522" s="56"/>
      <c r="J522" s="67"/>
      <c r="K522" s="56"/>
      <c r="L522" s="56"/>
      <c r="M522" s="56"/>
      <c r="N522" s="56"/>
      <c r="O522" s="56"/>
      <c r="P522" s="56"/>
      <c r="Q522" s="56"/>
      <c r="R522" s="56"/>
      <c r="Y522" s="56"/>
      <c r="Z522" s="56"/>
      <c r="AA522" s="56"/>
      <c r="AB522" s="56"/>
      <c r="AC522" s="56"/>
      <c r="AD522" s="56"/>
      <c r="AE522" s="56"/>
      <c r="AF522" s="56"/>
      <c r="AG522" s="155"/>
      <c r="AH522" s="56"/>
      <c r="AI522" s="56"/>
      <c r="AJ522" s="56"/>
      <c r="AK522" s="155"/>
      <c r="AL522" s="56"/>
      <c r="AM522" s="56"/>
      <c r="AN522" s="56"/>
    </row>
    <row r="523" spans="1:40" x14ac:dyDescent="0.25">
      <c r="A523" s="53"/>
      <c r="C523" s="54"/>
      <c r="D523" s="54"/>
      <c r="E523" s="54"/>
      <c r="J523" s="77"/>
      <c r="T523" s="54"/>
      <c r="U523" s="54"/>
    </row>
    <row r="524" spans="1:40" x14ac:dyDescent="0.25">
      <c r="J524" s="77"/>
    </row>
    <row r="525" spans="1:40" x14ac:dyDescent="0.25">
      <c r="A525" s="53"/>
      <c r="C525" s="54"/>
      <c r="J525" s="77"/>
      <c r="T525" s="54"/>
    </row>
    <row r="526" spans="1:40" x14ac:dyDescent="0.25">
      <c r="A526" s="53"/>
      <c r="C526" s="54"/>
      <c r="J526" s="77"/>
      <c r="T526" s="54"/>
    </row>
    <row r="527" spans="1:40" x14ac:dyDescent="0.25">
      <c r="A527" s="53"/>
      <c r="C527" s="54"/>
      <c r="F527" s="449"/>
      <c r="H527" s="449"/>
      <c r="I527" s="449"/>
      <c r="J527" s="221"/>
      <c r="K527" s="221"/>
      <c r="L527" s="379"/>
      <c r="M527" s="379"/>
      <c r="N527" s="50"/>
      <c r="O527" s="50"/>
      <c r="P527" s="379"/>
      <c r="Q527" s="379"/>
      <c r="R527" s="379"/>
      <c r="T527" s="54"/>
      <c r="V527" s="379"/>
      <c r="W527" s="379"/>
      <c r="X527" s="379"/>
      <c r="Y527" s="379"/>
      <c r="Z527" s="221"/>
      <c r="AA527" s="379"/>
      <c r="AB527" s="379"/>
      <c r="AC527" s="50"/>
      <c r="AD527" s="50"/>
      <c r="AE527" s="379"/>
      <c r="AF527" s="379"/>
      <c r="AG527" s="156"/>
      <c r="AH527" s="60"/>
      <c r="AI527" s="379"/>
      <c r="AJ527" s="379"/>
      <c r="AK527" s="156"/>
      <c r="AL527" s="379"/>
      <c r="AM527" s="60"/>
      <c r="AN527" s="60"/>
    </row>
    <row r="528" spans="1:40" x14ac:dyDescent="0.25">
      <c r="A528" s="53"/>
      <c r="C528" s="54"/>
      <c r="F528" s="379"/>
      <c r="H528" s="379"/>
      <c r="I528" s="379"/>
      <c r="J528" s="65"/>
      <c r="K528" s="65"/>
      <c r="L528" s="379"/>
      <c r="M528" s="379"/>
      <c r="N528" s="50"/>
      <c r="O528" s="50"/>
      <c r="P528" s="379"/>
      <c r="Q528" s="379"/>
      <c r="R528" s="379"/>
      <c r="T528" s="54"/>
      <c r="V528" s="379"/>
      <c r="W528" s="379"/>
      <c r="X528" s="379"/>
      <c r="Y528" s="379"/>
      <c r="Z528" s="65"/>
      <c r="AA528" s="379"/>
      <c r="AB528" s="379"/>
      <c r="AC528" s="50"/>
      <c r="AD528" s="50"/>
      <c r="AE528" s="379"/>
      <c r="AF528" s="379"/>
      <c r="AG528" s="156"/>
      <c r="AH528" s="60"/>
      <c r="AI528" s="379"/>
      <c r="AJ528" s="379"/>
      <c r="AK528" s="156"/>
      <c r="AL528" s="379"/>
      <c r="AM528" s="60"/>
      <c r="AN528" s="60"/>
    </row>
    <row r="529" spans="1:40" x14ac:dyDescent="0.25">
      <c r="A529" s="53"/>
      <c r="C529" s="54"/>
      <c r="F529" s="379"/>
      <c r="H529" s="379"/>
      <c r="I529" s="379"/>
      <c r="J529" s="65"/>
      <c r="K529" s="65"/>
      <c r="L529" s="379"/>
      <c r="M529" s="379"/>
      <c r="N529" s="50"/>
      <c r="O529" s="50"/>
      <c r="P529" s="379"/>
      <c r="Q529" s="379"/>
      <c r="R529" s="379"/>
      <c r="T529" s="54"/>
      <c r="V529" s="379"/>
      <c r="W529" s="379"/>
      <c r="X529" s="379"/>
      <c r="Y529" s="379"/>
      <c r="Z529" s="65"/>
      <c r="AA529" s="379"/>
      <c r="AB529" s="379"/>
      <c r="AC529" s="50"/>
      <c r="AD529" s="50"/>
      <c r="AE529" s="379"/>
      <c r="AF529" s="379"/>
      <c r="AG529" s="156"/>
      <c r="AH529" s="60"/>
      <c r="AI529" s="379"/>
      <c r="AJ529" s="379"/>
      <c r="AK529" s="156"/>
      <c r="AL529" s="379"/>
      <c r="AM529" s="60"/>
      <c r="AN529" s="60"/>
    </row>
    <row r="530" spans="1:40" x14ac:dyDescent="0.25">
      <c r="A530" s="53"/>
      <c r="C530" s="54"/>
      <c r="F530" s="379"/>
      <c r="H530" s="379"/>
      <c r="I530" s="379"/>
      <c r="J530" s="65"/>
      <c r="K530" s="65"/>
      <c r="T530" s="54"/>
      <c r="V530" s="379"/>
      <c r="Z530" s="65"/>
    </row>
    <row r="531" spans="1:40" x14ac:dyDescent="0.25">
      <c r="A531" s="53"/>
      <c r="C531" s="54"/>
      <c r="F531" s="449"/>
      <c r="H531" s="449"/>
      <c r="I531" s="449"/>
      <c r="J531" s="221"/>
      <c r="K531" s="221"/>
      <c r="L531" s="379"/>
      <c r="M531" s="379"/>
      <c r="N531" s="50"/>
      <c r="O531" s="50"/>
      <c r="P531" s="379"/>
      <c r="Q531" s="379"/>
      <c r="R531" s="379"/>
      <c r="T531" s="54"/>
      <c r="V531" s="379"/>
      <c r="W531" s="379"/>
      <c r="X531" s="379"/>
      <c r="Y531" s="379"/>
      <c r="Z531" s="221"/>
      <c r="AA531" s="379"/>
      <c r="AB531" s="379"/>
      <c r="AC531" s="50"/>
      <c r="AD531" s="50"/>
      <c r="AE531" s="379"/>
      <c r="AF531" s="379"/>
      <c r="AG531" s="156"/>
      <c r="AH531" s="60"/>
      <c r="AI531" s="379"/>
      <c r="AJ531" s="379"/>
      <c r="AK531" s="156"/>
      <c r="AL531" s="379"/>
      <c r="AM531" s="60"/>
      <c r="AN531" s="60"/>
    </row>
    <row r="532" spans="1:40" x14ac:dyDescent="0.25">
      <c r="A532" s="53"/>
      <c r="C532" s="54"/>
      <c r="F532" s="379"/>
      <c r="H532" s="379"/>
      <c r="I532" s="379"/>
      <c r="J532" s="65"/>
      <c r="K532" s="65"/>
      <c r="T532" s="54"/>
      <c r="V532" s="379"/>
      <c r="W532" s="379"/>
      <c r="X532" s="379"/>
      <c r="Y532" s="379"/>
      <c r="Z532" s="65"/>
      <c r="AC532" s="50"/>
      <c r="AD532" s="50"/>
      <c r="AE532" s="379"/>
      <c r="AF532" s="379"/>
      <c r="AG532" s="156"/>
      <c r="AH532" s="60"/>
      <c r="AI532" s="379"/>
      <c r="AJ532" s="379"/>
      <c r="AK532" s="156"/>
      <c r="AL532" s="379"/>
      <c r="AM532" s="60"/>
      <c r="AN532" s="60"/>
    </row>
    <row r="533" spans="1:40" x14ac:dyDescent="0.25">
      <c r="A533" s="53"/>
      <c r="C533" s="54"/>
      <c r="F533" s="449"/>
      <c r="H533" s="449"/>
      <c r="I533" s="449"/>
      <c r="J533" s="221"/>
      <c r="K533" s="221"/>
      <c r="L533" s="379"/>
      <c r="M533" s="379"/>
      <c r="N533" s="50"/>
      <c r="O533" s="50"/>
      <c r="P533" s="379"/>
      <c r="Q533" s="379"/>
      <c r="R533" s="379"/>
      <c r="T533" s="54"/>
      <c r="V533" s="379"/>
      <c r="W533" s="379"/>
      <c r="X533" s="379"/>
      <c r="Y533" s="379"/>
      <c r="Z533" s="221"/>
      <c r="AA533" s="379"/>
      <c r="AB533" s="379"/>
      <c r="AC533" s="50"/>
      <c r="AD533" s="50"/>
      <c r="AE533" s="379"/>
      <c r="AF533" s="379"/>
      <c r="AG533" s="156"/>
      <c r="AH533" s="60"/>
      <c r="AI533" s="379"/>
      <c r="AJ533" s="379"/>
      <c r="AK533" s="156"/>
      <c r="AL533" s="379"/>
      <c r="AM533" s="60"/>
      <c r="AN533" s="60"/>
    </row>
    <row r="534" spans="1:40" x14ac:dyDescent="0.25">
      <c r="A534" s="53"/>
      <c r="C534" s="54"/>
      <c r="F534" s="379"/>
      <c r="H534" s="379"/>
      <c r="I534" s="379"/>
      <c r="J534" s="65"/>
      <c r="K534" s="65"/>
      <c r="L534" s="379"/>
      <c r="M534" s="379"/>
      <c r="N534" s="50"/>
      <c r="O534" s="50"/>
      <c r="P534" s="379"/>
      <c r="Q534" s="379"/>
      <c r="R534" s="379"/>
      <c r="T534" s="54"/>
      <c r="V534" s="379"/>
      <c r="W534" s="379"/>
      <c r="X534" s="379"/>
      <c r="Y534" s="379"/>
      <c r="Z534" s="65"/>
      <c r="AA534" s="379"/>
      <c r="AB534" s="379"/>
      <c r="AC534" s="50"/>
      <c r="AD534" s="50"/>
      <c r="AE534" s="379"/>
      <c r="AF534" s="379"/>
      <c r="AG534" s="156"/>
      <c r="AH534" s="60"/>
      <c r="AI534" s="379"/>
      <c r="AJ534" s="379"/>
      <c r="AK534" s="156"/>
      <c r="AL534" s="379"/>
      <c r="AM534" s="60"/>
      <c r="AN534" s="60"/>
    </row>
    <row r="535" spans="1:40" x14ac:dyDescent="0.25">
      <c r="F535" s="379"/>
      <c r="H535" s="379"/>
      <c r="I535" s="379"/>
      <c r="J535" s="65"/>
      <c r="K535" s="65"/>
      <c r="Z535" s="65"/>
    </row>
    <row r="536" spans="1:40" x14ac:dyDescent="0.25">
      <c r="A536" s="53"/>
      <c r="C536" s="54"/>
      <c r="F536" s="379"/>
      <c r="H536" s="449"/>
      <c r="I536" s="449"/>
      <c r="J536" s="221"/>
      <c r="K536" s="221"/>
      <c r="L536" s="379"/>
      <c r="M536" s="379"/>
      <c r="N536" s="50"/>
      <c r="O536" s="50"/>
      <c r="P536" s="379"/>
      <c r="Q536" s="379"/>
      <c r="R536" s="379"/>
      <c r="T536" s="54"/>
      <c r="V536" s="379"/>
      <c r="W536" s="379"/>
      <c r="X536" s="379"/>
      <c r="Y536" s="379"/>
      <c r="Z536" s="221"/>
      <c r="AA536" s="379"/>
      <c r="AB536" s="379"/>
      <c r="AC536" s="50"/>
      <c r="AD536" s="50"/>
      <c r="AE536" s="379"/>
      <c r="AF536" s="379"/>
      <c r="AG536" s="156"/>
      <c r="AH536" s="60"/>
      <c r="AI536" s="379"/>
      <c r="AJ536" s="379"/>
      <c r="AK536" s="156"/>
      <c r="AL536" s="379"/>
      <c r="AM536" s="60"/>
      <c r="AN536" s="60"/>
    </row>
    <row r="537" spans="1:40" x14ac:dyDescent="0.25">
      <c r="F537" s="381"/>
      <c r="H537" s="381"/>
      <c r="I537" s="381"/>
      <c r="J537" s="221"/>
      <c r="K537" s="221"/>
      <c r="L537" s="381"/>
      <c r="M537" s="381"/>
      <c r="N537" s="381"/>
      <c r="O537" s="381"/>
      <c r="P537" s="381"/>
      <c r="Q537" s="381"/>
      <c r="R537" s="381"/>
      <c r="V537" s="381"/>
      <c r="Y537" s="381"/>
      <c r="Z537" s="221"/>
      <c r="AA537" s="381"/>
      <c r="AB537" s="381"/>
      <c r="AC537" s="381"/>
      <c r="AD537" s="381"/>
      <c r="AE537" s="381"/>
      <c r="AF537" s="381"/>
      <c r="AI537" s="381"/>
      <c r="AJ537" s="381"/>
      <c r="AK537" s="162"/>
      <c r="AL537" s="381"/>
    </row>
    <row r="538" spans="1:40" x14ac:dyDescent="0.25">
      <c r="A538" s="53"/>
      <c r="C538" s="54"/>
      <c r="F538" s="379"/>
      <c r="H538" s="379"/>
      <c r="I538" s="379"/>
      <c r="J538" s="65"/>
      <c r="K538" s="65"/>
      <c r="L538" s="379"/>
      <c r="M538" s="379"/>
      <c r="N538" s="53"/>
      <c r="O538" s="53"/>
      <c r="P538" s="379"/>
      <c r="Q538" s="379"/>
      <c r="R538" s="379"/>
      <c r="T538" s="54"/>
      <c r="V538" s="379"/>
      <c r="Y538" s="379"/>
      <c r="Z538" s="65"/>
      <c r="AA538" s="379"/>
      <c r="AB538" s="379"/>
      <c r="AC538" s="60"/>
      <c r="AD538" s="60"/>
      <c r="AE538" s="379"/>
      <c r="AF538" s="379"/>
      <c r="AG538" s="156"/>
      <c r="AH538" s="60"/>
      <c r="AI538" s="379"/>
      <c r="AJ538" s="379"/>
      <c r="AK538" s="156"/>
      <c r="AL538" s="379"/>
      <c r="AM538" s="60"/>
      <c r="AN538" s="60"/>
    </row>
    <row r="539" spans="1:40" x14ac:dyDescent="0.25">
      <c r="F539" s="381"/>
      <c r="H539" s="381"/>
      <c r="I539" s="381"/>
      <c r="J539" s="221"/>
      <c r="K539" s="221"/>
      <c r="L539" s="381"/>
      <c r="M539" s="381"/>
      <c r="N539" s="381"/>
      <c r="O539" s="381"/>
      <c r="P539" s="381"/>
      <c r="Q539" s="381"/>
      <c r="R539" s="381"/>
      <c r="V539" s="381"/>
      <c r="Y539" s="381"/>
      <c r="Z539" s="221"/>
      <c r="AA539" s="381"/>
      <c r="AB539" s="381"/>
      <c r="AC539" s="381"/>
      <c r="AD539" s="381"/>
      <c r="AE539" s="381"/>
      <c r="AF539" s="381"/>
      <c r="AI539" s="381"/>
      <c r="AJ539" s="381"/>
      <c r="AK539" s="162"/>
      <c r="AL539" s="381"/>
    </row>
    <row r="540" spans="1:40" x14ac:dyDescent="0.25">
      <c r="J540" s="65"/>
      <c r="K540" s="65"/>
      <c r="Z540" s="65"/>
    </row>
    <row r="541" spans="1:40" x14ac:dyDescent="0.25">
      <c r="A541" s="53"/>
      <c r="C541" s="54"/>
      <c r="J541" s="65"/>
      <c r="K541" s="65"/>
      <c r="T541" s="54"/>
      <c r="Z541" s="65"/>
    </row>
    <row r="542" spans="1:40" x14ac:dyDescent="0.25">
      <c r="A542" s="53"/>
      <c r="C542" s="54"/>
      <c r="J542" s="65"/>
      <c r="K542" s="65"/>
      <c r="T542" s="54"/>
      <c r="Z542" s="65"/>
    </row>
    <row r="543" spans="1:40" x14ac:dyDescent="0.25">
      <c r="A543" s="53"/>
      <c r="C543" s="54"/>
      <c r="F543" s="449"/>
      <c r="H543" s="449"/>
      <c r="I543" s="449"/>
      <c r="J543" s="221"/>
      <c r="K543" s="221"/>
      <c r="L543" s="379"/>
      <c r="M543" s="379"/>
      <c r="N543" s="50"/>
      <c r="O543" s="50"/>
      <c r="P543" s="379"/>
      <c r="Q543" s="379"/>
      <c r="R543" s="379"/>
      <c r="T543" s="54"/>
      <c r="V543" s="379"/>
      <c r="W543" s="379"/>
      <c r="X543" s="379"/>
      <c r="Y543" s="379"/>
      <c r="Z543" s="221"/>
      <c r="AA543" s="379"/>
      <c r="AB543" s="379"/>
      <c r="AC543" s="50"/>
      <c r="AD543" s="50"/>
      <c r="AE543" s="379"/>
      <c r="AF543" s="379"/>
      <c r="AG543" s="156"/>
      <c r="AH543" s="60"/>
      <c r="AI543" s="379"/>
      <c r="AJ543" s="379"/>
      <c r="AK543" s="156"/>
      <c r="AL543" s="379"/>
      <c r="AM543" s="60"/>
      <c r="AN543" s="60"/>
    </row>
    <row r="544" spans="1:40" x14ac:dyDescent="0.25">
      <c r="A544" s="53"/>
      <c r="C544" s="54"/>
      <c r="J544" s="65"/>
      <c r="K544" s="65"/>
      <c r="T544" s="54"/>
      <c r="Z544" s="65"/>
    </row>
    <row r="545" spans="1:40" x14ac:dyDescent="0.25">
      <c r="A545" s="53"/>
      <c r="C545" s="54"/>
      <c r="F545" s="449"/>
      <c r="H545" s="449"/>
      <c r="I545" s="449"/>
      <c r="J545" s="221"/>
      <c r="K545" s="221"/>
      <c r="L545" s="379"/>
      <c r="M545" s="379"/>
      <c r="N545" s="50"/>
      <c r="O545" s="50"/>
      <c r="P545" s="379"/>
      <c r="Q545" s="379"/>
      <c r="R545" s="379"/>
      <c r="T545" s="54"/>
      <c r="V545" s="379"/>
      <c r="W545" s="379"/>
      <c r="X545" s="379"/>
      <c r="Y545" s="379"/>
      <c r="Z545" s="221"/>
      <c r="AA545" s="379"/>
      <c r="AB545" s="379"/>
      <c r="AC545" s="50"/>
      <c r="AD545" s="50"/>
      <c r="AE545" s="379"/>
      <c r="AF545" s="379"/>
      <c r="AG545" s="156"/>
      <c r="AH545" s="60"/>
      <c r="AI545" s="379"/>
      <c r="AJ545" s="379"/>
      <c r="AK545" s="156"/>
      <c r="AL545" s="379"/>
      <c r="AM545" s="60"/>
      <c r="AN545" s="60"/>
    </row>
    <row r="546" spans="1:40" x14ac:dyDescent="0.25">
      <c r="F546" s="381"/>
      <c r="H546" s="381"/>
      <c r="I546" s="381"/>
      <c r="J546" s="221"/>
      <c r="K546" s="221"/>
      <c r="L546" s="381"/>
      <c r="M546" s="381"/>
      <c r="N546" s="381"/>
      <c r="O546" s="381"/>
      <c r="P546" s="381"/>
      <c r="Q546" s="381"/>
      <c r="R546" s="381"/>
      <c r="V546" s="381"/>
      <c r="Y546" s="381"/>
      <c r="Z546" s="221"/>
      <c r="AA546" s="381"/>
      <c r="AB546" s="381"/>
      <c r="AC546" s="381"/>
      <c r="AD546" s="381"/>
      <c r="AE546" s="381"/>
      <c r="AF546" s="381"/>
      <c r="AI546" s="381"/>
      <c r="AJ546" s="381"/>
      <c r="AK546" s="162"/>
      <c r="AL546" s="381"/>
    </row>
    <row r="547" spans="1:40" x14ac:dyDescent="0.25">
      <c r="A547" s="53"/>
      <c r="C547" s="54"/>
      <c r="F547" s="379"/>
      <c r="H547" s="379"/>
      <c r="I547" s="379"/>
      <c r="J547" s="65"/>
      <c r="K547" s="65"/>
      <c r="L547" s="379"/>
      <c r="M547" s="379"/>
      <c r="N547" s="60"/>
      <c r="O547" s="60"/>
      <c r="P547" s="379"/>
      <c r="Q547" s="379"/>
      <c r="R547" s="379"/>
      <c r="T547" s="54"/>
      <c r="V547" s="379"/>
      <c r="Y547" s="379"/>
      <c r="Z547" s="65"/>
      <c r="AA547" s="379"/>
      <c r="AB547" s="379"/>
      <c r="AC547" s="60"/>
      <c r="AD547" s="60"/>
      <c r="AE547" s="379"/>
      <c r="AF547" s="379"/>
      <c r="AG547" s="156"/>
      <c r="AH547" s="60"/>
      <c r="AI547" s="379"/>
      <c r="AJ547" s="379"/>
      <c r="AK547" s="156"/>
      <c r="AL547" s="379"/>
      <c r="AM547" s="60"/>
      <c r="AN547" s="60"/>
    </row>
    <row r="548" spans="1:40" x14ac:dyDescent="0.25">
      <c r="F548" s="381"/>
      <c r="H548" s="381"/>
      <c r="I548" s="381"/>
      <c r="J548" s="221"/>
      <c r="K548" s="221"/>
      <c r="L548" s="381"/>
      <c r="M548" s="381"/>
      <c r="N548" s="381"/>
      <c r="O548" s="381"/>
      <c r="P548" s="381"/>
      <c r="Q548" s="381"/>
      <c r="R548" s="381"/>
      <c r="V548" s="381"/>
      <c r="Y548" s="381"/>
      <c r="Z548" s="464"/>
      <c r="AA548" s="381"/>
      <c r="AB548" s="381"/>
      <c r="AC548" s="381"/>
      <c r="AD548" s="381"/>
      <c r="AE548" s="381"/>
      <c r="AF548" s="381"/>
      <c r="AI548" s="381"/>
      <c r="AJ548" s="381"/>
      <c r="AK548" s="162"/>
      <c r="AL548" s="381"/>
    </row>
    <row r="549" spans="1:40" x14ac:dyDescent="0.25">
      <c r="J549" s="65"/>
      <c r="K549" s="65"/>
    </row>
    <row r="550" spans="1:40" x14ac:dyDescent="0.25">
      <c r="A550" s="53"/>
      <c r="C550" s="54"/>
      <c r="F550" s="379"/>
      <c r="H550" s="379"/>
      <c r="I550" s="379"/>
      <c r="J550" s="65"/>
      <c r="K550" s="65"/>
      <c r="L550" s="379"/>
      <c r="M550" s="379"/>
      <c r="N550" s="50"/>
      <c r="O550" s="50"/>
      <c r="P550" s="449"/>
      <c r="Q550" s="449"/>
      <c r="R550" s="379"/>
      <c r="T550" s="54"/>
      <c r="V550" s="379"/>
      <c r="Y550" s="379"/>
      <c r="AA550" s="379"/>
      <c r="AB550" s="379"/>
      <c r="AC550" s="60"/>
      <c r="AD550" s="60"/>
      <c r="AE550" s="379"/>
      <c r="AF550" s="379"/>
      <c r="AG550" s="156"/>
      <c r="AH550" s="60"/>
      <c r="AI550" s="449"/>
      <c r="AJ550" s="449"/>
      <c r="AK550" s="156"/>
      <c r="AL550" s="379"/>
      <c r="AM550" s="60"/>
      <c r="AN550" s="60"/>
    </row>
    <row r="551" spans="1:40" x14ac:dyDescent="0.25">
      <c r="H551" s="381"/>
      <c r="I551" s="381"/>
      <c r="J551" s="221"/>
      <c r="K551" s="221"/>
      <c r="L551" s="381"/>
      <c r="M551" s="381"/>
      <c r="N551" s="381"/>
      <c r="O551" s="381"/>
      <c r="P551" s="381"/>
      <c r="Q551" s="381"/>
      <c r="R551" s="381"/>
      <c r="V551" s="381"/>
      <c r="Y551" s="381"/>
      <c r="Z551" s="464"/>
      <c r="AA551" s="381"/>
      <c r="AB551" s="381"/>
      <c r="AC551" s="381"/>
      <c r="AD551" s="381"/>
      <c r="AE551" s="381"/>
      <c r="AF551" s="381"/>
      <c r="AI551" s="381"/>
      <c r="AJ551" s="381"/>
      <c r="AK551" s="162"/>
      <c r="AL551" s="381"/>
    </row>
    <row r="552" spans="1:40" x14ac:dyDescent="0.25">
      <c r="F552" s="381"/>
      <c r="J552" s="77"/>
    </row>
    <row r="553" spans="1:40" x14ac:dyDescent="0.25">
      <c r="C553" s="53"/>
      <c r="J553" s="77"/>
      <c r="T553" s="53"/>
    </row>
    <row r="554" spans="1:40" x14ac:dyDescent="0.25">
      <c r="A554" s="54"/>
      <c r="J554" s="77"/>
    </row>
    <row r="555" spans="1:40" x14ac:dyDescent="0.25">
      <c r="J555" s="65"/>
      <c r="K555" s="53"/>
      <c r="Z555" s="53"/>
    </row>
    <row r="556" spans="1:40" x14ac:dyDescent="0.25">
      <c r="H556" s="54"/>
      <c r="I556" s="54"/>
      <c r="J556" s="77"/>
      <c r="Y556" s="54"/>
    </row>
    <row r="557" spans="1:40" x14ac:dyDescent="0.25">
      <c r="J557" s="65"/>
      <c r="K557" s="53"/>
      <c r="Z557" s="53"/>
    </row>
    <row r="558" spans="1:40" x14ac:dyDescent="0.25">
      <c r="J558" s="77"/>
      <c r="L558" s="54"/>
      <c r="M558" s="54"/>
      <c r="AA558" s="54"/>
      <c r="AB558" s="54"/>
    </row>
    <row r="559" spans="1:40" x14ac:dyDescent="0.25">
      <c r="A559" s="53"/>
      <c r="J559" s="77"/>
      <c r="R559" s="54"/>
      <c r="AK559" s="161"/>
      <c r="AL559" s="54"/>
    </row>
    <row r="560" spans="1:40" x14ac:dyDescent="0.25">
      <c r="A560" s="53"/>
      <c r="J560" s="77"/>
      <c r="R560" s="54"/>
      <c r="AK560" s="161"/>
      <c r="AL560" s="54"/>
    </row>
    <row r="561" spans="1:40" x14ac:dyDescent="0.25">
      <c r="A561" s="54"/>
      <c r="J561" s="77"/>
      <c r="R561" s="54"/>
      <c r="AK561" s="161"/>
      <c r="AL561" s="54"/>
    </row>
    <row r="562" spans="1:40" x14ac:dyDescent="0.25">
      <c r="J562" s="77"/>
      <c r="L562" s="54"/>
      <c r="M562" s="54"/>
      <c r="R562" s="53"/>
      <c r="AA562" s="54"/>
      <c r="AB562" s="54"/>
      <c r="AK562" s="156"/>
      <c r="AL562" s="53"/>
    </row>
    <row r="563" spans="1:40" x14ac:dyDescent="0.25">
      <c r="A563" s="55"/>
      <c r="B563" s="55"/>
      <c r="C563" s="55"/>
      <c r="D563" s="55"/>
      <c r="E563" s="55"/>
      <c r="F563" s="55"/>
      <c r="G563" s="55"/>
      <c r="H563" s="55"/>
      <c r="I563" s="55"/>
      <c r="J563" s="66"/>
      <c r="K563" s="55"/>
      <c r="L563" s="55"/>
      <c r="M563" s="55"/>
      <c r="N563" s="55"/>
      <c r="O563" s="55"/>
      <c r="P563" s="55"/>
      <c r="Q563" s="55"/>
      <c r="R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154"/>
      <c r="AH563" s="55"/>
      <c r="AI563" s="55"/>
      <c r="AJ563" s="55"/>
      <c r="AK563" s="154"/>
      <c r="AL563" s="55"/>
      <c r="AM563" s="55"/>
      <c r="AN563" s="55"/>
    </row>
    <row r="564" spans="1:40" x14ac:dyDescent="0.25">
      <c r="J564" s="77"/>
      <c r="L564" s="56"/>
      <c r="M564" s="56"/>
      <c r="N564" s="56"/>
      <c r="O564" s="56"/>
      <c r="R564" s="56"/>
      <c r="AA564" s="56"/>
      <c r="AB564" s="56"/>
      <c r="AC564" s="56"/>
      <c r="AD564" s="56"/>
      <c r="AE564" s="56"/>
      <c r="AF564" s="56"/>
      <c r="AG564" s="155"/>
      <c r="AH564" s="56"/>
      <c r="AK564" s="155"/>
      <c r="AL564" s="56"/>
      <c r="AM564" s="56"/>
      <c r="AN564" s="56"/>
    </row>
    <row r="565" spans="1:40" x14ac:dyDescent="0.25">
      <c r="J565" s="77"/>
      <c r="L565" s="56"/>
      <c r="M565" s="56"/>
      <c r="N565" s="56"/>
      <c r="O565" s="56"/>
      <c r="R565" s="56"/>
      <c r="Z565" s="56"/>
      <c r="AA565" s="56"/>
      <c r="AB565" s="56"/>
      <c r="AC565" s="56"/>
      <c r="AD565" s="56"/>
      <c r="AE565" s="56"/>
      <c r="AF565" s="56"/>
      <c r="AG565" s="155"/>
      <c r="AH565" s="56"/>
      <c r="AK565" s="155"/>
      <c r="AL565" s="56"/>
      <c r="AM565" s="56"/>
      <c r="AN565" s="56"/>
    </row>
    <row r="566" spans="1:40" x14ac:dyDescent="0.25">
      <c r="A566" s="56"/>
      <c r="C566" s="56"/>
      <c r="D566" s="56"/>
      <c r="E566" s="56"/>
      <c r="F566" s="56"/>
      <c r="J566" s="67"/>
      <c r="K566" s="56"/>
      <c r="L566" s="56"/>
      <c r="M566" s="56"/>
      <c r="N566" s="56"/>
      <c r="O566" s="56"/>
      <c r="P566" s="56"/>
      <c r="Q566" s="56"/>
      <c r="R566" s="56"/>
      <c r="T566" s="56"/>
      <c r="U566" s="56"/>
      <c r="V566" s="56"/>
      <c r="Z566" s="56"/>
      <c r="AA566" s="56"/>
      <c r="AB566" s="56"/>
      <c r="AC566" s="56"/>
      <c r="AD566" s="56"/>
      <c r="AE566" s="56"/>
      <c r="AF566" s="56"/>
      <c r="AG566" s="155"/>
      <c r="AH566" s="56"/>
      <c r="AI566" s="56"/>
      <c r="AJ566" s="56"/>
      <c r="AK566" s="155"/>
      <c r="AL566" s="56"/>
      <c r="AM566" s="56"/>
      <c r="AN566" s="56"/>
    </row>
    <row r="567" spans="1:40" x14ac:dyDescent="0.25">
      <c r="A567" s="56"/>
      <c r="C567" s="56"/>
      <c r="D567" s="56"/>
      <c r="E567" s="56"/>
      <c r="F567" s="56"/>
      <c r="H567" s="56"/>
      <c r="I567" s="56"/>
      <c r="J567" s="67"/>
      <c r="K567" s="56"/>
      <c r="L567" s="56"/>
      <c r="M567" s="56"/>
      <c r="N567" s="56"/>
      <c r="O567" s="56"/>
      <c r="P567" s="56"/>
      <c r="Q567" s="56"/>
      <c r="R567" s="56"/>
      <c r="T567" s="56"/>
      <c r="U567" s="56"/>
      <c r="V567" s="56"/>
      <c r="Y567" s="56"/>
      <c r="Z567" s="56"/>
      <c r="AA567" s="56"/>
      <c r="AB567" s="56"/>
      <c r="AC567" s="56"/>
      <c r="AD567" s="56"/>
      <c r="AE567" s="56"/>
      <c r="AF567" s="56"/>
      <c r="AG567" s="155"/>
      <c r="AH567" s="56"/>
      <c r="AI567" s="56"/>
      <c r="AJ567" s="56"/>
      <c r="AK567" s="155"/>
      <c r="AL567" s="56"/>
      <c r="AM567" s="56"/>
      <c r="AN567" s="56"/>
    </row>
    <row r="568" spans="1:40" x14ac:dyDescent="0.25">
      <c r="C568" s="56"/>
      <c r="D568" s="56"/>
      <c r="E568" s="56"/>
      <c r="F568" s="56"/>
      <c r="H568" s="56"/>
      <c r="I568" s="56"/>
      <c r="J568" s="67"/>
      <c r="K568" s="56"/>
      <c r="L568" s="56"/>
      <c r="M568" s="56"/>
      <c r="N568" s="56"/>
      <c r="O568" s="56"/>
      <c r="P568" s="56"/>
      <c r="Q568" s="56"/>
      <c r="R568" s="56"/>
      <c r="T568" s="56"/>
      <c r="U568" s="56"/>
      <c r="V568" s="56"/>
      <c r="Y568" s="56"/>
      <c r="Z568" s="56"/>
      <c r="AA568" s="56"/>
      <c r="AB568" s="56"/>
      <c r="AC568" s="56"/>
      <c r="AD568" s="56"/>
      <c r="AE568" s="56"/>
      <c r="AF568" s="56"/>
      <c r="AG568" s="155"/>
      <c r="AH568" s="56"/>
      <c r="AI568" s="56"/>
      <c r="AJ568" s="56"/>
      <c r="AK568" s="155"/>
      <c r="AL568" s="56"/>
      <c r="AM568" s="56"/>
      <c r="AN568" s="56"/>
    </row>
    <row r="569" spans="1:40" x14ac:dyDescent="0.25">
      <c r="A569" s="55"/>
      <c r="B569" s="55"/>
      <c r="C569" s="55"/>
      <c r="D569" s="55"/>
      <c r="E569" s="55"/>
      <c r="F569" s="55"/>
      <c r="G569" s="55"/>
      <c r="H569" s="55"/>
      <c r="I569" s="55"/>
      <c r="J569" s="66"/>
      <c r="K569" s="55"/>
      <c r="L569" s="55"/>
      <c r="M569" s="55"/>
      <c r="N569" s="55"/>
      <c r="O569" s="55"/>
      <c r="P569" s="55"/>
      <c r="Q569" s="55"/>
      <c r="R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154"/>
      <c r="AH569" s="55"/>
      <c r="AI569" s="55"/>
      <c r="AJ569" s="55"/>
      <c r="AK569" s="154"/>
      <c r="AL569" s="55"/>
      <c r="AM569" s="55"/>
      <c r="AN569" s="55"/>
    </row>
    <row r="570" spans="1:40" x14ac:dyDescent="0.25">
      <c r="H570" s="56"/>
      <c r="I570" s="56"/>
      <c r="J570" s="67"/>
      <c r="K570" s="56"/>
      <c r="L570" s="56"/>
      <c r="M570" s="56"/>
      <c r="N570" s="56"/>
      <c r="O570" s="56"/>
      <c r="P570" s="56"/>
      <c r="Q570" s="56"/>
      <c r="R570" s="56"/>
      <c r="Y570" s="56"/>
      <c r="Z570" s="56"/>
      <c r="AA570" s="56"/>
      <c r="AB570" s="56"/>
      <c r="AC570" s="56"/>
      <c r="AD570" s="56"/>
      <c r="AE570" s="56"/>
      <c r="AF570" s="56"/>
      <c r="AG570" s="155"/>
      <c r="AH570" s="56"/>
      <c r="AI570" s="56"/>
      <c r="AJ570" s="56"/>
      <c r="AK570" s="155"/>
      <c r="AL570" s="56"/>
      <c r="AM570" s="56"/>
      <c r="AN570" s="56"/>
    </row>
    <row r="571" spans="1:40" x14ac:dyDescent="0.25">
      <c r="A571" s="53"/>
      <c r="C571" s="54"/>
      <c r="D571" s="54"/>
      <c r="E571" s="54"/>
      <c r="J571" s="77"/>
      <c r="T571" s="54"/>
      <c r="U571" s="54"/>
    </row>
    <row r="572" spans="1:40" x14ac:dyDescent="0.25">
      <c r="J572" s="77"/>
    </row>
    <row r="573" spans="1:40" x14ac:dyDescent="0.25">
      <c r="A573" s="53"/>
      <c r="C573" s="54"/>
      <c r="D573" s="54"/>
      <c r="E573" s="54"/>
      <c r="J573" s="77"/>
      <c r="T573" s="54"/>
      <c r="U573" s="54"/>
    </row>
    <row r="574" spans="1:40" x14ac:dyDescent="0.25">
      <c r="A574" s="53"/>
      <c r="C574" s="54"/>
      <c r="J574" s="77"/>
      <c r="T574" s="54"/>
    </row>
    <row r="575" spans="1:40" x14ac:dyDescent="0.25">
      <c r="A575" s="53"/>
      <c r="C575" s="54"/>
      <c r="J575" s="77"/>
      <c r="T575" s="54"/>
    </row>
    <row r="576" spans="1:40" x14ac:dyDescent="0.25">
      <c r="A576" s="53"/>
      <c r="C576" s="54"/>
      <c r="H576" s="449"/>
      <c r="I576" s="449"/>
      <c r="J576" s="221"/>
      <c r="K576" s="221"/>
      <c r="L576" s="379"/>
      <c r="M576" s="379"/>
      <c r="N576" s="50"/>
      <c r="O576" s="50"/>
      <c r="P576" s="379"/>
      <c r="Q576" s="379"/>
      <c r="R576" s="379"/>
      <c r="T576" s="54"/>
      <c r="V576" s="379"/>
      <c r="W576" s="379"/>
      <c r="X576" s="379"/>
      <c r="Y576" s="379"/>
      <c r="Z576" s="221"/>
      <c r="AA576" s="379"/>
      <c r="AB576" s="379"/>
      <c r="AC576" s="50"/>
      <c r="AD576" s="50"/>
      <c r="AE576" s="379"/>
      <c r="AF576" s="379"/>
      <c r="AG576" s="156"/>
      <c r="AH576" s="60"/>
      <c r="AI576" s="379"/>
      <c r="AJ576" s="379"/>
      <c r="AK576" s="156"/>
      <c r="AL576" s="379"/>
      <c r="AM576" s="50"/>
      <c r="AN576" s="50"/>
    </row>
    <row r="577" spans="1:40" x14ac:dyDescent="0.25">
      <c r="A577" s="53"/>
      <c r="C577" s="54"/>
      <c r="F577" s="449"/>
      <c r="J577" s="65"/>
      <c r="K577" s="65"/>
      <c r="T577" s="54"/>
      <c r="V577" s="379"/>
      <c r="W577" s="379"/>
      <c r="X577" s="379"/>
      <c r="Y577" s="379"/>
      <c r="Z577" s="221"/>
    </row>
    <row r="578" spans="1:40" x14ac:dyDescent="0.25">
      <c r="A578" s="53"/>
      <c r="C578" s="54"/>
      <c r="H578" s="449"/>
      <c r="I578" s="449"/>
      <c r="J578" s="221"/>
      <c r="K578" s="221"/>
      <c r="L578" s="379"/>
      <c r="M578" s="379"/>
      <c r="N578" s="50"/>
      <c r="O578" s="50"/>
      <c r="P578" s="379"/>
      <c r="Q578" s="379"/>
      <c r="R578" s="379"/>
      <c r="T578" s="54"/>
      <c r="V578" s="379"/>
      <c r="W578" s="379"/>
      <c r="X578" s="379"/>
      <c r="Y578" s="379"/>
      <c r="Z578" s="221"/>
      <c r="AA578" s="379"/>
      <c r="AB578" s="379"/>
      <c r="AC578" s="50"/>
      <c r="AD578" s="50"/>
      <c r="AE578" s="379"/>
      <c r="AF578" s="379"/>
      <c r="AG578" s="156"/>
      <c r="AH578" s="60"/>
      <c r="AI578" s="379"/>
      <c r="AJ578" s="379"/>
      <c r="AK578" s="156"/>
      <c r="AL578" s="379"/>
      <c r="AM578" s="50"/>
      <c r="AN578" s="50"/>
    </row>
    <row r="579" spans="1:40" x14ac:dyDescent="0.25">
      <c r="A579" s="53"/>
      <c r="C579" s="54"/>
      <c r="F579" s="449"/>
      <c r="J579" s="65"/>
      <c r="K579" s="65"/>
      <c r="T579" s="54"/>
      <c r="V579" s="379"/>
      <c r="W579" s="379"/>
      <c r="X579" s="379"/>
      <c r="Y579" s="379"/>
      <c r="Z579" s="221"/>
    </row>
    <row r="580" spans="1:40" x14ac:dyDescent="0.25">
      <c r="A580" s="53"/>
      <c r="C580" s="54"/>
      <c r="H580" s="449"/>
      <c r="I580" s="449"/>
      <c r="J580" s="221"/>
      <c r="K580" s="221"/>
      <c r="L580" s="379"/>
      <c r="M580" s="379"/>
      <c r="N580" s="50"/>
      <c r="O580" s="50"/>
      <c r="P580" s="379"/>
      <c r="Q580" s="379"/>
      <c r="R580" s="379"/>
      <c r="T580" s="54"/>
      <c r="V580" s="379"/>
      <c r="W580" s="379"/>
      <c r="X580" s="379"/>
      <c r="Y580" s="379"/>
      <c r="Z580" s="221"/>
      <c r="AA580" s="379"/>
      <c r="AB580" s="379"/>
      <c r="AC580" s="50"/>
      <c r="AD580" s="50"/>
      <c r="AE580" s="379"/>
      <c r="AF580" s="379"/>
      <c r="AG580" s="156"/>
      <c r="AH580" s="60"/>
      <c r="AI580" s="379"/>
      <c r="AJ580" s="379"/>
      <c r="AK580" s="156"/>
      <c r="AL580" s="379"/>
      <c r="AM580" s="50"/>
      <c r="AN580" s="50"/>
    </row>
    <row r="581" spans="1:40" x14ac:dyDescent="0.25">
      <c r="A581" s="53"/>
      <c r="C581" s="54"/>
      <c r="F581" s="449"/>
      <c r="J581" s="65"/>
      <c r="K581" s="65"/>
      <c r="T581" s="54"/>
      <c r="V581" s="379"/>
      <c r="W581" s="379"/>
      <c r="X581" s="379"/>
      <c r="Y581" s="379"/>
      <c r="Z581" s="221"/>
    </row>
    <row r="582" spans="1:40" x14ac:dyDescent="0.25">
      <c r="A582" s="53"/>
      <c r="C582" s="54"/>
      <c r="H582" s="449"/>
      <c r="I582" s="449"/>
      <c r="J582" s="221"/>
      <c r="K582" s="221"/>
      <c r="L582" s="379"/>
      <c r="M582" s="379"/>
      <c r="N582" s="50"/>
      <c r="O582" s="50"/>
      <c r="P582" s="379"/>
      <c r="Q582" s="379"/>
      <c r="R582" s="379"/>
      <c r="T582" s="54"/>
      <c r="V582" s="379"/>
      <c r="W582" s="379"/>
      <c r="X582" s="379"/>
      <c r="Y582" s="379"/>
      <c r="Z582" s="221"/>
      <c r="AA582" s="379"/>
      <c r="AB582" s="379"/>
      <c r="AC582" s="50"/>
      <c r="AD582" s="50"/>
      <c r="AE582" s="379"/>
      <c r="AF582" s="379"/>
      <c r="AG582" s="156"/>
      <c r="AH582" s="60"/>
      <c r="AI582" s="379"/>
      <c r="AJ582" s="379"/>
      <c r="AK582" s="156"/>
      <c r="AL582" s="379"/>
      <c r="AM582" s="50"/>
      <c r="AN582" s="50"/>
    </row>
    <row r="583" spans="1:40" x14ac:dyDescent="0.25">
      <c r="A583" s="53"/>
      <c r="C583" s="54"/>
      <c r="F583" s="449"/>
      <c r="J583" s="65"/>
      <c r="K583" s="65"/>
      <c r="T583" s="54"/>
      <c r="V583" s="379"/>
      <c r="W583" s="379"/>
      <c r="X583" s="379"/>
      <c r="Y583" s="379"/>
      <c r="Z583" s="221"/>
    </row>
    <row r="584" spans="1:40" x14ac:dyDescent="0.25">
      <c r="A584" s="53"/>
      <c r="C584" s="54"/>
      <c r="H584" s="449"/>
      <c r="I584" s="449"/>
      <c r="J584" s="221"/>
      <c r="K584" s="221"/>
      <c r="L584" s="379"/>
      <c r="M584" s="379"/>
      <c r="N584" s="50"/>
      <c r="O584" s="50"/>
      <c r="P584" s="379"/>
      <c r="Q584" s="379"/>
      <c r="R584" s="379"/>
      <c r="T584" s="54"/>
      <c r="V584" s="379"/>
      <c r="W584" s="379"/>
      <c r="X584" s="379"/>
      <c r="Y584" s="379"/>
      <c r="Z584" s="221"/>
      <c r="AA584" s="379"/>
      <c r="AB584" s="379"/>
      <c r="AC584" s="50"/>
      <c r="AD584" s="50"/>
      <c r="AE584" s="379"/>
      <c r="AF584" s="379"/>
      <c r="AG584" s="156"/>
      <c r="AH584" s="60"/>
      <c r="AI584" s="379"/>
      <c r="AJ584" s="379"/>
      <c r="AK584" s="156"/>
      <c r="AL584" s="379"/>
      <c r="AM584" s="50"/>
      <c r="AN584" s="50"/>
    </row>
    <row r="585" spans="1:40" x14ac:dyDescent="0.25">
      <c r="A585" s="53"/>
      <c r="C585" s="54"/>
      <c r="F585" s="449"/>
      <c r="J585" s="65"/>
      <c r="K585" s="65"/>
      <c r="T585" s="54"/>
      <c r="V585" s="379"/>
      <c r="W585" s="379"/>
      <c r="X585" s="379"/>
      <c r="Y585" s="379"/>
      <c r="Z585" s="221"/>
    </row>
    <row r="586" spans="1:40" x14ac:dyDescent="0.25">
      <c r="A586" s="53"/>
      <c r="C586" s="54"/>
      <c r="H586" s="449"/>
      <c r="I586" s="449"/>
      <c r="J586" s="221"/>
      <c r="K586" s="221"/>
      <c r="L586" s="379"/>
      <c r="M586" s="379"/>
      <c r="N586" s="50"/>
      <c r="O586" s="50"/>
      <c r="P586" s="379"/>
      <c r="Q586" s="379"/>
      <c r="R586" s="379"/>
      <c r="T586" s="54"/>
      <c r="V586" s="379"/>
      <c r="W586" s="379"/>
      <c r="X586" s="379"/>
      <c r="Y586" s="379"/>
      <c r="Z586" s="221"/>
      <c r="AA586" s="379"/>
      <c r="AB586" s="379"/>
      <c r="AC586" s="50"/>
      <c r="AD586" s="50"/>
      <c r="AE586" s="379"/>
      <c r="AF586" s="379"/>
      <c r="AG586" s="156"/>
      <c r="AH586" s="60"/>
      <c r="AI586" s="379"/>
      <c r="AJ586" s="379"/>
      <c r="AK586" s="156"/>
      <c r="AL586" s="379"/>
      <c r="AM586" s="50"/>
      <c r="AN586" s="50"/>
    </row>
    <row r="587" spans="1:40" x14ac:dyDescent="0.25">
      <c r="F587" s="449"/>
      <c r="H587" s="381"/>
      <c r="I587" s="381"/>
      <c r="J587" s="221"/>
      <c r="K587" s="221"/>
      <c r="L587" s="381"/>
      <c r="M587" s="381"/>
      <c r="N587" s="381"/>
      <c r="O587" s="381"/>
      <c r="P587" s="381"/>
      <c r="Q587" s="381"/>
      <c r="R587" s="381"/>
      <c r="V587" s="381"/>
      <c r="Y587" s="381"/>
      <c r="Z587" s="221"/>
      <c r="AA587" s="381"/>
      <c r="AB587" s="381"/>
      <c r="AC587" s="381"/>
      <c r="AD587" s="381"/>
      <c r="AE587" s="381"/>
      <c r="AF587" s="381"/>
      <c r="AI587" s="381"/>
      <c r="AJ587" s="381"/>
      <c r="AK587" s="162"/>
      <c r="AL587" s="381"/>
      <c r="AM587" s="50"/>
      <c r="AN587" s="50"/>
    </row>
    <row r="588" spans="1:40" x14ac:dyDescent="0.25">
      <c r="A588" s="53"/>
      <c r="C588" s="54"/>
      <c r="F588" s="381"/>
      <c r="H588" s="379"/>
      <c r="I588" s="379"/>
      <c r="J588" s="65"/>
      <c r="K588" s="65"/>
      <c r="L588" s="379"/>
      <c r="M588" s="379"/>
      <c r="N588" s="50"/>
      <c r="O588" s="50"/>
      <c r="P588" s="449"/>
      <c r="Q588" s="449"/>
      <c r="R588" s="379"/>
      <c r="T588" s="54"/>
      <c r="V588" s="379"/>
      <c r="W588" s="379"/>
      <c r="X588" s="379"/>
      <c r="Y588" s="379"/>
      <c r="Z588" s="221"/>
      <c r="AA588" s="379"/>
      <c r="AB588" s="379"/>
      <c r="AC588" s="50"/>
      <c r="AD588" s="50"/>
      <c r="AE588" s="379"/>
      <c r="AF588" s="379"/>
      <c r="AG588" s="156"/>
      <c r="AH588" s="60"/>
      <c r="AI588" s="449"/>
      <c r="AJ588" s="449"/>
      <c r="AK588" s="156"/>
      <c r="AL588" s="379"/>
      <c r="AM588" s="50"/>
      <c r="AN588" s="50"/>
    </row>
    <row r="589" spans="1:40" x14ac:dyDescent="0.25">
      <c r="F589" s="379"/>
      <c r="H589" s="381"/>
      <c r="I589" s="381"/>
      <c r="J589" s="221"/>
      <c r="K589" s="221"/>
      <c r="L589" s="381"/>
      <c r="M589" s="381"/>
      <c r="N589" s="381"/>
      <c r="O589" s="381"/>
      <c r="P589" s="381"/>
      <c r="Q589" s="381"/>
      <c r="R589" s="381"/>
      <c r="V589" s="381"/>
      <c r="Y589" s="381"/>
      <c r="Z589" s="221"/>
      <c r="AA589" s="381"/>
      <c r="AB589" s="381"/>
      <c r="AC589" s="381"/>
      <c r="AD589" s="381"/>
      <c r="AE589" s="381"/>
      <c r="AF589" s="381"/>
      <c r="AI589" s="381"/>
      <c r="AJ589" s="381"/>
      <c r="AK589" s="162"/>
      <c r="AL589" s="381"/>
    </row>
    <row r="590" spans="1:40" x14ac:dyDescent="0.25">
      <c r="A590" s="53"/>
      <c r="C590" s="54"/>
      <c r="D590" s="54"/>
      <c r="E590" s="54"/>
      <c r="F590" s="381"/>
      <c r="J590" s="65"/>
      <c r="K590" s="65"/>
      <c r="T590" s="54"/>
      <c r="U590" s="54"/>
      <c r="V590" s="379"/>
      <c r="W590" s="379"/>
      <c r="X590" s="379"/>
      <c r="Y590" s="379"/>
      <c r="Z590" s="221"/>
    </row>
    <row r="591" spans="1:40" x14ac:dyDescent="0.25">
      <c r="A591" s="53"/>
      <c r="C591" s="54"/>
      <c r="J591" s="65"/>
      <c r="K591" s="65"/>
      <c r="T591" s="54"/>
      <c r="V591" s="379"/>
      <c r="W591" s="379"/>
      <c r="X591" s="379"/>
      <c r="Y591" s="379"/>
      <c r="Z591" s="221"/>
    </row>
    <row r="592" spans="1:40" x14ac:dyDescent="0.25">
      <c r="A592" s="53"/>
      <c r="C592" s="54"/>
      <c r="J592" s="65"/>
      <c r="K592" s="65"/>
      <c r="T592" s="54"/>
      <c r="V592" s="379"/>
      <c r="W592" s="379"/>
      <c r="X592" s="379"/>
      <c r="Y592" s="379"/>
      <c r="Z592" s="221"/>
    </row>
    <row r="593" spans="1:40" x14ac:dyDescent="0.25">
      <c r="A593" s="53"/>
      <c r="C593" s="54"/>
      <c r="H593" s="449"/>
      <c r="I593" s="449"/>
      <c r="J593" s="221"/>
      <c r="K593" s="221"/>
      <c r="L593" s="379"/>
      <c r="M593" s="379"/>
      <c r="N593" s="50"/>
      <c r="O593" s="50"/>
      <c r="P593" s="379"/>
      <c r="Q593" s="379"/>
      <c r="R593" s="379"/>
      <c r="T593" s="54"/>
      <c r="V593" s="379"/>
      <c r="W593" s="379"/>
      <c r="X593" s="379"/>
      <c r="Y593" s="379"/>
      <c r="Z593" s="221"/>
      <c r="AA593" s="379"/>
      <c r="AB593" s="379"/>
      <c r="AC593" s="50"/>
      <c r="AD593" s="50"/>
      <c r="AE593" s="379"/>
      <c r="AF593" s="379"/>
      <c r="AG593" s="156"/>
      <c r="AH593" s="60"/>
      <c r="AI593" s="379"/>
      <c r="AJ593" s="379"/>
      <c r="AK593" s="156"/>
      <c r="AL593" s="379"/>
      <c r="AM593" s="50"/>
      <c r="AN593" s="50"/>
    </row>
    <row r="594" spans="1:40" x14ac:dyDescent="0.25">
      <c r="A594" s="53"/>
      <c r="C594" s="54"/>
      <c r="F594" s="449"/>
      <c r="J594" s="65"/>
      <c r="K594" s="65"/>
      <c r="T594" s="54"/>
      <c r="V594" s="379"/>
      <c r="W594" s="379"/>
      <c r="X594" s="379"/>
      <c r="Y594" s="379"/>
      <c r="Z594" s="221"/>
    </row>
    <row r="595" spans="1:40" x14ac:dyDescent="0.25">
      <c r="A595" s="53"/>
      <c r="C595" s="54"/>
      <c r="H595" s="449"/>
      <c r="I595" s="449"/>
      <c r="J595" s="221"/>
      <c r="K595" s="221"/>
      <c r="L595" s="379"/>
      <c r="M595" s="379"/>
      <c r="N595" s="50"/>
      <c r="O595" s="50"/>
      <c r="P595" s="379"/>
      <c r="Q595" s="379"/>
      <c r="R595" s="379"/>
      <c r="T595" s="54"/>
      <c r="V595" s="379"/>
      <c r="W595" s="379"/>
      <c r="X595" s="379"/>
      <c r="Y595" s="379"/>
      <c r="Z595" s="221"/>
      <c r="AA595" s="379"/>
      <c r="AB595" s="379"/>
      <c r="AC595" s="50"/>
      <c r="AD595" s="50"/>
      <c r="AE595" s="379"/>
      <c r="AF595" s="379"/>
      <c r="AG595" s="156"/>
      <c r="AH595" s="60"/>
      <c r="AI595" s="379"/>
      <c r="AJ595" s="379"/>
      <c r="AK595" s="156"/>
      <c r="AL595" s="379"/>
      <c r="AM595" s="50"/>
      <c r="AN595" s="50"/>
    </row>
    <row r="596" spans="1:40" x14ac:dyDescent="0.25">
      <c r="F596" s="449"/>
      <c r="H596" s="381"/>
      <c r="I596" s="381"/>
      <c r="J596" s="221"/>
      <c r="K596" s="221"/>
      <c r="L596" s="381"/>
      <c r="M596" s="381"/>
      <c r="N596" s="381"/>
      <c r="O596" s="381"/>
      <c r="P596" s="381"/>
      <c r="Q596" s="381"/>
      <c r="R596" s="381"/>
      <c r="V596" s="381"/>
      <c r="Y596" s="381"/>
      <c r="Z596" s="464"/>
      <c r="AA596" s="381"/>
      <c r="AB596" s="381"/>
      <c r="AC596" s="381"/>
      <c r="AD596" s="381"/>
      <c r="AE596" s="381"/>
      <c r="AF596" s="381"/>
      <c r="AI596" s="381"/>
      <c r="AJ596" s="381"/>
      <c r="AK596" s="162"/>
      <c r="AL596" s="381"/>
    </row>
    <row r="597" spans="1:40" x14ac:dyDescent="0.25">
      <c r="A597" s="53"/>
      <c r="C597" s="54"/>
      <c r="F597" s="381"/>
      <c r="H597" s="379"/>
      <c r="I597" s="379"/>
      <c r="L597" s="379"/>
      <c r="M597" s="379"/>
      <c r="N597" s="50"/>
      <c r="O597" s="50"/>
      <c r="P597" s="449"/>
      <c r="Q597" s="449"/>
      <c r="R597" s="379"/>
      <c r="T597" s="54"/>
      <c r="V597" s="379"/>
      <c r="W597" s="379"/>
      <c r="X597" s="379"/>
      <c r="Y597" s="379"/>
      <c r="Z597" s="477"/>
      <c r="AA597" s="379"/>
      <c r="AB597" s="379"/>
      <c r="AC597" s="50"/>
      <c r="AD597" s="50"/>
      <c r="AE597" s="379"/>
      <c r="AF597" s="379"/>
      <c r="AG597" s="156"/>
      <c r="AH597" s="60"/>
      <c r="AI597" s="449"/>
      <c r="AJ597" s="449"/>
      <c r="AK597" s="156"/>
      <c r="AL597" s="379"/>
      <c r="AM597" s="50"/>
      <c r="AN597" s="50"/>
    </row>
    <row r="598" spans="1:40" x14ac:dyDescent="0.25">
      <c r="F598" s="379"/>
      <c r="H598" s="381"/>
      <c r="I598" s="381"/>
      <c r="J598" s="464"/>
      <c r="K598" s="464"/>
      <c r="L598" s="381"/>
      <c r="M598" s="381"/>
      <c r="N598" s="381"/>
      <c r="O598" s="381"/>
      <c r="P598" s="381"/>
      <c r="Q598" s="381"/>
      <c r="R598" s="381"/>
      <c r="V598" s="381"/>
      <c r="Y598" s="381"/>
      <c r="Z598" s="464"/>
      <c r="AA598" s="381"/>
      <c r="AB598" s="381"/>
      <c r="AC598" s="381"/>
      <c r="AD598" s="381"/>
      <c r="AE598" s="381"/>
      <c r="AF598" s="381"/>
      <c r="AI598" s="381"/>
      <c r="AJ598" s="381"/>
      <c r="AK598" s="162"/>
      <c r="AL598" s="381"/>
    </row>
    <row r="599" spans="1:40" x14ac:dyDescent="0.25">
      <c r="A599" s="53"/>
      <c r="C599" s="54"/>
      <c r="D599" s="54"/>
      <c r="E599" s="54"/>
      <c r="F599" s="381"/>
      <c r="T599" s="54"/>
      <c r="U599" s="54"/>
      <c r="V599" s="379"/>
      <c r="W599" s="379"/>
      <c r="X599" s="379"/>
      <c r="Y599" s="379"/>
      <c r="Z599" s="477"/>
    </row>
    <row r="600" spans="1:40" x14ac:dyDescent="0.25">
      <c r="A600" s="53"/>
      <c r="C600" s="54"/>
      <c r="T600" s="54"/>
      <c r="V600" s="379"/>
      <c r="W600" s="379"/>
      <c r="X600" s="379"/>
      <c r="Y600" s="379"/>
      <c r="Z600" s="477"/>
    </row>
    <row r="601" spans="1:40" x14ac:dyDescent="0.25">
      <c r="A601" s="53"/>
      <c r="C601" s="54"/>
      <c r="H601" s="449"/>
      <c r="I601" s="449"/>
      <c r="J601" s="477"/>
      <c r="K601" s="477"/>
      <c r="L601" s="379"/>
      <c r="M601" s="379"/>
      <c r="N601" s="50"/>
      <c r="O601" s="50"/>
      <c r="P601" s="379"/>
      <c r="Q601" s="379"/>
      <c r="R601" s="379"/>
      <c r="T601" s="54"/>
      <c r="V601" s="379"/>
      <c r="W601" s="379"/>
      <c r="X601" s="379"/>
      <c r="Y601" s="379"/>
      <c r="Z601" s="477"/>
      <c r="AA601" s="379"/>
      <c r="AB601" s="379"/>
      <c r="AC601" s="50"/>
      <c r="AD601" s="50"/>
      <c r="AE601" s="379"/>
      <c r="AF601" s="379"/>
      <c r="AG601" s="156"/>
      <c r="AH601" s="60"/>
      <c r="AI601" s="379"/>
      <c r="AJ601" s="379"/>
      <c r="AK601" s="156"/>
      <c r="AL601" s="379"/>
      <c r="AM601" s="50"/>
      <c r="AN601" s="50"/>
    </row>
    <row r="602" spans="1:40" x14ac:dyDescent="0.25">
      <c r="A602" s="53"/>
      <c r="C602" s="54"/>
      <c r="F602" s="449"/>
      <c r="T602" s="54"/>
      <c r="V602" s="379"/>
      <c r="W602" s="379"/>
      <c r="X602" s="379"/>
      <c r="Y602" s="379"/>
      <c r="Z602" s="477"/>
    </row>
    <row r="603" spans="1:40" x14ac:dyDescent="0.25">
      <c r="A603" s="53"/>
      <c r="C603" s="54"/>
      <c r="H603" s="449"/>
      <c r="I603" s="449"/>
      <c r="J603" s="477"/>
      <c r="K603" s="477"/>
      <c r="L603" s="379"/>
      <c r="M603" s="379"/>
      <c r="N603" s="50"/>
      <c r="O603" s="50"/>
      <c r="P603" s="379"/>
      <c r="Q603" s="379"/>
      <c r="R603" s="379"/>
      <c r="T603" s="54"/>
      <c r="V603" s="379"/>
      <c r="W603" s="379"/>
      <c r="X603" s="379"/>
      <c r="Y603" s="379"/>
      <c r="Z603" s="477"/>
      <c r="AA603" s="379"/>
      <c r="AB603" s="379"/>
      <c r="AC603" s="50"/>
      <c r="AD603" s="50"/>
      <c r="AE603" s="379"/>
      <c r="AF603" s="379"/>
      <c r="AG603" s="156"/>
      <c r="AH603" s="60"/>
      <c r="AI603" s="379"/>
      <c r="AJ603" s="379"/>
      <c r="AK603" s="156"/>
      <c r="AL603" s="379"/>
      <c r="AM603" s="50"/>
      <c r="AN603" s="50"/>
    </row>
    <row r="604" spans="1:40" x14ac:dyDescent="0.25">
      <c r="A604" s="53"/>
      <c r="C604" s="54"/>
      <c r="F604" s="449"/>
      <c r="T604" s="54"/>
      <c r="V604" s="379"/>
      <c r="W604" s="379"/>
      <c r="X604" s="379"/>
      <c r="Y604" s="379"/>
      <c r="Z604" s="477"/>
    </row>
    <row r="605" spans="1:40" x14ac:dyDescent="0.25">
      <c r="A605" s="53"/>
      <c r="C605" s="54"/>
      <c r="H605" s="449"/>
      <c r="I605" s="449"/>
      <c r="J605" s="477"/>
      <c r="K605" s="477"/>
      <c r="L605" s="379"/>
      <c r="M605" s="379"/>
      <c r="N605" s="50"/>
      <c r="O605" s="50"/>
      <c r="P605" s="379"/>
      <c r="Q605" s="379"/>
      <c r="R605" s="379"/>
      <c r="T605" s="54"/>
      <c r="V605" s="379"/>
      <c r="W605" s="379"/>
      <c r="X605" s="379"/>
      <c r="Y605" s="379"/>
      <c r="Z605" s="477"/>
      <c r="AA605" s="379"/>
      <c r="AB605" s="379"/>
      <c r="AC605" s="50"/>
      <c r="AD605" s="50"/>
      <c r="AE605" s="379"/>
      <c r="AF605" s="379"/>
      <c r="AG605" s="156"/>
      <c r="AH605" s="60"/>
      <c r="AI605" s="379"/>
      <c r="AJ605" s="379"/>
      <c r="AK605" s="156"/>
      <c r="AL605" s="379"/>
      <c r="AM605" s="50"/>
      <c r="AN605" s="50"/>
    </row>
    <row r="606" spans="1:40" x14ac:dyDescent="0.25">
      <c r="A606" s="53"/>
      <c r="C606" s="54"/>
      <c r="F606" s="449"/>
      <c r="T606" s="54"/>
      <c r="V606" s="379"/>
      <c r="W606" s="379"/>
      <c r="X606" s="379"/>
      <c r="Y606" s="379"/>
      <c r="Z606" s="477"/>
    </row>
    <row r="607" spans="1:40" x14ac:dyDescent="0.25">
      <c r="A607" s="53"/>
      <c r="C607" s="54"/>
      <c r="H607" s="449"/>
      <c r="I607" s="449"/>
      <c r="J607" s="477"/>
      <c r="K607" s="477"/>
      <c r="L607" s="379"/>
      <c r="M607" s="379"/>
      <c r="N607" s="50"/>
      <c r="O607" s="50"/>
      <c r="P607" s="379"/>
      <c r="Q607" s="379"/>
      <c r="R607" s="379"/>
      <c r="T607" s="54"/>
      <c r="V607" s="379"/>
      <c r="W607" s="379"/>
      <c r="X607" s="379"/>
      <c r="Y607" s="379"/>
      <c r="Z607" s="477"/>
      <c r="AA607" s="379"/>
      <c r="AB607" s="379"/>
      <c r="AC607" s="50"/>
      <c r="AD607" s="50"/>
      <c r="AE607" s="379"/>
      <c r="AF607" s="379"/>
      <c r="AG607" s="156"/>
      <c r="AH607" s="60"/>
      <c r="AI607" s="379"/>
      <c r="AJ607" s="379"/>
      <c r="AK607" s="156"/>
      <c r="AL607" s="379"/>
      <c r="AM607" s="50"/>
      <c r="AN607" s="50"/>
    </row>
    <row r="608" spans="1:40" x14ac:dyDescent="0.25">
      <c r="F608" s="449"/>
      <c r="H608" s="381"/>
      <c r="I608" s="381"/>
      <c r="J608" s="464"/>
      <c r="K608" s="464"/>
      <c r="L608" s="381"/>
      <c r="M608" s="381"/>
      <c r="N608" s="381"/>
      <c r="O608" s="381"/>
      <c r="P608" s="381"/>
      <c r="Q608" s="381"/>
      <c r="R608" s="381"/>
      <c r="V608" s="381"/>
      <c r="Y608" s="381"/>
      <c r="Z608" s="464"/>
      <c r="AA608" s="381"/>
      <c r="AB608" s="381"/>
      <c r="AC608" s="381"/>
      <c r="AD608" s="381"/>
      <c r="AE608" s="381"/>
      <c r="AF608" s="381"/>
      <c r="AI608" s="381"/>
      <c r="AJ608" s="381"/>
      <c r="AK608" s="162"/>
      <c r="AL608" s="381"/>
    </row>
    <row r="609" spans="1:40" x14ac:dyDescent="0.25">
      <c r="A609" s="53"/>
      <c r="C609" s="54"/>
      <c r="F609" s="381"/>
      <c r="H609" s="379"/>
      <c r="I609" s="379"/>
      <c r="L609" s="379"/>
      <c r="M609" s="379"/>
      <c r="N609" s="50"/>
      <c r="O609" s="50"/>
      <c r="P609" s="449"/>
      <c r="Q609" s="449"/>
      <c r="R609" s="379"/>
      <c r="T609" s="54"/>
      <c r="V609" s="379"/>
      <c r="W609" s="379"/>
      <c r="X609" s="379"/>
      <c r="Y609" s="379"/>
      <c r="Z609" s="477"/>
      <c r="AA609" s="379"/>
      <c r="AB609" s="379"/>
      <c r="AC609" s="50"/>
      <c r="AD609" s="50"/>
      <c r="AE609" s="379"/>
      <c r="AF609" s="379"/>
      <c r="AG609" s="156"/>
      <c r="AH609" s="60"/>
      <c r="AI609" s="449"/>
      <c r="AJ609" s="449"/>
      <c r="AK609" s="156"/>
      <c r="AL609" s="379"/>
      <c r="AM609" s="50"/>
      <c r="AN609" s="50"/>
    </row>
    <row r="610" spans="1:40" x14ac:dyDescent="0.25">
      <c r="F610" s="379"/>
      <c r="H610" s="381"/>
      <c r="I610" s="381"/>
      <c r="J610" s="464"/>
      <c r="K610" s="464"/>
      <c r="L610" s="381"/>
      <c r="M610" s="381"/>
      <c r="N610" s="381"/>
      <c r="O610" s="381"/>
      <c r="P610" s="381"/>
      <c r="Q610" s="381"/>
      <c r="R610" s="381"/>
      <c r="V610" s="381"/>
      <c r="Y610" s="381"/>
      <c r="Z610" s="464"/>
      <c r="AA610" s="381"/>
      <c r="AB610" s="381"/>
      <c r="AC610" s="381"/>
      <c r="AD610" s="381"/>
      <c r="AE610" s="381"/>
      <c r="AF610" s="381"/>
      <c r="AI610" s="381"/>
      <c r="AJ610" s="381"/>
      <c r="AK610" s="162"/>
      <c r="AL610" s="381"/>
    </row>
    <row r="611" spans="1:40" x14ac:dyDescent="0.25">
      <c r="A611" s="53"/>
      <c r="C611" s="54"/>
      <c r="F611" s="381"/>
      <c r="H611" s="379"/>
      <c r="I611" s="379"/>
      <c r="L611" s="379"/>
      <c r="M611" s="379"/>
      <c r="N611" s="50"/>
      <c r="O611" s="50"/>
      <c r="P611" s="379"/>
      <c r="Q611" s="379"/>
      <c r="R611" s="379"/>
      <c r="T611" s="54"/>
      <c r="V611" s="379"/>
      <c r="W611" s="379"/>
      <c r="X611" s="379"/>
      <c r="Y611" s="379"/>
      <c r="AA611" s="379"/>
      <c r="AB611" s="379"/>
      <c r="AC611" s="50"/>
      <c r="AD611" s="50"/>
      <c r="AE611" s="379"/>
      <c r="AF611" s="379"/>
      <c r="AG611" s="156"/>
      <c r="AH611" s="60"/>
      <c r="AI611" s="379"/>
      <c r="AJ611" s="379"/>
      <c r="AK611" s="156"/>
      <c r="AL611" s="379"/>
      <c r="AM611" s="60"/>
      <c r="AN611" s="60"/>
    </row>
    <row r="612" spans="1:40" x14ac:dyDescent="0.25">
      <c r="F612" s="379"/>
      <c r="H612" s="381"/>
      <c r="I612" s="381"/>
      <c r="J612" s="464"/>
      <c r="K612" s="464"/>
      <c r="L612" s="381"/>
      <c r="M612" s="381"/>
      <c r="N612" s="381"/>
      <c r="O612" s="381"/>
      <c r="P612" s="381"/>
      <c r="Q612" s="381"/>
      <c r="R612" s="381"/>
      <c r="V612" s="381"/>
      <c r="Y612" s="381"/>
      <c r="Z612" s="464"/>
      <c r="AA612" s="381"/>
      <c r="AB612" s="381"/>
      <c r="AC612" s="381"/>
      <c r="AD612" s="381"/>
      <c r="AE612" s="381"/>
      <c r="AF612" s="381"/>
      <c r="AI612" s="381"/>
      <c r="AJ612" s="381"/>
      <c r="AK612" s="162"/>
      <c r="AL612" s="381"/>
    </row>
    <row r="614" spans="1:40" x14ac:dyDescent="0.25">
      <c r="C614" s="53"/>
      <c r="F614" s="381"/>
      <c r="T614" s="53"/>
    </row>
    <row r="615" spans="1:40" x14ac:dyDescent="0.25">
      <c r="A615" s="54"/>
    </row>
    <row r="616" spans="1:40" x14ac:dyDescent="0.25">
      <c r="J616" s="53"/>
      <c r="K616" s="53"/>
      <c r="Z616" s="53"/>
    </row>
    <row r="617" spans="1:40" x14ac:dyDescent="0.25">
      <c r="H617" s="54"/>
      <c r="I617" s="54"/>
      <c r="Y617" s="54"/>
    </row>
    <row r="618" spans="1:40" x14ac:dyDescent="0.25">
      <c r="J618" s="53"/>
      <c r="K618" s="53"/>
      <c r="Z618" s="53"/>
    </row>
    <row r="619" spans="1:40" x14ac:dyDescent="0.25">
      <c r="L619" s="54"/>
      <c r="M619" s="54"/>
      <c r="AA619" s="54"/>
      <c r="AB619" s="54"/>
    </row>
    <row r="620" spans="1:40" x14ac:dyDescent="0.25">
      <c r="A620" s="53"/>
      <c r="R620" s="54"/>
      <c r="AK620" s="161"/>
      <c r="AL620" s="54"/>
    </row>
    <row r="621" spans="1:40" x14ac:dyDescent="0.25">
      <c r="A621" s="53"/>
      <c r="R621" s="54"/>
      <c r="AK621" s="161"/>
      <c r="AL621" s="54"/>
    </row>
    <row r="622" spans="1:40" x14ac:dyDescent="0.25">
      <c r="A622" s="54"/>
      <c r="R622" s="54"/>
      <c r="AK622" s="161"/>
      <c r="AL622" s="54"/>
    </row>
    <row r="623" spans="1:40" x14ac:dyDescent="0.25">
      <c r="L623" s="54"/>
      <c r="M623" s="54"/>
      <c r="R623" s="53"/>
      <c r="AA623" s="54"/>
      <c r="AB623" s="54"/>
      <c r="AK623" s="156"/>
      <c r="AL623" s="53"/>
    </row>
    <row r="624" spans="1:40" x14ac:dyDescent="0.25">
      <c r="A624" s="55"/>
      <c r="B624" s="55"/>
      <c r="C624" s="55"/>
      <c r="D624" s="55"/>
      <c r="E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154"/>
      <c r="AH624" s="55"/>
      <c r="AI624" s="55"/>
      <c r="AJ624" s="55"/>
      <c r="AK624" s="154"/>
      <c r="AL624" s="55"/>
      <c r="AM624" s="55"/>
      <c r="AN624" s="55"/>
    </row>
    <row r="625" spans="1:40" x14ac:dyDescent="0.25">
      <c r="F625" s="55"/>
      <c r="L625" s="56"/>
      <c r="M625" s="56"/>
      <c r="N625" s="56"/>
      <c r="O625" s="56"/>
      <c r="R625" s="56"/>
      <c r="AA625" s="56"/>
      <c r="AB625" s="56"/>
      <c r="AC625" s="56"/>
      <c r="AD625" s="56"/>
      <c r="AE625" s="56"/>
      <c r="AF625" s="56"/>
      <c r="AG625" s="155"/>
      <c r="AH625" s="56"/>
      <c r="AK625" s="155"/>
      <c r="AL625" s="56"/>
      <c r="AM625" s="56"/>
      <c r="AN625" s="56"/>
    </row>
    <row r="626" spans="1:40" x14ac:dyDescent="0.25">
      <c r="L626" s="56"/>
      <c r="M626" s="56"/>
      <c r="N626" s="56"/>
      <c r="O626" s="56"/>
      <c r="R626" s="56"/>
      <c r="Z626" s="56"/>
      <c r="AA626" s="56"/>
      <c r="AB626" s="56"/>
      <c r="AC626" s="56"/>
      <c r="AD626" s="56"/>
      <c r="AE626" s="56"/>
      <c r="AF626" s="56"/>
      <c r="AG626" s="155"/>
      <c r="AH626" s="56"/>
      <c r="AK626" s="155"/>
      <c r="AL626" s="56"/>
      <c r="AM626" s="56"/>
      <c r="AN626" s="56"/>
    </row>
    <row r="627" spans="1:40" x14ac:dyDescent="0.25">
      <c r="A627" s="56"/>
      <c r="C627" s="56"/>
      <c r="D627" s="56"/>
      <c r="E627" s="56"/>
      <c r="J627" s="56"/>
      <c r="K627" s="56"/>
      <c r="L627" s="56"/>
      <c r="M627" s="56"/>
      <c r="N627" s="56"/>
      <c r="O627" s="56"/>
      <c r="P627" s="56"/>
      <c r="Q627" s="56"/>
      <c r="R627" s="56"/>
      <c r="T627" s="56"/>
      <c r="U627" s="56"/>
      <c r="V627" s="56"/>
      <c r="Z627" s="56"/>
      <c r="AA627" s="56"/>
      <c r="AB627" s="56"/>
      <c r="AC627" s="56"/>
      <c r="AD627" s="56"/>
      <c r="AE627" s="56"/>
      <c r="AF627" s="56"/>
      <c r="AG627" s="155"/>
      <c r="AH627" s="56"/>
      <c r="AI627" s="56"/>
      <c r="AJ627" s="56"/>
      <c r="AK627" s="155"/>
      <c r="AL627" s="56"/>
      <c r="AM627" s="56"/>
      <c r="AN627" s="56"/>
    </row>
    <row r="628" spans="1:40" x14ac:dyDescent="0.25">
      <c r="A628" s="56"/>
      <c r="C628" s="56"/>
      <c r="D628" s="56"/>
      <c r="E628" s="56"/>
      <c r="F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T628" s="56"/>
      <c r="U628" s="56"/>
      <c r="V628" s="56"/>
      <c r="Y628" s="56"/>
      <c r="Z628" s="56"/>
      <c r="AA628" s="56"/>
      <c r="AB628" s="56"/>
      <c r="AC628" s="56"/>
      <c r="AD628" s="56"/>
      <c r="AE628" s="56"/>
      <c r="AF628" s="56"/>
      <c r="AG628" s="155"/>
      <c r="AH628" s="56"/>
      <c r="AI628" s="56"/>
      <c r="AJ628" s="56"/>
      <c r="AK628" s="155"/>
      <c r="AL628" s="56"/>
      <c r="AM628" s="56"/>
      <c r="AN628" s="56"/>
    </row>
    <row r="629" spans="1:40" x14ac:dyDescent="0.25">
      <c r="C629" s="56"/>
      <c r="D629" s="56"/>
      <c r="E629" s="56"/>
      <c r="F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T629" s="56"/>
      <c r="U629" s="56"/>
      <c r="V629" s="56"/>
      <c r="Y629" s="56"/>
      <c r="Z629" s="56"/>
      <c r="AA629" s="56"/>
      <c r="AB629" s="56"/>
      <c r="AC629" s="56"/>
      <c r="AD629" s="56"/>
      <c r="AE629" s="56"/>
      <c r="AF629" s="56"/>
      <c r="AG629" s="155"/>
      <c r="AH629" s="56"/>
      <c r="AI629" s="56"/>
      <c r="AJ629" s="56"/>
      <c r="AK629" s="155"/>
      <c r="AL629" s="56"/>
      <c r="AM629" s="56"/>
      <c r="AN629" s="56"/>
    </row>
    <row r="630" spans="1:40" x14ac:dyDescent="0.25">
      <c r="A630" s="55"/>
      <c r="B630" s="55"/>
      <c r="C630" s="55"/>
      <c r="D630" s="55"/>
      <c r="E630" s="55"/>
      <c r="F630" s="56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154"/>
      <c r="AH630" s="55"/>
      <c r="AI630" s="55"/>
      <c r="AJ630" s="55"/>
      <c r="AK630" s="154"/>
      <c r="AL630" s="55"/>
      <c r="AM630" s="55"/>
      <c r="AN630" s="55"/>
    </row>
    <row r="631" spans="1:40" x14ac:dyDescent="0.25">
      <c r="F631" s="55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Y631" s="56"/>
      <c r="Z631" s="56"/>
      <c r="AA631" s="56"/>
      <c r="AB631" s="56"/>
      <c r="AC631" s="56"/>
      <c r="AD631" s="56"/>
      <c r="AE631" s="56"/>
      <c r="AF631" s="56"/>
      <c r="AG631" s="155"/>
      <c r="AH631" s="56"/>
      <c r="AI631" s="56"/>
      <c r="AJ631" s="56"/>
      <c r="AK631" s="155"/>
      <c r="AL631" s="56"/>
      <c r="AM631" s="56"/>
      <c r="AN631" s="56"/>
    </row>
    <row r="632" spans="1:40" x14ac:dyDescent="0.25">
      <c r="A632" s="53"/>
      <c r="C632" s="54"/>
      <c r="D632" s="54"/>
      <c r="E632" s="54"/>
      <c r="H632" s="379"/>
      <c r="I632" s="379"/>
      <c r="J632" s="59"/>
      <c r="K632" s="59"/>
      <c r="L632" s="379"/>
      <c r="M632" s="379"/>
      <c r="N632" s="59"/>
      <c r="O632" s="59"/>
      <c r="P632" s="379"/>
      <c r="Q632" s="379"/>
      <c r="R632" s="379"/>
      <c r="T632" s="54"/>
      <c r="U632" s="54"/>
      <c r="V632" s="379"/>
      <c r="Y632" s="379"/>
      <c r="Z632" s="59"/>
      <c r="AA632" s="379"/>
      <c r="AB632" s="379"/>
      <c r="AC632" s="59"/>
      <c r="AD632" s="59"/>
      <c r="AE632" s="379"/>
      <c r="AF632" s="379"/>
      <c r="AG632" s="156"/>
      <c r="AH632" s="60"/>
      <c r="AI632" s="379"/>
      <c r="AJ632" s="379"/>
      <c r="AK632" s="156"/>
      <c r="AL632" s="379"/>
      <c r="AM632" s="50"/>
      <c r="AN632" s="50"/>
    </row>
    <row r="633" spans="1:40" x14ac:dyDescent="0.25">
      <c r="F633" s="379"/>
      <c r="H633" s="381"/>
      <c r="I633" s="381"/>
      <c r="J633" s="464"/>
      <c r="K633" s="464"/>
      <c r="L633" s="381"/>
      <c r="M633" s="381"/>
      <c r="N633" s="381"/>
      <c r="O633" s="381"/>
      <c r="P633" s="381"/>
      <c r="Q633" s="381"/>
      <c r="R633" s="381"/>
      <c r="V633" s="381"/>
      <c r="Y633" s="381"/>
      <c r="Z633" s="464"/>
      <c r="AA633" s="381"/>
      <c r="AB633" s="381"/>
      <c r="AC633" s="381"/>
      <c r="AD633" s="381"/>
      <c r="AE633" s="381"/>
      <c r="AF633" s="381"/>
      <c r="AI633" s="381"/>
      <c r="AJ633" s="381"/>
      <c r="AK633" s="162"/>
      <c r="AL633" s="381"/>
      <c r="AM633" s="50"/>
      <c r="AN633" s="50"/>
    </row>
    <row r="634" spans="1:40" x14ac:dyDescent="0.25">
      <c r="A634" s="53"/>
      <c r="C634" s="54"/>
      <c r="F634" s="381"/>
      <c r="H634" s="379"/>
      <c r="I634" s="379"/>
      <c r="J634" s="59"/>
      <c r="K634" s="59"/>
      <c r="L634" s="379"/>
      <c r="M634" s="379"/>
      <c r="N634" s="59"/>
      <c r="O634" s="59"/>
      <c r="P634" s="379"/>
      <c r="Q634" s="379"/>
      <c r="R634" s="379"/>
      <c r="T634" s="54"/>
      <c r="V634" s="379"/>
      <c r="Y634" s="379"/>
      <c r="Z634" s="59"/>
      <c r="AA634" s="379"/>
      <c r="AB634" s="379"/>
      <c r="AC634" s="59"/>
      <c r="AD634" s="59"/>
      <c r="AE634" s="379"/>
      <c r="AF634" s="379"/>
      <c r="AG634" s="156"/>
      <c r="AH634" s="60"/>
      <c r="AI634" s="379"/>
      <c r="AJ634" s="379"/>
      <c r="AK634" s="156"/>
      <c r="AL634" s="379"/>
      <c r="AM634" s="50"/>
      <c r="AN634" s="50"/>
    </row>
    <row r="635" spans="1:40" x14ac:dyDescent="0.25">
      <c r="F635" s="379"/>
      <c r="H635" s="379"/>
      <c r="I635" s="379"/>
      <c r="J635" s="59"/>
      <c r="K635" s="59"/>
      <c r="L635" s="379"/>
      <c r="M635" s="379"/>
      <c r="N635" s="59"/>
      <c r="O635" s="59"/>
      <c r="P635" s="379"/>
      <c r="Q635" s="379"/>
      <c r="R635" s="379"/>
      <c r="V635" s="379"/>
      <c r="Y635" s="379"/>
      <c r="Z635" s="59"/>
      <c r="AA635" s="379"/>
      <c r="AB635" s="379"/>
      <c r="AC635" s="59"/>
      <c r="AD635" s="59"/>
      <c r="AG635" s="156"/>
      <c r="AH635" s="60"/>
      <c r="AI635" s="379"/>
      <c r="AJ635" s="379"/>
      <c r="AK635" s="156"/>
      <c r="AL635" s="379"/>
      <c r="AM635" s="50"/>
      <c r="AN635" s="50"/>
    </row>
    <row r="636" spans="1:40" x14ac:dyDescent="0.25">
      <c r="A636" s="53"/>
      <c r="C636" s="54"/>
      <c r="D636" s="54"/>
      <c r="E636" s="54"/>
      <c r="F636" s="379"/>
      <c r="H636" s="379"/>
      <c r="I636" s="379"/>
      <c r="J636" s="59"/>
      <c r="K636" s="59"/>
      <c r="L636" s="379"/>
      <c r="M636" s="379"/>
      <c r="N636" s="59"/>
      <c r="O636" s="59"/>
      <c r="P636" s="379"/>
      <c r="Q636" s="379"/>
      <c r="R636" s="379"/>
      <c r="T636" s="54"/>
      <c r="U636" s="54"/>
      <c r="V636" s="379"/>
      <c r="Y636" s="379"/>
      <c r="Z636" s="59"/>
      <c r="AA636" s="379"/>
      <c r="AB636" s="379"/>
      <c r="AC636" s="59"/>
      <c r="AD636" s="59"/>
      <c r="AE636" s="379"/>
      <c r="AF636" s="379"/>
      <c r="AG636" s="156"/>
      <c r="AH636" s="60"/>
      <c r="AI636" s="379"/>
      <c r="AJ636" s="379"/>
      <c r="AK636" s="156"/>
      <c r="AL636" s="379"/>
      <c r="AM636" s="50"/>
      <c r="AN636" s="50"/>
    </row>
    <row r="637" spans="1:40" x14ac:dyDescent="0.25">
      <c r="A637" s="53"/>
      <c r="C637" s="54"/>
      <c r="D637" s="54"/>
      <c r="E637" s="54"/>
      <c r="F637" s="379"/>
      <c r="H637" s="379"/>
      <c r="I637" s="379"/>
      <c r="J637" s="59"/>
      <c r="K637" s="59"/>
      <c r="L637" s="379"/>
      <c r="M637" s="379"/>
      <c r="N637" s="59"/>
      <c r="O637" s="59"/>
      <c r="P637" s="379"/>
      <c r="Q637" s="379"/>
      <c r="R637" s="379"/>
      <c r="T637" s="54"/>
      <c r="U637" s="54"/>
      <c r="V637" s="379"/>
      <c r="Y637" s="379"/>
      <c r="Z637" s="59"/>
      <c r="AA637" s="379"/>
      <c r="AB637" s="379"/>
      <c r="AC637" s="59"/>
      <c r="AD637" s="59"/>
      <c r="AE637" s="379"/>
      <c r="AF637" s="379"/>
      <c r="AG637" s="156"/>
      <c r="AH637" s="60"/>
      <c r="AI637" s="379"/>
      <c r="AJ637" s="379"/>
      <c r="AK637" s="156"/>
      <c r="AL637" s="379"/>
      <c r="AM637" s="50"/>
      <c r="AN637" s="50"/>
    </row>
    <row r="638" spans="1:40" x14ac:dyDescent="0.25">
      <c r="A638" s="53"/>
      <c r="C638" s="54"/>
      <c r="D638" s="54"/>
      <c r="E638" s="54"/>
      <c r="F638" s="379"/>
      <c r="H638" s="379"/>
      <c r="I638" s="379"/>
      <c r="J638" s="59"/>
      <c r="K638" s="59"/>
      <c r="L638" s="379"/>
      <c r="M638" s="379"/>
      <c r="N638" s="59"/>
      <c r="O638" s="59"/>
      <c r="P638" s="379"/>
      <c r="Q638" s="379"/>
      <c r="R638" s="379"/>
      <c r="T638" s="54"/>
      <c r="U638" s="54"/>
      <c r="V638" s="379"/>
      <c r="Y638" s="379"/>
      <c r="Z638" s="59"/>
      <c r="AA638" s="379"/>
      <c r="AB638" s="379"/>
      <c r="AC638" s="59"/>
      <c r="AD638" s="59"/>
      <c r="AE638" s="379"/>
      <c r="AF638" s="379"/>
      <c r="AG638" s="156"/>
      <c r="AH638" s="60"/>
      <c r="AI638" s="379"/>
      <c r="AJ638" s="379"/>
      <c r="AK638" s="156"/>
      <c r="AL638" s="379"/>
      <c r="AM638" s="50"/>
      <c r="AN638" s="50"/>
    </row>
    <row r="639" spans="1:40" x14ac:dyDescent="0.25">
      <c r="A639" s="53"/>
      <c r="C639" s="54"/>
      <c r="D639" s="54"/>
      <c r="E639" s="54"/>
      <c r="F639" s="379"/>
      <c r="H639" s="379"/>
      <c r="I639" s="379"/>
      <c r="J639" s="59"/>
      <c r="K639" s="59"/>
      <c r="L639" s="379"/>
      <c r="M639" s="379"/>
      <c r="N639" s="59"/>
      <c r="O639" s="59"/>
      <c r="P639" s="379"/>
      <c r="Q639" s="379"/>
      <c r="R639" s="379"/>
      <c r="T639" s="54"/>
      <c r="U639" s="54"/>
      <c r="V639" s="379"/>
      <c r="Y639" s="379"/>
      <c r="Z639" s="59"/>
      <c r="AA639" s="379"/>
      <c r="AB639" s="379"/>
      <c r="AC639" s="59"/>
      <c r="AD639" s="59"/>
      <c r="AE639" s="379"/>
      <c r="AF639" s="379"/>
      <c r="AG639" s="156"/>
      <c r="AH639" s="60"/>
      <c r="AI639" s="379"/>
      <c r="AJ639" s="379"/>
      <c r="AK639" s="156"/>
      <c r="AL639" s="379"/>
      <c r="AM639" s="50"/>
      <c r="AN639" s="50"/>
    </row>
    <row r="640" spans="1:40" x14ac:dyDescent="0.25">
      <c r="A640" s="53"/>
      <c r="C640" s="54"/>
      <c r="D640" s="54"/>
      <c r="E640" s="54"/>
      <c r="F640" s="379"/>
      <c r="H640" s="379"/>
      <c r="I640" s="379"/>
      <c r="J640" s="59"/>
      <c r="K640" s="59"/>
      <c r="L640" s="379"/>
      <c r="M640" s="379"/>
      <c r="N640" s="59"/>
      <c r="O640" s="59"/>
      <c r="P640" s="379"/>
      <c r="Q640" s="379"/>
      <c r="R640" s="379"/>
      <c r="T640" s="54"/>
      <c r="U640" s="54"/>
      <c r="V640" s="379"/>
      <c r="Y640" s="379"/>
      <c r="Z640" s="59"/>
      <c r="AA640" s="379"/>
      <c r="AB640" s="379"/>
      <c r="AC640" s="59"/>
      <c r="AD640" s="59"/>
      <c r="AE640" s="379"/>
      <c r="AF640" s="379"/>
      <c r="AG640" s="156"/>
      <c r="AH640" s="60"/>
      <c r="AI640" s="379"/>
      <c r="AJ640" s="379"/>
      <c r="AK640" s="156"/>
      <c r="AL640" s="379"/>
      <c r="AM640" s="50"/>
      <c r="AN640" s="50"/>
    </row>
    <row r="641" spans="1:40" x14ac:dyDescent="0.25">
      <c r="A641" s="53"/>
      <c r="C641" s="54"/>
      <c r="D641" s="54"/>
      <c r="E641" s="54"/>
      <c r="F641" s="379"/>
      <c r="H641" s="379"/>
      <c r="I641" s="379"/>
      <c r="J641" s="59"/>
      <c r="K641" s="59"/>
      <c r="L641" s="379"/>
      <c r="M641" s="379"/>
      <c r="N641" s="59"/>
      <c r="O641" s="59"/>
      <c r="P641" s="379"/>
      <c r="Q641" s="379"/>
      <c r="R641" s="379"/>
      <c r="T641" s="54"/>
      <c r="U641" s="54"/>
      <c r="V641" s="379"/>
      <c r="Y641" s="379"/>
      <c r="Z641" s="59"/>
      <c r="AA641" s="379"/>
      <c r="AB641" s="379"/>
      <c r="AC641" s="59"/>
      <c r="AD641" s="59"/>
      <c r="AE641" s="379"/>
      <c r="AF641" s="379"/>
      <c r="AG641" s="156"/>
      <c r="AH641" s="60"/>
      <c r="AI641" s="379"/>
      <c r="AJ641" s="379"/>
      <c r="AK641" s="156"/>
      <c r="AL641" s="379"/>
      <c r="AM641" s="50"/>
      <c r="AN641" s="50"/>
    </row>
    <row r="642" spans="1:40" x14ac:dyDescent="0.25">
      <c r="F642" s="379"/>
      <c r="H642" s="381"/>
      <c r="I642" s="381"/>
      <c r="J642" s="464"/>
      <c r="K642" s="464"/>
      <c r="L642" s="381"/>
      <c r="M642" s="381"/>
      <c r="N642" s="381"/>
      <c r="O642" s="381"/>
      <c r="P642" s="381"/>
      <c r="Q642" s="381"/>
      <c r="R642" s="381"/>
      <c r="V642" s="381"/>
      <c r="Y642" s="381"/>
      <c r="Z642" s="464"/>
      <c r="AA642" s="381"/>
      <c r="AB642" s="381"/>
      <c r="AC642" s="381"/>
      <c r="AD642" s="381"/>
      <c r="AE642" s="381"/>
      <c r="AF642" s="381"/>
      <c r="AI642" s="381"/>
      <c r="AJ642" s="381"/>
      <c r="AK642" s="162"/>
      <c r="AL642" s="381"/>
      <c r="AM642" s="50"/>
      <c r="AN642" s="50"/>
    </row>
    <row r="643" spans="1:40" x14ac:dyDescent="0.25">
      <c r="A643" s="53"/>
      <c r="C643" s="54"/>
      <c r="F643" s="381"/>
      <c r="H643" s="379"/>
      <c r="I643" s="379"/>
      <c r="J643" s="59"/>
      <c r="K643" s="59"/>
      <c r="L643" s="379"/>
      <c r="M643" s="379"/>
      <c r="N643" s="59"/>
      <c r="O643" s="59"/>
      <c r="P643" s="379"/>
      <c r="Q643" s="379"/>
      <c r="R643" s="379"/>
      <c r="T643" s="54"/>
      <c r="V643" s="379"/>
      <c r="Y643" s="379"/>
      <c r="Z643" s="59"/>
      <c r="AA643" s="379"/>
      <c r="AB643" s="379"/>
      <c r="AC643" s="59"/>
      <c r="AD643" s="59"/>
      <c r="AE643" s="379"/>
      <c r="AF643" s="379"/>
      <c r="AG643" s="156"/>
      <c r="AH643" s="60"/>
      <c r="AI643" s="379"/>
      <c r="AJ643" s="379"/>
      <c r="AK643" s="156"/>
      <c r="AL643" s="379"/>
      <c r="AM643" s="50"/>
      <c r="AN643" s="50"/>
    </row>
    <row r="644" spans="1:40" x14ac:dyDescent="0.25">
      <c r="F644" s="379"/>
      <c r="H644" s="379"/>
      <c r="I644" s="379"/>
      <c r="J644" s="59"/>
      <c r="K644" s="59"/>
      <c r="L644" s="379"/>
      <c r="M644" s="379"/>
      <c r="N644" s="59"/>
      <c r="O644" s="59"/>
      <c r="P644" s="379"/>
      <c r="Q644" s="379"/>
      <c r="R644" s="379"/>
      <c r="V644" s="379"/>
      <c r="Y644" s="379"/>
      <c r="Z644" s="59"/>
      <c r="AA644" s="379"/>
      <c r="AB644" s="379"/>
      <c r="AC644" s="59"/>
      <c r="AD644" s="59"/>
      <c r="AG644" s="156"/>
      <c r="AH644" s="60"/>
      <c r="AI644" s="379"/>
      <c r="AJ644" s="379"/>
      <c r="AK644" s="156"/>
      <c r="AL644" s="379"/>
      <c r="AM644" s="50"/>
      <c r="AN644" s="50"/>
    </row>
    <row r="645" spans="1:40" x14ac:dyDescent="0.25">
      <c r="A645" s="53"/>
      <c r="C645" s="54"/>
      <c r="D645" s="54"/>
      <c r="E645" s="54"/>
      <c r="F645" s="379"/>
      <c r="H645" s="379"/>
      <c r="I645" s="379"/>
      <c r="J645" s="59"/>
      <c r="K645" s="59"/>
      <c r="L645" s="379"/>
      <c r="M645" s="379"/>
      <c r="N645" s="59"/>
      <c r="O645" s="59"/>
      <c r="P645" s="379"/>
      <c r="Q645" s="379"/>
      <c r="R645" s="379"/>
      <c r="T645" s="54"/>
      <c r="U645" s="54"/>
      <c r="V645" s="379"/>
      <c r="Y645" s="379"/>
      <c r="Z645" s="59"/>
      <c r="AA645" s="379"/>
      <c r="AB645" s="379"/>
      <c r="AC645" s="59"/>
      <c r="AD645" s="59"/>
      <c r="AE645" s="379"/>
      <c r="AF645" s="379"/>
      <c r="AG645" s="156"/>
      <c r="AH645" s="60"/>
      <c r="AI645" s="379"/>
      <c r="AJ645" s="379"/>
      <c r="AK645" s="156"/>
      <c r="AL645" s="379"/>
      <c r="AM645" s="50"/>
      <c r="AN645" s="50"/>
    </row>
    <row r="646" spans="1:40" x14ac:dyDescent="0.25">
      <c r="F646" s="379"/>
      <c r="H646" s="381"/>
      <c r="I646" s="381"/>
      <c r="J646" s="464"/>
      <c r="K646" s="464"/>
      <c r="L646" s="381"/>
      <c r="M646" s="381"/>
      <c r="N646" s="381"/>
      <c r="O646" s="381"/>
      <c r="P646" s="381"/>
      <c r="Q646" s="381"/>
      <c r="R646" s="381"/>
      <c r="V646" s="381"/>
      <c r="Y646" s="381"/>
      <c r="Z646" s="464"/>
      <c r="AA646" s="381"/>
      <c r="AB646" s="381"/>
      <c r="AC646" s="381"/>
      <c r="AD646" s="381"/>
      <c r="AE646" s="381"/>
      <c r="AF646" s="381"/>
      <c r="AI646" s="381"/>
      <c r="AJ646" s="381"/>
      <c r="AK646" s="162"/>
      <c r="AL646" s="381"/>
      <c r="AM646" s="50"/>
      <c r="AN646" s="50"/>
    </row>
    <row r="647" spans="1:40" x14ac:dyDescent="0.25">
      <c r="A647" s="53"/>
      <c r="C647" s="54"/>
      <c r="F647" s="381"/>
      <c r="H647" s="379"/>
      <c r="I647" s="379"/>
      <c r="J647" s="59"/>
      <c r="K647" s="59"/>
      <c r="L647" s="379"/>
      <c r="M647" s="379"/>
      <c r="N647" s="59"/>
      <c r="O647" s="59"/>
      <c r="P647" s="379"/>
      <c r="Q647" s="379"/>
      <c r="R647" s="379"/>
      <c r="T647" s="54"/>
      <c r="V647" s="379"/>
      <c r="Y647" s="379"/>
      <c r="Z647" s="59"/>
      <c r="AA647" s="379"/>
      <c r="AB647" s="379"/>
      <c r="AC647" s="59"/>
      <c r="AD647" s="59"/>
      <c r="AE647" s="379"/>
      <c r="AF647" s="379"/>
      <c r="AG647" s="156"/>
      <c r="AH647" s="60"/>
      <c r="AI647" s="379"/>
      <c r="AJ647" s="379"/>
      <c r="AK647" s="156"/>
      <c r="AL647" s="379"/>
      <c r="AM647" s="50"/>
      <c r="AN647" s="50"/>
    </row>
    <row r="648" spans="1:40" x14ac:dyDescent="0.25">
      <c r="F648" s="379"/>
      <c r="H648" s="379"/>
      <c r="I648" s="379"/>
      <c r="J648" s="59"/>
      <c r="K648" s="59"/>
      <c r="L648" s="379"/>
      <c r="M648" s="379"/>
      <c r="N648" s="59"/>
      <c r="O648" s="59"/>
      <c r="P648" s="379"/>
      <c r="Q648" s="379"/>
      <c r="R648" s="379"/>
      <c r="V648" s="379"/>
      <c r="Y648" s="379"/>
      <c r="Z648" s="59"/>
      <c r="AA648" s="379"/>
      <c r="AB648" s="379"/>
      <c r="AC648" s="59"/>
      <c r="AD648" s="59"/>
      <c r="AG648" s="156"/>
      <c r="AH648" s="60"/>
      <c r="AI648" s="379"/>
      <c r="AJ648" s="379"/>
      <c r="AK648" s="156"/>
      <c r="AL648" s="379"/>
      <c r="AM648" s="50"/>
      <c r="AN648" s="50"/>
    </row>
    <row r="649" spans="1:40" x14ac:dyDescent="0.25">
      <c r="A649" s="53"/>
      <c r="C649" s="54"/>
      <c r="D649" s="54"/>
      <c r="E649" s="54"/>
      <c r="F649" s="379"/>
      <c r="H649" s="379"/>
      <c r="I649" s="379"/>
      <c r="J649" s="59"/>
      <c r="K649" s="59"/>
      <c r="L649" s="379"/>
      <c r="M649" s="379"/>
      <c r="N649" s="59"/>
      <c r="O649" s="59"/>
      <c r="P649" s="379"/>
      <c r="Q649" s="379"/>
      <c r="R649" s="379"/>
      <c r="T649" s="54"/>
      <c r="U649" s="54"/>
      <c r="V649" s="379"/>
      <c r="Y649" s="379"/>
      <c r="Z649" s="59"/>
      <c r="AA649" s="379"/>
      <c r="AB649" s="379"/>
      <c r="AC649" s="59"/>
      <c r="AD649" s="59"/>
      <c r="AE649" s="379"/>
      <c r="AF649" s="379"/>
      <c r="AG649" s="156"/>
      <c r="AH649" s="60"/>
      <c r="AI649" s="379"/>
      <c r="AJ649" s="379"/>
      <c r="AK649" s="156"/>
      <c r="AL649" s="379"/>
      <c r="AM649" s="50"/>
      <c r="AN649" s="50"/>
    </row>
    <row r="650" spans="1:40" x14ac:dyDescent="0.25">
      <c r="A650" s="53"/>
      <c r="C650" s="54"/>
      <c r="D650" s="54"/>
      <c r="E650" s="54"/>
      <c r="F650" s="379"/>
      <c r="G650" s="379"/>
      <c r="H650" s="379"/>
      <c r="I650" s="379"/>
      <c r="J650" s="59"/>
      <c r="K650" s="59"/>
      <c r="L650" s="379"/>
      <c r="M650" s="379"/>
      <c r="N650" s="59"/>
      <c r="O650" s="59"/>
      <c r="P650" s="379"/>
      <c r="Q650" s="379"/>
      <c r="R650" s="379"/>
      <c r="T650" s="54"/>
      <c r="U650" s="54"/>
      <c r="V650" s="379"/>
      <c r="W650" s="379"/>
      <c r="X650" s="379"/>
      <c r="Y650" s="379"/>
      <c r="Z650" s="59"/>
      <c r="AA650" s="379"/>
      <c r="AB650" s="379"/>
      <c r="AC650" s="59"/>
      <c r="AD650" s="59"/>
      <c r="AE650" s="379"/>
      <c r="AF650" s="379"/>
      <c r="AG650" s="156"/>
      <c r="AH650" s="60"/>
      <c r="AI650" s="379"/>
      <c r="AJ650" s="379"/>
      <c r="AK650" s="156"/>
      <c r="AL650" s="379"/>
      <c r="AM650" s="50"/>
      <c r="AN650" s="50"/>
    </row>
    <row r="651" spans="1:40" x14ac:dyDescent="0.25">
      <c r="A651" s="53"/>
      <c r="C651" s="54"/>
      <c r="D651" s="54"/>
      <c r="E651" s="54"/>
      <c r="F651" s="379"/>
      <c r="G651" s="379"/>
      <c r="H651" s="379"/>
      <c r="I651" s="379"/>
      <c r="J651" s="59"/>
      <c r="K651" s="59"/>
      <c r="L651" s="379"/>
      <c r="M651" s="379"/>
      <c r="N651" s="59"/>
      <c r="O651" s="59"/>
      <c r="P651" s="379"/>
      <c r="Q651" s="379"/>
      <c r="R651" s="379"/>
      <c r="T651" s="54"/>
      <c r="U651" s="54"/>
      <c r="V651" s="379"/>
      <c r="W651" s="379"/>
      <c r="X651" s="379"/>
      <c r="Y651" s="379"/>
      <c r="Z651" s="59"/>
      <c r="AA651" s="379"/>
      <c r="AB651" s="379"/>
      <c r="AC651" s="59"/>
      <c r="AD651" s="59"/>
      <c r="AE651" s="379"/>
      <c r="AF651" s="379"/>
      <c r="AG651" s="156"/>
      <c r="AH651" s="60"/>
      <c r="AI651" s="379"/>
      <c r="AJ651" s="379"/>
      <c r="AK651" s="156"/>
      <c r="AL651" s="379"/>
      <c r="AM651" s="50"/>
      <c r="AN651" s="50"/>
    </row>
    <row r="652" spans="1:40" x14ac:dyDescent="0.25">
      <c r="A652" s="53"/>
      <c r="C652" s="54"/>
      <c r="D652" s="54"/>
      <c r="E652" s="54"/>
      <c r="F652" s="379"/>
      <c r="H652" s="379"/>
      <c r="I652" s="379"/>
      <c r="J652" s="59"/>
      <c r="K652" s="59"/>
      <c r="L652" s="379"/>
      <c r="M652" s="379"/>
      <c r="N652" s="59"/>
      <c r="O652" s="59"/>
      <c r="P652" s="379"/>
      <c r="Q652" s="379"/>
      <c r="R652" s="379"/>
      <c r="T652" s="54"/>
      <c r="U652" s="54"/>
      <c r="V652" s="379"/>
      <c r="Y652" s="379"/>
      <c r="Z652" s="59"/>
      <c r="AA652" s="379"/>
      <c r="AB652" s="379"/>
      <c r="AC652" s="59"/>
      <c r="AD652" s="59"/>
      <c r="AE652" s="379"/>
      <c r="AF652" s="379"/>
      <c r="AG652" s="156"/>
      <c r="AH652" s="60"/>
      <c r="AI652" s="379"/>
      <c r="AJ652" s="379"/>
      <c r="AK652" s="156"/>
      <c r="AL652" s="379"/>
      <c r="AM652" s="50"/>
      <c r="AN652" s="50"/>
    </row>
    <row r="653" spans="1:40" x14ac:dyDescent="0.25">
      <c r="A653" s="53"/>
      <c r="C653" s="54"/>
      <c r="D653" s="54"/>
      <c r="E653" s="54"/>
      <c r="F653" s="379"/>
      <c r="H653" s="379"/>
      <c r="I653" s="379"/>
      <c r="J653" s="59"/>
      <c r="K653" s="59"/>
      <c r="L653" s="379"/>
      <c r="M653" s="379"/>
      <c r="N653" s="59"/>
      <c r="O653" s="59"/>
      <c r="P653" s="379"/>
      <c r="Q653" s="379"/>
      <c r="R653" s="379"/>
      <c r="T653" s="54"/>
      <c r="U653" s="54"/>
      <c r="V653" s="379"/>
      <c r="Y653" s="379"/>
      <c r="Z653" s="59"/>
      <c r="AA653" s="379"/>
      <c r="AB653" s="379"/>
      <c r="AC653" s="59"/>
      <c r="AD653" s="59"/>
      <c r="AE653" s="379"/>
      <c r="AF653" s="379"/>
      <c r="AG653" s="156"/>
      <c r="AH653" s="60"/>
      <c r="AI653" s="379"/>
      <c r="AJ653" s="379"/>
      <c r="AK653" s="156"/>
      <c r="AL653" s="379"/>
      <c r="AM653" s="50"/>
      <c r="AN653" s="50"/>
    </row>
    <row r="654" spans="1:40" x14ac:dyDescent="0.25">
      <c r="A654" s="53"/>
      <c r="C654" s="54"/>
      <c r="D654" s="54"/>
      <c r="E654" s="54"/>
      <c r="F654" s="379"/>
      <c r="H654" s="379"/>
      <c r="I654" s="379"/>
      <c r="J654" s="59"/>
      <c r="K654" s="59"/>
      <c r="L654" s="379"/>
      <c r="M654" s="379"/>
      <c r="N654" s="59"/>
      <c r="O654" s="59"/>
      <c r="P654" s="379"/>
      <c r="Q654" s="379"/>
      <c r="R654" s="379"/>
      <c r="T654" s="54"/>
      <c r="U654" s="54"/>
      <c r="V654" s="379"/>
      <c r="Y654" s="379"/>
      <c r="Z654" s="59"/>
      <c r="AA654" s="379"/>
      <c r="AB654" s="379"/>
      <c r="AC654" s="59"/>
      <c r="AD654" s="59"/>
      <c r="AE654" s="379"/>
      <c r="AF654" s="379"/>
      <c r="AG654" s="156"/>
      <c r="AH654" s="60"/>
      <c r="AI654" s="379"/>
      <c r="AJ654" s="379"/>
      <c r="AK654" s="156"/>
      <c r="AL654" s="379"/>
      <c r="AM654" s="50"/>
      <c r="AN654" s="50"/>
    </row>
    <row r="655" spans="1:40" x14ac:dyDescent="0.25">
      <c r="A655" s="53"/>
      <c r="C655" s="54"/>
      <c r="D655" s="54"/>
      <c r="E655" s="54"/>
      <c r="F655" s="379"/>
      <c r="H655" s="379"/>
      <c r="I655" s="379"/>
      <c r="J655" s="59"/>
      <c r="K655" s="59"/>
      <c r="L655" s="379"/>
      <c r="M655" s="379"/>
      <c r="N655" s="59"/>
      <c r="O655" s="59"/>
      <c r="P655" s="379"/>
      <c r="Q655" s="379"/>
      <c r="R655" s="379"/>
      <c r="T655" s="54"/>
      <c r="U655" s="54"/>
      <c r="V655" s="379"/>
      <c r="Y655" s="379"/>
      <c r="Z655" s="59"/>
      <c r="AA655" s="379"/>
      <c r="AB655" s="379"/>
      <c r="AC655" s="59"/>
      <c r="AD655" s="59"/>
      <c r="AE655" s="379"/>
      <c r="AF655" s="379"/>
      <c r="AG655" s="156"/>
      <c r="AH655" s="60"/>
      <c r="AI655" s="379"/>
      <c r="AJ655" s="379"/>
      <c r="AK655" s="156"/>
      <c r="AL655" s="379"/>
      <c r="AM655" s="50"/>
      <c r="AN655" s="50"/>
    </row>
    <row r="656" spans="1:40" x14ac:dyDescent="0.25">
      <c r="F656" s="379"/>
      <c r="H656" s="381"/>
      <c r="I656" s="381"/>
      <c r="J656" s="464"/>
      <c r="K656" s="464"/>
      <c r="L656" s="381"/>
      <c r="M656" s="381"/>
      <c r="N656" s="381"/>
      <c r="O656" s="381"/>
      <c r="P656" s="381"/>
      <c r="Q656" s="381"/>
      <c r="R656" s="381"/>
      <c r="V656" s="381"/>
      <c r="Y656" s="381"/>
      <c r="Z656" s="464"/>
      <c r="AA656" s="381"/>
      <c r="AB656" s="381"/>
      <c r="AC656" s="381"/>
      <c r="AD656" s="381"/>
      <c r="AE656" s="381"/>
      <c r="AF656" s="381"/>
      <c r="AI656" s="381"/>
      <c r="AJ656" s="381"/>
      <c r="AK656" s="162"/>
      <c r="AL656" s="381"/>
      <c r="AM656" s="50"/>
      <c r="AN656" s="50"/>
    </row>
    <row r="657" spans="1:40" x14ac:dyDescent="0.25">
      <c r="A657" s="53"/>
      <c r="C657" s="54"/>
      <c r="F657" s="381"/>
      <c r="H657" s="379"/>
      <c r="I657" s="379"/>
      <c r="J657" s="59"/>
      <c r="K657" s="59"/>
      <c r="L657" s="379"/>
      <c r="M657" s="379"/>
      <c r="N657" s="59"/>
      <c r="O657" s="59"/>
      <c r="P657" s="379"/>
      <c r="Q657" s="379"/>
      <c r="R657" s="379"/>
      <c r="T657" s="54"/>
      <c r="V657" s="379"/>
      <c r="Y657" s="379"/>
      <c r="Z657" s="59"/>
      <c r="AA657" s="379"/>
      <c r="AB657" s="379"/>
      <c r="AC657" s="59"/>
      <c r="AD657" s="59"/>
      <c r="AE657" s="379"/>
      <c r="AF657" s="379"/>
      <c r="AG657" s="156"/>
      <c r="AH657" s="60"/>
      <c r="AI657" s="379"/>
      <c r="AJ657" s="379"/>
      <c r="AK657" s="156"/>
      <c r="AL657" s="379"/>
      <c r="AM657" s="50"/>
      <c r="AN657" s="50"/>
    </row>
    <row r="658" spans="1:40" x14ac:dyDescent="0.25">
      <c r="F658" s="379"/>
      <c r="V658" s="379"/>
      <c r="Y658" s="379"/>
      <c r="Z658" s="464"/>
      <c r="AA658" s="379"/>
      <c r="AB658" s="379"/>
      <c r="AC658" s="379"/>
      <c r="AD658" s="379"/>
      <c r="AE658" s="379"/>
      <c r="AF658" s="379"/>
      <c r="AI658" s="379"/>
      <c r="AJ658" s="379"/>
      <c r="AK658" s="156"/>
      <c r="AL658" s="379"/>
      <c r="AM658" s="50"/>
      <c r="AN658" s="50"/>
    </row>
    <row r="659" spans="1:40" x14ac:dyDescent="0.25">
      <c r="A659" s="53"/>
      <c r="C659" s="54"/>
      <c r="D659" s="54"/>
      <c r="E659" s="54"/>
      <c r="L659" s="379"/>
      <c r="M659" s="379"/>
      <c r="N659" s="59"/>
      <c r="O659" s="59"/>
      <c r="P659" s="53"/>
      <c r="Q659" s="53"/>
      <c r="R659" s="379"/>
      <c r="T659" s="54"/>
      <c r="U659" s="54"/>
      <c r="AA659" s="379"/>
      <c r="AB659" s="379"/>
      <c r="AC659" s="59"/>
      <c r="AD659" s="59"/>
      <c r="AE659" s="379"/>
      <c r="AF659" s="379"/>
      <c r="AG659" s="156"/>
      <c r="AH659" s="60"/>
      <c r="AI659" s="53"/>
      <c r="AJ659" s="53"/>
      <c r="AK659" s="156"/>
      <c r="AL659" s="379"/>
      <c r="AM659" s="50"/>
      <c r="AN659" s="50"/>
    </row>
    <row r="660" spans="1:40" x14ac:dyDescent="0.25">
      <c r="A660" s="53"/>
      <c r="D660" s="54"/>
      <c r="E660" s="54"/>
      <c r="H660" s="449"/>
      <c r="I660" s="449"/>
      <c r="J660" s="59"/>
      <c r="K660" s="59"/>
      <c r="L660" s="379"/>
      <c r="M660" s="379"/>
      <c r="N660" s="59"/>
      <c r="O660" s="59"/>
      <c r="P660" s="449"/>
      <c r="Q660" s="449"/>
      <c r="R660" s="379"/>
      <c r="U660" s="54"/>
      <c r="V660" s="379"/>
      <c r="Y660" s="379"/>
      <c r="Z660" s="59"/>
      <c r="AA660" s="379"/>
      <c r="AB660" s="379"/>
      <c r="AC660" s="59"/>
      <c r="AD660" s="59"/>
      <c r="AE660" s="379"/>
      <c r="AF660" s="379"/>
      <c r="AG660" s="156"/>
      <c r="AH660" s="60"/>
      <c r="AI660" s="379"/>
      <c r="AJ660" s="379"/>
      <c r="AK660" s="156"/>
      <c r="AL660" s="379"/>
      <c r="AM660" s="50"/>
      <c r="AN660" s="50"/>
    </row>
    <row r="661" spans="1:40" x14ac:dyDescent="0.25">
      <c r="F661" s="449"/>
      <c r="H661" s="381"/>
      <c r="I661" s="381"/>
      <c r="J661" s="464"/>
      <c r="K661" s="464"/>
      <c r="L661" s="381"/>
      <c r="M661" s="381"/>
      <c r="N661" s="381"/>
      <c r="O661" s="381"/>
      <c r="P661" s="381"/>
      <c r="Q661" s="381"/>
      <c r="R661" s="381"/>
      <c r="V661" s="381"/>
      <c r="Y661" s="381"/>
      <c r="Z661" s="464"/>
      <c r="AA661" s="381"/>
      <c r="AB661" s="381"/>
      <c r="AC661" s="381"/>
      <c r="AD661" s="381"/>
      <c r="AE661" s="381"/>
      <c r="AF661" s="381"/>
      <c r="AI661" s="381"/>
      <c r="AJ661" s="381"/>
      <c r="AK661" s="162"/>
      <c r="AL661" s="381"/>
      <c r="AM661" s="50"/>
      <c r="AN661" s="50"/>
    </row>
    <row r="662" spans="1:40" x14ac:dyDescent="0.25">
      <c r="A662" s="53"/>
      <c r="C662" s="54"/>
      <c r="F662" s="381"/>
      <c r="H662" s="379"/>
      <c r="I662" s="379"/>
      <c r="J662" s="59"/>
      <c r="K662" s="59"/>
      <c r="L662" s="379"/>
      <c r="M662" s="379"/>
      <c r="N662" s="59"/>
      <c r="O662" s="59"/>
      <c r="P662" s="379"/>
      <c r="Q662" s="379"/>
      <c r="R662" s="379"/>
      <c r="T662" s="54"/>
      <c r="V662" s="379"/>
      <c r="Y662" s="379"/>
      <c r="Z662" s="59"/>
      <c r="AA662" s="379"/>
      <c r="AB662" s="379"/>
      <c r="AC662" s="59"/>
      <c r="AD662" s="59"/>
      <c r="AE662" s="379"/>
      <c r="AF662" s="379"/>
      <c r="AG662" s="156"/>
      <c r="AH662" s="60"/>
      <c r="AI662" s="379"/>
      <c r="AJ662" s="379"/>
      <c r="AK662" s="156"/>
      <c r="AL662" s="379"/>
      <c r="AM662" s="50"/>
      <c r="AN662" s="50"/>
    </row>
    <row r="663" spans="1:40" x14ac:dyDescent="0.25">
      <c r="F663" s="379"/>
      <c r="H663" s="379"/>
      <c r="I663" s="379"/>
      <c r="J663" s="59"/>
      <c r="K663" s="59"/>
      <c r="L663" s="379"/>
      <c r="M663" s="379"/>
      <c r="N663" s="59"/>
      <c r="O663" s="59"/>
      <c r="P663" s="379"/>
      <c r="Q663" s="379"/>
      <c r="R663" s="379"/>
      <c r="V663" s="379"/>
      <c r="Y663" s="379"/>
      <c r="Z663" s="59"/>
      <c r="AA663" s="379"/>
      <c r="AB663" s="379"/>
      <c r="AC663" s="59"/>
      <c r="AD663" s="59"/>
      <c r="AG663" s="156"/>
      <c r="AH663" s="60"/>
      <c r="AI663" s="379"/>
      <c r="AJ663" s="379"/>
      <c r="AK663" s="156"/>
      <c r="AL663" s="379"/>
      <c r="AM663" s="50"/>
      <c r="AN663" s="50"/>
    </row>
    <row r="664" spans="1:40" x14ac:dyDescent="0.25">
      <c r="A664" s="53"/>
      <c r="D664" s="54"/>
      <c r="E664" s="54"/>
      <c r="F664" s="379"/>
      <c r="H664" s="379"/>
      <c r="I664" s="379"/>
      <c r="J664" s="59"/>
      <c r="K664" s="59"/>
      <c r="L664" s="449"/>
      <c r="M664" s="449"/>
      <c r="N664" s="59"/>
      <c r="O664" s="59"/>
      <c r="P664" s="379"/>
      <c r="Q664" s="379"/>
      <c r="R664" s="379"/>
      <c r="U664" s="54"/>
      <c r="V664" s="379"/>
      <c r="Y664" s="379"/>
      <c r="Z664" s="59"/>
      <c r="AA664" s="449"/>
      <c r="AB664" s="449"/>
      <c r="AC664" s="59"/>
      <c r="AD664" s="59"/>
      <c r="AE664" s="379"/>
      <c r="AF664" s="379"/>
      <c r="AG664" s="156"/>
      <c r="AH664" s="60"/>
      <c r="AI664" s="379"/>
      <c r="AJ664" s="379"/>
      <c r="AK664" s="156"/>
      <c r="AL664" s="379"/>
      <c r="AM664" s="50"/>
      <c r="AN664" s="50"/>
    </row>
    <row r="665" spans="1:40" x14ac:dyDescent="0.25">
      <c r="A665" s="53"/>
      <c r="D665" s="54"/>
      <c r="E665" s="54"/>
      <c r="F665" s="379"/>
      <c r="H665" s="379"/>
      <c r="I665" s="379"/>
      <c r="J665" s="59"/>
      <c r="K665" s="59"/>
      <c r="L665" s="449"/>
      <c r="M665" s="449"/>
      <c r="N665" s="59"/>
      <c r="O665" s="59"/>
      <c r="P665" s="379"/>
      <c r="Q665" s="379"/>
      <c r="R665" s="379"/>
      <c r="U665" s="54"/>
      <c r="V665" s="379"/>
      <c r="Y665" s="379"/>
      <c r="Z665" s="59"/>
      <c r="AA665" s="449"/>
      <c r="AB665" s="449"/>
      <c r="AC665" s="59"/>
      <c r="AD665" s="59"/>
      <c r="AE665" s="379"/>
      <c r="AF665" s="379"/>
      <c r="AG665" s="156"/>
      <c r="AH665" s="60"/>
      <c r="AI665" s="379"/>
      <c r="AJ665" s="379"/>
      <c r="AK665" s="156"/>
      <c r="AL665" s="379"/>
      <c r="AM665" s="50"/>
      <c r="AN665" s="50"/>
    </row>
    <row r="666" spans="1:40" x14ac:dyDescent="0.25">
      <c r="A666" s="53"/>
      <c r="D666" s="54"/>
      <c r="E666" s="54"/>
      <c r="F666" s="379"/>
      <c r="H666" s="379"/>
      <c r="I666" s="379"/>
      <c r="J666" s="59"/>
      <c r="K666" s="59"/>
      <c r="L666" s="449"/>
      <c r="M666" s="449"/>
      <c r="N666" s="59"/>
      <c r="O666" s="59"/>
      <c r="P666" s="379"/>
      <c r="Q666" s="379"/>
      <c r="R666" s="379"/>
      <c r="U666" s="54"/>
      <c r="V666" s="379"/>
      <c r="Y666" s="379"/>
      <c r="Z666" s="59"/>
      <c r="AA666" s="449"/>
      <c r="AB666" s="449"/>
      <c r="AC666" s="59"/>
      <c r="AD666" s="59"/>
      <c r="AE666" s="379"/>
      <c r="AF666" s="379"/>
      <c r="AG666" s="156"/>
      <c r="AH666" s="60"/>
      <c r="AI666" s="379"/>
      <c r="AJ666" s="379"/>
      <c r="AK666" s="156"/>
      <c r="AL666" s="379"/>
      <c r="AM666" s="50"/>
      <c r="AN666" s="50"/>
    </row>
    <row r="667" spans="1:40" x14ac:dyDescent="0.25">
      <c r="F667" s="379"/>
      <c r="H667" s="381"/>
      <c r="I667" s="381"/>
      <c r="J667" s="464"/>
      <c r="K667" s="464"/>
      <c r="L667" s="381"/>
      <c r="M667" s="381"/>
      <c r="N667" s="381"/>
      <c r="O667" s="381"/>
      <c r="P667" s="381"/>
      <c r="Q667" s="381"/>
      <c r="R667" s="381"/>
      <c r="V667" s="381"/>
      <c r="Y667" s="381"/>
      <c r="Z667" s="464"/>
      <c r="AA667" s="381"/>
      <c r="AB667" s="381"/>
      <c r="AC667" s="381"/>
      <c r="AD667" s="381"/>
      <c r="AE667" s="381"/>
      <c r="AF667" s="381"/>
      <c r="AI667" s="381"/>
      <c r="AJ667" s="381"/>
      <c r="AK667" s="162"/>
      <c r="AL667" s="381"/>
      <c r="AM667" s="50"/>
      <c r="AN667" s="50"/>
    </row>
    <row r="668" spans="1:40" x14ac:dyDescent="0.25">
      <c r="A668" s="53"/>
      <c r="C668" s="54"/>
      <c r="F668" s="381"/>
      <c r="H668" s="379"/>
      <c r="I668" s="379"/>
      <c r="J668" s="59"/>
      <c r="K668" s="59"/>
      <c r="L668" s="379"/>
      <c r="M668" s="379"/>
      <c r="N668" s="59"/>
      <c r="O668" s="59"/>
      <c r="P668" s="379"/>
      <c r="Q668" s="379"/>
      <c r="R668" s="379"/>
      <c r="T668" s="54"/>
      <c r="V668" s="379"/>
      <c r="Y668" s="379"/>
      <c r="Z668" s="59"/>
      <c r="AA668" s="379"/>
      <c r="AB668" s="379"/>
      <c r="AC668" s="59"/>
      <c r="AD668" s="59"/>
      <c r="AE668" s="379"/>
      <c r="AF668" s="379"/>
      <c r="AG668" s="156"/>
      <c r="AH668" s="60"/>
      <c r="AI668" s="379"/>
      <c r="AJ668" s="379"/>
      <c r="AK668" s="156"/>
      <c r="AL668" s="379"/>
      <c r="AM668" s="50"/>
      <c r="AN668" s="50"/>
    </row>
    <row r="669" spans="1:40" x14ac:dyDescent="0.25">
      <c r="F669" s="379"/>
      <c r="H669" s="379"/>
      <c r="I669" s="379"/>
      <c r="J669" s="59"/>
      <c r="K669" s="59"/>
      <c r="L669" s="379"/>
      <c r="M669" s="379"/>
      <c r="N669" s="59"/>
      <c r="O669" s="59"/>
      <c r="P669" s="379"/>
      <c r="Q669" s="379"/>
      <c r="R669" s="379"/>
      <c r="V669" s="379"/>
      <c r="Y669" s="379"/>
      <c r="Z669" s="59"/>
      <c r="AA669" s="379"/>
      <c r="AB669" s="379"/>
      <c r="AC669" s="59"/>
      <c r="AD669" s="59"/>
      <c r="AG669" s="156"/>
      <c r="AH669" s="60"/>
      <c r="AI669" s="379"/>
      <c r="AJ669" s="379"/>
      <c r="AK669" s="156"/>
      <c r="AL669" s="379"/>
      <c r="AM669" s="50"/>
      <c r="AN669" s="50"/>
    </row>
    <row r="670" spans="1:40" x14ac:dyDescent="0.25">
      <c r="A670" s="53"/>
      <c r="C670" s="54"/>
      <c r="F670" s="379"/>
      <c r="H670" s="379"/>
      <c r="I670" s="379"/>
      <c r="J670" s="59"/>
      <c r="K670" s="59"/>
      <c r="L670" s="379"/>
      <c r="M670" s="379"/>
      <c r="N670" s="59"/>
      <c r="O670" s="59"/>
      <c r="P670" s="379"/>
      <c r="Q670" s="379"/>
      <c r="R670" s="379"/>
      <c r="T670" s="54"/>
      <c r="V670" s="379"/>
      <c r="Y670" s="379"/>
      <c r="Z670" s="59"/>
      <c r="AA670" s="379"/>
      <c r="AB670" s="379"/>
      <c r="AC670" s="59"/>
      <c r="AD670" s="59"/>
      <c r="AE670" s="379"/>
      <c r="AF670" s="379"/>
      <c r="AG670" s="156"/>
      <c r="AH670" s="60"/>
      <c r="AI670" s="379"/>
      <c r="AJ670" s="379"/>
      <c r="AK670" s="156"/>
      <c r="AL670" s="379"/>
      <c r="AM670" s="50"/>
      <c r="AN670" s="50"/>
    </row>
    <row r="671" spans="1:40" x14ac:dyDescent="0.25">
      <c r="F671" s="379"/>
      <c r="H671" s="381"/>
      <c r="I671" s="381"/>
      <c r="J671" s="464"/>
      <c r="K671" s="464"/>
      <c r="L671" s="381"/>
      <c r="M671" s="381"/>
      <c r="N671" s="381"/>
      <c r="O671" s="381"/>
      <c r="P671" s="381"/>
      <c r="Q671" s="381"/>
      <c r="R671" s="381"/>
      <c r="V671" s="381"/>
      <c r="Y671" s="381"/>
      <c r="Z671" s="464"/>
      <c r="AA671" s="381"/>
      <c r="AB671" s="381"/>
      <c r="AC671" s="381"/>
      <c r="AD671" s="381"/>
      <c r="AE671" s="381"/>
      <c r="AF671" s="381"/>
      <c r="AI671" s="381"/>
      <c r="AJ671" s="381"/>
      <c r="AK671" s="162"/>
      <c r="AL671" s="381"/>
    </row>
    <row r="673" spans="1:20" x14ac:dyDescent="0.25">
      <c r="C673" s="54"/>
      <c r="F673" s="381"/>
      <c r="L673" s="379"/>
      <c r="M673" s="379"/>
      <c r="P673" s="379"/>
      <c r="Q673" s="379"/>
      <c r="R673" s="379"/>
      <c r="T673" s="54"/>
    </row>
    <row r="674" spans="1:20" x14ac:dyDescent="0.25">
      <c r="A674" s="54"/>
      <c r="L674" s="379"/>
      <c r="M674" s="379"/>
      <c r="P674" s="379"/>
      <c r="Q674" s="379"/>
      <c r="R674" s="379"/>
    </row>
    <row r="675" spans="1:20" x14ac:dyDescent="0.25">
      <c r="L675" s="379"/>
      <c r="M675" s="379"/>
      <c r="P675" s="379"/>
      <c r="Q675" s="379"/>
      <c r="R675" s="379"/>
    </row>
    <row r="676" spans="1:20" x14ac:dyDescent="0.25">
      <c r="L676" s="379"/>
      <c r="M676" s="379"/>
      <c r="P676" s="379"/>
      <c r="Q676" s="379"/>
      <c r="R676" s="379"/>
    </row>
    <row r="677" spans="1:20" x14ac:dyDescent="0.25">
      <c r="L677" s="379"/>
      <c r="M677" s="379"/>
      <c r="P677" s="379"/>
      <c r="Q677" s="379"/>
      <c r="R677" s="379"/>
    </row>
    <row r="678" spans="1:20" x14ac:dyDescent="0.25">
      <c r="L678" s="379"/>
      <c r="M678" s="379"/>
      <c r="P678" s="379"/>
      <c r="Q678" s="379"/>
      <c r="R678" s="379"/>
    </row>
    <row r="679" spans="1:20" x14ac:dyDescent="0.25">
      <c r="L679" s="379"/>
      <c r="M679" s="379"/>
      <c r="P679" s="379"/>
      <c r="Q679" s="379"/>
      <c r="R679" s="379"/>
    </row>
    <row r="712" spans="49:49" x14ac:dyDescent="0.25">
      <c r="AW712" s="379"/>
    </row>
    <row r="713" spans="49:49" x14ac:dyDescent="0.25">
      <c r="AW713" s="379"/>
    </row>
    <row r="714" spans="49:49" x14ac:dyDescent="0.25">
      <c r="AW714" s="379"/>
    </row>
    <row r="715" spans="49:49" x14ac:dyDescent="0.25">
      <c r="AW715" s="379"/>
    </row>
    <row r="716" spans="49:49" x14ac:dyDescent="0.25">
      <c r="AW716" s="379"/>
    </row>
    <row r="717" spans="49:49" x14ac:dyDescent="0.25">
      <c r="AW717" s="379"/>
    </row>
    <row r="720" spans="49:49" x14ac:dyDescent="0.25">
      <c r="AW720" s="379"/>
    </row>
    <row r="721" spans="49:49" x14ac:dyDescent="0.25">
      <c r="AW721" s="379"/>
    </row>
    <row r="722" spans="49:49" x14ac:dyDescent="0.25">
      <c r="AW722" s="379"/>
    </row>
    <row r="723" spans="49:49" x14ac:dyDescent="0.25">
      <c r="AW723" s="379"/>
    </row>
    <row r="724" spans="49:49" x14ac:dyDescent="0.25">
      <c r="AW724" s="379"/>
    </row>
    <row r="725" spans="49:49" x14ac:dyDescent="0.25">
      <c r="AW725" s="379"/>
    </row>
    <row r="726" spans="49:49" x14ac:dyDescent="0.25">
      <c r="AW726" s="379"/>
    </row>
    <row r="727" spans="49:49" x14ac:dyDescent="0.25">
      <c r="AW727" s="379"/>
    </row>
    <row r="730" spans="49:49" x14ac:dyDescent="0.25">
      <c r="AW730" s="379"/>
    </row>
    <row r="731" spans="49:49" x14ac:dyDescent="0.25">
      <c r="AW731" s="379"/>
    </row>
    <row r="734" spans="49:49" x14ac:dyDescent="0.25">
      <c r="AW734" s="379"/>
    </row>
    <row r="735" spans="49:49" x14ac:dyDescent="0.25">
      <c r="AW735" s="379"/>
    </row>
    <row r="736" spans="49:49" x14ac:dyDescent="0.25">
      <c r="AW736" s="379"/>
    </row>
    <row r="737" spans="45:57" x14ac:dyDescent="0.25">
      <c r="AW737" s="379"/>
    </row>
    <row r="743" spans="45:57" x14ac:dyDescent="0.25">
      <c r="AY743" s="53"/>
    </row>
    <row r="744" spans="45:57" x14ac:dyDescent="0.25">
      <c r="AY744" s="53"/>
    </row>
    <row r="745" spans="45:57" x14ac:dyDescent="0.25">
      <c r="AY745" s="54"/>
    </row>
    <row r="746" spans="45:57" x14ac:dyDescent="0.25">
      <c r="AY746" s="54"/>
    </row>
    <row r="747" spans="45:57" x14ac:dyDescent="0.25">
      <c r="AS747" s="53"/>
      <c r="BD747" s="54"/>
    </row>
    <row r="748" spans="45:57" x14ac:dyDescent="0.25">
      <c r="AS748" s="53"/>
      <c r="BD748" s="54"/>
    </row>
    <row r="749" spans="45:57" x14ac:dyDescent="0.25">
      <c r="AS749" s="54"/>
      <c r="BD749" s="54"/>
    </row>
    <row r="750" spans="45:57" x14ac:dyDescent="0.25">
      <c r="BD750" s="53"/>
    </row>
    <row r="751" spans="45:57" x14ac:dyDescent="0.25"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</row>
    <row r="752" spans="45:57" x14ac:dyDescent="0.25">
      <c r="AX752" s="54"/>
    </row>
    <row r="753" spans="45:69" x14ac:dyDescent="0.25">
      <c r="AX753" s="55"/>
      <c r="AY753" s="55"/>
      <c r="AZ753" s="55"/>
      <c r="BA753" s="55"/>
      <c r="BC753" s="56"/>
      <c r="BD753" s="56"/>
    </row>
    <row r="754" spans="45:69" x14ac:dyDescent="0.25">
      <c r="AV754" s="56"/>
      <c r="AW754" s="56"/>
      <c r="AZ754" s="56"/>
      <c r="BA754" s="56"/>
      <c r="BC754" s="56"/>
      <c r="BD754" s="56"/>
      <c r="BE754" s="56"/>
      <c r="BG754" s="55"/>
      <c r="BH754" s="54"/>
      <c r="BK754" s="55"/>
      <c r="BM754" s="55"/>
      <c r="BN754" s="54"/>
      <c r="BQ754" s="55"/>
    </row>
    <row r="755" spans="45:69" x14ac:dyDescent="0.25"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H755" s="56"/>
      <c r="BI755" s="56"/>
      <c r="BJ755" s="56"/>
      <c r="BN755" s="56"/>
      <c r="BO755" s="56"/>
      <c r="BP755" s="56"/>
    </row>
    <row r="756" spans="45:69" x14ac:dyDescent="0.25">
      <c r="AS756" s="56"/>
      <c r="AU756" s="54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G756" s="56"/>
      <c r="BH756" s="56"/>
      <c r="BI756" s="56"/>
      <c r="BJ756" s="56"/>
      <c r="BK756" s="56"/>
      <c r="BM756" s="56"/>
      <c r="BN756" s="56"/>
      <c r="BO756" s="56"/>
      <c r="BP756" s="56"/>
      <c r="BQ756" s="56"/>
    </row>
    <row r="757" spans="45:69" x14ac:dyDescent="0.25">
      <c r="AS757" s="56"/>
      <c r="AU757" s="54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G757" s="56"/>
      <c r="BH757" s="56"/>
      <c r="BI757" s="56"/>
      <c r="BJ757" s="56"/>
      <c r="BK757" s="56"/>
      <c r="BM757" s="56"/>
      <c r="BN757" s="56"/>
      <c r="BO757" s="56"/>
      <c r="BP757" s="56"/>
      <c r="BQ757" s="56"/>
    </row>
    <row r="758" spans="45:69" x14ac:dyDescent="0.25"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G758" s="55"/>
      <c r="BH758" s="55"/>
      <c r="BI758" s="55"/>
      <c r="BJ758" s="55"/>
      <c r="BK758" s="55"/>
      <c r="BM758" s="55"/>
      <c r="BN758" s="55"/>
      <c r="BO758" s="55"/>
      <c r="BP758" s="55"/>
      <c r="BQ758" s="55"/>
    </row>
    <row r="759" spans="45:69" x14ac:dyDescent="0.25"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</row>
    <row r="760" spans="45:69" x14ac:dyDescent="0.25">
      <c r="AS760" s="53"/>
      <c r="AU760" s="54"/>
      <c r="AV760" s="56"/>
      <c r="AY760" s="59"/>
    </row>
    <row r="761" spans="45:69" x14ac:dyDescent="0.25">
      <c r="AS761" s="53"/>
      <c r="AV761" s="56"/>
      <c r="AW761" s="379"/>
      <c r="AX761" s="65"/>
      <c r="AY761" s="65"/>
      <c r="AZ761" s="65"/>
      <c r="BA761" s="50"/>
      <c r="BB761" s="65"/>
      <c r="BC761" s="59"/>
      <c r="BD761" s="59"/>
      <c r="BE761" s="50"/>
      <c r="BG761" s="65"/>
      <c r="BH761" s="65"/>
      <c r="BI761" s="65"/>
      <c r="BJ761" s="65"/>
      <c r="BK761" s="65"/>
      <c r="BM761" s="65"/>
      <c r="BN761" s="65"/>
      <c r="BO761" s="65"/>
      <c r="BP761" s="65"/>
      <c r="BQ761" s="65"/>
    </row>
    <row r="762" spans="45:69" x14ac:dyDescent="0.25">
      <c r="AS762" s="53"/>
      <c r="AV762" s="56"/>
      <c r="AW762" s="379"/>
      <c r="AX762" s="65"/>
      <c r="AY762" s="65"/>
      <c r="AZ762" s="65"/>
      <c r="BA762" s="50"/>
      <c r="BB762" s="65"/>
      <c r="BC762" s="59"/>
      <c r="BD762" s="59"/>
      <c r="BE762" s="50"/>
      <c r="BG762" s="65"/>
      <c r="BH762" s="65"/>
      <c r="BI762" s="65"/>
      <c r="BJ762" s="65"/>
      <c r="BK762" s="65"/>
      <c r="BM762" s="65"/>
      <c r="BN762" s="65"/>
      <c r="BO762" s="65"/>
      <c r="BP762" s="65"/>
      <c r="BQ762" s="65"/>
    </row>
    <row r="763" spans="45:69" x14ac:dyDescent="0.25">
      <c r="AS763" s="53"/>
      <c r="AV763" s="56"/>
      <c r="AW763" s="379"/>
      <c r="AX763" s="65"/>
      <c r="AY763" s="65"/>
      <c r="AZ763" s="65"/>
      <c r="BA763" s="50"/>
      <c r="BB763" s="65"/>
      <c r="BC763" s="59"/>
      <c r="BD763" s="59"/>
      <c r="BE763" s="50"/>
      <c r="BG763" s="65"/>
      <c r="BH763" s="65"/>
      <c r="BI763" s="65"/>
      <c r="BJ763" s="65"/>
      <c r="BK763" s="65"/>
      <c r="BM763" s="65"/>
      <c r="BN763" s="65"/>
      <c r="BO763" s="65"/>
      <c r="BP763" s="65"/>
      <c r="BQ763" s="65"/>
    </row>
    <row r="764" spans="45:69" x14ac:dyDescent="0.25">
      <c r="AS764" s="53"/>
      <c r="AV764" s="56"/>
      <c r="AW764" s="379"/>
      <c r="AX764" s="65"/>
      <c r="AY764" s="65"/>
      <c r="AZ764" s="65"/>
      <c r="BA764" s="50"/>
      <c r="BB764" s="65"/>
      <c r="BC764" s="59"/>
      <c r="BD764" s="59"/>
      <c r="BE764" s="50"/>
      <c r="BG764" s="65"/>
      <c r="BH764" s="65"/>
      <c r="BI764" s="65"/>
      <c r="BJ764" s="65"/>
      <c r="BK764" s="65"/>
      <c r="BM764" s="65"/>
      <c r="BN764" s="65"/>
      <c r="BO764" s="65"/>
      <c r="BP764" s="65"/>
      <c r="BQ764" s="65"/>
    </row>
    <row r="765" spans="45:69" x14ac:dyDescent="0.25">
      <c r="AS765" s="53"/>
      <c r="AV765" s="56"/>
      <c r="AW765" s="379"/>
      <c r="AX765" s="65"/>
      <c r="AY765" s="65"/>
      <c r="AZ765" s="65"/>
      <c r="BA765" s="50"/>
      <c r="BB765" s="65"/>
      <c r="BC765" s="59"/>
      <c r="BD765" s="59"/>
      <c r="BE765" s="50"/>
      <c r="BG765" s="65"/>
      <c r="BH765" s="65"/>
      <c r="BI765" s="65"/>
      <c r="BJ765" s="65"/>
      <c r="BK765" s="65"/>
      <c r="BM765" s="65"/>
      <c r="BN765" s="65"/>
      <c r="BO765" s="65"/>
      <c r="BP765" s="65"/>
      <c r="BQ765" s="65"/>
    </row>
    <row r="766" spans="45:69" x14ac:dyDescent="0.25">
      <c r="AS766" s="53"/>
      <c r="AV766" s="56"/>
      <c r="AW766" s="379"/>
      <c r="AX766" s="65"/>
      <c r="AY766" s="65"/>
      <c r="AZ766" s="65"/>
      <c r="BA766" s="50"/>
      <c r="BB766" s="65"/>
      <c r="BC766" s="59"/>
      <c r="BD766" s="59"/>
      <c r="BE766" s="50"/>
      <c r="BG766" s="65"/>
      <c r="BH766" s="65"/>
      <c r="BI766" s="65"/>
      <c r="BJ766" s="65"/>
      <c r="BK766" s="65"/>
      <c r="BM766" s="65"/>
      <c r="BN766" s="65"/>
      <c r="BO766" s="65"/>
      <c r="BP766" s="65"/>
      <c r="BQ766" s="65"/>
    </row>
    <row r="767" spans="45:69" x14ac:dyDescent="0.25">
      <c r="AS767" s="53"/>
      <c r="AV767" s="56"/>
      <c r="AW767" s="379"/>
      <c r="AX767" s="65"/>
      <c r="AY767" s="65"/>
      <c r="AZ767" s="65"/>
      <c r="BA767" s="50"/>
      <c r="BB767" s="65"/>
      <c r="BC767" s="59"/>
      <c r="BD767" s="59"/>
      <c r="BE767" s="50"/>
      <c r="BG767" s="65"/>
      <c r="BH767" s="65"/>
      <c r="BI767" s="65"/>
      <c r="BJ767" s="65"/>
      <c r="BK767" s="65"/>
      <c r="BM767" s="65"/>
      <c r="BN767" s="65"/>
      <c r="BO767" s="65"/>
      <c r="BP767" s="65"/>
      <c r="BQ767" s="65"/>
    </row>
    <row r="768" spans="45:69" x14ac:dyDescent="0.25">
      <c r="AY768" s="59"/>
      <c r="AZ768" s="65"/>
      <c r="BA768" s="50"/>
      <c r="BB768" s="65"/>
      <c r="BC768" s="59"/>
      <c r="BD768" s="59"/>
      <c r="BE768" s="50"/>
      <c r="BK768" s="65"/>
      <c r="BQ768" s="65"/>
    </row>
    <row r="769" spans="45:69" x14ac:dyDescent="0.25">
      <c r="AS769" s="53"/>
      <c r="AV769" s="56"/>
      <c r="AY769" s="59"/>
      <c r="AZ769" s="65"/>
      <c r="BA769" s="50"/>
      <c r="BB769" s="65"/>
      <c r="BC769" s="59"/>
      <c r="BD769" s="59"/>
      <c r="BE769" s="50"/>
      <c r="BK769" s="65"/>
      <c r="BQ769" s="65"/>
    </row>
    <row r="770" spans="45:69" x14ac:dyDescent="0.25">
      <c r="AS770" s="53"/>
      <c r="AV770" s="56"/>
      <c r="AW770" s="379"/>
      <c r="AX770" s="65"/>
      <c r="AY770" s="65"/>
      <c r="AZ770" s="65"/>
      <c r="BA770" s="50"/>
      <c r="BB770" s="65"/>
      <c r="BC770" s="59"/>
      <c r="BD770" s="59"/>
      <c r="BE770" s="50"/>
      <c r="BG770" s="65"/>
      <c r="BH770" s="65"/>
      <c r="BI770" s="65"/>
      <c r="BJ770" s="65"/>
      <c r="BK770" s="65"/>
      <c r="BM770" s="65"/>
      <c r="BN770" s="65"/>
      <c r="BO770" s="65"/>
      <c r="BP770" s="65"/>
      <c r="BQ770" s="65"/>
    </row>
    <row r="771" spans="45:69" x14ac:dyDescent="0.25">
      <c r="AS771" s="53"/>
      <c r="AV771" s="56"/>
      <c r="AW771" s="379"/>
      <c r="AX771" s="65"/>
      <c r="AY771" s="65"/>
      <c r="AZ771" s="65"/>
      <c r="BA771" s="50"/>
      <c r="BB771" s="65"/>
      <c r="BC771" s="59"/>
      <c r="BD771" s="59"/>
      <c r="BE771" s="50"/>
      <c r="BG771" s="65"/>
      <c r="BH771" s="65"/>
      <c r="BI771" s="65"/>
      <c r="BJ771" s="65"/>
      <c r="BK771" s="65"/>
      <c r="BM771" s="65"/>
      <c r="BN771" s="65"/>
      <c r="BO771" s="65"/>
      <c r="BP771" s="65"/>
      <c r="BQ771" s="65"/>
    </row>
    <row r="772" spans="45:69" x14ac:dyDescent="0.25">
      <c r="AS772" s="53"/>
      <c r="AV772" s="56"/>
      <c r="AW772" s="379"/>
      <c r="AX772" s="65"/>
      <c r="AY772" s="65"/>
      <c r="AZ772" s="65"/>
      <c r="BA772" s="50"/>
      <c r="BB772" s="65"/>
      <c r="BC772" s="59"/>
      <c r="BD772" s="59"/>
      <c r="BE772" s="50"/>
      <c r="BG772" s="65"/>
      <c r="BH772" s="65"/>
      <c r="BI772" s="65"/>
      <c r="BJ772" s="65"/>
      <c r="BK772" s="65"/>
      <c r="BM772" s="65"/>
      <c r="BN772" s="65"/>
      <c r="BO772" s="65"/>
      <c r="BP772" s="65"/>
      <c r="BQ772" s="65"/>
    </row>
    <row r="773" spans="45:69" x14ac:dyDescent="0.25">
      <c r="AS773" s="53"/>
      <c r="AV773" s="56"/>
      <c r="AW773" s="379"/>
      <c r="AX773" s="65"/>
      <c r="AY773" s="65"/>
      <c r="AZ773" s="65"/>
      <c r="BA773" s="50"/>
      <c r="BB773" s="65"/>
      <c r="BC773" s="59"/>
      <c r="BD773" s="59"/>
      <c r="BE773" s="50"/>
      <c r="BG773" s="65"/>
      <c r="BH773" s="65"/>
      <c r="BI773" s="65"/>
      <c r="BJ773" s="65"/>
      <c r="BK773" s="65"/>
      <c r="BM773" s="65"/>
      <c r="BN773" s="65"/>
      <c r="BO773" s="65"/>
      <c r="BP773" s="65"/>
      <c r="BQ773" s="65"/>
    </row>
    <row r="774" spans="45:69" x14ac:dyDescent="0.25">
      <c r="AS774" s="53"/>
      <c r="AV774" s="56"/>
      <c r="AW774" s="379"/>
      <c r="AX774" s="65"/>
      <c r="AY774" s="65"/>
      <c r="AZ774" s="65"/>
      <c r="BA774" s="50"/>
      <c r="BB774" s="65"/>
      <c r="BC774" s="59"/>
      <c r="BD774" s="59"/>
      <c r="BE774" s="50"/>
      <c r="BG774" s="65"/>
      <c r="BH774" s="65"/>
      <c r="BI774" s="65"/>
      <c r="BJ774" s="65"/>
      <c r="BK774" s="65"/>
      <c r="BM774" s="65"/>
      <c r="BN774" s="65"/>
      <c r="BO774" s="65"/>
      <c r="BP774" s="65"/>
      <c r="BQ774" s="65"/>
    </row>
    <row r="775" spans="45:69" x14ac:dyDescent="0.25">
      <c r="AS775" s="53"/>
      <c r="AV775" s="56"/>
      <c r="AW775" s="379"/>
      <c r="AX775" s="65"/>
      <c r="AY775" s="65"/>
      <c r="AZ775" s="65"/>
      <c r="BA775" s="50"/>
      <c r="BB775" s="65"/>
      <c r="BC775" s="59"/>
      <c r="BD775" s="59"/>
      <c r="BE775" s="50"/>
      <c r="BG775" s="65"/>
      <c r="BH775" s="65"/>
      <c r="BI775" s="65"/>
      <c r="BJ775" s="65"/>
      <c r="BK775" s="65"/>
      <c r="BM775" s="65"/>
      <c r="BN775" s="65"/>
      <c r="BO775" s="65"/>
      <c r="BP775" s="65"/>
      <c r="BQ775" s="65"/>
    </row>
    <row r="776" spans="45:69" x14ac:dyDescent="0.25">
      <c r="AS776" s="53"/>
      <c r="AV776" s="56"/>
      <c r="AW776" s="379"/>
      <c r="AX776" s="65"/>
      <c r="AY776" s="65"/>
      <c r="AZ776" s="65"/>
      <c r="BA776" s="50"/>
      <c r="BB776" s="65"/>
      <c r="BC776" s="59"/>
      <c r="BD776" s="59"/>
      <c r="BE776" s="50"/>
      <c r="BG776" s="65"/>
      <c r="BH776" s="65"/>
      <c r="BI776" s="65"/>
      <c r="BJ776" s="65"/>
      <c r="BK776" s="65"/>
      <c r="BM776" s="65"/>
      <c r="BN776" s="65"/>
      <c r="BO776" s="65"/>
      <c r="BP776" s="65"/>
      <c r="BQ776" s="65"/>
    </row>
    <row r="777" spans="45:69" x14ac:dyDescent="0.25">
      <c r="AS777" s="53"/>
      <c r="AV777" s="56"/>
      <c r="AW777" s="379"/>
      <c r="AX777" s="65"/>
      <c r="AY777" s="65"/>
      <c r="AZ777" s="65"/>
      <c r="BA777" s="50"/>
      <c r="BB777" s="65"/>
      <c r="BC777" s="59"/>
      <c r="BD777" s="59"/>
      <c r="BE777" s="50"/>
      <c r="BG777" s="65"/>
      <c r="BH777" s="65"/>
      <c r="BI777" s="65"/>
      <c r="BJ777" s="65"/>
      <c r="BK777" s="65"/>
      <c r="BM777" s="65"/>
      <c r="BN777" s="65"/>
      <c r="BO777" s="65"/>
      <c r="BP777" s="65"/>
      <c r="BQ777" s="65"/>
    </row>
    <row r="778" spans="45:69" x14ac:dyDescent="0.25">
      <c r="AY778" s="59"/>
      <c r="AZ778" s="65"/>
      <c r="BA778" s="50"/>
      <c r="BB778" s="65"/>
      <c r="BC778" s="59"/>
      <c r="BD778" s="59"/>
      <c r="BE778" s="50"/>
      <c r="BK778" s="65"/>
      <c r="BQ778" s="65"/>
    </row>
    <row r="779" spans="45:69" x14ac:dyDescent="0.25">
      <c r="AU779" s="54"/>
      <c r="AZ779" s="65"/>
      <c r="BB779" s="65"/>
      <c r="BG779" s="65"/>
      <c r="BH779" s="65"/>
      <c r="BJ779" s="65"/>
      <c r="BK779" s="65"/>
    </row>
    <row r="780" spans="45:69" x14ac:dyDescent="0.25">
      <c r="AZ780" s="65"/>
      <c r="BB780" s="65"/>
    </row>
    <row r="781" spans="45:69" x14ac:dyDescent="0.25">
      <c r="AS781" s="54"/>
      <c r="AZ781" s="65"/>
      <c r="BB781" s="65"/>
      <c r="BI781" s="65"/>
    </row>
    <row r="782" spans="45:69" x14ac:dyDescent="0.25">
      <c r="AY782" s="53"/>
      <c r="AZ782" s="65"/>
      <c r="BB782" s="65"/>
    </row>
    <row r="783" spans="45:69" x14ac:dyDescent="0.25">
      <c r="AY783" s="65"/>
      <c r="BB783" s="65"/>
    </row>
    <row r="784" spans="45:69" x14ac:dyDescent="0.25">
      <c r="AY784" s="54"/>
      <c r="AZ784" s="65"/>
      <c r="BB784" s="65"/>
    </row>
    <row r="785" spans="45:75" x14ac:dyDescent="0.25">
      <c r="AY785" s="54"/>
      <c r="AZ785" s="65"/>
      <c r="BB785" s="65"/>
    </row>
    <row r="786" spans="45:75" x14ac:dyDescent="0.25">
      <c r="AS786" s="53"/>
      <c r="AZ786" s="65"/>
      <c r="BB786" s="65"/>
      <c r="BD786" s="54"/>
    </row>
    <row r="787" spans="45:75" x14ac:dyDescent="0.25">
      <c r="AS787" s="53"/>
      <c r="AZ787" s="65"/>
      <c r="BB787" s="65"/>
      <c r="BD787" s="54"/>
    </row>
    <row r="788" spans="45:75" x14ac:dyDescent="0.25">
      <c r="AS788" s="54"/>
      <c r="AZ788" s="65"/>
      <c r="BB788" s="65"/>
      <c r="BD788" s="54"/>
    </row>
    <row r="789" spans="45:75" x14ac:dyDescent="0.25">
      <c r="AZ789" s="65"/>
      <c r="BB789" s="65"/>
      <c r="BD789" s="53"/>
    </row>
    <row r="790" spans="45:75" x14ac:dyDescent="0.25">
      <c r="AS790" s="55"/>
      <c r="AT790" s="55"/>
      <c r="AU790" s="55"/>
      <c r="AV790" s="55"/>
      <c r="AW790" s="55"/>
      <c r="AX790" s="55"/>
      <c r="AY790" s="55"/>
      <c r="AZ790" s="66"/>
      <c r="BA790" s="55"/>
      <c r="BB790" s="66"/>
      <c r="BC790" s="55"/>
      <c r="BD790" s="55"/>
      <c r="BE790" s="55"/>
    </row>
    <row r="791" spans="45:75" x14ac:dyDescent="0.25">
      <c r="AX791" s="54"/>
      <c r="AZ791" s="65"/>
      <c r="BB791" s="65"/>
    </row>
    <row r="792" spans="45:75" x14ac:dyDescent="0.25">
      <c r="AX792" s="55"/>
      <c r="AY792" s="55"/>
      <c r="AZ792" s="66"/>
      <c r="BA792" s="55"/>
      <c r="BB792" s="65"/>
      <c r="BC792" s="56"/>
      <c r="BD792" s="56"/>
    </row>
    <row r="793" spans="45:75" x14ac:dyDescent="0.25">
      <c r="AV793" s="56"/>
      <c r="AW793" s="56"/>
      <c r="AZ793" s="67"/>
      <c r="BA793" s="56"/>
      <c r="BB793" s="65"/>
      <c r="BC793" s="56"/>
      <c r="BD793" s="56"/>
      <c r="BE793" s="56"/>
      <c r="BG793" s="55"/>
      <c r="BH793" s="55"/>
      <c r="BI793" s="54"/>
      <c r="BM793" s="55"/>
      <c r="BN793" s="55"/>
      <c r="BP793" s="55"/>
      <c r="BQ793" s="55"/>
      <c r="BR793" s="54"/>
      <c r="BV793" s="55"/>
      <c r="BW793" s="55"/>
    </row>
    <row r="794" spans="45:75" x14ac:dyDescent="0.25">
      <c r="AV794" s="56"/>
      <c r="AW794" s="56"/>
      <c r="AX794" s="56"/>
      <c r="AY794" s="56"/>
      <c r="AZ794" s="67"/>
      <c r="BA794" s="56"/>
      <c r="BB794" s="67"/>
      <c r="BC794" s="56"/>
      <c r="BD794" s="56"/>
      <c r="BE794" s="56"/>
      <c r="BH794" s="56"/>
      <c r="BI794" s="56"/>
      <c r="BJ794" s="56"/>
      <c r="BK794" s="56"/>
      <c r="BL794" s="56"/>
      <c r="BM794" s="56"/>
      <c r="BQ794" s="56"/>
      <c r="BR794" s="56"/>
      <c r="BS794" s="56"/>
      <c r="BT794" s="56"/>
      <c r="BU794" s="56"/>
      <c r="BV794" s="56"/>
    </row>
    <row r="795" spans="45:75" x14ac:dyDescent="0.25">
      <c r="AS795" s="56"/>
      <c r="AU795" s="54"/>
      <c r="AV795" s="56"/>
      <c r="AW795" s="56"/>
      <c r="AX795" s="56"/>
      <c r="AY795" s="56"/>
      <c r="AZ795" s="67"/>
      <c r="BA795" s="56"/>
      <c r="BB795" s="67"/>
      <c r="BC795" s="56"/>
      <c r="BD795" s="56"/>
      <c r="BE795" s="56"/>
      <c r="BG795" s="56"/>
      <c r="BH795" s="56"/>
      <c r="BI795" s="56"/>
      <c r="BJ795" s="56"/>
      <c r="BK795" s="56"/>
      <c r="BL795" s="56"/>
      <c r="BM795" s="56"/>
      <c r="BN795" s="56"/>
      <c r="BP795" s="56"/>
      <c r="BQ795" s="56"/>
      <c r="BR795" s="56"/>
      <c r="BS795" s="56"/>
      <c r="BT795" s="56"/>
      <c r="BU795" s="56"/>
      <c r="BV795" s="56"/>
      <c r="BW795" s="56"/>
    </row>
    <row r="796" spans="45:75" x14ac:dyDescent="0.25">
      <c r="AS796" s="56"/>
      <c r="AU796" s="54"/>
      <c r="AV796" s="56"/>
      <c r="AW796" s="56"/>
      <c r="AX796" s="56"/>
      <c r="AY796" s="56"/>
      <c r="AZ796" s="67"/>
      <c r="BA796" s="56"/>
      <c r="BB796" s="67"/>
      <c r="BC796" s="56"/>
      <c r="BD796" s="56"/>
      <c r="BE796" s="56"/>
      <c r="BG796" s="56"/>
      <c r="BH796" s="56"/>
      <c r="BI796" s="56"/>
      <c r="BJ796" s="56"/>
      <c r="BK796" s="56"/>
      <c r="BL796" s="56"/>
      <c r="BM796" s="56"/>
      <c r="BN796" s="56"/>
      <c r="BP796" s="56"/>
      <c r="BQ796" s="56"/>
      <c r="BR796" s="56"/>
      <c r="BS796" s="56"/>
      <c r="BT796" s="56"/>
      <c r="BU796" s="56"/>
      <c r="BV796" s="56"/>
      <c r="BW796" s="56"/>
    </row>
    <row r="797" spans="45:75" x14ac:dyDescent="0.25">
      <c r="AS797" s="55"/>
      <c r="AT797" s="55"/>
      <c r="AU797" s="55"/>
      <c r="AV797" s="55"/>
      <c r="AW797" s="55"/>
      <c r="AX797" s="55"/>
      <c r="AY797" s="55"/>
      <c r="AZ797" s="66"/>
      <c r="BA797" s="55"/>
      <c r="BB797" s="66"/>
      <c r="BC797" s="55"/>
      <c r="BD797" s="55"/>
      <c r="BE797" s="55"/>
      <c r="BG797" s="55"/>
      <c r="BH797" s="55"/>
      <c r="BI797" s="55"/>
      <c r="BJ797" s="55"/>
      <c r="BK797" s="55"/>
      <c r="BL797" s="55"/>
      <c r="BM797" s="55"/>
      <c r="BN797" s="55"/>
      <c r="BP797" s="55"/>
      <c r="BQ797" s="55"/>
      <c r="BR797" s="55"/>
      <c r="BS797" s="55"/>
      <c r="BT797" s="55"/>
      <c r="BU797" s="55"/>
      <c r="BV797" s="55"/>
      <c r="BW797" s="55"/>
    </row>
    <row r="798" spans="45:75" x14ac:dyDescent="0.25">
      <c r="AV798" s="56"/>
      <c r="AW798" s="56"/>
      <c r="AX798" s="56"/>
      <c r="AY798" s="56"/>
      <c r="AZ798" s="67"/>
      <c r="BA798" s="56"/>
      <c r="BB798" s="67"/>
      <c r="BC798" s="56"/>
      <c r="BD798" s="56"/>
      <c r="BE798" s="56"/>
      <c r="BG798" s="65"/>
      <c r="BH798" s="65"/>
      <c r="BI798" s="65"/>
      <c r="BJ798" s="65"/>
      <c r="BK798" s="65"/>
      <c r="BL798" s="65"/>
      <c r="BM798" s="65"/>
      <c r="BN798" s="65"/>
      <c r="BO798" s="65"/>
      <c r="BP798" s="65"/>
      <c r="BQ798" s="65"/>
      <c r="BR798" s="65"/>
      <c r="BS798" s="65"/>
      <c r="BT798" s="65"/>
      <c r="BU798" s="65"/>
      <c r="BV798" s="65"/>
      <c r="BW798" s="65"/>
    </row>
    <row r="799" spans="45:75" x14ac:dyDescent="0.25">
      <c r="AS799" s="53"/>
      <c r="AU799" s="54"/>
      <c r="AV799" s="53"/>
      <c r="AW799" s="379"/>
      <c r="AX799" s="65"/>
      <c r="AY799" s="65"/>
      <c r="AZ799" s="65"/>
      <c r="BA799" s="60"/>
      <c r="BB799" s="65"/>
      <c r="BC799" s="65"/>
      <c r="BD799" s="65"/>
      <c r="BE799" s="60"/>
      <c r="BG799" s="65"/>
      <c r="BH799" s="65"/>
      <c r="BI799" s="65"/>
      <c r="BJ799" s="65"/>
      <c r="BK799" s="65"/>
      <c r="BL799" s="65"/>
      <c r="BM799" s="65"/>
      <c r="BN799" s="65"/>
      <c r="BO799" s="65"/>
      <c r="BP799" s="65"/>
      <c r="BQ799" s="65"/>
      <c r="BR799" s="65"/>
      <c r="BS799" s="65"/>
      <c r="BT799" s="65"/>
      <c r="BU799" s="65"/>
      <c r="BV799" s="65"/>
      <c r="BW799" s="65"/>
    </row>
    <row r="800" spans="45:75" x14ac:dyDescent="0.25">
      <c r="AS800" s="53"/>
      <c r="AV800" s="53"/>
      <c r="AW800" s="379"/>
      <c r="AX800" s="65"/>
      <c r="AY800" s="65"/>
      <c r="AZ800" s="65"/>
      <c r="BA800" s="60"/>
      <c r="BB800" s="65"/>
      <c r="BC800" s="65"/>
      <c r="BD800" s="65"/>
      <c r="BE800" s="60"/>
      <c r="BG800" s="65"/>
      <c r="BH800" s="65"/>
      <c r="BI800" s="65"/>
      <c r="BJ800" s="65"/>
      <c r="BK800" s="65"/>
      <c r="BL800" s="65"/>
      <c r="BM800" s="65"/>
      <c r="BN800" s="65"/>
      <c r="BO800" s="65"/>
      <c r="BP800" s="65"/>
      <c r="BQ800" s="65"/>
      <c r="BR800" s="65"/>
      <c r="BS800" s="65"/>
      <c r="BT800" s="65"/>
      <c r="BU800" s="65"/>
      <c r="BV800" s="65"/>
      <c r="BW800" s="65"/>
    </row>
    <row r="801" spans="45:75" x14ac:dyDescent="0.25">
      <c r="AS801" s="53"/>
      <c r="AV801" s="53"/>
      <c r="AW801" s="379"/>
      <c r="AX801" s="65"/>
      <c r="AY801" s="65"/>
      <c r="AZ801" s="65"/>
      <c r="BA801" s="60"/>
      <c r="BB801" s="65"/>
      <c r="BC801" s="65"/>
      <c r="BD801" s="65"/>
      <c r="BE801" s="60"/>
      <c r="BG801" s="65"/>
      <c r="BH801" s="65"/>
      <c r="BI801" s="65"/>
      <c r="BJ801" s="65"/>
      <c r="BK801" s="65"/>
      <c r="BL801" s="65"/>
      <c r="BM801" s="65"/>
      <c r="BN801" s="65"/>
      <c r="BO801" s="65"/>
      <c r="BP801" s="65"/>
      <c r="BQ801" s="65"/>
      <c r="BR801" s="65"/>
      <c r="BS801" s="65"/>
      <c r="BT801" s="65"/>
      <c r="BU801" s="65"/>
      <c r="BV801" s="65"/>
      <c r="BW801" s="65"/>
    </row>
    <row r="802" spans="45:75" x14ac:dyDescent="0.25">
      <c r="AS802" s="53"/>
      <c r="AV802" s="53"/>
      <c r="AW802" s="379"/>
      <c r="AX802" s="65"/>
      <c r="AY802" s="65"/>
      <c r="AZ802" s="65"/>
      <c r="BA802" s="60"/>
      <c r="BB802" s="65"/>
      <c r="BC802" s="65"/>
      <c r="BD802" s="65"/>
      <c r="BE802" s="60"/>
      <c r="BG802" s="65"/>
      <c r="BH802" s="65"/>
      <c r="BI802" s="65"/>
      <c r="BJ802" s="65"/>
      <c r="BK802" s="65"/>
      <c r="BL802" s="65"/>
      <c r="BM802" s="65"/>
      <c r="BN802" s="65"/>
      <c r="BO802" s="65"/>
      <c r="BP802" s="65"/>
      <c r="BQ802" s="65"/>
      <c r="BR802" s="65"/>
      <c r="BS802" s="65"/>
      <c r="BT802" s="65"/>
      <c r="BU802" s="65"/>
      <c r="BV802" s="65"/>
      <c r="BW802" s="65"/>
    </row>
    <row r="803" spans="45:75" x14ac:dyDescent="0.25">
      <c r="AS803" s="53"/>
      <c r="AV803" s="53"/>
      <c r="AW803" s="379"/>
      <c r="AX803" s="65"/>
      <c r="AY803" s="65"/>
      <c r="AZ803" s="65"/>
      <c r="BA803" s="60"/>
      <c r="BB803" s="65"/>
      <c r="BC803" s="65"/>
      <c r="BD803" s="65"/>
      <c r="BE803" s="60"/>
      <c r="BG803" s="65"/>
      <c r="BH803" s="65"/>
      <c r="BI803" s="65"/>
      <c r="BJ803" s="65"/>
      <c r="BK803" s="65"/>
      <c r="BL803" s="65"/>
      <c r="BM803" s="65"/>
      <c r="BN803" s="65"/>
      <c r="BO803" s="65"/>
      <c r="BP803" s="65"/>
      <c r="BQ803" s="65"/>
      <c r="BR803" s="65"/>
      <c r="BS803" s="65"/>
      <c r="BT803" s="65"/>
      <c r="BU803" s="65"/>
      <c r="BV803" s="65"/>
      <c r="BW803" s="65"/>
    </row>
    <row r="804" spans="45:75" x14ac:dyDescent="0.25">
      <c r="AS804" s="53"/>
      <c r="AV804" s="53"/>
      <c r="AW804" s="379"/>
      <c r="AX804" s="65"/>
      <c r="AY804" s="65"/>
      <c r="AZ804" s="65"/>
      <c r="BA804" s="60"/>
      <c r="BB804" s="65"/>
      <c r="BC804" s="65"/>
      <c r="BD804" s="65"/>
      <c r="BE804" s="60"/>
      <c r="BG804" s="65"/>
      <c r="BH804" s="65"/>
      <c r="BI804" s="65"/>
      <c r="BJ804" s="65"/>
      <c r="BK804" s="65"/>
      <c r="BL804" s="65"/>
      <c r="BM804" s="65"/>
      <c r="BN804" s="65"/>
      <c r="BO804" s="65"/>
      <c r="BP804" s="65"/>
      <c r="BQ804" s="65"/>
      <c r="BR804" s="65"/>
      <c r="BS804" s="65"/>
      <c r="BT804" s="65"/>
      <c r="BU804" s="65"/>
      <c r="BV804" s="65"/>
      <c r="BW804" s="65"/>
    </row>
    <row r="805" spans="45:75" x14ac:dyDescent="0.25">
      <c r="AS805" s="53"/>
      <c r="AV805" s="53"/>
      <c r="AW805" s="379"/>
      <c r="AX805" s="65"/>
      <c r="AY805" s="65"/>
      <c r="AZ805" s="65"/>
      <c r="BA805" s="60"/>
      <c r="BB805" s="65"/>
      <c r="BC805" s="65"/>
      <c r="BD805" s="65"/>
      <c r="BE805" s="60"/>
      <c r="BG805" s="65"/>
      <c r="BH805" s="65"/>
      <c r="BI805" s="65"/>
      <c r="BJ805" s="65"/>
      <c r="BK805" s="65"/>
      <c r="BL805" s="65"/>
      <c r="BM805" s="65"/>
      <c r="BN805" s="65"/>
      <c r="BO805" s="65"/>
      <c r="BP805" s="65"/>
      <c r="BQ805" s="65"/>
      <c r="BR805" s="65"/>
      <c r="BS805" s="65"/>
      <c r="BT805" s="65"/>
      <c r="BU805" s="65"/>
      <c r="BV805" s="65"/>
      <c r="BW805" s="65"/>
    </row>
    <row r="806" spans="45:75" x14ac:dyDescent="0.25">
      <c r="AS806" s="53"/>
      <c r="AV806" s="53"/>
      <c r="AW806" s="379"/>
      <c r="AX806" s="65"/>
      <c r="AY806" s="65"/>
      <c r="AZ806" s="65"/>
      <c r="BA806" s="60"/>
      <c r="BB806" s="65"/>
      <c r="BC806" s="65"/>
      <c r="BD806" s="65"/>
      <c r="BE806" s="60"/>
      <c r="BG806" s="65"/>
      <c r="BH806" s="65"/>
      <c r="BI806" s="65"/>
      <c r="BJ806" s="65"/>
      <c r="BK806" s="65"/>
      <c r="BL806" s="65"/>
      <c r="BM806" s="65"/>
      <c r="BN806" s="65"/>
      <c r="BO806" s="65"/>
      <c r="BP806" s="65"/>
      <c r="BQ806" s="65"/>
      <c r="BR806" s="65"/>
      <c r="BS806" s="65"/>
      <c r="BT806" s="65"/>
      <c r="BU806" s="65"/>
      <c r="BV806" s="65"/>
      <c r="BW806" s="65"/>
    </row>
    <row r="807" spans="45:75" x14ac:dyDescent="0.25">
      <c r="AS807" s="53"/>
      <c r="AV807" s="53"/>
      <c r="AW807" s="379"/>
      <c r="AX807" s="65"/>
      <c r="AY807" s="65"/>
      <c r="AZ807" s="65"/>
      <c r="BA807" s="60"/>
      <c r="BB807" s="65"/>
      <c r="BC807" s="65"/>
      <c r="BD807" s="65"/>
      <c r="BE807" s="60"/>
      <c r="BG807" s="65"/>
      <c r="BH807" s="65"/>
      <c r="BI807" s="65"/>
      <c r="BJ807" s="65"/>
      <c r="BK807" s="65"/>
      <c r="BL807" s="65"/>
      <c r="BM807" s="65"/>
      <c r="BN807" s="65"/>
      <c r="BO807" s="65"/>
      <c r="BP807" s="65"/>
      <c r="BQ807" s="65"/>
      <c r="BR807" s="65"/>
      <c r="BS807" s="65"/>
      <c r="BT807" s="65"/>
      <c r="BU807" s="65"/>
      <c r="BV807" s="65"/>
      <c r="BW807" s="65"/>
    </row>
    <row r="808" spans="45:75" x14ac:dyDescent="0.25">
      <c r="AS808" s="53"/>
      <c r="AV808" s="53"/>
      <c r="AW808" s="379"/>
      <c r="AX808" s="65"/>
      <c r="AY808" s="65"/>
      <c r="AZ808" s="65"/>
      <c r="BA808" s="60"/>
      <c r="BB808" s="65"/>
      <c r="BC808" s="65"/>
      <c r="BD808" s="65"/>
      <c r="BE808" s="60"/>
      <c r="BG808" s="65"/>
      <c r="BH808" s="65"/>
      <c r="BI808" s="65"/>
      <c r="BJ808" s="65"/>
      <c r="BK808" s="65"/>
      <c r="BL808" s="65"/>
      <c r="BM808" s="65"/>
      <c r="BN808" s="65"/>
      <c r="BO808" s="65"/>
      <c r="BP808" s="65"/>
      <c r="BQ808" s="65"/>
      <c r="BR808" s="65"/>
      <c r="BS808" s="65"/>
      <c r="BT808" s="65"/>
      <c r="BU808" s="65"/>
      <c r="BV808" s="65"/>
      <c r="BW808" s="65"/>
    </row>
    <row r="809" spans="45:75" x14ac:dyDescent="0.25">
      <c r="AS809" s="53"/>
      <c r="AV809" s="53"/>
      <c r="AW809" s="379"/>
      <c r="AX809" s="65"/>
      <c r="AY809" s="65"/>
      <c r="AZ809" s="65"/>
      <c r="BA809" s="60"/>
      <c r="BB809" s="65"/>
      <c r="BC809" s="65"/>
      <c r="BD809" s="65"/>
      <c r="BE809" s="60"/>
      <c r="BG809" s="65"/>
      <c r="BH809" s="65"/>
      <c r="BI809" s="65"/>
      <c r="BJ809" s="65"/>
      <c r="BK809" s="65"/>
      <c r="BL809" s="65"/>
      <c r="BM809" s="65"/>
      <c r="BN809" s="65"/>
      <c r="BO809" s="65"/>
      <c r="BP809" s="65"/>
      <c r="BQ809" s="65"/>
      <c r="BR809" s="65"/>
      <c r="BS809" s="65"/>
      <c r="BT809" s="65"/>
      <c r="BU809" s="65"/>
      <c r="BV809" s="65"/>
      <c r="BW809" s="65"/>
    </row>
    <row r="810" spans="45:75" x14ac:dyDescent="0.25">
      <c r="AS810" s="53"/>
      <c r="AV810" s="53"/>
      <c r="AW810" s="379"/>
      <c r="AX810" s="65"/>
      <c r="AY810" s="65"/>
      <c r="AZ810" s="65"/>
      <c r="BA810" s="60"/>
      <c r="BB810" s="65"/>
      <c r="BC810" s="65"/>
      <c r="BD810" s="65"/>
      <c r="BE810" s="60"/>
      <c r="BG810" s="65"/>
      <c r="BH810" s="65"/>
      <c r="BI810" s="65"/>
      <c r="BJ810" s="65"/>
      <c r="BK810" s="65"/>
      <c r="BL810" s="65"/>
      <c r="BM810" s="65"/>
      <c r="BN810" s="65"/>
      <c r="BO810" s="65"/>
      <c r="BP810" s="65"/>
      <c r="BQ810" s="65"/>
      <c r="BR810" s="65"/>
      <c r="BS810" s="65"/>
      <c r="BT810" s="65"/>
      <c r="BU810" s="65"/>
      <c r="BV810" s="65"/>
      <c r="BW810" s="65"/>
    </row>
    <row r="811" spans="45:75" x14ac:dyDescent="0.25">
      <c r="AS811" s="53"/>
      <c r="AV811" s="53"/>
      <c r="AW811" s="379"/>
      <c r="AX811" s="65"/>
      <c r="AY811" s="65"/>
      <c r="AZ811" s="65"/>
      <c r="BA811" s="60"/>
      <c r="BB811" s="65"/>
      <c r="BC811" s="65"/>
      <c r="BD811" s="65"/>
      <c r="BE811" s="60"/>
      <c r="BG811" s="65"/>
      <c r="BH811" s="65"/>
      <c r="BI811" s="65"/>
      <c r="BJ811" s="65"/>
      <c r="BK811" s="65"/>
      <c r="BL811" s="65"/>
      <c r="BM811" s="65"/>
      <c r="BN811" s="65"/>
      <c r="BO811" s="65"/>
      <c r="BP811" s="65"/>
      <c r="BQ811" s="65"/>
      <c r="BR811" s="65"/>
      <c r="BS811" s="65"/>
      <c r="BT811" s="65"/>
      <c r="BU811" s="65"/>
      <c r="BV811" s="65"/>
      <c r="BW811" s="65"/>
    </row>
    <row r="812" spans="45:75" x14ac:dyDescent="0.25">
      <c r="AS812" s="53"/>
      <c r="AV812" s="53"/>
      <c r="AW812" s="379"/>
      <c r="AX812" s="65"/>
      <c r="AY812" s="65"/>
      <c r="AZ812" s="65"/>
      <c r="BA812" s="60"/>
      <c r="BB812" s="65"/>
      <c r="BC812" s="65"/>
      <c r="BD812" s="65"/>
      <c r="BE812" s="60"/>
      <c r="BG812" s="65"/>
      <c r="BH812" s="65"/>
      <c r="BI812" s="65"/>
      <c r="BJ812" s="65"/>
      <c r="BK812" s="65"/>
      <c r="BL812" s="65"/>
      <c r="BM812" s="65"/>
      <c r="BN812" s="65"/>
      <c r="BO812" s="65"/>
      <c r="BP812" s="65"/>
      <c r="BQ812" s="65"/>
      <c r="BR812" s="65"/>
      <c r="BS812" s="65"/>
      <c r="BT812" s="65"/>
      <c r="BU812" s="65"/>
      <c r="BV812" s="65"/>
      <c r="BW812" s="65"/>
    </row>
    <row r="813" spans="45:75" x14ac:dyDescent="0.25">
      <c r="AS813" s="53"/>
      <c r="AV813" s="53"/>
      <c r="AW813" s="379"/>
      <c r="AX813" s="65"/>
      <c r="AY813" s="65"/>
      <c r="AZ813" s="65"/>
      <c r="BA813" s="60"/>
      <c r="BB813" s="65"/>
      <c r="BC813" s="65"/>
      <c r="BD813" s="65"/>
      <c r="BE813" s="60"/>
      <c r="BG813" s="65"/>
      <c r="BH813" s="65"/>
      <c r="BI813" s="65"/>
      <c r="BJ813" s="65"/>
      <c r="BK813" s="65"/>
      <c r="BL813" s="65"/>
      <c r="BM813" s="65"/>
      <c r="BN813" s="65"/>
      <c r="BO813" s="65"/>
      <c r="BP813" s="65"/>
      <c r="BQ813" s="65"/>
      <c r="BR813" s="65"/>
      <c r="BS813" s="65"/>
      <c r="BT813" s="65"/>
      <c r="BU813" s="65"/>
      <c r="BV813" s="65"/>
      <c r="BW813" s="65"/>
    </row>
    <row r="814" spans="45:75" x14ac:dyDescent="0.25">
      <c r="AS814" s="53"/>
      <c r="AV814" s="53"/>
      <c r="AW814" s="379"/>
      <c r="AX814" s="65"/>
      <c r="AY814" s="65"/>
      <c r="AZ814" s="65"/>
      <c r="BA814" s="60"/>
      <c r="BB814" s="65"/>
      <c r="BC814" s="65"/>
      <c r="BD814" s="65"/>
      <c r="BE814" s="60"/>
      <c r="BG814" s="65"/>
      <c r="BH814" s="65"/>
      <c r="BI814" s="65"/>
      <c r="BJ814" s="65"/>
      <c r="BK814" s="65"/>
      <c r="BL814" s="65"/>
      <c r="BM814" s="65"/>
      <c r="BN814" s="65"/>
      <c r="BO814" s="65"/>
      <c r="BP814" s="65"/>
      <c r="BQ814" s="65"/>
      <c r="BR814" s="65"/>
      <c r="BS814" s="65"/>
      <c r="BT814" s="65"/>
      <c r="BU814" s="65"/>
      <c r="BV814" s="65"/>
      <c r="BW814" s="65"/>
    </row>
    <row r="815" spans="45:75" x14ac:dyDescent="0.25">
      <c r="AS815" s="53"/>
      <c r="AV815" s="53"/>
      <c r="AW815" s="379"/>
      <c r="AX815" s="65"/>
      <c r="AY815" s="65"/>
      <c r="AZ815" s="65"/>
      <c r="BA815" s="60"/>
      <c r="BB815" s="65"/>
      <c r="BC815" s="65"/>
      <c r="BD815" s="65"/>
      <c r="BE815" s="60"/>
      <c r="BG815" s="65"/>
      <c r="BH815" s="65"/>
      <c r="BI815" s="65"/>
      <c r="BJ815" s="65"/>
      <c r="BK815" s="65"/>
      <c r="BL815" s="65"/>
      <c r="BM815" s="65"/>
      <c r="BN815" s="65"/>
      <c r="BO815" s="65"/>
      <c r="BP815" s="65"/>
      <c r="BQ815" s="65"/>
      <c r="BR815" s="65"/>
      <c r="BS815" s="65"/>
      <c r="BT815" s="65"/>
      <c r="BU815" s="65"/>
      <c r="BV815" s="65"/>
      <c r="BW815" s="65"/>
    </row>
    <row r="816" spans="45:75" x14ac:dyDescent="0.25">
      <c r="AS816" s="53"/>
      <c r="AV816" s="53"/>
      <c r="AW816" s="379"/>
      <c r="AX816" s="65"/>
      <c r="AY816" s="65"/>
      <c r="AZ816" s="65"/>
      <c r="BA816" s="60"/>
      <c r="BB816" s="65"/>
      <c r="BC816" s="65"/>
      <c r="BD816" s="65"/>
      <c r="BE816" s="60"/>
      <c r="BG816" s="65"/>
      <c r="BH816" s="65"/>
      <c r="BI816" s="65"/>
      <c r="BJ816" s="65"/>
      <c r="BK816" s="65"/>
      <c r="BL816" s="65"/>
      <c r="BM816" s="65"/>
      <c r="BN816" s="65"/>
      <c r="BO816" s="65"/>
      <c r="BP816" s="65"/>
      <c r="BQ816" s="65"/>
      <c r="BR816" s="65"/>
      <c r="BS816" s="65"/>
      <c r="BT816" s="65"/>
      <c r="BU816" s="65"/>
      <c r="BV816" s="65"/>
      <c r="BW816" s="65"/>
    </row>
    <row r="817" spans="45:75" x14ac:dyDescent="0.25">
      <c r="AS817" s="53"/>
      <c r="AV817" s="53"/>
      <c r="AW817" s="379"/>
      <c r="AX817" s="65"/>
      <c r="AY817" s="65"/>
      <c r="AZ817" s="65"/>
      <c r="BA817" s="60"/>
      <c r="BB817" s="65"/>
      <c r="BC817" s="65"/>
      <c r="BD817" s="65"/>
      <c r="BE817" s="60"/>
      <c r="BG817" s="65"/>
      <c r="BH817" s="65"/>
      <c r="BI817" s="65"/>
      <c r="BJ817" s="65"/>
      <c r="BK817" s="65"/>
      <c r="BL817" s="65"/>
      <c r="BM817" s="65"/>
      <c r="BN817" s="65"/>
      <c r="BO817" s="65"/>
      <c r="BP817" s="65"/>
      <c r="BQ817" s="65"/>
      <c r="BR817" s="65"/>
      <c r="BS817" s="65"/>
      <c r="BT817" s="65"/>
      <c r="BU817" s="65"/>
      <c r="BV817" s="65"/>
      <c r="BW817" s="65"/>
    </row>
    <row r="818" spans="45:75" x14ac:dyDescent="0.25">
      <c r="AS818" s="53"/>
      <c r="AV818" s="53"/>
      <c r="AW818" s="379"/>
      <c r="AX818" s="65"/>
      <c r="AY818" s="65"/>
      <c r="AZ818" s="65"/>
      <c r="BA818" s="60"/>
      <c r="BB818" s="65"/>
      <c r="BC818" s="65"/>
      <c r="BD818" s="65"/>
      <c r="BE818" s="60"/>
      <c r="BG818" s="65"/>
      <c r="BH818" s="65"/>
      <c r="BI818" s="65"/>
      <c r="BJ818" s="65"/>
      <c r="BK818" s="65"/>
      <c r="BL818" s="65"/>
      <c r="BM818" s="65"/>
      <c r="BN818" s="65"/>
      <c r="BO818" s="65"/>
      <c r="BP818" s="65"/>
      <c r="BQ818" s="65"/>
      <c r="BR818" s="65"/>
      <c r="BS818" s="65"/>
      <c r="BT818" s="65"/>
      <c r="BU818" s="65"/>
      <c r="BV818" s="65"/>
      <c r="BW818" s="65"/>
    </row>
    <row r="819" spans="45:75" x14ac:dyDescent="0.25">
      <c r="AS819" s="53"/>
      <c r="AV819" s="53"/>
      <c r="AW819" s="379"/>
      <c r="AX819" s="65"/>
      <c r="AY819" s="65"/>
      <c r="AZ819" s="65"/>
      <c r="BA819" s="60"/>
      <c r="BB819" s="65"/>
      <c r="BC819" s="65"/>
      <c r="BD819" s="65"/>
      <c r="BE819" s="60"/>
      <c r="BG819" s="65"/>
      <c r="BH819" s="65"/>
      <c r="BI819" s="65"/>
      <c r="BJ819" s="65"/>
      <c r="BK819" s="65"/>
      <c r="BL819" s="65"/>
      <c r="BM819" s="65"/>
      <c r="BN819" s="65"/>
      <c r="BO819" s="65"/>
      <c r="BP819" s="65"/>
      <c r="BQ819" s="65"/>
      <c r="BR819" s="65"/>
      <c r="BS819" s="65"/>
      <c r="BT819" s="65"/>
      <c r="BU819" s="65"/>
      <c r="BV819" s="65"/>
      <c r="BW819" s="65"/>
    </row>
    <row r="820" spans="45:75" x14ac:dyDescent="0.25">
      <c r="AW820" s="379"/>
      <c r="AX820" s="65"/>
      <c r="AY820" s="65"/>
      <c r="AZ820" s="65"/>
      <c r="BA820" s="60"/>
      <c r="BB820" s="65"/>
      <c r="BC820" s="65"/>
      <c r="BD820" s="65"/>
      <c r="BE820" s="60"/>
      <c r="BG820" s="55"/>
      <c r="BH820" s="55"/>
      <c r="BI820" s="54"/>
      <c r="BM820" s="55"/>
      <c r="BN820" s="55"/>
      <c r="BO820" s="65"/>
      <c r="BP820" s="55"/>
      <c r="BQ820" s="55"/>
      <c r="BR820" s="54"/>
      <c r="BV820" s="55"/>
      <c r="BW820" s="55"/>
    </row>
    <row r="821" spans="45:75" x14ac:dyDescent="0.25">
      <c r="AS821" s="53"/>
      <c r="AU821" s="54"/>
      <c r="AV821" s="56"/>
      <c r="AW821" s="379"/>
      <c r="AX821" s="65"/>
      <c r="AY821" s="65"/>
      <c r="AZ821" s="65"/>
      <c r="BA821" s="60"/>
      <c r="BB821" s="65"/>
      <c r="BC821" s="65"/>
      <c r="BD821" s="65"/>
      <c r="BE821" s="60"/>
      <c r="BG821" s="67"/>
      <c r="BH821" s="65"/>
      <c r="BI821" s="65"/>
      <c r="BJ821" s="65"/>
      <c r="BK821" s="67"/>
      <c r="BL821" s="68"/>
      <c r="BM821" s="65"/>
      <c r="BN821" s="67"/>
      <c r="BO821" s="65"/>
      <c r="BP821" s="67"/>
      <c r="BQ821" s="65"/>
      <c r="BR821" s="65"/>
      <c r="BS821" s="65"/>
      <c r="BT821" s="67"/>
      <c r="BU821" s="68"/>
      <c r="BV821" s="65"/>
      <c r="BW821" s="67"/>
    </row>
    <row r="822" spans="45:75" x14ac:dyDescent="0.25">
      <c r="AS822" s="53"/>
      <c r="AV822" s="56"/>
      <c r="AW822" s="379"/>
      <c r="AX822" s="65"/>
      <c r="AY822" s="65"/>
      <c r="AZ822" s="65"/>
      <c r="BA822" s="60"/>
      <c r="BB822" s="65"/>
      <c r="BC822" s="65"/>
      <c r="BD822" s="65"/>
      <c r="BE822" s="60"/>
      <c r="BG822" s="65"/>
      <c r="BH822" s="65"/>
      <c r="BI822" s="65"/>
      <c r="BJ822" s="65"/>
      <c r="BK822" s="65"/>
      <c r="BL822" s="68"/>
      <c r="BM822" s="65"/>
      <c r="BN822" s="65"/>
      <c r="BO822" s="65"/>
      <c r="BP822" s="65"/>
      <c r="BQ822" s="65"/>
      <c r="BR822" s="65"/>
      <c r="BS822" s="65"/>
      <c r="BT822" s="65"/>
      <c r="BU822" s="68"/>
      <c r="BV822" s="65"/>
      <c r="BW822" s="65"/>
    </row>
    <row r="823" spans="45:75" x14ac:dyDescent="0.25">
      <c r="AS823" s="53"/>
      <c r="AV823" s="56"/>
      <c r="AW823" s="379"/>
      <c r="AX823" s="65"/>
      <c r="AY823" s="65"/>
      <c r="AZ823" s="65"/>
      <c r="BA823" s="60"/>
      <c r="BB823" s="65"/>
      <c r="BC823" s="65"/>
      <c r="BD823" s="65"/>
      <c r="BE823" s="60"/>
      <c r="BG823" s="65"/>
      <c r="BH823" s="65"/>
      <c r="BI823" s="65"/>
      <c r="BJ823" s="65"/>
      <c r="BK823" s="65"/>
      <c r="BL823" s="68"/>
      <c r="BM823" s="65"/>
      <c r="BN823" s="65"/>
      <c r="BO823" s="65"/>
      <c r="BP823" s="65"/>
      <c r="BQ823" s="65"/>
      <c r="BR823" s="65"/>
      <c r="BS823" s="65"/>
      <c r="BT823" s="65"/>
      <c r="BU823" s="68"/>
      <c r="BV823" s="65"/>
      <c r="BW823" s="65"/>
    </row>
    <row r="824" spans="45:75" x14ac:dyDescent="0.25">
      <c r="AS824" s="53"/>
      <c r="AV824" s="56"/>
      <c r="AW824" s="379"/>
      <c r="AX824" s="65"/>
      <c r="AY824" s="65"/>
      <c r="AZ824" s="65"/>
      <c r="BA824" s="60"/>
      <c r="BB824" s="65"/>
      <c r="BC824" s="65"/>
      <c r="BD824" s="65"/>
      <c r="BE824" s="60"/>
      <c r="BG824" s="65"/>
      <c r="BH824" s="65"/>
      <c r="BI824" s="65"/>
      <c r="BJ824" s="65"/>
      <c r="BK824" s="65"/>
      <c r="BL824" s="68"/>
      <c r="BM824" s="65"/>
      <c r="BN824" s="65"/>
      <c r="BO824" s="65"/>
      <c r="BP824" s="65"/>
      <c r="BQ824" s="65"/>
      <c r="BR824" s="65"/>
      <c r="BS824" s="65"/>
      <c r="BT824" s="65"/>
      <c r="BU824" s="68"/>
      <c r="BV824" s="65"/>
      <c r="BW824" s="65"/>
    </row>
    <row r="825" spans="45:75" x14ac:dyDescent="0.25">
      <c r="AX825" s="65"/>
      <c r="AY825" s="65"/>
      <c r="AZ825" s="65"/>
      <c r="BA825" s="60"/>
      <c r="BB825" s="65"/>
      <c r="BC825" s="65"/>
      <c r="BD825" s="65"/>
      <c r="BE825" s="60"/>
      <c r="BG825" s="65"/>
      <c r="BH825" s="65"/>
      <c r="BI825" s="65"/>
      <c r="BJ825" s="65"/>
      <c r="BK825" s="65"/>
      <c r="BL825" s="65"/>
      <c r="BM825" s="65"/>
      <c r="BN825" s="65"/>
      <c r="BO825" s="65"/>
      <c r="BP825" s="65"/>
      <c r="BQ825" s="65"/>
      <c r="BR825" s="65"/>
      <c r="BS825" s="65"/>
      <c r="BT825" s="65"/>
      <c r="BU825" s="65"/>
      <c r="BV825" s="65"/>
    </row>
    <row r="826" spans="45:75" x14ac:dyDescent="0.25">
      <c r="AU826" s="54"/>
    </row>
    <row r="827" spans="45:75" x14ac:dyDescent="0.25">
      <c r="AU827" s="54"/>
      <c r="AZ827" s="65"/>
      <c r="BA827" s="60"/>
      <c r="BB827" s="65"/>
      <c r="BC827" s="65"/>
      <c r="BD827" s="65"/>
      <c r="BE827" s="60"/>
      <c r="BG827" s="65"/>
      <c r="BH827" s="65"/>
      <c r="BI827" s="65"/>
      <c r="BJ827" s="65"/>
      <c r="BK827" s="65"/>
      <c r="BL827" s="65"/>
      <c r="BM827" s="65"/>
      <c r="BN827" s="65"/>
      <c r="BO827" s="65"/>
      <c r="BP827" s="65"/>
      <c r="BQ827" s="65"/>
      <c r="BR827" s="65"/>
      <c r="BS827" s="65"/>
      <c r="BT827" s="65"/>
      <c r="BU827" s="65"/>
      <c r="BV827" s="65"/>
    </row>
    <row r="828" spans="45:75" x14ac:dyDescent="0.25">
      <c r="AS828" s="54"/>
      <c r="AZ828" s="65"/>
      <c r="BB828" s="65"/>
    </row>
    <row r="829" spans="45:75" x14ac:dyDescent="0.25">
      <c r="AY829" s="53"/>
      <c r="AZ829" s="65"/>
      <c r="BB829" s="65"/>
      <c r="BO829" s="65"/>
      <c r="BP829" s="65"/>
      <c r="BQ829" s="65"/>
      <c r="BR829" s="65"/>
      <c r="BS829" s="65"/>
      <c r="BT829" s="65"/>
      <c r="BU829" s="65"/>
      <c r="BV829" s="65"/>
    </row>
    <row r="830" spans="45:75" x14ac:dyDescent="0.25">
      <c r="AY830" s="65"/>
      <c r="AZ830" s="65"/>
      <c r="BB830" s="65"/>
      <c r="BO830" s="65"/>
      <c r="BP830" s="65"/>
      <c r="BQ830" s="65"/>
      <c r="BR830" s="65"/>
      <c r="BS830" s="65"/>
      <c r="BT830" s="65"/>
      <c r="BU830" s="65"/>
      <c r="BV830" s="65"/>
    </row>
    <row r="831" spans="45:75" x14ac:dyDescent="0.25">
      <c r="AY831" s="54"/>
      <c r="AZ831" s="65"/>
      <c r="BB831" s="65"/>
      <c r="BO831" s="65"/>
      <c r="BP831" s="65"/>
      <c r="BQ831" s="65"/>
      <c r="BR831" s="65"/>
      <c r="BS831" s="65"/>
      <c r="BT831" s="65"/>
      <c r="BU831" s="65"/>
      <c r="BV831" s="65"/>
    </row>
    <row r="832" spans="45:75" x14ac:dyDescent="0.25">
      <c r="AY832" s="54"/>
      <c r="AZ832" s="65"/>
      <c r="BB832" s="65"/>
      <c r="BO832" s="65"/>
      <c r="BP832" s="65"/>
      <c r="BQ832" s="65"/>
      <c r="BR832" s="65"/>
      <c r="BS832" s="65"/>
      <c r="BT832" s="65"/>
      <c r="BU832" s="65"/>
      <c r="BV832" s="65"/>
    </row>
    <row r="833" spans="45:74" x14ac:dyDescent="0.25">
      <c r="AS833" s="53"/>
      <c r="AZ833" s="65"/>
      <c r="BB833" s="65"/>
      <c r="BD833" s="54"/>
      <c r="BO833" s="65"/>
      <c r="BP833" s="65"/>
      <c r="BQ833" s="65"/>
      <c r="BR833" s="65"/>
      <c r="BS833" s="65"/>
      <c r="BT833" s="65"/>
      <c r="BU833" s="65"/>
      <c r="BV833" s="65"/>
    </row>
    <row r="834" spans="45:74" x14ac:dyDescent="0.25">
      <c r="AS834" s="53"/>
      <c r="AZ834" s="65"/>
      <c r="BB834" s="65"/>
      <c r="BD834" s="54"/>
      <c r="BO834" s="65"/>
      <c r="BP834" s="65"/>
      <c r="BQ834" s="65"/>
      <c r="BR834" s="65"/>
      <c r="BS834" s="65"/>
      <c r="BT834" s="65"/>
      <c r="BU834" s="65"/>
      <c r="BV834" s="65"/>
    </row>
    <row r="835" spans="45:74" x14ac:dyDescent="0.25">
      <c r="AS835" s="54"/>
      <c r="AZ835" s="65"/>
      <c r="BB835" s="65"/>
      <c r="BD835" s="54"/>
      <c r="BO835" s="65"/>
      <c r="BP835" s="65"/>
      <c r="BQ835" s="65"/>
      <c r="BR835" s="65"/>
      <c r="BS835" s="65"/>
      <c r="BT835" s="65"/>
      <c r="BU835" s="65"/>
      <c r="BV835" s="65"/>
    </row>
    <row r="836" spans="45:74" x14ac:dyDescent="0.25">
      <c r="AZ836" s="65"/>
      <c r="BB836" s="65"/>
      <c r="BD836" s="53"/>
      <c r="BO836" s="65"/>
      <c r="BP836" s="65"/>
      <c r="BQ836" s="65"/>
      <c r="BR836" s="65"/>
      <c r="BS836" s="65"/>
      <c r="BT836" s="65"/>
      <c r="BU836" s="65"/>
      <c r="BV836" s="65"/>
    </row>
    <row r="837" spans="45:74" x14ac:dyDescent="0.25">
      <c r="AS837" s="55"/>
      <c r="AT837" s="55"/>
      <c r="AU837" s="55"/>
      <c r="AV837" s="55"/>
      <c r="AW837" s="55"/>
      <c r="AX837" s="55"/>
      <c r="AY837" s="55"/>
      <c r="AZ837" s="66"/>
      <c r="BA837" s="55"/>
      <c r="BB837" s="66"/>
      <c r="BC837" s="55"/>
      <c r="BD837" s="55"/>
      <c r="BE837" s="55"/>
      <c r="BO837" s="65"/>
      <c r="BP837" s="65"/>
      <c r="BQ837" s="65"/>
      <c r="BR837" s="65"/>
      <c r="BS837" s="65"/>
      <c r="BT837" s="65"/>
      <c r="BU837" s="65"/>
      <c r="BV837" s="65"/>
    </row>
    <row r="838" spans="45:74" x14ac:dyDescent="0.25">
      <c r="AX838" s="54"/>
      <c r="AZ838" s="65"/>
      <c r="BB838" s="65"/>
      <c r="BO838" s="65"/>
      <c r="BP838" s="65"/>
      <c r="BQ838" s="65"/>
      <c r="BR838" s="65"/>
      <c r="BS838" s="65"/>
      <c r="BT838" s="65"/>
      <c r="BU838" s="65"/>
      <c r="BV838" s="65"/>
    </row>
    <row r="839" spans="45:74" x14ac:dyDescent="0.25">
      <c r="AX839" s="55"/>
      <c r="AY839" s="55"/>
      <c r="AZ839" s="66"/>
      <c r="BA839" s="55"/>
      <c r="BB839" s="65"/>
      <c r="BC839" s="56"/>
      <c r="BD839" s="56"/>
      <c r="BO839" s="65"/>
      <c r="BP839" s="65"/>
      <c r="BQ839" s="65"/>
      <c r="BR839" s="65"/>
      <c r="BS839" s="65"/>
      <c r="BT839" s="65"/>
      <c r="BU839" s="65"/>
      <c r="BV839" s="65"/>
    </row>
    <row r="840" spans="45:74" x14ac:dyDescent="0.25">
      <c r="AV840" s="56"/>
      <c r="AW840" s="56"/>
      <c r="AZ840" s="67"/>
      <c r="BA840" s="56"/>
      <c r="BB840" s="65"/>
      <c r="BC840" s="56"/>
      <c r="BD840" s="56"/>
      <c r="BE840" s="56"/>
      <c r="BG840" s="55"/>
      <c r="BH840" s="54"/>
      <c r="BK840" s="55"/>
      <c r="BM840" s="55"/>
      <c r="BN840" s="54"/>
      <c r="BQ840" s="55"/>
    </row>
    <row r="841" spans="45:74" x14ac:dyDescent="0.25">
      <c r="AV841" s="56"/>
      <c r="AW841" s="56"/>
      <c r="AX841" s="56"/>
      <c r="AY841" s="56"/>
      <c r="AZ841" s="67"/>
      <c r="BA841" s="56"/>
      <c r="BB841" s="67"/>
      <c r="BC841" s="56"/>
      <c r="BD841" s="56"/>
      <c r="BE841" s="56"/>
      <c r="BH841" s="56"/>
      <c r="BI841" s="56"/>
      <c r="BN841" s="56"/>
      <c r="BO841" s="56"/>
    </row>
    <row r="842" spans="45:74" x14ac:dyDescent="0.25">
      <c r="AS842" s="56"/>
      <c r="AU842" s="54"/>
      <c r="AV842" s="56"/>
      <c r="AW842" s="56"/>
      <c r="AX842" s="56"/>
      <c r="AY842" s="56"/>
      <c r="AZ842" s="67"/>
      <c r="BA842" s="56"/>
      <c r="BB842" s="67"/>
      <c r="BC842" s="56"/>
      <c r="BD842" s="56"/>
      <c r="BE842" s="56"/>
      <c r="BG842" s="56"/>
      <c r="BH842" s="56"/>
      <c r="BI842" s="56"/>
      <c r="BJ842" s="56"/>
      <c r="BK842" s="56"/>
      <c r="BM842" s="56"/>
      <c r="BN842" s="56"/>
      <c r="BO842" s="56"/>
      <c r="BP842" s="56"/>
      <c r="BQ842" s="56"/>
    </row>
    <row r="843" spans="45:74" x14ac:dyDescent="0.25">
      <c r="AS843" s="56"/>
      <c r="AU843" s="54"/>
      <c r="AV843" s="56"/>
      <c r="AW843" s="56"/>
      <c r="AX843" s="56"/>
      <c r="AY843" s="56"/>
      <c r="AZ843" s="67"/>
      <c r="BA843" s="56"/>
      <c r="BB843" s="67"/>
      <c r="BC843" s="56"/>
      <c r="BD843" s="56"/>
      <c r="BE843" s="56"/>
      <c r="BG843" s="56"/>
      <c r="BH843" s="56"/>
      <c r="BI843" s="56"/>
      <c r="BJ843" s="56"/>
      <c r="BK843" s="56"/>
      <c r="BM843" s="56"/>
      <c r="BN843" s="56"/>
      <c r="BO843" s="56"/>
      <c r="BP843" s="56"/>
      <c r="BQ843" s="56"/>
    </row>
    <row r="844" spans="45:74" x14ac:dyDescent="0.25">
      <c r="AS844" s="55"/>
      <c r="AT844" s="55"/>
      <c r="AU844" s="55"/>
      <c r="AV844" s="55"/>
      <c r="AW844" s="55"/>
      <c r="AX844" s="55"/>
      <c r="AY844" s="55"/>
      <c r="AZ844" s="66"/>
      <c r="BA844" s="55"/>
      <c r="BB844" s="66"/>
      <c r="BC844" s="55"/>
      <c r="BD844" s="55"/>
      <c r="BE844" s="55"/>
      <c r="BG844" s="55"/>
      <c r="BH844" s="55"/>
      <c r="BI844" s="55"/>
      <c r="BJ844" s="55"/>
      <c r="BK844" s="55"/>
      <c r="BM844" s="55"/>
      <c r="BN844" s="55"/>
      <c r="BO844" s="55"/>
      <c r="BP844" s="55"/>
      <c r="BQ844" s="55"/>
    </row>
    <row r="845" spans="45:74" x14ac:dyDescent="0.25">
      <c r="AV845" s="56"/>
      <c r="AW845" s="56"/>
      <c r="AX845" s="56"/>
      <c r="AY845" s="56"/>
      <c r="AZ845" s="67"/>
      <c r="BA845" s="56"/>
      <c r="BB845" s="67"/>
      <c r="BC845" s="56"/>
      <c r="BD845" s="56"/>
      <c r="BE845" s="56"/>
      <c r="BG845" s="65"/>
      <c r="BH845" s="65"/>
      <c r="BI845" s="65"/>
      <c r="BJ845" s="65"/>
      <c r="BK845" s="65"/>
      <c r="BL845" s="65"/>
      <c r="BM845" s="65"/>
      <c r="BN845" s="65"/>
      <c r="BO845" s="65"/>
      <c r="BP845" s="65"/>
      <c r="BQ845" s="65"/>
    </row>
    <row r="846" spans="45:74" x14ac:dyDescent="0.25">
      <c r="AS846" s="53"/>
      <c r="AT846" s="54"/>
      <c r="AV846" s="379"/>
      <c r="AW846" s="379"/>
      <c r="AX846" s="65"/>
      <c r="AY846" s="65"/>
      <c r="AZ846" s="65"/>
      <c r="BA846" s="60"/>
      <c r="BB846" s="65"/>
      <c r="BC846" s="65"/>
      <c r="BD846" s="65"/>
      <c r="BE846" s="60"/>
      <c r="BG846" s="65"/>
      <c r="BH846" s="65"/>
      <c r="BI846" s="65"/>
      <c r="BJ846" s="65"/>
      <c r="BK846" s="65"/>
      <c r="BL846" s="65"/>
      <c r="BM846" s="65"/>
      <c r="BN846" s="65"/>
      <c r="BO846" s="65"/>
      <c r="BP846" s="65"/>
      <c r="BQ846" s="65"/>
      <c r="BR846" s="65"/>
      <c r="BS846" s="65"/>
    </row>
    <row r="847" spans="45:74" x14ac:dyDescent="0.25">
      <c r="AS847" s="53"/>
      <c r="AV847" s="379"/>
      <c r="AW847" s="379"/>
      <c r="AX847" s="65"/>
      <c r="AY847" s="65"/>
      <c r="AZ847" s="65"/>
      <c r="BA847" s="60"/>
      <c r="BB847" s="65"/>
      <c r="BC847" s="65"/>
      <c r="BD847" s="65"/>
      <c r="BE847" s="60"/>
      <c r="BG847" s="65"/>
      <c r="BH847" s="65"/>
      <c r="BI847" s="65"/>
      <c r="BJ847" s="65"/>
      <c r="BK847" s="65"/>
      <c r="BL847" s="65"/>
      <c r="BM847" s="65"/>
      <c r="BN847" s="65"/>
      <c r="BO847" s="65"/>
      <c r="BP847" s="65"/>
      <c r="BQ847" s="65"/>
      <c r="BR847" s="65"/>
      <c r="BS847" s="65"/>
    </row>
    <row r="848" spans="45:74" x14ac:dyDescent="0.25">
      <c r="AS848" s="53"/>
      <c r="AV848" s="379"/>
      <c r="AW848" s="379"/>
      <c r="AX848" s="65"/>
      <c r="AY848" s="65"/>
      <c r="AZ848" s="65"/>
      <c r="BA848" s="60"/>
      <c r="BB848" s="65"/>
      <c r="BC848" s="65"/>
      <c r="BD848" s="65"/>
      <c r="BE848" s="60"/>
      <c r="BG848" s="65"/>
      <c r="BH848" s="65"/>
      <c r="BI848" s="65"/>
      <c r="BJ848" s="65"/>
      <c r="BK848" s="65"/>
      <c r="BL848" s="65"/>
      <c r="BM848" s="65"/>
      <c r="BN848" s="65"/>
      <c r="BO848" s="65"/>
      <c r="BP848" s="65"/>
      <c r="BQ848" s="65"/>
      <c r="BR848" s="65"/>
      <c r="BS848" s="65"/>
    </row>
    <row r="849" spans="45:71" x14ac:dyDescent="0.25">
      <c r="AS849" s="53"/>
      <c r="AV849" s="379"/>
      <c r="AW849" s="379"/>
      <c r="AX849" s="65"/>
      <c r="AY849" s="65"/>
      <c r="AZ849" s="65"/>
      <c r="BA849" s="60"/>
      <c r="BB849" s="65"/>
      <c r="BC849" s="65"/>
      <c r="BD849" s="65"/>
      <c r="BE849" s="60"/>
      <c r="BG849" s="65"/>
      <c r="BH849" s="65"/>
      <c r="BI849" s="65"/>
      <c r="BJ849" s="65"/>
      <c r="BK849" s="65"/>
      <c r="BL849" s="65"/>
      <c r="BM849" s="65"/>
      <c r="BN849" s="65"/>
      <c r="BO849" s="65"/>
      <c r="BP849" s="65"/>
      <c r="BQ849" s="65"/>
      <c r="BR849" s="65"/>
      <c r="BS849" s="65"/>
    </row>
    <row r="850" spans="45:71" x14ac:dyDescent="0.25">
      <c r="AS850" s="53"/>
      <c r="AV850" s="379"/>
      <c r="AW850" s="379"/>
      <c r="AX850" s="65"/>
      <c r="AY850" s="65"/>
      <c r="AZ850" s="65"/>
      <c r="BA850" s="60"/>
      <c r="BB850" s="65"/>
      <c r="BC850" s="65"/>
      <c r="BD850" s="65"/>
      <c r="BE850" s="60"/>
      <c r="BG850" s="65"/>
      <c r="BH850" s="65"/>
      <c r="BI850" s="65"/>
      <c r="BJ850" s="65"/>
      <c r="BK850" s="65"/>
      <c r="BL850" s="65"/>
      <c r="BM850" s="65"/>
      <c r="BN850" s="65"/>
      <c r="BO850" s="65"/>
      <c r="BP850" s="65"/>
      <c r="BQ850" s="65"/>
      <c r="BR850" s="65"/>
      <c r="BS850" s="65"/>
    </row>
    <row r="851" spans="45:71" x14ac:dyDescent="0.25">
      <c r="AS851" s="53"/>
      <c r="AV851" s="379"/>
      <c r="AW851" s="379"/>
      <c r="AX851" s="65"/>
      <c r="AY851" s="65"/>
      <c r="AZ851" s="65"/>
      <c r="BA851" s="60"/>
      <c r="BB851" s="65"/>
      <c r="BC851" s="65"/>
      <c r="BD851" s="65"/>
      <c r="BE851" s="60"/>
      <c r="BG851" s="65"/>
      <c r="BH851" s="65"/>
      <c r="BI851" s="65"/>
      <c r="BJ851" s="65"/>
      <c r="BK851" s="65"/>
      <c r="BL851" s="65"/>
      <c r="BM851" s="65"/>
      <c r="BN851" s="65"/>
      <c r="BO851" s="65"/>
      <c r="BP851" s="65"/>
      <c r="BQ851" s="65"/>
      <c r="BR851" s="65"/>
      <c r="BS851" s="65"/>
    </row>
    <row r="852" spans="45:71" x14ac:dyDescent="0.25">
      <c r="AS852" s="53"/>
      <c r="AV852" s="379"/>
      <c r="AW852" s="379"/>
      <c r="AX852" s="65"/>
      <c r="AY852" s="65"/>
      <c r="AZ852" s="65"/>
      <c r="BA852" s="60"/>
      <c r="BB852" s="65"/>
      <c r="BC852" s="65"/>
      <c r="BD852" s="65"/>
      <c r="BE852" s="60"/>
      <c r="BG852" s="65"/>
      <c r="BH852" s="65"/>
      <c r="BI852" s="65"/>
      <c r="BJ852" s="65"/>
      <c r="BK852" s="65"/>
      <c r="BL852" s="65"/>
      <c r="BM852" s="65"/>
      <c r="BN852" s="65"/>
      <c r="BO852" s="65"/>
      <c r="BP852" s="65"/>
      <c r="BQ852" s="65"/>
      <c r="BR852" s="65"/>
      <c r="BS852" s="65"/>
    </row>
    <row r="853" spans="45:71" x14ac:dyDescent="0.25">
      <c r="AS853" s="53"/>
      <c r="AV853" s="379"/>
      <c r="AW853" s="379"/>
      <c r="AX853" s="65"/>
      <c r="AY853" s="65"/>
      <c r="AZ853" s="65"/>
      <c r="BA853" s="60"/>
      <c r="BB853" s="65"/>
      <c r="BC853" s="65"/>
      <c r="BD853" s="65"/>
      <c r="BE853" s="60"/>
      <c r="BG853" s="65"/>
      <c r="BH853" s="65"/>
      <c r="BI853" s="65"/>
      <c r="BJ853" s="65"/>
      <c r="BK853" s="65"/>
      <c r="BL853" s="65"/>
      <c r="BM853" s="65"/>
      <c r="BN853" s="65"/>
      <c r="BO853" s="65"/>
      <c r="BP853" s="65"/>
      <c r="BQ853" s="65"/>
      <c r="BR853" s="65"/>
      <c r="BS853" s="65"/>
    </row>
    <row r="854" spans="45:71" x14ac:dyDescent="0.25">
      <c r="AS854" s="53"/>
      <c r="AV854" s="379"/>
      <c r="AW854" s="379"/>
      <c r="AX854" s="65"/>
      <c r="AY854" s="65"/>
      <c r="AZ854" s="65"/>
      <c r="BA854" s="60"/>
      <c r="BB854" s="65"/>
      <c r="BC854" s="65"/>
      <c r="BD854" s="65"/>
      <c r="BE854" s="60"/>
      <c r="BG854" s="65"/>
      <c r="BH854" s="65"/>
      <c r="BI854" s="65"/>
      <c r="BJ854" s="65"/>
      <c r="BK854" s="65"/>
      <c r="BL854" s="65"/>
      <c r="BM854" s="65"/>
      <c r="BN854" s="65"/>
      <c r="BO854" s="65"/>
      <c r="BP854" s="65"/>
      <c r="BQ854" s="65"/>
      <c r="BR854" s="65"/>
      <c r="BS854" s="65"/>
    </row>
    <row r="855" spans="45:71" x14ac:dyDescent="0.25">
      <c r="AS855" s="53"/>
      <c r="AV855" s="379"/>
      <c r="AW855" s="379"/>
      <c r="AX855" s="65"/>
      <c r="AY855" s="65"/>
      <c r="AZ855" s="65"/>
      <c r="BA855" s="60"/>
      <c r="BB855" s="65"/>
      <c r="BC855" s="65"/>
      <c r="BD855" s="65"/>
      <c r="BE855" s="60"/>
      <c r="BG855" s="65"/>
      <c r="BH855" s="65"/>
      <c r="BI855" s="65"/>
      <c r="BJ855" s="65"/>
      <c r="BK855" s="65"/>
      <c r="BL855" s="65"/>
      <c r="BM855" s="65"/>
      <c r="BN855" s="65"/>
      <c r="BO855" s="65"/>
      <c r="BP855" s="65"/>
      <c r="BQ855" s="65"/>
      <c r="BR855" s="65"/>
      <c r="BS855" s="65"/>
    </row>
    <row r="856" spans="45:71" x14ac:dyDescent="0.25">
      <c r="AS856" s="53"/>
      <c r="AV856" s="379"/>
      <c r="AW856" s="379"/>
      <c r="AX856" s="65"/>
      <c r="AY856" s="65"/>
      <c r="AZ856" s="65"/>
      <c r="BA856" s="60"/>
      <c r="BB856" s="65"/>
      <c r="BC856" s="65"/>
      <c r="BD856" s="65"/>
      <c r="BE856" s="60"/>
      <c r="BG856" s="65"/>
      <c r="BH856" s="65"/>
      <c r="BI856" s="65"/>
      <c r="BJ856" s="65"/>
      <c r="BK856" s="65"/>
      <c r="BL856" s="65"/>
      <c r="BM856" s="65"/>
      <c r="BN856" s="65"/>
      <c r="BO856" s="65"/>
      <c r="BP856" s="65"/>
      <c r="BQ856" s="65"/>
      <c r="BR856" s="65"/>
      <c r="BS856" s="65"/>
    </row>
    <row r="857" spans="45:71" x14ac:dyDescent="0.25">
      <c r="AS857" s="53"/>
      <c r="AV857" s="379"/>
      <c r="AW857" s="379"/>
      <c r="AX857" s="65"/>
      <c r="AY857" s="65"/>
      <c r="AZ857" s="65"/>
      <c r="BA857" s="60"/>
      <c r="BB857" s="65"/>
      <c r="BC857" s="65"/>
      <c r="BD857" s="65"/>
      <c r="BE857" s="60"/>
      <c r="BG857" s="65"/>
      <c r="BH857" s="65"/>
      <c r="BI857" s="65"/>
      <c r="BJ857" s="65"/>
      <c r="BK857" s="65"/>
      <c r="BL857" s="65"/>
      <c r="BM857" s="65"/>
      <c r="BN857" s="65"/>
      <c r="BO857" s="65"/>
      <c r="BP857" s="65"/>
      <c r="BQ857" s="65"/>
      <c r="BR857" s="65"/>
      <c r="BS857" s="65"/>
    </row>
    <row r="858" spans="45:71" x14ac:dyDescent="0.25">
      <c r="AS858" s="53"/>
      <c r="AV858" s="379"/>
      <c r="AW858" s="379"/>
      <c r="AX858" s="65"/>
      <c r="AY858" s="65"/>
      <c r="AZ858" s="65"/>
      <c r="BA858" s="60"/>
      <c r="BB858" s="65"/>
      <c r="BC858" s="65"/>
      <c r="BD858" s="65"/>
      <c r="BE858" s="60"/>
      <c r="BG858" s="65"/>
      <c r="BH858" s="65"/>
      <c r="BI858" s="65"/>
      <c r="BJ858" s="65"/>
      <c r="BK858" s="65"/>
      <c r="BL858" s="65"/>
      <c r="BM858" s="65"/>
      <c r="BN858" s="65"/>
      <c r="BO858" s="65"/>
      <c r="BP858" s="65"/>
      <c r="BQ858" s="65"/>
      <c r="BR858" s="65"/>
      <c r="BS858" s="65"/>
    </row>
    <row r="859" spans="45:71" x14ac:dyDescent="0.25">
      <c r="AS859" s="53"/>
      <c r="AV859" s="379"/>
      <c r="AW859" s="379"/>
      <c r="AX859" s="65"/>
      <c r="AY859" s="65"/>
      <c r="AZ859" s="65"/>
      <c r="BA859" s="60"/>
      <c r="BB859" s="65"/>
      <c r="BC859" s="65"/>
      <c r="BD859" s="65"/>
      <c r="BE859" s="60"/>
      <c r="BG859" s="65"/>
      <c r="BH859" s="65"/>
      <c r="BI859" s="65"/>
      <c r="BJ859" s="65"/>
      <c r="BK859" s="65"/>
      <c r="BL859" s="65"/>
      <c r="BM859" s="65"/>
      <c r="BN859" s="65"/>
      <c r="BO859" s="65"/>
      <c r="BP859" s="65"/>
      <c r="BQ859" s="65"/>
      <c r="BR859" s="65"/>
      <c r="BS859" s="65"/>
    </row>
    <row r="860" spans="45:71" x14ac:dyDescent="0.25">
      <c r="AS860" s="53"/>
      <c r="AV860" s="379"/>
      <c r="AW860" s="379"/>
      <c r="AX860" s="65"/>
      <c r="AY860" s="65"/>
      <c r="AZ860" s="65"/>
      <c r="BA860" s="60"/>
      <c r="BB860" s="65"/>
      <c r="BC860" s="65"/>
      <c r="BD860" s="65"/>
      <c r="BE860" s="60"/>
      <c r="BG860" s="65"/>
      <c r="BH860" s="65"/>
      <c r="BI860" s="65"/>
      <c r="BJ860" s="65"/>
      <c r="BK860" s="65"/>
      <c r="BL860" s="65"/>
      <c r="BM860" s="65"/>
      <c r="BN860" s="65"/>
      <c r="BO860" s="65"/>
      <c r="BP860" s="65"/>
      <c r="BQ860" s="65"/>
      <c r="BR860" s="65"/>
      <c r="BS860" s="65"/>
    </row>
    <row r="861" spans="45:71" x14ac:dyDescent="0.25">
      <c r="AS861" s="53"/>
      <c r="AV861" s="379"/>
      <c r="AW861" s="379"/>
      <c r="AX861" s="65"/>
      <c r="AY861" s="65"/>
      <c r="AZ861" s="65"/>
      <c r="BA861" s="60"/>
      <c r="BB861" s="65"/>
      <c r="BC861" s="65"/>
      <c r="BD861" s="65"/>
      <c r="BE861" s="60"/>
      <c r="BG861" s="65"/>
      <c r="BH861" s="65"/>
      <c r="BI861" s="65"/>
      <c r="BJ861" s="65"/>
      <c r="BK861" s="65"/>
      <c r="BL861" s="65"/>
      <c r="BM861" s="65"/>
      <c r="BN861" s="65"/>
      <c r="BO861" s="65"/>
      <c r="BP861" s="65"/>
      <c r="BQ861" s="65"/>
      <c r="BR861" s="65"/>
      <c r="BS861" s="65"/>
    </row>
    <row r="862" spans="45:71" x14ac:dyDescent="0.25">
      <c r="AS862" s="53"/>
      <c r="AV862" s="379"/>
      <c r="AW862" s="379"/>
      <c r="AX862" s="65"/>
      <c r="AY862" s="65"/>
      <c r="AZ862" s="65"/>
      <c r="BA862" s="60"/>
      <c r="BB862" s="65"/>
      <c r="BC862" s="65"/>
      <c r="BD862" s="65"/>
      <c r="BE862" s="60"/>
      <c r="BG862" s="65"/>
      <c r="BH862" s="65"/>
      <c r="BI862" s="65"/>
      <c r="BJ862" s="65"/>
      <c r="BK862" s="65"/>
      <c r="BL862" s="65"/>
      <c r="BM862" s="65"/>
      <c r="BN862" s="65"/>
      <c r="BO862" s="65"/>
      <c r="BP862" s="65"/>
      <c r="BQ862" s="65"/>
      <c r="BR862" s="65"/>
      <c r="BS862" s="65"/>
    </row>
    <row r="863" spans="45:71" x14ac:dyDescent="0.25">
      <c r="AS863" s="53"/>
      <c r="AV863" s="379"/>
      <c r="AW863" s="379"/>
      <c r="AX863" s="65"/>
      <c r="AY863" s="65"/>
      <c r="AZ863" s="65"/>
      <c r="BA863" s="60"/>
      <c r="BB863" s="65"/>
      <c r="BC863" s="65"/>
      <c r="BD863" s="65"/>
      <c r="BE863" s="60"/>
      <c r="BG863" s="65"/>
      <c r="BH863" s="65"/>
      <c r="BI863" s="65"/>
      <c r="BJ863" s="65"/>
      <c r="BK863" s="65"/>
      <c r="BL863" s="65"/>
      <c r="BM863" s="65"/>
      <c r="BN863" s="65"/>
      <c r="BO863" s="65"/>
      <c r="BP863" s="65"/>
      <c r="BQ863" s="65"/>
      <c r="BR863" s="65"/>
      <c r="BS863" s="65"/>
    </row>
    <row r="864" spans="45:71" x14ac:dyDescent="0.25">
      <c r="AZ864" s="65"/>
      <c r="BB864" s="65"/>
      <c r="BC864" s="65"/>
      <c r="BD864" s="65"/>
      <c r="BG864" s="65"/>
      <c r="BH864" s="65"/>
      <c r="BI864" s="65"/>
      <c r="BJ864" s="65"/>
      <c r="BK864" s="65"/>
      <c r="BL864" s="65"/>
      <c r="BM864" s="65"/>
      <c r="BN864" s="65"/>
      <c r="BO864" s="65"/>
      <c r="BP864" s="65"/>
      <c r="BQ864" s="65"/>
      <c r="BR864" s="65"/>
      <c r="BS864" s="65"/>
    </row>
    <row r="865" spans="45:57" x14ac:dyDescent="0.25">
      <c r="AS865" s="53"/>
      <c r="AT865" s="54"/>
      <c r="AV865" s="379"/>
      <c r="AW865" s="379"/>
      <c r="AX865" s="65"/>
      <c r="AY865" s="65"/>
      <c r="AZ865" s="65"/>
      <c r="BA865" s="60"/>
      <c r="BB865" s="65"/>
      <c r="BC865" s="65"/>
      <c r="BD865" s="65"/>
      <c r="BE865" s="60"/>
    </row>
    <row r="866" spans="45:57" x14ac:dyDescent="0.25">
      <c r="AS866" s="53"/>
      <c r="AV866" s="379"/>
      <c r="AW866" s="379"/>
      <c r="AX866" s="65"/>
      <c r="AY866" s="65"/>
      <c r="AZ866" s="65"/>
      <c r="BA866" s="60"/>
      <c r="BB866" s="65"/>
      <c r="BC866" s="65"/>
      <c r="BD866" s="65"/>
      <c r="BE866" s="60"/>
    </row>
    <row r="867" spans="45:57" x14ac:dyDescent="0.25">
      <c r="AS867" s="53"/>
      <c r="AV867" s="379"/>
      <c r="AW867" s="379"/>
      <c r="AX867" s="65"/>
      <c r="AY867" s="65"/>
      <c r="AZ867" s="65"/>
      <c r="BA867" s="60"/>
      <c r="BB867" s="65"/>
      <c r="BC867" s="65"/>
      <c r="BD867" s="65"/>
      <c r="BE867" s="60"/>
    </row>
    <row r="868" spans="45:57" x14ac:dyDescent="0.25">
      <c r="AS868" s="53"/>
      <c r="AV868" s="379"/>
      <c r="AW868" s="379"/>
      <c r="AX868" s="65"/>
      <c r="AY868" s="65"/>
      <c r="AZ868" s="65"/>
      <c r="BA868" s="60"/>
      <c r="BB868" s="65"/>
      <c r="BC868" s="65"/>
      <c r="BD868" s="65"/>
      <c r="BE868" s="60"/>
    </row>
    <row r="869" spans="45:57" x14ac:dyDescent="0.25">
      <c r="AS869" s="53"/>
      <c r="AV869" s="379"/>
      <c r="AW869" s="379"/>
      <c r="AX869" s="65"/>
      <c r="AY869" s="65"/>
      <c r="AZ869" s="65"/>
      <c r="BA869" s="60"/>
      <c r="BB869" s="65"/>
      <c r="BC869" s="65"/>
      <c r="BD869" s="65"/>
      <c r="BE869" s="60"/>
    </row>
    <row r="870" spans="45:57" x14ac:dyDescent="0.25">
      <c r="AS870" s="53"/>
      <c r="AV870" s="379"/>
      <c r="AW870" s="379"/>
      <c r="AX870" s="65"/>
      <c r="AY870" s="65"/>
      <c r="AZ870" s="65"/>
      <c r="BA870" s="60"/>
      <c r="BB870" s="65"/>
      <c r="BC870" s="65"/>
      <c r="BD870" s="65"/>
      <c r="BE870" s="60"/>
    </row>
    <row r="871" spans="45:57" x14ac:dyDescent="0.25">
      <c r="AS871" s="53"/>
      <c r="AV871" s="379"/>
      <c r="AW871" s="379"/>
      <c r="AX871" s="65"/>
      <c r="AY871" s="65"/>
      <c r="AZ871" s="65"/>
      <c r="BA871" s="60"/>
      <c r="BB871" s="65"/>
      <c r="BC871" s="65"/>
      <c r="BD871" s="65"/>
      <c r="BE871" s="60"/>
    </row>
    <row r="872" spans="45:57" x14ac:dyDescent="0.25">
      <c r="AS872" s="53"/>
      <c r="AV872" s="379"/>
      <c r="AW872" s="379"/>
      <c r="AX872" s="65"/>
      <c r="AY872" s="65"/>
      <c r="AZ872" s="65"/>
      <c r="BA872" s="60"/>
      <c r="BB872" s="65"/>
      <c r="BC872" s="65"/>
      <c r="BD872" s="65"/>
      <c r="BE872" s="60"/>
    </row>
    <row r="873" spans="45:57" x14ac:dyDescent="0.25">
      <c r="AS873" s="53"/>
      <c r="AV873" s="379"/>
      <c r="AW873" s="379"/>
      <c r="AX873" s="65"/>
      <c r="AY873" s="65"/>
      <c r="AZ873" s="65"/>
      <c r="BA873" s="60"/>
      <c r="BB873" s="65"/>
      <c r="BC873" s="65"/>
      <c r="BD873" s="65"/>
      <c r="BE873" s="60"/>
    </row>
    <row r="874" spans="45:57" x14ac:dyDescent="0.25">
      <c r="AS874" s="53"/>
      <c r="AV874" s="379"/>
      <c r="AW874" s="379"/>
      <c r="AX874" s="65"/>
      <c r="AY874" s="65"/>
      <c r="AZ874" s="65"/>
      <c r="BA874" s="60"/>
      <c r="BB874" s="65"/>
      <c r="BC874" s="65"/>
      <c r="BD874" s="65"/>
      <c r="BE874" s="60"/>
    </row>
    <row r="875" spans="45:57" x14ac:dyDescent="0.25">
      <c r="AS875" s="53"/>
      <c r="AV875" s="379"/>
      <c r="AW875" s="379"/>
      <c r="AX875" s="65"/>
      <c r="AY875" s="65"/>
      <c r="AZ875" s="65"/>
      <c r="BA875" s="60"/>
      <c r="BB875" s="65"/>
      <c r="BC875" s="65"/>
      <c r="BD875" s="65"/>
      <c r="BE875" s="60"/>
    </row>
    <row r="876" spans="45:57" x14ac:dyDescent="0.25">
      <c r="AS876" s="53"/>
      <c r="AV876" s="379"/>
      <c r="AW876" s="379"/>
      <c r="AX876" s="65"/>
      <c r="AY876" s="65"/>
      <c r="AZ876" s="65"/>
      <c r="BA876" s="60"/>
      <c r="BB876" s="65"/>
      <c r="BC876" s="65"/>
      <c r="BD876" s="65"/>
      <c r="BE876" s="60"/>
    </row>
    <row r="877" spans="45:57" x14ac:dyDescent="0.25">
      <c r="AS877" s="53"/>
      <c r="AV877" s="379"/>
      <c r="AW877" s="379"/>
      <c r="AX877" s="65"/>
      <c r="AY877" s="65"/>
      <c r="AZ877" s="65"/>
      <c r="BA877" s="60"/>
      <c r="BB877" s="65"/>
      <c r="BC877" s="65"/>
      <c r="BD877" s="65"/>
      <c r="BE877" s="60"/>
    </row>
    <row r="878" spans="45:57" x14ac:dyDescent="0.25">
      <c r="AS878" s="53"/>
      <c r="AV878" s="379"/>
      <c r="AW878" s="379"/>
      <c r="AX878" s="65"/>
      <c r="AY878" s="65"/>
      <c r="AZ878" s="65"/>
      <c r="BA878" s="60"/>
      <c r="BB878" s="65"/>
      <c r="BC878" s="65"/>
      <c r="BD878" s="65"/>
      <c r="BE878" s="60"/>
    </row>
    <row r="879" spans="45:57" x14ac:dyDescent="0.25">
      <c r="AS879" s="53"/>
      <c r="AV879" s="379"/>
      <c r="AW879" s="379"/>
      <c r="AX879" s="65"/>
      <c r="AY879" s="65"/>
      <c r="AZ879" s="65"/>
      <c r="BA879" s="60"/>
      <c r="BB879" s="65"/>
      <c r="BC879" s="65"/>
      <c r="BD879" s="65"/>
      <c r="BE879" s="60"/>
    </row>
    <row r="880" spans="45:57" x14ac:dyDescent="0.25">
      <c r="AS880" s="53"/>
      <c r="AV880" s="379"/>
      <c r="AW880" s="379"/>
      <c r="AX880" s="65"/>
      <c r="AY880" s="65"/>
      <c r="AZ880" s="65"/>
      <c r="BA880" s="60"/>
      <c r="BB880" s="65"/>
      <c r="BC880" s="65"/>
      <c r="BD880" s="65"/>
      <c r="BE880" s="60"/>
    </row>
    <row r="881" spans="45:57" x14ac:dyDescent="0.25">
      <c r="AS881" s="53"/>
      <c r="AV881" s="379"/>
      <c r="AW881" s="379"/>
      <c r="AX881" s="65"/>
      <c r="AY881" s="65"/>
      <c r="AZ881" s="65"/>
      <c r="BA881" s="60"/>
      <c r="BB881" s="65"/>
      <c r="BC881" s="65"/>
      <c r="BD881" s="65"/>
      <c r="BE881" s="60"/>
    </row>
    <row r="882" spans="45:57" x14ac:dyDescent="0.25">
      <c r="AS882" s="53"/>
      <c r="AV882" s="379"/>
      <c r="AW882" s="379"/>
      <c r="AX882" s="65"/>
      <c r="AY882" s="65"/>
      <c r="AZ882" s="65"/>
      <c r="BA882" s="60"/>
      <c r="BB882" s="65"/>
      <c r="BC882" s="65"/>
      <c r="BD882" s="65"/>
      <c r="BE882" s="60"/>
    </row>
    <row r="883" spans="45:57" x14ac:dyDescent="0.25">
      <c r="BB883" s="65"/>
    </row>
    <row r="884" spans="45:57" x14ac:dyDescent="0.25">
      <c r="AU884" s="54"/>
      <c r="BB884" s="65"/>
    </row>
    <row r="885" spans="45:57" x14ac:dyDescent="0.25">
      <c r="AU885" s="54"/>
    </row>
    <row r="886" spans="45:57" x14ac:dyDescent="0.25">
      <c r="AU886" s="54"/>
      <c r="BB886" s="65"/>
    </row>
    <row r="887" spans="45:57" x14ac:dyDescent="0.25">
      <c r="AS887" s="54"/>
      <c r="AZ887" s="65"/>
      <c r="BB887" s="65"/>
    </row>
    <row r="888" spans="45:57" x14ac:dyDescent="0.25">
      <c r="AY888" s="53"/>
      <c r="AZ888" s="65"/>
      <c r="BB888" s="65"/>
    </row>
    <row r="889" spans="45:57" x14ac:dyDescent="0.25">
      <c r="AY889" s="65"/>
      <c r="AZ889" s="65"/>
      <c r="BB889" s="65"/>
    </row>
    <row r="890" spans="45:57" x14ac:dyDescent="0.25">
      <c r="AY890" s="54"/>
      <c r="AZ890" s="65"/>
      <c r="BB890" s="65"/>
    </row>
    <row r="891" spans="45:57" x14ac:dyDescent="0.25">
      <c r="AY891" s="54"/>
      <c r="AZ891" s="65"/>
      <c r="BB891" s="65"/>
    </row>
    <row r="892" spans="45:57" x14ac:dyDescent="0.25">
      <c r="AS892" s="53"/>
      <c r="AZ892" s="65"/>
      <c r="BB892" s="65"/>
      <c r="BD892" s="54"/>
    </row>
    <row r="893" spans="45:57" x14ac:dyDescent="0.25">
      <c r="AS893" s="53"/>
      <c r="AZ893" s="65"/>
      <c r="BB893" s="65"/>
      <c r="BD893" s="54"/>
    </row>
    <row r="894" spans="45:57" x14ac:dyDescent="0.25">
      <c r="AS894" s="54"/>
      <c r="AZ894" s="65"/>
      <c r="BB894" s="65"/>
      <c r="BD894" s="54"/>
    </row>
    <row r="895" spans="45:57" x14ac:dyDescent="0.25">
      <c r="AZ895" s="65"/>
      <c r="BB895" s="65"/>
      <c r="BD895" s="53"/>
    </row>
    <row r="896" spans="45:57" x14ac:dyDescent="0.25">
      <c r="AS896" s="55"/>
      <c r="AT896" s="55"/>
      <c r="AU896" s="55"/>
      <c r="AV896" s="55"/>
      <c r="AW896" s="55"/>
      <c r="AX896" s="55"/>
      <c r="AY896" s="55"/>
      <c r="AZ896" s="66"/>
      <c r="BA896" s="55"/>
      <c r="BB896" s="66"/>
      <c r="BC896" s="55"/>
      <c r="BD896" s="55"/>
      <c r="BE896" s="55"/>
    </row>
    <row r="897" spans="45:57" x14ac:dyDescent="0.25">
      <c r="AX897" s="54"/>
      <c r="AZ897" s="65"/>
      <c r="BB897" s="65"/>
    </row>
    <row r="898" spans="45:57" x14ac:dyDescent="0.25">
      <c r="AX898" s="55"/>
      <c r="AY898" s="55"/>
      <c r="AZ898" s="66"/>
      <c r="BA898" s="55"/>
      <c r="BB898" s="65"/>
      <c r="BC898" s="56"/>
      <c r="BD898" s="56"/>
    </row>
    <row r="899" spans="45:57" x14ac:dyDescent="0.25">
      <c r="AV899" s="56"/>
      <c r="AW899" s="56"/>
      <c r="AZ899" s="67"/>
      <c r="BA899" s="56"/>
      <c r="BB899" s="65"/>
      <c r="BC899" s="56"/>
      <c r="BD899" s="56"/>
      <c r="BE899" s="56"/>
    </row>
    <row r="900" spans="45:57" x14ac:dyDescent="0.25">
      <c r="AV900" s="56"/>
      <c r="AW900" s="56"/>
      <c r="AX900" s="56"/>
      <c r="AY900" s="56"/>
      <c r="AZ900" s="67"/>
      <c r="BA900" s="56"/>
      <c r="BB900" s="67"/>
      <c r="BC900" s="56"/>
      <c r="BD900" s="56"/>
      <c r="BE900" s="56"/>
    </row>
    <row r="901" spans="45:57" x14ac:dyDescent="0.25">
      <c r="AS901" s="56"/>
      <c r="AU901" s="54"/>
      <c r="AV901" s="56"/>
      <c r="AW901" s="56"/>
      <c r="AX901" s="56"/>
      <c r="AY901" s="56"/>
      <c r="AZ901" s="67"/>
      <c r="BA901" s="56"/>
      <c r="BB901" s="67"/>
      <c r="BC901" s="56"/>
      <c r="BD901" s="56"/>
      <c r="BE901" s="56"/>
    </row>
    <row r="902" spans="45:57" x14ac:dyDescent="0.25">
      <c r="AS902" s="56"/>
      <c r="AU902" s="54"/>
      <c r="AV902" s="56"/>
      <c r="AW902" s="56"/>
      <c r="AX902" s="56"/>
      <c r="AY902" s="56"/>
      <c r="AZ902" s="67"/>
      <c r="BA902" s="56"/>
      <c r="BB902" s="67"/>
      <c r="BC902" s="56"/>
      <c r="BD902" s="56"/>
      <c r="BE902" s="56"/>
    </row>
    <row r="903" spans="45:57" x14ac:dyDescent="0.25">
      <c r="AS903" s="55"/>
      <c r="AT903" s="55"/>
      <c r="AU903" s="55"/>
      <c r="AV903" s="55"/>
      <c r="AW903" s="55"/>
      <c r="AX903" s="55"/>
      <c r="AY903" s="55"/>
      <c r="AZ903" s="66"/>
      <c r="BA903" s="55"/>
      <c r="BB903" s="66"/>
      <c r="BC903" s="55"/>
      <c r="BD903" s="55"/>
      <c r="BE903" s="55"/>
    </row>
    <row r="904" spans="45:57" x14ac:dyDescent="0.25">
      <c r="AV904" s="56"/>
      <c r="AW904" s="56"/>
      <c r="AX904" s="56"/>
      <c r="AY904" s="56"/>
      <c r="AZ904" s="67"/>
      <c r="BA904" s="56"/>
      <c r="BB904" s="67"/>
      <c r="BC904" s="56"/>
      <c r="BD904" s="56"/>
      <c r="BE904" s="56"/>
    </row>
    <row r="905" spans="45:57" x14ac:dyDescent="0.25">
      <c r="AS905" s="53"/>
      <c r="AT905" s="54"/>
      <c r="AV905" s="379"/>
      <c r="AW905" s="379"/>
      <c r="AX905" s="65"/>
      <c r="AY905" s="65"/>
      <c r="AZ905" s="65"/>
      <c r="BA905" s="60"/>
      <c r="BB905" s="65"/>
      <c r="BC905" s="65"/>
      <c r="BD905" s="65"/>
      <c r="BE905" s="60"/>
    </row>
    <row r="906" spans="45:57" x14ac:dyDescent="0.25">
      <c r="AS906" s="53"/>
      <c r="AV906" s="379"/>
      <c r="AW906" s="379"/>
      <c r="AX906" s="65"/>
      <c r="AY906" s="65"/>
      <c r="AZ906" s="65"/>
      <c r="BA906" s="60"/>
      <c r="BB906" s="65"/>
      <c r="BC906" s="65"/>
      <c r="BD906" s="65"/>
      <c r="BE906" s="60"/>
    </row>
    <row r="907" spans="45:57" x14ac:dyDescent="0.25">
      <c r="AS907" s="53"/>
      <c r="AV907" s="379"/>
      <c r="AW907" s="379"/>
      <c r="AX907" s="65"/>
      <c r="AY907" s="65"/>
      <c r="AZ907" s="65"/>
      <c r="BA907" s="60"/>
      <c r="BB907" s="65"/>
      <c r="BC907" s="65"/>
      <c r="BD907" s="65"/>
      <c r="BE907" s="60"/>
    </row>
    <row r="908" spans="45:57" x14ac:dyDescent="0.25">
      <c r="AS908" s="53"/>
      <c r="AV908" s="379"/>
      <c r="AW908" s="379"/>
      <c r="AX908" s="65"/>
      <c r="AY908" s="65"/>
      <c r="AZ908" s="65"/>
      <c r="BA908" s="60"/>
      <c r="BB908" s="65"/>
      <c r="BC908" s="65"/>
      <c r="BD908" s="65"/>
      <c r="BE908" s="60"/>
    </row>
    <row r="909" spans="45:57" x14ac:dyDescent="0.25">
      <c r="AS909" s="53"/>
      <c r="AV909" s="379"/>
      <c r="AW909" s="379"/>
      <c r="AX909" s="65"/>
      <c r="AY909" s="65"/>
      <c r="AZ909" s="65"/>
      <c r="BA909" s="60"/>
      <c r="BB909" s="65"/>
      <c r="BC909" s="65"/>
      <c r="BD909" s="65"/>
      <c r="BE909" s="60"/>
    </row>
    <row r="910" spans="45:57" x14ac:dyDescent="0.25">
      <c r="AS910" s="53"/>
      <c r="AV910" s="379"/>
      <c r="AW910" s="379"/>
      <c r="AX910" s="65"/>
      <c r="AY910" s="65"/>
      <c r="AZ910" s="65"/>
      <c r="BA910" s="60"/>
      <c r="BB910" s="65"/>
      <c r="BC910" s="65"/>
      <c r="BD910" s="65"/>
      <c r="BE910" s="60"/>
    </row>
    <row r="911" spans="45:57" x14ac:dyDescent="0.25">
      <c r="AS911" s="53"/>
      <c r="AV911" s="379"/>
      <c r="AW911" s="379"/>
      <c r="AX911" s="65"/>
      <c r="AY911" s="65"/>
      <c r="AZ911" s="65"/>
      <c r="BA911" s="60"/>
      <c r="BB911" s="65"/>
      <c r="BC911" s="65"/>
      <c r="BD911" s="65"/>
      <c r="BE911" s="60"/>
    </row>
    <row r="912" spans="45:57" x14ac:dyDescent="0.25">
      <c r="AS912" s="53"/>
      <c r="AV912" s="379"/>
      <c r="AW912" s="379"/>
      <c r="AX912" s="65"/>
      <c r="AY912" s="65"/>
      <c r="AZ912" s="65"/>
      <c r="BA912" s="60"/>
      <c r="BB912" s="65"/>
      <c r="BC912" s="65"/>
      <c r="BD912" s="65"/>
      <c r="BE912" s="60"/>
    </row>
    <row r="913" spans="45:57" x14ac:dyDescent="0.25">
      <c r="AS913" s="53"/>
      <c r="AV913" s="379"/>
      <c r="AW913" s="379"/>
      <c r="AX913" s="65"/>
      <c r="AY913" s="65"/>
      <c r="AZ913" s="65"/>
      <c r="BA913" s="60"/>
      <c r="BB913" s="65"/>
      <c r="BC913" s="65"/>
      <c r="BD913" s="65"/>
      <c r="BE913" s="60"/>
    </row>
    <row r="914" spans="45:57" x14ac:dyDescent="0.25">
      <c r="AS914" s="53"/>
      <c r="AV914" s="379"/>
      <c r="AW914" s="379"/>
      <c r="AX914" s="65"/>
      <c r="AY914" s="65"/>
      <c r="AZ914" s="65"/>
      <c r="BA914" s="60"/>
      <c r="BB914" s="65"/>
      <c r="BC914" s="65"/>
      <c r="BD914" s="65"/>
      <c r="BE914" s="60"/>
    </row>
    <row r="915" spans="45:57" x14ac:dyDescent="0.25">
      <c r="AV915" s="379"/>
      <c r="AW915" s="379"/>
      <c r="BB915" s="65"/>
    </row>
    <row r="916" spans="45:57" x14ac:dyDescent="0.25">
      <c r="AS916" s="53"/>
      <c r="AT916" s="54"/>
      <c r="AV916" s="379"/>
      <c r="AW916" s="379"/>
      <c r="AX916" s="65"/>
      <c r="AY916" s="65"/>
      <c r="AZ916" s="65"/>
      <c r="BA916" s="60"/>
      <c r="BB916" s="65"/>
      <c r="BC916" s="65"/>
      <c r="BD916" s="65"/>
      <c r="BE916" s="60"/>
    </row>
    <row r="917" spans="45:57" x14ac:dyDescent="0.25">
      <c r="AS917" s="53"/>
      <c r="AV917" s="379"/>
      <c r="AW917" s="379"/>
      <c r="AX917" s="65"/>
      <c r="AY917" s="65"/>
      <c r="AZ917" s="65"/>
      <c r="BA917" s="60"/>
      <c r="BB917" s="65"/>
      <c r="BC917" s="65"/>
      <c r="BD917" s="65"/>
      <c r="BE917" s="60"/>
    </row>
    <row r="918" spans="45:57" x14ac:dyDescent="0.25">
      <c r="AS918" s="53"/>
      <c r="AV918" s="379"/>
      <c r="AW918" s="379"/>
      <c r="AX918" s="65"/>
      <c r="AY918" s="65"/>
      <c r="AZ918" s="65"/>
      <c r="BA918" s="60"/>
      <c r="BB918" s="65"/>
      <c r="BC918" s="65"/>
      <c r="BD918" s="65"/>
      <c r="BE918" s="60"/>
    </row>
    <row r="919" spans="45:57" x14ac:dyDescent="0.25">
      <c r="AS919" s="53"/>
      <c r="AV919" s="379"/>
      <c r="AW919" s="379"/>
      <c r="AX919" s="65"/>
      <c r="AY919" s="65"/>
      <c r="AZ919" s="65"/>
      <c r="BA919" s="60"/>
      <c r="BB919" s="65"/>
      <c r="BC919" s="65"/>
      <c r="BD919" s="65"/>
      <c r="BE919" s="60"/>
    </row>
    <row r="920" spans="45:57" x14ac:dyDescent="0.25">
      <c r="AS920" s="53"/>
      <c r="AV920" s="379"/>
      <c r="AW920" s="379"/>
      <c r="AX920" s="65"/>
      <c r="AY920" s="65"/>
      <c r="AZ920" s="65"/>
      <c r="BA920" s="60"/>
      <c r="BB920" s="65"/>
      <c r="BC920" s="65"/>
      <c r="BD920" s="65"/>
      <c r="BE920" s="60"/>
    </row>
    <row r="921" spans="45:57" x14ac:dyDescent="0.25">
      <c r="AS921" s="53"/>
      <c r="AV921" s="379"/>
      <c r="AW921" s="379"/>
      <c r="AX921" s="65"/>
      <c r="AY921" s="65"/>
      <c r="AZ921" s="65"/>
      <c r="BA921" s="60"/>
      <c r="BB921" s="65"/>
      <c r="BC921" s="65"/>
      <c r="BD921" s="65"/>
      <c r="BE921" s="60"/>
    </row>
    <row r="922" spans="45:57" x14ac:dyDescent="0.25">
      <c r="AS922" s="53"/>
      <c r="AV922" s="379"/>
      <c r="AW922" s="379"/>
      <c r="AX922" s="65"/>
      <c r="AY922" s="65"/>
      <c r="AZ922" s="65"/>
      <c r="BA922" s="60"/>
      <c r="BB922" s="65"/>
      <c r="BC922" s="65"/>
      <c r="BD922" s="65"/>
      <c r="BE922" s="60"/>
    </row>
    <row r="923" spans="45:57" x14ac:dyDescent="0.25">
      <c r="AS923" s="53"/>
      <c r="AV923" s="379"/>
      <c r="AW923" s="379"/>
      <c r="AX923" s="65"/>
      <c r="AY923" s="65"/>
      <c r="AZ923" s="65"/>
      <c r="BA923" s="60"/>
      <c r="BB923" s="65"/>
      <c r="BC923" s="65"/>
      <c r="BD923" s="65"/>
      <c r="BE923" s="60"/>
    </row>
    <row r="924" spans="45:57" x14ac:dyDescent="0.25">
      <c r="AS924" s="53"/>
      <c r="AV924" s="379"/>
      <c r="AW924" s="379"/>
      <c r="AX924" s="65"/>
      <c r="AY924" s="65"/>
      <c r="AZ924" s="65"/>
      <c r="BA924" s="60"/>
      <c r="BB924" s="65"/>
      <c r="BC924" s="65"/>
      <c r="BD924" s="65"/>
      <c r="BE924" s="60"/>
    </row>
    <row r="925" spans="45:57" x14ac:dyDescent="0.25">
      <c r="AS925" s="53"/>
      <c r="AV925" s="379"/>
      <c r="AW925" s="379"/>
      <c r="AX925" s="65"/>
      <c r="AY925" s="65"/>
      <c r="AZ925" s="65"/>
      <c r="BA925" s="60"/>
      <c r="BB925" s="65"/>
      <c r="BC925" s="65"/>
      <c r="BD925" s="65"/>
      <c r="BE925" s="60"/>
    </row>
    <row r="927" spans="45:57" x14ac:dyDescent="0.25">
      <c r="AU927" s="54"/>
    </row>
    <row r="928" spans="45:57" x14ac:dyDescent="0.25">
      <c r="AU928" s="54"/>
    </row>
    <row r="929" spans="45:47" x14ac:dyDescent="0.25">
      <c r="AU929" s="54"/>
    </row>
    <row r="930" spans="45:47" x14ac:dyDescent="0.25">
      <c r="AS930" s="54"/>
    </row>
    <row r="951" spans="52:71" x14ac:dyDescent="0.25">
      <c r="AZ951" s="65"/>
      <c r="BB951" s="65"/>
      <c r="BC951" s="65"/>
      <c r="BD951" s="65"/>
      <c r="BG951" s="65"/>
      <c r="BH951" s="65"/>
      <c r="BI951" s="65"/>
      <c r="BJ951" s="65"/>
      <c r="BK951" s="65"/>
      <c r="BL951" s="65"/>
      <c r="BM951" s="65"/>
      <c r="BN951" s="65"/>
      <c r="BO951" s="65"/>
      <c r="BP951" s="65"/>
      <c r="BQ951" s="65"/>
      <c r="BR951" s="65"/>
      <c r="BS951" s="65"/>
    </row>
    <row r="952" spans="52:71" x14ac:dyDescent="0.25">
      <c r="AZ952" s="65"/>
      <c r="BB952" s="65"/>
      <c r="BC952" s="65"/>
      <c r="BD952" s="65"/>
      <c r="BG952" s="65"/>
      <c r="BH952" s="65"/>
      <c r="BI952" s="65"/>
      <c r="BJ952" s="65"/>
      <c r="BK952" s="65"/>
      <c r="BL952" s="65"/>
      <c r="BM952" s="65"/>
      <c r="BN952" s="65"/>
      <c r="BO952" s="65"/>
      <c r="BP952" s="65"/>
      <c r="BQ952" s="65"/>
      <c r="BR952" s="65"/>
      <c r="BS952" s="65"/>
    </row>
    <row r="953" spans="52:71" x14ac:dyDescent="0.25">
      <c r="AZ953" s="65"/>
      <c r="BB953" s="65"/>
      <c r="BC953" s="65"/>
      <c r="BD953" s="65"/>
      <c r="BG953" s="65"/>
      <c r="BH953" s="65"/>
      <c r="BI953" s="65"/>
      <c r="BJ953" s="65"/>
      <c r="BK953" s="65"/>
      <c r="BL953" s="65"/>
      <c r="BM953" s="65"/>
      <c r="BN953" s="65"/>
      <c r="BO953" s="65"/>
      <c r="BP953" s="65"/>
      <c r="BQ953" s="65"/>
      <c r="BR953" s="65"/>
      <c r="BS953" s="65"/>
    </row>
    <row r="954" spans="52:71" x14ac:dyDescent="0.25">
      <c r="AZ954" s="65"/>
      <c r="BB954" s="65"/>
      <c r="BC954" s="65"/>
      <c r="BD954" s="65"/>
      <c r="BG954" s="65"/>
      <c r="BH954" s="65"/>
      <c r="BI954" s="65"/>
      <c r="BJ954" s="65"/>
      <c r="BK954" s="65"/>
      <c r="BL954" s="65"/>
      <c r="BM954" s="65"/>
      <c r="BN954" s="65"/>
      <c r="BO954" s="65"/>
      <c r="BP954" s="65"/>
      <c r="BQ954" s="65"/>
      <c r="BR954" s="65"/>
      <c r="BS954" s="65"/>
    </row>
    <row r="955" spans="52:71" x14ac:dyDescent="0.25">
      <c r="AZ955" s="65"/>
      <c r="BB955" s="65"/>
      <c r="BC955" s="65"/>
      <c r="BD955" s="65"/>
      <c r="BG955" s="65"/>
      <c r="BH955" s="65"/>
      <c r="BI955" s="65"/>
      <c r="BJ955" s="65"/>
      <c r="BK955" s="65"/>
      <c r="BL955" s="65"/>
      <c r="BM955" s="65"/>
      <c r="BN955" s="65"/>
      <c r="BO955" s="65"/>
      <c r="BP955" s="65"/>
      <c r="BQ955" s="65"/>
      <c r="BR955" s="65"/>
      <c r="BS955" s="65"/>
    </row>
    <row r="956" spans="52:71" x14ac:dyDescent="0.25">
      <c r="AZ956" s="65"/>
      <c r="BB956" s="65"/>
      <c r="BC956" s="65"/>
      <c r="BD956" s="65"/>
      <c r="BG956" s="65"/>
      <c r="BH956" s="65"/>
      <c r="BI956" s="65"/>
      <c r="BJ956" s="65"/>
      <c r="BK956" s="65"/>
      <c r="BL956" s="65"/>
      <c r="BM956" s="65"/>
      <c r="BN956" s="65"/>
      <c r="BO956" s="65"/>
      <c r="BP956" s="65"/>
      <c r="BQ956" s="65"/>
      <c r="BR956" s="65"/>
      <c r="BS956" s="65"/>
    </row>
    <row r="957" spans="52:71" x14ac:dyDescent="0.25">
      <c r="AZ957" s="65"/>
      <c r="BB957" s="65"/>
      <c r="BC957" s="65"/>
      <c r="BD957" s="65"/>
      <c r="BG957" s="65"/>
      <c r="BH957" s="65"/>
      <c r="BI957" s="65"/>
      <c r="BJ957" s="65"/>
      <c r="BK957" s="65"/>
      <c r="BL957" s="65"/>
      <c r="BM957" s="65"/>
      <c r="BN957" s="65"/>
      <c r="BO957" s="65"/>
      <c r="BP957" s="65"/>
      <c r="BQ957" s="65"/>
      <c r="BR957" s="65"/>
      <c r="BS957" s="65"/>
    </row>
    <row r="958" spans="52:71" x14ac:dyDescent="0.25">
      <c r="AZ958" s="65"/>
      <c r="BB958" s="65"/>
      <c r="BC958" s="65"/>
      <c r="BD958" s="65"/>
      <c r="BG958" s="65"/>
      <c r="BH958" s="65"/>
      <c r="BI958" s="65"/>
      <c r="BJ958" s="65"/>
      <c r="BK958" s="65"/>
      <c r="BL958" s="65"/>
      <c r="BM958" s="65"/>
      <c r="BN958" s="65"/>
      <c r="BO958" s="65"/>
      <c r="BP958" s="65"/>
      <c r="BQ958" s="65"/>
      <c r="BR958" s="65"/>
      <c r="BS958" s="65"/>
    </row>
    <row r="959" spans="52:71" x14ac:dyDescent="0.25">
      <c r="AZ959" s="65"/>
      <c r="BB959" s="65"/>
      <c r="BC959" s="65"/>
      <c r="BD959" s="65"/>
      <c r="BG959" s="65"/>
      <c r="BH959" s="65"/>
      <c r="BI959" s="65"/>
      <c r="BJ959" s="65"/>
      <c r="BK959" s="65"/>
      <c r="BL959" s="65"/>
      <c r="BM959" s="65"/>
      <c r="BN959" s="65"/>
      <c r="BO959" s="65"/>
      <c r="BP959" s="65"/>
      <c r="BQ959" s="65"/>
      <c r="BR959" s="65"/>
      <c r="BS959" s="65"/>
    </row>
    <row r="960" spans="52:71" x14ac:dyDescent="0.25">
      <c r="AZ960" s="65"/>
      <c r="BB960" s="65"/>
      <c r="BC960" s="65"/>
      <c r="BD960" s="65"/>
      <c r="BG960" s="65"/>
      <c r="BH960" s="65"/>
      <c r="BI960" s="65"/>
      <c r="BJ960" s="65"/>
      <c r="BK960" s="65"/>
      <c r="BL960" s="65"/>
      <c r="BM960" s="65"/>
      <c r="BN960" s="65"/>
      <c r="BO960" s="65"/>
      <c r="BP960" s="65"/>
      <c r="BQ960" s="65"/>
      <c r="BR960" s="65"/>
      <c r="BS960" s="65"/>
    </row>
    <row r="961" spans="52:71" x14ac:dyDescent="0.25">
      <c r="AZ961" s="65"/>
      <c r="BB961" s="65"/>
      <c r="BC961" s="65"/>
      <c r="BD961" s="65"/>
      <c r="BG961" s="65"/>
      <c r="BH961" s="65"/>
      <c r="BI961" s="65"/>
      <c r="BJ961" s="65"/>
      <c r="BK961" s="65"/>
      <c r="BL961" s="65"/>
      <c r="BM961" s="65"/>
      <c r="BN961" s="65"/>
      <c r="BO961" s="65"/>
      <c r="BP961" s="65"/>
      <c r="BQ961" s="65"/>
      <c r="BR961" s="65"/>
      <c r="BS961" s="65"/>
    </row>
    <row r="962" spans="52:71" x14ac:dyDescent="0.25">
      <c r="AZ962" s="65"/>
      <c r="BB962" s="65"/>
      <c r="BC962" s="65"/>
      <c r="BD962" s="65"/>
      <c r="BG962" s="65"/>
      <c r="BH962" s="65"/>
      <c r="BI962" s="65"/>
      <c r="BJ962" s="65"/>
      <c r="BK962" s="65"/>
      <c r="BL962" s="65"/>
      <c r="BM962" s="65"/>
      <c r="BN962" s="65"/>
      <c r="BO962" s="65"/>
      <c r="BP962" s="65"/>
      <c r="BQ962" s="65"/>
      <c r="BR962" s="65"/>
      <c r="BS962" s="65"/>
    </row>
    <row r="963" spans="52:71" x14ac:dyDescent="0.25">
      <c r="AZ963" s="65"/>
      <c r="BG963" s="65"/>
      <c r="BH963" s="65"/>
      <c r="BI963" s="65"/>
      <c r="BJ963" s="65"/>
      <c r="BK963" s="65"/>
      <c r="BL963" s="65"/>
      <c r="BM963" s="65"/>
      <c r="BN963" s="65"/>
      <c r="BO963" s="65"/>
      <c r="BP963" s="65"/>
      <c r="BQ963" s="65"/>
      <c r="BR963" s="65"/>
      <c r="BS963" s="65"/>
    </row>
    <row r="964" spans="52:71" x14ac:dyDescent="0.25">
      <c r="AZ964" s="65"/>
      <c r="BG964" s="65"/>
      <c r="BH964" s="65"/>
      <c r="BI964" s="65"/>
      <c r="BJ964" s="65"/>
      <c r="BK964" s="65"/>
      <c r="BL964" s="65"/>
      <c r="BM964" s="65"/>
      <c r="BN964" s="65"/>
      <c r="BO964" s="65"/>
      <c r="BP964" s="65"/>
      <c r="BQ964" s="65"/>
      <c r="BR964" s="65"/>
      <c r="BS964" s="65"/>
    </row>
    <row r="965" spans="52:71" x14ac:dyDescent="0.25">
      <c r="AZ965" s="65"/>
      <c r="BG965" s="65"/>
      <c r="BH965" s="65"/>
      <c r="BI965" s="65"/>
      <c r="BJ965" s="65"/>
      <c r="BK965" s="65"/>
      <c r="BL965" s="65"/>
      <c r="BM965" s="65"/>
      <c r="BN965" s="65"/>
      <c r="BO965" s="65"/>
      <c r="BP965" s="65"/>
      <c r="BQ965" s="65"/>
      <c r="BR965" s="65"/>
      <c r="BS965" s="65"/>
    </row>
    <row r="966" spans="52:71" x14ac:dyDescent="0.25">
      <c r="AZ966" s="65"/>
      <c r="BG966" s="65"/>
      <c r="BH966" s="65"/>
      <c r="BI966" s="65"/>
      <c r="BJ966" s="65"/>
      <c r="BK966" s="65"/>
      <c r="BL966" s="65"/>
      <c r="BM966" s="65"/>
      <c r="BN966" s="65"/>
      <c r="BO966" s="65"/>
      <c r="BP966" s="65"/>
      <c r="BQ966" s="65"/>
      <c r="BR966" s="65"/>
      <c r="BS966" s="65"/>
    </row>
    <row r="967" spans="52:71" x14ac:dyDescent="0.25">
      <c r="AZ967" s="65"/>
      <c r="BG967" s="65"/>
      <c r="BH967" s="65"/>
      <c r="BI967" s="65"/>
      <c r="BJ967" s="65"/>
      <c r="BK967" s="65"/>
      <c r="BL967" s="65"/>
      <c r="BM967" s="65"/>
      <c r="BN967" s="65"/>
      <c r="BO967" s="65"/>
      <c r="BP967" s="65"/>
      <c r="BQ967" s="65"/>
      <c r="BR967" s="65"/>
      <c r="BS967" s="65"/>
    </row>
    <row r="968" spans="52:71" x14ac:dyDescent="0.25">
      <c r="AZ968" s="65"/>
      <c r="BG968" s="65"/>
      <c r="BH968" s="65"/>
      <c r="BI968" s="65"/>
      <c r="BJ968" s="65"/>
      <c r="BK968" s="65"/>
      <c r="BL968" s="65"/>
      <c r="BM968" s="65"/>
      <c r="BN968" s="65"/>
      <c r="BO968" s="65"/>
      <c r="BP968" s="65"/>
      <c r="BQ968" s="65"/>
      <c r="BR968" s="65"/>
      <c r="BS968" s="65"/>
    </row>
    <row r="969" spans="52:71" x14ac:dyDescent="0.25">
      <c r="AZ969" s="65"/>
      <c r="BG969" s="65"/>
      <c r="BH969" s="65"/>
      <c r="BI969" s="65"/>
      <c r="BJ969" s="65"/>
      <c r="BK969" s="65"/>
      <c r="BL969" s="65"/>
      <c r="BM969" s="65"/>
      <c r="BN969" s="65"/>
      <c r="BO969" s="65"/>
      <c r="BP969" s="65"/>
      <c r="BQ969" s="65"/>
      <c r="BR969" s="65"/>
      <c r="BS969" s="65"/>
    </row>
    <row r="970" spans="52:71" x14ac:dyDescent="0.25">
      <c r="AZ970" s="65"/>
    </row>
    <row r="971" spans="52:71" x14ac:dyDescent="0.25">
      <c r="AZ971" s="65"/>
    </row>
    <row r="985" spans="1:28" x14ac:dyDescent="0.25">
      <c r="A985" s="54"/>
    </row>
    <row r="988" spans="1:28" x14ac:dyDescent="0.25">
      <c r="Y988" s="54"/>
    </row>
    <row r="989" spans="1:28" x14ac:dyDescent="0.25">
      <c r="A989" s="54"/>
      <c r="H989" s="54"/>
      <c r="I989" s="54"/>
    </row>
    <row r="990" spans="1:28" x14ac:dyDescent="0.25">
      <c r="A990" s="54"/>
      <c r="V990" s="56"/>
      <c r="AA990" s="56"/>
      <c r="AB990" s="56"/>
    </row>
    <row r="991" spans="1:28" x14ac:dyDescent="0.25">
      <c r="A991" s="54"/>
      <c r="V991" s="55"/>
      <c r="AA991" s="55"/>
      <c r="AB991" s="55"/>
    </row>
    <row r="992" spans="1:28" x14ac:dyDescent="0.25">
      <c r="A992" s="54"/>
      <c r="U992" s="54"/>
      <c r="AA992" s="56"/>
      <c r="AB992" s="56"/>
    </row>
    <row r="993" spans="1:28" x14ac:dyDescent="0.25">
      <c r="A993" s="54"/>
    </row>
    <row r="994" spans="1:28" x14ac:dyDescent="0.25">
      <c r="A994" s="54"/>
      <c r="U994" s="54"/>
      <c r="AA994" s="56"/>
      <c r="AB994" s="56"/>
    </row>
    <row r="995" spans="1:28" x14ac:dyDescent="0.25">
      <c r="A995" s="54"/>
    </row>
    <row r="996" spans="1:28" x14ac:dyDescent="0.25">
      <c r="A996" s="54"/>
      <c r="U996" s="54"/>
      <c r="V996" s="480"/>
      <c r="AA996" s="56"/>
      <c r="AB996" s="56"/>
    </row>
    <row r="997" spans="1:28" x14ac:dyDescent="0.25">
      <c r="A997" s="54"/>
    </row>
    <row r="998" spans="1:28" x14ac:dyDescent="0.25">
      <c r="A998" s="54"/>
      <c r="U998" s="54"/>
      <c r="AA998" s="56"/>
      <c r="AB998" s="56"/>
    </row>
    <row r="999" spans="1:28" x14ac:dyDescent="0.25">
      <c r="A999" s="54"/>
    </row>
    <row r="1000" spans="1:28" x14ac:dyDescent="0.25">
      <c r="A1000" s="54"/>
      <c r="U1000" s="54"/>
      <c r="AA1000" s="56"/>
      <c r="AB1000" s="56"/>
    </row>
    <row r="1001" spans="1:28" x14ac:dyDescent="0.25">
      <c r="A1001" s="54"/>
    </row>
    <row r="1002" spans="1:28" x14ac:dyDescent="0.25">
      <c r="A1002" s="54"/>
    </row>
    <row r="1003" spans="1:28" x14ac:dyDescent="0.25">
      <c r="A1003" s="54"/>
    </row>
    <row r="1004" spans="1:28" x14ac:dyDescent="0.25">
      <c r="A1004" s="54"/>
    </row>
    <row r="1005" spans="1:28" x14ac:dyDescent="0.25">
      <c r="A1005" s="54"/>
    </row>
    <row r="1006" spans="1:28" x14ac:dyDescent="0.25">
      <c r="A1006" s="54"/>
    </row>
    <row r="1007" spans="1:28" x14ac:dyDescent="0.25">
      <c r="A1007" s="54"/>
    </row>
    <row r="1008" spans="1:28" x14ac:dyDescent="0.25">
      <c r="A1008" s="54"/>
    </row>
    <row r="1009" spans="1:9" x14ac:dyDescent="0.25">
      <c r="A1009" s="54"/>
    </row>
    <row r="1010" spans="1:9" x14ac:dyDescent="0.25">
      <c r="A1010" s="54"/>
    </row>
    <row r="1011" spans="1:9" x14ac:dyDescent="0.25">
      <c r="A1011" s="54"/>
      <c r="H1011" s="54"/>
      <c r="I1011" s="54"/>
    </row>
    <row r="1014" spans="1:9" x14ac:dyDescent="0.25">
      <c r="A1014" s="54"/>
    </row>
    <row r="1017" spans="1:9" x14ac:dyDescent="0.25">
      <c r="A1017" s="54"/>
    </row>
    <row r="1020" spans="1:9" x14ac:dyDescent="0.25">
      <c r="A1020" s="54"/>
    </row>
    <row r="1021" spans="1:9" x14ac:dyDescent="0.25">
      <c r="A1021" s="54"/>
    </row>
    <row r="1022" spans="1:9" x14ac:dyDescent="0.25">
      <c r="A1022" s="54"/>
    </row>
    <row r="1023" spans="1:9" x14ac:dyDescent="0.25">
      <c r="A1023" s="54"/>
    </row>
    <row r="1024" spans="1:9" x14ac:dyDescent="0.25">
      <c r="A1024" s="54"/>
    </row>
    <row r="1025" spans="1:1" x14ac:dyDescent="0.25">
      <c r="A1025" s="54"/>
    </row>
    <row r="1026" spans="1:1" x14ac:dyDescent="0.25">
      <c r="A1026" s="54"/>
    </row>
    <row r="1027" spans="1:1" x14ac:dyDescent="0.25">
      <c r="A1027" s="54"/>
    </row>
    <row r="1028" spans="1:1" x14ac:dyDescent="0.25">
      <c r="A1028" s="54"/>
    </row>
    <row r="1029" spans="1:1" x14ac:dyDescent="0.25">
      <c r="A1029" s="54"/>
    </row>
    <row r="1030" spans="1:1" x14ac:dyDescent="0.25">
      <c r="A1030" s="54"/>
    </row>
    <row r="1031" spans="1:1" x14ac:dyDescent="0.25">
      <c r="A1031" s="54"/>
    </row>
    <row r="1032" spans="1:1" x14ac:dyDescent="0.25">
      <c r="A1032" s="54"/>
    </row>
    <row r="1033" spans="1:1" x14ac:dyDescent="0.25">
      <c r="A1033" s="54"/>
    </row>
    <row r="1034" spans="1:1" x14ac:dyDescent="0.25">
      <c r="A1034" s="54"/>
    </row>
    <row r="1035" spans="1:1" x14ac:dyDescent="0.25">
      <c r="A1035" s="54"/>
    </row>
    <row r="1036" spans="1:1" x14ac:dyDescent="0.25">
      <c r="A1036" s="54"/>
    </row>
    <row r="1037" spans="1:1" x14ac:dyDescent="0.25">
      <c r="A1037" s="54"/>
    </row>
    <row r="1038" spans="1:1" x14ac:dyDescent="0.25">
      <c r="A1038" s="54"/>
    </row>
    <row r="1039" spans="1:1" x14ac:dyDescent="0.25">
      <c r="A1039" s="54"/>
    </row>
    <row r="1040" spans="1:1" x14ac:dyDescent="0.25">
      <c r="A1040" s="54"/>
    </row>
    <row r="1041" spans="1:1" x14ac:dyDescent="0.25">
      <c r="A1041" s="54"/>
    </row>
    <row r="1042" spans="1:1" x14ac:dyDescent="0.25">
      <c r="A1042" s="54"/>
    </row>
    <row r="1043" spans="1:1" x14ac:dyDescent="0.25">
      <c r="A1043" s="54"/>
    </row>
    <row r="1044" spans="1:1" x14ac:dyDescent="0.25">
      <c r="A1044" s="54"/>
    </row>
    <row r="1045" spans="1:1" x14ac:dyDescent="0.25">
      <c r="A1045" s="54"/>
    </row>
    <row r="1046" spans="1:1" x14ac:dyDescent="0.25">
      <c r="A1046" s="54"/>
    </row>
    <row r="1047" spans="1:1" x14ac:dyDescent="0.25">
      <c r="A1047" s="54"/>
    </row>
    <row r="1048" spans="1:1" x14ac:dyDescent="0.25">
      <c r="A1048" s="54"/>
    </row>
    <row r="1049" spans="1:1" x14ac:dyDescent="0.25">
      <c r="A1049" s="54"/>
    </row>
    <row r="1050" spans="1:1" x14ac:dyDescent="0.25">
      <c r="A1050" s="54"/>
    </row>
    <row r="1051" spans="1:1" x14ac:dyDescent="0.25">
      <c r="A1051" s="54"/>
    </row>
    <row r="1052" spans="1:1" x14ac:dyDescent="0.25">
      <c r="A1052" s="54"/>
    </row>
    <row r="1053" spans="1:1" x14ac:dyDescent="0.25">
      <c r="A1053" s="54"/>
    </row>
    <row r="1054" spans="1:1" x14ac:dyDescent="0.25">
      <c r="A1054" s="54"/>
    </row>
    <row r="1059" spans="1:1" x14ac:dyDescent="0.25">
      <c r="A1059" s="54"/>
    </row>
    <row r="1060" spans="1:1" x14ac:dyDescent="0.25">
      <c r="A1060" s="54"/>
    </row>
    <row r="1063" spans="1:1" x14ac:dyDescent="0.25">
      <c r="A1063" s="54"/>
    </row>
    <row r="1065" spans="1:1" x14ac:dyDescent="0.25">
      <c r="A1065" s="54"/>
    </row>
    <row r="1067" spans="1:1" x14ac:dyDescent="0.25">
      <c r="A1067" s="54"/>
    </row>
    <row r="1069" spans="1:1" x14ac:dyDescent="0.25">
      <c r="A1069" s="54"/>
    </row>
    <row r="1072" spans="1:1" x14ac:dyDescent="0.25">
      <c r="A1072" s="54"/>
    </row>
    <row r="1073" spans="1:1" x14ac:dyDescent="0.25">
      <c r="A1073" s="54"/>
    </row>
    <row r="1074" spans="1:1" x14ac:dyDescent="0.25">
      <c r="A1074" s="54"/>
    </row>
    <row r="1075" spans="1:1" x14ac:dyDescent="0.25">
      <c r="A1075" s="54"/>
    </row>
    <row r="1076" spans="1:1" x14ac:dyDescent="0.25">
      <c r="A1076" s="54"/>
    </row>
    <row r="1077" spans="1:1" x14ac:dyDescent="0.25">
      <c r="A1077" s="54"/>
    </row>
    <row r="1078" spans="1:1" x14ac:dyDescent="0.25">
      <c r="A1078" s="54"/>
    </row>
    <row r="1079" spans="1:1" x14ac:dyDescent="0.25">
      <c r="A1079" s="54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P64">
      <selection activeCell="AC95" sqref="AC9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3"/>
      <headerFooter alignWithMargins="0"/>
    </customSheetView>
    <customSheetView guid="{2431C9E5-7CC2-4B8D-99C3-962247B1DBF5}" scale="75" fitToPage="1" showRuler="0" topLeftCell="P64">
      <selection activeCell="AC95" sqref="AC9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4"/>
      <headerFooter alignWithMargins="0"/>
    </customSheetView>
    <customSheetView guid="{2EA35095-1ADC-4CC7-8C3C-B487D65FA247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8"/>
      <headerFooter alignWithMargins="0"/>
    </customSheetView>
    <customSheetView guid="{0BC1F393-8A13-47D5-BC6C-0C99615B5AB9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A20">
      <selection activeCell="P46" sqref="P4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3" orientation="landscape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  <legacyDrawing r:id="rId14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7" transitionEvaluation="1" transitionEntry="1" codeName="Sheet16"/>
  <dimension ref="A1:BY1261"/>
  <sheetViews>
    <sheetView tabSelected="1" view="pageBreakPreview" topLeftCell="A17" zoomScale="60" zoomScaleNormal="75" workbookViewId="0">
      <selection sqref="A1:J1"/>
    </sheetView>
  </sheetViews>
  <sheetFormatPr defaultColWidth="8.88671875" defaultRowHeight="15.75" x14ac:dyDescent="0.25"/>
  <cols>
    <col min="1" max="1" width="5.21875" style="380" customWidth="1"/>
    <col min="2" max="2" width="0.44140625" style="380" customWidth="1"/>
    <col min="3" max="3" width="9.44140625" style="380" customWidth="1"/>
    <col min="4" max="4" width="57.5546875" style="380" customWidth="1"/>
    <col min="5" max="5" width="0.554687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1" width="11.21875" style="380" customWidth="1"/>
    <col min="12" max="12" width="14.6640625" style="380" customWidth="1"/>
    <col min="13" max="13" width="0.33203125" style="380" customWidth="1"/>
    <col min="14" max="14" width="15" style="380" customWidth="1"/>
    <col min="15" max="15" width="0.5546875" style="380" customWidth="1"/>
    <col min="16" max="16" width="15.6640625" style="380" customWidth="1"/>
    <col min="17" max="17" width="0.5546875" style="380" customWidth="1"/>
    <col min="18" max="18" width="16.44140625" style="380" customWidth="1"/>
    <col min="19" max="19" width="6.77734375" style="380" customWidth="1"/>
    <col min="20" max="20" width="6.21875" style="380" customWidth="1"/>
    <col min="21" max="21" width="0.5546875" style="380" customWidth="1"/>
    <col min="22" max="22" width="7.109375" style="380" customWidth="1"/>
    <col min="23" max="23" width="60.21875" style="380" customWidth="1"/>
    <col min="24" max="24" width="0.5546875" style="380" customWidth="1"/>
    <col min="25" max="25" width="13.21875" style="380" customWidth="1"/>
    <col min="26" max="26" width="1" style="380" customWidth="1"/>
    <col min="27" max="27" width="14.5546875" style="380" customWidth="1"/>
    <col min="28" max="28" width="0.6640625" style="380" customWidth="1"/>
    <col min="29" max="29" width="13.33203125" style="380" customWidth="1"/>
    <col min="30" max="30" width="11.21875" style="380" customWidth="1"/>
    <col min="31" max="31" width="14.33203125" style="380" customWidth="1"/>
    <col min="32" max="32" width="0.88671875" style="380" customWidth="1"/>
    <col min="33" max="33" width="12.88671875" style="153" customWidth="1"/>
    <col min="34" max="34" width="0.77734375" style="380" customWidth="1"/>
    <col min="35" max="35" width="14.77734375" style="380" customWidth="1"/>
    <col min="36" max="36" width="0.6640625" style="380" customWidth="1"/>
    <col min="37" max="37" width="14.33203125" style="153" customWidth="1"/>
    <col min="38" max="38" width="0.77734375" style="380" customWidth="1"/>
    <col min="39" max="39" width="12.44140625" style="380" customWidth="1"/>
    <col min="40" max="40" width="0.5546875" style="380" customWidth="1"/>
    <col min="41" max="41" width="12.109375" style="380" customWidth="1"/>
    <col min="42" max="42" width="0.5546875" style="380" customWidth="1"/>
    <col min="43" max="43" width="13.21875" style="170" customWidth="1"/>
    <col min="44" max="44" width="0.6640625" style="380" customWidth="1"/>
    <col min="45" max="45" width="11.21875" style="380" customWidth="1"/>
    <col min="46" max="46" width="14.77734375" style="380" customWidth="1"/>
    <col min="47" max="47" width="4.77734375" style="380" customWidth="1"/>
    <col min="48" max="48" width="5.77734375" style="380" customWidth="1"/>
    <col min="49" max="49" width="10.77734375" style="380" customWidth="1"/>
    <col min="50" max="50" width="11.77734375" style="380" customWidth="1"/>
    <col min="51" max="51" width="12.77734375" style="380" customWidth="1"/>
    <col min="52" max="54" width="15.77734375" style="380" customWidth="1"/>
    <col min="55" max="55" width="12.77734375" style="380" customWidth="1"/>
    <col min="56" max="58" width="15.77734375" style="380" customWidth="1"/>
    <col min="59" max="59" width="12.77734375" style="380" customWidth="1"/>
    <col min="60" max="61" width="8.88671875" style="380"/>
    <col min="62" max="64" width="12.77734375" style="380" customWidth="1"/>
    <col min="65" max="65" width="14.77734375" style="380" customWidth="1"/>
    <col min="66" max="67" width="8.88671875" style="380"/>
    <col min="68" max="70" width="12.77734375" style="380" customWidth="1"/>
    <col min="71" max="71" width="14.77734375" style="380" customWidth="1"/>
    <col min="72" max="78" width="8.88671875" style="380"/>
    <col min="79" max="79" width="1.77734375" style="380" customWidth="1"/>
    <col min="80" max="81" width="8.88671875" style="380"/>
    <col min="82" max="82" width="10.77734375" style="380" customWidth="1"/>
    <col min="83" max="84" width="8.88671875" style="380"/>
    <col min="85" max="85" width="7.77734375" style="380" customWidth="1"/>
    <col min="86" max="16384" width="8.88671875" style="380"/>
  </cols>
  <sheetData>
    <row r="1" spans="1:42" x14ac:dyDescent="0.25">
      <c r="A1" s="43" t="str">
        <f>NAME</f>
        <v>DUKE ENERGY KENTUCKY, INC.</v>
      </c>
      <c r="B1" s="43"/>
      <c r="C1" s="43"/>
      <c r="D1" s="43"/>
      <c r="E1" s="43"/>
      <c r="F1" s="297"/>
      <c r="G1" s="43"/>
      <c r="H1" s="43"/>
      <c r="I1" s="43"/>
      <c r="J1" s="44"/>
      <c r="K1" s="44"/>
      <c r="L1" s="43"/>
      <c r="M1" s="43"/>
      <c r="N1" s="43"/>
      <c r="O1" s="43"/>
      <c r="P1" s="43"/>
      <c r="Q1" s="43"/>
      <c r="R1" s="43"/>
      <c r="AA1" s="380" t="s">
        <v>652</v>
      </c>
      <c r="AG1" s="508">
        <v>0.12265235788475171</v>
      </c>
    </row>
    <row r="2" spans="1:42" x14ac:dyDescent="0.25">
      <c r="A2" s="43" t="str">
        <f>CASE_NO</f>
        <v>CASE NO.   2019-000271</v>
      </c>
      <c r="B2" s="43"/>
      <c r="C2" s="43"/>
      <c r="D2" s="43"/>
      <c r="E2" s="43"/>
      <c r="F2" s="297"/>
      <c r="G2" s="43"/>
      <c r="H2" s="43"/>
      <c r="I2" s="43"/>
      <c r="J2" s="44"/>
      <c r="K2" s="44"/>
      <c r="L2" s="43"/>
      <c r="M2" s="43"/>
      <c r="N2" s="43"/>
      <c r="O2" s="43"/>
      <c r="P2" s="43"/>
      <c r="Q2" s="43"/>
      <c r="R2" s="43"/>
      <c r="AC2" s="134"/>
      <c r="AE2" s="54"/>
    </row>
    <row r="3" spans="1:42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297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AC3" s="205"/>
      <c r="AE3" s="54"/>
    </row>
    <row r="4" spans="1:42" x14ac:dyDescent="0.25">
      <c r="A4" s="43" t="str">
        <f>DATE</f>
        <v>FOR THE TWELVE MONTHS ENDED November 30, 2019</v>
      </c>
      <c r="B4" s="43"/>
      <c r="C4" s="43"/>
      <c r="D4" s="43"/>
      <c r="E4" s="43"/>
      <c r="F4" s="297"/>
      <c r="G4" s="43"/>
      <c r="H4" s="43"/>
      <c r="I4" s="43"/>
      <c r="J4" s="44"/>
      <c r="K4" s="44"/>
      <c r="L4" s="43"/>
      <c r="M4" s="43"/>
      <c r="N4" s="43"/>
      <c r="O4" s="43"/>
      <c r="P4" s="43"/>
      <c r="Q4" s="43"/>
      <c r="R4" s="43"/>
      <c r="AC4" s="205"/>
      <c r="AE4" s="54"/>
    </row>
    <row r="5" spans="1:42" x14ac:dyDescent="0.25">
      <c r="A5" s="43" t="str">
        <f>SERVICE</f>
        <v>(ELECTRIC SERVICE)</v>
      </c>
      <c r="B5" s="43"/>
      <c r="C5" s="43"/>
      <c r="D5" s="43"/>
      <c r="E5" s="43"/>
      <c r="F5" s="297"/>
      <c r="G5" s="43"/>
      <c r="H5" s="43"/>
      <c r="I5" s="43"/>
      <c r="J5" s="43"/>
      <c r="K5" s="43"/>
      <c r="L5" s="44"/>
      <c r="M5" s="44"/>
      <c r="N5" s="43"/>
      <c r="O5" s="43"/>
      <c r="P5" s="43"/>
      <c r="Q5" s="43"/>
      <c r="R5" s="43"/>
      <c r="AC5" s="205"/>
      <c r="AE5" s="54"/>
      <c r="AM5" s="54"/>
      <c r="AN5" s="54"/>
    </row>
    <row r="6" spans="1:42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194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C6" s="205"/>
      <c r="AE6" s="54"/>
      <c r="AM6" s="54"/>
      <c r="AN6" s="54"/>
    </row>
    <row r="7" spans="1:42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194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21 OF "&amp;TEXT(Page_Num_2.3,"00")</f>
        <v>PAGE 21 OF 23</v>
      </c>
      <c r="AC7" s="205"/>
      <c r="AE7" s="54"/>
      <c r="AM7" s="54"/>
      <c r="AN7" s="54"/>
    </row>
    <row r="8" spans="1:42" x14ac:dyDescent="0.25">
      <c r="A8" s="46" t="s">
        <v>177</v>
      </c>
      <c r="B8" s="378"/>
      <c r="C8" s="378"/>
      <c r="D8" s="378"/>
      <c r="E8" s="378"/>
      <c r="F8" s="194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C8" s="205"/>
      <c r="AE8" s="54"/>
      <c r="AM8" s="54"/>
      <c r="AN8" s="54"/>
    </row>
    <row r="9" spans="1:42" x14ac:dyDescent="0.25">
      <c r="A9" s="218" t="str">
        <f>TIME</f>
        <v>6 Months Actual and 6 Months Projected with Riders</v>
      </c>
      <c r="B9" s="378"/>
      <c r="C9" s="378"/>
      <c r="D9" s="378"/>
      <c r="E9" s="378"/>
      <c r="F9" s="194"/>
      <c r="G9" s="378"/>
      <c r="H9" s="378"/>
      <c r="I9" s="378"/>
      <c r="J9" s="378"/>
      <c r="K9" s="378"/>
      <c r="M9" s="46"/>
      <c r="N9" s="378"/>
      <c r="O9" s="378"/>
      <c r="P9" s="378"/>
      <c r="Q9" s="378"/>
      <c r="R9" s="45" t="str">
        <f>WIT</f>
        <v>J. L. Kern</v>
      </c>
      <c r="AC9" s="205"/>
      <c r="AE9" s="54"/>
      <c r="AM9" s="53"/>
      <c r="AN9" s="53"/>
    </row>
    <row r="10" spans="1:42" ht="15" customHeight="1" x14ac:dyDescent="0.25">
      <c r="A10" s="44" t="s">
        <v>136</v>
      </c>
      <c r="B10" s="43"/>
      <c r="C10" s="43"/>
      <c r="D10" s="43"/>
      <c r="E10" s="43"/>
      <c r="F10" s="297"/>
      <c r="G10" s="43"/>
      <c r="H10" s="43"/>
      <c r="I10" s="43"/>
      <c r="J10" s="43"/>
      <c r="K10" s="43"/>
      <c r="L10" s="44"/>
      <c r="M10" s="44"/>
      <c r="N10" s="43"/>
      <c r="O10" s="43"/>
      <c r="P10" s="43"/>
      <c r="Q10" s="43"/>
      <c r="R10" s="44"/>
      <c r="AC10" s="205"/>
      <c r="AE10" s="54"/>
      <c r="AM10" s="53"/>
      <c r="AN10" s="53"/>
    </row>
    <row r="11" spans="1:42" x14ac:dyDescent="0.25">
      <c r="A11" s="72"/>
      <c r="B11" s="72"/>
      <c r="C11" s="72"/>
      <c r="D11" s="72"/>
      <c r="E11" s="72"/>
      <c r="F11" s="194"/>
      <c r="G11" s="72"/>
      <c r="H11" s="72"/>
      <c r="I11" s="72"/>
      <c r="J11" s="72"/>
      <c r="K11" s="72"/>
      <c r="L11" s="47"/>
      <c r="M11" s="47"/>
      <c r="N11" s="47"/>
      <c r="O11" s="47"/>
      <c r="P11" s="47"/>
      <c r="Q11" s="47"/>
      <c r="R11" s="47"/>
      <c r="T11" s="55"/>
      <c r="U11" s="55"/>
      <c r="V11" s="55"/>
      <c r="W11" s="55"/>
      <c r="X11" s="55"/>
      <c r="Y11" s="55"/>
      <c r="Z11" s="55"/>
      <c r="AC11" s="205"/>
      <c r="AE11" s="54"/>
      <c r="AJ11" s="55"/>
      <c r="AK11" s="154"/>
      <c r="AL11" s="55"/>
      <c r="AM11" s="55"/>
      <c r="AN11" s="55"/>
      <c r="AO11" s="55"/>
      <c r="AP11" s="55"/>
    </row>
    <row r="12" spans="1:42" ht="18" customHeight="1" x14ac:dyDescent="0.25">
      <c r="A12" s="73"/>
      <c r="B12" s="73"/>
      <c r="C12" s="73"/>
      <c r="D12" s="73"/>
      <c r="E12" s="73"/>
      <c r="F12" s="299"/>
      <c r="G12" s="73"/>
      <c r="H12" s="73"/>
      <c r="I12" s="73"/>
      <c r="J12" s="73"/>
      <c r="K12" s="73"/>
      <c r="L12" s="426" t="s">
        <v>6</v>
      </c>
      <c r="M12" s="426"/>
      <c r="N12" s="426" t="s">
        <v>7</v>
      </c>
      <c r="O12" s="426"/>
      <c r="P12" s="378"/>
      <c r="Q12" s="378"/>
      <c r="R12" s="426" t="s">
        <v>6</v>
      </c>
      <c r="AC12" s="205"/>
      <c r="AE12" s="54"/>
      <c r="AJ12" s="56"/>
      <c r="AM12" s="56"/>
      <c r="AN12" s="56"/>
      <c r="AO12" s="56"/>
      <c r="AP12" s="56"/>
    </row>
    <row r="13" spans="1:42" x14ac:dyDescent="0.25">
      <c r="A13" s="378"/>
      <c r="B13" s="378"/>
      <c r="C13" s="378"/>
      <c r="D13" s="378"/>
      <c r="E13" s="378"/>
      <c r="F13" s="194"/>
      <c r="G13" s="378"/>
      <c r="H13" s="378"/>
      <c r="I13" s="378"/>
      <c r="J13" s="378"/>
      <c r="K13" s="378"/>
      <c r="L13" s="426" t="s">
        <v>12</v>
      </c>
      <c r="M13" s="426"/>
      <c r="N13" s="426" t="s">
        <v>13</v>
      </c>
      <c r="O13" s="426"/>
      <c r="P13" s="378"/>
      <c r="Q13" s="378"/>
      <c r="R13" s="426" t="s">
        <v>11</v>
      </c>
      <c r="AC13" s="205"/>
      <c r="AE13" s="54"/>
      <c r="AJ13" s="56"/>
      <c r="AM13" s="56"/>
      <c r="AN13" s="56"/>
      <c r="AO13" s="56"/>
      <c r="AP13" s="56"/>
    </row>
    <row r="14" spans="1:42" x14ac:dyDescent="0.25">
      <c r="A14" s="426" t="s">
        <v>17</v>
      </c>
      <c r="B14" s="378"/>
      <c r="C14" s="426" t="s">
        <v>18</v>
      </c>
      <c r="D14" s="426" t="s">
        <v>19</v>
      </c>
      <c r="E14" s="426"/>
      <c r="F14" s="197" t="s">
        <v>20</v>
      </c>
      <c r="G14" s="378"/>
      <c r="H14" s="378"/>
      <c r="I14" s="378"/>
      <c r="J14" s="44" t="s">
        <v>6</v>
      </c>
      <c r="K14" s="44"/>
      <c r="L14" s="426" t="s">
        <v>707</v>
      </c>
      <c r="M14" s="426"/>
      <c r="N14" s="426" t="s">
        <v>707</v>
      </c>
      <c r="O14" s="426"/>
      <c r="P14" s="426" t="s">
        <v>707</v>
      </c>
      <c r="Q14" s="426"/>
      <c r="R14" s="426" t="s">
        <v>9</v>
      </c>
      <c r="T14" s="56"/>
      <c r="U14" s="56"/>
      <c r="V14" s="56"/>
      <c r="AC14" s="205"/>
      <c r="AE14" s="54"/>
      <c r="AJ14" s="56"/>
      <c r="AK14" s="155"/>
      <c r="AL14" s="56"/>
      <c r="AM14" s="56"/>
      <c r="AN14" s="56"/>
      <c r="AO14" s="56"/>
      <c r="AP14" s="56"/>
    </row>
    <row r="15" spans="1:42" x14ac:dyDescent="0.25">
      <c r="A15" s="426" t="s">
        <v>24</v>
      </c>
      <c r="B15" s="378"/>
      <c r="C15" s="426" t="s">
        <v>25</v>
      </c>
      <c r="D15" s="426" t="s">
        <v>26</v>
      </c>
      <c r="E15" s="426"/>
      <c r="F15" s="197" t="s">
        <v>27</v>
      </c>
      <c r="G15" s="378"/>
      <c r="H15" s="426" t="s">
        <v>28</v>
      </c>
      <c r="I15" s="426"/>
      <c r="J15" s="70" t="s">
        <v>669</v>
      </c>
      <c r="K15" s="70" t="s">
        <v>670</v>
      </c>
      <c r="L15" s="426" t="s">
        <v>9</v>
      </c>
      <c r="M15" s="426"/>
      <c r="N15" s="426" t="s">
        <v>9</v>
      </c>
      <c r="O15" s="426"/>
      <c r="P15" s="426" t="s">
        <v>379</v>
      </c>
      <c r="Q15" s="426"/>
      <c r="R15" s="265" t="s">
        <v>30</v>
      </c>
      <c r="T15" s="56"/>
      <c r="U15" s="56"/>
      <c r="V15" s="56"/>
      <c r="AC15" s="205"/>
      <c r="AE15" s="54"/>
      <c r="AJ15" s="56"/>
      <c r="AK15" s="155"/>
      <c r="AL15" s="56"/>
      <c r="AM15" s="56"/>
      <c r="AN15" s="56"/>
      <c r="AO15" s="56"/>
      <c r="AP15" s="56"/>
    </row>
    <row r="16" spans="1:42" x14ac:dyDescent="0.25">
      <c r="A16" s="378"/>
      <c r="B16" s="378"/>
      <c r="C16" s="265" t="s">
        <v>35</v>
      </c>
      <c r="D16" s="265" t="s">
        <v>36</v>
      </c>
      <c r="E16" s="265"/>
      <c r="F16" s="512" t="s">
        <v>37</v>
      </c>
      <c r="G16" s="218"/>
      <c r="H16" s="265" t="s">
        <v>38</v>
      </c>
      <c r="I16" s="265"/>
      <c r="J16" s="439" t="s">
        <v>671</v>
      </c>
      <c r="K16" s="439" t="s">
        <v>672</v>
      </c>
      <c r="L16" s="439" t="s">
        <v>40</v>
      </c>
      <c r="M16" s="265"/>
      <c r="N16" s="439" t="s">
        <v>41</v>
      </c>
      <c r="O16" s="265"/>
      <c r="P16" s="439" t="s">
        <v>42</v>
      </c>
      <c r="Q16" s="265"/>
      <c r="R16" s="439" t="s">
        <v>43</v>
      </c>
      <c r="T16" s="55"/>
      <c r="U16" s="55"/>
      <c r="V16" s="55"/>
      <c r="W16" s="55"/>
      <c r="X16" s="55"/>
      <c r="Y16" s="55"/>
      <c r="Z16" s="55"/>
      <c r="AC16" s="205"/>
      <c r="AE16" s="54"/>
      <c r="AJ16" s="55"/>
      <c r="AK16" s="154"/>
      <c r="AL16" s="55"/>
      <c r="AM16" s="55"/>
      <c r="AN16" s="55"/>
      <c r="AO16" s="55"/>
      <c r="AP16" s="55"/>
    </row>
    <row r="17" spans="1:45" ht="17.100000000000001" customHeight="1" x14ac:dyDescent="0.25">
      <c r="A17" s="73"/>
      <c r="B17" s="73"/>
      <c r="C17" s="73"/>
      <c r="D17" s="73"/>
      <c r="E17" s="73"/>
      <c r="F17" s="299"/>
      <c r="G17" s="73"/>
      <c r="H17" s="496" t="s">
        <v>51</v>
      </c>
      <c r="I17" s="496"/>
      <c r="J17" s="495" t="s">
        <v>71</v>
      </c>
      <c r="K17" s="496"/>
      <c r="L17" s="496" t="s">
        <v>52</v>
      </c>
      <c r="M17" s="496"/>
      <c r="N17" s="496" t="s">
        <v>53</v>
      </c>
      <c r="O17" s="496"/>
      <c r="P17" s="496" t="s">
        <v>52</v>
      </c>
      <c r="Q17" s="496"/>
      <c r="R17" s="496" t="s">
        <v>52</v>
      </c>
      <c r="Y17" s="137"/>
      <c r="AC17" s="205"/>
      <c r="AE17" s="54"/>
      <c r="AJ17" s="56"/>
      <c r="AK17" s="155"/>
      <c r="AL17" s="56"/>
      <c r="AM17" s="56"/>
      <c r="AN17" s="56"/>
      <c r="AO17" s="56"/>
      <c r="AP17" s="56"/>
    </row>
    <row r="18" spans="1:45" x14ac:dyDescent="0.25">
      <c r="A18" s="363">
        <v>1</v>
      </c>
      <c r="B18" s="378"/>
      <c r="C18" s="222" t="s">
        <v>673</v>
      </c>
      <c r="D18" s="444" t="s">
        <v>674</v>
      </c>
      <c r="E18" s="46"/>
      <c r="F18" s="131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T18" s="54"/>
      <c r="U18" s="54"/>
      <c r="Y18" s="137"/>
      <c r="AC18" s="205"/>
      <c r="AE18" s="54"/>
    </row>
    <row r="19" spans="1:45" x14ac:dyDescent="0.25">
      <c r="A19" s="363">
        <v>2</v>
      </c>
      <c r="B19" s="378"/>
      <c r="C19" s="222" t="s">
        <v>675</v>
      </c>
      <c r="D19" s="218"/>
      <c r="E19" s="378"/>
      <c r="F19" s="189"/>
      <c r="G19" s="2"/>
      <c r="H19" s="86"/>
      <c r="I19" s="86"/>
      <c r="J19" s="446"/>
      <c r="K19" s="446"/>
      <c r="L19" s="5"/>
      <c r="M19" s="5"/>
      <c r="N19" s="6"/>
      <c r="O19" s="6"/>
      <c r="P19" s="5"/>
      <c r="Q19" s="5"/>
      <c r="R19" s="5"/>
      <c r="S19" s="379"/>
      <c r="V19" s="381" t="s">
        <v>478</v>
      </c>
      <c r="Y19" s="137"/>
      <c r="AA19" s="380" t="s">
        <v>676</v>
      </c>
      <c r="AC19" s="380" t="s">
        <v>632</v>
      </c>
      <c r="AH19" s="379"/>
      <c r="AK19" s="156"/>
      <c r="AL19" s="379"/>
      <c r="AM19" s="379"/>
      <c r="AN19" s="379"/>
    </row>
    <row r="20" spans="1:45" x14ac:dyDescent="0.25">
      <c r="A20" s="363">
        <v>3</v>
      </c>
      <c r="B20" s="378"/>
      <c r="C20" s="52" t="s">
        <v>682</v>
      </c>
      <c r="D20" s="378"/>
      <c r="E20" s="378"/>
      <c r="F20" s="391">
        <v>0</v>
      </c>
      <c r="G20" s="131"/>
      <c r="H20" s="391">
        <f>ROUND(F20*AC19/12,0)</f>
        <v>0</v>
      </c>
      <c r="I20" s="86"/>
      <c r="J20" s="223">
        <f>ROUND(AC270+(AC270*$AG$1),2)</f>
        <v>4.5</v>
      </c>
      <c r="K20" s="223">
        <f>ROUND(AD270+(AD270*$AG$1),2)</f>
        <v>4.76</v>
      </c>
      <c r="L20" s="5">
        <f>ROUND((F20*(J20+K20)),0)</f>
        <v>0</v>
      </c>
      <c r="M20" s="5"/>
      <c r="N20" s="6">
        <v>0</v>
      </c>
      <c r="O20" s="6"/>
      <c r="P20" s="5"/>
      <c r="Q20" s="5"/>
      <c r="R20" s="5">
        <f>L20+P20</f>
        <v>0</v>
      </c>
      <c r="S20" s="379"/>
      <c r="V20" s="381"/>
      <c r="AA20" s="137">
        <v>17</v>
      </c>
      <c r="AC20" s="381">
        <f>AA20*12</f>
        <v>204</v>
      </c>
      <c r="AF20" s="449"/>
      <c r="AG20" s="161"/>
      <c r="AH20" s="381"/>
      <c r="AK20" s="162"/>
      <c r="AL20" s="381"/>
      <c r="AM20" s="381"/>
      <c r="AN20" s="381"/>
      <c r="AO20" s="50"/>
      <c r="AP20" s="50"/>
    </row>
    <row r="21" spans="1:45" x14ac:dyDescent="0.25">
      <c r="A21" s="363">
        <v>4</v>
      </c>
      <c r="B21" s="378"/>
      <c r="C21" s="52" t="s">
        <v>683</v>
      </c>
      <c r="D21" s="378"/>
      <c r="E21" s="378"/>
      <c r="F21" s="391">
        <v>0</v>
      </c>
      <c r="G21" s="131"/>
      <c r="H21" s="391">
        <f t="shared" ref="H21:H50" si="0">ROUND(F21*AC20/12,0)</f>
        <v>0</v>
      </c>
      <c r="I21" s="86"/>
      <c r="J21" s="223">
        <f>ROUND(AC271+(AC271*$AG$1),2)</f>
        <v>4.6900000000000004</v>
      </c>
      <c r="K21" s="223">
        <f>ROUND(AD271+(AD271*$AG$1),2)</f>
        <v>4.76</v>
      </c>
      <c r="L21" s="5">
        <f t="shared" ref="L21:L50" si="1">ROUND((F21*(J21+K21)),0)</f>
        <v>0</v>
      </c>
      <c r="M21" s="5"/>
      <c r="N21" s="6">
        <v>0</v>
      </c>
      <c r="O21" s="6"/>
      <c r="P21" s="5"/>
      <c r="Q21" s="5"/>
      <c r="R21" s="5">
        <f>L21+P21</f>
        <v>0</v>
      </c>
      <c r="S21" s="379"/>
      <c r="V21" s="513"/>
      <c r="W21" s="380" t="s">
        <v>473</v>
      </c>
      <c r="Y21" s="574"/>
      <c r="AA21" s="137">
        <v>17</v>
      </c>
      <c r="AB21" s="464"/>
      <c r="AC21" s="381">
        <f t="shared" ref="AC21:AC50" si="2">AA21*12</f>
        <v>204</v>
      </c>
      <c r="AD21" s="381"/>
      <c r="AE21" s="381"/>
      <c r="AF21" s="381"/>
      <c r="AG21" s="162"/>
      <c r="AH21" s="381"/>
      <c r="AK21" s="162"/>
      <c r="AL21" s="381"/>
      <c r="AM21" s="381"/>
      <c r="AN21" s="381"/>
      <c r="AO21" s="208"/>
      <c r="AP21" s="50"/>
    </row>
    <row r="22" spans="1:45" x14ac:dyDescent="0.25">
      <c r="A22" s="363">
        <v>5</v>
      </c>
      <c r="B22" s="378"/>
      <c r="C22" s="52" t="s">
        <v>708</v>
      </c>
      <c r="D22" s="378"/>
      <c r="E22" s="378"/>
      <c r="F22" s="391">
        <v>0</v>
      </c>
      <c r="G22" s="131"/>
      <c r="H22" s="391">
        <f t="shared" si="0"/>
        <v>0</v>
      </c>
      <c r="I22" s="86"/>
      <c r="J22" s="223">
        <f>ROUND(AC233+(AC233*$AG$1),2)</f>
        <v>5.53</v>
      </c>
      <c r="K22" s="223">
        <f>ROUND(AD233+(AD233*$AG$1),2)</f>
        <v>4.76</v>
      </c>
      <c r="L22" s="5">
        <f t="shared" si="1"/>
        <v>0</v>
      </c>
      <c r="M22" s="5"/>
      <c r="N22" s="6">
        <v>0</v>
      </c>
      <c r="O22" s="6"/>
      <c r="P22" s="5"/>
      <c r="Q22" s="5"/>
      <c r="R22" s="5">
        <f t="shared" ref="R22:R31" si="3">L22+P22</f>
        <v>0</v>
      </c>
      <c r="S22" s="379"/>
      <c r="V22" s="221"/>
      <c r="Y22" s="574"/>
      <c r="AA22" s="137">
        <v>17</v>
      </c>
      <c r="AB22" s="464"/>
      <c r="AC22" s="381">
        <f t="shared" si="2"/>
        <v>204</v>
      </c>
      <c r="AD22" s="379"/>
      <c r="AE22" s="50"/>
      <c r="AF22" s="50"/>
      <c r="AG22" s="156"/>
      <c r="AH22" s="379"/>
      <c r="AK22" s="156"/>
      <c r="AL22" s="379"/>
      <c r="AM22" s="379"/>
      <c r="AN22" s="379"/>
      <c r="AO22" s="208"/>
      <c r="AP22" s="50"/>
    </row>
    <row r="23" spans="1:45" x14ac:dyDescent="0.25">
      <c r="A23" s="363">
        <v>6</v>
      </c>
      <c r="B23" s="378"/>
      <c r="C23" s="52" t="s">
        <v>709</v>
      </c>
      <c r="D23" s="378"/>
      <c r="E23" s="378"/>
      <c r="F23" s="391">
        <v>0</v>
      </c>
      <c r="G23" s="131"/>
      <c r="H23" s="391">
        <f t="shared" si="0"/>
        <v>0</v>
      </c>
      <c r="I23" s="86"/>
      <c r="J23" s="223">
        <f t="shared" ref="J23:K27" si="4">ROUND(AC234+(AC234*$AG$1),2)</f>
        <v>5.52</v>
      </c>
      <c r="K23" s="223">
        <f t="shared" si="4"/>
        <v>4.76</v>
      </c>
      <c r="L23" s="5">
        <f t="shared" si="1"/>
        <v>0</v>
      </c>
      <c r="M23" s="5"/>
      <c r="N23" s="6">
        <v>0</v>
      </c>
      <c r="O23" s="6"/>
      <c r="P23" s="5"/>
      <c r="Q23" s="5"/>
      <c r="R23" s="5">
        <f>L23+P23</f>
        <v>0</v>
      </c>
      <c r="S23" s="379"/>
      <c r="V23" s="515"/>
      <c r="W23" s="380" t="s">
        <v>474</v>
      </c>
      <c r="Y23" s="574"/>
      <c r="AA23" s="137">
        <v>24</v>
      </c>
      <c r="AB23" s="464"/>
      <c r="AC23" s="381">
        <f t="shared" si="2"/>
        <v>288</v>
      </c>
      <c r="AD23" s="379"/>
      <c r="AE23" s="50"/>
      <c r="AF23" s="50"/>
      <c r="AG23" s="156"/>
      <c r="AH23" s="379"/>
      <c r="AK23" s="156"/>
      <c r="AL23" s="379"/>
      <c r="AM23" s="379"/>
      <c r="AN23" s="379"/>
      <c r="AO23" s="208"/>
      <c r="AP23" s="50"/>
    </row>
    <row r="24" spans="1:45" x14ac:dyDescent="0.25">
      <c r="A24" s="363">
        <v>7</v>
      </c>
      <c r="B24" s="378"/>
      <c r="C24" s="52" t="s">
        <v>710</v>
      </c>
      <c r="D24" s="378"/>
      <c r="E24" s="378"/>
      <c r="F24" s="391">
        <v>0</v>
      </c>
      <c r="G24" s="131"/>
      <c r="H24" s="391">
        <f t="shared" si="0"/>
        <v>0</v>
      </c>
      <c r="I24" s="86"/>
      <c r="J24" s="223">
        <f t="shared" si="4"/>
        <v>6.26</v>
      </c>
      <c r="K24" s="223">
        <f t="shared" si="4"/>
        <v>4.76</v>
      </c>
      <c r="L24" s="5">
        <f t="shared" si="1"/>
        <v>0</v>
      </c>
      <c r="M24" s="5"/>
      <c r="N24" s="6">
        <v>0</v>
      </c>
      <c r="O24" s="6"/>
      <c r="P24" s="5"/>
      <c r="Q24" s="5"/>
      <c r="R24" s="5">
        <f t="shared" si="3"/>
        <v>0</v>
      </c>
      <c r="S24" s="379"/>
      <c r="T24" s="210"/>
      <c r="U24" s="57"/>
      <c r="V24" s="221"/>
      <c r="W24" s="57"/>
      <c r="X24" s="57"/>
      <c r="Y24" s="574"/>
      <c r="Z24" s="57"/>
      <c r="AA24" s="137">
        <v>38</v>
      </c>
      <c r="AB24" s="57"/>
      <c r="AC24" s="381">
        <f t="shared" si="2"/>
        <v>456</v>
      </c>
      <c r="AD24" s="57"/>
      <c r="AE24" s="57"/>
      <c r="AF24" s="57"/>
      <c r="AG24" s="158"/>
      <c r="AH24" s="57"/>
      <c r="AI24" s="57"/>
      <c r="AJ24" s="57"/>
      <c r="AK24" s="158"/>
      <c r="AL24" s="57"/>
      <c r="AM24" s="57"/>
      <c r="AN24" s="57"/>
      <c r="AO24" s="209"/>
      <c r="AP24" s="57"/>
      <c r="AR24" s="57"/>
      <c r="AS24" s="57"/>
    </row>
    <row r="25" spans="1:45" x14ac:dyDescent="0.25">
      <c r="A25" s="363">
        <v>8</v>
      </c>
      <c r="B25" s="378"/>
      <c r="C25" s="52" t="s">
        <v>711</v>
      </c>
      <c r="D25" s="378"/>
      <c r="E25" s="378"/>
      <c r="F25" s="391">
        <v>0</v>
      </c>
      <c r="G25" s="131"/>
      <c r="H25" s="391">
        <f t="shared" si="0"/>
        <v>0</v>
      </c>
      <c r="I25" s="86"/>
      <c r="J25" s="223">
        <f t="shared" si="4"/>
        <v>8.3000000000000007</v>
      </c>
      <c r="K25" s="223">
        <f t="shared" si="4"/>
        <v>4.76</v>
      </c>
      <c r="L25" s="5">
        <f t="shared" si="1"/>
        <v>0</v>
      </c>
      <c r="M25" s="5"/>
      <c r="N25" s="6">
        <v>0</v>
      </c>
      <c r="O25" s="6"/>
      <c r="P25" s="5"/>
      <c r="Q25" s="5"/>
      <c r="R25" s="5">
        <f>L25+P25</f>
        <v>0</v>
      </c>
      <c r="S25" s="379"/>
      <c r="T25" s="210"/>
      <c r="U25" s="57"/>
      <c r="V25" s="516"/>
      <c r="W25" s="220" t="s">
        <v>475</v>
      </c>
      <c r="X25" s="57"/>
      <c r="Y25" s="574"/>
      <c r="Z25" s="57"/>
      <c r="AA25" s="137">
        <v>52</v>
      </c>
      <c r="AB25" s="57"/>
      <c r="AC25" s="381">
        <f t="shared" si="2"/>
        <v>624</v>
      </c>
      <c r="AD25" s="57"/>
      <c r="AE25" s="57"/>
      <c r="AF25" s="57"/>
      <c r="AG25" s="158"/>
      <c r="AH25" s="57"/>
      <c r="AI25" s="57"/>
      <c r="AJ25" s="57"/>
      <c r="AK25" s="158"/>
      <c r="AL25" s="57"/>
      <c r="AM25" s="57"/>
      <c r="AN25" s="57"/>
      <c r="AO25" s="209"/>
      <c r="AP25" s="57"/>
      <c r="AR25" s="57"/>
      <c r="AS25" s="57"/>
    </row>
    <row r="26" spans="1:45" x14ac:dyDescent="0.25">
      <c r="A26" s="363">
        <v>9</v>
      </c>
      <c r="B26" s="378"/>
      <c r="C26" s="52" t="s">
        <v>712</v>
      </c>
      <c r="D26" s="378"/>
      <c r="E26" s="378"/>
      <c r="F26" s="391">
        <v>0</v>
      </c>
      <c r="G26" s="131"/>
      <c r="H26" s="391">
        <f t="shared" si="0"/>
        <v>0</v>
      </c>
      <c r="I26" s="86"/>
      <c r="J26" s="223">
        <f t="shared" si="4"/>
        <v>9.41</v>
      </c>
      <c r="K26" s="223">
        <f t="shared" si="4"/>
        <v>5.8</v>
      </c>
      <c r="L26" s="5">
        <f t="shared" si="1"/>
        <v>0</v>
      </c>
      <c r="M26" s="5"/>
      <c r="N26" s="6">
        <v>0</v>
      </c>
      <c r="O26" s="6"/>
      <c r="P26" s="5"/>
      <c r="Q26" s="5"/>
      <c r="R26" s="5">
        <f>L26+P26</f>
        <v>0</v>
      </c>
      <c r="S26" s="379"/>
      <c r="T26" s="210"/>
      <c r="U26" s="57"/>
      <c r="V26" s="221"/>
      <c r="W26" s="57"/>
      <c r="X26" s="57"/>
      <c r="Y26" s="574"/>
      <c r="Z26" s="57"/>
      <c r="AA26" s="137">
        <v>76</v>
      </c>
      <c r="AB26" s="57"/>
      <c r="AC26" s="381">
        <f t="shared" si="2"/>
        <v>912</v>
      </c>
      <c r="AD26" s="57"/>
      <c r="AE26" s="57"/>
      <c r="AF26" s="57"/>
      <c r="AG26" s="158"/>
      <c r="AH26" s="57"/>
      <c r="AI26" s="57"/>
      <c r="AJ26" s="57"/>
      <c r="AK26" s="158"/>
      <c r="AL26" s="57"/>
      <c r="AM26" s="57"/>
      <c r="AN26" s="57"/>
      <c r="AO26" s="209"/>
      <c r="AP26" s="57"/>
      <c r="AR26" s="57"/>
      <c r="AS26" s="57"/>
    </row>
    <row r="27" spans="1:45" x14ac:dyDescent="0.25">
      <c r="A27" s="363">
        <v>10</v>
      </c>
      <c r="B27" s="378"/>
      <c r="C27" s="52" t="s">
        <v>713</v>
      </c>
      <c r="D27" s="378"/>
      <c r="E27" s="378"/>
      <c r="F27" s="391">
        <v>0</v>
      </c>
      <c r="G27" s="131"/>
      <c r="H27" s="391">
        <f t="shared" si="0"/>
        <v>0</v>
      </c>
      <c r="I27" s="86"/>
      <c r="J27" s="223">
        <f t="shared" si="4"/>
        <v>11.57</v>
      </c>
      <c r="K27" s="223">
        <f t="shared" si="4"/>
        <v>5.8</v>
      </c>
      <c r="L27" s="5">
        <f t="shared" si="1"/>
        <v>0</v>
      </c>
      <c r="M27" s="5"/>
      <c r="N27" s="6">
        <v>0</v>
      </c>
      <c r="O27" s="6"/>
      <c r="P27" s="5"/>
      <c r="Q27" s="5"/>
      <c r="R27" s="5">
        <f>L27+P27</f>
        <v>0</v>
      </c>
      <c r="S27" s="379"/>
      <c r="T27" s="210"/>
      <c r="U27" s="57"/>
      <c r="V27" s="517"/>
      <c r="W27" s="220" t="s">
        <v>477</v>
      </c>
      <c r="X27" s="57"/>
      <c r="Y27" s="574"/>
      <c r="Z27" s="57"/>
      <c r="AA27" s="137">
        <v>97</v>
      </c>
      <c r="AB27" s="57"/>
      <c r="AC27" s="381">
        <f t="shared" si="2"/>
        <v>1164</v>
      </c>
      <c r="AD27" s="57"/>
      <c r="AE27" s="57"/>
      <c r="AF27" s="57"/>
      <c r="AG27" s="158"/>
      <c r="AH27" s="57"/>
      <c r="AI27" s="57"/>
      <c r="AJ27" s="57"/>
      <c r="AK27" s="158"/>
      <c r="AL27" s="57"/>
      <c r="AM27" s="57"/>
      <c r="AN27" s="57"/>
      <c r="AO27" s="209"/>
      <c r="AP27" s="57"/>
      <c r="AR27" s="57"/>
      <c r="AS27" s="57"/>
    </row>
    <row r="28" spans="1:45" x14ac:dyDescent="0.25">
      <c r="A28" s="363">
        <v>11</v>
      </c>
      <c r="B28" s="378"/>
      <c r="C28" s="52" t="s">
        <v>714</v>
      </c>
      <c r="D28" s="378"/>
      <c r="E28" s="378"/>
      <c r="F28" s="391">
        <v>0</v>
      </c>
      <c r="G28" s="131"/>
      <c r="H28" s="391">
        <f t="shared" si="0"/>
        <v>0</v>
      </c>
      <c r="I28" s="86"/>
      <c r="J28" s="223">
        <f>ROUND(AC240+(AC240*$AG$1),2)</f>
        <v>14.55</v>
      </c>
      <c r="K28" s="223">
        <f>ROUND(AD240+(AD240*$AG$1),2)</f>
        <v>4.76</v>
      </c>
      <c r="L28" s="5">
        <f t="shared" si="1"/>
        <v>0</v>
      </c>
      <c r="M28" s="5"/>
      <c r="N28" s="6">
        <v>0</v>
      </c>
      <c r="O28" s="6"/>
      <c r="P28" s="5"/>
      <c r="Q28" s="5"/>
      <c r="R28" s="5">
        <f t="shared" si="3"/>
        <v>0</v>
      </c>
      <c r="S28" s="379"/>
      <c r="T28" s="210"/>
      <c r="V28" s="221"/>
      <c r="Y28" s="574"/>
      <c r="AA28" s="137">
        <v>17</v>
      </c>
      <c r="AC28" s="381">
        <f t="shared" si="2"/>
        <v>204</v>
      </c>
      <c r="AD28" s="379"/>
      <c r="AE28" s="379"/>
      <c r="AF28" s="379"/>
      <c r="AK28" s="156"/>
      <c r="AL28" s="379"/>
      <c r="AM28" s="379"/>
      <c r="AN28" s="379"/>
      <c r="AO28" s="209"/>
    </row>
    <row r="29" spans="1:45" x14ac:dyDescent="0.25">
      <c r="A29" s="363">
        <v>12</v>
      </c>
      <c r="B29" s="378"/>
      <c r="C29" s="52" t="s">
        <v>715</v>
      </c>
      <c r="D29" s="378"/>
      <c r="E29" s="378"/>
      <c r="F29" s="391">
        <v>0</v>
      </c>
      <c r="G29" s="131"/>
      <c r="H29" s="391">
        <f t="shared" si="0"/>
        <v>0</v>
      </c>
      <c r="I29" s="86"/>
      <c r="J29" s="223">
        <f>ROUND(AC239+(AC239*$AG$1),2)</f>
        <v>16.14</v>
      </c>
      <c r="K29" s="223">
        <f>ROUND(AD239+(AD239*$AG$1),2)</f>
        <v>4.76</v>
      </c>
      <c r="L29" s="5">
        <f t="shared" si="1"/>
        <v>0</v>
      </c>
      <c r="M29" s="5"/>
      <c r="N29" s="6">
        <v>0</v>
      </c>
      <c r="O29" s="6"/>
      <c r="P29" s="5"/>
      <c r="Q29" s="5"/>
      <c r="R29" s="5">
        <f>L29+P29</f>
        <v>0</v>
      </c>
      <c r="S29" s="379"/>
      <c r="T29" s="210"/>
      <c r="V29" s="221"/>
      <c r="Y29" s="574"/>
      <c r="AA29" s="137">
        <v>17</v>
      </c>
      <c r="AC29" s="381">
        <f t="shared" si="2"/>
        <v>204</v>
      </c>
      <c r="AD29" s="379"/>
      <c r="AE29" s="379"/>
      <c r="AF29" s="379"/>
      <c r="AK29" s="156"/>
      <c r="AL29" s="379"/>
      <c r="AM29" s="379"/>
      <c r="AN29" s="379"/>
      <c r="AO29" s="209"/>
    </row>
    <row r="30" spans="1:45" ht="15" customHeight="1" x14ac:dyDescent="0.25">
      <c r="A30" s="363">
        <v>13</v>
      </c>
      <c r="B30" s="378"/>
      <c r="C30" s="52" t="s">
        <v>677</v>
      </c>
      <c r="D30" s="378"/>
      <c r="E30" s="378"/>
      <c r="F30" s="391">
        <v>0</v>
      </c>
      <c r="G30" s="131"/>
      <c r="H30" s="391">
        <f t="shared" si="0"/>
        <v>0</v>
      </c>
      <c r="I30" s="86"/>
      <c r="J30" s="223">
        <f>ROUND(AC246+(AC246*$AG$1),2)</f>
        <v>15.74</v>
      </c>
      <c r="K30" s="223">
        <f>ROUND(AD246+(AD246*$AG$1),2)</f>
        <v>4.76</v>
      </c>
      <c r="L30" s="5">
        <f t="shared" si="1"/>
        <v>0</v>
      </c>
      <c r="M30" s="5"/>
      <c r="N30" s="6">
        <v>0</v>
      </c>
      <c r="O30" s="6"/>
      <c r="P30" s="5"/>
      <c r="Q30" s="5"/>
      <c r="R30" s="5">
        <f t="shared" si="3"/>
        <v>0</v>
      </c>
      <c r="S30" s="379"/>
      <c r="V30" s="221"/>
      <c r="Y30" s="574"/>
      <c r="AA30" s="137">
        <v>24</v>
      </c>
      <c r="AB30" s="53"/>
      <c r="AC30" s="381">
        <f t="shared" si="2"/>
        <v>288</v>
      </c>
      <c r="AO30" s="209"/>
    </row>
    <row r="31" spans="1:45" ht="15.75" customHeight="1" x14ac:dyDescent="0.25">
      <c r="A31" s="363">
        <v>14</v>
      </c>
      <c r="B31" s="378"/>
      <c r="C31" s="52" t="s">
        <v>716</v>
      </c>
      <c r="D31" s="378"/>
      <c r="E31" s="378"/>
      <c r="F31" s="391">
        <v>0</v>
      </c>
      <c r="G31" s="131"/>
      <c r="H31" s="391">
        <f t="shared" si="0"/>
        <v>0</v>
      </c>
      <c r="I31" s="86"/>
      <c r="J31" s="223">
        <f>ROUND(AC243+(AC243*$AG$1),2)</f>
        <v>10.54</v>
      </c>
      <c r="K31" s="223">
        <f>ROUND(AD243+(AD243*$AG$1),2)</f>
        <v>4.76</v>
      </c>
      <c r="L31" s="5">
        <f t="shared" si="1"/>
        <v>0</v>
      </c>
      <c r="M31" s="5"/>
      <c r="N31" s="6">
        <v>0</v>
      </c>
      <c r="O31" s="6"/>
      <c r="P31" s="5"/>
      <c r="Q31" s="5"/>
      <c r="R31" s="5">
        <f t="shared" si="3"/>
        <v>0</v>
      </c>
      <c r="S31" s="379"/>
      <c r="T31" s="211"/>
      <c r="U31" s="57"/>
      <c r="V31" s="221"/>
      <c r="W31" s="57"/>
      <c r="X31" s="57"/>
      <c r="Y31" s="574"/>
      <c r="Z31" s="57"/>
      <c r="AA31" s="137">
        <v>17</v>
      </c>
      <c r="AB31" s="57"/>
      <c r="AC31" s="381">
        <f t="shared" si="2"/>
        <v>204</v>
      </c>
      <c r="AD31" s="57"/>
      <c r="AE31" s="58"/>
      <c r="AF31" s="58"/>
      <c r="AG31" s="158"/>
      <c r="AH31" s="57"/>
      <c r="AI31" s="57"/>
      <c r="AJ31" s="57"/>
      <c r="AK31" s="158"/>
      <c r="AL31" s="57"/>
      <c r="AM31" s="57"/>
      <c r="AN31" s="57"/>
      <c r="AO31" s="209"/>
      <c r="AP31" s="57"/>
      <c r="AR31" s="57"/>
      <c r="AS31" s="57"/>
    </row>
    <row r="32" spans="1:45" ht="15.75" customHeight="1" x14ac:dyDescent="0.25">
      <c r="A32" s="363">
        <v>15</v>
      </c>
      <c r="B32" s="378"/>
      <c r="C32" s="52" t="s">
        <v>717</v>
      </c>
      <c r="D32" s="378"/>
      <c r="E32" s="378"/>
      <c r="F32" s="391">
        <v>0</v>
      </c>
      <c r="G32" s="131"/>
      <c r="H32" s="391">
        <f t="shared" si="0"/>
        <v>0</v>
      </c>
      <c r="I32" s="86"/>
      <c r="J32" s="223">
        <f>ROUND(AC244+(AC244*$AG$1),2)</f>
        <v>10.54</v>
      </c>
      <c r="K32" s="223">
        <f>ROUND(AD244+(AD244*$AG$1),2)</f>
        <v>4.76</v>
      </c>
      <c r="L32" s="5">
        <f t="shared" si="1"/>
        <v>0</v>
      </c>
      <c r="M32" s="5"/>
      <c r="N32" s="6">
        <v>0</v>
      </c>
      <c r="O32" s="6"/>
      <c r="P32" s="5"/>
      <c r="Q32" s="5"/>
      <c r="R32" s="5">
        <f>L32+P32</f>
        <v>0</v>
      </c>
      <c r="S32" s="379"/>
      <c r="T32" s="211"/>
      <c r="U32" s="57"/>
      <c r="V32" s="221"/>
      <c r="W32" s="57"/>
      <c r="X32" s="57"/>
      <c r="Y32" s="574"/>
      <c r="Z32" s="57"/>
      <c r="AA32" s="137">
        <v>17</v>
      </c>
      <c r="AB32" s="57"/>
      <c r="AC32" s="381">
        <f t="shared" si="2"/>
        <v>204</v>
      </c>
      <c r="AD32" s="57"/>
      <c r="AE32" s="58"/>
      <c r="AF32" s="58"/>
      <c r="AG32" s="158"/>
      <c r="AH32" s="57"/>
      <c r="AI32" s="57"/>
      <c r="AJ32" s="57"/>
      <c r="AK32" s="158"/>
      <c r="AL32" s="57"/>
      <c r="AM32" s="57"/>
      <c r="AN32" s="57"/>
      <c r="AO32" s="209"/>
      <c r="AP32" s="57"/>
      <c r="AR32" s="57"/>
      <c r="AS32" s="57"/>
    </row>
    <row r="33" spans="1:45" ht="15.75" customHeight="1" x14ac:dyDescent="0.25">
      <c r="A33" s="363">
        <v>16</v>
      </c>
      <c r="B33" s="378"/>
      <c r="C33" s="52" t="s">
        <v>718</v>
      </c>
      <c r="D33" s="378"/>
      <c r="E33" s="378"/>
      <c r="F33" s="391">
        <v>0</v>
      </c>
      <c r="G33" s="131"/>
      <c r="H33" s="391">
        <f t="shared" si="0"/>
        <v>0</v>
      </c>
      <c r="I33" s="86"/>
      <c r="J33" s="223">
        <f>ROUND(AC241+(AC241*$AG$1),2)</f>
        <v>13.72</v>
      </c>
      <c r="K33" s="223">
        <f>ROUND(AD241+(AD241*$AG$1),2)</f>
        <v>4.76</v>
      </c>
      <c r="L33" s="5">
        <f t="shared" si="1"/>
        <v>0</v>
      </c>
      <c r="M33" s="5"/>
      <c r="N33" s="6">
        <v>0</v>
      </c>
      <c r="O33" s="6"/>
      <c r="P33" s="5"/>
      <c r="Q33" s="5"/>
      <c r="R33" s="5">
        <f>L33+P33</f>
        <v>0</v>
      </c>
      <c r="S33" s="379"/>
      <c r="T33" s="211"/>
      <c r="U33" s="57"/>
      <c r="V33" s="221"/>
      <c r="W33" s="57"/>
      <c r="X33" s="57"/>
      <c r="Y33" s="574"/>
      <c r="Z33" s="57"/>
      <c r="AA33" s="137">
        <v>17</v>
      </c>
      <c r="AB33" s="57"/>
      <c r="AC33" s="381">
        <f t="shared" si="2"/>
        <v>204</v>
      </c>
      <c r="AD33" s="57"/>
      <c r="AE33" s="58"/>
      <c r="AF33" s="58"/>
      <c r="AG33" s="158"/>
      <c r="AH33" s="57"/>
      <c r="AI33" s="57"/>
      <c r="AJ33" s="57"/>
      <c r="AK33" s="158"/>
      <c r="AL33" s="57"/>
      <c r="AM33" s="57"/>
      <c r="AN33" s="57"/>
      <c r="AO33" s="209"/>
      <c r="AP33" s="57"/>
      <c r="AR33" s="57"/>
      <c r="AS33" s="57"/>
    </row>
    <row r="34" spans="1:45" ht="15.75" customHeight="1" x14ac:dyDescent="0.25">
      <c r="A34" s="365">
        <v>17</v>
      </c>
      <c r="B34" s="271"/>
      <c r="C34" s="52" t="s">
        <v>719</v>
      </c>
      <c r="D34" s="271"/>
      <c r="E34" s="378"/>
      <c r="F34" s="391">
        <v>0</v>
      </c>
      <c r="G34" s="131"/>
      <c r="H34" s="391">
        <f t="shared" si="0"/>
        <v>0</v>
      </c>
      <c r="I34" s="86"/>
      <c r="J34" s="223">
        <f>ROUND(AC245+(AC245*$AG$1),2)</f>
        <v>14.17</v>
      </c>
      <c r="K34" s="223">
        <f>ROUND(AD245+(AD245*$AG$1),2)</f>
        <v>4.76</v>
      </c>
      <c r="L34" s="5">
        <f t="shared" si="1"/>
        <v>0</v>
      </c>
      <c r="M34" s="5"/>
      <c r="N34" s="6">
        <v>0</v>
      </c>
      <c r="O34" s="6"/>
      <c r="P34" s="5"/>
      <c r="Q34" s="5"/>
      <c r="R34" s="5">
        <f>L34+P34</f>
        <v>0</v>
      </c>
      <c r="S34" s="379"/>
      <c r="T34" s="211"/>
      <c r="U34" s="57"/>
      <c r="V34" s="221"/>
      <c r="W34" s="57"/>
      <c r="X34" s="57"/>
      <c r="Y34" s="574"/>
      <c r="Z34" s="57"/>
      <c r="AA34" s="137">
        <v>17</v>
      </c>
      <c r="AB34" s="57"/>
      <c r="AC34" s="381">
        <f t="shared" si="2"/>
        <v>204</v>
      </c>
      <c r="AD34" s="57"/>
      <c r="AE34" s="58"/>
      <c r="AF34" s="58"/>
      <c r="AG34" s="158"/>
      <c r="AH34" s="57"/>
      <c r="AI34" s="57"/>
      <c r="AJ34" s="57"/>
      <c r="AK34" s="158"/>
      <c r="AL34" s="57"/>
      <c r="AM34" s="57"/>
      <c r="AN34" s="57"/>
      <c r="AO34" s="209"/>
      <c r="AP34" s="57"/>
      <c r="AR34" s="57"/>
      <c r="AS34" s="57"/>
    </row>
    <row r="35" spans="1:45" ht="15.75" customHeight="1" x14ac:dyDescent="0.25">
      <c r="A35" s="365">
        <v>18</v>
      </c>
      <c r="B35" s="271"/>
      <c r="C35" s="52" t="s">
        <v>720</v>
      </c>
      <c r="D35" s="271"/>
      <c r="E35" s="378"/>
      <c r="F35" s="391">
        <v>0</v>
      </c>
      <c r="G35" s="131"/>
      <c r="H35" s="391">
        <f t="shared" si="0"/>
        <v>0</v>
      </c>
      <c r="I35" s="86"/>
      <c r="J35" s="223">
        <f>ROUND(AC242+(AC242*$AG$1),2)</f>
        <v>17.47</v>
      </c>
      <c r="K35" s="223">
        <f>ROUND(AD242+(AD242*$AG$1),2)</f>
        <v>4.76</v>
      </c>
      <c r="L35" s="5">
        <f t="shared" si="1"/>
        <v>0</v>
      </c>
      <c r="M35" s="5"/>
      <c r="N35" s="6">
        <v>0</v>
      </c>
      <c r="O35" s="6"/>
      <c r="P35" s="5"/>
      <c r="Q35" s="5"/>
      <c r="R35" s="5">
        <f t="shared" ref="R35:R36" si="5">L35+P35</f>
        <v>0</v>
      </c>
      <c r="S35" s="379"/>
      <c r="T35" s="211"/>
      <c r="U35" s="57"/>
      <c r="V35" s="221"/>
      <c r="W35" s="57"/>
      <c r="X35" s="57"/>
      <c r="Y35" s="574"/>
      <c r="Z35" s="57"/>
      <c r="AA35" s="137">
        <v>24</v>
      </c>
      <c r="AB35" s="57"/>
      <c r="AC35" s="381">
        <f t="shared" si="2"/>
        <v>288</v>
      </c>
      <c r="AD35" s="57"/>
      <c r="AE35" s="58"/>
      <c r="AF35" s="58"/>
      <c r="AG35" s="158"/>
      <c r="AH35" s="57"/>
      <c r="AI35" s="57"/>
      <c r="AJ35" s="57"/>
      <c r="AK35" s="158"/>
      <c r="AL35" s="57"/>
      <c r="AM35" s="57"/>
      <c r="AN35" s="57"/>
      <c r="AO35" s="209"/>
      <c r="AP35" s="57"/>
      <c r="AR35" s="57"/>
      <c r="AS35" s="57"/>
    </row>
    <row r="36" spans="1:45" ht="15.75" customHeight="1" x14ac:dyDescent="0.25">
      <c r="A36" s="365">
        <v>19</v>
      </c>
      <c r="B36" s="271"/>
      <c r="C36" s="52" t="s">
        <v>721</v>
      </c>
      <c r="D36" s="271"/>
      <c r="E36" s="378"/>
      <c r="F36" s="391">
        <v>0</v>
      </c>
      <c r="G36" s="131"/>
      <c r="H36" s="391">
        <f t="shared" si="0"/>
        <v>0</v>
      </c>
      <c r="I36" s="86"/>
      <c r="J36" s="223">
        <f>ROUND(AC268+(AC268*$AG$1),2)</f>
        <v>17.47</v>
      </c>
      <c r="K36" s="223">
        <f>ROUND(AD268+(AD268*$AG$1),2)</f>
        <v>4.76</v>
      </c>
      <c r="L36" s="5">
        <f t="shared" si="1"/>
        <v>0</v>
      </c>
      <c r="M36" s="5"/>
      <c r="N36" s="6">
        <v>0</v>
      </c>
      <c r="O36" s="6"/>
      <c r="P36" s="5"/>
      <c r="Q36" s="5"/>
      <c r="R36" s="5">
        <f t="shared" si="5"/>
        <v>0</v>
      </c>
      <c r="S36" s="379"/>
      <c r="T36" s="211"/>
      <c r="U36" s="57"/>
      <c r="V36" s="221"/>
      <c r="W36" s="57"/>
      <c r="X36" s="57"/>
      <c r="Y36" s="574"/>
      <c r="Z36" s="57"/>
      <c r="AA36" s="137">
        <v>52</v>
      </c>
      <c r="AB36" s="57"/>
      <c r="AC36" s="381">
        <f t="shared" si="2"/>
        <v>624</v>
      </c>
      <c r="AD36" s="57"/>
      <c r="AE36" s="58"/>
      <c r="AF36" s="58"/>
      <c r="AG36" s="158"/>
      <c r="AH36" s="57"/>
      <c r="AI36" s="57"/>
      <c r="AJ36" s="57"/>
      <c r="AK36" s="158"/>
      <c r="AL36" s="57"/>
      <c r="AM36" s="57"/>
      <c r="AN36" s="57"/>
      <c r="AO36" s="209"/>
      <c r="AP36" s="57"/>
      <c r="AR36" s="57"/>
      <c r="AS36" s="57"/>
    </row>
    <row r="37" spans="1:45" ht="15.75" customHeight="1" x14ac:dyDescent="0.25">
      <c r="A37" s="365">
        <v>20</v>
      </c>
      <c r="B37" s="378"/>
      <c r="C37" s="52" t="s">
        <v>678</v>
      </c>
      <c r="D37" s="378"/>
      <c r="E37" s="378"/>
      <c r="F37" s="391">
        <v>0</v>
      </c>
      <c r="G37" s="131"/>
      <c r="H37" s="391">
        <f t="shared" si="0"/>
        <v>0</v>
      </c>
      <c r="I37" s="86"/>
      <c r="J37" s="223">
        <f>ROUND(AC247+(AC247*$AG$1),2)</f>
        <v>21.14</v>
      </c>
      <c r="K37" s="223">
        <f>ROUND(AD247+(AD247*$AG$1),2)</f>
        <v>4.76</v>
      </c>
      <c r="L37" s="5">
        <f t="shared" si="1"/>
        <v>0</v>
      </c>
      <c r="M37" s="5"/>
      <c r="N37" s="6">
        <v>0</v>
      </c>
      <c r="O37" s="6"/>
      <c r="P37" s="5"/>
      <c r="Q37" s="5"/>
      <c r="R37" s="5">
        <f>L37+P37</f>
        <v>0</v>
      </c>
      <c r="S37" s="379"/>
      <c r="T37" s="211"/>
      <c r="U37" s="57"/>
      <c r="V37" s="221"/>
      <c r="W37" s="57"/>
      <c r="X37" s="57"/>
      <c r="Y37" s="574"/>
      <c r="Z37" s="57"/>
      <c r="AA37" s="137">
        <v>52</v>
      </c>
      <c r="AB37" s="57"/>
      <c r="AC37" s="381">
        <f t="shared" si="2"/>
        <v>624</v>
      </c>
      <c r="AD37" s="57"/>
      <c r="AE37" s="58"/>
      <c r="AF37" s="58"/>
      <c r="AG37" s="158"/>
      <c r="AH37" s="57"/>
      <c r="AI37" s="57"/>
      <c r="AJ37" s="57"/>
      <c r="AK37" s="158"/>
      <c r="AL37" s="57"/>
      <c r="AM37" s="57"/>
      <c r="AN37" s="57"/>
      <c r="AO37" s="209"/>
      <c r="AP37" s="57"/>
      <c r="AR37" s="57"/>
      <c r="AS37" s="57"/>
    </row>
    <row r="38" spans="1:45" ht="15.75" customHeight="1" x14ac:dyDescent="0.25">
      <c r="A38" s="365">
        <v>21</v>
      </c>
      <c r="B38" s="273"/>
      <c r="C38" s="52" t="s">
        <v>679</v>
      </c>
      <c r="D38" s="378"/>
      <c r="E38" s="378"/>
      <c r="F38" s="391">
        <v>0</v>
      </c>
      <c r="G38" s="131"/>
      <c r="H38" s="391">
        <f t="shared" si="0"/>
        <v>0</v>
      </c>
      <c r="I38" s="86"/>
      <c r="J38" s="223">
        <f t="shared" ref="J38:K39" si="6">ROUND(AC248+(AC248*$AG$1),2)</f>
        <v>17.149999999999999</v>
      </c>
      <c r="K38" s="223">
        <f t="shared" si="6"/>
        <v>4.76</v>
      </c>
      <c r="L38" s="5">
        <f t="shared" si="1"/>
        <v>0</v>
      </c>
      <c r="M38" s="5"/>
      <c r="N38" s="6">
        <v>0</v>
      </c>
      <c r="O38" s="6"/>
      <c r="P38" s="5"/>
      <c r="Q38" s="5"/>
      <c r="R38" s="5">
        <f>L38+P38</f>
        <v>0</v>
      </c>
      <c r="S38" s="379"/>
      <c r="T38" s="211"/>
      <c r="U38" s="57"/>
      <c r="V38" s="221"/>
      <c r="W38" s="57"/>
      <c r="X38" s="57"/>
      <c r="Y38" s="574"/>
      <c r="Z38" s="57"/>
      <c r="AA38" s="137">
        <v>17</v>
      </c>
      <c r="AB38" s="57"/>
      <c r="AC38" s="381">
        <f t="shared" si="2"/>
        <v>204</v>
      </c>
      <c r="AD38" s="57"/>
      <c r="AE38" s="58"/>
      <c r="AF38" s="58"/>
      <c r="AG38" s="158"/>
      <c r="AH38" s="57"/>
      <c r="AI38" s="57"/>
      <c r="AJ38" s="57"/>
      <c r="AK38" s="158"/>
      <c r="AL38" s="57"/>
      <c r="AM38" s="57"/>
      <c r="AN38" s="57"/>
      <c r="AO38" s="209"/>
      <c r="AP38" s="57"/>
      <c r="AR38" s="57"/>
      <c r="AS38" s="57"/>
    </row>
    <row r="39" spans="1:45" ht="15.75" customHeight="1" x14ac:dyDescent="0.25">
      <c r="A39" s="365">
        <v>22</v>
      </c>
      <c r="B39" s="378"/>
      <c r="C39" s="52" t="s">
        <v>680</v>
      </c>
      <c r="D39" s="378"/>
      <c r="E39" s="378"/>
      <c r="F39" s="391">
        <v>0</v>
      </c>
      <c r="G39" s="131"/>
      <c r="H39" s="391">
        <f t="shared" si="0"/>
        <v>0</v>
      </c>
      <c r="I39" s="86"/>
      <c r="J39" s="223">
        <f t="shared" si="6"/>
        <v>14.64</v>
      </c>
      <c r="K39" s="223">
        <f t="shared" si="6"/>
        <v>5.8</v>
      </c>
      <c r="L39" s="5">
        <f t="shared" si="1"/>
        <v>0</v>
      </c>
      <c r="M39" s="5"/>
      <c r="N39" s="6">
        <v>0</v>
      </c>
      <c r="O39" s="6"/>
      <c r="P39" s="5"/>
      <c r="Q39" s="5"/>
      <c r="R39" s="5">
        <f>L39+P39</f>
        <v>0</v>
      </c>
      <c r="S39" s="379"/>
      <c r="T39" s="211"/>
      <c r="U39" s="57"/>
      <c r="V39" s="221"/>
      <c r="W39" s="57"/>
      <c r="X39" s="57"/>
      <c r="Y39" s="574"/>
      <c r="Z39" s="57"/>
      <c r="AA39" s="137">
        <v>76</v>
      </c>
      <c r="AB39" s="57"/>
      <c r="AC39" s="381">
        <f t="shared" si="2"/>
        <v>912</v>
      </c>
      <c r="AD39" s="57"/>
      <c r="AE39" s="58"/>
      <c r="AF39" s="58"/>
      <c r="AG39" s="158"/>
      <c r="AH39" s="57"/>
      <c r="AI39" s="57"/>
      <c r="AJ39" s="57"/>
      <c r="AK39" s="158"/>
      <c r="AL39" s="57"/>
      <c r="AM39" s="57"/>
      <c r="AN39" s="57"/>
      <c r="AO39" s="209"/>
      <c r="AP39" s="57"/>
      <c r="AR39" s="57"/>
      <c r="AS39" s="57"/>
    </row>
    <row r="40" spans="1:45" x14ac:dyDescent="0.25">
      <c r="A40" s="365">
        <v>23</v>
      </c>
      <c r="B40" s="378"/>
      <c r="C40" s="52" t="s">
        <v>681</v>
      </c>
      <c r="D40" s="378"/>
      <c r="E40" s="378"/>
      <c r="F40" s="391">
        <v>0</v>
      </c>
      <c r="G40" s="131"/>
      <c r="H40" s="391">
        <f t="shared" si="0"/>
        <v>0</v>
      </c>
      <c r="I40" s="2"/>
      <c r="J40" s="223">
        <f>ROUND(AC269+(AC269*$AG$1),2)</f>
        <v>21.85</v>
      </c>
      <c r="K40" s="223">
        <f>ROUND(AD269+(AD269*$AG$1),2)</f>
        <v>5.8</v>
      </c>
      <c r="L40" s="5">
        <f t="shared" si="1"/>
        <v>0</v>
      </c>
      <c r="M40" s="2"/>
      <c r="N40" s="6">
        <v>0</v>
      </c>
      <c r="O40" s="2"/>
      <c r="P40" s="2"/>
      <c r="Q40" s="2"/>
      <c r="R40" s="5">
        <f t="shared" ref="R40:R47" si="7">L40+P40</f>
        <v>0</v>
      </c>
      <c r="S40" s="379"/>
      <c r="V40" s="221"/>
      <c r="Y40" s="574"/>
      <c r="AA40" s="137">
        <v>146</v>
      </c>
      <c r="AC40" s="381">
        <f t="shared" si="2"/>
        <v>1752</v>
      </c>
      <c r="AO40" s="209"/>
    </row>
    <row r="41" spans="1:45" x14ac:dyDescent="0.25">
      <c r="A41" s="365">
        <v>24</v>
      </c>
      <c r="B41" s="378"/>
      <c r="C41" s="52" t="s">
        <v>722</v>
      </c>
      <c r="D41" s="378"/>
      <c r="E41" s="378"/>
      <c r="F41" s="391">
        <v>0</v>
      </c>
      <c r="G41" s="131"/>
      <c r="H41" s="391">
        <f t="shared" si="0"/>
        <v>0</v>
      </c>
      <c r="I41" s="86"/>
      <c r="J41" s="223">
        <v>26.55</v>
      </c>
      <c r="K41" s="223">
        <f>$K$40</f>
        <v>5.8</v>
      </c>
      <c r="L41" s="5">
        <f t="shared" si="1"/>
        <v>0</v>
      </c>
      <c r="M41" s="5"/>
      <c r="N41" s="6">
        <v>0</v>
      </c>
      <c r="O41" s="6"/>
      <c r="P41" s="5"/>
      <c r="Q41" s="5"/>
      <c r="R41" s="5">
        <f t="shared" si="7"/>
        <v>0</v>
      </c>
      <c r="S41" s="379"/>
      <c r="V41" s="221"/>
      <c r="Y41" s="574"/>
      <c r="AA41" s="137">
        <v>184</v>
      </c>
      <c r="AC41" s="381">
        <f t="shared" si="2"/>
        <v>2208</v>
      </c>
      <c r="AO41" s="209"/>
    </row>
    <row r="42" spans="1:45" x14ac:dyDescent="0.25">
      <c r="A42" s="365">
        <v>25</v>
      </c>
      <c r="B42" s="378"/>
      <c r="C42" s="52" t="s">
        <v>723</v>
      </c>
      <c r="D42" s="378"/>
      <c r="E42" s="378"/>
      <c r="F42" s="391">
        <v>0</v>
      </c>
      <c r="G42" s="131"/>
      <c r="H42" s="391">
        <f t="shared" si="0"/>
        <v>0</v>
      </c>
      <c r="I42" s="86"/>
      <c r="J42" s="223">
        <v>25.19</v>
      </c>
      <c r="K42" s="223">
        <f t="shared" ref="K42:K48" si="8">$K$38</f>
        <v>4.76</v>
      </c>
      <c r="L42" s="5">
        <f t="shared" si="1"/>
        <v>0</v>
      </c>
      <c r="M42" s="5"/>
      <c r="N42" s="6">
        <v>0</v>
      </c>
      <c r="O42" s="6"/>
      <c r="P42" s="5"/>
      <c r="Q42" s="5"/>
      <c r="R42" s="5">
        <f>L42+P42</f>
        <v>0</v>
      </c>
      <c r="S42" s="379"/>
      <c r="V42" s="221"/>
      <c r="Y42" s="574"/>
      <c r="AA42" s="137">
        <v>52</v>
      </c>
      <c r="AC42" s="381">
        <f t="shared" si="2"/>
        <v>624</v>
      </c>
      <c r="AO42" s="209"/>
    </row>
    <row r="43" spans="1:45" x14ac:dyDescent="0.25">
      <c r="A43" s="365">
        <v>26</v>
      </c>
      <c r="B43" s="378"/>
      <c r="C43" s="52" t="s">
        <v>724</v>
      </c>
      <c r="D43" s="378"/>
      <c r="E43" s="378"/>
      <c r="F43" s="391">
        <v>0</v>
      </c>
      <c r="G43" s="131"/>
      <c r="H43" s="391">
        <f t="shared" si="0"/>
        <v>0</v>
      </c>
      <c r="I43" s="86"/>
      <c r="J43" s="223">
        <v>8.65</v>
      </c>
      <c r="K43" s="223">
        <f t="shared" si="8"/>
        <v>4.76</v>
      </c>
      <c r="L43" s="5">
        <f t="shared" si="1"/>
        <v>0</v>
      </c>
      <c r="M43" s="5"/>
      <c r="N43" s="6">
        <v>0</v>
      </c>
      <c r="O43" s="6"/>
      <c r="P43" s="5"/>
      <c r="Q43" s="5"/>
      <c r="R43" s="5">
        <f t="shared" si="7"/>
        <v>0</v>
      </c>
      <c r="S43" s="379"/>
      <c r="T43" s="53"/>
      <c r="V43" s="221"/>
      <c r="Y43" s="574"/>
      <c r="AA43" s="137">
        <v>45</v>
      </c>
      <c r="AC43" s="381">
        <f t="shared" si="2"/>
        <v>540</v>
      </c>
      <c r="AO43" s="209"/>
      <c r="AQ43" s="162"/>
      <c r="AR43" s="54"/>
    </row>
    <row r="44" spans="1:45" x14ac:dyDescent="0.25">
      <c r="A44" s="365">
        <v>27</v>
      </c>
      <c r="B44" s="378"/>
      <c r="C44" s="52" t="s">
        <v>725</v>
      </c>
      <c r="D44" s="378"/>
      <c r="E44" s="378"/>
      <c r="F44" s="391">
        <v>0</v>
      </c>
      <c r="G44" s="131"/>
      <c r="H44" s="391">
        <f t="shared" si="0"/>
        <v>0</v>
      </c>
      <c r="I44" s="86"/>
      <c r="J44" s="223">
        <v>13.61</v>
      </c>
      <c r="K44" s="223">
        <f t="shared" si="8"/>
        <v>4.76</v>
      </c>
      <c r="L44" s="5">
        <f t="shared" si="1"/>
        <v>0</v>
      </c>
      <c r="M44" s="5"/>
      <c r="N44" s="6">
        <v>0</v>
      </c>
      <c r="O44" s="6"/>
      <c r="P44" s="5"/>
      <c r="Q44" s="5"/>
      <c r="R44" s="5">
        <f>L44+P44</f>
        <v>0</v>
      </c>
      <c r="S44" s="379"/>
      <c r="T44" s="53"/>
      <c r="V44" s="221"/>
      <c r="Y44" s="574"/>
      <c r="AA44" s="137">
        <v>90</v>
      </c>
      <c r="AC44" s="381">
        <f t="shared" si="2"/>
        <v>1080</v>
      </c>
      <c r="AO44" s="209"/>
      <c r="AQ44" s="162"/>
      <c r="AR44" s="54"/>
    </row>
    <row r="45" spans="1:45" x14ac:dyDescent="0.25">
      <c r="A45" s="365">
        <v>28</v>
      </c>
      <c r="B45" s="378"/>
      <c r="C45" s="52" t="s">
        <v>726</v>
      </c>
      <c r="D45" s="378"/>
      <c r="E45" s="378"/>
      <c r="F45" s="391">
        <v>0</v>
      </c>
      <c r="G45" s="131"/>
      <c r="H45" s="391">
        <f t="shared" si="0"/>
        <v>0</v>
      </c>
      <c r="I45" s="86"/>
      <c r="J45" s="223">
        <v>16.82</v>
      </c>
      <c r="K45" s="223">
        <f t="shared" si="8"/>
        <v>4.76</v>
      </c>
      <c r="L45" s="5">
        <f t="shared" si="1"/>
        <v>0</v>
      </c>
      <c r="M45" s="5"/>
      <c r="N45" s="6">
        <v>0</v>
      </c>
      <c r="O45" s="6"/>
      <c r="P45" s="5"/>
      <c r="Q45" s="5"/>
      <c r="R45" s="5">
        <f>L45+P45</f>
        <v>0</v>
      </c>
      <c r="S45" s="379"/>
      <c r="T45" s="53"/>
      <c r="V45" s="221"/>
      <c r="Y45" s="574"/>
      <c r="AA45" s="137">
        <v>17</v>
      </c>
      <c r="AC45" s="381">
        <f t="shared" si="2"/>
        <v>204</v>
      </c>
      <c r="AO45" s="209"/>
      <c r="AQ45" s="162"/>
      <c r="AR45" s="54"/>
    </row>
    <row r="46" spans="1:45" x14ac:dyDescent="0.25">
      <c r="A46" s="365">
        <v>29</v>
      </c>
      <c r="B46" s="378"/>
      <c r="C46" s="52" t="s">
        <v>727</v>
      </c>
      <c r="D46" s="378"/>
      <c r="E46" s="378"/>
      <c r="F46" s="391">
        <v>0</v>
      </c>
      <c r="G46" s="131"/>
      <c r="H46" s="391">
        <f t="shared" si="0"/>
        <v>0</v>
      </c>
      <c r="I46" s="86"/>
      <c r="J46" s="223">
        <v>15.95</v>
      </c>
      <c r="K46" s="223">
        <f t="shared" si="8"/>
        <v>4.76</v>
      </c>
      <c r="L46" s="5">
        <f t="shared" si="1"/>
        <v>0</v>
      </c>
      <c r="M46" s="5"/>
      <c r="N46" s="6">
        <v>0</v>
      </c>
      <c r="O46" s="6"/>
      <c r="P46" s="5"/>
      <c r="Q46" s="5"/>
      <c r="R46" s="5">
        <f t="shared" si="7"/>
        <v>0</v>
      </c>
      <c r="S46" s="379"/>
      <c r="V46" s="221"/>
      <c r="Y46" s="574"/>
      <c r="AA46" s="137">
        <v>17</v>
      </c>
      <c r="AC46" s="381">
        <f t="shared" si="2"/>
        <v>204</v>
      </c>
      <c r="AO46" s="209"/>
    </row>
    <row r="47" spans="1:45" x14ac:dyDescent="0.25">
      <c r="A47" s="365">
        <v>30</v>
      </c>
      <c r="B47" s="378"/>
      <c r="C47" s="52" t="s">
        <v>728</v>
      </c>
      <c r="D47" s="378"/>
      <c r="E47" s="378"/>
      <c r="F47" s="391">
        <v>0</v>
      </c>
      <c r="G47" s="131"/>
      <c r="H47" s="391">
        <f t="shared" si="0"/>
        <v>0</v>
      </c>
      <c r="I47" s="86"/>
      <c r="J47" s="223">
        <v>17.57</v>
      </c>
      <c r="K47" s="223">
        <f t="shared" si="8"/>
        <v>4.76</v>
      </c>
      <c r="L47" s="5">
        <f t="shared" si="1"/>
        <v>0</v>
      </c>
      <c r="M47" s="5"/>
      <c r="N47" s="6">
        <v>0</v>
      </c>
      <c r="O47" s="6"/>
      <c r="P47" s="5"/>
      <c r="Q47" s="5"/>
      <c r="R47" s="5">
        <f t="shared" si="7"/>
        <v>0</v>
      </c>
      <c r="S47" s="379"/>
      <c r="V47" s="221"/>
      <c r="Y47" s="574"/>
      <c r="AA47" s="137">
        <v>17</v>
      </c>
      <c r="AC47" s="381">
        <f t="shared" si="2"/>
        <v>204</v>
      </c>
      <c r="AO47" s="209"/>
    </row>
    <row r="48" spans="1:45" x14ac:dyDescent="0.25">
      <c r="A48" s="365">
        <v>31</v>
      </c>
      <c r="B48" s="275"/>
      <c r="C48" s="52" t="s">
        <v>729</v>
      </c>
      <c r="D48" s="378"/>
      <c r="E48" s="378"/>
      <c r="F48" s="391">
        <v>0</v>
      </c>
      <c r="G48" s="131"/>
      <c r="H48" s="391">
        <f t="shared" si="0"/>
        <v>0</v>
      </c>
      <c r="I48" s="86"/>
      <c r="J48" s="223">
        <v>15.95</v>
      </c>
      <c r="K48" s="223">
        <f t="shared" si="8"/>
        <v>4.76</v>
      </c>
      <c r="L48" s="5">
        <f t="shared" si="1"/>
        <v>0</v>
      </c>
      <c r="M48" s="5"/>
      <c r="N48" s="6">
        <v>0</v>
      </c>
      <c r="O48" s="6"/>
      <c r="P48" s="5"/>
      <c r="Q48" s="5"/>
      <c r="R48" s="5">
        <f>L48+P48</f>
        <v>0</v>
      </c>
      <c r="S48" s="379"/>
      <c r="V48" s="221"/>
      <c r="Y48" s="574"/>
      <c r="AA48" s="137">
        <v>17</v>
      </c>
      <c r="AC48" s="381">
        <f t="shared" si="2"/>
        <v>204</v>
      </c>
      <c r="AO48" s="209"/>
    </row>
    <row r="49" spans="1:45" x14ac:dyDescent="0.25">
      <c r="A49" s="363">
        <v>32</v>
      </c>
      <c r="B49" s="378"/>
      <c r="C49" s="52" t="s">
        <v>730</v>
      </c>
      <c r="D49" s="275"/>
      <c r="E49" s="378"/>
      <c r="F49" s="391">
        <v>0</v>
      </c>
      <c r="G49" s="131"/>
      <c r="H49" s="391">
        <f t="shared" si="0"/>
        <v>0</v>
      </c>
      <c r="I49" s="86"/>
      <c r="J49" s="223">
        <v>17.57</v>
      </c>
      <c r="K49" s="223">
        <f>$K$40</f>
        <v>5.8</v>
      </c>
      <c r="L49" s="5">
        <f t="shared" si="1"/>
        <v>0</v>
      </c>
      <c r="M49" s="5"/>
      <c r="N49" s="6">
        <v>0</v>
      </c>
      <c r="O49" s="6"/>
      <c r="P49" s="5"/>
      <c r="Q49" s="5"/>
      <c r="R49" s="5">
        <f>L49+P49</f>
        <v>0</v>
      </c>
      <c r="S49" s="379"/>
      <c r="V49" s="221"/>
      <c r="Y49" s="574"/>
      <c r="AA49" s="137">
        <v>17</v>
      </c>
      <c r="AC49" s="381">
        <f t="shared" si="2"/>
        <v>204</v>
      </c>
      <c r="AO49" s="209"/>
    </row>
    <row r="50" spans="1:45" x14ac:dyDescent="0.25">
      <c r="A50" s="364">
        <v>33</v>
      </c>
      <c r="B50" s="378"/>
      <c r="C50" s="52" t="s">
        <v>731</v>
      </c>
      <c r="D50" s="378"/>
      <c r="E50" s="378"/>
      <c r="F50" s="391">
        <v>0</v>
      </c>
      <c r="G50" s="131"/>
      <c r="H50" s="391">
        <f t="shared" si="0"/>
        <v>0</v>
      </c>
      <c r="I50" s="86"/>
      <c r="J50" s="223">
        <v>16.75</v>
      </c>
      <c r="K50" s="223">
        <f>$K$40</f>
        <v>5.8</v>
      </c>
      <c r="L50" s="5">
        <f t="shared" si="1"/>
        <v>0</v>
      </c>
      <c r="M50" s="5"/>
      <c r="N50" s="6">
        <v>0</v>
      </c>
      <c r="O50" s="6"/>
      <c r="P50" s="5"/>
      <c r="Q50" s="5"/>
      <c r="R50" s="5">
        <f>L50+P50</f>
        <v>0</v>
      </c>
      <c r="S50" s="379"/>
      <c r="T50" s="210"/>
      <c r="V50" s="221"/>
      <c r="Y50" s="574"/>
      <c r="AA50" s="137">
        <v>17</v>
      </c>
      <c r="AC50" s="381">
        <f t="shared" si="2"/>
        <v>204</v>
      </c>
      <c r="AO50" s="209"/>
      <c r="AQ50" s="162"/>
      <c r="AR50" s="53"/>
    </row>
    <row r="51" spans="1:45" x14ac:dyDescent="0.25">
      <c r="A51" s="367">
        <v>34</v>
      </c>
      <c r="B51" s="378"/>
      <c r="C51" s="518" t="s">
        <v>684</v>
      </c>
      <c r="D51" s="378"/>
      <c r="E51" s="378"/>
      <c r="F51" s="316">
        <f>SUM(F20:F50)</f>
        <v>0</v>
      </c>
      <c r="G51" s="2"/>
      <c r="H51" s="90">
        <f>SUM(H20:H50)</f>
        <v>0</v>
      </c>
      <c r="I51" s="5"/>
      <c r="J51" s="7"/>
      <c r="K51" s="7"/>
      <c r="L51" s="90">
        <f>SUM(L20:L50)</f>
        <v>0</v>
      </c>
      <c r="M51" s="5"/>
      <c r="N51" s="93"/>
      <c r="O51" s="8"/>
      <c r="P51" s="482"/>
      <c r="Q51" s="5"/>
      <c r="R51" s="90">
        <f>SUM(R20:R50)</f>
        <v>0</v>
      </c>
      <c r="S51" s="379"/>
      <c r="T51" s="210"/>
      <c r="V51" s="221"/>
      <c r="Y51" s="574"/>
      <c r="AA51" s="137"/>
      <c r="AC51" s="381"/>
      <c r="AO51" s="209"/>
      <c r="AQ51" s="162"/>
      <c r="AR51" s="53"/>
    </row>
    <row r="52" spans="1:45" x14ac:dyDescent="0.25">
      <c r="B52" s="245"/>
      <c r="C52" s="293"/>
      <c r="D52" s="246"/>
      <c r="E52" s="246"/>
      <c r="F52" s="293"/>
      <c r="G52" s="246"/>
      <c r="H52" s="246"/>
      <c r="I52" s="246"/>
      <c r="J52" s="244"/>
      <c r="K52" s="246"/>
      <c r="L52" s="247"/>
      <c r="M52" s="246"/>
      <c r="N52" s="245"/>
      <c r="O52" s="246"/>
      <c r="P52" s="248"/>
      <c r="Q52" s="249"/>
      <c r="R52" s="249"/>
      <c r="S52" s="379"/>
      <c r="T52" s="210"/>
      <c r="V52" s="221"/>
      <c r="Y52" s="574"/>
      <c r="AA52" s="137"/>
      <c r="AC52" s="381"/>
      <c r="AO52" s="209"/>
      <c r="AQ52" s="162"/>
      <c r="AR52" s="53"/>
    </row>
    <row r="53" spans="1:45" x14ac:dyDescent="0.25">
      <c r="A53" s="380">
        <v>35</v>
      </c>
      <c r="B53" s="246"/>
      <c r="C53" s="518" t="s">
        <v>685</v>
      </c>
      <c r="D53" s="246"/>
      <c r="E53" s="246"/>
      <c r="F53" s="327"/>
      <c r="G53" s="246"/>
      <c r="H53" s="108">
        <f>H51</f>
        <v>0</v>
      </c>
      <c r="I53" s="246"/>
      <c r="J53" s="453">
        <f>ROUND(AC274+(AC274*$AG$1),6)</f>
        <v>4.3003E-2</v>
      </c>
      <c r="K53" s="246"/>
      <c r="L53" s="5">
        <f>H53*J53</f>
        <v>0</v>
      </c>
      <c r="M53" s="246"/>
      <c r="N53" s="245"/>
      <c r="O53" s="246"/>
      <c r="P53" s="244"/>
      <c r="Q53" s="249"/>
      <c r="R53" s="5">
        <f t="shared" ref="R53" si="9">L53+P53</f>
        <v>0</v>
      </c>
      <c r="S53" s="379"/>
      <c r="T53" s="210"/>
      <c r="V53" s="221"/>
      <c r="Y53" s="574"/>
      <c r="AA53" s="137"/>
      <c r="AC53" s="381"/>
      <c r="AO53" s="209"/>
      <c r="AQ53" s="162"/>
      <c r="AR53" s="53"/>
    </row>
    <row r="54" spans="1:45" x14ac:dyDescent="0.25">
      <c r="B54" s="246"/>
      <c r="C54" s="518"/>
      <c r="D54" s="246"/>
      <c r="E54" s="246"/>
      <c r="F54" s="327"/>
      <c r="G54" s="246"/>
      <c r="H54" s="108"/>
      <c r="I54" s="246"/>
      <c r="J54" s="453"/>
      <c r="K54" s="246"/>
      <c r="L54" s="5"/>
      <c r="M54" s="246"/>
      <c r="N54" s="245"/>
      <c r="O54" s="246"/>
      <c r="P54" s="244"/>
      <c r="Q54" s="249"/>
      <c r="R54" s="5"/>
      <c r="S54" s="379"/>
      <c r="V54" s="221"/>
      <c r="Y54" s="574"/>
      <c r="AA54" s="137"/>
      <c r="AC54" s="381"/>
      <c r="AO54" s="209"/>
    </row>
    <row r="55" spans="1:45" x14ac:dyDescent="0.25">
      <c r="A55" s="380">
        <v>36</v>
      </c>
      <c r="B55" s="246"/>
      <c r="C55" s="222" t="s">
        <v>687</v>
      </c>
      <c r="D55" s="52"/>
      <c r="E55" s="46"/>
      <c r="F55" s="131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379"/>
      <c r="V55" s="221"/>
      <c r="Y55" s="574"/>
      <c r="AA55" s="137"/>
      <c r="AC55" s="381"/>
      <c r="AO55" s="209"/>
    </row>
    <row r="56" spans="1:45" x14ac:dyDescent="0.25">
      <c r="A56" s="380">
        <v>37</v>
      </c>
      <c r="B56" s="246"/>
      <c r="C56" s="195" t="s">
        <v>732</v>
      </c>
      <c r="D56" s="378"/>
      <c r="E56" s="378"/>
      <c r="F56" s="391">
        <v>0</v>
      </c>
      <c r="G56" s="131"/>
      <c r="H56" s="391"/>
      <c r="I56" s="86"/>
      <c r="J56" s="223">
        <f t="shared" ref="J56:J63" si="10">ROUND(AC314+(AC314*$AG$1),2)</f>
        <v>6.33</v>
      </c>
      <c r="K56" s="485"/>
      <c r="L56" s="5">
        <f t="shared" ref="L56:L63" si="11">ROUND((F56*J56),0)</f>
        <v>0</v>
      </c>
      <c r="M56" s="5"/>
      <c r="N56" s="6">
        <v>0</v>
      </c>
      <c r="O56" s="6"/>
      <c r="P56" s="5"/>
      <c r="Q56" s="5"/>
      <c r="R56" s="5">
        <f t="shared" ref="R56:R63" si="12">L56+P56</f>
        <v>0</v>
      </c>
      <c r="S56" s="379"/>
      <c r="V56" s="221"/>
      <c r="Y56" s="574"/>
      <c r="AA56" s="137"/>
      <c r="AC56" s="381"/>
      <c r="AO56" s="209"/>
    </row>
    <row r="57" spans="1:45" x14ac:dyDescent="0.25">
      <c r="A57" s="380">
        <v>38</v>
      </c>
      <c r="B57" s="246"/>
      <c r="C57" s="195" t="s">
        <v>733</v>
      </c>
      <c r="D57" s="378"/>
      <c r="E57" s="378"/>
      <c r="F57" s="391">
        <v>0</v>
      </c>
      <c r="G57" s="131"/>
      <c r="H57" s="391"/>
      <c r="I57" s="86"/>
      <c r="J57" s="223">
        <f t="shared" si="10"/>
        <v>5.42</v>
      </c>
      <c r="K57" s="485"/>
      <c r="L57" s="5">
        <f t="shared" si="11"/>
        <v>0</v>
      </c>
      <c r="M57" s="5"/>
      <c r="N57" s="6">
        <v>0</v>
      </c>
      <c r="O57" s="6"/>
      <c r="P57" s="5"/>
      <c r="Q57" s="5"/>
      <c r="R57" s="5">
        <f t="shared" si="12"/>
        <v>0</v>
      </c>
      <c r="S57" s="379"/>
      <c r="V57" s="221"/>
      <c r="Y57" s="574"/>
      <c r="AA57" s="137"/>
      <c r="AC57" s="381"/>
      <c r="AO57" s="209"/>
    </row>
    <row r="58" spans="1:45" x14ac:dyDescent="0.25">
      <c r="A58" s="380">
        <v>39</v>
      </c>
      <c r="B58" s="246"/>
      <c r="C58" s="195" t="s">
        <v>734</v>
      </c>
      <c r="D58" s="378"/>
      <c r="E58" s="378"/>
      <c r="F58" s="391">
        <v>0</v>
      </c>
      <c r="G58" s="131"/>
      <c r="H58" s="391"/>
      <c r="I58" s="86"/>
      <c r="J58" s="223">
        <f t="shared" si="10"/>
        <v>6.51</v>
      </c>
      <c r="K58" s="485"/>
      <c r="L58" s="5">
        <f t="shared" si="11"/>
        <v>0</v>
      </c>
      <c r="M58" s="5"/>
      <c r="N58" s="6">
        <v>0</v>
      </c>
      <c r="O58" s="6"/>
      <c r="P58" s="5"/>
      <c r="Q58" s="5"/>
      <c r="R58" s="5">
        <f t="shared" si="12"/>
        <v>0</v>
      </c>
      <c r="S58" s="379"/>
      <c r="V58" s="221"/>
      <c r="Y58" s="574"/>
      <c r="AA58" s="137"/>
      <c r="AC58" s="381"/>
      <c r="AO58" s="209"/>
    </row>
    <row r="59" spans="1:45" x14ac:dyDescent="0.25">
      <c r="A59" s="380">
        <v>40</v>
      </c>
      <c r="B59" s="246"/>
      <c r="C59" s="195" t="s">
        <v>735</v>
      </c>
      <c r="D59" s="378"/>
      <c r="E59" s="378"/>
      <c r="F59" s="391">
        <v>0</v>
      </c>
      <c r="G59" s="131"/>
      <c r="H59" s="391"/>
      <c r="I59" s="86"/>
      <c r="J59" s="223">
        <f t="shared" si="10"/>
        <v>5.64</v>
      </c>
      <c r="K59" s="485"/>
      <c r="L59" s="5">
        <f t="shared" si="11"/>
        <v>0</v>
      </c>
      <c r="M59" s="5"/>
      <c r="N59" s="6">
        <v>0</v>
      </c>
      <c r="O59" s="6"/>
      <c r="P59" s="5"/>
      <c r="Q59" s="5"/>
      <c r="R59" s="5">
        <f t="shared" si="12"/>
        <v>0</v>
      </c>
    </row>
    <row r="60" spans="1:45" x14ac:dyDescent="0.25">
      <c r="A60" s="380">
        <v>41</v>
      </c>
      <c r="B60" s="246"/>
      <c r="C60" s="195" t="s">
        <v>736</v>
      </c>
      <c r="D60" s="378"/>
      <c r="E60" s="378"/>
      <c r="F60" s="391">
        <v>0</v>
      </c>
      <c r="G60" s="131"/>
      <c r="H60" s="391"/>
      <c r="I60" s="86"/>
      <c r="J60" s="223">
        <f t="shared" si="10"/>
        <v>6.83</v>
      </c>
      <c r="K60" s="485"/>
      <c r="L60" s="5">
        <f t="shared" si="11"/>
        <v>0</v>
      </c>
      <c r="M60" s="5"/>
      <c r="N60" s="6">
        <v>0</v>
      </c>
      <c r="O60" s="6"/>
      <c r="P60" s="5"/>
      <c r="Q60" s="5"/>
      <c r="R60" s="5">
        <f t="shared" si="12"/>
        <v>0</v>
      </c>
      <c r="T60" s="53"/>
      <c r="V60" s="54"/>
      <c r="AA60" s="379"/>
      <c r="AC60" s="379"/>
      <c r="AD60" s="379"/>
      <c r="AE60" s="59"/>
      <c r="AF60" s="59"/>
      <c r="AG60" s="156"/>
      <c r="AH60" s="379"/>
      <c r="AI60" s="50"/>
      <c r="AJ60" s="50"/>
      <c r="AK60" s="156"/>
      <c r="AL60" s="379"/>
      <c r="AM60" s="60"/>
      <c r="AN60" s="60"/>
      <c r="AO60" s="379"/>
      <c r="AP60" s="379"/>
      <c r="AQ60" s="162"/>
      <c r="AR60" s="379"/>
      <c r="AS60" s="50"/>
    </row>
    <row r="61" spans="1:45" x14ac:dyDescent="0.25">
      <c r="A61" s="380">
        <v>42</v>
      </c>
      <c r="B61" s="246"/>
      <c r="C61" s="195" t="s">
        <v>737</v>
      </c>
      <c r="D61" s="378"/>
      <c r="E61" s="378"/>
      <c r="F61" s="391">
        <v>0</v>
      </c>
      <c r="G61" s="131"/>
      <c r="H61" s="391"/>
      <c r="I61" s="86"/>
      <c r="J61" s="223">
        <f t="shared" si="10"/>
        <v>10.46</v>
      </c>
      <c r="K61" s="485"/>
      <c r="L61" s="5">
        <f t="shared" si="11"/>
        <v>0</v>
      </c>
      <c r="M61" s="5"/>
      <c r="N61" s="6">
        <v>0</v>
      </c>
      <c r="O61" s="6"/>
      <c r="P61" s="5"/>
      <c r="Q61" s="5"/>
      <c r="R61" s="5">
        <f t="shared" si="12"/>
        <v>0</v>
      </c>
      <c r="V61" s="54"/>
      <c r="AA61" s="379"/>
      <c r="AC61" s="379"/>
      <c r="AD61" s="379"/>
      <c r="AE61" s="59"/>
      <c r="AF61" s="59"/>
      <c r="AG61" s="156"/>
      <c r="AH61" s="379"/>
      <c r="AI61" s="50"/>
      <c r="AJ61" s="50"/>
      <c r="AK61" s="156"/>
      <c r="AL61" s="379"/>
      <c r="AM61" s="60"/>
      <c r="AN61" s="60"/>
      <c r="AO61" s="379"/>
      <c r="AP61" s="379"/>
      <c r="AQ61" s="162"/>
      <c r="AR61" s="379"/>
      <c r="AS61" s="50"/>
    </row>
    <row r="62" spans="1:45" x14ac:dyDescent="0.25">
      <c r="A62" s="380">
        <v>43</v>
      </c>
      <c r="B62" s="246"/>
      <c r="C62" s="195" t="s">
        <v>738</v>
      </c>
      <c r="D62" s="378"/>
      <c r="E62" s="378"/>
      <c r="F62" s="391">
        <v>0</v>
      </c>
      <c r="G62" s="131"/>
      <c r="H62" s="391"/>
      <c r="I62" s="86"/>
      <c r="J62" s="223">
        <f t="shared" si="10"/>
        <v>8.09</v>
      </c>
      <c r="K62" s="485"/>
      <c r="L62" s="5">
        <f t="shared" si="11"/>
        <v>0</v>
      </c>
      <c r="M62" s="83"/>
      <c r="N62" s="6">
        <v>0</v>
      </c>
      <c r="O62" s="91"/>
      <c r="P62" s="5"/>
      <c r="Q62" s="83"/>
      <c r="R62" s="5">
        <f t="shared" si="12"/>
        <v>0</v>
      </c>
      <c r="V62" s="54"/>
      <c r="AA62" s="379"/>
      <c r="AC62" s="379"/>
      <c r="AD62" s="379"/>
      <c r="AE62" s="59"/>
      <c r="AF62" s="59"/>
      <c r="AG62" s="156"/>
      <c r="AH62" s="379"/>
      <c r="AI62" s="50"/>
      <c r="AJ62" s="50"/>
      <c r="AK62" s="156"/>
      <c r="AL62" s="379"/>
      <c r="AM62" s="60"/>
      <c r="AN62" s="60"/>
      <c r="AO62" s="379"/>
      <c r="AP62" s="379"/>
      <c r="AQ62" s="162"/>
      <c r="AR62" s="379"/>
      <c r="AS62" s="50"/>
    </row>
    <row r="63" spans="1:45" x14ac:dyDescent="0.25">
      <c r="A63" s="380">
        <v>44</v>
      </c>
      <c r="B63" s="246"/>
      <c r="C63" s="195" t="s">
        <v>739</v>
      </c>
      <c r="D63" s="378"/>
      <c r="E63" s="378"/>
      <c r="F63" s="391">
        <v>0</v>
      </c>
      <c r="G63" s="131"/>
      <c r="H63" s="391"/>
      <c r="I63" s="86"/>
      <c r="J63" s="223">
        <f t="shared" si="10"/>
        <v>11.66</v>
      </c>
      <c r="K63" s="485"/>
      <c r="L63" s="5">
        <f t="shared" si="11"/>
        <v>0</v>
      </c>
      <c r="M63" s="5"/>
      <c r="N63" s="6">
        <v>0</v>
      </c>
      <c r="O63" s="6"/>
      <c r="P63" s="5"/>
      <c r="Q63" s="5"/>
      <c r="R63" s="5">
        <f t="shared" si="12"/>
        <v>0</v>
      </c>
      <c r="V63" s="54"/>
      <c r="AA63" s="379"/>
      <c r="AC63" s="379"/>
      <c r="AD63" s="379"/>
      <c r="AE63" s="463"/>
      <c r="AF63" s="463"/>
      <c r="AG63" s="156"/>
      <c r="AH63" s="379"/>
      <c r="AI63" s="50"/>
      <c r="AJ63" s="50"/>
      <c r="AK63" s="156"/>
      <c r="AL63" s="379"/>
      <c r="AM63" s="60"/>
      <c r="AN63" s="60"/>
      <c r="AO63" s="379"/>
      <c r="AP63" s="379"/>
      <c r="AQ63" s="162"/>
      <c r="AR63" s="379"/>
      <c r="AS63" s="50"/>
    </row>
    <row r="64" spans="1:45" x14ac:dyDescent="0.25">
      <c r="B64" s="246"/>
      <c r="C64" s="518"/>
      <c r="D64" s="246"/>
      <c r="E64" s="246"/>
      <c r="F64" s="327"/>
      <c r="G64" s="246"/>
      <c r="H64" s="108"/>
      <c r="I64" s="246"/>
      <c r="J64" s="453"/>
      <c r="K64" s="246"/>
      <c r="L64" s="5"/>
      <c r="M64" s="246"/>
      <c r="N64" s="245"/>
      <c r="O64" s="246"/>
      <c r="P64" s="244"/>
      <c r="Q64" s="249"/>
      <c r="R64" s="5"/>
    </row>
    <row r="65" spans="1:45" x14ac:dyDescent="0.25">
      <c r="A65" s="243" t="s">
        <v>78</v>
      </c>
      <c r="B65" s="246"/>
      <c r="C65" s="293"/>
      <c r="D65" s="246"/>
      <c r="E65" s="246"/>
      <c r="F65" s="327"/>
      <c r="G65" s="246"/>
      <c r="H65" s="246"/>
      <c r="I65" s="246"/>
      <c r="J65" s="244"/>
      <c r="K65" s="246"/>
      <c r="L65" s="247"/>
      <c r="M65" s="246"/>
      <c r="N65" s="245"/>
      <c r="O65" s="246"/>
      <c r="P65" s="244"/>
      <c r="Q65" s="249"/>
      <c r="R65" s="249"/>
      <c r="V65" s="54"/>
      <c r="AA65" s="379"/>
      <c r="AC65" s="379"/>
      <c r="AD65" s="379"/>
      <c r="AE65" s="464"/>
      <c r="AF65" s="464"/>
      <c r="AG65" s="156"/>
      <c r="AH65" s="379"/>
      <c r="AI65" s="50"/>
      <c r="AJ65" s="50"/>
      <c r="AK65" s="156"/>
      <c r="AL65" s="379"/>
      <c r="AM65" s="50"/>
      <c r="AN65" s="50"/>
      <c r="AO65" s="379"/>
      <c r="AP65" s="379"/>
      <c r="AQ65" s="162"/>
      <c r="AR65" s="379"/>
      <c r="AS65" s="50"/>
    </row>
    <row r="66" spans="1:45" x14ac:dyDescent="0.25">
      <c r="A66" s="243" t="str">
        <f>"(1A) REFLECTS FUEL COST RECOVERY INCLUDED IN BASE RATES OF "&amp;TEXT(CUR_BASE_FUEL,"$0.000000;($0.000000)")&amp;"  PER KWH."</f>
        <v>(1A) REFLECTS FUEL COST RECOVERY INCLUDED IN BASE RATES OF $0.023837  PER KWH.</v>
      </c>
      <c r="B66" s="246"/>
      <c r="C66" s="293"/>
      <c r="D66" s="246"/>
      <c r="E66" s="246"/>
      <c r="F66" s="327"/>
      <c r="G66" s="246"/>
      <c r="H66" s="246"/>
      <c r="I66" s="246"/>
      <c r="J66" s="244"/>
      <c r="K66" s="245"/>
      <c r="L66" s="250"/>
      <c r="M66" s="245"/>
      <c r="N66" s="245"/>
      <c r="O66" s="245"/>
      <c r="P66" s="244"/>
      <c r="Q66" s="249"/>
      <c r="R66" s="249"/>
      <c r="V66" s="54"/>
      <c r="AA66" s="379"/>
      <c r="AC66" s="379"/>
      <c r="AD66" s="379"/>
      <c r="AE66" s="464"/>
      <c r="AF66" s="464"/>
      <c r="AG66" s="156"/>
      <c r="AH66" s="379"/>
      <c r="AI66" s="50"/>
      <c r="AJ66" s="50"/>
      <c r="AK66" s="156"/>
      <c r="AL66" s="379"/>
      <c r="AM66" s="50"/>
      <c r="AN66" s="50"/>
      <c r="AO66" s="379"/>
      <c r="AP66" s="379"/>
      <c r="AQ66" s="162"/>
      <c r="AR66" s="379"/>
      <c r="AS66" s="50"/>
    </row>
    <row r="67" spans="1:45" x14ac:dyDescent="0.25">
      <c r="A67" s="243" t="str">
        <f>"(2) REFLECTS FUEL COMPONENT OF "&amp;TEXT(CUR_FAC,"$0.000000;($0.000000)")&amp;"  PER KWH."</f>
        <v>(2) REFLECTS FUEL COMPONENT OF $0.000681  PER KWH.</v>
      </c>
      <c r="B67" s="378"/>
      <c r="C67" s="194"/>
      <c r="D67" s="378"/>
      <c r="E67" s="378"/>
      <c r="F67" s="329"/>
      <c r="G67" s="378"/>
      <c r="H67" s="378"/>
      <c r="I67" s="378"/>
      <c r="J67" s="52"/>
      <c r="AA67" s="54"/>
    </row>
    <row r="68" spans="1:45" x14ac:dyDescent="0.25">
      <c r="A68" s="52"/>
      <c r="B68" s="378"/>
      <c r="C68" s="194"/>
      <c r="D68" s="378"/>
      <c r="E68" s="378"/>
      <c r="F68" s="329"/>
      <c r="G68" s="378"/>
      <c r="H68" s="378"/>
      <c r="I68" s="378"/>
      <c r="J68" s="52"/>
      <c r="K68" s="378"/>
      <c r="L68" s="378"/>
      <c r="M68" s="378"/>
      <c r="N68" s="76"/>
      <c r="O68" s="378"/>
      <c r="P68" s="69"/>
      <c r="Q68" s="378"/>
      <c r="R68" s="378"/>
      <c r="AA68" s="54"/>
    </row>
    <row r="69" spans="1:45" x14ac:dyDescent="0.25">
      <c r="A69" s="43" t="str">
        <f>NAME</f>
        <v>DUKE ENERGY KENTUCKY, INC.</v>
      </c>
      <c r="B69" s="43"/>
      <c r="C69" s="297"/>
      <c r="D69" s="43"/>
      <c r="E69" s="43"/>
      <c r="F69" s="297"/>
      <c r="G69" s="43"/>
      <c r="H69" s="43"/>
      <c r="I69" s="43"/>
      <c r="J69" s="44"/>
      <c r="K69" s="44"/>
      <c r="L69" s="43"/>
      <c r="M69" s="43"/>
      <c r="N69" s="43"/>
      <c r="O69" s="43"/>
      <c r="P69" s="43"/>
      <c r="Q69" s="43"/>
      <c r="R69" s="43"/>
      <c r="AB69" s="53"/>
    </row>
    <row r="70" spans="1:45" x14ac:dyDescent="0.25">
      <c r="A70" s="43" t="str">
        <f>CASE_NO</f>
        <v>CASE NO.   2019-000271</v>
      </c>
      <c r="B70" s="43"/>
      <c r="C70" s="297"/>
      <c r="D70" s="43"/>
      <c r="E70" s="43"/>
      <c r="F70" s="297"/>
      <c r="G70" s="43"/>
      <c r="H70" s="43"/>
      <c r="I70" s="43"/>
      <c r="J70" s="44"/>
      <c r="K70" s="44"/>
      <c r="L70" s="43"/>
      <c r="M70" s="43"/>
      <c r="N70" s="43"/>
      <c r="O70" s="43"/>
      <c r="P70" s="43"/>
      <c r="Q70" s="43"/>
      <c r="R70" s="43"/>
      <c r="AC70" s="54"/>
      <c r="AD70" s="54"/>
    </row>
    <row r="71" spans="1:45" x14ac:dyDescent="0.25">
      <c r="A71" s="44" t="str">
        <f>TITLE</f>
        <v>ANNUALIZED BASE YEAR REVENUES AT PROPOSED VS. MOST CURRENT RATES</v>
      </c>
      <c r="B71" s="43"/>
      <c r="C71" s="297"/>
      <c r="D71" s="43"/>
      <c r="E71" s="43"/>
      <c r="F71" s="297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AM71" s="54"/>
      <c r="AN71" s="54"/>
    </row>
    <row r="72" spans="1:45" x14ac:dyDescent="0.25">
      <c r="A72" s="43" t="str">
        <f>DATE</f>
        <v>FOR THE TWELVE MONTHS ENDED November 30, 2019</v>
      </c>
      <c r="B72" s="43"/>
      <c r="C72" s="297"/>
      <c r="D72" s="43"/>
      <c r="E72" s="43"/>
      <c r="F72" s="297"/>
      <c r="G72" s="43"/>
      <c r="H72" s="43"/>
      <c r="I72" s="43"/>
      <c r="J72" s="44"/>
      <c r="K72" s="44"/>
      <c r="L72" s="43"/>
      <c r="M72" s="43"/>
      <c r="N72" s="43"/>
      <c r="O72" s="43"/>
      <c r="P72" s="43"/>
      <c r="Q72" s="43"/>
      <c r="R72" s="43"/>
      <c r="AM72" s="54"/>
      <c r="AN72" s="54"/>
    </row>
    <row r="73" spans="1:45" x14ac:dyDescent="0.25">
      <c r="A73" s="43" t="str">
        <f>SERVICE</f>
        <v>(ELECTRIC SERVICE)</v>
      </c>
      <c r="B73" s="43"/>
      <c r="C73" s="297"/>
      <c r="D73" s="43"/>
      <c r="E73" s="43"/>
      <c r="F73" s="297"/>
      <c r="G73" s="43"/>
      <c r="H73" s="43"/>
      <c r="I73" s="43"/>
      <c r="J73" s="43"/>
      <c r="K73" s="43"/>
      <c r="L73" s="44"/>
      <c r="M73" s="44"/>
      <c r="N73" s="43"/>
      <c r="O73" s="43"/>
      <c r="P73" s="43"/>
      <c r="Q73" s="43"/>
      <c r="R73" s="43"/>
      <c r="AM73" s="54"/>
      <c r="AN73" s="54"/>
    </row>
    <row r="74" spans="1:45" x14ac:dyDescent="0.25">
      <c r="A74" s="45" t="str">
        <f>DATA_PERIOD</f>
        <v>DATA: __X__ BASE PERIOD   ____FORECASTED PERIOD</v>
      </c>
      <c r="B74" s="378"/>
      <c r="C74" s="194"/>
      <c r="D74" s="378"/>
      <c r="E74" s="378"/>
      <c r="F74" s="194"/>
      <c r="G74" s="378"/>
      <c r="H74" s="378"/>
      <c r="I74" s="378"/>
      <c r="J74" s="378"/>
      <c r="K74" s="378"/>
      <c r="L74" s="378"/>
      <c r="M74" s="378"/>
      <c r="N74" s="378"/>
      <c r="O74" s="378"/>
      <c r="P74" s="378"/>
      <c r="Q74" s="378"/>
      <c r="R74" s="46" t="s">
        <v>163</v>
      </c>
      <c r="AM74" s="54"/>
      <c r="AN74" s="54"/>
    </row>
    <row r="75" spans="1:45" x14ac:dyDescent="0.25">
      <c r="A75" s="45" t="str">
        <f>TYPE</f>
        <v>TYPE OF FILING: _X_ ORIGINAL   ___UPDATED  ___ REVISED</v>
      </c>
      <c r="B75" s="378"/>
      <c r="C75" s="194"/>
      <c r="D75" s="378"/>
      <c r="E75" s="378"/>
      <c r="F75" s="194"/>
      <c r="G75" s="378"/>
      <c r="H75" s="378"/>
      <c r="I75" s="378"/>
      <c r="J75" s="378"/>
      <c r="K75" s="378"/>
      <c r="L75" s="378"/>
      <c r="M75" s="378"/>
      <c r="N75" s="378"/>
      <c r="O75" s="378"/>
      <c r="P75" s="378"/>
      <c r="Q75" s="378"/>
      <c r="R75" s="52" t="str">
        <f>"PAGE 22 OF "&amp;TEXT(Page_Num_2.3,"00")</f>
        <v>PAGE 22 OF 23</v>
      </c>
      <c r="AC75" s="54"/>
      <c r="AD75" s="54"/>
      <c r="AM75" s="53"/>
      <c r="AN75" s="53"/>
    </row>
    <row r="76" spans="1:45" x14ac:dyDescent="0.25">
      <c r="A76" s="46" t="s">
        <v>177</v>
      </c>
      <c r="B76" s="378"/>
      <c r="C76" s="194"/>
      <c r="D76" s="378"/>
      <c r="E76" s="378"/>
      <c r="F76" s="194"/>
      <c r="G76" s="378"/>
      <c r="H76" s="378"/>
      <c r="I76" s="378"/>
      <c r="J76" s="378"/>
      <c r="K76" s="378"/>
      <c r="L76" s="378"/>
      <c r="M76" s="378"/>
      <c r="N76" s="378"/>
      <c r="O76" s="378"/>
      <c r="P76" s="378"/>
      <c r="Q76" s="378"/>
      <c r="R76" s="46" t="s">
        <v>3</v>
      </c>
      <c r="AC76" s="54"/>
      <c r="AD76" s="54"/>
      <c r="AM76" s="53"/>
      <c r="AN76" s="53"/>
    </row>
    <row r="77" spans="1:45" x14ac:dyDescent="0.25">
      <c r="A77" s="218" t="str">
        <f>TIME</f>
        <v>6 Months Actual and 6 Months Projected with Riders</v>
      </c>
      <c r="B77" s="378"/>
      <c r="C77" s="194"/>
      <c r="D77" s="378"/>
      <c r="E77" s="378"/>
      <c r="F77" s="194"/>
      <c r="G77" s="378"/>
      <c r="H77" s="378"/>
      <c r="I77" s="378"/>
      <c r="J77" s="378"/>
      <c r="K77" s="378"/>
      <c r="M77" s="46"/>
      <c r="N77" s="378"/>
      <c r="O77" s="378"/>
      <c r="P77" s="378"/>
      <c r="Q77" s="378"/>
      <c r="R77" s="45" t="str">
        <f>WIT</f>
        <v>J. L. Kern</v>
      </c>
      <c r="T77" s="210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154"/>
      <c r="AH77" s="55"/>
      <c r="AI77" s="55"/>
      <c r="AJ77" s="55"/>
      <c r="AK77" s="154"/>
      <c r="AL77" s="55"/>
      <c r="AM77" s="55"/>
      <c r="AN77" s="55"/>
      <c r="AO77" s="55"/>
      <c r="AP77" s="55"/>
    </row>
    <row r="78" spans="1:45" ht="18" customHeight="1" x14ac:dyDescent="0.25">
      <c r="A78" s="44" t="s">
        <v>136</v>
      </c>
      <c r="B78" s="43"/>
      <c r="C78" s="297"/>
      <c r="D78" s="43"/>
      <c r="E78" s="43"/>
      <c r="F78" s="297"/>
      <c r="G78" s="43"/>
      <c r="H78" s="43"/>
      <c r="I78" s="43"/>
      <c r="J78" s="43"/>
      <c r="K78" s="43"/>
      <c r="L78" s="44"/>
      <c r="M78" s="44"/>
      <c r="N78" s="43"/>
      <c r="O78" s="43"/>
      <c r="P78" s="43"/>
      <c r="Q78" s="43"/>
      <c r="R78" s="44"/>
      <c r="AC78" s="56"/>
      <c r="AD78" s="56"/>
      <c r="AE78" s="56"/>
      <c r="AF78" s="56"/>
      <c r="AG78" s="155"/>
      <c r="AH78" s="56"/>
      <c r="AI78" s="56"/>
      <c r="AJ78" s="56"/>
      <c r="AM78" s="56"/>
      <c r="AN78" s="56"/>
      <c r="AO78" s="56"/>
      <c r="AP78" s="56"/>
    </row>
    <row r="79" spans="1:45" x14ac:dyDescent="0.25">
      <c r="A79" s="72"/>
      <c r="B79" s="72"/>
      <c r="C79" s="298"/>
      <c r="D79" s="72"/>
      <c r="E79" s="72"/>
      <c r="F79" s="194"/>
      <c r="G79" s="72"/>
      <c r="H79" s="72"/>
      <c r="I79" s="72"/>
      <c r="J79" s="72"/>
      <c r="K79" s="72"/>
      <c r="L79" s="47"/>
      <c r="M79" s="47"/>
      <c r="N79" s="47"/>
      <c r="O79" s="47"/>
      <c r="P79" s="47"/>
      <c r="Q79" s="47"/>
      <c r="R79" s="47"/>
      <c r="AB79" s="56"/>
      <c r="AC79" s="56"/>
      <c r="AD79" s="56"/>
      <c r="AE79" s="56"/>
      <c r="AF79" s="56"/>
      <c r="AG79" s="155"/>
      <c r="AH79" s="56"/>
      <c r="AI79" s="56"/>
      <c r="AJ79" s="56"/>
      <c r="AM79" s="56"/>
      <c r="AN79" s="56"/>
      <c r="AO79" s="56"/>
      <c r="AP79" s="56"/>
    </row>
    <row r="80" spans="1:45" x14ac:dyDescent="0.25">
      <c r="A80" s="73"/>
      <c r="B80" s="73"/>
      <c r="C80" s="299"/>
      <c r="D80" s="73"/>
      <c r="E80" s="73"/>
      <c r="F80" s="299"/>
      <c r="G80" s="73"/>
      <c r="H80" s="73"/>
      <c r="I80" s="73"/>
      <c r="J80" s="73"/>
      <c r="K80" s="73"/>
      <c r="L80" s="426" t="s">
        <v>6</v>
      </c>
      <c r="M80" s="426"/>
      <c r="N80" s="426" t="s">
        <v>7</v>
      </c>
      <c r="O80" s="426"/>
      <c r="P80" s="378"/>
      <c r="Q80" s="378"/>
      <c r="R80" s="426" t="s">
        <v>6</v>
      </c>
      <c r="T80" s="210"/>
      <c r="U80" s="56"/>
      <c r="V80" s="56"/>
      <c r="AB80" s="56"/>
      <c r="AC80" s="56"/>
      <c r="AD80" s="56"/>
      <c r="AE80" s="56"/>
      <c r="AF80" s="56"/>
      <c r="AG80" s="155"/>
      <c r="AH80" s="56"/>
      <c r="AI80" s="56"/>
      <c r="AJ80" s="56"/>
      <c r="AK80" s="155"/>
      <c r="AL80" s="56"/>
      <c r="AM80" s="56"/>
      <c r="AN80" s="56"/>
      <c r="AO80" s="56"/>
      <c r="AP80" s="56"/>
    </row>
    <row r="81" spans="1:49" x14ac:dyDescent="0.25">
      <c r="A81" s="378"/>
      <c r="B81" s="378"/>
      <c r="C81" s="194"/>
      <c r="D81" s="378"/>
      <c r="E81" s="378"/>
      <c r="F81" s="194"/>
      <c r="G81" s="378"/>
      <c r="H81" s="378"/>
      <c r="I81" s="378"/>
      <c r="J81" s="378"/>
      <c r="K81" s="378"/>
      <c r="L81" s="426" t="s">
        <v>12</v>
      </c>
      <c r="M81" s="426"/>
      <c r="N81" s="426" t="s">
        <v>13</v>
      </c>
      <c r="O81" s="426"/>
      <c r="P81" s="378"/>
      <c r="Q81" s="378"/>
      <c r="R81" s="426" t="s">
        <v>11</v>
      </c>
      <c r="T81" s="210"/>
      <c r="U81" s="56"/>
      <c r="V81" s="56"/>
      <c r="AA81" s="56"/>
      <c r="AB81" s="56"/>
      <c r="AC81" s="56"/>
      <c r="AD81" s="56"/>
      <c r="AE81" s="56"/>
      <c r="AF81" s="56"/>
      <c r="AG81" s="155"/>
      <c r="AH81" s="56"/>
      <c r="AI81" s="56"/>
      <c r="AJ81" s="56"/>
      <c r="AK81" s="155"/>
      <c r="AL81" s="56"/>
      <c r="AM81" s="56"/>
      <c r="AN81" s="56"/>
      <c r="AO81" s="56"/>
      <c r="AP81" s="56"/>
    </row>
    <row r="82" spans="1:49" x14ac:dyDescent="0.25">
      <c r="A82" s="426" t="s">
        <v>17</v>
      </c>
      <c r="B82" s="378"/>
      <c r="C82" s="197" t="s">
        <v>18</v>
      </c>
      <c r="D82" s="426" t="s">
        <v>19</v>
      </c>
      <c r="E82" s="426"/>
      <c r="F82" s="197" t="s">
        <v>20</v>
      </c>
      <c r="G82" s="378"/>
      <c r="H82" s="378"/>
      <c r="I82" s="378"/>
      <c r="J82" s="426" t="s">
        <v>6</v>
      </c>
      <c r="K82" s="426"/>
      <c r="L82" s="426" t="s">
        <v>707</v>
      </c>
      <c r="M82" s="426"/>
      <c r="N82" s="426" t="s">
        <v>707</v>
      </c>
      <c r="O82" s="426"/>
      <c r="P82" s="426" t="s">
        <v>707</v>
      </c>
      <c r="Q82" s="426"/>
      <c r="R82" s="426" t="s">
        <v>9</v>
      </c>
      <c r="T82" s="210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154"/>
      <c r="AH82" s="55"/>
      <c r="AI82" s="55"/>
      <c r="AJ82" s="55"/>
      <c r="AK82" s="154"/>
      <c r="AL82" s="55"/>
      <c r="AM82" s="55"/>
      <c r="AN82" s="55"/>
      <c r="AO82" s="55"/>
      <c r="AP82" s="55"/>
    </row>
    <row r="83" spans="1:49" ht="17.100000000000001" customHeight="1" x14ac:dyDescent="0.25">
      <c r="A83" s="426" t="s">
        <v>24</v>
      </c>
      <c r="B83" s="378"/>
      <c r="C83" s="197" t="s">
        <v>25</v>
      </c>
      <c r="D83" s="426" t="s">
        <v>26</v>
      </c>
      <c r="E83" s="426"/>
      <c r="F83" s="197" t="s">
        <v>27</v>
      </c>
      <c r="G83" s="378"/>
      <c r="H83" s="426" t="s">
        <v>28</v>
      </c>
      <c r="I83" s="426"/>
      <c r="J83" s="70" t="s">
        <v>381</v>
      </c>
      <c r="K83" s="426"/>
      <c r="L83" s="426" t="s">
        <v>9</v>
      </c>
      <c r="M83" s="426"/>
      <c r="N83" s="426" t="s">
        <v>9</v>
      </c>
      <c r="O83" s="426"/>
      <c r="P83" s="426" t="s">
        <v>379</v>
      </c>
      <c r="Q83" s="426"/>
      <c r="R83" s="265" t="s">
        <v>30</v>
      </c>
      <c r="AA83" s="56"/>
      <c r="AB83" s="56"/>
      <c r="AC83" s="56"/>
      <c r="AD83" s="56"/>
      <c r="AE83" s="56"/>
      <c r="AF83" s="56"/>
      <c r="AG83" s="155"/>
      <c r="AH83" s="56"/>
      <c r="AI83" s="56"/>
      <c r="AJ83" s="56"/>
      <c r="AK83" s="155"/>
      <c r="AL83" s="56"/>
      <c r="AM83" s="56"/>
      <c r="AN83" s="56"/>
      <c r="AO83" s="56"/>
      <c r="AP83" s="56"/>
    </row>
    <row r="84" spans="1:49" x14ac:dyDescent="0.25">
      <c r="A84" s="378"/>
      <c r="B84" s="378"/>
      <c r="C84" s="512" t="s">
        <v>35</v>
      </c>
      <c r="D84" s="265" t="s">
        <v>36</v>
      </c>
      <c r="E84" s="265"/>
      <c r="F84" s="512" t="s">
        <v>37</v>
      </c>
      <c r="G84" s="218"/>
      <c r="H84" s="265" t="s">
        <v>38</v>
      </c>
      <c r="I84" s="265"/>
      <c r="J84" s="265" t="s">
        <v>39</v>
      </c>
      <c r="K84" s="265"/>
      <c r="L84" s="265" t="s">
        <v>40</v>
      </c>
      <c r="M84" s="265"/>
      <c r="N84" s="265" t="s">
        <v>41</v>
      </c>
      <c r="O84" s="265"/>
      <c r="P84" s="265" t="s">
        <v>42</v>
      </c>
      <c r="Q84" s="265"/>
      <c r="R84" s="265" t="s">
        <v>43</v>
      </c>
      <c r="T84" s="210"/>
      <c r="U84" s="54"/>
    </row>
    <row r="85" spans="1:49" x14ac:dyDescent="0.25">
      <c r="A85" s="73"/>
      <c r="B85" s="73"/>
      <c r="C85" s="299"/>
      <c r="D85" s="73"/>
      <c r="E85" s="73"/>
      <c r="F85" s="299"/>
      <c r="G85" s="73"/>
      <c r="H85" s="496" t="s">
        <v>51</v>
      </c>
      <c r="I85" s="496"/>
      <c r="J85" s="495" t="s">
        <v>71</v>
      </c>
      <c r="K85" s="496"/>
      <c r="L85" s="496" t="s">
        <v>52</v>
      </c>
      <c r="M85" s="496"/>
      <c r="N85" s="496" t="s">
        <v>53</v>
      </c>
      <c r="O85" s="496"/>
      <c r="P85" s="496" t="s">
        <v>52</v>
      </c>
      <c r="Q85" s="496"/>
      <c r="R85" s="496" t="s">
        <v>52</v>
      </c>
      <c r="T85" s="210"/>
      <c r="U85" s="54"/>
    </row>
    <row r="86" spans="1:49" x14ac:dyDescent="0.25">
      <c r="A86" s="366">
        <v>45</v>
      </c>
      <c r="B86" s="378"/>
      <c r="C86" s="520" t="s">
        <v>673</v>
      </c>
      <c r="D86" s="444" t="s">
        <v>686</v>
      </c>
      <c r="E86" s="46"/>
      <c r="F86" s="131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192"/>
      <c r="V86" s="221"/>
      <c r="AO86" s="209"/>
    </row>
    <row r="87" spans="1:49" x14ac:dyDescent="0.25">
      <c r="A87" s="366">
        <v>46</v>
      </c>
      <c r="B87" s="378"/>
      <c r="C87" s="444" t="s">
        <v>740</v>
      </c>
      <c r="D87" s="52"/>
      <c r="E87" s="46"/>
      <c r="F87" s="131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192"/>
      <c r="V87" s="221"/>
      <c r="Y87" s="574"/>
      <c r="AO87" s="209"/>
    </row>
    <row r="88" spans="1:49" x14ac:dyDescent="0.25">
      <c r="A88" s="366">
        <v>47</v>
      </c>
      <c r="B88" s="378"/>
      <c r="C88" s="195" t="s">
        <v>741</v>
      </c>
      <c r="D88" s="378"/>
      <c r="E88" s="378"/>
      <c r="F88" s="391">
        <v>0</v>
      </c>
      <c r="G88" s="2"/>
      <c r="H88" s="391"/>
      <c r="I88" s="5"/>
      <c r="J88" s="223">
        <f t="shared" ref="J88:J92" si="13">ROUND(AC322+(AC322*$AG$1),2)</f>
        <v>9.56</v>
      </c>
      <c r="K88" s="7"/>
      <c r="L88" s="5">
        <f t="shared" ref="L88:L116" si="14">ROUND((F88*J88),0)</f>
        <v>0</v>
      </c>
      <c r="M88" s="5"/>
      <c r="N88" s="6">
        <v>0</v>
      </c>
      <c r="O88" s="8"/>
      <c r="P88" s="5"/>
      <c r="Q88" s="5"/>
      <c r="R88" s="5">
        <f t="shared" ref="R88:R116" si="15">L88+P88</f>
        <v>0</v>
      </c>
      <c r="S88" s="192"/>
      <c r="V88" s="221"/>
      <c r="Y88" s="574"/>
      <c r="AO88" s="209"/>
    </row>
    <row r="89" spans="1:49" x14ac:dyDescent="0.25">
      <c r="A89" s="366">
        <v>48</v>
      </c>
      <c r="B89" s="378"/>
      <c r="C89" s="195" t="s">
        <v>742</v>
      </c>
      <c r="D89" s="52"/>
      <c r="E89" s="46"/>
      <c r="F89" s="391">
        <v>0</v>
      </c>
      <c r="G89" s="2"/>
      <c r="H89" s="391"/>
      <c r="I89" s="2"/>
      <c r="J89" s="223">
        <f t="shared" si="13"/>
        <v>12.98</v>
      </c>
      <c r="K89" s="2"/>
      <c r="L89" s="5">
        <f t="shared" si="14"/>
        <v>0</v>
      </c>
      <c r="M89" s="2"/>
      <c r="N89" s="6">
        <v>0</v>
      </c>
      <c r="O89" s="2"/>
      <c r="P89" s="5"/>
      <c r="Q89" s="2"/>
      <c r="R89" s="5">
        <f t="shared" si="15"/>
        <v>0</v>
      </c>
      <c r="S89" s="192"/>
      <c r="V89" s="221"/>
      <c r="Y89" s="574"/>
      <c r="AO89" s="209"/>
    </row>
    <row r="90" spans="1:49" x14ac:dyDescent="0.25">
      <c r="A90" s="366">
        <v>49</v>
      </c>
      <c r="B90" s="378"/>
      <c r="C90" s="195" t="s">
        <v>743</v>
      </c>
      <c r="D90" s="378"/>
      <c r="E90" s="378"/>
      <c r="F90" s="391">
        <v>0</v>
      </c>
      <c r="G90" s="2"/>
      <c r="H90" s="391"/>
      <c r="I90" s="2"/>
      <c r="J90" s="223">
        <f t="shared" si="13"/>
        <v>11.05</v>
      </c>
      <c r="K90" s="7"/>
      <c r="L90" s="5">
        <f t="shared" si="14"/>
        <v>0</v>
      </c>
      <c r="M90" s="2"/>
      <c r="N90" s="6">
        <v>0</v>
      </c>
      <c r="O90" s="2"/>
      <c r="P90" s="5"/>
      <c r="Q90" s="2"/>
      <c r="R90" s="5">
        <f t="shared" si="15"/>
        <v>0</v>
      </c>
      <c r="S90" s="192"/>
      <c r="V90" s="221"/>
      <c r="Y90" s="574"/>
      <c r="AO90" s="209"/>
    </row>
    <row r="91" spans="1:49" x14ac:dyDescent="0.25">
      <c r="A91" s="366">
        <v>50</v>
      </c>
      <c r="B91" s="378"/>
      <c r="C91" s="195" t="s">
        <v>744</v>
      </c>
      <c r="D91" s="378"/>
      <c r="E91" s="378"/>
      <c r="F91" s="391">
        <v>0</v>
      </c>
      <c r="G91" s="2"/>
      <c r="H91" s="391"/>
      <c r="I91" s="2"/>
      <c r="J91" s="223">
        <f t="shared" si="13"/>
        <v>14.02</v>
      </c>
      <c r="K91" s="7"/>
      <c r="L91" s="5">
        <f t="shared" si="14"/>
        <v>0</v>
      </c>
      <c r="M91" s="2"/>
      <c r="N91" s="6">
        <v>0</v>
      </c>
      <c r="O91" s="2"/>
      <c r="P91" s="5"/>
      <c r="Q91" s="2"/>
      <c r="R91" s="5">
        <f t="shared" si="15"/>
        <v>0</v>
      </c>
      <c r="S91" s="192"/>
      <c r="V91" s="221"/>
      <c r="Y91" s="574"/>
      <c r="AO91" s="209"/>
    </row>
    <row r="92" spans="1:49" x14ac:dyDescent="0.25">
      <c r="A92" s="366">
        <v>51</v>
      </c>
      <c r="B92" s="378"/>
      <c r="C92" s="195" t="s">
        <v>745</v>
      </c>
      <c r="D92" s="378"/>
      <c r="E92" s="378"/>
      <c r="F92" s="391">
        <v>0</v>
      </c>
      <c r="G92" s="131"/>
      <c r="H92" s="391"/>
      <c r="I92" s="86"/>
      <c r="J92" s="223">
        <f t="shared" si="13"/>
        <v>7.71</v>
      </c>
      <c r="K92" s="485"/>
      <c r="L92" s="5">
        <f t="shared" si="14"/>
        <v>0</v>
      </c>
      <c r="M92" s="5"/>
      <c r="N92" s="6">
        <v>0</v>
      </c>
      <c r="O92" s="6"/>
      <c r="P92" s="5"/>
      <c r="Q92" s="5"/>
      <c r="R92" s="5">
        <f t="shared" si="15"/>
        <v>0</v>
      </c>
      <c r="S92" s="192"/>
      <c r="V92" s="221"/>
      <c r="Y92" s="574"/>
      <c r="AO92" s="209"/>
    </row>
    <row r="93" spans="1:49" x14ac:dyDescent="0.25">
      <c r="A93" s="366">
        <v>52</v>
      </c>
      <c r="B93" s="378"/>
      <c r="C93" s="195" t="s">
        <v>746</v>
      </c>
      <c r="D93" s="378"/>
      <c r="E93" s="378"/>
      <c r="F93" s="391">
        <v>0</v>
      </c>
      <c r="G93" s="131"/>
      <c r="H93" s="391"/>
      <c r="I93" s="86"/>
      <c r="J93" s="223">
        <f>ROUND(AC299+(AC299*$AG$1),2)</f>
        <v>10.44</v>
      </c>
      <c r="K93" s="485"/>
      <c r="L93" s="5">
        <f t="shared" si="14"/>
        <v>0</v>
      </c>
      <c r="M93" s="5"/>
      <c r="N93" s="6">
        <v>0</v>
      </c>
      <c r="O93" s="6"/>
      <c r="P93" s="5"/>
      <c r="Q93" s="5"/>
      <c r="R93" s="5">
        <f t="shared" si="15"/>
        <v>0</v>
      </c>
      <c r="S93" s="192"/>
      <c r="V93" s="221"/>
      <c r="Y93" s="574"/>
      <c r="AO93" s="209"/>
    </row>
    <row r="94" spans="1:49" ht="20.100000000000001" customHeight="1" x14ac:dyDescent="0.25">
      <c r="A94" s="366">
        <v>53</v>
      </c>
      <c r="B94" s="378"/>
      <c r="C94" s="195" t="s">
        <v>747</v>
      </c>
      <c r="D94" s="378"/>
      <c r="E94" s="378"/>
      <c r="F94" s="391">
        <v>0</v>
      </c>
      <c r="G94" s="131"/>
      <c r="H94" s="391"/>
      <c r="I94" s="86"/>
      <c r="J94" s="223">
        <f>ROUND(AC328+(AC328*$AG$1),2)</f>
        <v>13.98</v>
      </c>
      <c r="K94" s="485"/>
      <c r="L94" s="5">
        <f t="shared" si="14"/>
        <v>0</v>
      </c>
      <c r="M94" s="5"/>
      <c r="N94" s="6">
        <v>0</v>
      </c>
      <c r="O94" s="6"/>
      <c r="P94" s="5"/>
      <c r="Q94" s="5"/>
      <c r="R94" s="5">
        <f t="shared" si="15"/>
        <v>0</v>
      </c>
      <c r="AE94" s="56"/>
      <c r="AF94" s="56"/>
      <c r="AG94" s="155"/>
      <c r="AH94" s="56"/>
      <c r="AI94" s="56"/>
      <c r="AJ94" s="56"/>
      <c r="AK94" s="155"/>
      <c r="AL94" s="56"/>
      <c r="AM94" s="56"/>
      <c r="AN94" s="56"/>
      <c r="AQ94" s="162"/>
      <c r="AR94" s="56"/>
      <c r="AS94" s="56"/>
    </row>
    <row r="95" spans="1:49" x14ac:dyDescent="0.25">
      <c r="A95" s="366">
        <v>54</v>
      </c>
      <c r="B95" s="378"/>
      <c r="C95" s="195" t="s">
        <v>748</v>
      </c>
      <c r="D95" s="378"/>
      <c r="E95" s="378"/>
      <c r="F95" s="391">
        <v>0</v>
      </c>
      <c r="G95" s="131"/>
      <c r="H95" s="391"/>
      <c r="I95" s="86"/>
      <c r="J95" s="223">
        <f>ROUND(AC330+(AC330*$AG$1),2)</f>
        <v>11.19</v>
      </c>
      <c r="K95" s="485"/>
      <c r="L95" s="5">
        <f t="shared" si="14"/>
        <v>0</v>
      </c>
      <c r="M95" s="5"/>
      <c r="N95" s="6">
        <v>0</v>
      </c>
      <c r="O95" s="6"/>
      <c r="P95" s="5"/>
      <c r="Q95" s="5"/>
      <c r="R95" s="5">
        <f t="shared" si="15"/>
        <v>0</v>
      </c>
      <c r="T95" s="210"/>
      <c r="U95" s="54"/>
    </row>
    <row r="96" spans="1:49" x14ac:dyDescent="0.25">
      <c r="A96" s="366">
        <v>55</v>
      </c>
      <c r="B96" s="378"/>
      <c r="C96" s="195" t="s">
        <v>749</v>
      </c>
      <c r="D96" s="378"/>
      <c r="E96" s="378"/>
      <c r="F96" s="391">
        <v>0</v>
      </c>
      <c r="G96" s="131"/>
      <c r="H96" s="391"/>
      <c r="I96" s="86"/>
      <c r="J96" s="223">
        <f>ROUND(AC300+(AC300*$AG$1),2)</f>
        <v>27.46</v>
      </c>
      <c r="K96" s="485"/>
      <c r="L96" s="5">
        <f t="shared" si="14"/>
        <v>0</v>
      </c>
      <c r="M96" s="5"/>
      <c r="N96" s="6">
        <v>0</v>
      </c>
      <c r="O96" s="6"/>
      <c r="P96" s="5"/>
      <c r="Q96" s="5"/>
      <c r="R96" s="5">
        <f t="shared" si="15"/>
        <v>0</v>
      </c>
      <c r="V96" s="56"/>
      <c r="X96" s="56"/>
      <c r="Y96" s="56"/>
      <c r="Z96" s="56"/>
      <c r="AD96" s="56"/>
      <c r="AE96" s="56"/>
      <c r="AF96" s="56"/>
      <c r="AG96" s="155"/>
      <c r="AH96" s="56"/>
      <c r="AI96" s="56"/>
      <c r="AJ96" s="56"/>
      <c r="AK96" s="155"/>
      <c r="AL96" s="56"/>
      <c r="AM96" s="56"/>
      <c r="AN96" s="56"/>
      <c r="AO96" s="56"/>
      <c r="AP96" s="56"/>
      <c r="AQ96" s="162"/>
      <c r="AR96" s="56"/>
      <c r="AS96" s="56"/>
      <c r="AU96" s="379"/>
      <c r="AV96" s="379"/>
      <c r="AW96" s="50"/>
    </row>
    <row r="97" spans="1:49" x14ac:dyDescent="0.25">
      <c r="A97" s="366">
        <v>56</v>
      </c>
      <c r="B97" s="378"/>
      <c r="C97" s="195" t="s">
        <v>750</v>
      </c>
      <c r="D97" s="378"/>
      <c r="E97" s="378"/>
      <c r="F97" s="391">
        <v>0</v>
      </c>
      <c r="G97" s="131"/>
      <c r="H97" s="391"/>
      <c r="I97" s="86"/>
      <c r="J97" s="223">
        <f>ROUND(AC301+(AC301*$AG$1),2)</f>
        <v>27.76</v>
      </c>
      <c r="K97" s="485"/>
      <c r="L97" s="5">
        <f t="shared" si="14"/>
        <v>0</v>
      </c>
      <c r="M97" s="5"/>
      <c r="N97" s="6">
        <v>0</v>
      </c>
      <c r="O97" s="6"/>
      <c r="P97" s="5"/>
      <c r="Q97" s="5"/>
      <c r="R97" s="5">
        <f t="shared" si="15"/>
        <v>0</v>
      </c>
      <c r="AD97" s="56"/>
      <c r="AE97" s="56"/>
      <c r="AF97" s="56"/>
      <c r="AG97" s="155"/>
      <c r="AH97" s="56"/>
      <c r="AI97" s="56"/>
      <c r="AJ97" s="56"/>
      <c r="AK97" s="155"/>
      <c r="AL97" s="56"/>
      <c r="AM97" s="56"/>
      <c r="AN97" s="56"/>
      <c r="AO97" s="56"/>
      <c r="AP97" s="56"/>
      <c r="AQ97" s="162"/>
      <c r="AR97" s="56"/>
      <c r="AS97" s="56"/>
      <c r="AU97" s="379"/>
      <c r="AV97" s="379"/>
      <c r="AW97" s="476"/>
    </row>
    <row r="98" spans="1:49" x14ac:dyDescent="0.25">
      <c r="A98" s="366">
        <v>57</v>
      </c>
      <c r="B98" s="378"/>
      <c r="C98" s="195" t="s">
        <v>751</v>
      </c>
      <c r="D98" s="378"/>
      <c r="E98" s="378"/>
      <c r="F98" s="391">
        <v>0</v>
      </c>
      <c r="G98" s="131"/>
      <c r="H98" s="391"/>
      <c r="I98" s="86"/>
      <c r="J98" s="223">
        <f>ROUND(AC332+(AC332*$AG$1),2)</f>
        <v>10.34</v>
      </c>
      <c r="K98" s="485"/>
      <c r="L98" s="5">
        <f t="shared" si="14"/>
        <v>0</v>
      </c>
      <c r="M98" s="5"/>
      <c r="N98" s="6">
        <v>0</v>
      </c>
      <c r="O98" s="6"/>
      <c r="P98" s="5"/>
      <c r="Q98" s="5"/>
      <c r="R98" s="5">
        <f t="shared" si="15"/>
        <v>0</v>
      </c>
      <c r="S98" s="84"/>
      <c r="T98" s="53"/>
      <c r="V98" s="575"/>
      <c r="X98" s="54"/>
      <c r="Y98" s="574"/>
      <c r="Z98" s="54"/>
      <c r="AU98" s="379"/>
      <c r="AV98" s="379"/>
      <c r="AW98" s="50"/>
    </row>
    <row r="99" spans="1:49" x14ac:dyDescent="0.25">
      <c r="A99" s="366">
        <v>58</v>
      </c>
      <c r="B99" s="378"/>
      <c r="C99" s="195" t="s">
        <v>752</v>
      </c>
      <c r="D99" s="378"/>
      <c r="E99" s="378"/>
      <c r="F99" s="391">
        <v>0</v>
      </c>
      <c r="G99" s="131"/>
      <c r="H99" s="391"/>
      <c r="I99" s="86"/>
      <c r="J99" s="223">
        <f>ROUND(AC302+(AC302*$AG$1),2)</f>
        <v>10.44</v>
      </c>
      <c r="K99" s="485"/>
      <c r="L99" s="5">
        <f t="shared" si="14"/>
        <v>0</v>
      </c>
      <c r="M99" s="5"/>
      <c r="N99" s="6">
        <v>0</v>
      </c>
      <c r="O99" s="6"/>
      <c r="P99" s="5"/>
      <c r="Q99" s="5"/>
      <c r="R99" s="5">
        <f t="shared" si="15"/>
        <v>0</v>
      </c>
      <c r="S99" s="84"/>
      <c r="T99" s="53"/>
      <c r="V99" s="575"/>
      <c r="X99" s="54"/>
      <c r="Y99" s="574"/>
      <c r="Z99" s="54"/>
      <c r="AU99" s="379"/>
      <c r="AV99" s="379"/>
      <c r="AW99" s="50"/>
    </row>
    <row r="100" spans="1:49" x14ac:dyDescent="0.25">
      <c r="A100" s="366">
        <v>59</v>
      </c>
      <c r="B100" s="378"/>
      <c r="C100" s="195" t="s">
        <v>753</v>
      </c>
      <c r="D100" s="378"/>
      <c r="E100" s="378"/>
      <c r="F100" s="391">
        <v>0</v>
      </c>
      <c r="G100" s="131"/>
      <c r="H100" s="391"/>
      <c r="I100" s="86"/>
      <c r="J100" s="223">
        <f>ROUND(AC334+(AC334*$AG$1),2)</f>
        <v>11.18</v>
      </c>
      <c r="K100" s="485"/>
      <c r="L100" s="5">
        <f t="shared" si="14"/>
        <v>0</v>
      </c>
      <c r="M100" s="5"/>
      <c r="N100" s="6">
        <v>0</v>
      </c>
      <c r="O100" s="6"/>
      <c r="P100" s="5"/>
      <c r="Q100" s="5"/>
      <c r="R100" s="5">
        <f t="shared" si="15"/>
        <v>0</v>
      </c>
      <c r="S100" s="84"/>
      <c r="T100" s="53"/>
      <c r="V100" s="575"/>
      <c r="X100" s="54"/>
      <c r="Y100" s="574"/>
      <c r="Z100" s="54"/>
      <c r="AU100" s="379"/>
      <c r="AV100" s="379"/>
      <c r="AW100" s="50"/>
    </row>
    <row r="101" spans="1:49" x14ac:dyDescent="0.25">
      <c r="A101" s="366">
        <v>60</v>
      </c>
      <c r="B101" s="378"/>
      <c r="C101" s="195" t="s">
        <v>754</v>
      </c>
      <c r="D101" s="378"/>
      <c r="E101" s="378"/>
      <c r="F101" s="391">
        <v>0</v>
      </c>
      <c r="G101" s="131"/>
      <c r="H101" s="391"/>
      <c r="I101" s="86"/>
      <c r="J101" s="223">
        <f>ROUND(AC303+(AC303*$AG$1),2)</f>
        <v>17.670000000000002</v>
      </c>
      <c r="K101" s="485"/>
      <c r="L101" s="5">
        <f t="shared" si="14"/>
        <v>0</v>
      </c>
      <c r="M101" s="5"/>
      <c r="N101" s="6">
        <v>0</v>
      </c>
      <c r="O101" s="6"/>
      <c r="P101" s="5"/>
      <c r="Q101" s="5"/>
      <c r="R101" s="5">
        <f t="shared" si="15"/>
        <v>0</v>
      </c>
      <c r="S101" s="84"/>
      <c r="T101" s="53"/>
      <c r="V101" s="575"/>
      <c r="Y101" s="574"/>
      <c r="AE101" s="62"/>
      <c r="AF101" s="62"/>
      <c r="AG101" s="156"/>
      <c r="AH101" s="379"/>
      <c r="AQ101" s="162"/>
      <c r="AR101" s="379"/>
      <c r="AU101" s="379"/>
      <c r="AV101" s="379"/>
      <c r="AW101" s="50"/>
    </row>
    <row r="102" spans="1:49" x14ac:dyDescent="0.25">
      <c r="A102" s="366">
        <v>61</v>
      </c>
      <c r="B102" s="378"/>
      <c r="C102" s="195" t="s">
        <v>755</v>
      </c>
      <c r="D102" s="378"/>
      <c r="E102" s="378"/>
      <c r="F102" s="391">
        <v>0</v>
      </c>
      <c r="G102" s="131"/>
      <c r="H102" s="391"/>
      <c r="I102" s="86"/>
      <c r="J102" s="223">
        <f t="shared" ref="J102:J108" si="16">ROUND(AC304+(AC304*$AG$1),2)</f>
        <v>13.62</v>
      </c>
      <c r="K102" s="485"/>
      <c r="L102" s="5">
        <f t="shared" si="14"/>
        <v>0</v>
      </c>
      <c r="M102" s="5"/>
      <c r="N102" s="6">
        <v>0</v>
      </c>
      <c r="O102" s="6"/>
      <c r="P102" s="5"/>
      <c r="Q102" s="5"/>
      <c r="R102" s="5">
        <f t="shared" si="15"/>
        <v>0</v>
      </c>
      <c r="S102" s="84"/>
      <c r="T102" s="53"/>
      <c r="V102" s="575"/>
      <c r="Y102" s="574"/>
      <c r="AD102" s="379"/>
      <c r="AE102" s="461"/>
      <c r="AF102" s="461"/>
      <c r="AG102" s="156"/>
      <c r="AH102" s="379"/>
      <c r="AI102" s="50"/>
      <c r="AJ102" s="50"/>
      <c r="AK102" s="156"/>
      <c r="AL102" s="379"/>
      <c r="AM102" s="60"/>
      <c r="AN102" s="60"/>
      <c r="AO102" s="379"/>
      <c r="AP102" s="379"/>
      <c r="AQ102" s="162"/>
      <c r="AR102" s="379"/>
      <c r="AS102" s="50"/>
      <c r="AT102" s="379"/>
      <c r="AU102" s="379"/>
      <c r="AV102" s="379"/>
      <c r="AW102" s="50"/>
    </row>
    <row r="103" spans="1:49" x14ac:dyDescent="0.25">
      <c r="A103" s="366">
        <v>62</v>
      </c>
      <c r="B103" s="378"/>
      <c r="C103" s="195" t="s">
        <v>756</v>
      </c>
      <c r="D103" s="378"/>
      <c r="E103" s="378"/>
      <c r="F103" s="391">
        <v>0</v>
      </c>
      <c r="G103" s="131"/>
      <c r="H103" s="391"/>
      <c r="I103" s="86"/>
      <c r="J103" s="223">
        <f t="shared" si="16"/>
        <v>13.25</v>
      </c>
      <c r="K103" s="485"/>
      <c r="L103" s="5">
        <f t="shared" si="14"/>
        <v>0</v>
      </c>
      <c r="M103" s="5"/>
      <c r="N103" s="6">
        <v>0</v>
      </c>
      <c r="O103" s="6"/>
      <c r="P103" s="5"/>
      <c r="Q103" s="5"/>
      <c r="R103" s="5">
        <f t="shared" si="15"/>
        <v>0</v>
      </c>
      <c r="S103" s="84"/>
      <c r="T103" s="53"/>
      <c r="V103" s="575"/>
      <c r="X103" s="54"/>
      <c r="Y103" s="574"/>
      <c r="Z103" s="54"/>
      <c r="AU103" s="379"/>
      <c r="AV103" s="379"/>
      <c r="AW103" s="50"/>
    </row>
    <row r="104" spans="1:49" x14ac:dyDescent="0.25">
      <c r="A104" s="366">
        <v>63</v>
      </c>
      <c r="B104" s="378"/>
      <c r="C104" s="195" t="s">
        <v>757</v>
      </c>
      <c r="D104" s="378"/>
      <c r="E104" s="378"/>
      <c r="F104" s="391">
        <v>0</v>
      </c>
      <c r="G104" s="131"/>
      <c r="H104" s="391"/>
      <c r="I104" s="86"/>
      <c r="J104" s="223">
        <f t="shared" si="16"/>
        <v>16.38</v>
      </c>
      <c r="K104" s="485"/>
      <c r="L104" s="5">
        <f t="shared" si="14"/>
        <v>0</v>
      </c>
      <c r="M104" s="5"/>
      <c r="N104" s="6">
        <v>0</v>
      </c>
      <c r="O104" s="6"/>
      <c r="P104" s="5"/>
      <c r="Q104" s="5"/>
      <c r="R104" s="5">
        <f t="shared" si="15"/>
        <v>0</v>
      </c>
      <c r="S104" s="84"/>
      <c r="V104" s="575"/>
      <c r="Y104" s="574"/>
      <c r="AQ104" s="162"/>
      <c r="AR104" s="379"/>
      <c r="AT104" s="53"/>
      <c r="AU104" s="379"/>
      <c r="AV104" s="379"/>
      <c r="AW104" s="50"/>
    </row>
    <row r="105" spans="1:49" x14ac:dyDescent="0.25">
      <c r="A105" s="366">
        <v>64</v>
      </c>
      <c r="B105" s="378"/>
      <c r="C105" s="195" t="s">
        <v>688</v>
      </c>
      <c r="D105" s="378"/>
      <c r="E105" s="378"/>
      <c r="F105" s="391">
        <v>0</v>
      </c>
      <c r="G105" s="131"/>
      <c r="H105" s="391"/>
      <c r="I105" s="86"/>
      <c r="J105" s="223">
        <f t="shared" si="16"/>
        <v>6.48</v>
      </c>
      <c r="K105" s="485"/>
      <c r="L105" s="5">
        <f t="shared" si="14"/>
        <v>0</v>
      </c>
      <c r="M105" s="5"/>
      <c r="N105" s="6">
        <v>0</v>
      </c>
      <c r="O105" s="6"/>
      <c r="P105" s="5"/>
      <c r="Q105" s="5"/>
      <c r="R105" s="5">
        <f t="shared" si="15"/>
        <v>0</v>
      </c>
      <c r="S105" s="84"/>
      <c r="T105" s="211"/>
      <c r="U105" s="57"/>
      <c r="V105" s="575"/>
      <c r="X105" s="57"/>
      <c r="Y105" s="574"/>
      <c r="Z105" s="57"/>
      <c r="AD105" s="57"/>
      <c r="AE105" s="58"/>
      <c r="AF105" s="58"/>
      <c r="AG105" s="158"/>
      <c r="AH105" s="57"/>
      <c r="AI105" s="57"/>
      <c r="AJ105" s="57"/>
      <c r="AK105" s="158"/>
      <c r="AL105" s="57"/>
      <c r="AM105" s="57"/>
      <c r="AT105" s="379"/>
      <c r="AU105" s="379"/>
      <c r="AV105" s="379"/>
      <c r="AW105" s="50"/>
    </row>
    <row r="106" spans="1:49" x14ac:dyDescent="0.25">
      <c r="A106" s="366">
        <v>65</v>
      </c>
      <c r="B106" s="378"/>
      <c r="C106" s="195" t="s">
        <v>689</v>
      </c>
      <c r="D106" s="378"/>
      <c r="E106" s="378"/>
      <c r="F106" s="391">
        <v>0</v>
      </c>
      <c r="G106" s="131"/>
      <c r="H106" s="391"/>
      <c r="I106" s="2"/>
      <c r="J106" s="223">
        <f t="shared" si="16"/>
        <v>7.04</v>
      </c>
      <c r="K106" s="7"/>
      <c r="L106" s="5">
        <f t="shared" si="14"/>
        <v>0</v>
      </c>
      <c r="M106" s="2"/>
      <c r="N106" s="6">
        <v>0</v>
      </c>
      <c r="O106" s="2"/>
      <c r="P106" s="5"/>
      <c r="Q106" s="2"/>
      <c r="R106" s="5">
        <f t="shared" si="15"/>
        <v>0</v>
      </c>
      <c r="S106" s="84"/>
      <c r="V106" s="575"/>
      <c r="Y106" s="574"/>
      <c r="AU106" s="379"/>
      <c r="AV106" s="379"/>
      <c r="AW106" s="50"/>
    </row>
    <row r="107" spans="1:49" x14ac:dyDescent="0.25">
      <c r="A107" s="366">
        <v>66</v>
      </c>
      <c r="B107" s="378"/>
      <c r="C107" s="195" t="s">
        <v>690</v>
      </c>
      <c r="D107" s="378"/>
      <c r="E107" s="378"/>
      <c r="F107" s="391">
        <v>0</v>
      </c>
      <c r="G107" s="131"/>
      <c r="H107" s="391"/>
      <c r="I107" s="86"/>
      <c r="J107" s="223">
        <f t="shared" si="16"/>
        <v>10.6</v>
      </c>
      <c r="K107" s="485"/>
      <c r="L107" s="5">
        <f t="shared" si="14"/>
        <v>0</v>
      </c>
      <c r="M107" s="5"/>
      <c r="N107" s="6">
        <v>0</v>
      </c>
      <c r="O107" s="6"/>
      <c r="P107" s="5"/>
      <c r="Q107" s="5"/>
      <c r="R107" s="5">
        <f t="shared" si="15"/>
        <v>0</v>
      </c>
      <c r="S107" s="84"/>
      <c r="V107" s="575"/>
      <c r="Y107" s="574"/>
      <c r="AU107" s="379"/>
      <c r="AV107" s="379"/>
      <c r="AW107" s="50"/>
    </row>
    <row r="108" spans="1:49" x14ac:dyDescent="0.25">
      <c r="A108" s="366">
        <v>67</v>
      </c>
      <c r="B108" s="277"/>
      <c r="C108" s="195" t="s">
        <v>691</v>
      </c>
      <c r="D108" s="277"/>
      <c r="E108" s="378"/>
      <c r="F108" s="391">
        <v>0</v>
      </c>
      <c r="G108" s="131"/>
      <c r="H108" s="391"/>
      <c r="I108" s="86"/>
      <c r="J108" s="223">
        <f t="shared" si="16"/>
        <v>10.99</v>
      </c>
      <c r="K108" s="485"/>
      <c r="L108" s="5">
        <f t="shared" si="14"/>
        <v>0</v>
      </c>
      <c r="M108" s="5"/>
      <c r="N108" s="6">
        <v>0</v>
      </c>
      <c r="O108" s="6"/>
      <c r="P108" s="5"/>
      <c r="Q108" s="5"/>
      <c r="R108" s="5">
        <f t="shared" si="15"/>
        <v>0</v>
      </c>
      <c r="V108" s="418"/>
      <c r="Y108" s="574"/>
      <c r="AU108" s="379"/>
      <c r="AV108" s="379"/>
      <c r="AW108" s="50"/>
    </row>
    <row r="109" spans="1:49" x14ac:dyDescent="0.25">
      <c r="A109" s="366">
        <v>68</v>
      </c>
      <c r="B109" s="277"/>
      <c r="C109" s="195" t="s">
        <v>758</v>
      </c>
      <c r="D109" s="277"/>
      <c r="E109" s="378"/>
      <c r="F109" s="391">
        <v>0</v>
      </c>
      <c r="G109" s="131"/>
      <c r="H109" s="391"/>
      <c r="I109" s="86"/>
      <c r="J109" s="223">
        <v>5.08</v>
      </c>
      <c r="K109" s="485"/>
      <c r="L109" s="5">
        <f t="shared" si="14"/>
        <v>0</v>
      </c>
      <c r="M109" s="5"/>
      <c r="N109" s="6">
        <v>0</v>
      </c>
      <c r="O109" s="6"/>
      <c r="P109" s="5"/>
      <c r="Q109" s="5"/>
      <c r="R109" s="5">
        <f t="shared" si="15"/>
        <v>0</v>
      </c>
      <c r="S109" s="84"/>
      <c r="V109" s="575"/>
      <c r="Y109" s="574"/>
      <c r="AU109" s="379"/>
      <c r="AV109" s="379"/>
      <c r="AW109" s="50"/>
    </row>
    <row r="110" spans="1:49" x14ac:dyDescent="0.25">
      <c r="A110" s="366">
        <v>69</v>
      </c>
      <c r="B110" s="277"/>
      <c r="C110" s="195" t="s">
        <v>759</v>
      </c>
      <c r="D110" s="277"/>
      <c r="E110" s="378"/>
      <c r="F110" s="391">
        <v>0</v>
      </c>
      <c r="G110" s="131"/>
      <c r="H110" s="391"/>
      <c r="I110" s="86"/>
      <c r="J110" s="223">
        <v>5.66</v>
      </c>
      <c r="K110" s="485"/>
      <c r="L110" s="5">
        <f t="shared" si="14"/>
        <v>0</v>
      </c>
      <c r="M110" s="5"/>
      <c r="N110" s="6">
        <v>0</v>
      </c>
      <c r="O110" s="6"/>
      <c r="P110" s="5"/>
      <c r="Q110" s="5"/>
      <c r="R110" s="5">
        <f t="shared" si="15"/>
        <v>0</v>
      </c>
      <c r="S110" s="84"/>
      <c r="V110" s="575"/>
      <c r="Y110" s="574"/>
      <c r="AU110" s="379"/>
      <c r="AV110" s="379"/>
      <c r="AW110" s="50"/>
    </row>
    <row r="111" spans="1:49" x14ac:dyDescent="0.25">
      <c r="A111" s="366">
        <v>70</v>
      </c>
      <c r="B111" s="277"/>
      <c r="C111" s="195" t="s">
        <v>760</v>
      </c>
      <c r="D111" s="277"/>
      <c r="E111" s="378"/>
      <c r="F111" s="391">
        <v>0</v>
      </c>
      <c r="G111" s="131"/>
      <c r="H111" s="391"/>
      <c r="I111" s="86"/>
      <c r="J111" s="223">
        <v>3.35</v>
      </c>
      <c r="K111" s="485"/>
      <c r="L111" s="5">
        <f t="shared" si="14"/>
        <v>0</v>
      </c>
      <c r="M111" s="5"/>
      <c r="N111" s="6">
        <v>0</v>
      </c>
      <c r="O111" s="6"/>
      <c r="P111" s="5"/>
      <c r="Q111" s="5"/>
      <c r="R111" s="5">
        <f t="shared" si="15"/>
        <v>0</v>
      </c>
      <c r="S111" s="84"/>
      <c r="V111" s="575"/>
      <c r="Y111" s="574"/>
      <c r="AU111" s="379"/>
      <c r="AV111" s="379"/>
      <c r="AW111" s="50"/>
    </row>
    <row r="112" spans="1:49" x14ac:dyDescent="0.25">
      <c r="A112" s="366">
        <v>71</v>
      </c>
      <c r="B112" s="277"/>
      <c r="C112" s="195" t="s">
        <v>761</v>
      </c>
      <c r="D112" s="277"/>
      <c r="E112" s="378"/>
      <c r="F112" s="391">
        <v>0</v>
      </c>
      <c r="G112" s="131"/>
      <c r="H112" s="391"/>
      <c r="I112" s="86"/>
      <c r="J112" s="223">
        <v>5.22</v>
      </c>
      <c r="K112" s="485"/>
      <c r="L112" s="5">
        <f t="shared" si="14"/>
        <v>0</v>
      </c>
      <c r="M112" s="5"/>
      <c r="N112" s="6">
        <v>0</v>
      </c>
      <c r="O112" s="6"/>
      <c r="P112" s="5"/>
      <c r="Q112" s="5"/>
      <c r="R112" s="5">
        <f t="shared" si="15"/>
        <v>0</v>
      </c>
      <c r="V112" s="418"/>
      <c r="Y112" s="574"/>
    </row>
    <row r="113" spans="1:25" x14ac:dyDescent="0.25">
      <c r="A113" s="366">
        <v>72</v>
      </c>
      <c r="B113" s="277"/>
      <c r="C113" s="195" t="s">
        <v>762</v>
      </c>
      <c r="D113" s="277"/>
      <c r="E113" s="378"/>
      <c r="F113" s="391">
        <v>0</v>
      </c>
      <c r="G113" s="131"/>
      <c r="H113" s="391"/>
      <c r="I113" s="86"/>
      <c r="J113" s="223">
        <v>2.4500000000000002</v>
      </c>
      <c r="K113" s="485"/>
      <c r="L113" s="5">
        <f t="shared" si="14"/>
        <v>0</v>
      </c>
      <c r="M113" s="5"/>
      <c r="N113" s="6">
        <v>0</v>
      </c>
      <c r="O113" s="6"/>
      <c r="P113" s="5"/>
      <c r="Q113" s="5"/>
      <c r="R113" s="5">
        <f t="shared" si="15"/>
        <v>0</v>
      </c>
      <c r="S113" s="84"/>
      <c r="V113" s="575"/>
      <c r="Y113" s="574"/>
    </row>
    <row r="114" spans="1:25" x14ac:dyDescent="0.25">
      <c r="A114" s="366">
        <v>73</v>
      </c>
      <c r="B114" s="277"/>
      <c r="C114" s="195" t="s">
        <v>763</v>
      </c>
      <c r="D114" s="277"/>
      <c r="E114" s="378"/>
      <c r="F114" s="391">
        <v>0</v>
      </c>
      <c r="G114" s="131"/>
      <c r="H114" s="391"/>
      <c r="I114" s="86"/>
      <c r="J114" s="223">
        <v>2.2999999999999998</v>
      </c>
      <c r="K114" s="485"/>
      <c r="L114" s="5">
        <f t="shared" si="14"/>
        <v>0</v>
      </c>
      <c r="M114" s="5"/>
      <c r="N114" s="6">
        <v>0</v>
      </c>
      <c r="O114" s="6"/>
      <c r="P114" s="5"/>
      <c r="Q114" s="5"/>
      <c r="R114" s="5">
        <f t="shared" si="15"/>
        <v>0</v>
      </c>
      <c r="S114" s="84"/>
      <c r="V114" s="575"/>
      <c r="Y114" s="574"/>
    </row>
    <row r="115" spans="1:25" x14ac:dyDescent="0.25">
      <c r="A115" s="366">
        <v>74</v>
      </c>
      <c r="B115" s="378"/>
      <c r="C115" s="195" t="s">
        <v>764</v>
      </c>
      <c r="D115" s="378"/>
      <c r="E115" s="378"/>
      <c r="F115" s="391">
        <v>0</v>
      </c>
      <c r="G115" s="131"/>
      <c r="H115" s="391"/>
      <c r="I115" s="86"/>
      <c r="J115" s="223">
        <v>2.21</v>
      </c>
      <c r="K115" s="485"/>
      <c r="L115" s="5">
        <f t="shared" si="14"/>
        <v>0</v>
      </c>
      <c r="M115" s="5"/>
      <c r="N115" s="6">
        <v>0</v>
      </c>
      <c r="O115" s="6"/>
      <c r="P115" s="5"/>
      <c r="Q115" s="5"/>
      <c r="R115" s="5">
        <f t="shared" si="15"/>
        <v>0</v>
      </c>
      <c r="S115" s="84"/>
      <c r="V115" s="575"/>
      <c r="Y115" s="574"/>
    </row>
    <row r="116" spans="1:25" x14ac:dyDescent="0.25">
      <c r="A116" s="366">
        <v>75</v>
      </c>
      <c r="B116" s="378"/>
      <c r="C116" s="195" t="s">
        <v>765</v>
      </c>
      <c r="D116" s="378"/>
      <c r="E116" s="378"/>
      <c r="F116" s="391">
        <v>0</v>
      </c>
      <c r="G116" s="131"/>
      <c r="H116" s="391"/>
      <c r="I116" s="86"/>
      <c r="J116" s="223">
        <v>2.38</v>
      </c>
      <c r="K116" s="485"/>
      <c r="L116" s="5">
        <f t="shared" si="14"/>
        <v>0</v>
      </c>
      <c r="M116" s="5"/>
      <c r="N116" s="6">
        <v>0</v>
      </c>
      <c r="O116" s="6"/>
      <c r="P116" s="5"/>
      <c r="Q116" s="5"/>
      <c r="R116" s="5">
        <f t="shared" si="15"/>
        <v>0</v>
      </c>
      <c r="S116" s="84"/>
      <c r="V116" s="575"/>
      <c r="Y116" s="574"/>
    </row>
    <row r="117" spans="1:25" x14ac:dyDescent="0.25">
      <c r="A117" s="366">
        <v>76</v>
      </c>
      <c r="B117" s="378"/>
      <c r="C117" s="518" t="s">
        <v>692</v>
      </c>
      <c r="D117" s="378"/>
      <c r="E117" s="378"/>
      <c r="F117" s="316">
        <f>SUM(F56:F116)</f>
        <v>0</v>
      </c>
      <c r="G117" s="131"/>
      <c r="H117" s="391"/>
      <c r="I117" s="86"/>
      <c r="J117" s="223"/>
      <c r="K117" s="485"/>
      <c r="L117" s="316">
        <f>SUM(L56:L116)</f>
        <v>0</v>
      </c>
      <c r="M117" s="5"/>
      <c r="N117" s="6"/>
      <c r="O117" s="6"/>
      <c r="P117" s="5"/>
      <c r="Q117" s="5"/>
      <c r="R117" s="316">
        <f>SUM(R56:R116)</f>
        <v>0</v>
      </c>
      <c r="S117" s="84"/>
      <c r="V117" s="575"/>
      <c r="Y117" s="574"/>
    </row>
    <row r="118" spans="1:25" x14ac:dyDescent="0.25">
      <c r="A118" s="366"/>
      <c r="B118" s="279"/>
      <c r="C118" s="195"/>
      <c r="D118" s="279"/>
      <c r="E118" s="378"/>
      <c r="F118" s="391"/>
      <c r="G118" s="131"/>
      <c r="H118" s="391"/>
      <c r="I118" s="86"/>
      <c r="J118" s="223"/>
      <c r="K118" s="485"/>
      <c r="L118" s="5"/>
      <c r="M118" s="5"/>
      <c r="N118" s="6"/>
      <c r="O118" s="6"/>
      <c r="P118" s="5"/>
      <c r="Q118" s="5"/>
      <c r="R118" s="5"/>
      <c r="S118" s="84"/>
      <c r="V118" s="575"/>
      <c r="Y118" s="574"/>
    </row>
    <row r="119" spans="1:25" x14ac:dyDescent="0.25">
      <c r="A119" s="366">
        <v>77</v>
      </c>
      <c r="B119" s="279"/>
      <c r="C119" s="222" t="s">
        <v>766</v>
      </c>
      <c r="D119" s="279"/>
      <c r="E119" s="378"/>
      <c r="F119" s="391"/>
      <c r="G119" s="131"/>
      <c r="H119" s="391"/>
      <c r="I119" s="86"/>
      <c r="J119" s="223"/>
      <c r="K119" s="485"/>
      <c r="L119" s="5"/>
      <c r="M119" s="5"/>
      <c r="N119" s="6"/>
      <c r="O119" s="6"/>
      <c r="P119" s="5"/>
      <c r="Q119" s="5"/>
      <c r="R119" s="5"/>
      <c r="S119" s="84"/>
      <c r="V119" s="575"/>
      <c r="Y119" s="574"/>
    </row>
    <row r="120" spans="1:25" x14ac:dyDescent="0.25">
      <c r="A120" s="366">
        <v>78</v>
      </c>
      <c r="B120" s="378"/>
      <c r="C120" s="195" t="s">
        <v>767</v>
      </c>
      <c r="D120" s="378"/>
      <c r="E120" s="378"/>
      <c r="F120" s="391">
        <v>0</v>
      </c>
      <c r="G120" s="131"/>
      <c r="H120" s="391"/>
      <c r="I120" s="86"/>
      <c r="J120" s="223">
        <v>10.33</v>
      </c>
      <c r="K120" s="485"/>
      <c r="L120" s="5">
        <f>ROUND((F120*J120),0)</f>
        <v>0</v>
      </c>
      <c r="M120" s="5"/>
      <c r="N120" s="6">
        <v>0</v>
      </c>
      <c r="O120" s="6"/>
      <c r="P120" s="5"/>
      <c r="Q120" s="5"/>
      <c r="R120" s="5">
        <f t="shared" ref="R120:R132" si="17">L120+P120</f>
        <v>0</v>
      </c>
      <c r="S120" s="84"/>
      <c r="V120" s="575"/>
      <c r="Y120" s="574"/>
    </row>
    <row r="121" spans="1:25" x14ac:dyDescent="0.25">
      <c r="A121" s="366">
        <v>79</v>
      </c>
      <c r="B121" s="378"/>
      <c r="C121" s="195" t="s">
        <v>768</v>
      </c>
      <c r="D121" s="378"/>
      <c r="E121" s="378"/>
      <c r="F121" s="391">
        <v>0</v>
      </c>
      <c r="G121" s="131"/>
      <c r="H121" s="391"/>
      <c r="I121" s="86"/>
      <c r="J121" s="223">
        <v>9.31</v>
      </c>
      <c r="K121" s="485"/>
      <c r="L121" s="5">
        <f t="shared" ref="L121:L132" si="18">ROUND((F121*J121),0)</f>
        <v>0</v>
      </c>
      <c r="M121" s="5"/>
      <c r="N121" s="6">
        <v>0</v>
      </c>
      <c r="O121" s="6"/>
      <c r="P121" s="5"/>
      <c r="Q121" s="5"/>
      <c r="R121" s="5">
        <f t="shared" si="17"/>
        <v>0</v>
      </c>
      <c r="S121" s="84"/>
      <c r="V121" s="575"/>
      <c r="Y121" s="574"/>
    </row>
    <row r="122" spans="1:25" x14ac:dyDescent="0.25">
      <c r="A122" s="366">
        <v>80</v>
      </c>
      <c r="B122" s="378"/>
      <c r="C122" s="195" t="s">
        <v>769</v>
      </c>
      <c r="D122" s="378"/>
      <c r="E122" s="378"/>
      <c r="F122" s="391">
        <v>0</v>
      </c>
      <c r="G122" s="131"/>
      <c r="H122" s="391"/>
      <c r="I122" s="86"/>
      <c r="J122" s="223">
        <v>10.94</v>
      </c>
      <c r="K122" s="485"/>
      <c r="L122" s="5">
        <f t="shared" si="18"/>
        <v>0</v>
      </c>
      <c r="M122" s="5"/>
      <c r="N122" s="6">
        <v>0</v>
      </c>
      <c r="O122" s="6"/>
      <c r="P122" s="5"/>
      <c r="Q122" s="5"/>
      <c r="R122" s="5">
        <f t="shared" si="17"/>
        <v>0</v>
      </c>
      <c r="S122" s="84"/>
      <c r="V122" s="575"/>
      <c r="Y122" s="574"/>
    </row>
    <row r="123" spans="1:25" x14ac:dyDescent="0.25">
      <c r="A123" s="366">
        <v>81</v>
      </c>
      <c r="B123" s="378"/>
      <c r="C123" s="195" t="s">
        <v>770</v>
      </c>
      <c r="D123" s="378"/>
      <c r="E123" s="378"/>
      <c r="F123" s="391">
        <v>0</v>
      </c>
      <c r="G123" s="131"/>
      <c r="H123" s="391"/>
      <c r="I123" s="2"/>
      <c r="J123" s="223">
        <v>10.33</v>
      </c>
      <c r="K123" s="7"/>
      <c r="L123" s="5">
        <f t="shared" si="18"/>
        <v>0</v>
      </c>
      <c r="M123" s="2"/>
      <c r="N123" s="6">
        <v>0</v>
      </c>
      <c r="O123" s="2"/>
      <c r="P123" s="5"/>
      <c r="Q123" s="2"/>
      <c r="R123" s="5">
        <f t="shared" si="17"/>
        <v>0</v>
      </c>
      <c r="S123" s="84"/>
      <c r="V123" s="575"/>
      <c r="Y123" s="574"/>
    </row>
    <row r="124" spans="1:25" x14ac:dyDescent="0.25">
      <c r="A124" s="366">
        <v>82</v>
      </c>
      <c r="B124" s="378"/>
      <c r="C124" s="195" t="s">
        <v>771</v>
      </c>
      <c r="D124" s="378"/>
      <c r="E124" s="378"/>
      <c r="F124" s="391">
        <v>0</v>
      </c>
      <c r="G124" s="131"/>
      <c r="H124" s="391"/>
      <c r="I124" s="86"/>
      <c r="J124" s="223">
        <v>9.31</v>
      </c>
      <c r="K124" s="485"/>
      <c r="L124" s="5">
        <f t="shared" si="18"/>
        <v>0</v>
      </c>
      <c r="M124" s="5"/>
      <c r="N124" s="6">
        <v>0</v>
      </c>
      <c r="O124" s="6"/>
      <c r="P124" s="5"/>
      <c r="Q124" s="5"/>
      <c r="R124" s="5">
        <f t="shared" si="17"/>
        <v>0</v>
      </c>
      <c r="S124" s="84"/>
      <c r="V124" s="575"/>
      <c r="Y124" s="574"/>
    </row>
    <row r="125" spans="1:25" x14ac:dyDescent="0.25">
      <c r="A125" s="366">
        <v>83</v>
      </c>
      <c r="B125" s="378"/>
      <c r="C125" s="195" t="s">
        <v>772</v>
      </c>
      <c r="D125" s="378"/>
      <c r="E125" s="378"/>
      <c r="F125" s="391">
        <v>0</v>
      </c>
      <c r="G125" s="131"/>
      <c r="H125" s="391"/>
      <c r="I125" s="86"/>
      <c r="J125" s="223">
        <v>9.07</v>
      </c>
      <c r="K125" s="485"/>
      <c r="L125" s="5">
        <f t="shared" si="18"/>
        <v>0</v>
      </c>
      <c r="M125" s="5"/>
      <c r="N125" s="6">
        <v>0</v>
      </c>
      <c r="O125" s="6"/>
      <c r="P125" s="5"/>
      <c r="Q125" s="5"/>
      <c r="R125" s="5">
        <f t="shared" si="17"/>
        <v>0</v>
      </c>
      <c r="S125" s="84"/>
      <c r="V125" s="575"/>
      <c r="Y125" s="574"/>
    </row>
    <row r="126" spans="1:25" x14ac:dyDescent="0.25">
      <c r="A126" s="366">
        <v>84</v>
      </c>
      <c r="B126" s="378"/>
      <c r="C126" s="422" t="s">
        <v>773</v>
      </c>
      <c r="F126" s="391">
        <v>0</v>
      </c>
      <c r="G126" s="198"/>
      <c r="H126" s="447"/>
      <c r="I126" s="94"/>
      <c r="J126" s="223">
        <v>10.97</v>
      </c>
      <c r="K126" s="524"/>
      <c r="L126" s="5">
        <f t="shared" si="18"/>
        <v>0</v>
      </c>
      <c r="M126" s="83"/>
      <c r="N126" s="6">
        <v>0</v>
      </c>
      <c r="O126" s="91"/>
      <c r="P126" s="83"/>
      <c r="Q126" s="83"/>
      <c r="R126" s="5">
        <f t="shared" si="17"/>
        <v>0</v>
      </c>
      <c r="S126" s="84"/>
      <c r="V126" s="575"/>
      <c r="Y126" s="574"/>
    </row>
    <row r="127" spans="1:25" x14ac:dyDescent="0.25">
      <c r="A127" s="366">
        <v>85</v>
      </c>
      <c r="B127" s="378"/>
      <c r="C127" s="422" t="s">
        <v>774</v>
      </c>
      <c r="F127" s="391">
        <v>0</v>
      </c>
      <c r="G127" s="198"/>
      <c r="H127" s="447"/>
      <c r="I127" s="94"/>
      <c r="J127" s="223">
        <v>11.73</v>
      </c>
      <c r="K127" s="524"/>
      <c r="L127" s="5">
        <f t="shared" si="18"/>
        <v>0</v>
      </c>
      <c r="M127" s="83"/>
      <c r="N127" s="6">
        <v>0</v>
      </c>
      <c r="O127" s="91"/>
      <c r="P127" s="83"/>
      <c r="Q127" s="83"/>
      <c r="R127" s="5">
        <f t="shared" si="17"/>
        <v>0</v>
      </c>
      <c r="S127" s="84"/>
      <c r="V127" s="575"/>
      <c r="Y127" s="574"/>
    </row>
    <row r="128" spans="1:25" x14ac:dyDescent="0.25">
      <c r="A128" s="366">
        <v>86</v>
      </c>
      <c r="B128" s="378"/>
      <c r="C128" s="301" t="s">
        <v>775</v>
      </c>
      <c r="F128" s="391">
        <v>0</v>
      </c>
      <c r="G128" s="84"/>
      <c r="H128" s="83"/>
      <c r="I128" s="83"/>
      <c r="J128" s="223">
        <v>11.72</v>
      </c>
      <c r="K128" s="84"/>
      <c r="L128" s="5">
        <f t="shared" si="18"/>
        <v>0</v>
      </c>
      <c r="M128" s="83"/>
      <c r="N128" s="6">
        <v>0</v>
      </c>
      <c r="O128" s="103"/>
      <c r="P128" s="379"/>
      <c r="Q128" s="83"/>
      <c r="R128" s="5">
        <f t="shared" si="17"/>
        <v>0</v>
      </c>
      <c r="S128" s="84"/>
      <c r="V128" s="575"/>
      <c r="Y128" s="574"/>
    </row>
    <row r="129" spans="1:46" x14ac:dyDescent="0.25">
      <c r="A129" s="366">
        <v>87</v>
      </c>
      <c r="B129" s="378"/>
      <c r="C129" s="210" t="s">
        <v>776</v>
      </c>
      <c r="F129" s="391">
        <v>0</v>
      </c>
      <c r="G129" s="84"/>
      <c r="H129" s="83"/>
      <c r="I129" s="83"/>
      <c r="J129" s="223">
        <v>11.72</v>
      </c>
      <c r="K129" s="84"/>
      <c r="L129" s="5">
        <f t="shared" si="18"/>
        <v>0</v>
      </c>
      <c r="M129" s="83"/>
      <c r="N129" s="6">
        <v>0</v>
      </c>
      <c r="O129" s="103"/>
      <c r="P129" s="379"/>
      <c r="Q129" s="83"/>
      <c r="R129" s="5">
        <f t="shared" si="17"/>
        <v>0</v>
      </c>
      <c r="S129" s="84"/>
      <c r="V129" s="575"/>
      <c r="Y129" s="574"/>
    </row>
    <row r="130" spans="1:46" x14ac:dyDescent="0.25">
      <c r="A130" s="366">
        <v>88</v>
      </c>
      <c r="B130" s="378"/>
      <c r="C130" s="210" t="s">
        <v>777</v>
      </c>
      <c r="F130" s="391">
        <v>0</v>
      </c>
      <c r="G130" s="84"/>
      <c r="H130" s="83"/>
      <c r="I130" s="83"/>
      <c r="J130" s="223">
        <v>11.72</v>
      </c>
      <c r="K130" s="84"/>
      <c r="L130" s="5">
        <f t="shared" si="18"/>
        <v>0</v>
      </c>
      <c r="M130" s="83"/>
      <c r="N130" s="6">
        <v>0</v>
      </c>
      <c r="O130" s="103"/>
      <c r="P130" s="83"/>
      <c r="Q130" s="83"/>
      <c r="R130" s="5">
        <f t="shared" si="17"/>
        <v>0</v>
      </c>
      <c r="T130" s="210"/>
      <c r="U130" s="57"/>
      <c r="V130" s="418"/>
      <c r="X130" s="57"/>
      <c r="Y130" s="574"/>
      <c r="Z130" s="57"/>
      <c r="AD130" s="57"/>
      <c r="AE130" s="57"/>
      <c r="AF130" s="57"/>
      <c r="AG130" s="158"/>
      <c r="AH130" s="57"/>
      <c r="AI130" s="57"/>
      <c r="AJ130" s="57"/>
      <c r="AK130" s="158"/>
      <c r="AL130" s="57"/>
      <c r="AM130" s="57"/>
      <c r="AT130" s="379"/>
    </row>
    <row r="131" spans="1:46" x14ac:dyDescent="0.25">
      <c r="A131" s="366">
        <v>89</v>
      </c>
      <c r="B131" s="378"/>
      <c r="C131" s="423" t="s">
        <v>778</v>
      </c>
      <c r="F131" s="391">
        <v>0</v>
      </c>
      <c r="G131" s="84"/>
      <c r="H131" s="83"/>
      <c r="I131" s="83"/>
      <c r="J131" s="223">
        <v>10.25</v>
      </c>
      <c r="K131" s="84"/>
      <c r="L131" s="5">
        <f t="shared" si="18"/>
        <v>0</v>
      </c>
      <c r="M131" s="83"/>
      <c r="N131" s="6">
        <v>0</v>
      </c>
      <c r="O131" s="103"/>
      <c r="P131" s="379"/>
      <c r="Q131" s="83"/>
      <c r="R131" s="5">
        <f t="shared" si="17"/>
        <v>0</v>
      </c>
      <c r="S131" s="84"/>
      <c r="T131" s="211"/>
      <c r="U131" s="57"/>
      <c r="V131" s="575"/>
      <c r="X131" s="57"/>
      <c r="Y131" s="574"/>
      <c r="Z131" s="57"/>
      <c r="AD131" s="57"/>
      <c r="AE131" s="58"/>
      <c r="AF131" s="58"/>
      <c r="AG131" s="158"/>
      <c r="AH131" s="57"/>
      <c r="AI131" s="57"/>
      <c r="AJ131" s="57"/>
      <c r="AK131" s="158"/>
      <c r="AL131" s="57"/>
      <c r="AM131" s="57"/>
      <c r="AT131" s="449"/>
    </row>
    <row r="132" spans="1:46" x14ac:dyDescent="0.25">
      <c r="A132" s="366">
        <v>90</v>
      </c>
      <c r="B132" s="378"/>
      <c r="C132" s="301" t="s">
        <v>779</v>
      </c>
      <c r="F132" s="391">
        <v>0</v>
      </c>
      <c r="G132" s="84"/>
      <c r="H132" s="83"/>
      <c r="I132" s="83"/>
      <c r="J132" s="223">
        <v>5.76</v>
      </c>
      <c r="K132" s="84"/>
      <c r="L132" s="5">
        <f t="shared" si="18"/>
        <v>0</v>
      </c>
      <c r="M132" s="83"/>
      <c r="N132" s="6">
        <v>0</v>
      </c>
      <c r="O132" s="103"/>
      <c r="P132" s="379"/>
      <c r="Q132" s="83"/>
      <c r="R132" s="5">
        <f t="shared" si="17"/>
        <v>0</v>
      </c>
      <c r="S132" s="84"/>
      <c r="T132" s="211"/>
      <c r="U132" s="57"/>
      <c r="V132" s="575"/>
      <c r="X132" s="57"/>
      <c r="Y132" s="574"/>
      <c r="Z132" s="57"/>
      <c r="AD132" s="57"/>
      <c r="AE132" s="58"/>
      <c r="AF132" s="58"/>
      <c r="AG132" s="158"/>
      <c r="AH132" s="57"/>
      <c r="AI132" s="57"/>
      <c r="AJ132" s="57"/>
      <c r="AK132" s="158"/>
      <c r="AL132" s="57"/>
      <c r="AM132" s="57"/>
      <c r="AT132" s="449"/>
    </row>
    <row r="133" spans="1:46" x14ac:dyDescent="0.25">
      <c r="A133" s="366">
        <v>91</v>
      </c>
      <c r="B133" s="378"/>
      <c r="C133" s="518" t="s">
        <v>780</v>
      </c>
      <c r="F133" s="316">
        <f>SUM(F120:F132)</f>
        <v>0</v>
      </c>
      <c r="G133" s="131"/>
      <c r="H133" s="391"/>
      <c r="I133" s="86"/>
      <c r="J133" s="223"/>
      <c r="K133" s="485"/>
      <c r="L133" s="316">
        <f>SUM(L120:L132)</f>
        <v>0</v>
      </c>
      <c r="M133" s="5"/>
      <c r="N133" s="6"/>
      <c r="O133" s="6"/>
      <c r="P133" s="5"/>
      <c r="Q133" s="5"/>
      <c r="R133" s="316">
        <f>SUM(R120:R132)</f>
        <v>0</v>
      </c>
      <c r="S133" s="84"/>
      <c r="T133" s="211"/>
      <c r="U133" s="57"/>
      <c r="V133" s="575"/>
      <c r="W133" s="57"/>
      <c r="X133" s="57"/>
      <c r="Y133" s="574"/>
      <c r="Z133" s="57"/>
      <c r="AD133" s="57"/>
      <c r="AE133" s="58"/>
      <c r="AF133" s="58"/>
      <c r="AG133" s="158"/>
      <c r="AH133" s="57"/>
      <c r="AI133" s="57"/>
      <c r="AJ133" s="57"/>
      <c r="AK133" s="158"/>
      <c r="AL133" s="57"/>
      <c r="AM133" s="57"/>
      <c r="AT133" s="449"/>
    </row>
    <row r="134" spans="1:46" x14ac:dyDescent="0.25">
      <c r="A134" s="45"/>
      <c r="B134" s="378"/>
      <c r="C134" s="196"/>
      <c r="D134" s="378"/>
      <c r="E134" s="378"/>
      <c r="F134" s="310"/>
      <c r="G134" s="2"/>
      <c r="H134" s="83"/>
      <c r="I134" s="5"/>
      <c r="J134" s="2"/>
      <c r="K134" s="2"/>
      <c r="L134" s="83"/>
      <c r="M134" s="5"/>
      <c r="N134" s="91"/>
      <c r="O134" s="6"/>
      <c r="P134" s="83"/>
      <c r="Q134" s="5"/>
      <c r="R134" s="83"/>
      <c r="S134" s="84"/>
      <c r="T134" s="211"/>
      <c r="U134" s="57"/>
      <c r="V134" s="575"/>
      <c r="W134" s="57"/>
      <c r="X134" s="57"/>
      <c r="Y134" s="574"/>
      <c r="Z134" s="57"/>
      <c r="AA134" s="391"/>
      <c r="AB134" s="57"/>
      <c r="AC134" s="211"/>
      <c r="AD134" s="57"/>
      <c r="AE134" s="58"/>
      <c r="AF134" s="58"/>
      <c r="AG134" s="158"/>
      <c r="AH134" s="57"/>
      <c r="AI134" s="57"/>
      <c r="AJ134" s="57"/>
      <c r="AK134" s="158"/>
      <c r="AL134" s="57"/>
      <c r="AM134" s="57"/>
      <c r="AT134" s="449"/>
    </row>
    <row r="135" spans="1:46" ht="20.100000000000001" customHeight="1" x14ac:dyDescent="0.25">
      <c r="A135" s="243" t="s">
        <v>78</v>
      </c>
      <c r="B135" s="245"/>
      <c r="C135" s="293"/>
      <c r="D135" s="246"/>
      <c r="E135" s="246"/>
      <c r="F135" s="293"/>
      <c r="G135" s="246"/>
      <c r="H135" s="246"/>
      <c r="I135" s="246"/>
      <c r="J135" s="244"/>
      <c r="K135" s="246"/>
      <c r="L135" s="247"/>
      <c r="M135" s="246"/>
      <c r="N135" s="245"/>
      <c r="O135" s="246"/>
      <c r="P135" s="248"/>
      <c r="Q135" s="249"/>
      <c r="R135" s="249"/>
      <c r="V135" s="56"/>
      <c r="W135" s="56"/>
      <c r="X135" s="56"/>
      <c r="Y135" s="56"/>
      <c r="Z135" s="56"/>
      <c r="AA135" s="83"/>
      <c r="AC135" s="56"/>
      <c r="AD135" s="56"/>
      <c r="AE135" s="56"/>
      <c r="AF135" s="56"/>
      <c r="AG135" s="155"/>
      <c r="AH135" s="56"/>
      <c r="AI135" s="56"/>
      <c r="AJ135" s="56"/>
      <c r="AK135" s="155"/>
      <c r="AL135" s="56"/>
      <c r="AM135" s="56"/>
      <c r="AN135" s="56"/>
      <c r="AO135" s="56"/>
      <c r="AP135" s="56"/>
      <c r="AQ135" s="162"/>
      <c r="AR135" s="56"/>
      <c r="AS135" s="56"/>
    </row>
    <row r="136" spans="1:46" ht="20.100000000000001" customHeight="1" x14ac:dyDescent="0.25">
      <c r="A136" s="243" t="str">
        <f>"(1A) REFLECTS FUEL COST RECOVERY INCLUDED IN BASE RATES OF "&amp;TEXT(CUR_BASE_FUEL,"$0.000000;($0.000000)")&amp;"  PER KWH."</f>
        <v>(1A) REFLECTS FUEL COST RECOVERY INCLUDED IN BASE RATES OF $0.023837  PER KWH.</v>
      </c>
      <c r="B136" s="246"/>
      <c r="C136" s="293"/>
      <c r="D136" s="246"/>
      <c r="E136" s="246"/>
      <c r="F136" s="327"/>
      <c r="G136" s="246"/>
      <c r="H136" s="246"/>
      <c r="I136" s="246"/>
      <c r="J136" s="248"/>
      <c r="K136" s="246"/>
      <c r="L136" s="247"/>
      <c r="M136" s="246"/>
      <c r="N136" s="245"/>
      <c r="O136" s="246"/>
      <c r="P136" s="244"/>
      <c r="Q136" s="249"/>
      <c r="R136" s="249"/>
      <c r="V136" s="56"/>
      <c r="W136" s="56"/>
      <c r="X136" s="56"/>
      <c r="Y136" s="56"/>
      <c r="Z136" s="56"/>
      <c r="AA136" s="83"/>
      <c r="AC136" s="56"/>
      <c r="AD136" s="56"/>
      <c r="AE136" s="56"/>
      <c r="AF136" s="56"/>
      <c r="AG136" s="155"/>
      <c r="AH136" s="56"/>
      <c r="AI136" s="56"/>
      <c r="AJ136" s="56"/>
      <c r="AK136" s="155"/>
      <c r="AL136" s="56"/>
      <c r="AM136" s="56"/>
      <c r="AN136" s="56"/>
      <c r="AO136" s="56"/>
      <c r="AP136" s="56"/>
      <c r="AQ136" s="162"/>
      <c r="AR136" s="56"/>
      <c r="AS136" s="56"/>
    </row>
    <row r="137" spans="1:46" ht="20.100000000000001" customHeight="1" x14ac:dyDescent="0.25">
      <c r="A137" s="243" t="str">
        <f>"(2) REFLECTS FUEL COMPONENT OF "&amp;TEXT(CUR_FAC,"$0.000000;($0.000000)")&amp;"  PER KWH."</f>
        <v>(2) REFLECTS FUEL COMPONENT OF $0.000681  PER KWH.</v>
      </c>
      <c r="B137" s="246"/>
      <c r="C137" s="293"/>
      <c r="D137" s="246"/>
      <c r="E137" s="246"/>
      <c r="F137" s="327"/>
      <c r="G137" s="246"/>
      <c r="H137" s="246"/>
      <c r="I137" s="246"/>
      <c r="J137" s="248"/>
      <c r="K137" s="246"/>
      <c r="L137" s="247"/>
      <c r="M137" s="246"/>
      <c r="N137" s="245"/>
      <c r="O137" s="246"/>
      <c r="P137" s="244"/>
      <c r="Q137" s="249"/>
      <c r="R137" s="249"/>
      <c r="V137" s="56"/>
      <c r="W137" s="56"/>
      <c r="X137" s="56"/>
      <c r="Y137" s="56"/>
      <c r="Z137" s="56"/>
      <c r="AA137" s="83"/>
      <c r="AC137" s="56"/>
      <c r="AD137" s="56"/>
      <c r="AE137" s="56"/>
      <c r="AF137" s="56"/>
      <c r="AG137" s="155"/>
      <c r="AH137" s="56"/>
      <c r="AI137" s="56"/>
      <c r="AJ137" s="56"/>
      <c r="AK137" s="155"/>
      <c r="AL137" s="56"/>
      <c r="AM137" s="56"/>
      <c r="AN137" s="56"/>
      <c r="AO137" s="56"/>
      <c r="AP137" s="56"/>
      <c r="AQ137" s="162"/>
      <c r="AR137" s="56"/>
      <c r="AS137" s="56"/>
    </row>
    <row r="138" spans="1:46" ht="20.100000000000001" customHeight="1" x14ac:dyDescent="0.25">
      <c r="A138" s="244"/>
      <c r="B138" s="246"/>
      <c r="C138" s="293"/>
      <c r="D138" s="246"/>
      <c r="E138" s="246"/>
      <c r="F138" s="327"/>
      <c r="G138" s="246"/>
      <c r="H138" s="246"/>
      <c r="I138" s="246"/>
      <c r="J138" s="244"/>
      <c r="K138" s="246"/>
      <c r="L138" s="247"/>
      <c r="M138" s="246"/>
      <c r="N138" s="245"/>
      <c r="O138" s="246"/>
      <c r="P138" s="244"/>
      <c r="Q138" s="249"/>
      <c r="R138" s="249"/>
      <c r="V138" s="56"/>
      <c r="W138" s="56"/>
      <c r="X138" s="56"/>
      <c r="Y138" s="56"/>
      <c r="Z138" s="56"/>
      <c r="AA138" s="83"/>
      <c r="AC138" s="56"/>
      <c r="AD138" s="56"/>
      <c r="AE138" s="56"/>
      <c r="AF138" s="56"/>
      <c r="AG138" s="155"/>
      <c r="AH138" s="56"/>
      <c r="AI138" s="56"/>
      <c r="AJ138" s="56"/>
      <c r="AK138" s="155"/>
      <c r="AL138" s="56"/>
      <c r="AM138" s="56"/>
      <c r="AN138" s="56"/>
      <c r="AO138" s="56"/>
      <c r="AP138" s="56"/>
      <c r="AQ138" s="162"/>
      <c r="AR138" s="56"/>
      <c r="AS138" s="56"/>
    </row>
    <row r="139" spans="1:46" ht="20.100000000000001" customHeight="1" x14ac:dyDescent="0.25">
      <c r="A139" s="43" t="str">
        <f>NAME</f>
        <v>DUKE ENERGY KENTUCKY, INC.</v>
      </c>
      <c r="B139" s="43"/>
      <c r="C139" s="297"/>
      <c r="D139" s="43"/>
      <c r="E139" s="43"/>
      <c r="F139" s="297"/>
      <c r="G139" s="43"/>
      <c r="H139" s="43"/>
      <c r="I139" s="43"/>
      <c r="J139" s="44"/>
      <c r="K139" s="44"/>
      <c r="L139" s="43"/>
      <c r="M139" s="43"/>
      <c r="N139" s="43"/>
      <c r="O139" s="43"/>
      <c r="P139" s="43"/>
      <c r="Q139" s="43"/>
      <c r="R139" s="43"/>
      <c r="V139" s="56"/>
      <c r="W139" s="56"/>
      <c r="X139" s="56"/>
      <c r="Y139" s="56"/>
      <c r="Z139" s="56"/>
      <c r="AA139" s="83"/>
      <c r="AC139" s="56"/>
      <c r="AD139" s="56"/>
      <c r="AE139" s="56"/>
      <c r="AF139" s="56"/>
      <c r="AG139" s="155"/>
      <c r="AH139" s="56"/>
      <c r="AI139" s="56"/>
      <c r="AJ139" s="56"/>
      <c r="AK139" s="155"/>
      <c r="AL139" s="56"/>
      <c r="AM139" s="56"/>
      <c r="AN139" s="56"/>
      <c r="AO139" s="56"/>
      <c r="AP139" s="56"/>
      <c r="AQ139" s="162"/>
      <c r="AR139" s="56"/>
      <c r="AS139" s="56"/>
    </row>
    <row r="140" spans="1:46" ht="15.75" customHeight="1" x14ac:dyDescent="0.25">
      <c r="A140" s="43" t="str">
        <f>CASE_NO</f>
        <v>CASE NO.   2019-000271</v>
      </c>
      <c r="B140" s="43"/>
      <c r="C140" s="297"/>
      <c r="D140" s="43"/>
      <c r="E140" s="43"/>
      <c r="F140" s="297"/>
      <c r="G140" s="43"/>
      <c r="H140" s="43"/>
      <c r="I140" s="43"/>
      <c r="J140" s="44"/>
      <c r="K140" s="44"/>
      <c r="L140" s="43"/>
      <c r="M140" s="43"/>
      <c r="N140" s="43"/>
      <c r="O140" s="43"/>
      <c r="P140" s="43"/>
      <c r="Q140" s="43"/>
      <c r="R140" s="43"/>
      <c r="V140" s="56"/>
      <c r="W140" s="56"/>
      <c r="X140" s="56"/>
      <c r="Y140" s="56"/>
      <c r="Z140" s="56"/>
      <c r="AA140" s="83"/>
      <c r="AC140" s="56"/>
      <c r="AD140" s="56"/>
      <c r="AE140" s="56"/>
      <c r="AF140" s="56"/>
      <c r="AG140" s="155"/>
      <c r="AH140" s="56"/>
      <c r="AI140" s="56"/>
      <c r="AJ140" s="56"/>
      <c r="AK140" s="155"/>
      <c r="AL140" s="56"/>
      <c r="AM140" s="56"/>
      <c r="AN140" s="56"/>
      <c r="AO140" s="56"/>
      <c r="AP140" s="56"/>
      <c r="AQ140" s="162"/>
      <c r="AR140" s="56"/>
      <c r="AS140" s="56"/>
    </row>
    <row r="141" spans="1:46" ht="24.75" customHeight="1" x14ac:dyDescent="0.25">
      <c r="A141" s="44" t="str">
        <f>TITLE</f>
        <v>ANNUALIZED BASE YEAR REVENUES AT PROPOSED VS. MOST CURRENT RATES</v>
      </c>
      <c r="B141" s="43"/>
      <c r="C141" s="297"/>
      <c r="D141" s="43"/>
      <c r="E141" s="43"/>
      <c r="F141" s="297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T141" s="53"/>
      <c r="V141" s="54"/>
      <c r="Y141" s="205"/>
      <c r="AA141" s="83"/>
      <c r="AC141" s="379"/>
      <c r="AD141" s="379"/>
      <c r="AE141" s="461"/>
      <c r="AF141" s="461"/>
      <c r="AG141" s="156"/>
      <c r="AH141" s="379"/>
      <c r="AI141" s="50"/>
      <c r="AJ141" s="50"/>
      <c r="AK141" s="156"/>
      <c r="AL141" s="379"/>
      <c r="AM141" s="60"/>
      <c r="AN141" s="60"/>
      <c r="AO141" s="379"/>
      <c r="AP141" s="379"/>
      <c r="AQ141" s="162"/>
      <c r="AR141" s="379"/>
      <c r="AS141" s="50"/>
    </row>
    <row r="142" spans="1:46" x14ac:dyDescent="0.25">
      <c r="A142" s="43" t="str">
        <f>DATE</f>
        <v>FOR THE TWELVE MONTHS ENDED November 30, 2019</v>
      </c>
      <c r="B142" s="43"/>
      <c r="C142" s="297"/>
      <c r="D142" s="43"/>
      <c r="E142" s="43"/>
      <c r="F142" s="297"/>
      <c r="G142" s="43"/>
      <c r="H142" s="43"/>
      <c r="I142" s="43"/>
      <c r="J142" s="44"/>
      <c r="K142" s="44"/>
      <c r="L142" s="43"/>
      <c r="M142" s="43"/>
      <c r="N142" s="43"/>
      <c r="O142" s="43"/>
      <c r="P142" s="43"/>
      <c r="Q142" s="43"/>
      <c r="R142" s="43"/>
      <c r="T142" s="53"/>
      <c r="V142" s="54"/>
      <c r="AA142" s="83"/>
      <c r="AC142" s="379"/>
      <c r="AD142" s="379"/>
      <c r="AE142" s="461"/>
      <c r="AF142" s="461"/>
      <c r="AG142" s="156"/>
      <c r="AH142" s="379"/>
      <c r="AI142" s="50"/>
      <c r="AJ142" s="50"/>
      <c r="AK142" s="156"/>
      <c r="AL142" s="379"/>
      <c r="AM142" s="60"/>
      <c r="AN142" s="60"/>
      <c r="AO142" s="379"/>
      <c r="AP142" s="379"/>
      <c r="AQ142" s="162"/>
      <c r="AR142" s="379"/>
      <c r="AS142" s="50"/>
    </row>
    <row r="143" spans="1:46" x14ac:dyDescent="0.25">
      <c r="A143" s="43" t="str">
        <f>SERVICE</f>
        <v>(ELECTRIC SERVICE)</v>
      </c>
      <c r="B143" s="43"/>
      <c r="C143" s="297"/>
      <c r="D143" s="43"/>
      <c r="E143" s="43"/>
      <c r="F143" s="297"/>
      <c r="G143" s="43"/>
      <c r="H143" s="43"/>
      <c r="I143" s="43"/>
      <c r="J143" s="43"/>
      <c r="K143" s="43"/>
      <c r="L143" s="44"/>
      <c r="M143" s="44"/>
      <c r="N143" s="43"/>
      <c r="O143" s="43"/>
      <c r="P143" s="43"/>
      <c r="Q143" s="43"/>
      <c r="R143" s="43"/>
      <c r="S143" s="378"/>
      <c r="T143" s="378"/>
      <c r="U143" s="378"/>
      <c r="V143" s="378"/>
      <c r="AA143" s="83"/>
      <c r="AC143" s="379"/>
      <c r="AD143" s="379"/>
      <c r="AE143" s="59"/>
      <c r="AF143" s="59"/>
      <c r="AG143" s="156"/>
      <c r="AH143" s="379"/>
      <c r="AI143" s="50"/>
      <c r="AJ143" s="50"/>
      <c r="AK143" s="156"/>
      <c r="AL143" s="379"/>
      <c r="AM143" s="60"/>
      <c r="AN143" s="60"/>
      <c r="AO143" s="379"/>
      <c r="AP143" s="379"/>
      <c r="AQ143" s="162"/>
      <c r="AR143" s="379"/>
      <c r="AS143" s="50"/>
    </row>
    <row r="144" spans="1:46" x14ac:dyDescent="0.25">
      <c r="A144" s="45" t="str">
        <f>DATA_PERIOD</f>
        <v>DATA: __X__ BASE PERIOD   ____FORECASTED PERIOD</v>
      </c>
      <c r="B144" s="378"/>
      <c r="C144" s="194"/>
      <c r="D144" s="378"/>
      <c r="E144" s="378"/>
      <c r="F144" s="194"/>
      <c r="G144" s="378"/>
      <c r="H144" s="378"/>
      <c r="I144" s="378"/>
      <c r="J144" s="378"/>
      <c r="K144" s="378"/>
      <c r="L144" s="378"/>
      <c r="M144" s="378"/>
      <c r="N144" s="378"/>
      <c r="O144" s="378"/>
      <c r="P144" s="378"/>
      <c r="Q144" s="378"/>
      <c r="R144" s="46" t="s">
        <v>163</v>
      </c>
      <c r="S144" s="378"/>
      <c r="T144" s="378"/>
      <c r="U144" s="378"/>
      <c r="V144" s="378"/>
      <c r="AA144" s="83"/>
      <c r="AC144" s="379"/>
      <c r="AD144" s="379"/>
      <c r="AE144" s="59"/>
      <c r="AF144" s="59"/>
      <c r="AG144" s="156"/>
      <c r="AH144" s="379"/>
      <c r="AI144" s="50"/>
      <c r="AJ144" s="50"/>
      <c r="AK144" s="156"/>
      <c r="AL144" s="379"/>
      <c r="AM144" s="60"/>
      <c r="AN144" s="60"/>
      <c r="AO144" s="379"/>
      <c r="AP144" s="379"/>
      <c r="AQ144" s="162"/>
      <c r="AR144" s="379"/>
      <c r="AS144" s="50"/>
    </row>
    <row r="145" spans="1:53" x14ac:dyDescent="0.25">
      <c r="A145" s="45" t="str">
        <f>TYPE</f>
        <v>TYPE OF FILING: _X_ ORIGINAL   ___UPDATED  ___ REVISED</v>
      </c>
      <c r="B145" s="378"/>
      <c r="C145" s="194"/>
      <c r="D145" s="378"/>
      <c r="E145" s="378"/>
      <c r="F145" s="194"/>
      <c r="G145" s="378"/>
      <c r="H145" s="378"/>
      <c r="I145" s="378"/>
      <c r="J145" s="378"/>
      <c r="K145" s="378"/>
      <c r="L145" s="378"/>
      <c r="M145" s="378"/>
      <c r="N145" s="378"/>
      <c r="O145" s="378"/>
      <c r="P145" s="378"/>
      <c r="Q145" s="378"/>
      <c r="R145" s="52" t="str">
        <f>"PAGE 23 OF "&amp;TEXT(Page_Num_2.3,"00")</f>
        <v>PAGE 23 OF 23</v>
      </c>
      <c r="S145" s="378"/>
      <c r="T145" s="378"/>
      <c r="U145" s="378"/>
      <c r="V145" s="378"/>
      <c r="AA145" s="379"/>
      <c r="AC145" s="379"/>
      <c r="AD145" s="379"/>
      <c r="AE145" s="59"/>
      <c r="AF145" s="59"/>
      <c r="AG145" s="156"/>
      <c r="AH145" s="379"/>
      <c r="AI145" s="50"/>
      <c r="AJ145" s="50"/>
      <c r="AK145" s="156"/>
      <c r="AL145" s="379"/>
      <c r="AM145" s="60"/>
      <c r="AN145" s="60"/>
      <c r="AO145" s="379"/>
      <c r="AP145" s="379"/>
      <c r="AQ145" s="162"/>
      <c r="AR145" s="379"/>
      <c r="AS145" s="50"/>
    </row>
    <row r="146" spans="1:53" x14ac:dyDescent="0.25">
      <c r="A146" s="46" t="s">
        <v>177</v>
      </c>
      <c r="B146" s="378"/>
      <c r="C146" s="194"/>
      <c r="D146" s="378"/>
      <c r="E146" s="378"/>
      <c r="F146" s="194"/>
      <c r="G146" s="378"/>
      <c r="H146" s="378"/>
      <c r="I146" s="378"/>
      <c r="J146" s="378"/>
      <c r="K146" s="378"/>
      <c r="L146" s="378"/>
      <c r="M146" s="378"/>
      <c r="N146" s="378"/>
      <c r="O146" s="378"/>
      <c r="P146" s="378"/>
      <c r="Q146" s="378"/>
      <c r="R146" s="46" t="s">
        <v>3</v>
      </c>
      <c r="S146" s="378"/>
      <c r="T146" s="378"/>
      <c r="U146" s="378"/>
      <c r="V146" s="378"/>
      <c r="AA146" s="379"/>
      <c r="AC146" s="379"/>
      <c r="AD146" s="379"/>
      <c r="AE146" s="463"/>
      <c r="AF146" s="463"/>
      <c r="AG146" s="156"/>
      <c r="AH146" s="379"/>
      <c r="AI146" s="50"/>
      <c r="AJ146" s="50"/>
      <c r="AK146" s="156"/>
      <c r="AL146" s="379"/>
      <c r="AM146" s="60"/>
      <c r="AN146" s="60"/>
      <c r="AO146" s="379"/>
      <c r="AP146" s="379"/>
      <c r="AQ146" s="162"/>
      <c r="AR146" s="379"/>
      <c r="AS146" s="50"/>
    </row>
    <row r="147" spans="1:53" x14ac:dyDescent="0.25">
      <c r="A147" s="218" t="str">
        <f>TIME</f>
        <v>6 Months Actual and 6 Months Projected with Riders</v>
      </c>
      <c r="B147" s="378"/>
      <c r="C147" s="194"/>
      <c r="D147" s="378"/>
      <c r="E147" s="378"/>
      <c r="F147" s="194"/>
      <c r="G147" s="378"/>
      <c r="H147" s="378"/>
      <c r="I147" s="378"/>
      <c r="J147" s="378"/>
      <c r="K147" s="378"/>
      <c r="M147" s="46"/>
      <c r="N147" s="378"/>
      <c r="O147" s="378"/>
      <c r="P147" s="378"/>
      <c r="Q147" s="378"/>
      <c r="R147" s="45" t="str">
        <f>WIT</f>
        <v>J. L. Kern</v>
      </c>
      <c r="S147" s="378"/>
      <c r="T147" s="378"/>
      <c r="U147" s="378"/>
      <c r="V147" s="378"/>
    </row>
    <row r="148" spans="1:53" ht="18" customHeight="1" x14ac:dyDescent="0.25">
      <c r="A148" s="44" t="s">
        <v>136</v>
      </c>
      <c r="B148" s="43"/>
      <c r="C148" s="297"/>
      <c r="D148" s="43"/>
      <c r="E148" s="43"/>
      <c r="F148" s="297"/>
      <c r="G148" s="43"/>
      <c r="H148" s="43"/>
      <c r="I148" s="43"/>
      <c r="J148" s="43"/>
      <c r="K148" s="43"/>
      <c r="L148" s="44"/>
      <c r="M148" s="44"/>
      <c r="N148" s="43"/>
      <c r="O148" s="43"/>
      <c r="P148" s="43"/>
      <c r="Q148" s="43"/>
      <c r="R148" s="44"/>
      <c r="V148" s="54"/>
      <c r="AA148" s="379"/>
      <c r="AC148" s="379"/>
      <c r="AD148" s="379"/>
      <c r="AE148" s="464"/>
      <c r="AF148" s="464"/>
      <c r="AG148" s="156"/>
      <c r="AH148" s="379"/>
      <c r="AI148" s="50"/>
      <c r="AJ148" s="50"/>
      <c r="AK148" s="156"/>
      <c r="AL148" s="379"/>
      <c r="AM148" s="50"/>
      <c r="AN148" s="50"/>
      <c r="AO148" s="379"/>
      <c r="AP148" s="379"/>
      <c r="AQ148" s="162"/>
      <c r="AR148" s="379"/>
      <c r="AS148" s="50"/>
    </row>
    <row r="149" spans="1:53" ht="15" customHeight="1" x14ac:dyDescent="0.25">
      <c r="A149" s="72"/>
      <c r="B149" s="72"/>
      <c r="C149" s="298"/>
      <c r="D149" s="72"/>
      <c r="E149" s="72"/>
      <c r="F149" s="194"/>
      <c r="G149" s="72"/>
      <c r="H149" s="72"/>
      <c r="I149" s="72"/>
      <c r="J149" s="72"/>
      <c r="K149" s="72"/>
      <c r="L149" s="47"/>
      <c r="M149" s="47"/>
      <c r="N149" s="47"/>
      <c r="O149" s="47"/>
      <c r="P149" s="47"/>
      <c r="Q149" s="47"/>
      <c r="R149" s="47"/>
      <c r="V149" s="54"/>
      <c r="AA149" s="449"/>
      <c r="AC149" s="449"/>
      <c r="AD149" s="449"/>
      <c r="AE149" s="464"/>
      <c r="AF149" s="464"/>
      <c r="AG149" s="156"/>
      <c r="AH149" s="379"/>
      <c r="AI149" s="50"/>
      <c r="AJ149" s="50"/>
      <c r="AK149" s="156"/>
      <c r="AL149" s="379"/>
      <c r="AO149" s="379"/>
      <c r="AP149" s="379"/>
      <c r="AQ149" s="162"/>
      <c r="AR149" s="379"/>
      <c r="AS149" s="50"/>
    </row>
    <row r="150" spans="1:53" x14ac:dyDescent="0.25">
      <c r="A150" s="73"/>
      <c r="B150" s="73"/>
      <c r="C150" s="299"/>
      <c r="D150" s="73"/>
      <c r="E150" s="73"/>
      <c r="F150" s="299"/>
      <c r="G150" s="73"/>
      <c r="H150" s="73"/>
      <c r="I150" s="73"/>
      <c r="J150" s="73"/>
      <c r="K150" s="73"/>
      <c r="L150" s="426" t="s">
        <v>6</v>
      </c>
      <c r="M150" s="426"/>
      <c r="N150" s="426" t="s">
        <v>7</v>
      </c>
      <c r="O150" s="426"/>
      <c r="P150" s="378"/>
      <c r="Q150" s="378"/>
      <c r="R150" s="426" t="s">
        <v>6</v>
      </c>
    </row>
    <row r="151" spans="1:53" x14ac:dyDescent="0.25">
      <c r="A151" s="378"/>
      <c r="B151" s="378"/>
      <c r="C151" s="194"/>
      <c r="D151" s="378"/>
      <c r="E151" s="378"/>
      <c r="F151" s="194"/>
      <c r="G151" s="378"/>
      <c r="H151" s="378"/>
      <c r="I151" s="378"/>
      <c r="J151" s="378"/>
      <c r="K151" s="378"/>
      <c r="L151" s="426" t="s">
        <v>12</v>
      </c>
      <c r="M151" s="426"/>
      <c r="N151" s="426" t="s">
        <v>13</v>
      </c>
      <c r="O151" s="426"/>
      <c r="P151" s="378"/>
      <c r="Q151" s="378"/>
      <c r="R151" s="426" t="s">
        <v>11</v>
      </c>
      <c r="T151" s="53"/>
      <c r="V151" s="54"/>
      <c r="AA151" s="379"/>
      <c r="AC151" s="449"/>
      <c r="AD151" s="449"/>
      <c r="AE151" s="461"/>
      <c r="AF151" s="461"/>
      <c r="AG151" s="156"/>
      <c r="AH151" s="379"/>
      <c r="AI151" s="50"/>
      <c r="AJ151" s="50"/>
      <c r="AK151" s="156"/>
      <c r="AL151" s="379"/>
      <c r="AM151" s="60"/>
      <c r="AN151" s="60"/>
      <c r="AO151" s="53"/>
      <c r="AP151" s="53"/>
      <c r="AQ151" s="162"/>
      <c r="AR151" s="379"/>
      <c r="AS151" s="50"/>
    </row>
    <row r="152" spans="1:53" x14ac:dyDescent="0.25">
      <c r="A152" s="426" t="s">
        <v>17</v>
      </c>
      <c r="B152" s="378"/>
      <c r="C152" s="197" t="s">
        <v>18</v>
      </c>
      <c r="D152" s="426" t="s">
        <v>19</v>
      </c>
      <c r="E152" s="426"/>
      <c r="F152" s="197" t="s">
        <v>20</v>
      </c>
      <c r="G152" s="378"/>
      <c r="H152" s="378"/>
      <c r="I152" s="378"/>
      <c r="J152" s="426" t="s">
        <v>6</v>
      </c>
      <c r="K152" s="426"/>
      <c r="L152" s="426" t="s">
        <v>707</v>
      </c>
      <c r="M152" s="426"/>
      <c r="N152" s="426" t="s">
        <v>707</v>
      </c>
      <c r="O152" s="426"/>
      <c r="P152" s="426" t="s">
        <v>707</v>
      </c>
      <c r="Q152" s="426"/>
      <c r="R152" s="426" t="s">
        <v>9</v>
      </c>
      <c r="S152" s="103"/>
      <c r="T152" s="83"/>
      <c r="U152" s="83"/>
      <c r="V152" s="83"/>
      <c r="Z152" s="56"/>
      <c r="AA152" s="56"/>
      <c r="AB152" s="56"/>
      <c r="AC152" s="56"/>
      <c r="AD152" s="56"/>
      <c r="AE152" s="56"/>
      <c r="AG152" s="155"/>
      <c r="AH152" s="56"/>
      <c r="AI152" s="56"/>
      <c r="AJ152" s="56"/>
      <c r="AK152" s="155"/>
      <c r="AL152" s="56"/>
      <c r="AM152" s="56"/>
      <c r="AN152" s="56"/>
      <c r="AO152" s="56"/>
      <c r="AP152" s="56"/>
      <c r="AQ152" s="155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</row>
    <row r="153" spans="1:53" x14ac:dyDescent="0.25">
      <c r="A153" s="426" t="s">
        <v>24</v>
      </c>
      <c r="B153" s="378"/>
      <c r="C153" s="197" t="s">
        <v>25</v>
      </c>
      <c r="D153" s="426" t="s">
        <v>26</v>
      </c>
      <c r="E153" s="426"/>
      <c r="F153" s="197" t="s">
        <v>27</v>
      </c>
      <c r="G153" s="378"/>
      <c r="H153" s="426" t="s">
        <v>28</v>
      </c>
      <c r="I153" s="426"/>
      <c r="J153" s="70" t="s">
        <v>381</v>
      </c>
      <c r="K153" s="426"/>
      <c r="L153" s="426" t="s">
        <v>9</v>
      </c>
      <c r="M153" s="426"/>
      <c r="N153" s="426" t="s">
        <v>9</v>
      </c>
      <c r="O153" s="426"/>
      <c r="P153" s="426" t="s">
        <v>379</v>
      </c>
      <c r="Q153" s="426"/>
      <c r="R153" s="265" t="s">
        <v>30</v>
      </c>
      <c r="S153" s="103"/>
      <c r="T153" s="83"/>
      <c r="U153" s="83"/>
      <c r="V153" s="83"/>
      <c r="Z153" s="56"/>
      <c r="AA153" s="56"/>
      <c r="AB153" s="56"/>
      <c r="AC153" s="56"/>
      <c r="AD153" s="56"/>
      <c r="AE153" s="56"/>
      <c r="AG153" s="155"/>
      <c r="AH153" s="56"/>
      <c r="AI153" s="56"/>
      <c r="AJ153" s="56"/>
      <c r="AK153" s="155"/>
      <c r="AL153" s="56"/>
      <c r="AM153" s="56"/>
      <c r="AN153" s="56"/>
      <c r="AO153" s="56"/>
      <c r="AP153" s="56"/>
      <c r="AQ153" s="155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</row>
    <row r="154" spans="1:53" x14ac:dyDescent="0.25">
      <c r="A154" s="378"/>
      <c r="B154" s="378"/>
      <c r="C154" s="512" t="s">
        <v>35</v>
      </c>
      <c r="D154" s="265" t="s">
        <v>36</v>
      </c>
      <c r="E154" s="265"/>
      <c r="F154" s="512" t="s">
        <v>37</v>
      </c>
      <c r="G154" s="218"/>
      <c r="H154" s="265" t="s">
        <v>38</v>
      </c>
      <c r="I154" s="265"/>
      <c r="J154" s="265" t="s">
        <v>39</v>
      </c>
      <c r="K154" s="265"/>
      <c r="L154" s="265" t="s">
        <v>40</v>
      </c>
      <c r="M154" s="265"/>
      <c r="N154" s="265" t="s">
        <v>41</v>
      </c>
      <c r="O154" s="265"/>
      <c r="P154" s="265" t="s">
        <v>42</v>
      </c>
      <c r="Q154" s="265"/>
      <c r="R154" s="265" t="s">
        <v>43</v>
      </c>
      <c r="S154" s="103"/>
      <c r="T154" s="83"/>
      <c r="U154" s="83"/>
      <c r="V154" s="83"/>
      <c r="Z154" s="56"/>
      <c r="AA154" s="56"/>
      <c r="AB154" s="56"/>
      <c r="AC154" s="56"/>
      <c r="AD154" s="56"/>
      <c r="AE154" s="56"/>
      <c r="AG154" s="155"/>
      <c r="AH154" s="56"/>
      <c r="AI154" s="56"/>
      <c r="AJ154" s="56"/>
      <c r="AK154" s="155"/>
      <c r="AL154" s="56"/>
      <c r="AM154" s="56"/>
      <c r="AN154" s="56"/>
      <c r="AO154" s="56"/>
      <c r="AP154" s="56"/>
      <c r="AQ154" s="155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</row>
    <row r="155" spans="1:53" x14ac:dyDescent="0.25">
      <c r="A155" s="73"/>
      <c r="B155" s="73"/>
      <c r="C155" s="299"/>
      <c r="D155" s="73"/>
      <c r="E155" s="73"/>
      <c r="F155" s="299"/>
      <c r="G155" s="73"/>
      <c r="H155" s="496" t="s">
        <v>51</v>
      </c>
      <c r="I155" s="496"/>
      <c r="J155" s="495" t="s">
        <v>71</v>
      </c>
      <c r="K155" s="496"/>
      <c r="L155" s="496" t="s">
        <v>52</v>
      </c>
      <c r="M155" s="496"/>
      <c r="N155" s="496" t="s">
        <v>53</v>
      </c>
      <c r="O155" s="496"/>
      <c r="P155" s="496" t="s">
        <v>52</v>
      </c>
      <c r="Q155" s="496"/>
      <c r="R155" s="496" t="s">
        <v>52</v>
      </c>
      <c r="S155" s="103"/>
      <c r="T155" s="83"/>
      <c r="U155" s="83"/>
      <c r="V155" s="83"/>
      <c r="Z155" s="56"/>
      <c r="AA155" s="56"/>
      <c r="AB155" s="56"/>
      <c r="AC155" s="56"/>
      <c r="AD155" s="56"/>
      <c r="AE155" s="56"/>
      <c r="AG155" s="155"/>
      <c r="AH155" s="56"/>
      <c r="AI155" s="56"/>
      <c r="AJ155" s="56"/>
      <c r="AK155" s="155"/>
      <c r="AL155" s="56"/>
      <c r="AM155" s="56"/>
      <c r="AN155" s="56"/>
      <c r="AO155" s="56"/>
      <c r="AP155" s="56"/>
      <c r="AQ155" s="155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</row>
    <row r="156" spans="1:53" x14ac:dyDescent="0.25">
      <c r="A156" s="366">
        <v>92</v>
      </c>
      <c r="B156" s="378"/>
      <c r="C156" s="520" t="s">
        <v>673</v>
      </c>
      <c r="D156" s="444" t="s">
        <v>686</v>
      </c>
      <c r="E156" s="46"/>
      <c r="F156" s="131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103"/>
      <c r="T156" s="83"/>
      <c r="U156" s="83"/>
      <c r="V156" s="83"/>
      <c r="Z156" s="56"/>
      <c r="AA156" s="56"/>
      <c r="AB156" s="56"/>
      <c r="AC156" s="56"/>
      <c r="AD156" s="56"/>
      <c r="AE156" s="56"/>
      <c r="AG156" s="155"/>
      <c r="AH156" s="56"/>
      <c r="AI156" s="56"/>
      <c r="AJ156" s="56"/>
      <c r="AK156" s="155"/>
      <c r="AL156" s="56"/>
      <c r="AM156" s="56"/>
      <c r="AN156" s="56"/>
      <c r="AO156" s="56"/>
      <c r="AP156" s="56"/>
      <c r="AQ156" s="155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</row>
    <row r="157" spans="1:53" x14ac:dyDescent="0.25">
      <c r="A157" s="366">
        <v>93</v>
      </c>
      <c r="B157" s="378"/>
      <c r="C157" s="222" t="s">
        <v>781</v>
      </c>
      <c r="D157" s="52"/>
      <c r="E157" s="46"/>
      <c r="F157" s="131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103"/>
      <c r="T157" s="83"/>
      <c r="U157" s="83"/>
      <c r="V157" s="83"/>
      <c r="Z157" s="56"/>
      <c r="AA157" s="56"/>
      <c r="AB157" s="56"/>
      <c r="AC157" s="56"/>
      <c r="AD157" s="56"/>
      <c r="AE157" s="56"/>
      <c r="AG157" s="155"/>
      <c r="AH157" s="56"/>
      <c r="AI157" s="56"/>
      <c r="AJ157" s="56"/>
      <c r="AK157" s="155"/>
      <c r="AL157" s="56"/>
      <c r="AM157" s="56"/>
      <c r="AN157" s="56"/>
      <c r="AO157" s="56"/>
      <c r="AP157" s="56"/>
      <c r="AQ157" s="155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</row>
    <row r="158" spans="1:53" x14ac:dyDescent="0.25">
      <c r="A158" s="366">
        <v>94</v>
      </c>
      <c r="B158" s="378"/>
      <c r="C158" s="195" t="s">
        <v>782</v>
      </c>
      <c r="D158" s="378"/>
      <c r="E158" s="378"/>
      <c r="F158" s="391">
        <v>0</v>
      </c>
      <c r="G158" s="131"/>
      <c r="H158" s="391"/>
      <c r="I158" s="86"/>
      <c r="J158" s="223">
        <v>1.37</v>
      </c>
      <c r="K158" s="485"/>
      <c r="L158" s="5">
        <f t="shared" ref="L158:L183" si="19">ROUND((F158*J158),0)</f>
        <v>0</v>
      </c>
      <c r="M158" s="5"/>
      <c r="N158" s="6">
        <v>0</v>
      </c>
      <c r="O158" s="6"/>
      <c r="P158" s="5"/>
      <c r="Q158" s="5"/>
      <c r="R158" s="5">
        <f>L158+P158</f>
        <v>0</v>
      </c>
      <c r="S158" s="103"/>
      <c r="T158" s="83"/>
      <c r="U158" s="83"/>
      <c r="V158" s="83"/>
      <c r="Z158" s="56"/>
      <c r="AA158" s="56"/>
      <c r="AB158" s="56"/>
      <c r="AC158" s="56"/>
      <c r="AD158" s="56"/>
      <c r="AE158" s="56"/>
      <c r="AG158" s="155"/>
      <c r="AH158" s="56"/>
      <c r="AI158" s="56"/>
      <c r="AJ158" s="56"/>
      <c r="AK158" s="155"/>
      <c r="AL158" s="56"/>
      <c r="AM158" s="56"/>
      <c r="AN158" s="56"/>
      <c r="AO158" s="56"/>
      <c r="AP158" s="56"/>
      <c r="AQ158" s="155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</row>
    <row r="159" spans="1:53" x14ac:dyDescent="0.25">
      <c r="A159" s="366">
        <v>95</v>
      </c>
      <c r="B159" s="378"/>
      <c r="C159" s="195" t="s">
        <v>783</v>
      </c>
      <c r="D159" s="378"/>
      <c r="E159" s="378"/>
      <c r="F159" s="391">
        <v>0</v>
      </c>
      <c r="G159" s="131"/>
      <c r="H159" s="391"/>
      <c r="I159" s="86"/>
      <c r="J159" s="223">
        <v>1.48</v>
      </c>
      <c r="K159" s="485"/>
      <c r="L159" s="5">
        <f t="shared" si="19"/>
        <v>0</v>
      </c>
      <c r="M159" s="5"/>
      <c r="N159" s="6">
        <v>0</v>
      </c>
      <c r="O159" s="6"/>
      <c r="P159" s="5"/>
      <c r="Q159" s="5"/>
      <c r="R159" s="5">
        <f>L159+P159</f>
        <v>0</v>
      </c>
      <c r="S159" s="103"/>
      <c r="T159" s="83"/>
      <c r="U159" s="83"/>
      <c r="V159" s="83"/>
      <c r="Z159" s="56"/>
      <c r="AA159" s="56"/>
      <c r="AB159" s="56"/>
      <c r="AC159" s="56"/>
      <c r="AD159" s="56"/>
      <c r="AE159" s="56"/>
      <c r="AG159" s="155"/>
      <c r="AH159" s="56"/>
      <c r="AI159" s="56"/>
      <c r="AJ159" s="56"/>
      <c r="AK159" s="155"/>
      <c r="AL159" s="56"/>
      <c r="AM159" s="56"/>
      <c r="AN159" s="56"/>
      <c r="AO159" s="56"/>
      <c r="AP159" s="56"/>
      <c r="AQ159" s="155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</row>
    <row r="160" spans="1:53" x14ac:dyDescent="0.25">
      <c r="A160" s="366">
        <v>96</v>
      </c>
      <c r="B160" s="378"/>
      <c r="C160" s="195" t="s">
        <v>784</v>
      </c>
      <c r="D160" s="378"/>
      <c r="E160" s="378"/>
      <c r="F160" s="391">
        <v>0</v>
      </c>
      <c r="G160" s="131"/>
      <c r="H160" s="391"/>
      <c r="I160" s="86"/>
      <c r="J160" s="223">
        <v>1.36</v>
      </c>
      <c r="K160" s="485"/>
      <c r="L160" s="5">
        <f t="shared" si="19"/>
        <v>0</v>
      </c>
      <c r="M160" s="5"/>
      <c r="N160" s="6">
        <v>0</v>
      </c>
      <c r="O160" s="6"/>
      <c r="P160" s="5"/>
      <c r="Q160" s="5"/>
      <c r="R160" s="5">
        <f t="shared" ref="R160:R183" si="20">L160+P160</f>
        <v>0</v>
      </c>
      <c r="S160" s="103"/>
      <c r="T160" s="83"/>
      <c r="U160" s="83"/>
      <c r="V160" s="83"/>
      <c r="Z160" s="56"/>
      <c r="AA160" s="56"/>
      <c r="AB160" s="56"/>
      <c r="AC160" s="56"/>
      <c r="AD160" s="56"/>
      <c r="AE160" s="56"/>
      <c r="AG160" s="155"/>
      <c r="AH160" s="56"/>
      <c r="AI160" s="56"/>
      <c r="AJ160" s="56"/>
      <c r="AK160" s="155"/>
      <c r="AL160" s="56"/>
      <c r="AM160" s="56"/>
      <c r="AN160" s="56"/>
      <c r="AO160" s="56"/>
      <c r="AP160" s="56"/>
      <c r="AQ160" s="155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</row>
    <row r="161" spans="1:53" x14ac:dyDescent="0.25">
      <c r="A161" s="366">
        <v>97</v>
      </c>
      <c r="B161" s="378"/>
      <c r="C161" s="195" t="s">
        <v>785</v>
      </c>
      <c r="D161" s="378"/>
      <c r="E161" s="378"/>
      <c r="F161" s="391">
        <v>0</v>
      </c>
      <c r="G161" s="131"/>
      <c r="H161" s="391"/>
      <c r="I161" s="86"/>
      <c r="J161" s="223">
        <v>2.19</v>
      </c>
      <c r="K161" s="485"/>
      <c r="L161" s="5">
        <f t="shared" si="19"/>
        <v>0</v>
      </c>
      <c r="M161" s="5"/>
      <c r="N161" s="6">
        <v>0</v>
      </c>
      <c r="O161" s="6"/>
      <c r="P161" s="5"/>
      <c r="Q161" s="5"/>
      <c r="R161" s="5">
        <f t="shared" si="20"/>
        <v>0</v>
      </c>
      <c r="S161" s="103"/>
      <c r="T161" s="83"/>
      <c r="U161" s="83"/>
      <c r="V161" s="83"/>
      <c r="Z161" s="56"/>
      <c r="AA161" s="56"/>
      <c r="AB161" s="56"/>
      <c r="AC161" s="56"/>
      <c r="AD161" s="56"/>
      <c r="AE161" s="56"/>
      <c r="AG161" s="155"/>
      <c r="AH161" s="56"/>
      <c r="AI161" s="56"/>
      <c r="AJ161" s="56"/>
      <c r="AK161" s="155"/>
      <c r="AL161" s="56"/>
      <c r="AM161" s="56"/>
      <c r="AN161" s="56"/>
      <c r="AO161" s="56"/>
      <c r="AP161" s="56"/>
      <c r="AQ161" s="155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</row>
    <row r="162" spans="1:53" x14ac:dyDescent="0.25">
      <c r="A162" s="366">
        <v>98</v>
      </c>
      <c r="B162" s="378"/>
      <c r="C162" s="195" t="s">
        <v>786</v>
      </c>
      <c r="D162" s="378"/>
      <c r="E162" s="378"/>
      <c r="F162" s="391">
        <v>0</v>
      </c>
      <c r="G162" s="131"/>
      <c r="H162" s="391"/>
      <c r="I162" s="86"/>
      <c r="J162" s="223">
        <v>4.53</v>
      </c>
      <c r="K162" s="485"/>
      <c r="L162" s="5">
        <f t="shared" si="19"/>
        <v>0</v>
      </c>
      <c r="M162" s="5"/>
      <c r="N162" s="6">
        <v>0</v>
      </c>
      <c r="O162" s="6"/>
      <c r="P162" s="5"/>
      <c r="Q162" s="5"/>
      <c r="R162" s="5">
        <f t="shared" si="20"/>
        <v>0</v>
      </c>
      <c r="S162" s="103"/>
      <c r="T162" s="83"/>
      <c r="U162" s="83"/>
      <c r="V162" s="83"/>
      <c r="Z162" s="56"/>
      <c r="AA162" s="56"/>
      <c r="AB162" s="56"/>
      <c r="AC162" s="56"/>
      <c r="AD162" s="56"/>
      <c r="AE162" s="56"/>
      <c r="AG162" s="155"/>
      <c r="AH162" s="56"/>
      <c r="AI162" s="56"/>
      <c r="AJ162" s="56"/>
      <c r="AK162" s="155"/>
      <c r="AL162" s="56"/>
      <c r="AM162" s="56"/>
      <c r="AN162" s="56"/>
      <c r="AO162" s="56"/>
      <c r="AP162" s="56"/>
      <c r="AQ162" s="155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</row>
    <row r="163" spans="1:53" x14ac:dyDescent="0.25">
      <c r="A163" s="366">
        <v>99</v>
      </c>
      <c r="B163" s="378"/>
      <c r="C163" s="195" t="s">
        <v>787</v>
      </c>
      <c r="D163" s="378"/>
      <c r="E163" s="378"/>
      <c r="F163" s="391">
        <v>0</v>
      </c>
      <c r="G163" s="131"/>
      <c r="H163" s="391"/>
      <c r="I163" s="86"/>
      <c r="J163" s="223">
        <v>3.59</v>
      </c>
      <c r="K163" s="485"/>
      <c r="L163" s="5">
        <f t="shared" si="19"/>
        <v>0</v>
      </c>
      <c r="M163" s="5"/>
      <c r="N163" s="6">
        <v>0</v>
      </c>
      <c r="O163" s="6"/>
      <c r="P163" s="5"/>
      <c r="Q163" s="5"/>
      <c r="R163" s="5">
        <f t="shared" si="20"/>
        <v>0</v>
      </c>
      <c r="S163" s="103"/>
      <c r="T163" s="83"/>
      <c r="U163" s="83"/>
      <c r="V163" s="83"/>
      <c r="Z163" s="56"/>
      <c r="AA163" s="56"/>
      <c r="AB163" s="56"/>
      <c r="AC163" s="56"/>
      <c r="AD163" s="56"/>
      <c r="AE163" s="56"/>
      <c r="AG163" s="155"/>
      <c r="AH163" s="56"/>
      <c r="AI163" s="56"/>
      <c r="AJ163" s="56"/>
      <c r="AK163" s="155"/>
      <c r="AL163" s="56"/>
      <c r="AM163" s="56"/>
      <c r="AN163" s="56"/>
      <c r="AO163" s="56"/>
      <c r="AP163" s="56"/>
      <c r="AQ163" s="155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</row>
    <row r="164" spans="1:53" x14ac:dyDescent="0.25">
      <c r="A164" s="366">
        <v>100</v>
      </c>
      <c r="B164" s="378"/>
      <c r="C164" s="195" t="s">
        <v>788</v>
      </c>
      <c r="D164" s="378"/>
      <c r="E164" s="378"/>
      <c r="F164" s="391">
        <v>0</v>
      </c>
      <c r="G164" s="131"/>
      <c r="H164" s="391"/>
      <c r="I164" s="86"/>
      <c r="J164" s="223">
        <v>4.37</v>
      </c>
      <c r="K164" s="485"/>
      <c r="L164" s="5">
        <f t="shared" si="19"/>
        <v>0</v>
      </c>
      <c r="M164" s="83"/>
      <c r="N164" s="6">
        <v>0</v>
      </c>
      <c r="O164" s="91"/>
      <c r="P164" s="5"/>
      <c r="Q164" s="83"/>
      <c r="R164" s="5">
        <f t="shared" si="20"/>
        <v>0</v>
      </c>
      <c r="S164" s="103"/>
      <c r="T164" s="83"/>
      <c r="U164" s="83"/>
      <c r="V164" s="83"/>
      <c r="Z164" s="56"/>
      <c r="AA164" s="56"/>
      <c r="AB164" s="56"/>
      <c r="AC164" s="56"/>
      <c r="AD164" s="56"/>
      <c r="AE164" s="56"/>
      <c r="AG164" s="155"/>
      <c r="AH164" s="56"/>
      <c r="AI164" s="56"/>
      <c r="AJ164" s="56"/>
      <c r="AK164" s="155"/>
      <c r="AL164" s="56"/>
      <c r="AM164" s="56"/>
      <c r="AN164" s="56"/>
      <c r="AO164" s="56"/>
      <c r="AP164" s="56"/>
      <c r="AQ164" s="155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</row>
    <row r="165" spans="1:53" x14ac:dyDescent="0.25">
      <c r="A165" s="366">
        <v>101</v>
      </c>
      <c r="B165" s="378"/>
      <c r="C165" s="195" t="s">
        <v>789</v>
      </c>
      <c r="D165" s="378"/>
      <c r="E165" s="378"/>
      <c r="F165" s="391">
        <v>0</v>
      </c>
      <c r="G165" s="131"/>
      <c r="H165" s="391"/>
      <c r="I165" s="86"/>
      <c r="J165" s="223">
        <v>5.28</v>
      </c>
      <c r="K165" s="485"/>
      <c r="L165" s="5">
        <f t="shared" si="19"/>
        <v>0</v>
      </c>
      <c r="M165" s="5"/>
      <c r="N165" s="6">
        <v>0</v>
      </c>
      <c r="O165" s="6"/>
      <c r="P165" s="5"/>
      <c r="Q165" s="5"/>
      <c r="R165" s="5">
        <f t="shared" si="20"/>
        <v>0</v>
      </c>
      <c r="S165" s="103"/>
      <c r="T165" s="83"/>
      <c r="U165" s="83"/>
      <c r="V165" s="83"/>
      <c r="Z165" s="56"/>
      <c r="AA165" s="56"/>
      <c r="AB165" s="56"/>
      <c r="AC165" s="56"/>
      <c r="AD165" s="56"/>
      <c r="AE165" s="56"/>
      <c r="AG165" s="155"/>
      <c r="AH165" s="56"/>
      <c r="AI165" s="56"/>
      <c r="AJ165" s="56"/>
      <c r="AK165" s="155"/>
      <c r="AL165" s="56"/>
      <c r="AM165" s="56"/>
      <c r="AN165" s="56"/>
      <c r="AO165" s="56"/>
      <c r="AP165" s="56"/>
      <c r="AQ165" s="155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</row>
    <row r="166" spans="1:53" x14ac:dyDescent="0.25">
      <c r="A166" s="366">
        <v>102</v>
      </c>
      <c r="B166" s="378"/>
      <c r="C166" s="195" t="s">
        <v>790</v>
      </c>
      <c r="D166" s="378"/>
      <c r="E166" s="378"/>
      <c r="F166" s="391">
        <v>0</v>
      </c>
      <c r="G166" s="2"/>
      <c r="H166" s="391"/>
      <c r="I166" s="5"/>
      <c r="J166" s="223">
        <v>5.64</v>
      </c>
      <c r="K166" s="7"/>
      <c r="L166" s="5">
        <f t="shared" si="19"/>
        <v>0</v>
      </c>
      <c r="M166" s="5"/>
      <c r="N166" s="6">
        <v>0</v>
      </c>
      <c r="O166" s="8"/>
      <c r="P166" s="5"/>
      <c r="Q166" s="5"/>
      <c r="R166" s="5">
        <f t="shared" si="20"/>
        <v>0</v>
      </c>
      <c r="S166" s="103"/>
      <c r="T166" s="83"/>
      <c r="U166" s="83"/>
      <c r="V166" s="83"/>
      <c r="Z166" s="56"/>
      <c r="AA166" s="56"/>
      <c r="AB166" s="56"/>
      <c r="AC166" s="56"/>
      <c r="AD166" s="56"/>
      <c r="AE166" s="56"/>
      <c r="AG166" s="155"/>
      <c r="AH166" s="56"/>
      <c r="AI166" s="56"/>
      <c r="AJ166" s="56"/>
      <c r="AK166" s="155"/>
      <c r="AL166" s="56"/>
      <c r="AM166" s="56"/>
      <c r="AN166" s="56"/>
      <c r="AO166" s="56"/>
      <c r="AP166" s="56"/>
      <c r="AQ166" s="155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</row>
    <row r="167" spans="1:53" x14ac:dyDescent="0.25">
      <c r="A167" s="366">
        <v>103</v>
      </c>
      <c r="B167" s="378"/>
      <c r="C167" s="195" t="s">
        <v>791</v>
      </c>
      <c r="D167" s="52"/>
      <c r="E167" s="46"/>
      <c r="F167" s="391">
        <v>0</v>
      </c>
      <c r="G167" s="2"/>
      <c r="H167" s="391"/>
      <c r="I167" s="2"/>
      <c r="J167" s="223">
        <v>5.67</v>
      </c>
      <c r="K167" s="2"/>
      <c r="L167" s="5">
        <f t="shared" si="19"/>
        <v>0</v>
      </c>
      <c r="M167" s="2"/>
      <c r="N167" s="6">
        <v>0</v>
      </c>
      <c r="O167" s="2"/>
      <c r="P167" s="5"/>
      <c r="Q167" s="2"/>
      <c r="R167" s="5">
        <f t="shared" si="20"/>
        <v>0</v>
      </c>
      <c r="S167" s="103"/>
      <c r="T167" s="83"/>
      <c r="U167" s="83"/>
      <c r="V167" s="83"/>
      <c r="Z167" s="56"/>
      <c r="AA167" s="56"/>
      <c r="AB167" s="56"/>
      <c r="AC167" s="56"/>
      <c r="AD167" s="56"/>
      <c r="AE167" s="56"/>
      <c r="AG167" s="155"/>
      <c r="AH167" s="56"/>
      <c r="AI167" s="56"/>
      <c r="AJ167" s="56"/>
      <c r="AK167" s="155"/>
      <c r="AL167" s="56"/>
      <c r="AM167" s="56"/>
      <c r="AN167" s="56"/>
      <c r="AO167" s="56"/>
      <c r="AP167" s="56"/>
      <c r="AQ167" s="155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</row>
    <row r="168" spans="1:53" x14ac:dyDescent="0.25">
      <c r="A168" s="366">
        <v>104</v>
      </c>
      <c r="B168" s="378"/>
      <c r="C168" s="195" t="s">
        <v>792</v>
      </c>
      <c r="D168" s="378"/>
      <c r="E168" s="378"/>
      <c r="F168" s="391">
        <v>0</v>
      </c>
      <c r="G168" s="2"/>
      <c r="H168" s="391"/>
      <c r="I168" s="2"/>
      <c r="J168" s="223">
        <v>5.98</v>
      </c>
      <c r="K168" s="7"/>
      <c r="L168" s="5">
        <f t="shared" si="19"/>
        <v>0</v>
      </c>
      <c r="M168" s="2"/>
      <c r="N168" s="6">
        <v>0</v>
      </c>
      <c r="O168" s="2"/>
      <c r="P168" s="5"/>
      <c r="Q168" s="2"/>
      <c r="R168" s="5">
        <f t="shared" si="20"/>
        <v>0</v>
      </c>
      <c r="S168" s="103"/>
      <c r="T168" s="83"/>
      <c r="U168" s="83"/>
      <c r="V168" s="83"/>
      <c r="Z168" s="56"/>
      <c r="AA168" s="56"/>
      <c r="AB168" s="56"/>
      <c r="AC168" s="56"/>
      <c r="AD168" s="56"/>
      <c r="AE168" s="56"/>
      <c r="AG168" s="155"/>
      <c r="AH168" s="56"/>
      <c r="AI168" s="56"/>
      <c r="AJ168" s="56"/>
      <c r="AK168" s="155"/>
      <c r="AL168" s="56"/>
      <c r="AM168" s="56"/>
      <c r="AN168" s="56"/>
      <c r="AO168" s="56"/>
      <c r="AP168" s="56"/>
      <c r="AQ168" s="155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</row>
    <row r="169" spans="1:53" x14ac:dyDescent="0.25">
      <c r="A169" s="366">
        <v>105</v>
      </c>
      <c r="B169" s="378"/>
      <c r="C169" s="195" t="s">
        <v>793</v>
      </c>
      <c r="D169" s="378"/>
      <c r="E169" s="378"/>
      <c r="F169" s="391">
        <v>0</v>
      </c>
      <c r="G169" s="2"/>
      <c r="H169" s="391"/>
      <c r="I169" s="2"/>
      <c r="J169" s="223">
        <v>6.8</v>
      </c>
      <c r="K169" s="7"/>
      <c r="L169" s="5">
        <f t="shared" si="19"/>
        <v>0</v>
      </c>
      <c r="M169" s="2"/>
      <c r="N169" s="6">
        <v>0</v>
      </c>
      <c r="O169" s="2"/>
      <c r="P169" s="5"/>
      <c r="Q169" s="2"/>
      <c r="R169" s="5">
        <f t="shared" si="20"/>
        <v>0</v>
      </c>
      <c r="S169" s="103"/>
      <c r="T169" s="83"/>
      <c r="U169" s="83"/>
      <c r="V169" s="83"/>
      <c r="Z169" s="56"/>
      <c r="AA169" s="56"/>
      <c r="AB169" s="56"/>
      <c r="AC169" s="56"/>
      <c r="AD169" s="56"/>
      <c r="AE169" s="56"/>
      <c r="AG169" s="155"/>
      <c r="AH169" s="56"/>
      <c r="AI169" s="56"/>
      <c r="AJ169" s="56"/>
      <c r="AK169" s="155"/>
      <c r="AL169" s="56"/>
      <c r="AM169" s="56"/>
      <c r="AN169" s="56"/>
      <c r="AO169" s="56"/>
      <c r="AP169" s="56"/>
      <c r="AQ169" s="155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</row>
    <row r="170" spans="1:53" x14ac:dyDescent="0.25">
      <c r="A170" s="366">
        <v>106</v>
      </c>
      <c r="B170" s="378"/>
      <c r="C170" s="195" t="s">
        <v>794</v>
      </c>
      <c r="D170" s="378"/>
      <c r="E170" s="378"/>
      <c r="F170" s="391">
        <v>0</v>
      </c>
      <c r="G170" s="131"/>
      <c r="H170" s="391"/>
      <c r="I170" s="86"/>
      <c r="J170" s="223">
        <v>6.95</v>
      </c>
      <c r="K170" s="485"/>
      <c r="L170" s="5">
        <f t="shared" si="19"/>
        <v>0</v>
      </c>
      <c r="M170" s="5"/>
      <c r="N170" s="6">
        <v>0</v>
      </c>
      <c r="O170" s="6"/>
      <c r="P170" s="5"/>
      <c r="Q170" s="5"/>
      <c r="R170" s="5">
        <f t="shared" si="20"/>
        <v>0</v>
      </c>
      <c r="S170" s="103"/>
      <c r="T170" s="83"/>
      <c r="U170" s="83"/>
      <c r="V170" s="83"/>
      <c r="Z170" s="56"/>
      <c r="AA170" s="56"/>
      <c r="AB170" s="56"/>
      <c r="AC170" s="56"/>
      <c r="AD170" s="56"/>
      <c r="AE170" s="56"/>
      <c r="AG170" s="155"/>
      <c r="AH170" s="56"/>
      <c r="AI170" s="56"/>
      <c r="AJ170" s="56"/>
      <c r="AK170" s="155"/>
      <c r="AL170" s="56"/>
      <c r="AM170" s="56"/>
      <c r="AN170" s="56"/>
      <c r="AO170" s="56"/>
      <c r="AP170" s="56"/>
      <c r="AQ170" s="155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</row>
    <row r="171" spans="1:53" x14ac:dyDescent="0.25">
      <c r="A171" s="366">
        <v>107</v>
      </c>
      <c r="B171" s="378"/>
      <c r="C171" s="195" t="s">
        <v>795</v>
      </c>
      <c r="D171" s="378"/>
      <c r="E171" s="378"/>
      <c r="F171" s="391">
        <v>0</v>
      </c>
      <c r="G171" s="131"/>
      <c r="H171" s="391"/>
      <c r="I171" s="86"/>
      <c r="J171" s="223">
        <v>2.2599999999999998</v>
      </c>
      <c r="K171" s="485"/>
      <c r="L171" s="5">
        <f t="shared" si="19"/>
        <v>0</v>
      </c>
      <c r="M171" s="5"/>
      <c r="N171" s="6">
        <v>0</v>
      </c>
      <c r="O171" s="6"/>
      <c r="P171" s="5"/>
      <c r="Q171" s="5"/>
      <c r="R171" s="5">
        <f t="shared" si="20"/>
        <v>0</v>
      </c>
      <c r="S171" s="103"/>
      <c r="T171" s="83"/>
      <c r="U171" s="83"/>
      <c r="V171" s="83"/>
      <c r="Z171" s="56"/>
      <c r="AA171" s="56"/>
      <c r="AB171" s="56"/>
      <c r="AC171" s="56"/>
      <c r="AD171" s="56"/>
      <c r="AE171" s="56"/>
      <c r="AG171" s="155"/>
      <c r="AH171" s="56"/>
      <c r="AI171" s="56"/>
      <c r="AJ171" s="56"/>
      <c r="AK171" s="155"/>
      <c r="AL171" s="56"/>
      <c r="AM171" s="56"/>
      <c r="AN171" s="56"/>
      <c r="AO171" s="56"/>
      <c r="AP171" s="56"/>
      <c r="AQ171" s="155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</row>
    <row r="172" spans="1:53" x14ac:dyDescent="0.25">
      <c r="A172" s="366">
        <v>108</v>
      </c>
      <c r="B172" s="378"/>
      <c r="C172" s="195" t="s">
        <v>796</v>
      </c>
      <c r="D172" s="378"/>
      <c r="E172" s="378"/>
      <c r="F172" s="391">
        <v>0</v>
      </c>
      <c r="G172" s="131"/>
      <c r="H172" s="391"/>
      <c r="I172" s="86"/>
      <c r="J172" s="223">
        <v>1.62</v>
      </c>
      <c r="K172" s="485"/>
      <c r="L172" s="5">
        <f t="shared" si="19"/>
        <v>0</v>
      </c>
      <c r="M172" s="5"/>
      <c r="N172" s="6">
        <v>0</v>
      </c>
      <c r="O172" s="6"/>
      <c r="P172" s="5"/>
      <c r="Q172" s="5"/>
      <c r="R172" s="5">
        <f t="shared" si="20"/>
        <v>0</v>
      </c>
      <c r="S172" s="103"/>
      <c r="T172" s="83"/>
      <c r="U172" s="83"/>
      <c r="V172" s="83"/>
      <c r="Z172" s="56"/>
      <c r="AA172" s="56"/>
      <c r="AB172" s="56"/>
      <c r="AC172" s="56"/>
      <c r="AD172" s="56"/>
      <c r="AE172" s="56"/>
      <c r="AG172" s="155"/>
      <c r="AH172" s="56"/>
      <c r="AI172" s="56"/>
      <c r="AJ172" s="56"/>
      <c r="AK172" s="155"/>
      <c r="AL172" s="56"/>
      <c r="AM172" s="56"/>
      <c r="AN172" s="56"/>
      <c r="AO172" s="56"/>
      <c r="AP172" s="56"/>
      <c r="AQ172" s="155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</row>
    <row r="173" spans="1:53" x14ac:dyDescent="0.25">
      <c r="A173" s="366">
        <v>109</v>
      </c>
      <c r="B173" s="378"/>
      <c r="C173" s="195" t="s">
        <v>797</v>
      </c>
      <c r="D173" s="378"/>
      <c r="E173" s="378"/>
      <c r="F173" s="391">
        <v>0</v>
      </c>
      <c r="G173" s="131"/>
      <c r="H173" s="391"/>
      <c r="I173" s="86"/>
      <c r="J173" s="223">
        <v>2.0099999999999998</v>
      </c>
      <c r="K173" s="485"/>
      <c r="L173" s="5">
        <f t="shared" si="19"/>
        <v>0</v>
      </c>
      <c r="M173" s="5"/>
      <c r="N173" s="6">
        <v>0</v>
      </c>
      <c r="O173" s="6"/>
      <c r="P173" s="5"/>
      <c r="Q173" s="5"/>
      <c r="R173" s="5">
        <f t="shared" si="20"/>
        <v>0</v>
      </c>
      <c r="S173" s="103"/>
      <c r="T173" s="83"/>
      <c r="U173" s="83"/>
      <c r="V173" s="83"/>
      <c r="Z173" s="56"/>
      <c r="AA173" s="56"/>
      <c r="AB173" s="56"/>
      <c r="AC173" s="56"/>
      <c r="AD173" s="56"/>
      <c r="AE173" s="56"/>
      <c r="AG173" s="155"/>
      <c r="AH173" s="56"/>
      <c r="AI173" s="56"/>
      <c r="AJ173" s="56"/>
      <c r="AK173" s="155"/>
      <c r="AL173" s="56"/>
      <c r="AM173" s="56"/>
      <c r="AN173" s="56"/>
      <c r="AO173" s="56"/>
      <c r="AP173" s="56"/>
      <c r="AQ173" s="155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</row>
    <row r="174" spans="1:53" x14ac:dyDescent="0.25">
      <c r="A174" s="366">
        <v>110</v>
      </c>
      <c r="B174" s="378"/>
      <c r="C174" s="195" t="s">
        <v>798</v>
      </c>
      <c r="D174" s="378"/>
      <c r="E174" s="378"/>
      <c r="F174" s="391">
        <v>0</v>
      </c>
      <c r="G174" s="131"/>
      <c r="H174" s="391"/>
      <c r="I174" s="86"/>
      <c r="J174" s="223">
        <v>2.48</v>
      </c>
      <c r="K174" s="485"/>
      <c r="L174" s="5">
        <f t="shared" si="19"/>
        <v>0</v>
      </c>
      <c r="M174" s="5"/>
      <c r="N174" s="6">
        <v>0</v>
      </c>
      <c r="O174" s="6"/>
      <c r="P174" s="5"/>
      <c r="Q174" s="5"/>
      <c r="R174" s="5">
        <f t="shared" si="20"/>
        <v>0</v>
      </c>
      <c r="S174" s="103"/>
      <c r="T174" s="83"/>
      <c r="U174" s="83"/>
      <c r="V174" s="83"/>
      <c r="Z174" s="56"/>
      <c r="AA174" s="56"/>
      <c r="AB174" s="56"/>
      <c r="AC174" s="56"/>
      <c r="AD174" s="56"/>
      <c r="AE174" s="56"/>
      <c r="AG174" s="155"/>
      <c r="AH174" s="56"/>
      <c r="AI174" s="56"/>
      <c r="AJ174" s="56"/>
      <c r="AK174" s="155"/>
      <c r="AL174" s="56"/>
      <c r="AM174" s="56"/>
      <c r="AN174" s="56"/>
      <c r="AO174" s="56"/>
      <c r="AP174" s="56"/>
      <c r="AQ174" s="155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</row>
    <row r="175" spans="1:53" x14ac:dyDescent="0.25">
      <c r="A175" s="366">
        <v>111</v>
      </c>
      <c r="B175" s="378"/>
      <c r="C175" s="195" t="s">
        <v>799</v>
      </c>
      <c r="D175" s="378"/>
      <c r="E175" s="378"/>
      <c r="F175" s="391">
        <v>0</v>
      </c>
      <c r="G175" s="131"/>
      <c r="H175" s="391"/>
      <c r="I175" s="86"/>
      <c r="J175" s="223">
        <v>2.3199999999999998</v>
      </c>
      <c r="K175" s="485"/>
      <c r="L175" s="5">
        <f t="shared" si="19"/>
        <v>0</v>
      </c>
      <c r="M175" s="5"/>
      <c r="N175" s="6">
        <v>0</v>
      </c>
      <c r="O175" s="6"/>
      <c r="P175" s="5"/>
      <c r="Q175" s="5"/>
      <c r="R175" s="5">
        <f t="shared" si="20"/>
        <v>0</v>
      </c>
      <c r="S175" s="103"/>
      <c r="T175" s="83"/>
      <c r="U175" s="83"/>
      <c r="V175" s="83"/>
      <c r="Z175" s="56"/>
      <c r="AA175" s="56"/>
      <c r="AB175" s="56"/>
      <c r="AC175" s="56"/>
      <c r="AD175" s="56"/>
      <c r="AE175" s="56"/>
      <c r="AG175" s="155"/>
      <c r="AH175" s="56"/>
      <c r="AI175" s="56"/>
      <c r="AJ175" s="56"/>
      <c r="AK175" s="155"/>
      <c r="AL175" s="56"/>
      <c r="AM175" s="56"/>
      <c r="AN175" s="56"/>
      <c r="AO175" s="56"/>
      <c r="AP175" s="56"/>
      <c r="AQ175" s="155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</row>
    <row r="176" spans="1:53" x14ac:dyDescent="0.25">
      <c r="A176" s="366">
        <v>112</v>
      </c>
      <c r="B176" s="378"/>
      <c r="C176" s="195" t="s">
        <v>800</v>
      </c>
      <c r="D176" s="378"/>
      <c r="E176" s="378"/>
      <c r="F176" s="391">
        <v>0</v>
      </c>
      <c r="G176" s="131"/>
      <c r="H176" s="391"/>
      <c r="I176" s="86"/>
      <c r="J176" s="223">
        <v>2.44</v>
      </c>
      <c r="K176" s="485"/>
      <c r="L176" s="5">
        <f t="shared" si="19"/>
        <v>0</v>
      </c>
      <c r="M176" s="5"/>
      <c r="N176" s="6">
        <v>0</v>
      </c>
      <c r="O176" s="6"/>
      <c r="P176" s="5"/>
      <c r="Q176" s="5"/>
      <c r="R176" s="5">
        <f t="shared" si="20"/>
        <v>0</v>
      </c>
      <c r="S176" s="103"/>
      <c r="T176" s="83"/>
      <c r="U176" s="83"/>
      <c r="V176" s="83"/>
      <c r="Z176" s="56"/>
      <c r="AA176" s="56"/>
      <c r="AB176" s="56"/>
      <c r="AC176" s="56"/>
      <c r="AD176" s="56"/>
      <c r="AE176" s="56"/>
      <c r="AG176" s="155"/>
      <c r="AH176" s="56"/>
      <c r="AI176" s="56"/>
      <c r="AJ176" s="56"/>
      <c r="AK176" s="155"/>
      <c r="AL176" s="56"/>
      <c r="AM176" s="56"/>
      <c r="AN176" s="56"/>
      <c r="AO176" s="56"/>
      <c r="AP176" s="56"/>
      <c r="AQ176" s="155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</row>
    <row r="177" spans="1:53" x14ac:dyDescent="0.25">
      <c r="A177" s="366">
        <v>113</v>
      </c>
      <c r="B177" s="378"/>
      <c r="C177" s="195" t="s">
        <v>801</v>
      </c>
      <c r="D177" s="378"/>
      <c r="E177" s="378"/>
      <c r="F177" s="391">
        <v>0</v>
      </c>
      <c r="G177" s="131"/>
      <c r="H177" s="391"/>
      <c r="I177" s="86"/>
      <c r="J177" s="223">
        <v>3.9</v>
      </c>
      <c r="K177" s="485"/>
      <c r="L177" s="5">
        <f t="shared" si="19"/>
        <v>0</v>
      </c>
      <c r="M177" s="5"/>
      <c r="N177" s="6">
        <v>0</v>
      </c>
      <c r="O177" s="6"/>
      <c r="P177" s="5"/>
      <c r="Q177" s="5"/>
      <c r="R177" s="5">
        <f t="shared" si="20"/>
        <v>0</v>
      </c>
      <c r="S177" s="103"/>
      <c r="T177" s="83"/>
      <c r="U177" s="83"/>
      <c r="V177" s="83"/>
      <c r="Z177" s="56"/>
      <c r="AA177" s="56"/>
      <c r="AB177" s="56"/>
      <c r="AC177" s="56"/>
      <c r="AD177" s="56"/>
      <c r="AE177" s="56"/>
      <c r="AG177" s="155"/>
      <c r="AH177" s="56"/>
      <c r="AI177" s="56"/>
      <c r="AJ177" s="56"/>
      <c r="AK177" s="155"/>
      <c r="AL177" s="56"/>
      <c r="AM177" s="56"/>
      <c r="AN177" s="56"/>
      <c r="AO177" s="56"/>
      <c r="AP177" s="56"/>
      <c r="AQ177" s="155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</row>
    <row r="178" spans="1:53" x14ac:dyDescent="0.25">
      <c r="A178" s="366">
        <v>114</v>
      </c>
      <c r="B178" s="378"/>
      <c r="C178" s="195" t="s">
        <v>802</v>
      </c>
      <c r="D178" s="378"/>
      <c r="E178" s="378"/>
      <c r="F178" s="391">
        <v>0</v>
      </c>
      <c r="G178" s="131"/>
      <c r="H178" s="391"/>
      <c r="I178" s="86"/>
      <c r="J178" s="223">
        <v>7.94</v>
      </c>
      <c r="K178" s="485"/>
      <c r="L178" s="5">
        <f t="shared" si="19"/>
        <v>0</v>
      </c>
      <c r="M178" s="5"/>
      <c r="N178" s="6">
        <v>0</v>
      </c>
      <c r="O178" s="6"/>
      <c r="P178" s="5"/>
      <c r="Q178" s="5"/>
      <c r="R178" s="5">
        <f t="shared" si="20"/>
        <v>0</v>
      </c>
      <c r="S178" s="103"/>
      <c r="T178" s="83"/>
      <c r="U178" s="83"/>
      <c r="V178" s="83"/>
      <c r="Z178" s="56"/>
      <c r="AA178" s="56"/>
      <c r="AB178" s="56"/>
      <c r="AC178" s="56"/>
      <c r="AD178" s="56"/>
      <c r="AE178" s="56"/>
      <c r="AG178" s="155"/>
      <c r="AH178" s="56"/>
      <c r="AI178" s="56"/>
      <c r="AJ178" s="56"/>
      <c r="AK178" s="155"/>
      <c r="AL178" s="56"/>
      <c r="AM178" s="56"/>
      <c r="AN178" s="56"/>
      <c r="AO178" s="56"/>
      <c r="AP178" s="56"/>
      <c r="AQ178" s="155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</row>
    <row r="179" spans="1:53" x14ac:dyDescent="0.25">
      <c r="A179" s="366">
        <v>115</v>
      </c>
      <c r="B179" s="378"/>
      <c r="C179" s="195" t="s">
        <v>803</v>
      </c>
      <c r="D179" s="378"/>
      <c r="E179" s="378"/>
      <c r="F179" s="391">
        <v>0</v>
      </c>
      <c r="G179" s="131"/>
      <c r="H179" s="391"/>
      <c r="I179" s="86"/>
      <c r="J179" s="223">
        <v>8.69</v>
      </c>
      <c r="K179" s="485"/>
      <c r="L179" s="5">
        <f t="shared" si="19"/>
        <v>0</v>
      </c>
      <c r="M179" s="5"/>
      <c r="N179" s="6">
        <v>0</v>
      </c>
      <c r="O179" s="6"/>
      <c r="P179" s="5"/>
      <c r="Q179" s="5"/>
      <c r="R179" s="5">
        <f t="shared" si="20"/>
        <v>0</v>
      </c>
      <c r="S179" s="103"/>
      <c r="T179" s="83"/>
      <c r="U179" s="83"/>
      <c r="V179" s="83"/>
      <c r="Z179" s="56"/>
      <c r="AA179" s="56"/>
      <c r="AB179" s="56"/>
      <c r="AC179" s="56"/>
      <c r="AD179" s="56"/>
      <c r="AE179" s="56"/>
      <c r="AG179" s="155"/>
      <c r="AH179" s="56"/>
      <c r="AI179" s="56"/>
      <c r="AJ179" s="56"/>
      <c r="AK179" s="155"/>
      <c r="AL179" s="56"/>
      <c r="AM179" s="56"/>
      <c r="AN179" s="56"/>
      <c r="AO179" s="56"/>
      <c r="AP179" s="56"/>
      <c r="AQ179" s="155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</row>
    <row r="180" spans="1:53" x14ac:dyDescent="0.25">
      <c r="A180" s="366">
        <v>116</v>
      </c>
      <c r="B180" s="378"/>
      <c r="C180" s="195" t="s">
        <v>804</v>
      </c>
      <c r="D180" s="378"/>
      <c r="E180" s="378"/>
      <c r="F180" s="391">
        <v>0</v>
      </c>
      <c r="G180" s="131"/>
      <c r="H180" s="391"/>
      <c r="I180" s="86"/>
      <c r="J180" s="223">
        <v>15.66</v>
      </c>
      <c r="K180" s="485"/>
      <c r="L180" s="5">
        <f t="shared" si="19"/>
        <v>0</v>
      </c>
      <c r="M180" s="5"/>
      <c r="N180" s="6">
        <v>0</v>
      </c>
      <c r="O180" s="6"/>
      <c r="P180" s="5"/>
      <c r="Q180" s="5"/>
      <c r="R180" s="5">
        <f t="shared" si="20"/>
        <v>0</v>
      </c>
      <c r="S180" s="103"/>
      <c r="T180" s="83"/>
      <c r="U180" s="83"/>
      <c r="V180" s="83"/>
      <c r="Z180" s="56"/>
      <c r="AA180" s="56"/>
      <c r="AB180" s="56"/>
      <c r="AC180" s="56"/>
      <c r="AD180" s="56"/>
      <c r="AE180" s="56"/>
      <c r="AG180" s="155"/>
      <c r="AH180" s="56"/>
      <c r="AI180" s="56"/>
      <c r="AJ180" s="56"/>
      <c r="AK180" s="155"/>
      <c r="AL180" s="56"/>
      <c r="AM180" s="56"/>
      <c r="AN180" s="56"/>
      <c r="AO180" s="56"/>
      <c r="AP180" s="56"/>
      <c r="AQ180" s="155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</row>
    <row r="181" spans="1:53" x14ac:dyDescent="0.25">
      <c r="A181" s="366">
        <v>117</v>
      </c>
      <c r="B181" s="378"/>
      <c r="C181" s="195" t="s">
        <v>805</v>
      </c>
      <c r="D181" s="378"/>
      <c r="E181" s="378"/>
      <c r="F181" s="391">
        <v>0</v>
      </c>
      <c r="G181" s="131"/>
      <c r="H181" s="391"/>
      <c r="I181" s="86"/>
      <c r="J181" s="223">
        <v>8.44</v>
      </c>
      <c r="K181" s="485"/>
      <c r="L181" s="5">
        <f t="shared" si="19"/>
        <v>0</v>
      </c>
      <c r="M181" s="5"/>
      <c r="N181" s="6">
        <v>0</v>
      </c>
      <c r="O181" s="6"/>
      <c r="P181" s="5"/>
      <c r="Q181" s="5"/>
      <c r="R181" s="5">
        <f t="shared" si="20"/>
        <v>0</v>
      </c>
      <c r="S181" s="103"/>
      <c r="T181" s="83"/>
      <c r="U181" s="83"/>
      <c r="V181" s="83"/>
      <c r="Z181" s="56"/>
      <c r="AA181" s="56"/>
      <c r="AB181" s="56"/>
      <c r="AC181" s="56"/>
      <c r="AD181" s="56"/>
      <c r="AE181" s="56"/>
      <c r="AG181" s="155"/>
      <c r="AH181" s="56"/>
      <c r="AI181" s="56"/>
      <c r="AJ181" s="56"/>
      <c r="AK181" s="155"/>
      <c r="AL181" s="56"/>
      <c r="AM181" s="56"/>
      <c r="AN181" s="56"/>
      <c r="AO181" s="56"/>
      <c r="AP181" s="56"/>
      <c r="AQ181" s="155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</row>
    <row r="182" spans="1:53" x14ac:dyDescent="0.25">
      <c r="A182" s="366">
        <v>118</v>
      </c>
      <c r="B182" s="378"/>
      <c r="C182" s="195" t="s">
        <v>806</v>
      </c>
      <c r="D182" s="378"/>
      <c r="E182" s="378"/>
      <c r="F182" s="391">
        <v>0</v>
      </c>
      <c r="G182" s="131"/>
      <c r="H182" s="391"/>
      <c r="I182" s="86"/>
      <c r="J182" s="223">
        <v>1.2</v>
      </c>
      <c r="K182" s="485"/>
      <c r="L182" s="5">
        <f t="shared" si="19"/>
        <v>0</v>
      </c>
      <c r="M182" s="5"/>
      <c r="N182" s="6">
        <v>0</v>
      </c>
      <c r="O182" s="6"/>
      <c r="P182" s="5"/>
      <c r="Q182" s="5"/>
      <c r="R182" s="5">
        <f t="shared" si="20"/>
        <v>0</v>
      </c>
      <c r="S182" s="103"/>
      <c r="T182" s="83"/>
      <c r="U182" s="83"/>
      <c r="V182" s="83"/>
      <c r="Z182" s="56"/>
      <c r="AA182" s="56"/>
      <c r="AB182" s="56"/>
      <c r="AC182" s="56"/>
      <c r="AD182" s="56"/>
      <c r="AE182" s="56"/>
      <c r="AG182" s="155"/>
      <c r="AH182" s="56"/>
      <c r="AI182" s="56"/>
      <c r="AJ182" s="56"/>
      <c r="AK182" s="155"/>
      <c r="AL182" s="56"/>
      <c r="AM182" s="56"/>
      <c r="AN182" s="56"/>
      <c r="AO182" s="56"/>
      <c r="AP182" s="56"/>
      <c r="AQ182" s="155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</row>
    <row r="183" spans="1:53" x14ac:dyDescent="0.25">
      <c r="A183" s="366">
        <v>119</v>
      </c>
      <c r="B183" s="378"/>
      <c r="C183" s="195" t="s">
        <v>807</v>
      </c>
      <c r="D183" s="378"/>
      <c r="E183" s="378"/>
      <c r="F183" s="391">
        <v>0</v>
      </c>
      <c r="G183" s="131"/>
      <c r="H183" s="391"/>
      <c r="I183" s="86"/>
      <c r="J183" s="223">
        <v>1.35</v>
      </c>
      <c r="K183" s="485"/>
      <c r="L183" s="5">
        <f t="shared" si="19"/>
        <v>0</v>
      </c>
      <c r="M183" s="5"/>
      <c r="N183" s="6">
        <v>0</v>
      </c>
      <c r="O183" s="6"/>
      <c r="P183" s="5"/>
      <c r="Q183" s="5"/>
      <c r="R183" s="5">
        <f t="shared" si="20"/>
        <v>0</v>
      </c>
      <c r="S183" s="103"/>
      <c r="T183" s="83"/>
      <c r="U183" s="83"/>
      <c r="V183" s="83"/>
      <c r="Z183" s="56"/>
      <c r="AA183" s="56"/>
      <c r="AB183" s="56"/>
      <c r="AC183" s="56"/>
      <c r="AD183" s="56"/>
      <c r="AE183" s="56"/>
      <c r="AG183" s="155"/>
      <c r="AH183" s="56"/>
      <c r="AI183" s="56"/>
      <c r="AJ183" s="56"/>
      <c r="AK183" s="155"/>
      <c r="AL183" s="56"/>
      <c r="AM183" s="56"/>
      <c r="AN183" s="56"/>
      <c r="AO183" s="56"/>
      <c r="AP183" s="56"/>
      <c r="AQ183" s="155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</row>
    <row r="184" spans="1:53" x14ac:dyDescent="0.25">
      <c r="A184" s="366">
        <v>120</v>
      </c>
      <c r="B184" s="378"/>
      <c r="C184" s="518" t="s">
        <v>808</v>
      </c>
      <c r="D184" s="378"/>
      <c r="E184" s="378"/>
      <c r="F184" s="316">
        <f>SUM(F158:F183)</f>
        <v>0</v>
      </c>
      <c r="G184" s="131"/>
      <c r="H184" s="391"/>
      <c r="I184" s="86"/>
      <c r="J184" s="223"/>
      <c r="K184" s="485"/>
      <c r="L184" s="316">
        <f>SUM(L158:L183)</f>
        <v>0</v>
      </c>
      <c r="M184" s="5"/>
      <c r="N184" s="6"/>
      <c r="O184" s="6"/>
      <c r="P184" s="5"/>
      <c r="Q184" s="5"/>
      <c r="R184" s="316">
        <f>SUM(R158:R183)</f>
        <v>0</v>
      </c>
      <c r="S184" s="103"/>
      <c r="T184" s="83"/>
      <c r="U184" s="83"/>
      <c r="V184" s="83"/>
      <c r="Z184" s="56"/>
      <c r="AA184" s="56"/>
      <c r="AB184" s="56"/>
      <c r="AC184" s="56"/>
      <c r="AD184" s="56"/>
      <c r="AE184" s="56"/>
      <c r="AG184" s="155"/>
      <c r="AH184" s="56"/>
      <c r="AI184" s="56"/>
      <c r="AJ184" s="56"/>
      <c r="AK184" s="155"/>
      <c r="AL184" s="56"/>
      <c r="AM184" s="56"/>
      <c r="AN184" s="56"/>
      <c r="AO184" s="56"/>
      <c r="AP184" s="56"/>
      <c r="AQ184" s="155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</row>
    <row r="185" spans="1:53" x14ac:dyDescent="0.25">
      <c r="A185" s="366"/>
      <c r="B185" s="277"/>
      <c r="C185" s="195"/>
      <c r="D185" s="277"/>
      <c r="E185" s="378"/>
      <c r="F185" s="391"/>
      <c r="G185" s="131"/>
      <c r="H185" s="391"/>
      <c r="I185" s="86"/>
      <c r="J185" s="223"/>
      <c r="K185" s="485"/>
      <c r="L185" s="5"/>
      <c r="M185" s="5"/>
      <c r="N185" s="6"/>
      <c r="O185" s="6"/>
      <c r="P185" s="5"/>
      <c r="Q185" s="5"/>
      <c r="R185" s="5"/>
      <c r="S185" s="103"/>
      <c r="T185" s="83"/>
      <c r="U185" s="83"/>
      <c r="V185" s="83"/>
      <c r="Z185" s="56"/>
      <c r="AA185" s="56"/>
      <c r="AB185" s="56"/>
      <c r="AC185" s="56"/>
      <c r="AD185" s="56"/>
      <c r="AE185" s="56"/>
      <c r="AG185" s="155"/>
      <c r="AH185" s="56"/>
      <c r="AI185" s="56"/>
      <c r="AJ185" s="56"/>
      <c r="AK185" s="155"/>
      <c r="AL185" s="56"/>
      <c r="AM185" s="56"/>
      <c r="AN185" s="56"/>
      <c r="AO185" s="56"/>
      <c r="AP185" s="56"/>
      <c r="AQ185" s="155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</row>
    <row r="186" spans="1:53" x14ac:dyDescent="0.25">
      <c r="A186" s="366">
        <v>121</v>
      </c>
      <c r="B186" s="277"/>
      <c r="C186" s="222" t="s">
        <v>809</v>
      </c>
      <c r="D186" s="277"/>
      <c r="E186" s="378"/>
      <c r="F186" s="391"/>
      <c r="G186" s="131"/>
      <c r="H186" s="391"/>
      <c r="I186" s="86"/>
      <c r="J186" s="223"/>
      <c r="K186" s="485"/>
      <c r="L186" s="5"/>
      <c r="M186" s="5"/>
      <c r="N186" s="6"/>
      <c r="O186" s="6"/>
      <c r="P186" s="5"/>
      <c r="Q186" s="5"/>
      <c r="R186" s="5"/>
      <c r="S186" s="103"/>
      <c r="T186" s="83"/>
      <c r="U186" s="83"/>
      <c r="V186" s="83"/>
      <c r="Z186" s="56"/>
      <c r="AA186" s="56"/>
      <c r="AB186" s="56"/>
      <c r="AC186" s="56"/>
      <c r="AD186" s="56"/>
      <c r="AE186" s="56"/>
      <c r="AG186" s="155"/>
      <c r="AH186" s="56"/>
      <c r="AI186" s="56"/>
      <c r="AJ186" s="56"/>
      <c r="AK186" s="155"/>
      <c r="AL186" s="56"/>
      <c r="AM186" s="56"/>
      <c r="AN186" s="56"/>
      <c r="AO186" s="56"/>
      <c r="AP186" s="56"/>
      <c r="AQ186" s="155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</row>
    <row r="187" spans="1:53" x14ac:dyDescent="0.25">
      <c r="A187" s="366">
        <v>122</v>
      </c>
      <c r="B187" s="277"/>
      <c r="C187" s="195" t="s">
        <v>810</v>
      </c>
      <c r="D187" s="277"/>
      <c r="E187" s="378"/>
      <c r="F187" s="391">
        <v>0</v>
      </c>
      <c r="G187" s="131"/>
      <c r="H187" s="391"/>
      <c r="I187" s="86"/>
      <c r="J187" s="223">
        <v>2.0699999999999998</v>
      </c>
      <c r="K187" s="485"/>
      <c r="L187" s="5">
        <f t="shared" ref="L187:L193" si="21">ROUND((F187*J187),0)</f>
        <v>0</v>
      </c>
      <c r="M187" s="5"/>
      <c r="N187" s="6">
        <v>0</v>
      </c>
      <c r="O187" s="6"/>
      <c r="P187" s="5"/>
      <c r="Q187" s="5"/>
      <c r="R187" s="5">
        <f t="shared" ref="R187:R193" si="22">L187+P187</f>
        <v>0</v>
      </c>
      <c r="S187" s="103"/>
      <c r="T187" s="83"/>
      <c r="U187" s="83"/>
      <c r="V187" s="83"/>
      <c r="Z187" s="56"/>
      <c r="AA187" s="56"/>
      <c r="AB187" s="56"/>
      <c r="AC187" s="56"/>
      <c r="AD187" s="56"/>
      <c r="AE187" s="56"/>
      <c r="AG187" s="155"/>
      <c r="AH187" s="56"/>
      <c r="AI187" s="56"/>
      <c r="AJ187" s="56"/>
      <c r="AK187" s="155"/>
      <c r="AL187" s="56"/>
      <c r="AM187" s="56"/>
      <c r="AN187" s="56"/>
      <c r="AO187" s="56"/>
      <c r="AP187" s="56"/>
      <c r="AQ187" s="155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</row>
    <row r="188" spans="1:53" x14ac:dyDescent="0.25">
      <c r="A188" s="366">
        <v>123</v>
      </c>
      <c r="B188" s="277"/>
      <c r="C188" s="195" t="s">
        <v>811</v>
      </c>
      <c r="D188" s="277"/>
      <c r="E188" s="378"/>
      <c r="F188" s="391">
        <v>0</v>
      </c>
      <c r="G188" s="131"/>
      <c r="H188" s="391"/>
      <c r="I188" s="86"/>
      <c r="J188" s="223">
        <v>1.72</v>
      </c>
      <c r="K188" s="485"/>
      <c r="L188" s="5">
        <f t="shared" si="21"/>
        <v>0</v>
      </c>
      <c r="M188" s="5"/>
      <c r="N188" s="6">
        <v>0</v>
      </c>
      <c r="O188" s="6"/>
      <c r="P188" s="5"/>
      <c r="Q188" s="5"/>
      <c r="R188" s="5">
        <f t="shared" si="22"/>
        <v>0</v>
      </c>
      <c r="S188" s="103"/>
      <c r="T188" s="83"/>
      <c r="U188" s="83"/>
      <c r="V188" s="83"/>
      <c r="Z188" s="56"/>
      <c r="AA188" s="56"/>
      <c r="AB188" s="56"/>
      <c r="AC188" s="56"/>
      <c r="AD188" s="56"/>
      <c r="AE188" s="56"/>
      <c r="AG188" s="155"/>
      <c r="AH188" s="56"/>
      <c r="AI188" s="56"/>
      <c r="AJ188" s="56"/>
      <c r="AK188" s="155"/>
      <c r="AL188" s="56"/>
      <c r="AM188" s="56"/>
      <c r="AN188" s="56"/>
      <c r="AO188" s="56"/>
      <c r="AP188" s="56"/>
      <c r="AQ188" s="155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</row>
    <row r="189" spans="1:53" x14ac:dyDescent="0.25">
      <c r="A189" s="366">
        <v>124</v>
      </c>
      <c r="B189" s="277"/>
      <c r="C189" s="195" t="s">
        <v>812</v>
      </c>
      <c r="D189" s="277"/>
      <c r="E189" s="378"/>
      <c r="F189" s="391">
        <v>0</v>
      </c>
      <c r="G189" s="131"/>
      <c r="H189" s="391"/>
      <c r="I189" s="86"/>
      <c r="J189" s="223">
        <v>0.92</v>
      </c>
      <c r="K189" s="485"/>
      <c r="L189" s="5">
        <f t="shared" si="21"/>
        <v>0</v>
      </c>
      <c r="M189" s="5"/>
      <c r="N189" s="6">
        <v>0</v>
      </c>
      <c r="O189" s="6"/>
      <c r="P189" s="5"/>
      <c r="Q189" s="5"/>
      <c r="R189" s="5">
        <f t="shared" si="22"/>
        <v>0</v>
      </c>
      <c r="S189" s="103"/>
      <c r="T189" s="83"/>
      <c r="U189" s="83"/>
      <c r="V189" s="83"/>
      <c r="Z189" s="56"/>
      <c r="AA189" s="56"/>
      <c r="AB189" s="56"/>
      <c r="AC189" s="56"/>
      <c r="AD189" s="56"/>
      <c r="AE189" s="56"/>
      <c r="AG189" s="155"/>
      <c r="AH189" s="56"/>
      <c r="AI189" s="56"/>
      <c r="AJ189" s="56"/>
      <c r="AK189" s="155"/>
      <c r="AL189" s="56"/>
      <c r="AM189" s="56"/>
      <c r="AN189" s="56"/>
      <c r="AO189" s="56"/>
      <c r="AP189" s="56"/>
      <c r="AQ189" s="155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</row>
    <row r="190" spans="1:53" x14ac:dyDescent="0.25">
      <c r="A190" s="366">
        <v>125</v>
      </c>
      <c r="B190" s="277"/>
      <c r="C190" s="195" t="s">
        <v>813</v>
      </c>
      <c r="D190" s="277"/>
      <c r="E190" s="378"/>
      <c r="F190" s="391">
        <v>0</v>
      </c>
      <c r="G190" s="131"/>
      <c r="H190" s="391"/>
      <c r="I190" s="86"/>
      <c r="J190" s="223">
        <v>0.96</v>
      </c>
      <c r="K190" s="485"/>
      <c r="L190" s="5">
        <f t="shared" si="21"/>
        <v>0</v>
      </c>
      <c r="M190" s="5"/>
      <c r="N190" s="6">
        <v>0</v>
      </c>
      <c r="O190" s="6"/>
      <c r="P190" s="5"/>
      <c r="Q190" s="5"/>
      <c r="R190" s="5">
        <f t="shared" si="22"/>
        <v>0</v>
      </c>
      <c r="S190" s="103"/>
      <c r="T190" s="83"/>
      <c r="U190" s="83"/>
      <c r="V190" s="83"/>
      <c r="Z190" s="56"/>
      <c r="AA190" s="56"/>
      <c r="AB190" s="56"/>
      <c r="AC190" s="56"/>
      <c r="AD190" s="56"/>
      <c r="AE190" s="56"/>
      <c r="AG190" s="155"/>
      <c r="AH190" s="56"/>
      <c r="AI190" s="56"/>
      <c r="AJ190" s="56"/>
      <c r="AK190" s="155"/>
      <c r="AL190" s="56"/>
      <c r="AM190" s="56"/>
      <c r="AN190" s="56"/>
      <c r="AO190" s="56"/>
      <c r="AP190" s="56"/>
      <c r="AQ190" s="155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</row>
    <row r="191" spans="1:53" x14ac:dyDescent="0.25">
      <c r="A191" s="366">
        <v>126</v>
      </c>
      <c r="B191" s="277"/>
      <c r="C191" s="195" t="s">
        <v>814</v>
      </c>
      <c r="D191" s="277"/>
      <c r="E191" s="378"/>
      <c r="F191" s="391">
        <v>0</v>
      </c>
      <c r="G191" s="131"/>
      <c r="H191" s="391"/>
      <c r="I191" s="86"/>
      <c r="J191" s="223">
        <v>0.89</v>
      </c>
      <c r="K191" s="485"/>
      <c r="L191" s="5">
        <f t="shared" si="21"/>
        <v>0</v>
      </c>
      <c r="M191" s="5"/>
      <c r="N191" s="6">
        <v>0</v>
      </c>
      <c r="O191" s="6"/>
      <c r="P191" s="5"/>
      <c r="Q191" s="5"/>
      <c r="R191" s="5">
        <f t="shared" si="22"/>
        <v>0</v>
      </c>
      <c r="S191" s="103"/>
      <c r="T191" s="83"/>
      <c r="U191" s="83"/>
      <c r="V191" s="83"/>
      <c r="Z191" s="56"/>
      <c r="AA191" s="56"/>
      <c r="AB191" s="56"/>
      <c r="AC191" s="56"/>
      <c r="AD191" s="56"/>
      <c r="AE191" s="56"/>
      <c r="AG191" s="155"/>
      <c r="AH191" s="56"/>
      <c r="AI191" s="56"/>
      <c r="AJ191" s="56"/>
      <c r="AK191" s="155"/>
      <c r="AL191" s="56"/>
      <c r="AM191" s="56"/>
      <c r="AN191" s="56"/>
      <c r="AO191" s="56"/>
      <c r="AP191" s="56"/>
      <c r="AQ191" s="155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</row>
    <row r="192" spans="1:53" x14ac:dyDescent="0.25">
      <c r="A192" s="366">
        <v>127</v>
      </c>
      <c r="B192" s="378"/>
      <c r="C192" s="195" t="s">
        <v>815</v>
      </c>
      <c r="D192" s="378"/>
      <c r="E192" s="378"/>
      <c r="F192" s="391">
        <v>0</v>
      </c>
      <c r="G192" s="131"/>
      <c r="H192" s="391"/>
      <c r="I192" s="86"/>
      <c r="J192" s="223">
        <v>1.1000000000000001</v>
      </c>
      <c r="K192" s="485"/>
      <c r="L192" s="5">
        <f t="shared" si="21"/>
        <v>0</v>
      </c>
      <c r="M192" s="5"/>
      <c r="N192" s="6">
        <v>0</v>
      </c>
      <c r="O192" s="6"/>
      <c r="P192" s="5"/>
      <c r="Q192" s="5"/>
      <c r="R192" s="5">
        <f t="shared" si="22"/>
        <v>0</v>
      </c>
      <c r="S192" s="103"/>
      <c r="T192" s="83"/>
      <c r="U192" s="83"/>
      <c r="V192" s="83"/>
      <c r="Z192" s="56"/>
      <c r="AA192" s="56"/>
      <c r="AB192" s="56"/>
      <c r="AC192" s="56"/>
      <c r="AD192" s="56"/>
      <c r="AE192" s="56"/>
      <c r="AG192" s="155"/>
      <c r="AH192" s="56"/>
      <c r="AI192" s="56"/>
      <c r="AJ192" s="56"/>
      <c r="AK192" s="155"/>
      <c r="AL192" s="56"/>
      <c r="AM192" s="56"/>
      <c r="AN192" s="56"/>
      <c r="AO192" s="56"/>
      <c r="AP192" s="56"/>
      <c r="AQ192" s="155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</row>
    <row r="193" spans="1:53" x14ac:dyDescent="0.25">
      <c r="A193" s="366">
        <v>128</v>
      </c>
      <c r="B193" s="378"/>
      <c r="C193" s="195" t="s">
        <v>816</v>
      </c>
      <c r="D193" s="378"/>
      <c r="E193" s="378"/>
      <c r="F193" s="391">
        <v>0</v>
      </c>
      <c r="G193" s="131"/>
      <c r="H193" s="391"/>
      <c r="I193" s="86"/>
      <c r="J193" s="223">
        <v>0.88</v>
      </c>
      <c r="K193" s="485"/>
      <c r="L193" s="5">
        <f t="shared" si="21"/>
        <v>0</v>
      </c>
      <c r="M193" s="5"/>
      <c r="N193" s="6">
        <v>0</v>
      </c>
      <c r="O193" s="6"/>
      <c r="P193" s="5"/>
      <c r="Q193" s="5"/>
      <c r="R193" s="5">
        <f t="shared" si="22"/>
        <v>0</v>
      </c>
      <c r="S193" s="103"/>
      <c r="T193" s="83"/>
      <c r="U193" s="83"/>
      <c r="V193" s="83"/>
      <c r="Z193" s="56"/>
      <c r="AA193" s="56"/>
      <c r="AB193" s="56"/>
      <c r="AC193" s="56"/>
      <c r="AD193" s="56"/>
      <c r="AE193" s="56"/>
      <c r="AG193" s="155"/>
      <c r="AH193" s="56"/>
      <c r="AI193" s="56"/>
      <c r="AJ193" s="56"/>
      <c r="AK193" s="155"/>
      <c r="AL193" s="56"/>
      <c r="AM193" s="56"/>
      <c r="AN193" s="56"/>
      <c r="AO193" s="56"/>
      <c r="AP193" s="56"/>
      <c r="AQ193" s="155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</row>
    <row r="194" spans="1:53" x14ac:dyDescent="0.25">
      <c r="A194" s="366">
        <v>129</v>
      </c>
      <c r="B194" s="378"/>
      <c r="C194" s="518" t="s">
        <v>817</v>
      </c>
      <c r="D194" s="378"/>
      <c r="E194" s="378"/>
      <c r="F194" s="316">
        <f>SUM(F187:F193)</f>
        <v>0</v>
      </c>
      <c r="G194" s="131"/>
      <c r="H194" s="391"/>
      <c r="I194" s="86"/>
      <c r="J194" s="223"/>
      <c r="K194" s="485"/>
      <c r="L194" s="316">
        <f>SUM(L187:L193)</f>
        <v>0</v>
      </c>
      <c r="M194" s="5"/>
      <c r="N194" s="6"/>
      <c r="O194" s="6"/>
      <c r="P194" s="5"/>
      <c r="Q194" s="5"/>
      <c r="R194" s="316">
        <f>SUM(R187:R193)</f>
        <v>0</v>
      </c>
      <c r="S194" s="103"/>
      <c r="T194" s="83"/>
      <c r="U194" s="83"/>
      <c r="V194" s="83"/>
      <c r="Z194" s="56"/>
      <c r="AA194" s="56"/>
      <c r="AB194" s="56"/>
      <c r="AC194" s="56"/>
      <c r="AD194" s="56"/>
      <c r="AE194" s="56"/>
      <c r="AG194" s="155"/>
      <c r="AH194" s="56"/>
      <c r="AI194" s="56"/>
      <c r="AJ194" s="56"/>
      <c r="AK194" s="155"/>
      <c r="AL194" s="56"/>
      <c r="AM194" s="56"/>
      <c r="AN194" s="56"/>
      <c r="AO194" s="56"/>
      <c r="AP194" s="56"/>
      <c r="AQ194" s="155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</row>
    <row r="195" spans="1:53" x14ac:dyDescent="0.25">
      <c r="A195" s="366"/>
      <c r="B195" s="378"/>
      <c r="C195" s="195"/>
      <c r="D195" s="378"/>
      <c r="E195" s="378"/>
      <c r="F195" s="391"/>
      <c r="G195" s="131"/>
      <c r="H195" s="391"/>
      <c r="I195" s="86"/>
      <c r="J195" s="223"/>
      <c r="K195" s="485"/>
      <c r="L195" s="5"/>
      <c r="M195" s="5"/>
      <c r="N195" s="6"/>
      <c r="O195" s="6"/>
      <c r="P195" s="5"/>
      <c r="Q195" s="5"/>
      <c r="R195" s="5"/>
      <c r="S195" s="103"/>
      <c r="T195" s="83"/>
      <c r="U195" s="83"/>
      <c r="V195" s="83"/>
      <c r="Z195" s="56"/>
      <c r="AA195" s="56"/>
      <c r="AB195" s="56"/>
      <c r="AC195" s="56"/>
      <c r="AD195" s="56"/>
      <c r="AE195" s="56"/>
      <c r="AG195" s="155"/>
      <c r="AH195" s="56"/>
      <c r="AI195" s="56"/>
      <c r="AJ195" s="56"/>
      <c r="AK195" s="155"/>
      <c r="AL195" s="56"/>
      <c r="AM195" s="56"/>
      <c r="AN195" s="56"/>
      <c r="AO195" s="56"/>
      <c r="AP195" s="56"/>
      <c r="AQ195" s="155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</row>
    <row r="196" spans="1:53" x14ac:dyDescent="0.25">
      <c r="A196" s="368">
        <v>130</v>
      </c>
      <c r="B196" s="378"/>
      <c r="C196" s="520" t="s">
        <v>825</v>
      </c>
      <c r="D196" s="378"/>
      <c r="E196" s="378"/>
      <c r="F196" s="310"/>
      <c r="G196" s="2"/>
      <c r="H196" s="83"/>
      <c r="I196" s="5"/>
      <c r="J196" s="2"/>
      <c r="K196" s="2"/>
      <c r="L196" s="83"/>
      <c r="M196" s="5"/>
      <c r="N196" s="91"/>
      <c r="O196" s="8"/>
      <c r="P196" s="379"/>
      <c r="Q196" s="5"/>
      <c r="R196" s="83"/>
      <c r="S196" s="103"/>
      <c r="T196" s="83"/>
      <c r="U196" s="83"/>
      <c r="V196" s="83"/>
      <c r="Z196" s="56"/>
      <c r="AA196" s="56"/>
      <c r="AB196" s="56"/>
      <c r="AC196" s="56"/>
      <c r="AD196" s="56"/>
      <c r="AE196" s="56"/>
      <c r="AG196" s="155"/>
      <c r="AH196" s="56"/>
      <c r="AI196" s="56"/>
      <c r="AJ196" s="56"/>
      <c r="AK196" s="155"/>
      <c r="AL196" s="56"/>
      <c r="AM196" s="56"/>
      <c r="AN196" s="56"/>
      <c r="AO196" s="56"/>
      <c r="AP196" s="56"/>
      <c r="AQ196" s="155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</row>
    <row r="197" spans="1:53" x14ac:dyDescent="0.25">
      <c r="A197" s="368">
        <v>131</v>
      </c>
      <c r="B197" s="378"/>
      <c r="C197" s="216" t="str">
        <f>ESM_Name</f>
        <v>ENVIRONMENTAL SURCHARGE MECHANISM RIDER (ESM)</v>
      </c>
      <c r="D197" s="378"/>
      <c r="E197" s="378"/>
      <c r="F197" s="310"/>
      <c r="G197" s="2"/>
      <c r="H197" s="83"/>
      <c r="I197" s="5"/>
      <c r="J197" s="522"/>
      <c r="K197" s="2"/>
      <c r="L197" s="83">
        <f>AE429</f>
        <v>0</v>
      </c>
      <c r="M197" s="5"/>
      <c r="N197" s="91">
        <v>0</v>
      </c>
      <c r="O197" s="8"/>
      <c r="P197" s="379"/>
      <c r="Q197" s="5"/>
      <c r="R197" s="83">
        <f t="shared" ref="R197:R199" si="23">L197+P197</f>
        <v>0</v>
      </c>
      <c r="S197" s="103"/>
      <c r="T197" s="83"/>
      <c r="U197" s="83"/>
      <c r="V197" s="83"/>
      <c r="Z197" s="56"/>
      <c r="AA197" s="56"/>
      <c r="AB197" s="56"/>
      <c r="AC197" s="56"/>
      <c r="AD197" s="56"/>
      <c r="AE197" s="56"/>
      <c r="AG197" s="155"/>
      <c r="AH197" s="56"/>
      <c r="AI197" s="56"/>
      <c r="AJ197" s="56"/>
      <c r="AK197" s="155"/>
      <c r="AL197" s="56"/>
      <c r="AM197" s="56"/>
      <c r="AN197" s="56"/>
      <c r="AO197" s="56"/>
      <c r="AP197" s="56"/>
      <c r="AQ197" s="155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</row>
    <row r="198" spans="1:53" x14ac:dyDescent="0.25">
      <c r="A198" s="368">
        <v>132</v>
      </c>
      <c r="B198" s="378"/>
      <c r="C198" s="216" t="str">
        <f>FAC_Name</f>
        <v>FUEL ADJUSTMENT CLAUSE (FAC)</v>
      </c>
      <c r="D198" s="378"/>
      <c r="E198" s="378"/>
      <c r="F198" s="310"/>
      <c r="G198" s="2"/>
      <c r="H198" s="83"/>
      <c r="I198" s="5"/>
      <c r="J198" s="522">
        <f>PRO_FAC</f>
        <v>6.8099999999999996E-4</v>
      </c>
      <c r="K198" s="2"/>
      <c r="L198" s="83"/>
      <c r="M198" s="5"/>
      <c r="N198" s="91">
        <v>0</v>
      </c>
      <c r="O198" s="8"/>
      <c r="P198" s="83">
        <f>ROUND($J198*$H53,0)</f>
        <v>0</v>
      </c>
      <c r="Q198" s="5"/>
      <c r="R198" s="83">
        <f t="shared" si="23"/>
        <v>0</v>
      </c>
      <c r="S198" s="103"/>
      <c r="T198" s="83"/>
      <c r="U198" s="83"/>
      <c r="V198" s="83"/>
      <c r="Z198" s="56"/>
      <c r="AA198" s="56"/>
      <c r="AB198" s="56"/>
      <c r="AC198" s="56"/>
      <c r="AD198" s="56"/>
      <c r="AE198" s="56"/>
      <c r="AG198" s="155"/>
      <c r="AH198" s="56"/>
      <c r="AI198" s="56"/>
      <c r="AJ198" s="56"/>
      <c r="AK198" s="155"/>
      <c r="AL198" s="56"/>
      <c r="AM198" s="56"/>
      <c r="AN198" s="56"/>
      <c r="AO198" s="56"/>
      <c r="AP198" s="56"/>
      <c r="AQ198" s="155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</row>
    <row r="199" spans="1:53" x14ac:dyDescent="0.25">
      <c r="A199" s="368">
        <v>133</v>
      </c>
      <c r="B199" s="378"/>
      <c r="C199" s="300" t="str">
        <f>PSM_Name</f>
        <v>PROFIT SHARING MECHANISM (PSM)</v>
      </c>
      <c r="D199" s="378"/>
      <c r="E199" s="378"/>
      <c r="F199" s="310"/>
      <c r="G199" s="2"/>
      <c r="H199" s="83"/>
      <c r="I199" s="5"/>
      <c r="J199" s="522">
        <f>PRO_PSM</f>
        <v>-1.63E-4</v>
      </c>
      <c r="K199" s="2"/>
      <c r="L199" s="81">
        <f>ROUND((+$H$53)*J199,0)</f>
        <v>0</v>
      </c>
      <c r="M199" s="5"/>
      <c r="N199" s="148">
        <v>0</v>
      </c>
      <c r="O199" s="8"/>
      <c r="P199" s="486"/>
      <c r="Q199" s="5"/>
      <c r="R199" s="81">
        <f t="shared" si="23"/>
        <v>0</v>
      </c>
      <c r="S199" s="103"/>
      <c r="T199" s="83"/>
      <c r="U199" s="83"/>
      <c r="V199" s="83"/>
      <c r="Z199" s="56"/>
      <c r="AA199" s="56"/>
      <c r="AB199" s="56"/>
      <c r="AC199" s="56"/>
      <c r="AD199" s="56"/>
      <c r="AE199" s="56"/>
      <c r="AG199" s="155"/>
      <c r="AH199" s="56"/>
      <c r="AI199" s="56"/>
      <c r="AJ199" s="56"/>
      <c r="AK199" s="155"/>
      <c r="AL199" s="56"/>
      <c r="AM199" s="56"/>
      <c r="AN199" s="56"/>
      <c r="AO199" s="56"/>
      <c r="AP199" s="56"/>
      <c r="AQ199" s="155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</row>
    <row r="200" spans="1:53" x14ac:dyDescent="0.25">
      <c r="A200" s="368">
        <v>134</v>
      </c>
      <c r="B200" s="378"/>
      <c r="C200" s="520" t="s">
        <v>538</v>
      </c>
      <c r="D200" s="378"/>
      <c r="E200" s="378"/>
      <c r="F200" s="310"/>
      <c r="G200" s="2"/>
      <c r="H200" s="83"/>
      <c r="I200" s="5"/>
      <c r="J200" s="2"/>
      <c r="K200" s="2"/>
      <c r="L200" s="90">
        <f>SUM(L197:L199)</f>
        <v>0</v>
      </c>
      <c r="M200" s="5"/>
      <c r="N200" s="150">
        <v>0</v>
      </c>
      <c r="O200" s="8"/>
      <c r="P200" s="482"/>
      <c r="Q200" s="5"/>
      <c r="R200" s="90">
        <f>SUM(R197:R199)</f>
        <v>0</v>
      </c>
      <c r="S200" s="103"/>
      <c r="T200" s="83"/>
      <c r="U200" s="83"/>
      <c r="V200" s="83"/>
      <c r="Z200" s="56"/>
      <c r="AA200" s="56"/>
      <c r="AB200" s="56"/>
      <c r="AC200" s="56"/>
      <c r="AD200" s="56"/>
      <c r="AE200" s="56"/>
      <c r="AG200" s="155"/>
      <c r="AH200" s="56"/>
      <c r="AI200" s="56"/>
      <c r="AJ200" s="56"/>
      <c r="AK200" s="155"/>
      <c r="AL200" s="56"/>
      <c r="AM200" s="56"/>
      <c r="AN200" s="56"/>
      <c r="AO200" s="56"/>
      <c r="AP200" s="56"/>
      <c r="AQ200" s="155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</row>
    <row r="201" spans="1:53" x14ac:dyDescent="0.25">
      <c r="A201" s="369"/>
      <c r="B201" s="378"/>
      <c r="C201" s="520"/>
      <c r="D201" s="378"/>
      <c r="E201" s="378"/>
      <c r="F201" s="310"/>
      <c r="G201" s="2"/>
      <c r="H201" s="83"/>
      <c r="I201" s="5"/>
      <c r="J201" s="2"/>
      <c r="K201" s="2"/>
      <c r="L201" s="83"/>
      <c r="M201" s="5"/>
      <c r="N201" s="91"/>
      <c r="O201" s="8"/>
      <c r="P201" s="379"/>
      <c r="Q201" s="5"/>
      <c r="R201" s="83"/>
      <c r="S201" s="103"/>
      <c r="T201" s="83"/>
      <c r="U201" s="83"/>
      <c r="V201" s="83"/>
      <c r="Z201" s="56"/>
      <c r="AA201" s="56"/>
      <c r="AB201" s="56"/>
      <c r="AC201" s="56"/>
      <c r="AD201" s="56"/>
      <c r="AE201" s="56"/>
      <c r="AG201" s="155"/>
      <c r="AH201" s="56"/>
      <c r="AI201" s="56"/>
      <c r="AJ201" s="56"/>
      <c r="AK201" s="155"/>
      <c r="AL201" s="56"/>
      <c r="AM201" s="56"/>
      <c r="AN201" s="56"/>
      <c r="AO201" s="56"/>
      <c r="AP201" s="56"/>
      <c r="AQ201" s="155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</row>
    <row r="202" spans="1:53" ht="16.5" thickBot="1" x14ac:dyDescent="0.3">
      <c r="A202" s="380">
        <v>135</v>
      </c>
      <c r="B202" s="378"/>
      <c r="C202" s="518" t="s">
        <v>693</v>
      </c>
      <c r="D202" s="378"/>
      <c r="E202" s="378"/>
      <c r="F202" s="352">
        <f>F194+F184+F133+F117+F51</f>
        <v>0</v>
      </c>
      <c r="G202" s="2"/>
      <c r="H202" s="352">
        <f>H51</f>
        <v>0</v>
      </c>
      <c r="I202" s="5"/>
      <c r="J202" s="2"/>
      <c r="K202" s="2"/>
      <c r="L202" s="352">
        <f>L194+L184+L133+L117+L51</f>
        <v>0</v>
      </c>
      <c r="M202" s="5"/>
      <c r="N202" s="111">
        <v>0</v>
      </c>
      <c r="O202" s="6"/>
      <c r="P202" s="82">
        <f>ROUND(H202*CUR_FAC,0)</f>
        <v>0</v>
      </c>
      <c r="Q202" s="5"/>
      <c r="R202" s="352">
        <f>R194+R184+R133+R117+R51</f>
        <v>0</v>
      </c>
      <c r="S202" s="103"/>
      <c r="T202" s="83"/>
      <c r="U202" s="83"/>
      <c r="V202" s="83"/>
      <c r="Z202" s="56"/>
      <c r="AA202" s="56"/>
      <c r="AB202" s="56"/>
      <c r="AC202" s="56"/>
      <c r="AD202" s="56"/>
      <c r="AE202" s="56"/>
      <c r="AG202" s="155"/>
      <c r="AH202" s="56"/>
      <c r="AI202" s="56"/>
      <c r="AJ202" s="56"/>
      <c r="AK202" s="155"/>
      <c r="AL202" s="56"/>
      <c r="AM202" s="56"/>
      <c r="AN202" s="56"/>
      <c r="AO202" s="56"/>
      <c r="AP202" s="56"/>
      <c r="AQ202" s="155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</row>
    <row r="203" spans="1:53" ht="16.5" thickTop="1" x14ac:dyDescent="0.25">
      <c r="A203" s="45"/>
      <c r="B203" s="378"/>
      <c r="C203" s="196"/>
      <c r="D203" s="378"/>
      <c r="E203" s="378"/>
      <c r="F203" s="310"/>
      <c r="G203" s="2"/>
      <c r="H203" s="83"/>
      <c r="I203" s="5"/>
      <c r="J203" s="2"/>
      <c r="K203" s="2"/>
      <c r="L203" s="83"/>
      <c r="M203" s="5"/>
      <c r="N203" s="91"/>
      <c r="O203" s="6"/>
      <c r="P203" s="83"/>
      <c r="Q203" s="5"/>
      <c r="R203" s="83"/>
      <c r="S203" s="103"/>
      <c r="T203" s="83"/>
      <c r="U203" s="83"/>
      <c r="V203" s="83"/>
      <c r="Z203" s="56"/>
      <c r="AA203" s="56"/>
      <c r="AB203" s="56"/>
      <c r="AC203" s="56"/>
      <c r="AD203" s="56"/>
      <c r="AE203" s="56"/>
      <c r="AG203" s="155"/>
      <c r="AH203" s="56"/>
      <c r="AI203" s="56"/>
      <c r="AJ203" s="56"/>
      <c r="AK203" s="155"/>
      <c r="AL203" s="56"/>
      <c r="AM203" s="56"/>
      <c r="AN203" s="56"/>
      <c r="AO203" s="56"/>
      <c r="AP203" s="56"/>
      <c r="AQ203" s="155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</row>
    <row r="204" spans="1:53" x14ac:dyDescent="0.25">
      <c r="A204" s="243" t="s">
        <v>78</v>
      </c>
      <c r="B204" s="245"/>
      <c r="C204" s="293"/>
      <c r="D204" s="246"/>
      <c r="E204" s="246"/>
      <c r="F204" s="293"/>
      <c r="G204" s="246"/>
      <c r="H204" s="246"/>
      <c r="I204" s="246"/>
      <c r="J204" s="244"/>
      <c r="K204" s="246"/>
      <c r="L204" s="247"/>
      <c r="M204" s="246"/>
      <c r="N204" s="245"/>
      <c r="O204" s="246"/>
      <c r="P204" s="248"/>
      <c r="Q204" s="249"/>
      <c r="R204" s="249"/>
      <c r="S204" s="103"/>
      <c r="T204" s="83"/>
      <c r="U204" s="83"/>
      <c r="V204" s="83"/>
      <c r="Z204" s="56"/>
      <c r="AA204" s="56"/>
      <c r="AB204" s="56"/>
      <c r="AC204" s="56"/>
      <c r="AD204" s="56"/>
      <c r="AE204" s="56"/>
      <c r="AG204" s="155"/>
      <c r="AH204" s="56"/>
      <c r="AI204" s="56"/>
      <c r="AJ204" s="56"/>
      <c r="AK204" s="155"/>
      <c r="AL204" s="56"/>
      <c r="AM204" s="56"/>
      <c r="AN204" s="56"/>
      <c r="AO204" s="56"/>
      <c r="AP204" s="56"/>
      <c r="AQ204" s="155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</row>
    <row r="205" spans="1:53" x14ac:dyDescent="0.25">
      <c r="A205" s="243" t="str">
        <f>"(1A) REFLECTS FUEL COST RECOVERY INCLUDED IN BASE RATES OF "&amp;TEXT(CUR_BASE_FUEL,"$0.000000;($0.000000)")&amp;"  PER KWH."</f>
        <v>(1A) REFLECTS FUEL COST RECOVERY INCLUDED IN BASE RATES OF $0.023837  PER KWH.</v>
      </c>
      <c r="B205" s="246"/>
      <c r="C205" s="293"/>
      <c r="D205" s="246"/>
      <c r="E205" s="246"/>
      <c r="F205" s="327"/>
      <c r="G205" s="246"/>
      <c r="H205" s="246"/>
      <c r="I205" s="246"/>
      <c r="J205" s="248"/>
      <c r="K205" s="246"/>
      <c r="L205" s="247"/>
      <c r="M205" s="246"/>
      <c r="N205" s="245"/>
      <c r="O205" s="246"/>
      <c r="P205" s="244"/>
      <c r="Q205" s="249"/>
      <c r="R205" s="249"/>
      <c r="S205" s="103"/>
      <c r="T205" s="83"/>
      <c r="U205" s="83"/>
      <c r="V205" s="83"/>
      <c r="Z205" s="56"/>
      <c r="AA205" s="56"/>
      <c r="AB205" s="56"/>
      <c r="AC205" s="56"/>
      <c r="AD205" s="56"/>
      <c r="AE205" s="56"/>
      <c r="AG205" s="155"/>
      <c r="AH205" s="56"/>
      <c r="AI205" s="56"/>
      <c r="AJ205" s="56"/>
      <c r="AK205" s="155"/>
      <c r="AL205" s="56"/>
      <c r="AM205" s="56"/>
      <c r="AN205" s="56"/>
      <c r="AO205" s="56"/>
      <c r="AP205" s="56"/>
      <c r="AQ205" s="155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</row>
    <row r="206" spans="1:53" x14ac:dyDescent="0.25">
      <c r="A206" s="243" t="str">
        <f>"(2) REFLECTS FUEL COMPONENT OF "&amp;TEXT(CUR_FAC,"$0.000000;($0.000000)")&amp;"  PER KWH."</f>
        <v>(2) REFLECTS FUEL COMPONENT OF $0.000681  PER KWH.</v>
      </c>
      <c r="B206" s="246"/>
      <c r="C206" s="293"/>
      <c r="D206" s="246"/>
      <c r="E206" s="246"/>
      <c r="F206" s="327"/>
      <c r="G206" s="246"/>
      <c r="H206" s="246"/>
      <c r="I206" s="246"/>
      <c r="J206" s="248"/>
      <c r="K206" s="246"/>
      <c r="L206" s="247"/>
      <c r="M206" s="246"/>
      <c r="N206" s="245"/>
      <c r="O206" s="246"/>
      <c r="P206" s="244"/>
      <c r="Q206" s="249"/>
      <c r="R206" s="249"/>
      <c r="S206" s="103"/>
      <c r="T206" s="83"/>
      <c r="U206" s="83"/>
      <c r="V206" s="83"/>
      <c r="Z206" s="56"/>
      <c r="AA206" s="56"/>
      <c r="AB206" s="56"/>
      <c r="AC206" s="56"/>
      <c r="AD206" s="56"/>
      <c r="AE206" s="56"/>
      <c r="AG206" s="155"/>
      <c r="AH206" s="56"/>
      <c r="AI206" s="56"/>
      <c r="AJ206" s="56"/>
      <c r="AK206" s="155"/>
      <c r="AL206" s="56"/>
      <c r="AM206" s="56"/>
      <c r="AN206" s="56"/>
      <c r="AO206" s="56"/>
      <c r="AP206" s="56"/>
      <c r="AQ206" s="155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</row>
    <row r="207" spans="1:53" x14ac:dyDescent="0.25">
      <c r="A207" s="53"/>
      <c r="C207" s="301"/>
      <c r="F207" s="310"/>
      <c r="G207" s="84"/>
      <c r="H207" s="379"/>
      <c r="I207" s="83"/>
      <c r="J207" s="84"/>
      <c r="K207" s="84"/>
      <c r="L207" s="84"/>
      <c r="M207" s="84"/>
      <c r="N207" s="84"/>
      <c r="O207" s="84"/>
      <c r="P207" s="83"/>
      <c r="Q207" s="83"/>
      <c r="R207" s="91"/>
      <c r="S207" s="103"/>
      <c r="T207" s="83"/>
      <c r="U207" s="83"/>
      <c r="V207" s="83"/>
      <c r="Z207" s="56"/>
      <c r="AA207" s="56"/>
      <c r="AB207" s="56"/>
      <c r="AC207" s="56"/>
      <c r="AD207" s="56"/>
      <c r="AE207" s="56"/>
      <c r="AG207" s="155"/>
      <c r="AH207" s="56"/>
      <c r="AI207" s="56"/>
      <c r="AJ207" s="56"/>
      <c r="AK207" s="155"/>
      <c r="AL207" s="56"/>
      <c r="AM207" s="56"/>
      <c r="AN207" s="56"/>
      <c r="AO207" s="56"/>
      <c r="AP207" s="56"/>
      <c r="AQ207" s="155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</row>
    <row r="208" spans="1:53" x14ac:dyDescent="0.25">
      <c r="A208" s="53"/>
      <c r="C208" s="301"/>
      <c r="F208" s="310"/>
      <c r="G208" s="84"/>
      <c r="H208" s="379"/>
      <c r="I208" s="83"/>
      <c r="J208" s="84"/>
      <c r="K208" s="84"/>
      <c r="L208" s="84"/>
      <c r="M208" s="84"/>
      <c r="N208" s="84"/>
      <c r="O208" s="84"/>
      <c r="P208" s="83"/>
      <c r="Q208" s="83"/>
      <c r="R208" s="91"/>
      <c r="S208" s="103"/>
      <c r="T208" s="83"/>
      <c r="U208" s="83"/>
      <c r="V208" s="83"/>
      <c r="Z208" s="56"/>
      <c r="AA208" s="56"/>
      <c r="AB208" s="56"/>
      <c r="AC208" s="56"/>
      <c r="AD208" s="56"/>
      <c r="AE208" s="56"/>
      <c r="AG208" s="155"/>
      <c r="AH208" s="56"/>
      <c r="AI208" s="56"/>
      <c r="AJ208" s="56"/>
      <c r="AK208" s="155"/>
      <c r="AL208" s="56"/>
      <c r="AM208" s="56"/>
      <c r="AN208" s="56"/>
      <c r="AO208" s="56"/>
      <c r="AP208" s="56"/>
      <c r="AQ208" s="155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</row>
    <row r="209" spans="1:53" x14ac:dyDescent="0.25">
      <c r="A209" s="53"/>
      <c r="C209" s="301"/>
      <c r="F209" s="310"/>
      <c r="G209" s="84"/>
      <c r="H209" s="379"/>
      <c r="I209" s="83"/>
      <c r="J209" s="84"/>
      <c r="K209" s="84"/>
      <c r="L209" s="84"/>
      <c r="M209" s="84"/>
      <c r="N209" s="84"/>
      <c r="O209" s="84"/>
      <c r="P209" s="83"/>
      <c r="Q209" s="83"/>
      <c r="R209" s="91"/>
      <c r="S209" s="103"/>
      <c r="T209" s="83"/>
      <c r="U209" s="83"/>
      <c r="V209" s="83"/>
      <c r="Z209" s="56"/>
      <c r="AA209" s="56"/>
      <c r="AB209" s="56"/>
      <c r="AC209" s="56"/>
      <c r="AD209" s="56"/>
      <c r="AE209" s="56"/>
      <c r="AG209" s="155"/>
      <c r="AH209" s="56"/>
      <c r="AI209" s="56"/>
      <c r="AJ209" s="56"/>
      <c r="AK209" s="155"/>
      <c r="AL209" s="56"/>
      <c r="AM209" s="56"/>
      <c r="AN209" s="56"/>
      <c r="AO209" s="56"/>
      <c r="AP209" s="56"/>
      <c r="AQ209" s="155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</row>
    <row r="210" spans="1:53" x14ac:dyDescent="0.25">
      <c r="A210" s="53"/>
      <c r="C210" s="301"/>
      <c r="F210" s="310"/>
      <c r="G210" s="84"/>
      <c r="H210" s="379"/>
      <c r="I210" s="83"/>
      <c r="J210" s="84"/>
      <c r="K210" s="84"/>
      <c r="L210" s="84"/>
      <c r="M210" s="84"/>
      <c r="N210" s="84"/>
      <c r="O210" s="84"/>
      <c r="P210" s="83"/>
      <c r="Q210" s="83"/>
      <c r="R210" s="91"/>
      <c r="S210" s="103"/>
      <c r="T210" s="83"/>
      <c r="U210" s="83"/>
      <c r="V210" s="83"/>
      <c r="Z210" s="56"/>
      <c r="AA210" s="56"/>
      <c r="AB210" s="56"/>
      <c r="AC210" s="56"/>
      <c r="AD210" s="56"/>
      <c r="AE210" s="56"/>
      <c r="AG210" s="155"/>
      <c r="AH210" s="56"/>
      <c r="AI210" s="56"/>
      <c r="AJ210" s="56"/>
      <c r="AK210" s="155"/>
      <c r="AL210" s="56"/>
      <c r="AM210" s="56"/>
      <c r="AN210" s="56"/>
      <c r="AO210" s="56"/>
      <c r="AP210" s="56"/>
      <c r="AQ210" s="155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</row>
    <row r="211" spans="1:53" x14ac:dyDescent="0.25">
      <c r="A211" s="53"/>
      <c r="C211" s="301"/>
      <c r="F211" s="310"/>
      <c r="G211" s="84"/>
      <c r="H211" s="379"/>
      <c r="I211" s="83"/>
      <c r="J211" s="84"/>
      <c r="K211" s="84"/>
      <c r="L211" s="84"/>
      <c r="M211" s="84"/>
      <c r="N211" s="84"/>
      <c r="O211" s="84"/>
      <c r="P211" s="83"/>
      <c r="Q211" s="83"/>
      <c r="R211" s="91"/>
      <c r="S211" s="103"/>
      <c r="T211" s="83"/>
      <c r="U211" s="83"/>
      <c r="V211" s="83"/>
      <c r="Z211" s="56"/>
      <c r="AA211" s="56"/>
      <c r="AB211" s="56"/>
      <c r="AC211" s="56"/>
      <c r="AD211" s="56"/>
      <c r="AE211" s="56"/>
      <c r="AG211" s="155"/>
      <c r="AH211" s="56"/>
      <c r="AI211" s="56"/>
      <c r="AJ211" s="56"/>
      <c r="AK211" s="155"/>
      <c r="AL211" s="56"/>
      <c r="AM211" s="56"/>
      <c r="AN211" s="56"/>
      <c r="AO211" s="56"/>
      <c r="AP211" s="56"/>
      <c r="AQ211" s="155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</row>
    <row r="212" spans="1:53" x14ac:dyDescent="0.25">
      <c r="A212" s="53"/>
      <c r="C212" s="301"/>
      <c r="F212" s="310"/>
      <c r="G212" s="84"/>
      <c r="H212" s="379"/>
      <c r="I212" s="83"/>
      <c r="J212" s="84"/>
      <c r="K212" s="84"/>
      <c r="L212" s="84"/>
      <c r="M212" s="84"/>
      <c r="N212" s="84"/>
      <c r="O212" s="84"/>
      <c r="P212" s="83"/>
      <c r="Q212" s="83"/>
      <c r="R212" s="91"/>
      <c r="S212" s="103"/>
      <c r="T212" s="83"/>
      <c r="U212" s="83"/>
      <c r="V212" s="83"/>
      <c r="Z212" s="56"/>
      <c r="AA212" s="56"/>
      <c r="AB212" s="56"/>
      <c r="AC212" s="56"/>
      <c r="AD212" s="56"/>
      <c r="AE212" s="56"/>
      <c r="AG212" s="155"/>
      <c r="AH212" s="56"/>
      <c r="AI212" s="56"/>
      <c r="AJ212" s="56"/>
      <c r="AK212" s="155"/>
      <c r="AL212" s="56"/>
      <c r="AM212" s="56"/>
      <c r="AN212" s="56"/>
      <c r="AO212" s="56"/>
      <c r="AP212" s="56"/>
      <c r="AQ212" s="155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</row>
    <row r="213" spans="1:53" x14ac:dyDescent="0.25">
      <c r="A213" s="53"/>
      <c r="C213" s="301"/>
      <c r="F213" s="310"/>
      <c r="G213" s="84"/>
      <c r="H213" s="379"/>
      <c r="I213" s="83"/>
      <c r="J213" s="84"/>
      <c r="K213" s="84"/>
      <c r="L213" s="84"/>
      <c r="M213" s="84"/>
      <c r="N213" s="84"/>
      <c r="O213" s="84"/>
      <c r="P213" s="83"/>
      <c r="Q213" s="83"/>
      <c r="R213" s="91"/>
      <c r="S213" s="103"/>
      <c r="T213" s="83"/>
      <c r="U213" s="83"/>
      <c r="V213" s="83"/>
      <c r="Z213" s="56"/>
      <c r="AA213" s="56"/>
      <c r="AB213" s="56"/>
      <c r="AC213" s="56"/>
      <c r="AD213" s="56"/>
      <c r="AE213" s="56"/>
      <c r="AG213" s="155"/>
      <c r="AH213" s="56"/>
      <c r="AI213" s="56"/>
      <c r="AJ213" s="56"/>
      <c r="AK213" s="155"/>
      <c r="AL213" s="56"/>
      <c r="AM213" s="56"/>
      <c r="AN213" s="56"/>
      <c r="AO213" s="56"/>
      <c r="AP213" s="56"/>
      <c r="AQ213" s="155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</row>
    <row r="214" spans="1:53" x14ac:dyDescent="0.25">
      <c r="A214" s="53"/>
      <c r="C214" s="301"/>
      <c r="F214" s="310"/>
      <c r="G214" s="116"/>
      <c r="H214" s="83"/>
      <c r="I214" s="83"/>
      <c r="J214" s="116"/>
      <c r="K214" s="116"/>
      <c r="L214" s="83"/>
      <c r="M214" s="83"/>
      <c r="N214" s="83"/>
      <c r="O214" s="83"/>
      <c r="P214" s="83"/>
      <c r="Q214" s="83"/>
      <c r="R214" s="83"/>
      <c r="S214" s="91"/>
      <c r="T214" s="588" t="str">
        <f>NAME</f>
        <v>DUKE ENERGY KENTUCKY, INC.</v>
      </c>
      <c r="U214" s="588"/>
      <c r="V214" s="588"/>
      <c r="W214" s="588"/>
      <c r="X214" s="588"/>
      <c r="Y214" s="588"/>
      <c r="Z214" s="588"/>
      <c r="AA214" s="588"/>
      <c r="AB214" s="588"/>
      <c r="AC214" s="588"/>
      <c r="AD214" s="588"/>
      <c r="AE214" s="588"/>
      <c r="AF214" s="588"/>
      <c r="AG214" s="588"/>
      <c r="AH214" s="588"/>
      <c r="AI214" s="588"/>
      <c r="AJ214" s="588"/>
      <c r="AK214" s="588"/>
      <c r="AL214" s="588"/>
      <c r="AM214" s="588"/>
      <c r="AN214" s="588"/>
      <c r="AO214" s="588"/>
      <c r="AP214" s="588"/>
      <c r="AQ214" s="588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</row>
    <row r="215" spans="1:53" x14ac:dyDescent="0.25">
      <c r="A215" s="53"/>
      <c r="C215" s="301"/>
      <c r="F215" s="399"/>
      <c r="G215" s="116"/>
      <c r="H215" s="94"/>
      <c r="I215" s="94"/>
      <c r="J215" s="94"/>
      <c r="K215" s="94"/>
      <c r="L215" s="524"/>
      <c r="M215" s="94"/>
      <c r="N215" s="94"/>
      <c r="O215" s="94"/>
      <c r="P215" s="83"/>
      <c r="Q215" s="83"/>
      <c r="R215" s="83"/>
      <c r="S215" s="91"/>
      <c r="T215" s="43" t="str">
        <f>CASE_NO</f>
        <v>CASE NO.   2019-000271</v>
      </c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</row>
    <row r="216" spans="1:53" x14ac:dyDescent="0.25">
      <c r="A216" s="53"/>
      <c r="C216" s="301"/>
      <c r="F216" s="399"/>
      <c r="G216" s="116"/>
      <c r="H216" s="94"/>
      <c r="I216" s="94"/>
      <c r="J216" s="94"/>
      <c r="K216" s="94"/>
      <c r="L216" s="94"/>
      <c r="M216" s="94"/>
      <c r="N216" s="94"/>
      <c r="O216" s="94"/>
      <c r="P216" s="94"/>
      <c r="Q216" s="83"/>
      <c r="R216" s="94"/>
      <c r="S216" s="91"/>
      <c r="T216" s="44" t="str">
        <f>TITLE</f>
        <v>ANNUALIZED BASE YEAR REVENUES AT PROPOSED VS. MOST CURRENT RATES</v>
      </c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</row>
    <row r="217" spans="1:53" x14ac:dyDescent="0.25">
      <c r="A217" s="53"/>
      <c r="C217" s="301"/>
      <c r="F217" s="447"/>
      <c r="G217" s="382"/>
      <c r="H217" s="449"/>
      <c r="I217" s="449"/>
      <c r="J217" s="449"/>
      <c r="K217" s="449"/>
      <c r="L217" s="379"/>
      <c r="M217" s="379"/>
      <c r="N217" s="379"/>
      <c r="O217" s="379"/>
      <c r="P217" s="379"/>
      <c r="Q217" s="379"/>
      <c r="R217" s="379"/>
      <c r="T217" s="43" t="str">
        <f>DATE</f>
        <v>FOR THE TWELVE MONTHS ENDED November 30, 2019</v>
      </c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379"/>
      <c r="AS217" s="50"/>
    </row>
    <row r="218" spans="1:53" x14ac:dyDescent="0.25">
      <c r="C218" s="229"/>
      <c r="F218" s="358"/>
      <c r="H218" s="379"/>
      <c r="I218" s="379"/>
      <c r="J218" s="464"/>
      <c r="K218" s="464"/>
      <c r="L218" s="381"/>
      <c r="M218" s="381"/>
      <c r="N218" s="381"/>
      <c r="O218" s="381"/>
      <c r="P218" s="381"/>
      <c r="Q218" s="381"/>
      <c r="R218" s="381"/>
      <c r="T218" s="43" t="str">
        <f>SERVICE</f>
        <v>(ELECTRIC SERVICE)</v>
      </c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379"/>
      <c r="AS218" s="50"/>
    </row>
    <row r="219" spans="1:53" x14ac:dyDescent="0.25">
      <c r="C219" s="229"/>
      <c r="F219" s="358"/>
      <c r="H219" s="379"/>
      <c r="I219" s="379"/>
      <c r="J219" s="464"/>
      <c r="K219" s="464"/>
      <c r="L219" s="381"/>
      <c r="M219" s="381"/>
      <c r="N219" s="381"/>
      <c r="O219" s="381"/>
      <c r="P219" s="381"/>
      <c r="Q219" s="381"/>
      <c r="R219" s="381"/>
      <c r="T219" s="45" t="str">
        <f>DATA_PERIOD</f>
        <v>DATA: __X__ BASE PERIOD   ____FORECASTED PERIOD</v>
      </c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6" t="s">
        <v>164</v>
      </c>
      <c r="AP219" s="45"/>
      <c r="AQ219" s="45"/>
    </row>
    <row r="220" spans="1:53" x14ac:dyDescent="0.25">
      <c r="A220" s="53"/>
      <c r="C220" s="301"/>
      <c r="F220" s="447"/>
      <c r="H220" s="449"/>
      <c r="I220" s="449"/>
      <c r="J220" s="477"/>
      <c r="K220" s="477"/>
      <c r="L220" s="379"/>
      <c r="M220" s="379"/>
      <c r="N220" s="50"/>
      <c r="O220" s="50"/>
      <c r="P220" s="379"/>
      <c r="Q220" s="379"/>
      <c r="R220" s="379"/>
      <c r="S220" s="379"/>
      <c r="T220" s="45" t="str">
        <f>TYPE</f>
        <v>TYPE OF FILING: _X_ ORIGINAL   ___UPDATED  ___ REVISED</v>
      </c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52" t="str">
        <f>"PAGE 21 OF "&amp;TEXT(Page_Num_2.2,"00")</f>
        <v>PAGE 21 OF 22</v>
      </c>
      <c r="AP220" s="45"/>
      <c r="AQ220" s="45"/>
      <c r="AR220" s="379"/>
      <c r="AS220" s="50"/>
    </row>
    <row r="221" spans="1:53" x14ac:dyDescent="0.25">
      <c r="A221" s="53"/>
      <c r="C221" s="301"/>
      <c r="F221" s="447"/>
      <c r="H221" s="449"/>
      <c r="I221" s="449"/>
      <c r="J221" s="461"/>
      <c r="K221" s="461"/>
      <c r="L221" s="379"/>
      <c r="M221" s="379"/>
      <c r="N221" s="50"/>
      <c r="O221" s="50"/>
      <c r="P221" s="379"/>
      <c r="Q221" s="379"/>
      <c r="R221" s="379"/>
      <c r="T221" s="46" t="s">
        <v>177</v>
      </c>
      <c r="U221" s="378"/>
      <c r="V221" s="378"/>
      <c r="W221" s="378"/>
      <c r="X221" s="378"/>
      <c r="Y221" s="378"/>
      <c r="Z221" s="378"/>
      <c r="AA221" s="378"/>
      <c r="AB221" s="378"/>
      <c r="AC221" s="378"/>
      <c r="AD221" s="378"/>
      <c r="AE221" s="378"/>
      <c r="AF221" s="378"/>
      <c r="AG221" s="143"/>
      <c r="AH221" s="378"/>
      <c r="AI221" s="378"/>
      <c r="AJ221" s="378"/>
      <c r="AK221" s="143"/>
      <c r="AL221" s="378"/>
      <c r="AM221" s="378"/>
      <c r="AN221" s="378"/>
      <c r="AO221" s="46" t="s">
        <v>4</v>
      </c>
      <c r="AP221" s="46"/>
      <c r="AQ221" s="171"/>
    </row>
    <row r="222" spans="1:53" x14ac:dyDescent="0.25">
      <c r="C222" s="229"/>
      <c r="F222" s="347"/>
      <c r="H222" s="381"/>
      <c r="I222" s="381"/>
      <c r="J222" s="464"/>
      <c r="K222" s="464"/>
      <c r="L222" s="381"/>
      <c r="M222" s="381"/>
      <c r="N222" s="381"/>
      <c r="O222" s="381"/>
      <c r="P222" s="381"/>
      <c r="Q222" s="381"/>
      <c r="R222" s="381"/>
      <c r="T222" s="218" t="str">
        <f>TIME</f>
        <v>6 Months Actual and 6 Months Projected with Riders</v>
      </c>
      <c r="U222" s="378"/>
      <c r="V222" s="378"/>
      <c r="W222" s="378"/>
      <c r="X222" s="378"/>
      <c r="Y222" s="378"/>
      <c r="Z222" s="378"/>
      <c r="AA222" s="378"/>
      <c r="AB222" s="378"/>
      <c r="AC222" s="378"/>
      <c r="AD222" s="378"/>
      <c r="AF222" s="46"/>
      <c r="AG222" s="143"/>
      <c r="AH222" s="378"/>
      <c r="AI222" s="378"/>
      <c r="AJ222" s="378"/>
      <c r="AK222" s="143"/>
      <c r="AL222" s="378"/>
      <c r="AM222" s="378"/>
      <c r="AN222" s="378"/>
      <c r="AO222" s="48" t="str">
        <f>WIT</f>
        <v>J. L. Kern</v>
      </c>
      <c r="AP222" s="45"/>
      <c r="AQ222" s="171"/>
      <c r="AR222" s="379"/>
      <c r="AS222" s="50"/>
    </row>
    <row r="223" spans="1:53" x14ac:dyDescent="0.25">
      <c r="C223" s="229"/>
      <c r="F223" s="347"/>
      <c r="H223" s="381"/>
      <c r="I223" s="381"/>
      <c r="J223" s="464"/>
      <c r="K223" s="464"/>
      <c r="L223" s="381"/>
      <c r="M223" s="381"/>
      <c r="N223" s="381"/>
      <c r="O223" s="381"/>
      <c r="P223" s="381"/>
      <c r="Q223" s="381"/>
      <c r="R223" s="381"/>
      <c r="T223" s="44" t="s">
        <v>137</v>
      </c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4"/>
      <c r="AF223" s="44"/>
      <c r="AG223" s="144"/>
      <c r="AH223" s="43"/>
      <c r="AI223" s="43"/>
      <c r="AJ223" s="43"/>
      <c r="AK223" s="144"/>
      <c r="AL223" s="43"/>
      <c r="AM223" s="43"/>
      <c r="AN223" s="43"/>
      <c r="AO223" s="44"/>
      <c r="AP223" s="44"/>
      <c r="AQ223" s="171"/>
      <c r="AR223" s="379"/>
      <c r="AS223" s="50"/>
    </row>
    <row r="224" spans="1:53" x14ac:dyDescent="0.25">
      <c r="C224" s="229"/>
      <c r="F224" s="347"/>
      <c r="H224" s="381"/>
      <c r="I224" s="381"/>
      <c r="J224" s="464"/>
      <c r="K224" s="464"/>
      <c r="L224" s="381"/>
      <c r="M224" s="381"/>
      <c r="N224" s="381"/>
      <c r="O224" s="381"/>
      <c r="P224" s="381"/>
      <c r="Q224" s="381"/>
      <c r="R224" s="381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159"/>
      <c r="AH224" s="72"/>
      <c r="AI224" s="72"/>
      <c r="AJ224" s="72"/>
      <c r="AK224" s="159"/>
      <c r="AL224" s="72"/>
      <c r="AM224" s="72"/>
      <c r="AN224" s="72"/>
      <c r="AO224" s="72"/>
      <c r="AP224" s="72"/>
      <c r="AQ224" s="172"/>
    </row>
    <row r="225" spans="1:49" ht="18" customHeight="1" x14ac:dyDescent="0.25">
      <c r="A225" s="53"/>
      <c r="C225" s="301"/>
      <c r="F225" s="347"/>
      <c r="H225" s="379"/>
      <c r="I225" s="379"/>
      <c r="J225" s="464"/>
      <c r="K225" s="464"/>
      <c r="L225" s="379"/>
      <c r="M225" s="379"/>
      <c r="N225" s="379"/>
      <c r="O225" s="379"/>
      <c r="P225" s="379"/>
      <c r="Q225" s="379"/>
      <c r="R225" s="379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4" t="s">
        <v>8</v>
      </c>
      <c r="AF225" s="74"/>
      <c r="AG225" s="160" t="s">
        <v>7</v>
      </c>
      <c r="AH225" s="74"/>
      <c r="AI225" s="74" t="s">
        <v>9</v>
      </c>
      <c r="AJ225" s="74"/>
      <c r="AK225" s="160" t="s">
        <v>10</v>
      </c>
      <c r="AL225" s="74"/>
      <c r="AM225" s="73"/>
      <c r="AN225" s="73"/>
      <c r="AO225" s="74" t="s">
        <v>8</v>
      </c>
      <c r="AP225" s="74"/>
      <c r="AQ225" s="160" t="s">
        <v>11</v>
      </c>
      <c r="AR225" s="379"/>
      <c r="AW225" s="392"/>
    </row>
    <row r="226" spans="1:49" x14ac:dyDescent="0.25">
      <c r="A226" s="53"/>
      <c r="C226" s="301"/>
      <c r="F226" s="347"/>
      <c r="H226" s="449"/>
      <c r="I226" s="449"/>
      <c r="J226" s="221"/>
      <c r="K226" s="221"/>
      <c r="L226" s="379"/>
      <c r="M226" s="379"/>
      <c r="N226" s="50"/>
      <c r="O226" s="50"/>
      <c r="P226" s="379"/>
      <c r="Q226" s="379"/>
      <c r="R226" s="379"/>
      <c r="T226" s="378"/>
      <c r="U226" s="378"/>
      <c r="V226" s="378"/>
      <c r="W226" s="378"/>
      <c r="X226" s="378"/>
      <c r="Y226" s="378"/>
      <c r="Z226" s="378"/>
      <c r="AA226" s="378"/>
      <c r="AB226" s="378"/>
      <c r="AC226" s="419" t="s">
        <v>694</v>
      </c>
      <c r="AD226" s="44"/>
      <c r="AE226" s="426" t="s">
        <v>12</v>
      </c>
      <c r="AF226" s="426"/>
      <c r="AG226" s="146" t="s">
        <v>13</v>
      </c>
      <c r="AH226" s="426"/>
      <c r="AI226" s="426" t="s">
        <v>15</v>
      </c>
      <c r="AJ226" s="426"/>
      <c r="AK226" s="146" t="s">
        <v>16</v>
      </c>
      <c r="AL226" s="426"/>
      <c r="AM226" s="378"/>
      <c r="AN226" s="378"/>
      <c r="AO226" s="426" t="s">
        <v>11</v>
      </c>
      <c r="AP226" s="426"/>
      <c r="AQ226" s="146" t="s">
        <v>9</v>
      </c>
      <c r="AW226" s="392"/>
    </row>
    <row r="227" spans="1:49" x14ac:dyDescent="0.25">
      <c r="A227" s="53"/>
      <c r="C227" s="301"/>
      <c r="F227" s="229"/>
      <c r="H227" s="449"/>
      <c r="I227" s="449"/>
      <c r="J227" s="221"/>
      <c r="K227" s="221"/>
      <c r="L227" s="379"/>
      <c r="M227" s="379"/>
      <c r="N227" s="50"/>
      <c r="O227" s="50"/>
      <c r="P227" s="379"/>
      <c r="Q227" s="379"/>
      <c r="R227" s="379"/>
      <c r="T227" s="426" t="s">
        <v>17</v>
      </c>
      <c r="U227" s="378"/>
      <c r="V227" s="426" t="s">
        <v>18</v>
      </c>
      <c r="W227" s="426" t="s">
        <v>19</v>
      </c>
      <c r="X227" s="426"/>
      <c r="Y227" s="426" t="s">
        <v>20</v>
      </c>
      <c r="Z227" s="378"/>
      <c r="AA227" s="378"/>
      <c r="AB227" s="378"/>
      <c r="AC227" s="426" t="s">
        <v>669</v>
      </c>
      <c r="AD227" s="426" t="s">
        <v>670</v>
      </c>
      <c r="AE227" s="426" t="s">
        <v>21</v>
      </c>
      <c r="AF227" s="426"/>
      <c r="AG227" s="146" t="s">
        <v>21</v>
      </c>
      <c r="AH227" s="426"/>
      <c r="AI227" s="426" t="s">
        <v>22</v>
      </c>
      <c r="AJ227" s="426"/>
      <c r="AK227" s="146" t="s">
        <v>22</v>
      </c>
      <c r="AL227" s="426"/>
      <c r="AM227" s="426" t="s">
        <v>21</v>
      </c>
      <c r="AN227" s="426"/>
      <c r="AO227" s="426" t="s">
        <v>9</v>
      </c>
      <c r="AP227" s="426"/>
      <c r="AQ227" s="146" t="s">
        <v>23</v>
      </c>
      <c r="AW227" s="392"/>
    </row>
    <row r="228" spans="1:49" x14ac:dyDescent="0.25">
      <c r="C228" s="229"/>
      <c r="F228" s="347"/>
      <c r="H228" s="379"/>
      <c r="I228" s="379"/>
      <c r="J228" s="464"/>
      <c r="K228" s="464"/>
      <c r="L228" s="381"/>
      <c r="M228" s="381"/>
      <c r="N228" s="381"/>
      <c r="O228" s="381"/>
      <c r="P228" s="381"/>
      <c r="Q228" s="381"/>
      <c r="R228" s="381"/>
      <c r="T228" s="426" t="s">
        <v>24</v>
      </c>
      <c r="U228" s="378"/>
      <c r="V228" s="426" t="s">
        <v>25</v>
      </c>
      <c r="W228" s="426" t="s">
        <v>26</v>
      </c>
      <c r="X228" s="426"/>
      <c r="Y228" s="426" t="s">
        <v>27</v>
      </c>
      <c r="Z228" s="378"/>
      <c r="AA228" s="426" t="s">
        <v>28</v>
      </c>
      <c r="AB228" s="426"/>
      <c r="AC228" s="70" t="s">
        <v>29</v>
      </c>
      <c r="AD228" s="70" t="s">
        <v>29</v>
      </c>
      <c r="AE228" s="426" t="s">
        <v>9</v>
      </c>
      <c r="AF228" s="426"/>
      <c r="AG228" s="146" t="s">
        <v>9</v>
      </c>
      <c r="AH228" s="426"/>
      <c r="AI228" s="265" t="s">
        <v>31</v>
      </c>
      <c r="AJ228" s="265"/>
      <c r="AK228" s="440" t="s">
        <v>32</v>
      </c>
      <c r="AL228" s="426"/>
      <c r="AM228" s="426" t="s">
        <v>379</v>
      </c>
      <c r="AN228" s="426"/>
      <c r="AO228" s="265" t="s">
        <v>33</v>
      </c>
      <c r="AP228" s="265"/>
      <c r="AQ228" s="440" t="s">
        <v>34</v>
      </c>
      <c r="AW228" s="392"/>
    </row>
    <row r="229" spans="1:49" x14ac:dyDescent="0.25">
      <c r="A229" s="53"/>
      <c r="C229" s="301"/>
      <c r="F229" s="347"/>
      <c r="H229" s="379"/>
      <c r="I229" s="379"/>
      <c r="J229" s="59"/>
      <c r="K229" s="59"/>
      <c r="L229" s="379"/>
      <c r="M229" s="379"/>
      <c r="N229" s="50"/>
      <c r="O229" s="50"/>
      <c r="P229" s="379"/>
      <c r="Q229" s="379"/>
      <c r="R229" s="379"/>
      <c r="T229" s="378"/>
      <c r="U229" s="378"/>
      <c r="V229" s="265" t="s">
        <v>35</v>
      </c>
      <c r="W229" s="265" t="s">
        <v>36</v>
      </c>
      <c r="X229" s="265"/>
      <c r="Y229" s="265" t="s">
        <v>37</v>
      </c>
      <c r="Z229" s="218"/>
      <c r="AA229" s="265" t="s">
        <v>38</v>
      </c>
      <c r="AB229" s="265"/>
      <c r="AC229" s="439" t="s">
        <v>695</v>
      </c>
      <c r="AD229" s="439" t="s">
        <v>696</v>
      </c>
      <c r="AE229" s="265" t="s">
        <v>45</v>
      </c>
      <c r="AF229" s="265"/>
      <c r="AG229" s="440" t="s">
        <v>46</v>
      </c>
      <c r="AH229" s="265"/>
      <c r="AI229" s="265" t="s">
        <v>47</v>
      </c>
      <c r="AJ229" s="265"/>
      <c r="AK229" s="440" t="s">
        <v>48</v>
      </c>
      <c r="AL229" s="265"/>
      <c r="AM229" s="265" t="s">
        <v>42</v>
      </c>
      <c r="AN229" s="265"/>
      <c r="AO229" s="265" t="s">
        <v>49</v>
      </c>
      <c r="AP229" s="265"/>
      <c r="AQ229" s="440" t="s">
        <v>50</v>
      </c>
      <c r="AW229" s="392"/>
    </row>
    <row r="230" spans="1:49" ht="17.100000000000001" customHeight="1" x14ac:dyDescent="0.25">
      <c r="C230" s="229"/>
      <c r="F230" s="347"/>
      <c r="H230" s="379"/>
      <c r="I230" s="379"/>
      <c r="J230" s="464"/>
      <c r="K230" s="464"/>
      <c r="L230" s="381"/>
      <c r="M230" s="381"/>
      <c r="N230" s="381"/>
      <c r="O230" s="381"/>
      <c r="P230" s="381"/>
      <c r="Q230" s="381"/>
      <c r="R230" s="381"/>
      <c r="T230" s="73"/>
      <c r="U230" s="73"/>
      <c r="V230" s="73"/>
      <c r="W230" s="73"/>
      <c r="X230" s="73"/>
      <c r="Y230" s="73"/>
      <c r="Z230" s="73"/>
      <c r="AA230" s="496" t="s">
        <v>51</v>
      </c>
      <c r="AB230" s="496"/>
      <c r="AC230" s="495" t="s">
        <v>71</v>
      </c>
      <c r="AD230" s="496"/>
      <c r="AE230" s="496" t="s">
        <v>52</v>
      </c>
      <c r="AF230" s="496"/>
      <c r="AG230" s="498" t="s">
        <v>53</v>
      </c>
      <c r="AH230" s="496"/>
      <c r="AI230" s="496" t="s">
        <v>52</v>
      </c>
      <c r="AJ230" s="496"/>
      <c r="AK230" s="498" t="s">
        <v>53</v>
      </c>
      <c r="AL230" s="496"/>
      <c r="AM230" s="496" t="s">
        <v>52</v>
      </c>
      <c r="AN230" s="496"/>
      <c r="AO230" s="496" t="s">
        <v>52</v>
      </c>
      <c r="AP230" s="496"/>
      <c r="AQ230" s="498" t="s">
        <v>53</v>
      </c>
      <c r="AW230" s="392"/>
    </row>
    <row r="231" spans="1:49" x14ac:dyDescent="0.25">
      <c r="A231" s="53"/>
      <c r="C231" s="301"/>
      <c r="F231" s="447"/>
      <c r="H231" s="449"/>
      <c r="I231" s="449"/>
      <c r="J231" s="472"/>
      <c r="K231" s="472"/>
      <c r="L231" s="379"/>
      <c r="M231" s="379"/>
      <c r="N231" s="50"/>
      <c r="O231" s="50"/>
      <c r="P231" s="379"/>
      <c r="Q231" s="379"/>
      <c r="R231" s="379"/>
      <c r="T231" s="363">
        <v>1</v>
      </c>
      <c r="U231" s="378"/>
      <c r="V231" s="222" t="s">
        <v>79</v>
      </c>
      <c r="W231" s="444" t="s">
        <v>297</v>
      </c>
      <c r="X231" s="46"/>
      <c r="Y231" s="2"/>
      <c r="Z231" s="2"/>
      <c r="AA231" s="2"/>
      <c r="AB231" s="2"/>
      <c r="AC231" s="2"/>
      <c r="AD231" s="2"/>
      <c r="AE231" s="2"/>
      <c r="AF231" s="2"/>
      <c r="AG231" s="147"/>
      <c r="AH231" s="2"/>
      <c r="AI231" s="2"/>
      <c r="AJ231" s="2"/>
      <c r="AK231" s="147"/>
      <c r="AL231" s="2"/>
      <c r="AM231" s="2"/>
      <c r="AN231" s="2"/>
      <c r="AO231" s="2"/>
      <c r="AP231" s="2"/>
      <c r="AQ231" s="173"/>
      <c r="AW231" s="392"/>
    </row>
    <row r="232" spans="1:49" x14ac:dyDescent="0.25">
      <c r="A232" s="53"/>
      <c r="C232" s="301"/>
      <c r="F232" s="347"/>
      <c r="H232" s="379"/>
      <c r="I232" s="379"/>
      <c r="J232" s="464"/>
      <c r="K232" s="464"/>
      <c r="L232" s="379"/>
      <c r="M232" s="379"/>
      <c r="N232" s="50"/>
      <c r="O232" s="50"/>
      <c r="P232" s="379"/>
      <c r="Q232" s="379"/>
      <c r="R232" s="379"/>
      <c r="S232" s="379"/>
      <c r="T232" s="363">
        <v>2</v>
      </c>
      <c r="U232" s="378"/>
      <c r="V232" s="52" t="str">
        <f t="shared" ref="V232:V271" si="24">C19</f>
        <v>FIXTURES</v>
      </c>
      <c r="W232" s="218"/>
      <c r="X232" s="378"/>
      <c r="Y232" s="86"/>
      <c r="Z232" s="2"/>
      <c r="AA232" s="86"/>
      <c r="AB232" s="2"/>
      <c r="AC232" s="2"/>
      <c r="AD232" s="2"/>
      <c r="AE232" s="2"/>
      <c r="AF232" s="2"/>
      <c r="AG232" s="147"/>
      <c r="AH232" s="2"/>
      <c r="AI232" s="2"/>
      <c r="AJ232" s="2"/>
      <c r="AK232" s="147"/>
      <c r="AL232" s="2"/>
      <c r="AM232" s="2"/>
      <c r="AN232" s="2"/>
      <c r="AO232" s="2"/>
      <c r="AP232" s="2"/>
      <c r="AQ232" s="173"/>
      <c r="AW232" s="392"/>
    </row>
    <row r="233" spans="1:49" x14ac:dyDescent="0.25">
      <c r="C233" s="229"/>
      <c r="F233" s="358"/>
      <c r="H233" s="381"/>
      <c r="I233" s="381"/>
      <c r="J233" s="464"/>
      <c r="K233" s="464"/>
      <c r="L233" s="381"/>
      <c r="M233" s="381"/>
      <c r="N233" s="381"/>
      <c r="O233" s="381"/>
      <c r="P233" s="381"/>
      <c r="Q233" s="381"/>
      <c r="R233" s="381"/>
      <c r="S233" s="379"/>
      <c r="T233" s="363">
        <v>3</v>
      </c>
      <c r="U233" s="378"/>
      <c r="V233" s="52" t="str">
        <f t="shared" si="24"/>
        <v xml:space="preserve">   50W Neighborhood</v>
      </c>
      <c r="W233" s="218"/>
      <c r="X233" s="378"/>
      <c r="Y233" s="86">
        <f t="shared" ref="Y233:Y271" si="25">F20</f>
        <v>0</v>
      </c>
      <c r="Z233" s="2"/>
      <c r="AA233" s="86">
        <f t="shared" ref="AA233:AA271" si="26">H20</f>
        <v>0</v>
      </c>
      <c r="AB233" s="86"/>
      <c r="AC233" s="223">
        <v>4.93</v>
      </c>
      <c r="AD233" s="223">
        <v>4.24</v>
      </c>
      <c r="AE233" s="5">
        <f>ROUND((Y233*(AC233+AD233)),0)</f>
        <v>0</v>
      </c>
      <c r="AF233" s="5"/>
      <c r="AG233" s="149">
        <v>0</v>
      </c>
      <c r="AH233" s="6"/>
      <c r="AI233" s="5">
        <f t="shared" ref="AI233:AI271" si="27">L20-AE233</f>
        <v>0</v>
      </c>
      <c r="AJ233" s="5"/>
      <c r="AK233" s="164" t="str">
        <f>IF(AE233=0,"0.0 ",ROUND((AI233/AE233)*100,1))</f>
        <v xml:space="preserve">0.0 </v>
      </c>
      <c r="AL233" s="8"/>
      <c r="AM233" s="5"/>
      <c r="AN233" s="5"/>
      <c r="AO233" s="5">
        <f>AE233+AM233</f>
        <v>0</v>
      </c>
      <c r="AP233" s="5"/>
      <c r="AQ233" s="164" t="str">
        <f>IF(AO233=0,"0.0 ",ROUND((AI233/AO233)*100,1))</f>
        <v xml:space="preserve">0.0 </v>
      </c>
      <c r="AW233" s="392"/>
    </row>
    <row r="234" spans="1:49" x14ac:dyDescent="0.25">
      <c r="C234" s="229"/>
      <c r="F234" s="358"/>
      <c r="H234" s="381"/>
      <c r="I234" s="381"/>
      <c r="J234" s="464"/>
      <c r="K234" s="464"/>
      <c r="L234" s="381"/>
      <c r="M234" s="381"/>
      <c r="N234" s="381"/>
      <c r="O234" s="381"/>
      <c r="P234" s="381"/>
      <c r="Q234" s="381"/>
      <c r="R234" s="381"/>
      <c r="T234" s="363">
        <v>4</v>
      </c>
      <c r="U234" s="378"/>
      <c r="V234" s="52" t="str">
        <f t="shared" si="24"/>
        <v xml:space="preserve">   50W Neighborhood with Lens</v>
      </c>
      <c r="W234" s="378"/>
      <c r="X234" s="378"/>
      <c r="Y234" s="86">
        <f t="shared" si="25"/>
        <v>0</v>
      </c>
      <c r="Z234" s="2"/>
      <c r="AA234" s="86">
        <f t="shared" si="26"/>
        <v>0</v>
      </c>
      <c r="AB234" s="86"/>
      <c r="AC234" s="223">
        <v>4.92</v>
      </c>
      <c r="AD234" s="223">
        <v>4.24</v>
      </c>
      <c r="AE234" s="5">
        <f>ROUND((Y234*(AC234+AD234)),0)</f>
        <v>0</v>
      </c>
      <c r="AF234" s="5"/>
      <c r="AG234" s="149">
        <v>0</v>
      </c>
      <c r="AH234" s="6"/>
      <c r="AI234" s="5">
        <f t="shared" si="27"/>
        <v>0</v>
      </c>
      <c r="AJ234" s="5"/>
      <c r="AK234" s="164" t="str">
        <f t="shared" ref="AK234:AK274" si="28">IF(AE234=0,"0.0 ",ROUND((AI234/AE234)*100,1))</f>
        <v xml:space="preserve">0.0 </v>
      </c>
      <c r="AL234" s="8"/>
      <c r="AM234" s="5"/>
      <c r="AN234" s="5"/>
      <c r="AO234" s="5">
        <f t="shared" ref="AO234:AO271" si="29">AE234+AM234</f>
        <v>0</v>
      </c>
      <c r="AP234" s="5"/>
      <c r="AQ234" s="164" t="str">
        <f t="shared" ref="AQ234:AQ274" si="30">IF(AO234=0,"0.0 ",ROUND((AI234/AO234)*100,1))</f>
        <v xml:space="preserve">0.0 </v>
      </c>
      <c r="AS234" s="382"/>
      <c r="AW234" s="392"/>
    </row>
    <row r="235" spans="1:49" x14ac:dyDescent="0.25">
      <c r="A235" s="53"/>
      <c r="C235" s="301"/>
      <c r="F235" s="229"/>
      <c r="T235" s="363">
        <v>5</v>
      </c>
      <c r="U235" s="378"/>
      <c r="V235" s="52" t="str">
        <f t="shared" si="24"/>
        <v xml:space="preserve">   50W Standard LED</v>
      </c>
      <c r="W235" s="378"/>
      <c r="X235" s="378"/>
      <c r="Y235" s="86">
        <f t="shared" si="25"/>
        <v>0</v>
      </c>
      <c r="Z235" s="2"/>
      <c r="AA235" s="86">
        <f t="shared" si="26"/>
        <v>0</v>
      </c>
      <c r="AB235" s="86"/>
      <c r="AC235" s="223">
        <v>5.58</v>
      </c>
      <c r="AD235" s="223">
        <v>4.24</v>
      </c>
      <c r="AE235" s="5">
        <f t="shared" ref="AE235:AE271" si="31">ROUND((Y235*(AC235+AD235)),0)</f>
        <v>0</v>
      </c>
      <c r="AF235" s="2"/>
      <c r="AG235" s="149">
        <v>0</v>
      </c>
      <c r="AH235" s="2"/>
      <c r="AI235" s="5">
        <f t="shared" si="27"/>
        <v>0</v>
      </c>
      <c r="AJ235" s="2"/>
      <c r="AK235" s="164" t="str">
        <f t="shared" si="28"/>
        <v xml:space="preserve">0.0 </v>
      </c>
      <c r="AL235" s="2"/>
      <c r="AM235" s="5"/>
      <c r="AN235" s="2"/>
      <c r="AO235" s="5">
        <f t="shared" si="29"/>
        <v>0</v>
      </c>
      <c r="AP235" s="2"/>
      <c r="AQ235" s="164" t="str">
        <f t="shared" si="30"/>
        <v xml:space="preserve">0.0 </v>
      </c>
      <c r="AS235" s="382"/>
      <c r="AW235" s="392"/>
    </row>
    <row r="236" spans="1:49" x14ac:dyDescent="0.25">
      <c r="A236" s="53"/>
      <c r="C236" s="301"/>
      <c r="F236" s="347"/>
      <c r="H236" s="379"/>
      <c r="I236" s="379"/>
      <c r="L236" s="379"/>
      <c r="M236" s="379"/>
      <c r="N236" s="50"/>
      <c r="O236" s="50"/>
      <c r="P236" s="449"/>
      <c r="Q236" s="449"/>
      <c r="R236" s="379"/>
      <c r="T236" s="363">
        <v>6</v>
      </c>
      <c r="U236" s="378"/>
      <c r="V236" s="52" t="str">
        <f t="shared" si="24"/>
        <v xml:space="preserve">   70W Standard LED</v>
      </c>
      <c r="W236" s="378"/>
      <c r="X236" s="378"/>
      <c r="Y236" s="86">
        <f t="shared" si="25"/>
        <v>0</v>
      </c>
      <c r="Z236" s="2"/>
      <c r="AA236" s="86">
        <f t="shared" si="26"/>
        <v>0</v>
      </c>
      <c r="AB236" s="86"/>
      <c r="AC236" s="223">
        <v>7.39</v>
      </c>
      <c r="AD236" s="223">
        <v>4.24</v>
      </c>
      <c r="AE236" s="5">
        <f t="shared" si="31"/>
        <v>0</v>
      </c>
      <c r="AF236" s="5"/>
      <c r="AG236" s="149">
        <v>0</v>
      </c>
      <c r="AH236" s="6"/>
      <c r="AI236" s="5">
        <f t="shared" si="27"/>
        <v>0</v>
      </c>
      <c r="AJ236" s="5"/>
      <c r="AK236" s="164" t="str">
        <f t="shared" si="28"/>
        <v xml:space="preserve">0.0 </v>
      </c>
      <c r="AL236" s="8"/>
      <c r="AM236" s="5"/>
      <c r="AN236" s="5"/>
      <c r="AO236" s="5">
        <f t="shared" si="29"/>
        <v>0</v>
      </c>
      <c r="AP236" s="5"/>
      <c r="AQ236" s="164" t="str">
        <f t="shared" si="30"/>
        <v xml:space="preserve">0.0 </v>
      </c>
      <c r="AS236" s="382"/>
      <c r="AW236" s="392"/>
    </row>
    <row r="237" spans="1:49" x14ac:dyDescent="0.25">
      <c r="C237" s="229"/>
      <c r="F237" s="358"/>
      <c r="H237" s="381"/>
      <c r="I237" s="381"/>
      <c r="J237" s="464"/>
      <c r="K237" s="464"/>
      <c r="L237" s="381"/>
      <c r="M237" s="381"/>
      <c r="N237" s="381"/>
      <c r="O237" s="381"/>
      <c r="P237" s="381"/>
      <c r="Q237" s="381"/>
      <c r="R237" s="381"/>
      <c r="T237" s="363">
        <v>7</v>
      </c>
      <c r="U237" s="378"/>
      <c r="V237" s="52" t="str">
        <f t="shared" si="24"/>
        <v xml:space="preserve">   110W Standard LED</v>
      </c>
      <c r="W237" s="378"/>
      <c r="X237" s="378"/>
      <c r="Y237" s="86">
        <f t="shared" si="25"/>
        <v>0</v>
      </c>
      <c r="Z237" s="2"/>
      <c r="AA237" s="86">
        <f t="shared" si="26"/>
        <v>0</v>
      </c>
      <c r="AB237" s="86"/>
      <c r="AC237" s="223">
        <v>8.3800000000000008</v>
      </c>
      <c r="AD237" s="223">
        <v>5.17</v>
      </c>
      <c r="AE237" s="5">
        <f t="shared" si="31"/>
        <v>0</v>
      </c>
      <c r="AF237" s="5"/>
      <c r="AG237" s="149">
        <v>0</v>
      </c>
      <c r="AH237" s="6"/>
      <c r="AI237" s="5">
        <f t="shared" si="27"/>
        <v>0</v>
      </c>
      <c r="AJ237" s="5"/>
      <c r="AK237" s="164" t="str">
        <f t="shared" si="28"/>
        <v xml:space="preserve">0.0 </v>
      </c>
      <c r="AL237" s="8"/>
      <c r="AM237" s="5"/>
      <c r="AN237" s="5"/>
      <c r="AO237" s="5">
        <f t="shared" si="29"/>
        <v>0</v>
      </c>
      <c r="AP237" s="5"/>
      <c r="AQ237" s="164" t="str">
        <f t="shared" si="30"/>
        <v xml:space="preserve">0.0 </v>
      </c>
      <c r="AS237" s="382"/>
      <c r="AW237" s="392"/>
    </row>
    <row r="238" spans="1:49" x14ac:dyDescent="0.25">
      <c r="C238" s="229"/>
      <c r="F238" s="229"/>
      <c r="T238" s="363">
        <v>8</v>
      </c>
      <c r="U238" s="378"/>
      <c r="V238" s="52" t="str">
        <f t="shared" si="24"/>
        <v xml:space="preserve">   150W Standard LED</v>
      </c>
      <c r="W238" s="378"/>
      <c r="X238" s="378"/>
      <c r="Y238" s="86">
        <f t="shared" si="25"/>
        <v>0</v>
      </c>
      <c r="Z238" s="2"/>
      <c r="AA238" s="86">
        <f t="shared" si="26"/>
        <v>0</v>
      </c>
      <c r="AB238" s="86"/>
      <c r="AC238" s="223">
        <v>10.31</v>
      </c>
      <c r="AD238" s="223">
        <v>5.17</v>
      </c>
      <c r="AE238" s="5">
        <f t="shared" si="31"/>
        <v>0</v>
      </c>
      <c r="AF238" s="5"/>
      <c r="AG238" s="149">
        <v>0</v>
      </c>
      <c r="AH238" s="6"/>
      <c r="AI238" s="5">
        <f t="shared" si="27"/>
        <v>0</v>
      </c>
      <c r="AJ238" s="5"/>
      <c r="AK238" s="164" t="str">
        <f t="shared" si="28"/>
        <v xml:space="preserve">0.0 </v>
      </c>
      <c r="AL238" s="8"/>
      <c r="AM238" s="5"/>
      <c r="AN238" s="5"/>
      <c r="AO238" s="5">
        <f t="shared" si="29"/>
        <v>0</v>
      </c>
      <c r="AP238" s="5"/>
      <c r="AQ238" s="164" t="str">
        <f t="shared" si="30"/>
        <v xml:space="preserve">0.0 </v>
      </c>
      <c r="AS238" s="382"/>
      <c r="AW238" s="392"/>
    </row>
    <row r="239" spans="1:49" x14ac:dyDescent="0.25">
      <c r="C239" s="301"/>
      <c r="F239" s="229"/>
      <c r="L239" s="379"/>
      <c r="M239" s="379"/>
      <c r="N239" s="379"/>
      <c r="O239" s="379"/>
      <c r="P239" s="379"/>
      <c r="Q239" s="379"/>
      <c r="R239" s="379"/>
      <c r="S239" s="379"/>
      <c r="T239" s="363">
        <v>9</v>
      </c>
      <c r="U239" s="378"/>
      <c r="V239" s="52" t="str">
        <f t="shared" si="24"/>
        <v xml:space="preserve">   220W Standard LED</v>
      </c>
      <c r="W239" s="378"/>
      <c r="X239" s="378"/>
      <c r="Y239" s="86">
        <f t="shared" si="25"/>
        <v>0</v>
      </c>
      <c r="Z239" s="2"/>
      <c r="AA239" s="86">
        <f t="shared" si="26"/>
        <v>0</v>
      </c>
      <c r="AB239" s="86"/>
      <c r="AC239" s="223">
        <v>14.38</v>
      </c>
      <c r="AD239" s="223">
        <v>4.24</v>
      </c>
      <c r="AE239" s="5">
        <f t="shared" si="31"/>
        <v>0</v>
      </c>
      <c r="AF239" s="5"/>
      <c r="AG239" s="149">
        <v>0</v>
      </c>
      <c r="AH239" s="6"/>
      <c r="AI239" s="5">
        <f t="shared" si="27"/>
        <v>0</v>
      </c>
      <c r="AJ239" s="5"/>
      <c r="AK239" s="164" t="str">
        <f t="shared" si="28"/>
        <v xml:space="preserve">0.0 </v>
      </c>
      <c r="AL239" s="8"/>
      <c r="AM239" s="5"/>
      <c r="AN239" s="5"/>
      <c r="AO239" s="5">
        <f t="shared" si="29"/>
        <v>0</v>
      </c>
      <c r="AP239" s="5"/>
      <c r="AQ239" s="164" t="str">
        <f t="shared" si="30"/>
        <v xml:space="preserve">0.0 </v>
      </c>
      <c r="AS239" s="382"/>
      <c r="AW239" s="392"/>
    </row>
    <row r="240" spans="1:49" x14ac:dyDescent="0.25">
      <c r="C240" s="301"/>
      <c r="L240" s="379"/>
      <c r="M240" s="379"/>
      <c r="N240" s="379"/>
      <c r="O240" s="379"/>
      <c r="P240" s="379"/>
      <c r="Q240" s="379"/>
      <c r="R240" s="379"/>
      <c r="S240" s="379"/>
      <c r="T240" s="363">
        <v>10</v>
      </c>
      <c r="U240" s="378"/>
      <c r="V240" s="52" t="str">
        <f t="shared" si="24"/>
        <v xml:space="preserve">   280W Standard LED</v>
      </c>
      <c r="W240" s="378"/>
      <c r="X240" s="378"/>
      <c r="Y240" s="86">
        <f t="shared" si="25"/>
        <v>0</v>
      </c>
      <c r="Z240" s="2"/>
      <c r="AA240" s="86">
        <f t="shared" si="26"/>
        <v>0</v>
      </c>
      <c r="AB240" s="86"/>
      <c r="AC240" s="223">
        <v>12.96</v>
      </c>
      <c r="AD240" s="223">
        <v>4.24</v>
      </c>
      <c r="AE240" s="5">
        <f t="shared" si="31"/>
        <v>0</v>
      </c>
      <c r="AF240" s="5"/>
      <c r="AG240" s="149">
        <v>0</v>
      </c>
      <c r="AH240" s="6"/>
      <c r="AI240" s="5">
        <f t="shared" si="27"/>
        <v>0</v>
      </c>
      <c r="AJ240" s="5"/>
      <c r="AK240" s="164" t="str">
        <f t="shared" si="28"/>
        <v xml:space="preserve">0.0 </v>
      </c>
      <c r="AL240" s="8"/>
      <c r="AM240" s="5"/>
      <c r="AN240" s="5"/>
      <c r="AO240" s="5">
        <f t="shared" si="29"/>
        <v>0</v>
      </c>
      <c r="AP240" s="5"/>
      <c r="AQ240" s="164" t="str">
        <f t="shared" si="30"/>
        <v xml:space="preserve">0.0 </v>
      </c>
      <c r="AS240" s="382"/>
      <c r="AW240" s="392"/>
    </row>
    <row r="241" spans="1:49" x14ac:dyDescent="0.25">
      <c r="C241" s="301"/>
      <c r="L241" s="379"/>
      <c r="M241" s="379"/>
      <c r="N241" s="379"/>
      <c r="O241" s="379"/>
      <c r="P241" s="379"/>
      <c r="Q241" s="379"/>
      <c r="R241" s="379"/>
      <c r="S241" s="379"/>
      <c r="T241" s="363">
        <v>11</v>
      </c>
      <c r="U241" s="378"/>
      <c r="V241" s="52" t="str">
        <f t="shared" si="24"/>
        <v xml:space="preserve">   50W Acorn LED</v>
      </c>
      <c r="W241" s="378"/>
      <c r="X241" s="378"/>
      <c r="Y241" s="86">
        <f t="shared" si="25"/>
        <v>0</v>
      </c>
      <c r="Z241" s="2"/>
      <c r="AA241" s="86">
        <f t="shared" si="26"/>
        <v>0</v>
      </c>
      <c r="AB241" s="86"/>
      <c r="AC241" s="223">
        <v>12.22</v>
      </c>
      <c r="AD241" s="223">
        <v>4.24</v>
      </c>
      <c r="AE241" s="5">
        <f t="shared" si="31"/>
        <v>0</v>
      </c>
      <c r="AF241" s="5"/>
      <c r="AG241" s="149">
        <v>0</v>
      </c>
      <c r="AH241" s="6"/>
      <c r="AI241" s="5">
        <f t="shared" si="27"/>
        <v>0</v>
      </c>
      <c r="AJ241" s="5"/>
      <c r="AK241" s="164" t="str">
        <f t="shared" si="28"/>
        <v xml:space="preserve">0.0 </v>
      </c>
      <c r="AL241" s="8"/>
      <c r="AM241" s="5"/>
      <c r="AN241" s="5"/>
      <c r="AO241" s="5">
        <f t="shared" si="29"/>
        <v>0</v>
      </c>
      <c r="AP241" s="5"/>
      <c r="AQ241" s="164" t="str">
        <f t="shared" si="30"/>
        <v xml:space="preserve">0.0 </v>
      </c>
      <c r="AS241" s="382"/>
      <c r="AW241" s="392"/>
    </row>
    <row r="242" spans="1:49" x14ac:dyDescent="0.25">
      <c r="C242" s="301"/>
      <c r="L242" s="379"/>
      <c r="M242" s="379"/>
      <c r="N242" s="379"/>
      <c r="O242" s="379"/>
      <c r="P242" s="379"/>
      <c r="Q242" s="379"/>
      <c r="R242" s="379"/>
      <c r="S242" s="379"/>
      <c r="T242" s="363">
        <v>12</v>
      </c>
      <c r="U242" s="378"/>
      <c r="V242" s="52" t="str">
        <f t="shared" si="24"/>
        <v xml:space="preserve">   50W Deluxe Acorn LED</v>
      </c>
      <c r="W242" s="378"/>
      <c r="X242" s="378"/>
      <c r="Y242" s="86">
        <f t="shared" si="25"/>
        <v>0</v>
      </c>
      <c r="Z242" s="2"/>
      <c r="AA242" s="86">
        <f t="shared" si="26"/>
        <v>0</v>
      </c>
      <c r="AB242" s="86"/>
      <c r="AC242" s="223">
        <v>15.56</v>
      </c>
      <c r="AD242" s="223">
        <v>4.24</v>
      </c>
      <c r="AE242" s="5">
        <f t="shared" si="31"/>
        <v>0</v>
      </c>
      <c r="AF242" s="5"/>
      <c r="AG242" s="149">
        <v>0</v>
      </c>
      <c r="AH242" s="6"/>
      <c r="AI242" s="5">
        <f t="shared" si="27"/>
        <v>0</v>
      </c>
      <c r="AJ242" s="5"/>
      <c r="AK242" s="164" t="str">
        <f t="shared" si="28"/>
        <v xml:space="preserve">0.0 </v>
      </c>
      <c r="AL242" s="8"/>
      <c r="AM242" s="5"/>
      <c r="AN242" s="5"/>
      <c r="AO242" s="5">
        <f t="shared" si="29"/>
        <v>0</v>
      </c>
      <c r="AP242" s="5"/>
      <c r="AQ242" s="164" t="str">
        <f t="shared" si="30"/>
        <v xml:space="preserve">0.0 </v>
      </c>
      <c r="AS242" s="382"/>
      <c r="AW242" s="392"/>
    </row>
    <row r="243" spans="1:49" x14ac:dyDescent="0.25">
      <c r="A243" s="54"/>
      <c r="C243" s="229"/>
      <c r="T243" s="363">
        <v>13</v>
      </c>
      <c r="U243" s="378"/>
      <c r="V243" s="52" t="str">
        <f t="shared" si="24"/>
        <v xml:space="preserve">   70W LED Open Deluxe Acorn</v>
      </c>
      <c r="W243" s="378"/>
      <c r="X243" s="378"/>
      <c r="Y243" s="86">
        <f t="shared" si="25"/>
        <v>0</v>
      </c>
      <c r="Z243" s="2"/>
      <c r="AA243" s="86">
        <f t="shared" si="26"/>
        <v>0</v>
      </c>
      <c r="AB243" s="86"/>
      <c r="AC243" s="223">
        <v>9.39</v>
      </c>
      <c r="AD243" s="223">
        <v>4.24</v>
      </c>
      <c r="AE243" s="5">
        <f t="shared" si="31"/>
        <v>0</v>
      </c>
      <c r="AF243" s="2"/>
      <c r="AG243" s="149">
        <v>0</v>
      </c>
      <c r="AH243" s="2"/>
      <c r="AI243" s="5">
        <f t="shared" si="27"/>
        <v>0</v>
      </c>
      <c r="AJ243" s="2"/>
      <c r="AK243" s="164" t="str">
        <f t="shared" si="28"/>
        <v xml:space="preserve">0.0 </v>
      </c>
      <c r="AL243" s="2"/>
      <c r="AM243" s="5"/>
      <c r="AN243" s="2"/>
      <c r="AO243" s="5">
        <f t="shared" si="29"/>
        <v>0</v>
      </c>
      <c r="AP243" s="2"/>
      <c r="AQ243" s="164" t="str">
        <f t="shared" si="30"/>
        <v xml:space="preserve">0.0 </v>
      </c>
      <c r="AS243" s="382"/>
      <c r="AW243" s="392"/>
    </row>
    <row r="244" spans="1:49" x14ac:dyDescent="0.25">
      <c r="A244" s="54"/>
      <c r="C244" s="229"/>
      <c r="T244" s="363">
        <v>14</v>
      </c>
      <c r="U244" s="378"/>
      <c r="V244" s="52" t="str">
        <f t="shared" si="24"/>
        <v xml:space="preserve">   50W Traditional LED</v>
      </c>
      <c r="W244" s="378"/>
      <c r="X244" s="378"/>
      <c r="Y244" s="86">
        <f t="shared" si="25"/>
        <v>0</v>
      </c>
      <c r="Z244" s="2"/>
      <c r="AA244" s="86">
        <f t="shared" si="26"/>
        <v>0</v>
      </c>
      <c r="AB244" s="86"/>
      <c r="AC244" s="223">
        <v>9.39</v>
      </c>
      <c r="AD244" s="223">
        <v>4.24</v>
      </c>
      <c r="AE244" s="5">
        <f t="shared" si="31"/>
        <v>0</v>
      </c>
      <c r="AF244" s="5"/>
      <c r="AG244" s="149">
        <v>0</v>
      </c>
      <c r="AH244" s="6"/>
      <c r="AI244" s="5">
        <f t="shared" si="27"/>
        <v>0</v>
      </c>
      <c r="AJ244" s="5"/>
      <c r="AK244" s="164" t="str">
        <f t="shared" si="28"/>
        <v xml:space="preserve">0.0 </v>
      </c>
      <c r="AL244" s="8"/>
      <c r="AM244" s="5"/>
      <c r="AN244" s="5"/>
      <c r="AO244" s="5">
        <f t="shared" si="29"/>
        <v>0</v>
      </c>
      <c r="AP244" s="5"/>
      <c r="AQ244" s="164" t="str">
        <f t="shared" si="30"/>
        <v xml:space="preserve">0.0 </v>
      </c>
      <c r="AS244" s="382"/>
      <c r="AW244" s="392"/>
    </row>
    <row r="245" spans="1:49" x14ac:dyDescent="0.25">
      <c r="A245" s="54"/>
      <c r="C245" s="229"/>
      <c r="T245" s="363">
        <v>15</v>
      </c>
      <c r="U245" s="378"/>
      <c r="V245" s="52" t="str">
        <f t="shared" si="24"/>
        <v xml:space="preserve">   50W Open Traditional LED</v>
      </c>
      <c r="W245" s="378"/>
      <c r="X245" s="378"/>
      <c r="Y245" s="86">
        <f t="shared" si="25"/>
        <v>0</v>
      </c>
      <c r="Z245" s="2"/>
      <c r="AA245" s="86">
        <f t="shared" si="26"/>
        <v>0</v>
      </c>
      <c r="AB245" s="86"/>
      <c r="AC245" s="223">
        <v>12.62</v>
      </c>
      <c r="AD245" s="223">
        <v>4.24</v>
      </c>
      <c r="AE245" s="5">
        <f t="shared" si="31"/>
        <v>0</v>
      </c>
      <c r="AF245" s="5"/>
      <c r="AG245" s="149">
        <v>0</v>
      </c>
      <c r="AH245" s="6"/>
      <c r="AI245" s="5">
        <f t="shared" si="27"/>
        <v>0</v>
      </c>
      <c r="AJ245" s="5"/>
      <c r="AK245" s="164" t="str">
        <f t="shared" si="28"/>
        <v xml:space="preserve">0.0 </v>
      </c>
      <c r="AL245" s="8"/>
      <c r="AM245" s="108"/>
      <c r="AN245" s="5"/>
      <c r="AO245" s="5">
        <f t="shared" si="29"/>
        <v>0</v>
      </c>
      <c r="AP245" s="5"/>
      <c r="AQ245" s="164" t="str">
        <f t="shared" si="30"/>
        <v xml:space="preserve">0.0 </v>
      </c>
      <c r="AS245" s="382"/>
      <c r="AW245" s="392"/>
    </row>
    <row r="246" spans="1:49" x14ac:dyDescent="0.25">
      <c r="A246" s="54"/>
      <c r="C246" s="229"/>
      <c r="T246" s="363">
        <v>16</v>
      </c>
      <c r="U246" s="378"/>
      <c r="V246" s="52" t="str">
        <f t="shared" si="24"/>
        <v xml:space="preserve">   50W Mini Bell LED</v>
      </c>
      <c r="W246" s="378"/>
      <c r="X246" s="378"/>
      <c r="Y246" s="86">
        <f t="shared" si="25"/>
        <v>0</v>
      </c>
      <c r="Z246" s="2"/>
      <c r="AA246" s="86">
        <f t="shared" si="26"/>
        <v>0</v>
      </c>
      <c r="AB246" s="86"/>
      <c r="AC246" s="223">
        <v>14.02</v>
      </c>
      <c r="AD246" s="223">
        <v>4.24</v>
      </c>
      <c r="AE246" s="5">
        <f t="shared" si="31"/>
        <v>0</v>
      </c>
      <c r="AF246" s="5"/>
      <c r="AG246" s="149">
        <v>0</v>
      </c>
      <c r="AH246" s="6"/>
      <c r="AI246" s="5">
        <f t="shared" si="27"/>
        <v>0</v>
      </c>
      <c r="AJ246" s="5"/>
      <c r="AK246" s="164" t="str">
        <f t="shared" si="28"/>
        <v xml:space="preserve">0.0 </v>
      </c>
      <c r="AL246" s="8"/>
      <c r="AM246" s="5"/>
      <c r="AN246" s="5"/>
      <c r="AO246" s="5">
        <f t="shared" si="29"/>
        <v>0</v>
      </c>
      <c r="AP246" s="5"/>
      <c r="AQ246" s="164" t="str">
        <f t="shared" si="30"/>
        <v xml:space="preserve">0.0 </v>
      </c>
      <c r="AS246" s="382"/>
      <c r="AW246" s="392"/>
    </row>
    <row r="247" spans="1:49" x14ac:dyDescent="0.25">
      <c r="A247" s="54"/>
      <c r="C247" s="229"/>
      <c r="T247" s="365">
        <v>17</v>
      </c>
      <c r="U247" s="286"/>
      <c r="V247" s="52" t="str">
        <f t="shared" si="24"/>
        <v xml:space="preserve">   50W Enterprise LED</v>
      </c>
      <c r="W247" s="286"/>
      <c r="X247" s="194"/>
      <c r="Y247" s="86">
        <f t="shared" si="25"/>
        <v>0</v>
      </c>
      <c r="Z247" s="131"/>
      <c r="AA247" s="86">
        <f t="shared" si="26"/>
        <v>0</v>
      </c>
      <c r="AB247" s="189"/>
      <c r="AC247" s="223">
        <v>18.829999999999998</v>
      </c>
      <c r="AD247" s="223">
        <v>4.24</v>
      </c>
      <c r="AE247" s="5">
        <f t="shared" si="31"/>
        <v>0</v>
      </c>
      <c r="AF247" s="191"/>
      <c r="AG247" s="149">
        <v>0</v>
      </c>
      <c r="AH247" s="303"/>
      <c r="AI247" s="5">
        <f t="shared" si="27"/>
        <v>0</v>
      </c>
      <c r="AJ247" s="191"/>
      <c r="AK247" s="164" t="str">
        <f t="shared" si="28"/>
        <v xml:space="preserve">0.0 </v>
      </c>
      <c r="AL247" s="305"/>
      <c r="AM247" s="191"/>
      <c r="AN247" s="191"/>
      <c r="AO247" s="5">
        <f t="shared" si="29"/>
        <v>0</v>
      </c>
      <c r="AP247" s="191"/>
      <c r="AQ247" s="164" t="str">
        <f t="shared" si="30"/>
        <v xml:space="preserve">0.0 </v>
      </c>
      <c r="AS247" s="382"/>
      <c r="AW247" s="392"/>
    </row>
    <row r="248" spans="1:49" x14ac:dyDescent="0.25">
      <c r="A248" s="54"/>
      <c r="C248" s="229"/>
      <c r="T248" s="365">
        <v>18</v>
      </c>
      <c r="U248" s="286"/>
      <c r="V248" s="52" t="str">
        <f t="shared" si="24"/>
        <v xml:space="preserve">   70W Sanibel LED</v>
      </c>
      <c r="W248" s="286"/>
      <c r="X248" s="194"/>
      <c r="Y248" s="86">
        <f t="shared" si="25"/>
        <v>0</v>
      </c>
      <c r="Z248" s="131"/>
      <c r="AA248" s="86">
        <f t="shared" si="26"/>
        <v>0</v>
      </c>
      <c r="AB248" s="189"/>
      <c r="AC248" s="223">
        <v>15.28</v>
      </c>
      <c r="AD248" s="223">
        <v>4.24</v>
      </c>
      <c r="AE248" s="5">
        <f t="shared" si="31"/>
        <v>0</v>
      </c>
      <c r="AF248" s="191"/>
      <c r="AG248" s="149">
        <v>0</v>
      </c>
      <c r="AH248" s="303"/>
      <c r="AI248" s="5">
        <f t="shared" si="27"/>
        <v>0</v>
      </c>
      <c r="AJ248" s="191"/>
      <c r="AK248" s="164" t="str">
        <f t="shared" si="28"/>
        <v xml:space="preserve">0.0 </v>
      </c>
      <c r="AL248" s="305"/>
      <c r="AM248" s="191"/>
      <c r="AN248" s="191"/>
      <c r="AO248" s="5">
        <f t="shared" si="29"/>
        <v>0</v>
      </c>
      <c r="AP248" s="191"/>
      <c r="AQ248" s="164" t="str">
        <f t="shared" si="30"/>
        <v xml:space="preserve">0.0 </v>
      </c>
      <c r="AS248" s="382"/>
      <c r="AW248" s="392"/>
    </row>
    <row r="249" spans="1:49" x14ac:dyDescent="0.25">
      <c r="A249" s="54"/>
      <c r="C249" s="229"/>
      <c r="T249" s="365">
        <v>19</v>
      </c>
      <c r="U249" s="286"/>
      <c r="V249" s="52" t="str">
        <f t="shared" si="24"/>
        <v xml:space="preserve">   150W Sanibel LED</v>
      </c>
      <c r="W249" s="286"/>
      <c r="X249" s="194"/>
      <c r="Y249" s="86">
        <f t="shared" si="25"/>
        <v>0</v>
      </c>
      <c r="Z249" s="131"/>
      <c r="AA249" s="86">
        <f t="shared" si="26"/>
        <v>0</v>
      </c>
      <c r="AB249" s="189"/>
      <c r="AC249" s="223">
        <v>13.04</v>
      </c>
      <c r="AD249" s="223">
        <v>5.17</v>
      </c>
      <c r="AE249" s="5">
        <f t="shared" si="31"/>
        <v>0</v>
      </c>
      <c r="AF249" s="191"/>
      <c r="AG249" s="149">
        <v>0</v>
      </c>
      <c r="AH249" s="303"/>
      <c r="AI249" s="5">
        <f t="shared" si="27"/>
        <v>0</v>
      </c>
      <c r="AJ249" s="191"/>
      <c r="AK249" s="164" t="str">
        <f t="shared" si="28"/>
        <v xml:space="preserve">0.0 </v>
      </c>
      <c r="AL249" s="305"/>
      <c r="AM249" s="191"/>
      <c r="AN249" s="191"/>
      <c r="AO249" s="5">
        <f t="shared" si="29"/>
        <v>0</v>
      </c>
      <c r="AP249" s="191"/>
      <c r="AQ249" s="164" t="str">
        <f t="shared" si="30"/>
        <v xml:space="preserve">0.0 </v>
      </c>
      <c r="AS249" s="382"/>
      <c r="AW249" s="392"/>
    </row>
    <row r="250" spans="1:49" x14ac:dyDescent="0.25">
      <c r="A250" s="54"/>
      <c r="C250" s="229"/>
      <c r="T250" s="365">
        <v>20</v>
      </c>
      <c r="U250" s="194"/>
      <c r="V250" s="52" t="str">
        <f t="shared" si="24"/>
        <v xml:space="preserve">   150W LED Teardrop</v>
      </c>
      <c r="W250" s="194"/>
      <c r="X250" s="194"/>
      <c r="Y250" s="86">
        <f t="shared" si="25"/>
        <v>0</v>
      </c>
      <c r="Z250" s="131"/>
      <c r="AA250" s="86">
        <f t="shared" si="26"/>
        <v>0</v>
      </c>
      <c r="AB250" s="189"/>
      <c r="AC250" s="223">
        <v>4.93</v>
      </c>
      <c r="AD250" s="223">
        <v>4.24</v>
      </c>
      <c r="AE250" s="5">
        <f t="shared" si="31"/>
        <v>0</v>
      </c>
      <c r="AF250" s="191"/>
      <c r="AG250" s="149">
        <v>0</v>
      </c>
      <c r="AH250" s="303"/>
      <c r="AI250" s="5">
        <f t="shared" si="27"/>
        <v>0</v>
      </c>
      <c r="AJ250" s="191"/>
      <c r="AK250" s="164" t="str">
        <f t="shared" si="28"/>
        <v xml:space="preserve">0.0 </v>
      </c>
      <c r="AL250" s="305"/>
      <c r="AM250" s="191"/>
      <c r="AN250" s="191"/>
      <c r="AO250" s="5">
        <f t="shared" si="29"/>
        <v>0</v>
      </c>
      <c r="AP250" s="191"/>
      <c r="AQ250" s="164" t="str">
        <f t="shared" si="30"/>
        <v xml:space="preserve">0.0 </v>
      </c>
      <c r="AS250" s="382"/>
      <c r="AW250" s="392"/>
    </row>
    <row r="251" spans="1:49" x14ac:dyDescent="0.25">
      <c r="A251" s="54"/>
      <c r="C251" s="229"/>
      <c r="T251" s="365">
        <v>21</v>
      </c>
      <c r="U251" s="287"/>
      <c r="V251" s="52" t="str">
        <f t="shared" si="24"/>
        <v xml:space="preserve">   50W LED Teardrop Pedestrian</v>
      </c>
      <c r="W251" s="287"/>
      <c r="X251" s="194"/>
      <c r="Y251" s="86">
        <f t="shared" si="25"/>
        <v>0</v>
      </c>
      <c r="Z251" s="131"/>
      <c r="AA251" s="86">
        <f t="shared" si="26"/>
        <v>0</v>
      </c>
      <c r="AB251" s="189"/>
      <c r="AC251" s="223">
        <v>4.92</v>
      </c>
      <c r="AD251" s="223">
        <v>4.24</v>
      </c>
      <c r="AE251" s="5">
        <f t="shared" si="31"/>
        <v>0</v>
      </c>
      <c r="AF251" s="191"/>
      <c r="AG251" s="149">
        <v>0</v>
      </c>
      <c r="AH251" s="303"/>
      <c r="AI251" s="5">
        <f t="shared" si="27"/>
        <v>0</v>
      </c>
      <c r="AJ251" s="191"/>
      <c r="AK251" s="164" t="str">
        <f t="shared" si="28"/>
        <v xml:space="preserve">0.0 </v>
      </c>
      <c r="AL251" s="305"/>
      <c r="AM251" s="191"/>
      <c r="AN251" s="191"/>
      <c r="AO251" s="5">
        <f t="shared" si="29"/>
        <v>0</v>
      </c>
      <c r="AP251" s="191"/>
      <c r="AQ251" s="164" t="str">
        <f t="shared" si="30"/>
        <v xml:space="preserve">0.0 </v>
      </c>
      <c r="AS251" s="382"/>
      <c r="AW251" s="392"/>
    </row>
    <row r="252" spans="1:49" x14ac:dyDescent="0.25">
      <c r="A252" s="54"/>
      <c r="C252" s="229"/>
      <c r="T252" s="365">
        <v>22</v>
      </c>
      <c r="U252" s="194"/>
      <c r="V252" s="52" t="str">
        <f t="shared" si="24"/>
        <v xml:space="preserve">   220W LED Shoebox</v>
      </c>
      <c r="W252" s="194"/>
      <c r="X252" s="194"/>
      <c r="Y252" s="86">
        <f t="shared" si="25"/>
        <v>0</v>
      </c>
      <c r="Z252" s="131"/>
      <c r="AA252" s="86">
        <f t="shared" si="26"/>
        <v>0</v>
      </c>
      <c r="AB252" s="189"/>
      <c r="AC252" s="223">
        <v>5.58</v>
      </c>
      <c r="AD252" s="223">
        <v>4.24</v>
      </c>
      <c r="AE252" s="5">
        <f t="shared" si="31"/>
        <v>0</v>
      </c>
      <c r="AF252" s="191"/>
      <c r="AG252" s="149">
        <v>0</v>
      </c>
      <c r="AH252" s="303"/>
      <c r="AI252" s="5">
        <f t="shared" si="27"/>
        <v>0</v>
      </c>
      <c r="AJ252" s="191"/>
      <c r="AK252" s="164" t="str">
        <f t="shared" si="28"/>
        <v xml:space="preserve">0.0 </v>
      </c>
      <c r="AL252" s="305"/>
      <c r="AM252" s="191"/>
      <c r="AN252" s="191"/>
      <c r="AO252" s="5">
        <f t="shared" si="29"/>
        <v>0</v>
      </c>
      <c r="AP252" s="191"/>
      <c r="AQ252" s="164" t="str">
        <f t="shared" si="30"/>
        <v xml:space="preserve">0.0 </v>
      </c>
      <c r="AS252" s="382"/>
      <c r="AW252" s="392"/>
    </row>
    <row r="253" spans="1:49" x14ac:dyDescent="0.25">
      <c r="C253" s="229"/>
      <c r="J253" s="53"/>
      <c r="K253" s="53"/>
      <c r="T253" s="365">
        <v>23</v>
      </c>
      <c r="U253" s="194"/>
      <c r="V253" s="52" t="str">
        <f t="shared" si="24"/>
        <v xml:space="preserve">   420W LED Shoebox</v>
      </c>
      <c r="W253" s="194"/>
      <c r="X253" s="194"/>
      <c r="Y253" s="86">
        <f t="shared" si="25"/>
        <v>0</v>
      </c>
      <c r="Z253" s="131"/>
      <c r="AA253" s="86">
        <f t="shared" si="26"/>
        <v>0</v>
      </c>
      <c r="AB253" s="131"/>
      <c r="AC253" s="223">
        <v>7.39</v>
      </c>
      <c r="AD253" s="223">
        <v>4.24</v>
      </c>
      <c r="AE253" s="5">
        <f t="shared" si="31"/>
        <v>0</v>
      </c>
      <c r="AF253" s="191"/>
      <c r="AG253" s="149">
        <v>0</v>
      </c>
      <c r="AH253" s="303"/>
      <c r="AI253" s="5">
        <f t="shared" si="27"/>
        <v>0</v>
      </c>
      <c r="AJ253" s="191"/>
      <c r="AK253" s="164" t="str">
        <f t="shared" si="28"/>
        <v xml:space="preserve">0.0 </v>
      </c>
      <c r="AL253" s="305"/>
      <c r="AM253" s="191"/>
      <c r="AN253" s="191"/>
      <c r="AO253" s="5">
        <f t="shared" si="29"/>
        <v>0</v>
      </c>
      <c r="AP253" s="191"/>
      <c r="AQ253" s="164" t="str">
        <f t="shared" si="30"/>
        <v xml:space="preserve">0.0 </v>
      </c>
      <c r="AS253" s="382"/>
      <c r="AW253" s="392"/>
    </row>
    <row r="254" spans="1:49" x14ac:dyDescent="0.25">
      <c r="C254" s="229"/>
      <c r="J254" s="53"/>
      <c r="K254" s="53"/>
      <c r="T254" s="365">
        <v>24</v>
      </c>
      <c r="U254" s="194"/>
      <c r="V254" s="52" t="str">
        <f t="shared" si="24"/>
        <v xml:space="preserve">   530W LED Shoebox</v>
      </c>
      <c r="W254" s="194"/>
      <c r="X254" s="194"/>
      <c r="Y254" s="86">
        <f t="shared" si="25"/>
        <v>0</v>
      </c>
      <c r="Z254" s="131"/>
      <c r="AA254" s="86">
        <f t="shared" si="26"/>
        <v>0</v>
      </c>
      <c r="AB254" s="189"/>
      <c r="AC254" s="223">
        <v>7.39</v>
      </c>
      <c r="AD254" s="223">
        <v>4.24</v>
      </c>
      <c r="AE254" s="5">
        <f t="shared" si="31"/>
        <v>0</v>
      </c>
      <c r="AF254" s="191"/>
      <c r="AG254" s="149">
        <v>0</v>
      </c>
      <c r="AH254" s="303"/>
      <c r="AI254" s="5">
        <f t="shared" si="27"/>
        <v>0</v>
      </c>
      <c r="AJ254" s="191"/>
      <c r="AK254" s="164" t="str">
        <f t="shared" si="28"/>
        <v xml:space="preserve">0.0 </v>
      </c>
      <c r="AL254" s="305"/>
      <c r="AM254" s="191"/>
      <c r="AN254" s="191"/>
      <c r="AO254" s="5">
        <f t="shared" si="29"/>
        <v>0</v>
      </c>
      <c r="AP254" s="191"/>
      <c r="AQ254" s="164" t="str">
        <f t="shared" si="30"/>
        <v xml:space="preserve">0.0 </v>
      </c>
      <c r="AS254" s="382"/>
      <c r="AW254" s="392"/>
    </row>
    <row r="255" spans="1:49" x14ac:dyDescent="0.25">
      <c r="C255" s="229"/>
      <c r="J255" s="53"/>
      <c r="K255" s="53"/>
      <c r="T255" s="365">
        <v>25</v>
      </c>
      <c r="U255" s="194"/>
      <c r="V255" s="52" t="str">
        <f t="shared" si="24"/>
        <v xml:space="preserve">   150W Clermont LED</v>
      </c>
      <c r="W255" s="194"/>
      <c r="X255" s="194"/>
      <c r="Y255" s="86">
        <f t="shared" si="25"/>
        <v>0</v>
      </c>
      <c r="Z255" s="131"/>
      <c r="AA255" s="86">
        <f t="shared" si="26"/>
        <v>0</v>
      </c>
      <c r="AB255" s="189"/>
      <c r="AC255" s="223">
        <v>8.3800000000000008</v>
      </c>
      <c r="AD255" s="223">
        <v>5.17</v>
      </c>
      <c r="AE255" s="5">
        <f t="shared" si="31"/>
        <v>0</v>
      </c>
      <c r="AF255" s="191"/>
      <c r="AG255" s="149">
        <v>0</v>
      </c>
      <c r="AH255" s="303"/>
      <c r="AI255" s="5">
        <f t="shared" si="27"/>
        <v>0</v>
      </c>
      <c r="AJ255" s="191"/>
      <c r="AK255" s="164" t="str">
        <f t="shared" si="28"/>
        <v xml:space="preserve">0.0 </v>
      </c>
      <c r="AL255" s="305"/>
      <c r="AM255" s="191"/>
      <c r="AN255" s="191"/>
      <c r="AO255" s="5">
        <f t="shared" si="29"/>
        <v>0</v>
      </c>
      <c r="AP255" s="191"/>
      <c r="AQ255" s="164" t="str">
        <f t="shared" si="30"/>
        <v xml:space="preserve">0.0 </v>
      </c>
      <c r="AS255" s="382"/>
      <c r="AW255" s="392"/>
    </row>
    <row r="256" spans="1:49" x14ac:dyDescent="0.25">
      <c r="C256" s="229"/>
      <c r="H256" s="54"/>
      <c r="I256" s="54"/>
      <c r="T256" s="365">
        <v>26</v>
      </c>
      <c r="U256" s="194"/>
      <c r="V256" s="52" t="str">
        <f t="shared" si="24"/>
        <v xml:space="preserve">   130W Flood LED</v>
      </c>
      <c r="W256" s="194"/>
      <c r="X256" s="194"/>
      <c r="Y256" s="86">
        <f t="shared" si="25"/>
        <v>0</v>
      </c>
      <c r="Z256" s="131"/>
      <c r="AA256" s="86">
        <f t="shared" si="26"/>
        <v>0</v>
      </c>
      <c r="AB256" s="189"/>
      <c r="AC256" s="223">
        <v>10.31</v>
      </c>
      <c r="AD256" s="223">
        <v>5.17</v>
      </c>
      <c r="AE256" s="5">
        <f t="shared" si="31"/>
        <v>0</v>
      </c>
      <c r="AF256" s="191"/>
      <c r="AG256" s="149">
        <v>0</v>
      </c>
      <c r="AH256" s="303"/>
      <c r="AI256" s="5">
        <f t="shared" si="27"/>
        <v>0</v>
      </c>
      <c r="AJ256" s="191"/>
      <c r="AK256" s="164" t="str">
        <f t="shared" si="28"/>
        <v xml:space="preserve">0.0 </v>
      </c>
      <c r="AL256" s="305"/>
      <c r="AM256" s="191"/>
      <c r="AN256" s="191"/>
      <c r="AO256" s="5">
        <f t="shared" si="29"/>
        <v>0</v>
      </c>
      <c r="AP256" s="191"/>
      <c r="AQ256" s="164" t="str">
        <f t="shared" si="30"/>
        <v xml:space="preserve">0.0 </v>
      </c>
      <c r="AS256" s="382"/>
      <c r="AW256" s="392"/>
    </row>
    <row r="257" spans="1:49" x14ac:dyDescent="0.25">
      <c r="C257" s="229"/>
      <c r="H257" s="54"/>
      <c r="I257" s="54"/>
      <c r="T257" s="365">
        <v>27</v>
      </c>
      <c r="U257" s="194"/>
      <c r="V257" s="52" t="str">
        <f t="shared" si="24"/>
        <v xml:space="preserve">   260W Flood LED</v>
      </c>
      <c r="W257" s="194"/>
      <c r="X257" s="194"/>
      <c r="Y257" s="86">
        <f t="shared" si="25"/>
        <v>0</v>
      </c>
      <c r="Z257" s="131"/>
      <c r="AA257" s="86">
        <f t="shared" si="26"/>
        <v>0</v>
      </c>
      <c r="AB257" s="189"/>
      <c r="AC257" s="223">
        <v>14.38</v>
      </c>
      <c r="AD257" s="223">
        <v>4.24</v>
      </c>
      <c r="AE257" s="5">
        <f t="shared" si="31"/>
        <v>0</v>
      </c>
      <c r="AF257" s="191"/>
      <c r="AG257" s="149">
        <v>0</v>
      </c>
      <c r="AH257" s="303"/>
      <c r="AI257" s="5">
        <f t="shared" si="27"/>
        <v>0</v>
      </c>
      <c r="AJ257" s="191"/>
      <c r="AK257" s="164" t="str">
        <f t="shared" si="28"/>
        <v xml:space="preserve">0.0 </v>
      </c>
      <c r="AL257" s="305"/>
      <c r="AM257" s="191"/>
      <c r="AN257" s="191"/>
      <c r="AO257" s="5">
        <f t="shared" si="29"/>
        <v>0</v>
      </c>
      <c r="AP257" s="191"/>
      <c r="AQ257" s="164" t="str">
        <f t="shared" si="30"/>
        <v xml:space="preserve">0.0 </v>
      </c>
      <c r="AS257" s="382"/>
      <c r="AW257" s="392"/>
    </row>
    <row r="258" spans="1:49" x14ac:dyDescent="0.25">
      <c r="C258" s="229"/>
      <c r="J258" s="53"/>
      <c r="K258" s="53"/>
      <c r="T258" s="365">
        <v>28</v>
      </c>
      <c r="U258" s="194"/>
      <c r="V258" s="52" t="str">
        <f t="shared" si="24"/>
        <v xml:space="preserve">   50W Monticello LED</v>
      </c>
      <c r="W258" s="194"/>
      <c r="X258" s="194"/>
      <c r="Y258" s="86">
        <f t="shared" si="25"/>
        <v>0</v>
      </c>
      <c r="Z258" s="131"/>
      <c r="AA258" s="86">
        <f t="shared" si="26"/>
        <v>0</v>
      </c>
      <c r="AB258" s="189"/>
      <c r="AC258" s="223">
        <v>14.02</v>
      </c>
      <c r="AD258" s="223">
        <v>4.24</v>
      </c>
      <c r="AE258" s="5">
        <f t="shared" si="31"/>
        <v>0</v>
      </c>
      <c r="AF258" s="191"/>
      <c r="AG258" s="149">
        <v>0</v>
      </c>
      <c r="AH258" s="303"/>
      <c r="AI258" s="5">
        <f t="shared" si="27"/>
        <v>0</v>
      </c>
      <c r="AJ258" s="191"/>
      <c r="AK258" s="164" t="str">
        <f t="shared" si="28"/>
        <v xml:space="preserve">0.0 </v>
      </c>
      <c r="AL258" s="305"/>
      <c r="AM258" s="191"/>
      <c r="AN258" s="191"/>
      <c r="AO258" s="5">
        <f t="shared" si="29"/>
        <v>0</v>
      </c>
      <c r="AP258" s="191"/>
      <c r="AQ258" s="164" t="str">
        <f t="shared" si="30"/>
        <v xml:space="preserve">0.0 </v>
      </c>
      <c r="AS258" s="382"/>
      <c r="AW258" s="392"/>
    </row>
    <row r="259" spans="1:49" x14ac:dyDescent="0.25">
      <c r="C259" s="229"/>
      <c r="J259" s="53"/>
      <c r="K259" s="53"/>
      <c r="T259" s="365">
        <v>29</v>
      </c>
      <c r="U259" s="194"/>
      <c r="V259" s="52" t="str">
        <f t="shared" si="24"/>
        <v xml:space="preserve">   50W Mitchell Finial</v>
      </c>
      <c r="W259" s="194"/>
      <c r="X259" s="194"/>
      <c r="Y259" s="86">
        <f t="shared" si="25"/>
        <v>0</v>
      </c>
      <c r="Z259" s="131"/>
      <c r="AA259" s="86">
        <f t="shared" si="26"/>
        <v>0</v>
      </c>
      <c r="AB259" s="189"/>
      <c r="AC259" s="223">
        <v>12.96</v>
      </c>
      <c r="AD259" s="223">
        <v>4.24</v>
      </c>
      <c r="AE259" s="5">
        <f t="shared" si="31"/>
        <v>0</v>
      </c>
      <c r="AF259" s="191"/>
      <c r="AG259" s="149">
        <v>0</v>
      </c>
      <c r="AH259" s="303"/>
      <c r="AI259" s="5">
        <f t="shared" si="27"/>
        <v>0</v>
      </c>
      <c r="AJ259" s="191"/>
      <c r="AK259" s="164" t="str">
        <f t="shared" si="28"/>
        <v xml:space="preserve">0.0 </v>
      </c>
      <c r="AL259" s="305"/>
      <c r="AM259" s="191"/>
      <c r="AN259" s="191"/>
      <c r="AO259" s="5">
        <f t="shared" si="29"/>
        <v>0</v>
      </c>
      <c r="AP259" s="191"/>
      <c r="AQ259" s="164" t="str">
        <f t="shared" si="30"/>
        <v xml:space="preserve">0.0 </v>
      </c>
      <c r="AS259" s="382"/>
      <c r="AW259" s="392"/>
    </row>
    <row r="260" spans="1:49" x14ac:dyDescent="0.25">
      <c r="C260" s="229"/>
      <c r="J260" s="53"/>
      <c r="K260" s="53"/>
      <c r="T260" s="365">
        <v>30</v>
      </c>
      <c r="U260" s="194"/>
      <c r="V260" s="52" t="str">
        <f t="shared" si="24"/>
        <v xml:space="preserve">   50W Mitchell Ribs, Bands, and Medallions LED</v>
      </c>
      <c r="W260" s="194"/>
      <c r="X260" s="194"/>
      <c r="Y260" s="86">
        <f t="shared" si="25"/>
        <v>0</v>
      </c>
      <c r="Z260" s="131"/>
      <c r="AA260" s="86">
        <f t="shared" si="26"/>
        <v>0</v>
      </c>
      <c r="AB260" s="189"/>
      <c r="AC260" s="223">
        <v>12.22</v>
      </c>
      <c r="AD260" s="223">
        <v>4.24</v>
      </c>
      <c r="AE260" s="5">
        <f t="shared" si="31"/>
        <v>0</v>
      </c>
      <c r="AF260" s="191"/>
      <c r="AG260" s="149">
        <v>0</v>
      </c>
      <c r="AH260" s="303"/>
      <c r="AI260" s="5">
        <f t="shared" si="27"/>
        <v>0</v>
      </c>
      <c r="AJ260" s="191"/>
      <c r="AK260" s="164" t="str">
        <f t="shared" si="28"/>
        <v xml:space="preserve">0.0 </v>
      </c>
      <c r="AL260" s="305"/>
      <c r="AM260" s="191"/>
      <c r="AN260" s="191"/>
      <c r="AO260" s="5">
        <f t="shared" si="29"/>
        <v>0</v>
      </c>
      <c r="AP260" s="191"/>
      <c r="AQ260" s="164" t="str">
        <f t="shared" si="30"/>
        <v xml:space="preserve">0.0 </v>
      </c>
      <c r="AS260" s="382"/>
      <c r="AW260" s="392"/>
    </row>
    <row r="261" spans="1:49" x14ac:dyDescent="0.25">
      <c r="C261" s="229"/>
      <c r="J261" s="53"/>
      <c r="K261" s="53"/>
      <c r="T261" s="365">
        <v>31</v>
      </c>
      <c r="U261" s="288"/>
      <c r="V261" s="52" t="str">
        <f t="shared" si="24"/>
        <v xml:space="preserve">   50W Mitchell Top Hat LED</v>
      </c>
      <c r="W261" s="288"/>
      <c r="X261" s="194"/>
      <c r="Y261" s="86">
        <f t="shared" si="25"/>
        <v>0</v>
      </c>
      <c r="Z261" s="131"/>
      <c r="AA261" s="86">
        <f t="shared" si="26"/>
        <v>0</v>
      </c>
      <c r="AB261" s="189"/>
      <c r="AC261" s="223">
        <v>15.56</v>
      </c>
      <c r="AD261" s="223">
        <v>4.24</v>
      </c>
      <c r="AE261" s="5">
        <f t="shared" si="31"/>
        <v>0</v>
      </c>
      <c r="AF261" s="191"/>
      <c r="AG261" s="149">
        <v>0</v>
      </c>
      <c r="AH261" s="303"/>
      <c r="AI261" s="5">
        <f t="shared" si="27"/>
        <v>0</v>
      </c>
      <c r="AJ261" s="191"/>
      <c r="AK261" s="164" t="str">
        <f t="shared" si="28"/>
        <v xml:space="preserve">0.0 </v>
      </c>
      <c r="AL261" s="305"/>
      <c r="AM261" s="191"/>
      <c r="AN261" s="191"/>
      <c r="AO261" s="5">
        <f t="shared" si="29"/>
        <v>0</v>
      </c>
      <c r="AP261" s="191"/>
      <c r="AQ261" s="164" t="str">
        <f t="shared" si="30"/>
        <v xml:space="preserve">0.0 </v>
      </c>
      <c r="AS261" s="382"/>
      <c r="AW261" s="392"/>
    </row>
    <row r="262" spans="1:49" x14ac:dyDescent="0.25">
      <c r="C262" s="229"/>
      <c r="L262" s="54"/>
      <c r="M262" s="54"/>
      <c r="T262" s="363">
        <v>32</v>
      </c>
      <c r="U262" s="194"/>
      <c r="V262" s="52" t="str">
        <f t="shared" si="24"/>
        <v xml:space="preserve">   50W Mitchell Top Hat with Ribs, Bands, and Medallions LED</v>
      </c>
      <c r="W262" s="194"/>
      <c r="X262" s="194"/>
      <c r="Y262" s="86">
        <f t="shared" si="25"/>
        <v>0</v>
      </c>
      <c r="Z262" s="131"/>
      <c r="AA262" s="86">
        <f t="shared" si="26"/>
        <v>0</v>
      </c>
      <c r="AB262" s="189"/>
      <c r="AC262" s="223">
        <v>9.39</v>
      </c>
      <c r="AD262" s="223">
        <v>4.24</v>
      </c>
      <c r="AE262" s="5">
        <f t="shared" si="31"/>
        <v>0</v>
      </c>
      <c r="AF262" s="131"/>
      <c r="AG262" s="149">
        <v>0</v>
      </c>
      <c r="AH262" s="131"/>
      <c r="AI262" s="5">
        <f t="shared" si="27"/>
        <v>0</v>
      </c>
      <c r="AJ262" s="131"/>
      <c r="AK262" s="164" t="str">
        <f t="shared" si="28"/>
        <v xml:space="preserve">0.0 </v>
      </c>
      <c r="AL262" s="131"/>
      <c r="AM262" s="191"/>
      <c r="AN262" s="131"/>
      <c r="AO262" s="5">
        <f t="shared" si="29"/>
        <v>0</v>
      </c>
      <c r="AP262" s="131"/>
      <c r="AQ262" s="164" t="str">
        <f t="shared" si="30"/>
        <v xml:space="preserve">0.0 </v>
      </c>
      <c r="AS262" s="382"/>
      <c r="AW262" s="392"/>
    </row>
    <row r="263" spans="1:49" x14ac:dyDescent="0.25">
      <c r="C263" s="229"/>
      <c r="L263" s="54"/>
      <c r="M263" s="54"/>
      <c r="T263" s="364">
        <v>33</v>
      </c>
      <c r="U263" s="194"/>
      <c r="V263" s="52" t="str">
        <f t="shared" si="24"/>
        <v xml:space="preserve">   50W Open Monticello LED</v>
      </c>
      <c r="W263" s="194"/>
      <c r="X263" s="194"/>
      <c r="Y263" s="86">
        <f t="shared" si="25"/>
        <v>0</v>
      </c>
      <c r="Z263" s="131"/>
      <c r="AA263" s="86">
        <f t="shared" si="26"/>
        <v>0</v>
      </c>
      <c r="AB263" s="189"/>
      <c r="AC263" s="223">
        <v>9.39</v>
      </c>
      <c r="AD263" s="223">
        <v>4.24</v>
      </c>
      <c r="AE263" s="5">
        <f t="shared" si="31"/>
        <v>0</v>
      </c>
      <c r="AF263" s="191"/>
      <c r="AG263" s="149">
        <v>0</v>
      </c>
      <c r="AH263" s="131"/>
      <c r="AI263" s="5">
        <f t="shared" si="27"/>
        <v>0</v>
      </c>
      <c r="AJ263" s="131"/>
      <c r="AK263" s="164" t="str">
        <f t="shared" si="28"/>
        <v xml:space="preserve">0.0 </v>
      </c>
      <c r="AL263" s="131"/>
      <c r="AM263" s="191"/>
      <c r="AN263" s="131"/>
      <c r="AO263" s="5">
        <f t="shared" si="29"/>
        <v>0</v>
      </c>
      <c r="AP263" s="131"/>
      <c r="AQ263" s="164" t="str">
        <f t="shared" si="30"/>
        <v xml:space="preserve">0.0 </v>
      </c>
      <c r="AS263" s="382"/>
      <c r="AW263" s="392"/>
    </row>
    <row r="264" spans="1:49" x14ac:dyDescent="0.25">
      <c r="A264" s="53"/>
      <c r="C264" s="229"/>
      <c r="R264" s="54"/>
      <c r="T264" s="364">
        <v>34</v>
      </c>
      <c r="U264" s="194"/>
      <c r="V264" s="52" t="str">
        <f t="shared" si="24"/>
        <v>TOTAL LED FIXTURES</v>
      </c>
      <c r="W264" s="194"/>
      <c r="X264" s="194"/>
      <c r="Y264" s="86">
        <f t="shared" si="25"/>
        <v>0</v>
      </c>
      <c r="Z264" s="131"/>
      <c r="AA264" s="86">
        <f t="shared" si="26"/>
        <v>0</v>
      </c>
      <c r="AB264" s="189"/>
      <c r="AC264" s="223">
        <v>12.62</v>
      </c>
      <c r="AD264" s="223">
        <v>4.24</v>
      </c>
      <c r="AE264" s="5">
        <f t="shared" si="31"/>
        <v>0</v>
      </c>
      <c r="AF264" s="191"/>
      <c r="AG264" s="149">
        <v>0</v>
      </c>
      <c r="AH264" s="303"/>
      <c r="AI264" s="5">
        <f t="shared" si="27"/>
        <v>0</v>
      </c>
      <c r="AJ264" s="191"/>
      <c r="AK264" s="164" t="str">
        <f t="shared" si="28"/>
        <v xml:space="preserve">0.0 </v>
      </c>
      <c r="AL264" s="305"/>
      <c r="AM264" s="191"/>
      <c r="AN264" s="191"/>
      <c r="AO264" s="5">
        <f t="shared" si="29"/>
        <v>0</v>
      </c>
      <c r="AP264" s="191"/>
      <c r="AQ264" s="164" t="str">
        <f t="shared" si="30"/>
        <v xml:space="preserve">0.0 </v>
      </c>
      <c r="AS264" s="382"/>
      <c r="AW264" s="392"/>
    </row>
    <row r="265" spans="1:49" x14ac:dyDescent="0.25">
      <c r="A265" s="53"/>
      <c r="C265" s="229"/>
      <c r="R265" s="54"/>
      <c r="T265" s="364">
        <v>35</v>
      </c>
      <c r="U265" s="194"/>
      <c r="V265" s="52">
        <f t="shared" si="24"/>
        <v>0</v>
      </c>
      <c r="W265" s="194"/>
      <c r="X265" s="194"/>
      <c r="Y265" s="86">
        <f t="shared" si="25"/>
        <v>0</v>
      </c>
      <c r="Z265" s="131"/>
      <c r="AA265" s="86">
        <f t="shared" si="26"/>
        <v>0</v>
      </c>
      <c r="AB265" s="189"/>
      <c r="AC265" s="223">
        <v>18.829999999999998</v>
      </c>
      <c r="AD265" s="223">
        <v>4.24</v>
      </c>
      <c r="AE265" s="5">
        <f t="shared" si="31"/>
        <v>0</v>
      </c>
      <c r="AF265" s="191"/>
      <c r="AG265" s="149">
        <v>0</v>
      </c>
      <c r="AH265" s="303"/>
      <c r="AI265" s="5">
        <f t="shared" si="27"/>
        <v>0</v>
      </c>
      <c r="AJ265" s="191"/>
      <c r="AK265" s="164" t="str">
        <f t="shared" si="28"/>
        <v xml:space="preserve">0.0 </v>
      </c>
      <c r="AL265" s="305"/>
      <c r="AM265" s="191"/>
      <c r="AN265" s="191"/>
      <c r="AO265" s="5">
        <f t="shared" si="29"/>
        <v>0</v>
      </c>
      <c r="AP265" s="191"/>
      <c r="AQ265" s="164" t="str">
        <f t="shared" si="30"/>
        <v xml:space="preserve">0.0 </v>
      </c>
      <c r="AS265" s="382"/>
      <c r="AW265" s="392"/>
    </row>
    <row r="266" spans="1:49" x14ac:dyDescent="0.25">
      <c r="A266" s="53"/>
      <c r="C266" s="229"/>
      <c r="R266" s="54"/>
      <c r="T266" s="363">
        <v>36</v>
      </c>
      <c r="U266" s="194"/>
      <c r="V266" s="52" t="str">
        <f t="shared" si="24"/>
        <v>ENERGY CHARGE (1A)</v>
      </c>
      <c r="W266" s="194"/>
      <c r="X266" s="194"/>
      <c r="Y266" s="86">
        <f t="shared" si="25"/>
        <v>0</v>
      </c>
      <c r="Z266" s="131"/>
      <c r="AA266" s="86">
        <f t="shared" si="26"/>
        <v>0</v>
      </c>
      <c r="AB266" s="189"/>
      <c r="AC266" s="223">
        <v>15.28</v>
      </c>
      <c r="AD266" s="223">
        <v>4.24</v>
      </c>
      <c r="AE266" s="5">
        <f t="shared" si="31"/>
        <v>0</v>
      </c>
      <c r="AF266" s="191"/>
      <c r="AG266" s="149">
        <v>0</v>
      </c>
      <c r="AH266" s="303"/>
      <c r="AI266" s="5">
        <f t="shared" si="27"/>
        <v>0</v>
      </c>
      <c r="AJ266" s="191"/>
      <c r="AK266" s="164" t="str">
        <f t="shared" si="28"/>
        <v xml:space="preserve">0.0 </v>
      </c>
      <c r="AL266" s="305"/>
      <c r="AM266" s="191"/>
      <c r="AN266" s="191"/>
      <c r="AO266" s="5">
        <f t="shared" si="29"/>
        <v>0</v>
      </c>
      <c r="AP266" s="191"/>
      <c r="AQ266" s="164" t="str">
        <f t="shared" si="30"/>
        <v xml:space="preserve">0.0 </v>
      </c>
      <c r="AS266" s="382"/>
      <c r="AW266" s="392"/>
    </row>
    <row r="267" spans="1:49" x14ac:dyDescent="0.25">
      <c r="A267" s="53"/>
      <c r="C267" s="229"/>
      <c r="R267" s="54"/>
      <c r="T267" s="363">
        <v>37</v>
      </c>
      <c r="U267" s="194"/>
      <c r="V267" s="52">
        <f t="shared" si="24"/>
        <v>0</v>
      </c>
      <c r="W267" s="194"/>
      <c r="X267" s="194"/>
      <c r="Y267" s="86">
        <f t="shared" si="25"/>
        <v>0</v>
      </c>
      <c r="Z267" s="131"/>
      <c r="AA267" s="86">
        <f t="shared" si="26"/>
        <v>0</v>
      </c>
      <c r="AB267" s="189"/>
      <c r="AC267" s="223">
        <v>13.04</v>
      </c>
      <c r="AD267" s="223">
        <v>5.17</v>
      </c>
      <c r="AE267" s="5">
        <f t="shared" si="31"/>
        <v>0</v>
      </c>
      <c r="AF267" s="191"/>
      <c r="AG267" s="149">
        <v>0</v>
      </c>
      <c r="AH267" s="303"/>
      <c r="AI267" s="5">
        <f t="shared" si="27"/>
        <v>0</v>
      </c>
      <c r="AJ267" s="191"/>
      <c r="AK267" s="164" t="str">
        <f t="shared" si="28"/>
        <v xml:space="preserve">0.0 </v>
      </c>
      <c r="AL267" s="305"/>
      <c r="AM267" s="191"/>
      <c r="AN267" s="191"/>
      <c r="AO267" s="5">
        <f t="shared" si="29"/>
        <v>0</v>
      </c>
      <c r="AP267" s="191"/>
      <c r="AQ267" s="164" t="str">
        <f t="shared" si="30"/>
        <v xml:space="preserve">0.0 </v>
      </c>
      <c r="AS267" s="382"/>
      <c r="AW267" s="392"/>
    </row>
    <row r="268" spans="1:49" x14ac:dyDescent="0.25">
      <c r="A268" s="53"/>
      <c r="C268" s="229"/>
      <c r="R268" s="54"/>
      <c r="T268" s="363">
        <v>38</v>
      </c>
      <c r="U268" s="194"/>
      <c r="V268" s="52" t="str">
        <f t="shared" si="24"/>
        <v>POLES</v>
      </c>
      <c r="W268" s="194"/>
      <c r="X268" s="194"/>
      <c r="Y268" s="86">
        <f t="shared" si="25"/>
        <v>0</v>
      </c>
      <c r="Z268" s="131"/>
      <c r="AA268" s="86">
        <f t="shared" si="26"/>
        <v>0</v>
      </c>
      <c r="AB268" s="189"/>
      <c r="AC268" s="223">
        <v>15.56</v>
      </c>
      <c r="AD268" s="223">
        <v>4.24</v>
      </c>
      <c r="AE268" s="5">
        <f t="shared" si="31"/>
        <v>0</v>
      </c>
      <c r="AF268" s="191"/>
      <c r="AG268" s="149">
        <v>0</v>
      </c>
      <c r="AH268" s="303"/>
      <c r="AI268" s="5">
        <f t="shared" si="27"/>
        <v>0</v>
      </c>
      <c r="AJ268" s="191"/>
      <c r="AK268" s="164" t="str">
        <f t="shared" si="28"/>
        <v xml:space="preserve">0.0 </v>
      </c>
      <c r="AL268" s="305"/>
      <c r="AM268" s="191"/>
      <c r="AN268" s="310"/>
      <c r="AO268" s="5">
        <f t="shared" si="29"/>
        <v>0</v>
      </c>
      <c r="AP268" s="191"/>
      <c r="AQ268" s="164" t="str">
        <f t="shared" si="30"/>
        <v xml:space="preserve">0.0 </v>
      </c>
      <c r="AS268" s="382"/>
      <c r="AW268" s="392"/>
    </row>
    <row r="269" spans="1:49" x14ac:dyDescent="0.25">
      <c r="A269" s="53"/>
      <c r="C269" s="229"/>
      <c r="R269" s="54"/>
      <c r="T269" s="363">
        <v>39</v>
      </c>
      <c r="U269" s="194"/>
      <c r="V269" s="52" t="str">
        <f t="shared" si="24"/>
        <v xml:space="preserve">   Style A 12 Ft Long Anchor Base Top Tenon Aluminum</v>
      </c>
      <c r="W269" s="194"/>
      <c r="X269" s="194"/>
      <c r="Y269" s="86">
        <f t="shared" si="25"/>
        <v>0</v>
      </c>
      <c r="Z269" s="131"/>
      <c r="AA269" s="86">
        <f t="shared" si="26"/>
        <v>0</v>
      </c>
      <c r="AB269" s="189"/>
      <c r="AC269" s="223">
        <v>19.46</v>
      </c>
      <c r="AD269" s="223">
        <v>5.17</v>
      </c>
      <c r="AE269" s="5">
        <f t="shared" si="31"/>
        <v>0</v>
      </c>
      <c r="AF269" s="191"/>
      <c r="AG269" s="149">
        <v>0</v>
      </c>
      <c r="AH269" s="303"/>
      <c r="AI269" s="5">
        <f t="shared" si="27"/>
        <v>0</v>
      </c>
      <c r="AJ269" s="191"/>
      <c r="AK269" s="164" t="str">
        <f t="shared" si="28"/>
        <v xml:space="preserve">0.0 </v>
      </c>
      <c r="AL269" s="305"/>
      <c r="AM269" s="191"/>
      <c r="AN269" s="191"/>
      <c r="AO269" s="5">
        <f t="shared" si="29"/>
        <v>0</v>
      </c>
      <c r="AP269" s="191"/>
      <c r="AQ269" s="164" t="str">
        <f t="shared" si="30"/>
        <v xml:space="preserve">0.0 </v>
      </c>
      <c r="AS269" s="382"/>
      <c r="AW269" s="392"/>
    </row>
    <row r="270" spans="1:49" x14ac:dyDescent="0.25">
      <c r="A270" s="56"/>
      <c r="C270" s="231"/>
      <c r="D270" s="56"/>
      <c r="E270" s="56"/>
      <c r="F270" s="56"/>
      <c r="J270" s="56"/>
      <c r="K270" s="56"/>
      <c r="L270" s="56"/>
      <c r="M270" s="56"/>
      <c r="N270" s="56"/>
      <c r="O270" s="56"/>
      <c r="P270" s="56"/>
      <c r="Q270" s="56"/>
      <c r="R270" s="56"/>
      <c r="T270" s="363">
        <v>40</v>
      </c>
      <c r="U270" s="194"/>
      <c r="V270" s="52" t="str">
        <f t="shared" si="24"/>
        <v xml:space="preserve">   Style A 15 Ft Long Direct Buried Top Tenon Aluminum</v>
      </c>
      <c r="W270" s="194"/>
      <c r="X270" s="194"/>
      <c r="Y270" s="86">
        <f t="shared" si="25"/>
        <v>0</v>
      </c>
      <c r="Z270" s="131"/>
      <c r="AA270" s="86">
        <f t="shared" si="26"/>
        <v>0</v>
      </c>
      <c r="AB270" s="189"/>
      <c r="AC270" s="223">
        <v>4.01</v>
      </c>
      <c r="AD270" s="223">
        <v>4.24</v>
      </c>
      <c r="AE270" s="5">
        <f t="shared" si="31"/>
        <v>0</v>
      </c>
      <c r="AF270" s="191"/>
      <c r="AG270" s="149">
        <v>0</v>
      </c>
      <c r="AH270" s="191"/>
      <c r="AI270" s="5">
        <f t="shared" si="27"/>
        <v>0</v>
      </c>
      <c r="AJ270" s="191"/>
      <c r="AK270" s="164" t="str">
        <f t="shared" si="28"/>
        <v xml:space="preserve">0.0 </v>
      </c>
      <c r="AL270" s="305"/>
      <c r="AM270" s="191"/>
      <c r="AN270" s="310">
        <f>SUM(AN236:AN268)</f>
        <v>0</v>
      </c>
      <c r="AO270" s="5">
        <f t="shared" si="29"/>
        <v>0</v>
      </c>
      <c r="AP270" s="191"/>
      <c r="AQ270" s="164" t="str">
        <f t="shared" si="30"/>
        <v xml:space="preserve">0.0 </v>
      </c>
      <c r="AS270" s="382"/>
      <c r="AW270" s="392"/>
    </row>
    <row r="271" spans="1:49" x14ac:dyDescent="0.25">
      <c r="C271" s="231"/>
      <c r="D271" s="56"/>
      <c r="E271" s="56"/>
      <c r="F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T271" s="363">
        <v>41</v>
      </c>
      <c r="U271" s="194"/>
      <c r="V271" s="52" t="str">
        <f t="shared" si="24"/>
        <v xml:space="preserve">   Style A 15 Ft Long Anchor Base Top Tenon Aluminum</v>
      </c>
      <c r="W271" s="194"/>
      <c r="X271" s="194"/>
      <c r="Y271" s="86">
        <f t="shared" si="25"/>
        <v>0</v>
      </c>
      <c r="Z271" s="131"/>
      <c r="AA271" s="86">
        <f t="shared" si="26"/>
        <v>0</v>
      </c>
      <c r="AB271" s="189"/>
      <c r="AC271" s="223">
        <v>4.18</v>
      </c>
      <c r="AD271" s="223">
        <v>4.24</v>
      </c>
      <c r="AE271" s="5">
        <f t="shared" si="31"/>
        <v>0</v>
      </c>
      <c r="AF271" s="131"/>
      <c r="AG271" s="149">
        <v>0</v>
      </c>
      <c r="AH271" s="131"/>
      <c r="AI271" s="5">
        <f t="shared" si="27"/>
        <v>0</v>
      </c>
      <c r="AJ271" s="131"/>
      <c r="AK271" s="164" t="str">
        <f t="shared" si="28"/>
        <v xml:space="preserve">0.0 </v>
      </c>
      <c r="AL271" s="131"/>
      <c r="AM271" s="191"/>
      <c r="AN271" s="198"/>
      <c r="AO271" s="5">
        <f t="shared" si="29"/>
        <v>0</v>
      </c>
      <c r="AP271" s="131"/>
      <c r="AQ271" s="164" t="str">
        <f t="shared" si="30"/>
        <v xml:space="preserve">0.0 </v>
      </c>
      <c r="AS271" s="382"/>
      <c r="AW271" s="392"/>
    </row>
    <row r="272" spans="1:49" x14ac:dyDescent="0.25">
      <c r="T272" s="367">
        <v>42</v>
      </c>
      <c r="U272" s="378"/>
      <c r="V272" s="518" t="s">
        <v>684</v>
      </c>
      <c r="W272" s="378"/>
      <c r="X272" s="378"/>
      <c r="Y272" s="316">
        <f>SUM(Y233:Y271)</f>
        <v>0</v>
      </c>
      <c r="Z272" s="2"/>
      <c r="AA272" s="90">
        <f>SUM(AA233:AA271)</f>
        <v>0</v>
      </c>
      <c r="AB272" s="5"/>
      <c r="AC272" s="7"/>
      <c r="AD272" s="7"/>
      <c r="AE272" s="90">
        <f>SUM(AE233:AE271)</f>
        <v>0</v>
      </c>
      <c r="AG272" s="420">
        <f>SUM(AG233:AG271)</f>
        <v>0</v>
      </c>
      <c r="AI272" s="90">
        <f>SUM(AI233:AI271)</f>
        <v>0</v>
      </c>
      <c r="AK272" s="164" t="str">
        <f t="shared" si="28"/>
        <v xml:space="preserve">0.0 </v>
      </c>
      <c r="AM272" s="90">
        <f>SUM(AM233:AM271)</f>
        <v>0</v>
      </c>
      <c r="AO272" s="90">
        <f>SUM(AO233:AO271)</f>
        <v>0</v>
      </c>
      <c r="AQ272" s="164" t="str">
        <f t="shared" si="30"/>
        <v xml:space="preserve">0.0 </v>
      </c>
      <c r="AS272" s="382"/>
    </row>
    <row r="273" spans="1:49" x14ac:dyDescent="0.25">
      <c r="A273" s="53"/>
      <c r="C273" s="54"/>
      <c r="D273" s="54"/>
      <c r="E273" s="54"/>
      <c r="U273" s="245"/>
      <c r="V273" s="293"/>
      <c r="W273" s="246"/>
      <c r="X273" s="246"/>
      <c r="Y273" s="293"/>
      <c r="Z273" s="246"/>
      <c r="AA273" s="246"/>
      <c r="AB273" s="246"/>
      <c r="AC273" s="244"/>
      <c r="AD273" s="246"/>
      <c r="AE273" s="247"/>
      <c r="AF273" s="293"/>
      <c r="AG273" s="323"/>
      <c r="AH273" s="293"/>
      <c r="AI273" s="321"/>
      <c r="AJ273" s="293"/>
      <c r="AK273" s="324"/>
      <c r="AL273" s="293"/>
      <c r="AM273" s="293"/>
      <c r="AN273" s="325"/>
      <c r="AO273" s="325"/>
      <c r="AP273" s="325"/>
      <c r="AQ273" s="326"/>
      <c r="AS273" s="382"/>
      <c r="AW273" s="378"/>
    </row>
    <row r="274" spans="1:49" x14ac:dyDescent="0.25">
      <c r="A274" s="53"/>
      <c r="C274" s="54"/>
      <c r="D274" s="54"/>
      <c r="E274" s="54"/>
      <c r="T274" s="380">
        <v>43</v>
      </c>
      <c r="U274" s="246"/>
      <c r="V274" s="518" t="s">
        <v>685</v>
      </c>
      <c r="W274" s="246"/>
      <c r="X274" s="246"/>
      <c r="Y274" s="327"/>
      <c r="Z274" s="246"/>
      <c r="AA274" s="108">
        <f>AA272</f>
        <v>0</v>
      </c>
      <c r="AB274" s="246"/>
      <c r="AC274" s="453">
        <v>3.8304999999999999E-2</v>
      </c>
      <c r="AD274" s="246"/>
      <c r="AE274" s="5">
        <f>AA274*AC274</f>
        <v>0</v>
      </c>
      <c r="AF274" s="293"/>
      <c r="AG274" s="149">
        <v>0</v>
      </c>
      <c r="AH274" s="293"/>
      <c r="AI274" s="5">
        <f>L61-AE274</f>
        <v>0</v>
      </c>
      <c r="AJ274" s="293"/>
      <c r="AK274" s="164" t="str">
        <f t="shared" si="28"/>
        <v xml:space="preserve">0.0 </v>
      </c>
      <c r="AL274" s="293"/>
      <c r="AM274" s="293"/>
      <c r="AN274" s="325"/>
      <c r="AO274" s="5">
        <f t="shared" ref="AO274" si="32">AE274+AM274</f>
        <v>0</v>
      </c>
      <c r="AP274" s="325"/>
      <c r="AQ274" s="164" t="str">
        <f t="shared" si="30"/>
        <v xml:space="preserve">0.0 </v>
      </c>
      <c r="AS274" s="382"/>
      <c r="AW274" s="378"/>
    </row>
    <row r="275" spans="1:49" x14ac:dyDescent="0.25">
      <c r="A275" s="53"/>
      <c r="C275" s="54"/>
      <c r="D275" s="54"/>
      <c r="E275" s="54"/>
      <c r="U275" s="293"/>
      <c r="V275" s="293"/>
      <c r="W275" s="293"/>
      <c r="X275" s="293"/>
      <c r="Y275" s="327"/>
      <c r="Z275" s="293"/>
      <c r="AA275" s="293"/>
      <c r="AB275" s="293"/>
      <c r="AC275" s="321"/>
      <c r="AD275" s="293"/>
      <c r="AE275" s="324"/>
      <c r="AF275" s="293"/>
      <c r="AG275" s="323"/>
      <c r="AH275" s="293"/>
      <c r="AI275" s="321"/>
      <c r="AJ275" s="293"/>
      <c r="AK275" s="322"/>
      <c r="AL275" s="293"/>
      <c r="AM275" s="293"/>
      <c r="AN275" s="325"/>
      <c r="AO275" s="325"/>
      <c r="AP275" s="325"/>
      <c r="AQ275" s="326"/>
      <c r="AS275" s="382"/>
      <c r="AW275" s="378"/>
    </row>
    <row r="276" spans="1:49" x14ac:dyDescent="0.25">
      <c r="A276" s="53"/>
      <c r="C276" s="54"/>
      <c r="D276" s="54"/>
      <c r="E276" s="54"/>
      <c r="T276" s="320" t="s">
        <v>78</v>
      </c>
      <c r="U276" s="293"/>
      <c r="V276" s="293"/>
      <c r="W276" s="293"/>
      <c r="X276" s="293"/>
      <c r="Y276" s="327"/>
      <c r="Z276" s="293"/>
      <c r="AA276" s="293"/>
      <c r="AB276" s="293"/>
      <c r="AC276" s="321"/>
      <c r="AD276" s="293"/>
      <c r="AE276" s="322"/>
      <c r="AF276" s="293"/>
      <c r="AG276" s="323"/>
      <c r="AH276" s="293"/>
      <c r="AI276" s="321"/>
      <c r="AJ276" s="293"/>
      <c r="AK276" s="322"/>
      <c r="AL276" s="293"/>
      <c r="AM276" s="293"/>
      <c r="AN276" s="325"/>
      <c r="AO276" s="325"/>
      <c r="AP276" s="325"/>
      <c r="AQ276" s="326"/>
      <c r="AS276" s="382"/>
      <c r="AW276" s="378"/>
    </row>
    <row r="277" spans="1:49" x14ac:dyDescent="0.25">
      <c r="A277" s="53"/>
      <c r="C277" s="54"/>
      <c r="D277" s="54"/>
      <c r="E277" s="54"/>
      <c r="T277" s="320" t="str">
        <f>"(1A) REFLECTS FUEL COST RECOVERY INCLUDED IN BASE RATES OF "&amp;TEXT(CUR_BASE_FUEL,"$0.000000;($0.000000)")&amp;"  PER KWH."</f>
        <v>(1A) REFLECTS FUEL COST RECOVERY INCLUDED IN BASE RATES OF $0.023837  PER KWH.</v>
      </c>
      <c r="U277" s="293"/>
      <c r="V277" s="293"/>
      <c r="W277" s="293"/>
      <c r="X277" s="293"/>
      <c r="Y277" s="327"/>
      <c r="Z277" s="293"/>
      <c r="AA277" s="293"/>
      <c r="AB277" s="293"/>
      <c r="AC277" s="321"/>
      <c r="AD277" s="321"/>
      <c r="AE277" s="322"/>
      <c r="AF277" s="321"/>
      <c r="AG277" s="328"/>
      <c r="AH277" s="321"/>
      <c r="AI277" s="321"/>
      <c r="AJ277" s="321"/>
      <c r="AK277" s="322"/>
      <c r="AL277" s="293"/>
      <c r="AM277" s="293"/>
      <c r="AN277" s="325"/>
      <c r="AO277" s="325"/>
      <c r="AP277" s="325"/>
      <c r="AQ277" s="326"/>
      <c r="AS277" s="382"/>
      <c r="AW277" s="378"/>
    </row>
    <row r="278" spans="1:49" x14ac:dyDescent="0.25">
      <c r="A278" s="53"/>
      <c r="C278" s="54"/>
      <c r="D278" s="54"/>
      <c r="E278" s="54"/>
      <c r="T278" s="320" t="str">
        <f>"(2) REFLECTS FUEL COMPONENT OF "&amp;TEXT(CUR_FAC,"$0.000000;($0.000000)")&amp;"  PER KWH."</f>
        <v>(2) REFLECTS FUEL COMPONENT OF $0.000681  PER KWH.</v>
      </c>
      <c r="U278" s="194"/>
      <c r="V278" s="194"/>
      <c r="W278" s="194"/>
      <c r="X278" s="194"/>
      <c r="Y278" s="329"/>
      <c r="Z278" s="194"/>
      <c r="AA278" s="194"/>
      <c r="AB278" s="194"/>
      <c r="AC278" s="195"/>
      <c r="AD278" s="229"/>
      <c r="AE278" s="229"/>
      <c r="AF278" s="229"/>
      <c r="AG278" s="330"/>
      <c r="AH278" s="229"/>
      <c r="AI278" s="229"/>
      <c r="AJ278" s="229"/>
      <c r="AK278" s="330"/>
      <c r="AL278" s="229"/>
      <c r="AM278" s="229"/>
      <c r="AN278" s="194"/>
      <c r="AO278" s="194"/>
      <c r="AP278" s="194"/>
      <c r="AQ278" s="331"/>
      <c r="AS278" s="382"/>
      <c r="AW278" s="378"/>
    </row>
    <row r="279" spans="1:49" x14ac:dyDescent="0.25">
      <c r="A279" s="53"/>
      <c r="C279" s="54"/>
      <c r="D279" s="54"/>
      <c r="E279" s="54"/>
      <c r="T279" s="231"/>
      <c r="U279" s="231"/>
      <c r="V279" s="231"/>
      <c r="W279" s="229"/>
      <c r="X279" s="229"/>
      <c r="Y279" s="229"/>
      <c r="Z279" s="229"/>
      <c r="AA279" s="231"/>
      <c r="AB279" s="231"/>
      <c r="AC279" s="231"/>
      <c r="AD279" s="231"/>
      <c r="AE279" s="231"/>
      <c r="AF279" s="231"/>
      <c r="AG279" s="332"/>
      <c r="AH279" s="231"/>
      <c r="AI279" s="231"/>
      <c r="AJ279" s="231"/>
      <c r="AK279" s="332"/>
      <c r="AL279" s="231"/>
      <c r="AM279" s="231"/>
      <c r="AN279" s="231"/>
      <c r="AO279" s="231"/>
      <c r="AP279" s="231"/>
      <c r="AQ279" s="333"/>
      <c r="AS279" s="382"/>
      <c r="AW279" s="378"/>
    </row>
    <row r="280" spans="1:49" x14ac:dyDescent="0.25">
      <c r="A280" s="53"/>
      <c r="C280" s="54"/>
      <c r="D280" s="54"/>
      <c r="E280" s="54"/>
      <c r="T280" s="592" t="str">
        <f>NAME</f>
        <v>DUKE ENERGY KENTUCKY, INC.</v>
      </c>
      <c r="U280" s="592"/>
      <c r="V280" s="592"/>
      <c r="W280" s="592"/>
      <c r="X280" s="592"/>
      <c r="Y280" s="592"/>
      <c r="Z280" s="592"/>
      <c r="AA280" s="592"/>
      <c r="AB280" s="592"/>
      <c r="AC280" s="592"/>
      <c r="AD280" s="592"/>
      <c r="AE280" s="592"/>
      <c r="AF280" s="592"/>
      <c r="AG280" s="592"/>
      <c r="AH280" s="592"/>
      <c r="AI280" s="592"/>
      <c r="AJ280" s="592"/>
      <c r="AK280" s="592"/>
      <c r="AL280" s="592"/>
      <c r="AM280" s="592"/>
      <c r="AN280" s="592"/>
      <c r="AO280" s="592"/>
      <c r="AP280" s="592"/>
      <c r="AQ280" s="592"/>
      <c r="AS280" s="382"/>
      <c r="AW280" s="43"/>
    </row>
    <row r="281" spans="1:49" x14ac:dyDescent="0.25">
      <c r="A281" s="53"/>
      <c r="C281" s="54"/>
      <c r="D281" s="54"/>
      <c r="E281" s="54"/>
      <c r="T281" s="297" t="str">
        <f>CASE_NO</f>
        <v>CASE NO.   2019-000271</v>
      </c>
      <c r="U281" s="297"/>
      <c r="V281" s="297"/>
      <c r="W281" s="297"/>
      <c r="X281" s="297"/>
      <c r="Y281" s="297"/>
      <c r="Z281" s="297"/>
      <c r="AA281" s="297"/>
      <c r="AB281" s="297"/>
      <c r="AC281" s="297"/>
      <c r="AD281" s="297"/>
      <c r="AE281" s="297"/>
      <c r="AF281" s="297"/>
      <c r="AG281" s="297"/>
      <c r="AH281" s="297"/>
      <c r="AI281" s="297"/>
      <c r="AJ281" s="297"/>
      <c r="AK281" s="297"/>
      <c r="AL281" s="297"/>
      <c r="AM281" s="297"/>
      <c r="AN281" s="297"/>
      <c r="AO281" s="297"/>
      <c r="AP281" s="297"/>
      <c r="AQ281" s="297"/>
      <c r="AS281" s="382"/>
      <c r="AW281" s="43"/>
    </row>
    <row r="282" spans="1:49" x14ac:dyDescent="0.25">
      <c r="A282" s="53"/>
      <c r="C282" s="54"/>
      <c r="D282" s="54"/>
      <c r="E282" s="54"/>
      <c r="T282" s="334" t="str">
        <f>TITLE</f>
        <v>ANNUALIZED BASE YEAR REVENUES AT PROPOSED VS. MOST CURRENT RATES</v>
      </c>
      <c r="U282" s="334"/>
      <c r="V282" s="334"/>
      <c r="W282" s="334"/>
      <c r="X282" s="334"/>
      <c r="Y282" s="334"/>
      <c r="Z282" s="334"/>
      <c r="AA282" s="334"/>
      <c r="AB282" s="334"/>
      <c r="AC282" s="334"/>
      <c r="AD282" s="334"/>
      <c r="AE282" s="334"/>
      <c r="AF282" s="334"/>
      <c r="AG282" s="334"/>
      <c r="AH282" s="334"/>
      <c r="AI282" s="334"/>
      <c r="AJ282" s="334"/>
      <c r="AK282" s="334"/>
      <c r="AL282" s="334"/>
      <c r="AM282" s="334"/>
      <c r="AN282" s="334"/>
      <c r="AO282" s="334"/>
      <c r="AP282" s="334"/>
      <c r="AQ282" s="334"/>
      <c r="AS282" s="382"/>
      <c r="AW282" s="43"/>
    </row>
    <row r="283" spans="1:49" x14ac:dyDescent="0.25">
      <c r="A283" s="53"/>
      <c r="C283" s="54"/>
      <c r="D283" s="54"/>
      <c r="E283" s="54"/>
      <c r="T283" s="297" t="str">
        <f>DATE</f>
        <v>FOR THE TWELVE MONTHS ENDED November 30, 2019</v>
      </c>
      <c r="U283" s="297"/>
      <c r="V283" s="297"/>
      <c r="W283" s="297"/>
      <c r="X283" s="297"/>
      <c r="Y283" s="297"/>
      <c r="Z283" s="297"/>
      <c r="AA283" s="297"/>
      <c r="AB283" s="297"/>
      <c r="AC283" s="297"/>
      <c r="AD283" s="297"/>
      <c r="AE283" s="297"/>
      <c r="AF283" s="297"/>
      <c r="AG283" s="297"/>
      <c r="AH283" s="297"/>
      <c r="AI283" s="297"/>
      <c r="AJ283" s="297"/>
      <c r="AK283" s="297"/>
      <c r="AL283" s="297"/>
      <c r="AM283" s="297"/>
      <c r="AN283" s="297"/>
      <c r="AO283" s="297"/>
      <c r="AP283" s="297"/>
      <c r="AQ283" s="297"/>
      <c r="AS283" s="382"/>
      <c r="AW283" s="43"/>
    </row>
    <row r="284" spans="1:49" x14ac:dyDescent="0.25">
      <c r="A284" s="53"/>
      <c r="C284" s="54"/>
      <c r="D284" s="54"/>
      <c r="E284" s="54"/>
      <c r="T284" s="297" t="str">
        <f>SERVICE</f>
        <v>(ELECTRIC SERVICE)</v>
      </c>
      <c r="U284" s="297"/>
      <c r="V284" s="297"/>
      <c r="W284" s="297"/>
      <c r="X284" s="297"/>
      <c r="Y284" s="297"/>
      <c r="Z284" s="297"/>
      <c r="AA284" s="297"/>
      <c r="AB284" s="297"/>
      <c r="AC284" s="297"/>
      <c r="AD284" s="297"/>
      <c r="AE284" s="297"/>
      <c r="AF284" s="297"/>
      <c r="AG284" s="297"/>
      <c r="AH284" s="297"/>
      <c r="AI284" s="297"/>
      <c r="AJ284" s="297"/>
      <c r="AK284" s="297"/>
      <c r="AL284" s="297"/>
      <c r="AM284" s="297"/>
      <c r="AN284" s="297"/>
      <c r="AO284" s="297"/>
      <c r="AP284" s="297"/>
      <c r="AQ284" s="297"/>
      <c r="AS284" s="382"/>
      <c r="AW284" s="43"/>
    </row>
    <row r="285" spans="1:49" x14ac:dyDescent="0.25">
      <c r="A285" s="53"/>
      <c r="C285" s="54"/>
      <c r="D285" s="54"/>
      <c r="E285" s="54"/>
      <c r="T285" s="306" t="str">
        <f>DATA_PERIOD</f>
        <v>DATA: __X__ BASE PERIOD   ____FORECASTED PERIOD</v>
      </c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  <c r="AF285" s="229"/>
      <c r="AG285" s="335"/>
      <c r="AH285" s="229"/>
      <c r="AI285" s="194"/>
      <c r="AJ285" s="194"/>
      <c r="AK285" s="335"/>
      <c r="AL285" s="194"/>
      <c r="AM285" s="194"/>
      <c r="AN285" s="229"/>
      <c r="AO285" s="196" t="s">
        <v>164</v>
      </c>
      <c r="AP285" s="196"/>
      <c r="AQ285" s="331"/>
      <c r="AS285" s="382"/>
      <c r="AW285" s="378"/>
    </row>
    <row r="286" spans="1:49" x14ac:dyDescent="0.25">
      <c r="A286" s="53"/>
      <c r="C286" s="54"/>
      <c r="D286" s="54"/>
      <c r="E286" s="54"/>
      <c r="T286" s="306" t="str">
        <f>TYPE</f>
        <v>TYPE OF FILING: _X_ ORIGINAL   ___UPDATED  ___ REVISED</v>
      </c>
      <c r="U286" s="194"/>
      <c r="V286" s="194"/>
      <c r="W286" s="194"/>
      <c r="X286" s="194"/>
      <c r="Y286" s="194"/>
      <c r="Z286" s="194"/>
      <c r="AA286" s="194"/>
      <c r="AB286" s="194"/>
      <c r="AC286" s="194"/>
      <c r="AD286" s="194"/>
      <c r="AE286" s="194"/>
      <c r="AF286" s="229"/>
      <c r="AG286" s="335"/>
      <c r="AH286" s="229"/>
      <c r="AI286" s="194"/>
      <c r="AJ286" s="194"/>
      <c r="AK286" s="335"/>
      <c r="AL286" s="194"/>
      <c r="AM286" s="194"/>
      <c r="AN286" s="229"/>
      <c r="AO286" s="52" t="str">
        <f>"PAGE 22 OF "&amp;TEXT(Page_Num_2.2,"00")</f>
        <v>PAGE 22 OF 22</v>
      </c>
      <c r="AP286" s="196"/>
      <c r="AQ286" s="331"/>
      <c r="AS286" s="382"/>
      <c r="AW286" s="378"/>
    </row>
    <row r="287" spans="1:49" x14ac:dyDescent="0.25">
      <c r="A287" s="53"/>
      <c r="C287" s="54"/>
      <c r="D287" s="54"/>
      <c r="E287" s="54"/>
      <c r="T287" s="196" t="s">
        <v>177</v>
      </c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  <c r="AF287" s="194"/>
      <c r="AG287" s="335"/>
      <c r="AH287" s="194"/>
      <c r="AI287" s="194"/>
      <c r="AJ287" s="194"/>
      <c r="AK287" s="335"/>
      <c r="AL287" s="194"/>
      <c r="AM287" s="194"/>
      <c r="AN287" s="194"/>
      <c r="AO287" s="196" t="s">
        <v>4</v>
      </c>
      <c r="AP287" s="196"/>
      <c r="AQ287" s="331"/>
      <c r="AS287" s="382"/>
      <c r="AW287" s="378"/>
    </row>
    <row r="288" spans="1:49" x14ac:dyDescent="0.25">
      <c r="A288" s="53"/>
      <c r="C288" s="54"/>
      <c r="D288" s="54"/>
      <c r="E288" s="54"/>
      <c r="T288" s="527" t="str">
        <f>TIME</f>
        <v>6 Months Actual and 6 Months Projected with Riders</v>
      </c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229"/>
      <c r="AF288" s="196"/>
      <c r="AG288" s="335"/>
      <c r="AH288" s="194"/>
      <c r="AI288" s="194"/>
      <c r="AJ288" s="194"/>
      <c r="AK288" s="335"/>
      <c r="AL288" s="194"/>
      <c r="AM288" s="194"/>
      <c r="AN288" s="194"/>
      <c r="AO288" s="336" t="str">
        <f>WIT</f>
        <v>J. L. Kern</v>
      </c>
      <c r="AP288" s="306"/>
      <c r="AQ288" s="331"/>
      <c r="AS288" s="382"/>
      <c r="AW288" s="378"/>
    </row>
    <row r="289" spans="1:49" x14ac:dyDescent="0.25">
      <c r="A289" s="53"/>
      <c r="C289" s="54"/>
      <c r="D289" s="54"/>
      <c r="E289" s="54"/>
      <c r="T289" s="334" t="s">
        <v>137</v>
      </c>
      <c r="U289" s="297"/>
      <c r="V289" s="297"/>
      <c r="W289" s="297"/>
      <c r="X289" s="297"/>
      <c r="Y289" s="297"/>
      <c r="Z289" s="297"/>
      <c r="AA289" s="297"/>
      <c r="AB289" s="297"/>
      <c r="AC289" s="297"/>
      <c r="AD289" s="297"/>
      <c r="AE289" s="334"/>
      <c r="AF289" s="334"/>
      <c r="AG289" s="337"/>
      <c r="AH289" s="297"/>
      <c r="AI289" s="297"/>
      <c r="AJ289" s="297"/>
      <c r="AK289" s="337"/>
      <c r="AL289" s="297"/>
      <c r="AM289" s="297"/>
      <c r="AN289" s="297"/>
      <c r="AO289" s="334"/>
      <c r="AP289" s="334"/>
      <c r="AQ289" s="331"/>
      <c r="AS289" s="382"/>
      <c r="AW289" s="43"/>
    </row>
    <row r="290" spans="1:49" x14ac:dyDescent="0.25">
      <c r="A290" s="53"/>
      <c r="C290" s="54"/>
      <c r="D290" s="54"/>
      <c r="E290" s="54"/>
      <c r="T290" s="298"/>
      <c r="U290" s="298"/>
      <c r="V290" s="298"/>
      <c r="W290" s="298"/>
      <c r="X290" s="298"/>
      <c r="Y290" s="298"/>
      <c r="Z290" s="298"/>
      <c r="AA290" s="298"/>
      <c r="AB290" s="298"/>
      <c r="AC290" s="298"/>
      <c r="AD290" s="298"/>
      <c r="AE290" s="298"/>
      <c r="AF290" s="298"/>
      <c r="AG290" s="338"/>
      <c r="AH290" s="298"/>
      <c r="AI290" s="298"/>
      <c r="AJ290" s="298"/>
      <c r="AK290" s="338"/>
      <c r="AL290" s="298"/>
      <c r="AM290" s="298"/>
      <c r="AN290" s="298"/>
      <c r="AO290" s="298"/>
      <c r="AP290" s="298"/>
      <c r="AQ290" s="339"/>
      <c r="AS290" s="382"/>
      <c r="AW290" s="55"/>
    </row>
    <row r="291" spans="1:49" ht="18" customHeight="1" x14ac:dyDescent="0.25">
      <c r="A291" s="53"/>
      <c r="C291" s="54"/>
      <c r="D291" s="54"/>
      <c r="E291" s="54"/>
      <c r="T291" s="299"/>
      <c r="U291" s="299"/>
      <c r="V291" s="299"/>
      <c r="W291" s="299"/>
      <c r="X291" s="299"/>
      <c r="Y291" s="299"/>
      <c r="Z291" s="299"/>
      <c r="AA291" s="299"/>
      <c r="AB291" s="299"/>
      <c r="AC291" s="299"/>
      <c r="AD291" s="299"/>
      <c r="AE291" s="340" t="s">
        <v>8</v>
      </c>
      <c r="AF291" s="340"/>
      <c r="AG291" s="341" t="s">
        <v>7</v>
      </c>
      <c r="AH291" s="340"/>
      <c r="AI291" s="340" t="s">
        <v>9</v>
      </c>
      <c r="AJ291" s="340"/>
      <c r="AK291" s="341" t="s">
        <v>10</v>
      </c>
      <c r="AL291" s="340"/>
      <c r="AM291" s="299"/>
      <c r="AN291" s="299"/>
      <c r="AO291" s="340" t="s">
        <v>8</v>
      </c>
      <c r="AP291" s="340"/>
      <c r="AQ291" s="341" t="s">
        <v>11</v>
      </c>
      <c r="AS291" s="382"/>
      <c r="AW291" s="55"/>
    </row>
    <row r="292" spans="1:49" x14ac:dyDescent="0.25">
      <c r="A292" s="53"/>
      <c r="C292" s="54"/>
      <c r="D292" s="54"/>
      <c r="E292" s="54"/>
      <c r="T292" s="194"/>
      <c r="U292" s="194"/>
      <c r="V292" s="194"/>
      <c r="W292" s="194"/>
      <c r="X292" s="194"/>
      <c r="Y292" s="194"/>
      <c r="Z292" s="194"/>
      <c r="AA292" s="194"/>
      <c r="AB292" s="194"/>
      <c r="AC292" s="197" t="s">
        <v>14</v>
      </c>
      <c r="AD292" s="197"/>
      <c r="AE292" s="197" t="s">
        <v>12</v>
      </c>
      <c r="AF292" s="197"/>
      <c r="AG292" s="342" t="s">
        <v>13</v>
      </c>
      <c r="AH292" s="197"/>
      <c r="AI292" s="197" t="s">
        <v>15</v>
      </c>
      <c r="AJ292" s="197"/>
      <c r="AK292" s="342" t="s">
        <v>16</v>
      </c>
      <c r="AL292" s="197"/>
      <c r="AM292" s="194"/>
      <c r="AN292" s="194"/>
      <c r="AO292" s="197" t="s">
        <v>11</v>
      </c>
      <c r="AP292" s="197"/>
      <c r="AQ292" s="342" t="s">
        <v>9</v>
      </c>
      <c r="AS292" s="382"/>
      <c r="AW292" s="55"/>
    </row>
    <row r="293" spans="1:49" x14ac:dyDescent="0.25">
      <c r="A293" s="53"/>
      <c r="C293" s="54"/>
      <c r="D293" s="54"/>
      <c r="E293" s="54"/>
      <c r="T293" s="197" t="s">
        <v>17</v>
      </c>
      <c r="U293" s="194"/>
      <c r="V293" s="197" t="s">
        <v>18</v>
      </c>
      <c r="W293" s="197" t="s">
        <v>19</v>
      </c>
      <c r="X293" s="197"/>
      <c r="Y293" s="197" t="s">
        <v>20</v>
      </c>
      <c r="Z293" s="194"/>
      <c r="AA293" s="194"/>
      <c r="AB293" s="194"/>
      <c r="AC293" s="197" t="s">
        <v>8</v>
      </c>
      <c r="AD293" s="197"/>
      <c r="AE293" s="197" t="s">
        <v>21</v>
      </c>
      <c r="AF293" s="197"/>
      <c r="AG293" s="342" t="s">
        <v>21</v>
      </c>
      <c r="AH293" s="197"/>
      <c r="AI293" s="197" t="s">
        <v>22</v>
      </c>
      <c r="AJ293" s="197"/>
      <c r="AK293" s="342" t="s">
        <v>22</v>
      </c>
      <c r="AL293" s="197"/>
      <c r="AM293" s="197" t="s">
        <v>21</v>
      </c>
      <c r="AN293" s="197"/>
      <c r="AO293" s="197" t="s">
        <v>9</v>
      </c>
      <c r="AP293" s="197"/>
      <c r="AQ293" s="342" t="s">
        <v>23</v>
      </c>
      <c r="AS293" s="382"/>
      <c r="AW293" s="55"/>
    </row>
    <row r="294" spans="1:49" x14ac:dyDescent="0.25">
      <c r="A294" s="53"/>
      <c r="C294" s="54"/>
      <c r="D294" s="54"/>
      <c r="E294" s="54"/>
      <c r="T294" s="197" t="s">
        <v>24</v>
      </c>
      <c r="U294" s="194"/>
      <c r="V294" s="197" t="s">
        <v>25</v>
      </c>
      <c r="W294" s="197" t="s">
        <v>26</v>
      </c>
      <c r="X294" s="197"/>
      <c r="Y294" s="197" t="s">
        <v>27</v>
      </c>
      <c r="Z294" s="194"/>
      <c r="AA294" s="197" t="s">
        <v>28</v>
      </c>
      <c r="AB294" s="197"/>
      <c r="AC294" s="343" t="s">
        <v>381</v>
      </c>
      <c r="AD294" s="197"/>
      <c r="AE294" s="197" t="s">
        <v>9</v>
      </c>
      <c r="AF294" s="197"/>
      <c r="AG294" s="342" t="s">
        <v>9</v>
      </c>
      <c r="AH294" s="197"/>
      <c r="AI294" s="512" t="s">
        <v>31</v>
      </c>
      <c r="AJ294" s="512"/>
      <c r="AK294" s="528" t="s">
        <v>32</v>
      </c>
      <c r="AL294" s="197"/>
      <c r="AM294" s="197" t="s">
        <v>379</v>
      </c>
      <c r="AN294" s="197"/>
      <c r="AO294" s="512" t="s">
        <v>33</v>
      </c>
      <c r="AP294" s="512"/>
      <c r="AQ294" s="528" t="s">
        <v>34</v>
      </c>
      <c r="AS294" s="382"/>
      <c r="AW294" s="55"/>
    </row>
    <row r="295" spans="1:49" x14ac:dyDescent="0.25">
      <c r="A295" s="53"/>
      <c r="C295" s="54"/>
      <c r="D295" s="54"/>
      <c r="E295" s="54"/>
      <c r="T295" s="194"/>
      <c r="U295" s="194"/>
      <c r="V295" s="512" t="s">
        <v>35</v>
      </c>
      <c r="W295" s="512" t="s">
        <v>36</v>
      </c>
      <c r="X295" s="512"/>
      <c r="Y295" s="512" t="s">
        <v>37</v>
      </c>
      <c r="Z295" s="527"/>
      <c r="AA295" s="512" t="s">
        <v>38</v>
      </c>
      <c r="AB295" s="512"/>
      <c r="AC295" s="512" t="s">
        <v>44</v>
      </c>
      <c r="AD295" s="512"/>
      <c r="AE295" s="512" t="s">
        <v>45</v>
      </c>
      <c r="AF295" s="512"/>
      <c r="AG295" s="528" t="s">
        <v>46</v>
      </c>
      <c r="AH295" s="512"/>
      <c r="AI295" s="512" t="s">
        <v>47</v>
      </c>
      <c r="AJ295" s="512"/>
      <c r="AK295" s="528" t="s">
        <v>48</v>
      </c>
      <c r="AL295" s="512"/>
      <c r="AM295" s="512" t="s">
        <v>42</v>
      </c>
      <c r="AN295" s="512"/>
      <c r="AO295" s="512" t="s">
        <v>49</v>
      </c>
      <c r="AP295" s="512"/>
      <c r="AQ295" s="528" t="s">
        <v>50</v>
      </c>
      <c r="AS295" s="382"/>
      <c r="AW295" s="55"/>
    </row>
    <row r="296" spans="1:49" ht="17.100000000000001" customHeight="1" x14ac:dyDescent="0.25">
      <c r="A296" s="53"/>
      <c r="C296" s="54"/>
      <c r="D296" s="54"/>
      <c r="E296" s="54"/>
      <c r="T296" s="299"/>
      <c r="U296" s="299"/>
      <c r="V296" s="299"/>
      <c r="W296" s="299"/>
      <c r="X296" s="299"/>
      <c r="Y296" s="299"/>
      <c r="Z296" s="299"/>
      <c r="AA296" s="529" t="s">
        <v>51</v>
      </c>
      <c r="AB296" s="529"/>
      <c r="AC296" s="530" t="s">
        <v>71</v>
      </c>
      <c r="AD296" s="529"/>
      <c r="AE296" s="529" t="s">
        <v>52</v>
      </c>
      <c r="AF296" s="529"/>
      <c r="AG296" s="531" t="s">
        <v>53</v>
      </c>
      <c r="AH296" s="529"/>
      <c r="AI296" s="529" t="s">
        <v>52</v>
      </c>
      <c r="AJ296" s="529"/>
      <c r="AK296" s="531" t="s">
        <v>53</v>
      </c>
      <c r="AL296" s="529"/>
      <c r="AM296" s="529" t="s">
        <v>52</v>
      </c>
      <c r="AN296" s="529"/>
      <c r="AO296" s="529" t="s">
        <v>52</v>
      </c>
      <c r="AP296" s="529"/>
      <c r="AQ296" s="531" t="s">
        <v>53</v>
      </c>
      <c r="AS296" s="382"/>
      <c r="AW296" s="55"/>
    </row>
    <row r="297" spans="1:49" x14ac:dyDescent="0.25">
      <c r="A297" s="53"/>
      <c r="C297" s="54"/>
      <c r="D297" s="54"/>
      <c r="E297" s="54"/>
      <c r="T297" s="366">
        <v>44</v>
      </c>
      <c r="U297" s="378"/>
      <c r="V297" s="520" t="s">
        <v>673</v>
      </c>
      <c r="W297" s="444" t="s">
        <v>686</v>
      </c>
      <c r="X297" s="196"/>
      <c r="Y297" s="131"/>
      <c r="Z297" s="131"/>
      <c r="AA297" s="131"/>
      <c r="AB297" s="131"/>
      <c r="AC297" s="131"/>
      <c r="AD297" s="131"/>
      <c r="AE297" s="131"/>
      <c r="AF297" s="131"/>
      <c r="AG297" s="311"/>
      <c r="AH297" s="131"/>
      <c r="AI297" s="131"/>
      <c r="AJ297" s="131"/>
      <c r="AK297" s="311"/>
      <c r="AL297" s="131"/>
      <c r="AM297" s="131"/>
      <c r="AN297" s="131"/>
      <c r="AO297" s="131"/>
      <c r="AP297" s="131"/>
      <c r="AQ297" s="312"/>
      <c r="AS297" s="382"/>
      <c r="AW297" s="55"/>
    </row>
    <row r="298" spans="1:49" x14ac:dyDescent="0.25">
      <c r="A298" s="53"/>
      <c r="C298" s="54"/>
      <c r="D298" s="54"/>
      <c r="E298" s="54"/>
      <c r="T298" s="366">
        <v>45</v>
      </c>
      <c r="U298" s="378"/>
      <c r="V298" s="222" t="s">
        <v>687</v>
      </c>
      <c r="W298" s="52"/>
      <c r="X298" s="196"/>
      <c r="Y298" s="131"/>
      <c r="Z298" s="131"/>
      <c r="AA298" s="131"/>
      <c r="AB298" s="131"/>
      <c r="AC298" s="131"/>
      <c r="AD298" s="131"/>
      <c r="AE298" s="131"/>
      <c r="AF298" s="131"/>
      <c r="AG298" s="311"/>
      <c r="AH298" s="131"/>
      <c r="AI298" s="131"/>
      <c r="AJ298" s="131"/>
      <c r="AK298" s="311"/>
      <c r="AL298" s="131"/>
      <c r="AM298" s="131"/>
      <c r="AN298" s="131"/>
      <c r="AO298" s="131"/>
      <c r="AP298" s="131"/>
      <c r="AQ298" s="312"/>
      <c r="AS298" s="382"/>
      <c r="AW298" s="55"/>
    </row>
    <row r="299" spans="1:49" x14ac:dyDescent="0.25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T299" s="366">
        <v>46</v>
      </c>
      <c r="U299" s="194"/>
      <c r="V299" s="195" t="str">
        <f t="shared" ref="V299:V346" si="33">C86</f>
        <v>LED</v>
      </c>
      <c r="W299" s="194"/>
      <c r="X299" s="194"/>
      <c r="Y299" s="189">
        <f t="shared" ref="Y299:Y345" si="34">F86</f>
        <v>0</v>
      </c>
      <c r="Z299" s="131"/>
      <c r="AA299" s="189"/>
      <c r="AB299" s="189"/>
      <c r="AC299" s="521">
        <v>9.3000000000000007</v>
      </c>
      <c r="AD299" s="309"/>
      <c r="AE299" s="191">
        <f t="shared" ref="AE299:AE345" si="35">ROUND((Y299*AC299),0)</f>
        <v>0</v>
      </c>
      <c r="AF299" s="131"/>
      <c r="AG299" s="311">
        <v>0</v>
      </c>
      <c r="AH299" s="131"/>
      <c r="AI299" s="191">
        <f t="shared" ref="AI299:AI345" si="36">L86-AE299</f>
        <v>0</v>
      </c>
      <c r="AJ299" s="131"/>
      <c r="AK299" s="304" t="str">
        <f t="shared" ref="AK299:AK346" si="37">IF(AE299=0,"0.0 ",ROUND((AI299/AE299)*100,1))</f>
        <v xml:space="preserve">0.0 </v>
      </c>
      <c r="AL299" s="131"/>
      <c r="AM299" s="131"/>
      <c r="AN299" s="131"/>
      <c r="AO299" s="191">
        <f>AE299+AM299</f>
        <v>0</v>
      </c>
      <c r="AP299" s="131"/>
      <c r="AQ299" s="304" t="str">
        <f t="shared" ref="AQ299:AQ346" si="38">IF(AO299=0,"0.0 ",ROUND((AI299/AO299)*100,1))</f>
        <v xml:space="preserve">0.0 </v>
      </c>
      <c r="AS299" s="382"/>
      <c r="AW299" s="55"/>
    </row>
    <row r="300" spans="1:49" x14ac:dyDescent="0.25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T300" s="366">
        <v>47</v>
      </c>
      <c r="U300" s="194"/>
      <c r="V300" s="195" t="str">
        <f t="shared" si="33"/>
        <v>POLES (CONT'D)</v>
      </c>
      <c r="W300" s="194"/>
      <c r="X300" s="194"/>
      <c r="Y300" s="189">
        <f t="shared" si="34"/>
        <v>0</v>
      </c>
      <c r="Z300" s="131"/>
      <c r="AA300" s="189"/>
      <c r="AB300" s="189"/>
      <c r="AC300" s="521">
        <v>24.46</v>
      </c>
      <c r="AD300" s="309"/>
      <c r="AE300" s="191">
        <f t="shared" si="35"/>
        <v>0</v>
      </c>
      <c r="AF300" s="191"/>
      <c r="AG300" s="311">
        <v>0</v>
      </c>
      <c r="AH300" s="303"/>
      <c r="AI300" s="191">
        <f t="shared" si="36"/>
        <v>0</v>
      </c>
      <c r="AJ300" s="191"/>
      <c r="AK300" s="304" t="str">
        <f t="shared" si="37"/>
        <v xml:space="preserve">0.0 </v>
      </c>
      <c r="AL300" s="305"/>
      <c r="AM300" s="131"/>
      <c r="AN300" s="191"/>
      <c r="AO300" s="191">
        <f>AE300+AM300</f>
        <v>0</v>
      </c>
      <c r="AP300" s="191"/>
      <c r="AQ300" s="304" t="str">
        <f t="shared" si="38"/>
        <v xml:space="preserve">0.0 </v>
      </c>
      <c r="AS300" s="382"/>
      <c r="AW300" s="55"/>
    </row>
    <row r="301" spans="1:49" x14ac:dyDescent="0.25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T301" s="366">
        <v>48</v>
      </c>
      <c r="U301" s="194"/>
      <c r="V301" s="195" t="str">
        <f t="shared" si="33"/>
        <v xml:space="preserve">   Style A 27 Ft Long Anchor Base  Top Tenon Aluminum</v>
      </c>
      <c r="W301" s="194"/>
      <c r="X301" s="194"/>
      <c r="Y301" s="189">
        <f t="shared" si="34"/>
        <v>0</v>
      </c>
      <c r="Z301" s="131"/>
      <c r="AA301" s="189"/>
      <c r="AB301" s="189"/>
      <c r="AC301" s="521">
        <v>24.73</v>
      </c>
      <c r="AD301" s="526"/>
      <c r="AE301" s="191">
        <f t="shared" si="35"/>
        <v>0</v>
      </c>
      <c r="AF301" s="191"/>
      <c r="AG301" s="311">
        <v>0</v>
      </c>
      <c r="AH301" s="303"/>
      <c r="AI301" s="191">
        <f t="shared" si="36"/>
        <v>0</v>
      </c>
      <c r="AJ301" s="191"/>
      <c r="AK301" s="304" t="str">
        <f t="shared" si="37"/>
        <v xml:space="preserve">0.0 </v>
      </c>
      <c r="AL301" s="305"/>
      <c r="AM301" s="131"/>
      <c r="AN301" s="191"/>
      <c r="AO301" s="191">
        <f t="shared" ref="AO301:AO345" si="39">AE301+AM301</f>
        <v>0</v>
      </c>
      <c r="AP301" s="191"/>
      <c r="AQ301" s="304" t="str">
        <f t="shared" si="38"/>
        <v xml:space="preserve">0.0 </v>
      </c>
      <c r="AS301" s="382"/>
      <c r="AW301" s="55"/>
    </row>
    <row r="302" spans="1:49" x14ac:dyDescent="0.25"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T302" s="366">
        <v>49</v>
      </c>
      <c r="U302" s="194"/>
      <c r="V302" s="195" t="str">
        <f t="shared" si="33"/>
        <v xml:space="preserve">   Style A 35 Ft Long Direct Buried Top Tenon Aluminum</v>
      </c>
      <c r="W302" s="194"/>
      <c r="X302" s="194"/>
      <c r="Y302" s="189">
        <f t="shared" si="34"/>
        <v>0</v>
      </c>
      <c r="Z302" s="131"/>
      <c r="AA302" s="189"/>
      <c r="AB302" s="189"/>
      <c r="AC302" s="521">
        <v>9.3000000000000007</v>
      </c>
      <c r="AD302" s="526"/>
      <c r="AE302" s="191">
        <f t="shared" si="35"/>
        <v>0</v>
      </c>
      <c r="AF302" s="191"/>
      <c r="AG302" s="311">
        <v>0</v>
      </c>
      <c r="AH302" s="303"/>
      <c r="AI302" s="191">
        <f t="shared" si="36"/>
        <v>0</v>
      </c>
      <c r="AJ302" s="191"/>
      <c r="AK302" s="304" t="str">
        <f t="shared" si="37"/>
        <v xml:space="preserve">0.0 </v>
      </c>
      <c r="AL302" s="305"/>
      <c r="AM302" s="131"/>
      <c r="AN302" s="191"/>
      <c r="AO302" s="191">
        <f t="shared" si="39"/>
        <v>0</v>
      </c>
      <c r="AP302" s="191"/>
      <c r="AQ302" s="304" t="str">
        <f t="shared" si="38"/>
        <v xml:space="preserve">0.0 </v>
      </c>
      <c r="AS302" s="382"/>
      <c r="AW302" s="55"/>
    </row>
    <row r="303" spans="1:49" x14ac:dyDescent="0.25"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T303" s="366">
        <v>50</v>
      </c>
      <c r="U303" s="194"/>
      <c r="V303" s="195" t="str">
        <f t="shared" si="33"/>
        <v xml:space="preserve">   Style A 32 Ft Long Anchor Base  Top Tenon Aluminum</v>
      </c>
      <c r="W303" s="194"/>
      <c r="X303" s="194"/>
      <c r="Y303" s="189">
        <f t="shared" si="34"/>
        <v>0</v>
      </c>
      <c r="Z303" s="131"/>
      <c r="AA303" s="189"/>
      <c r="AB303" s="189"/>
      <c r="AC303" s="521">
        <v>15.74</v>
      </c>
      <c r="AD303" s="526"/>
      <c r="AE303" s="191">
        <f t="shared" si="35"/>
        <v>0</v>
      </c>
      <c r="AF303" s="191"/>
      <c r="AG303" s="311">
        <v>0</v>
      </c>
      <c r="AH303" s="303"/>
      <c r="AI303" s="191">
        <f t="shared" si="36"/>
        <v>0</v>
      </c>
      <c r="AJ303" s="191"/>
      <c r="AK303" s="304" t="str">
        <f t="shared" si="37"/>
        <v xml:space="preserve">0.0 </v>
      </c>
      <c r="AL303" s="305"/>
      <c r="AM303" s="131"/>
      <c r="AN303" s="191"/>
      <c r="AO303" s="191">
        <f t="shared" si="39"/>
        <v>0</v>
      </c>
      <c r="AP303" s="191"/>
      <c r="AQ303" s="304" t="str">
        <f t="shared" si="38"/>
        <v xml:space="preserve">0.0 </v>
      </c>
      <c r="AS303" s="382"/>
      <c r="AW303" s="55"/>
    </row>
    <row r="304" spans="1:49" x14ac:dyDescent="0.25"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T304" s="366">
        <v>51</v>
      </c>
      <c r="U304" s="194"/>
      <c r="V304" s="195" t="str">
        <f t="shared" si="33"/>
        <v xml:space="preserve">   Style A 41 Ft Long Direct Buried Top Tenon Aluminum</v>
      </c>
      <c r="W304" s="194"/>
      <c r="X304" s="194"/>
      <c r="Y304" s="189">
        <f t="shared" si="34"/>
        <v>0</v>
      </c>
      <c r="Z304" s="131"/>
      <c r="AA304" s="189"/>
      <c r="AB304" s="189"/>
      <c r="AC304" s="521">
        <v>12.13</v>
      </c>
      <c r="AD304" s="526"/>
      <c r="AE304" s="191">
        <f t="shared" si="35"/>
        <v>0</v>
      </c>
      <c r="AF304" s="191"/>
      <c r="AG304" s="311">
        <v>0</v>
      </c>
      <c r="AH304" s="303"/>
      <c r="AI304" s="191">
        <f t="shared" si="36"/>
        <v>0</v>
      </c>
      <c r="AJ304" s="191"/>
      <c r="AK304" s="304" t="str">
        <f t="shared" si="37"/>
        <v xml:space="preserve">0.0 </v>
      </c>
      <c r="AL304" s="305"/>
      <c r="AM304" s="131"/>
      <c r="AN304" s="191"/>
      <c r="AO304" s="191">
        <f t="shared" si="39"/>
        <v>0</v>
      </c>
      <c r="AP304" s="191"/>
      <c r="AQ304" s="304" t="str">
        <f t="shared" si="38"/>
        <v xml:space="preserve">0.0 </v>
      </c>
      <c r="AS304" s="382"/>
      <c r="AW304" s="55"/>
    </row>
    <row r="305" spans="1:49" x14ac:dyDescent="0.25">
      <c r="A305" s="53"/>
      <c r="C305" s="54"/>
      <c r="D305" s="54"/>
      <c r="E305" s="54"/>
      <c r="T305" s="366">
        <v>52</v>
      </c>
      <c r="U305" s="194"/>
      <c r="V305" s="195" t="str">
        <f t="shared" si="33"/>
        <v xml:space="preserve">   Style B 12 Ft Long Anchor Base Post Top Aluminum</v>
      </c>
      <c r="W305" s="194"/>
      <c r="X305" s="194"/>
      <c r="Y305" s="189">
        <f t="shared" si="34"/>
        <v>0</v>
      </c>
      <c r="Z305" s="131"/>
      <c r="AA305" s="189"/>
      <c r="AB305" s="189"/>
      <c r="AC305" s="521">
        <v>11.8</v>
      </c>
      <c r="AD305" s="526"/>
      <c r="AE305" s="191">
        <f t="shared" si="35"/>
        <v>0</v>
      </c>
      <c r="AF305" s="191"/>
      <c r="AG305" s="311">
        <v>0</v>
      </c>
      <c r="AH305" s="303"/>
      <c r="AI305" s="191">
        <f t="shared" si="36"/>
        <v>0</v>
      </c>
      <c r="AJ305" s="191"/>
      <c r="AK305" s="304" t="str">
        <f t="shared" si="37"/>
        <v xml:space="preserve">0.0 </v>
      </c>
      <c r="AL305" s="305"/>
      <c r="AM305" s="131"/>
      <c r="AN305" s="191"/>
      <c r="AO305" s="191">
        <f t="shared" si="39"/>
        <v>0</v>
      </c>
      <c r="AP305" s="191"/>
      <c r="AQ305" s="304" t="str">
        <f t="shared" si="38"/>
        <v xml:space="preserve">0.0 </v>
      </c>
      <c r="AS305" s="382"/>
      <c r="AW305" s="55"/>
    </row>
    <row r="306" spans="1:49" x14ac:dyDescent="0.25">
      <c r="A306" s="53"/>
      <c r="C306" s="54"/>
      <c r="D306" s="54"/>
      <c r="E306" s="54"/>
      <c r="T306" s="366">
        <v>53</v>
      </c>
      <c r="U306" s="194"/>
      <c r="V306" s="195" t="str">
        <f t="shared" si="33"/>
        <v xml:space="preserve">   Style C 12 Ft Long Anchor Base Post Top Aluminum</v>
      </c>
      <c r="W306" s="194"/>
      <c r="X306" s="194"/>
      <c r="Y306" s="189">
        <f t="shared" si="34"/>
        <v>0</v>
      </c>
      <c r="Z306" s="131"/>
      <c r="AA306" s="189"/>
      <c r="AB306" s="189"/>
      <c r="AC306" s="521">
        <v>14.59</v>
      </c>
      <c r="AD306" s="526"/>
      <c r="AE306" s="191">
        <f t="shared" si="35"/>
        <v>0</v>
      </c>
      <c r="AF306" s="191"/>
      <c r="AG306" s="311">
        <v>0</v>
      </c>
      <c r="AH306" s="303"/>
      <c r="AI306" s="191">
        <f t="shared" si="36"/>
        <v>0</v>
      </c>
      <c r="AJ306" s="191"/>
      <c r="AK306" s="304" t="str">
        <f t="shared" si="37"/>
        <v xml:space="preserve">0.0 </v>
      </c>
      <c r="AL306" s="305"/>
      <c r="AM306" s="131"/>
      <c r="AN306" s="191"/>
      <c r="AO306" s="191">
        <f t="shared" si="39"/>
        <v>0</v>
      </c>
      <c r="AP306" s="191"/>
      <c r="AQ306" s="304" t="str">
        <f t="shared" si="38"/>
        <v xml:space="preserve">0.0 </v>
      </c>
      <c r="AS306" s="382"/>
      <c r="AW306" s="55"/>
    </row>
    <row r="307" spans="1:49" ht="20.100000000000001" customHeight="1" x14ac:dyDescent="0.25">
      <c r="A307" s="53"/>
      <c r="C307" s="54"/>
      <c r="D307" s="54"/>
      <c r="E307" s="54"/>
      <c r="T307" s="366">
        <v>54</v>
      </c>
      <c r="U307" s="194"/>
      <c r="V307" s="195" t="str">
        <f t="shared" si="33"/>
        <v xml:space="preserve">   Style C 12 Ft Long Anchor Base Davit Steel</v>
      </c>
      <c r="W307" s="194"/>
      <c r="X307" s="194"/>
      <c r="Y307" s="189">
        <f t="shared" si="34"/>
        <v>0</v>
      </c>
      <c r="Z307" s="131"/>
      <c r="AA307" s="189"/>
      <c r="AB307" s="191"/>
      <c r="AC307" s="521">
        <v>5.77</v>
      </c>
      <c r="AD307" s="526"/>
      <c r="AE307" s="191">
        <f t="shared" si="35"/>
        <v>0</v>
      </c>
      <c r="AF307" s="191"/>
      <c r="AG307" s="311">
        <v>0</v>
      </c>
      <c r="AH307" s="303"/>
      <c r="AI307" s="191">
        <f t="shared" si="36"/>
        <v>0</v>
      </c>
      <c r="AJ307" s="191"/>
      <c r="AK307" s="304" t="str">
        <f t="shared" si="37"/>
        <v xml:space="preserve">0.0 </v>
      </c>
      <c r="AL307" s="305"/>
      <c r="AM307" s="131"/>
      <c r="AN307" s="191"/>
      <c r="AO307" s="191">
        <f t="shared" si="39"/>
        <v>0</v>
      </c>
      <c r="AP307" s="191"/>
      <c r="AQ307" s="304" t="str">
        <f t="shared" si="38"/>
        <v xml:space="preserve">0.0 </v>
      </c>
      <c r="AS307" s="382"/>
      <c r="AW307" s="55"/>
    </row>
    <row r="308" spans="1:49" x14ac:dyDescent="0.25">
      <c r="A308" s="53"/>
      <c r="C308" s="54"/>
      <c r="D308" s="54"/>
      <c r="E308" s="54"/>
      <c r="T308" s="366">
        <v>55</v>
      </c>
      <c r="U308" s="194"/>
      <c r="V308" s="195" t="str">
        <f t="shared" si="33"/>
        <v xml:space="preserve">   Style C 14 Ft Long Anchor Base Top Tenon Steel</v>
      </c>
      <c r="W308" s="518"/>
      <c r="X308" s="196"/>
      <c r="Y308" s="189">
        <f t="shared" si="34"/>
        <v>0</v>
      </c>
      <c r="Z308" s="131"/>
      <c r="AA308" s="189"/>
      <c r="AB308" s="131"/>
      <c r="AC308" s="521">
        <v>6.27</v>
      </c>
      <c r="AD308" s="131"/>
      <c r="AE308" s="191">
        <f t="shared" si="35"/>
        <v>0</v>
      </c>
      <c r="AF308" s="131"/>
      <c r="AG308" s="311">
        <v>0</v>
      </c>
      <c r="AH308" s="131"/>
      <c r="AI308" s="191">
        <f t="shared" si="36"/>
        <v>0</v>
      </c>
      <c r="AJ308" s="131"/>
      <c r="AK308" s="304" t="str">
        <f t="shared" si="37"/>
        <v xml:space="preserve">0.0 </v>
      </c>
      <c r="AL308" s="131"/>
      <c r="AM308" s="131"/>
      <c r="AN308" s="131"/>
      <c r="AO308" s="191">
        <f t="shared" si="39"/>
        <v>0</v>
      </c>
      <c r="AP308" s="131"/>
      <c r="AQ308" s="304" t="str">
        <f t="shared" si="38"/>
        <v xml:space="preserve">0.0 </v>
      </c>
      <c r="AS308" s="382"/>
      <c r="AW308" s="55"/>
    </row>
    <row r="309" spans="1:49" x14ac:dyDescent="0.25">
      <c r="A309" s="53"/>
      <c r="D309" s="54"/>
      <c r="E309" s="54"/>
      <c r="T309" s="366">
        <v>56</v>
      </c>
      <c r="U309" s="194"/>
      <c r="V309" s="195" t="str">
        <f t="shared" si="33"/>
        <v xml:space="preserve">   Style C 21 Ft Long Anchor Base Davit Steel</v>
      </c>
      <c r="W309" s="527"/>
      <c r="X309" s="194"/>
      <c r="Y309" s="189">
        <f t="shared" si="34"/>
        <v>0</v>
      </c>
      <c r="Z309" s="131"/>
      <c r="AA309" s="189"/>
      <c r="AB309" s="131"/>
      <c r="AC309" s="521">
        <v>9.44</v>
      </c>
      <c r="AD309" s="526"/>
      <c r="AE309" s="191">
        <f t="shared" si="35"/>
        <v>0</v>
      </c>
      <c r="AF309" s="191"/>
      <c r="AG309" s="311">
        <v>0</v>
      </c>
      <c r="AH309" s="303"/>
      <c r="AI309" s="191">
        <f t="shared" si="36"/>
        <v>0</v>
      </c>
      <c r="AJ309" s="191"/>
      <c r="AK309" s="304" t="str">
        <f t="shared" si="37"/>
        <v xml:space="preserve">0.0 </v>
      </c>
      <c r="AL309" s="305"/>
      <c r="AM309" s="131"/>
      <c r="AN309" s="191"/>
      <c r="AO309" s="191">
        <f t="shared" si="39"/>
        <v>0</v>
      </c>
      <c r="AP309" s="191"/>
      <c r="AQ309" s="304" t="str">
        <f t="shared" si="38"/>
        <v xml:space="preserve">0.0 </v>
      </c>
      <c r="AS309" s="382"/>
      <c r="AW309" s="55"/>
    </row>
    <row r="310" spans="1:49" x14ac:dyDescent="0.25">
      <c r="A310" s="53"/>
      <c r="D310" s="54"/>
      <c r="E310" s="54"/>
      <c r="T310" s="366">
        <v>57</v>
      </c>
      <c r="U310" s="194"/>
      <c r="V310" s="195" t="str">
        <f t="shared" si="33"/>
        <v xml:space="preserve">   Style C 23 Ft Long Anchor Base Boston Harbor Steel</v>
      </c>
      <c r="W310" s="527"/>
      <c r="X310" s="194"/>
      <c r="Y310" s="189">
        <f t="shared" si="34"/>
        <v>0</v>
      </c>
      <c r="Z310" s="131"/>
      <c r="AA310" s="189"/>
      <c r="AB310" s="131"/>
      <c r="AC310" s="521">
        <v>9.7899999999999991</v>
      </c>
      <c r="AD310" s="526"/>
      <c r="AE310" s="191">
        <f t="shared" si="35"/>
        <v>0</v>
      </c>
      <c r="AF310" s="191"/>
      <c r="AG310" s="311">
        <v>0</v>
      </c>
      <c r="AH310" s="303"/>
      <c r="AI310" s="191">
        <f t="shared" si="36"/>
        <v>0</v>
      </c>
      <c r="AJ310" s="191"/>
      <c r="AK310" s="304" t="str">
        <f t="shared" si="37"/>
        <v xml:space="preserve">0.0 </v>
      </c>
      <c r="AL310" s="305"/>
      <c r="AM310" s="131"/>
      <c r="AN310" s="191"/>
      <c r="AO310" s="191">
        <f t="shared" si="39"/>
        <v>0</v>
      </c>
      <c r="AP310" s="191"/>
      <c r="AQ310" s="304" t="str">
        <f t="shared" si="38"/>
        <v xml:space="preserve">0.0 </v>
      </c>
      <c r="AS310" s="382"/>
      <c r="AW310" s="55"/>
    </row>
    <row r="311" spans="1:49" x14ac:dyDescent="0.25">
      <c r="T311" s="366">
        <v>58</v>
      </c>
      <c r="U311" s="194"/>
      <c r="V311" s="195" t="str">
        <f t="shared" si="33"/>
        <v xml:space="preserve">   Style D 12 Ft Long Anchor Base Breakaway Aluminum</v>
      </c>
      <c r="W311" s="194"/>
      <c r="X311" s="194"/>
      <c r="Y311" s="189">
        <f t="shared" si="34"/>
        <v>0</v>
      </c>
      <c r="Z311" s="131"/>
      <c r="AA311" s="189"/>
      <c r="AB311" s="189"/>
      <c r="AC311" s="521">
        <v>8.32</v>
      </c>
      <c r="AD311" s="526"/>
      <c r="AE311" s="191">
        <f t="shared" si="35"/>
        <v>0</v>
      </c>
      <c r="AF311" s="191"/>
      <c r="AG311" s="311">
        <v>0</v>
      </c>
      <c r="AH311" s="303"/>
      <c r="AI311" s="191">
        <f t="shared" si="36"/>
        <v>0</v>
      </c>
      <c r="AJ311" s="191"/>
      <c r="AK311" s="304" t="str">
        <f t="shared" si="37"/>
        <v xml:space="preserve">0.0 </v>
      </c>
      <c r="AL311" s="305"/>
      <c r="AM311" s="131"/>
      <c r="AN311" s="191"/>
      <c r="AO311" s="191">
        <f t="shared" si="39"/>
        <v>0</v>
      </c>
      <c r="AP311" s="191"/>
      <c r="AQ311" s="304" t="str">
        <f t="shared" si="38"/>
        <v xml:space="preserve">0.0 </v>
      </c>
      <c r="AS311" s="382"/>
      <c r="AW311" s="55"/>
    </row>
    <row r="312" spans="1:49" x14ac:dyDescent="0.25">
      <c r="T312" s="366">
        <v>59</v>
      </c>
      <c r="U312" s="194"/>
      <c r="V312" s="195" t="str">
        <f t="shared" si="33"/>
        <v xml:space="preserve">   Style E 12 Ft Long Anchor Base Post Top Aluminum</v>
      </c>
      <c r="W312" s="194"/>
      <c r="X312" s="194"/>
      <c r="Y312" s="189">
        <f t="shared" si="34"/>
        <v>0</v>
      </c>
      <c r="Z312" s="131"/>
      <c r="AA312" s="189"/>
      <c r="AB312" s="189"/>
      <c r="AC312" s="521">
        <v>9.84</v>
      </c>
      <c r="AD312" s="526"/>
      <c r="AE312" s="191">
        <f t="shared" si="35"/>
        <v>0</v>
      </c>
      <c r="AF312" s="191"/>
      <c r="AG312" s="311">
        <v>0</v>
      </c>
      <c r="AH312" s="303"/>
      <c r="AI312" s="191">
        <f t="shared" si="36"/>
        <v>0</v>
      </c>
      <c r="AJ312" s="191"/>
      <c r="AK312" s="304" t="str">
        <f t="shared" si="37"/>
        <v xml:space="preserve">0.0 </v>
      </c>
      <c r="AL312" s="305"/>
      <c r="AM312" s="131"/>
      <c r="AN312" s="191"/>
      <c r="AO312" s="191">
        <f t="shared" si="39"/>
        <v>0</v>
      </c>
      <c r="AP312" s="191"/>
      <c r="AQ312" s="304" t="str">
        <f t="shared" si="38"/>
        <v xml:space="preserve">0.0 </v>
      </c>
      <c r="AS312" s="382"/>
      <c r="AW312" s="55"/>
    </row>
    <row r="313" spans="1:49" x14ac:dyDescent="0.25">
      <c r="T313" s="366">
        <v>60</v>
      </c>
      <c r="U313" s="194"/>
      <c r="V313" s="195" t="str">
        <f t="shared" si="33"/>
        <v xml:space="preserve">   Style F 12 Ft Long Anchor Base Post Top Aluminum</v>
      </c>
      <c r="W313" s="194"/>
      <c r="X313" s="194"/>
      <c r="Y313" s="189">
        <f t="shared" si="34"/>
        <v>0</v>
      </c>
      <c r="Z313" s="131"/>
      <c r="AA313" s="189"/>
      <c r="AB313" s="189"/>
      <c r="AC313" s="521">
        <v>28.29</v>
      </c>
      <c r="AD313" s="526"/>
      <c r="AE313" s="191">
        <f t="shared" si="35"/>
        <v>0</v>
      </c>
      <c r="AF313" s="191"/>
      <c r="AG313" s="311">
        <v>0</v>
      </c>
      <c r="AH313" s="303"/>
      <c r="AI313" s="191">
        <f t="shared" si="36"/>
        <v>0</v>
      </c>
      <c r="AJ313" s="191"/>
      <c r="AK313" s="304" t="str">
        <f t="shared" si="37"/>
        <v xml:space="preserve">0.0 </v>
      </c>
      <c r="AL313" s="305"/>
      <c r="AM313" s="131"/>
      <c r="AN313" s="191"/>
      <c r="AO313" s="191">
        <f t="shared" si="39"/>
        <v>0</v>
      </c>
      <c r="AP313" s="191"/>
      <c r="AQ313" s="304" t="str">
        <f t="shared" si="38"/>
        <v xml:space="preserve">0.0 </v>
      </c>
      <c r="AS313" s="382"/>
      <c r="AW313" s="55"/>
    </row>
    <row r="314" spans="1:49" x14ac:dyDescent="0.25">
      <c r="A314" s="53"/>
      <c r="C314" s="54"/>
      <c r="F314" s="449"/>
      <c r="H314" s="449"/>
      <c r="I314" s="449"/>
      <c r="J314" s="461"/>
      <c r="K314" s="461"/>
      <c r="L314" s="379"/>
      <c r="M314" s="379"/>
      <c r="N314" s="50"/>
      <c r="O314" s="50"/>
      <c r="R314" s="379"/>
      <c r="T314" s="366">
        <v>61</v>
      </c>
      <c r="U314" s="194"/>
      <c r="V314" s="195" t="str">
        <f t="shared" si="33"/>
        <v xml:space="preserve">   Legacy Style 39 Ft Direct Buried Single or Twin Side Mount Aluminum Satin Finish</v>
      </c>
      <c r="W314" s="194"/>
      <c r="X314" s="194"/>
      <c r="Y314" s="189">
        <f t="shared" si="34"/>
        <v>0</v>
      </c>
      <c r="Z314" s="131"/>
      <c r="AA314" s="189"/>
      <c r="AB314" s="189"/>
      <c r="AC314" s="521">
        <v>5.64</v>
      </c>
      <c r="AD314" s="526"/>
      <c r="AE314" s="191">
        <f t="shared" si="35"/>
        <v>0</v>
      </c>
      <c r="AF314" s="191"/>
      <c r="AG314" s="311">
        <v>0</v>
      </c>
      <c r="AH314" s="303"/>
      <c r="AI314" s="191">
        <f t="shared" si="36"/>
        <v>0</v>
      </c>
      <c r="AJ314" s="191"/>
      <c r="AK314" s="304" t="str">
        <f t="shared" si="37"/>
        <v xml:space="preserve">0.0 </v>
      </c>
      <c r="AL314" s="305"/>
      <c r="AM314" s="131"/>
      <c r="AN314" s="191"/>
      <c r="AO314" s="191">
        <f t="shared" si="39"/>
        <v>0</v>
      </c>
      <c r="AP314" s="191"/>
      <c r="AQ314" s="304" t="str">
        <f t="shared" si="38"/>
        <v xml:space="preserve">0.0 </v>
      </c>
      <c r="AS314" s="382"/>
      <c r="AW314" s="55"/>
    </row>
    <row r="315" spans="1:49" x14ac:dyDescent="0.25">
      <c r="A315" s="53"/>
      <c r="C315" s="54"/>
      <c r="F315" s="449"/>
      <c r="H315" s="449"/>
      <c r="I315" s="449"/>
      <c r="J315" s="461"/>
      <c r="K315" s="461"/>
      <c r="L315" s="379"/>
      <c r="M315" s="379"/>
      <c r="N315" s="50"/>
      <c r="O315" s="50"/>
      <c r="P315" s="53"/>
      <c r="Q315" s="53"/>
      <c r="R315" s="379"/>
      <c r="T315" s="366">
        <v>62</v>
      </c>
      <c r="U315" s="194"/>
      <c r="V315" s="195" t="str">
        <f t="shared" si="33"/>
        <v xml:space="preserve">   Legacy Style 27 Ft Long Anchor Base Side Mount Aluminum Pole Satin Finish Breakaway</v>
      </c>
      <c r="W315" s="194"/>
      <c r="X315" s="194"/>
      <c r="Y315" s="189">
        <f t="shared" si="34"/>
        <v>0</v>
      </c>
      <c r="Z315" s="131"/>
      <c r="AA315" s="189"/>
      <c r="AB315" s="189"/>
      <c r="AC315" s="521">
        <v>4.83</v>
      </c>
      <c r="AD315" s="526"/>
      <c r="AE315" s="191">
        <f t="shared" si="35"/>
        <v>0</v>
      </c>
      <c r="AF315" s="191"/>
      <c r="AG315" s="311">
        <v>0</v>
      </c>
      <c r="AH315" s="303"/>
      <c r="AI315" s="191">
        <f t="shared" si="36"/>
        <v>0</v>
      </c>
      <c r="AJ315" s="191"/>
      <c r="AK315" s="304" t="str">
        <f t="shared" si="37"/>
        <v xml:space="preserve">0.0 </v>
      </c>
      <c r="AL315" s="305"/>
      <c r="AM315" s="131"/>
      <c r="AN315" s="191"/>
      <c r="AO315" s="191">
        <f t="shared" si="39"/>
        <v>0</v>
      </c>
      <c r="AP315" s="191"/>
      <c r="AQ315" s="304" t="str">
        <f t="shared" si="38"/>
        <v xml:space="preserve">0.0 </v>
      </c>
      <c r="AS315" s="382"/>
      <c r="AW315" s="55"/>
    </row>
    <row r="316" spans="1:49" x14ac:dyDescent="0.25">
      <c r="F316" s="381"/>
      <c r="H316" s="379"/>
      <c r="I316" s="379"/>
      <c r="J316" s="464"/>
      <c r="K316" s="464"/>
      <c r="L316" s="381"/>
      <c r="M316" s="381"/>
      <c r="N316" s="381"/>
      <c r="O316" s="381"/>
      <c r="P316" s="381"/>
      <c r="Q316" s="381"/>
      <c r="R316" s="381"/>
      <c r="T316" s="366">
        <v>63</v>
      </c>
      <c r="U316" s="194"/>
      <c r="V316" s="195" t="str">
        <f t="shared" si="33"/>
        <v xml:space="preserve">   Legacy Style 33 Ft Long Anchor Base Side Mount Aluminum Pole Satin Finish Breakaway</v>
      </c>
      <c r="W316" s="194"/>
      <c r="X316" s="194"/>
      <c r="Y316" s="189">
        <f t="shared" si="34"/>
        <v>0</v>
      </c>
      <c r="Z316" s="131"/>
      <c r="AA316" s="189"/>
      <c r="AB316" s="189"/>
      <c r="AC316" s="521">
        <v>5.8</v>
      </c>
      <c r="AD316" s="526"/>
      <c r="AE316" s="191">
        <f t="shared" si="35"/>
        <v>0</v>
      </c>
      <c r="AF316" s="191"/>
      <c r="AG316" s="311">
        <v>0</v>
      </c>
      <c r="AH316" s="303"/>
      <c r="AI316" s="191">
        <f t="shared" si="36"/>
        <v>0</v>
      </c>
      <c r="AJ316" s="191"/>
      <c r="AK316" s="304" t="str">
        <f t="shared" si="37"/>
        <v xml:space="preserve">0.0 </v>
      </c>
      <c r="AL316" s="305"/>
      <c r="AM316" s="131"/>
      <c r="AN316" s="191"/>
      <c r="AO316" s="191">
        <f t="shared" si="39"/>
        <v>0</v>
      </c>
      <c r="AP316" s="191"/>
      <c r="AQ316" s="304" t="str">
        <f t="shared" si="38"/>
        <v xml:space="preserve">0.0 </v>
      </c>
      <c r="AS316" s="382"/>
      <c r="AW316" s="55"/>
    </row>
    <row r="317" spans="1:49" x14ac:dyDescent="0.25">
      <c r="A317" s="53"/>
      <c r="C317" s="54"/>
      <c r="F317" s="379"/>
      <c r="H317" s="379"/>
      <c r="I317" s="379"/>
      <c r="J317" s="464"/>
      <c r="K317" s="464"/>
      <c r="L317" s="379"/>
      <c r="M317" s="379"/>
      <c r="N317" s="50"/>
      <c r="O317" s="50"/>
      <c r="P317" s="379"/>
      <c r="Q317" s="379"/>
      <c r="R317" s="379"/>
      <c r="T317" s="366">
        <v>64</v>
      </c>
      <c r="U317" s="194"/>
      <c r="V317" s="195" t="str">
        <f t="shared" si="33"/>
        <v xml:space="preserve">   Legacy Style 37 Ft Long Anchor Base Side Mount Aluminum Pole Satin Finish</v>
      </c>
      <c r="W317" s="194"/>
      <c r="X317" s="194"/>
      <c r="Y317" s="189">
        <f t="shared" si="34"/>
        <v>0</v>
      </c>
      <c r="Z317" s="131"/>
      <c r="AA317" s="189"/>
      <c r="AB317" s="189"/>
      <c r="AC317" s="521">
        <v>5.0199999999999996</v>
      </c>
      <c r="AD317" s="309"/>
      <c r="AE317" s="191">
        <f t="shared" si="35"/>
        <v>0</v>
      </c>
      <c r="AF317" s="131"/>
      <c r="AG317" s="311">
        <v>0</v>
      </c>
      <c r="AH317" s="131"/>
      <c r="AI317" s="191">
        <f t="shared" si="36"/>
        <v>0</v>
      </c>
      <c r="AJ317" s="131"/>
      <c r="AK317" s="304" t="str">
        <f t="shared" si="37"/>
        <v xml:space="preserve">0.0 </v>
      </c>
      <c r="AL317" s="131"/>
      <c r="AM317" s="131"/>
      <c r="AN317" s="131"/>
      <c r="AO317" s="191">
        <f t="shared" si="39"/>
        <v>0</v>
      </c>
      <c r="AP317" s="131"/>
      <c r="AQ317" s="304" t="str">
        <f t="shared" si="38"/>
        <v xml:space="preserve">0.0 </v>
      </c>
      <c r="AS317" s="382"/>
      <c r="AW317" s="55"/>
    </row>
    <row r="318" spans="1:49" x14ac:dyDescent="0.25">
      <c r="F318" s="381"/>
      <c r="H318" s="379"/>
      <c r="I318" s="379"/>
      <c r="J318" s="464"/>
      <c r="K318" s="464"/>
      <c r="L318" s="381"/>
      <c r="M318" s="381"/>
      <c r="N318" s="381"/>
      <c r="O318" s="381"/>
      <c r="P318" s="381"/>
      <c r="Q318" s="381"/>
      <c r="R318" s="381"/>
      <c r="T318" s="366">
        <v>65</v>
      </c>
      <c r="U318" s="194"/>
      <c r="V318" s="195" t="str">
        <f t="shared" si="33"/>
        <v xml:space="preserve">   30' Class 7 Wood Pole</v>
      </c>
      <c r="W318" s="194"/>
      <c r="X318" s="194"/>
      <c r="Y318" s="189">
        <f t="shared" si="34"/>
        <v>0</v>
      </c>
      <c r="Z318" s="131"/>
      <c r="AA318" s="189"/>
      <c r="AB318" s="189"/>
      <c r="AC318" s="521">
        <v>6.08</v>
      </c>
      <c r="AD318" s="526"/>
      <c r="AE318" s="191">
        <f t="shared" si="35"/>
        <v>0</v>
      </c>
      <c r="AF318" s="191"/>
      <c r="AG318" s="311">
        <v>0</v>
      </c>
      <c r="AH318" s="303"/>
      <c r="AI318" s="191">
        <f t="shared" si="36"/>
        <v>0</v>
      </c>
      <c r="AJ318" s="191"/>
      <c r="AK318" s="304" t="str">
        <f t="shared" si="37"/>
        <v xml:space="preserve">0.0 </v>
      </c>
      <c r="AL318" s="305"/>
      <c r="AM318" s="131"/>
      <c r="AN318" s="191"/>
      <c r="AO318" s="191">
        <f t="shared" si="39"/>
        <v>0</v>
      </c>
      <c r="AP318" s="191"/>
      <c r="AQ318" s="304" t="str">
        <f t="shared" si="38"/>
        <v xml:space="preserve">0.0 </v>
      </c>
      <c r="AS318" s="382"/>
      <c r="AW318" s="55"/>
    </row>
    <row r="319" spans="1:49" x14ac:dyDescent="0.25">
      <c r="F319" s="379"/>
      <c r="H319" s="379"/>
      <c r="I319" s="379"/>
      <c r="J319" s="464"/>
      <c r="K319" s="464"/>
      <c r="L319" s="379"/>
      <c r="M319" s="379"/>
      <c r="N319" s="50"/>
      <c r="O319" s="50"/>
      <c r="P319" s="379"/>
      <c r="Q319" s="379"/>
      <c r="R319" s="379"/>
      <c r="T319" s="366">
        <v>66</v>
      </c>
      <c r="U319" s="194"/>
      <c r="V319" s="195" t="str">
        <f t="shared" si="33"/>
        <v xml:space="preserve">   35' Class 5 Wood Pole</v>
      </c>
      <c r="W319" s="194"/>
      <c r="X319" s="194"/>
      <c r="Y319" s="189">
        <f t="shared" si="34"/>
        <v>0</v>
      </c>
      <c r="Z319" s="131"/>
      <c r="AA319" s="189"/>
      <c r="AB319" s="189"/>
      <c r="AC319" s="521">
        <v>9.32</v>
      </c>
      <c r="AD319" s="526"/>
      <c r="AE319" s="191">
        <f t="shared" si="35"/>
        <v>0</v>
      </c>
      <c r="AF319" s="191"/>
      <c r="AG319" s="311">
        <v>0</v>
      </c>
      <c r="AH319" s="303"/>
      <c r="AI319" s="191">
        <f t="shared" si="36"/>
        <v>0</v>
      </c>
      <c r="AJ319" s="191"/>
      <c r="AK319" s="304" t="str">
        <f t="shared" si="37"/>
        <v xml:space="preserve">0.0 </v>
      </c>
      <c r="AL319" s="305"/>
      <c r="AM319" s="131"/>
      <c r="AN319" s="191"/>
      <c r="AO319" s="191">
        <f t="shared" si="39"/>
        <v>0</v>
      </c>
      <c r="AP319" s="191"/>
      <c r="AQ319" s="304" t="str">
        <f t="shared" si="38"/>
        <v xml:space="preserve">0.0 </v>
      </c>
      <c r="AS319" s="382"/>
      <c r="AW319" s="55"/>
    </row>
    <row r="320" spans="1:49" x14ac:dyDescent="0.25">
      <c r="A320" s="53"/>
      <c r="C320" s="54"/>
      <c r="F320" s="449"/>
      <c r="H320" s="449"/>
      <c r="I320" s="449"/>
      <c r="J320" s="461"/>
      <c r="K320" s="461"/>
      <c r="L320" s="379"/>
      <c r="M320" s="379"/>
      <c r="N320" s="50"/>
      <c r="O320" s="50"/>
      <c r="P320" s="379"/>
      <c r="Q320" s="379"/>
      <c r="R320" s="379"/>
      <c r="T320" s="366">
        <v>67</v>
      </c>
      <c r="U320" s="194"/>
      <c r="V320" s="195" t="str">
        <f t="shared" si="33"/>
        <v xml:space="preserve">   40' Class 4 Wood Pole</v>
      </c>
      <c r="W320" s="194"/>
      <c r="X320" s="194"/>
      <c r="Y320" s="189">
        <f t="shared" si="34"/>
        <v>0</v>
      </c>
      <c r="Z320" s="131"/>
      <c r="AA320" s="189"/>
      <c r="AB320" s="189"/>
      <c r="AC320" s="521">
        <v>7.21</v>
      </c>
      <c r="AD320" s="526"/>
      <c r="AE320" s="191">
        <f t="shared" si="35"/>
        <v>0</v>
      </c>
      <c r="AF320" s="191"/>
      <c r="AG320" s="311">
        <v>0</v>
      </c>
      <c r="AH320" s="303"/>
      <c r="AI320" s="191">
        <f t="shared" si="36"/>
        <v>0</v>
      </c>
      <c r="AJ320" s="191"/>
      <c r="AK320" s="304" t="str">
        <f t="shared" si="37"/>
        <v xml:space="preserve">0.0 </v>
      </c>
      <c r="AL320" s="305"/>
      <c r="AM320" s="131"/>
      <c r="AN320" s="191"/>
      <c r="AO320" s="191">
        <f t="shared" si="39"/>
        <v>0</v>
      </c>
      <c r="AP320" s="191"/>
      <c r="AQ320" s="304" t="str">
        <f t="shared" si="38"/>
        <v xml:space="preserve">0.0 </v>
      </c>
      <c r="AS320" s="382"/>
      <c r="AW320" s="55"/>
    </row>
    <row r="321" spans="1:49" x14ac:dyDescent="0.25">
      <c r="A321" s="53"/>
      <c r="C321" s="54"/>
      <c r="F321" s="449"/>
      <c r="H321" s="449"/>
      <c r="I321" s="449"/>
      <c r="J321" s="461"/>
      <c r="K321" s="461"/>
      <c r="L321" s="379"/>
      <c r="M321" s="379"/>
      <c r="N321" s="50"/>
      <c r="O321" s="50"/>
      <c r="P321" s="379"/>
      <c r="Q321" s="379"/>
      <c r="R321" s="379"/>
      <c r="T321" s="366">
        <v>68</v>
      </c>
      <c r="U321" s="194"/>
      <c r="V321" s="195" t="str">
        <f t="shared" si="33"/>
        <v xml:space="preserve">   45' Class 4 Wood Pole</v>
      </c>
      <c r="W321" s="194"/>
      <c r="X321" s="194"/>
      <c r="Y321" s="189">
        <f t="shared" si="34"/>
        <v>0</v>
      </c>
      <c r="Z321" s="131"/>
      <c r="AA321" s="189"/>
      <c r="AB321" s="189"/>
      <c r="AC321" s="521">
        <v>10.39</v>
      </c>
      <c r="AD321" s="526"/>
      <c r="AE321" s="191">
        <f t="shared" si="35"/>
        <v>0</v>
      </c>
      <c r="AF321" s="191"/>
      <c r="AG321" s="311">
        <v>0</v>
      </c>
      <c r="AH321" s="303"/>
      <c r="AI321" s="191">
        <f t="shared" si="36"/>
        <v>0</v>
      </c>
      <c r="AJ321" s="191"/>
      <c r="AK321" s="304" t="str">
        <f t="shared" si="37"/>
        <v xml:space="preserve">0.0 </v>
      </c>
      <c r="AL321" s="305"/>
      <c r="AM321" s="131"/>
      <c r="AN321" s="191"/>
      <c r="AO321" s="191">
        <f t="shared" si="39"/>
        <v>0</v>
      </c>
      <c r="AP321" s="191"/>
      <c r="AQ321" s="304" t="str">
        <f t="shared" si="38"/>
        <v xml:space="preserve">0.0 </v>
      </c>
      <c r="AS321" s="382"/>
      <c r="AW321" s="55"/>
    </row>
    <row r="322" spans="1:49" x14ac:dyDescent="0.25">
      <c r="A322" s="53"/>
      <c r="C322" s="54"/>
      <c r="F322" s="449"/>
      <c r="H322" s="449"/>
      <c r="I322" s="449"/>
      <c r="J322" s="461"/>
      <c r="K322" s="461"/>
      <c r="L322" s="379"/>
      <c r="M322" s="379"/>
      <c r="N322" s="50"/>
      <c r="O322" s="50"/>
      <c r="P322" s="379"/>
      <c r="Q322" s="379"/>
      <c r="R322" s="379"/>
      <c r="T322" s="366">
        <v>69</v>
      </c>
      <c r="U322" s="194"/>
      <c r="V322" s="195" t="str">
        <f t="shared" si="33"/>
        <v xml:space="preserve">   15' Style A - Fluted - for Shroud - Aluminum Direct Buried Pole </v>
      </c>
      <c r="W322" s="194"/>
      <c r="X322" s="194"/>
      <c r="Y322" s="189">
        <f t="shared" si="34"/>
        <v>0</v>
      </c>
      <c r="Z322" s="131"/>
      <c r="AA322" s="189"/>
      <c r="AB322" s="189"/>
      <c r="AC322" s="521">
        <v>8.52</v>
      </c>
      <c r="AD322" s="526"/>
      <c r="AE322" s="191">
        <f t="shared" si="35"/>
        <v>0</v>
      </c>
      <c r="AF322" s="191"/>
      <c r="AG322" s="311">
        <v>0</v>
      </c>
      <c r="AH322" s="303"/>
      <c r="AI322" s="191">
        <f t="shared" si="36"/>
        <v>0</v>
      </c>
      <c r="AJ322" s="191"/>
      <c r="AK322" s="304" t="str">
        <f t="shared" si="37"/>
        <v xml:space="preserve">0.0 </v>
      </c>
      <c r="AL322" s="305"/>
      <c r="AM322" s="131"/>
      <c r="AN322" s="191"/>
      <c r="AO322" s="191">
        <f t="shared" si="39"/>
        <v>0</v>
      </c>
      <c r="AP322" s="191"/>
      <c r="AQ322" s="304" t="str">
        <f t="shared" si="38"/>
        <v xml:space="preserve">0.0 </v>
      </c>
      <c r="AS322" s="382"/>
      <c r="AW322" s="55"/>
    </row>
    <row r="323" spans="1:49" x14ac:dyDescent="0.25">
      <c r="A323" s="53"/>
      <c r="C323" s="54"/>
      <c r="F323" s="449"/>
      <c r="H323" s="449"/>
      <c r="I323" s="449"/>
      <c r="J323" s="461"/>
      <c r="K323" s="461"/>
      <c r="L323" s="379"/>
      <c r="M323" s="379"/>
      <c r="N323" s="50"/>
      <c r="O323" s="50"/>
      <c r="P323" s="379"/>
      <c r="Q323" s="379"/>
      <c r="R323" s="379"/>
      <c r="T323" s="366">
        <v>70</v>
      </c>
      <c r="U323" s="194"/>
      <c r="V323" s="195" t="str">
        <f t="shared" si="33"/>
        <v xml:space="preserve">   20' Style A - Fluted - for Shroud - Aluminum Direct Buried Pole </v>
      </c>
      <c r="W323" s="194"/>
      <c r="X323" s="194"/>
      <c r="Y323" s="189">
        <f t="shared" si="34"/>
        <v>0</v>
      </c>
      <c r="Z323" s="131"/>
      <c r="AA323" s="189"/>
      <c r="AB323" s="189"/>
      <c r="AC323" s="521">
        <v>11.56</v>
      </c>
      <c r="AD323" s="526"/>
      <c r="AE323" s="191">
        <f t="shared" si="35"/>
        <v>0</v>
      </c>
      <c r="AF323" s="191"/>
      <c r="AG323" s="311">
        <v>0</v>
      </c>
      <c r="AH323" s="303"/>
      <c r="AI323" s="191">
        <f t="shared" si="36"/>
        <v>0</v>
      </c>
      <c r="AJ323" s="191"/>
      <c r="AK323" s="304" t="str">
        <f t="shared" si="37"/>
        <v xml:space="preserve">0.0 </v>
      </c>
      <c r="AL323" s="305"/>
      <c r="AM323" s="131"/>
      <c r="AN323" s="191"/>
      <c r="AO323" s="191">
        <f t="shared" si="39"/>
        <v>0</v>
      </c>
      <c r="AP323" s="191"/>
      <c r="AQ323" s="304" t="str">
        <f t="shared" si="38"/>
        <v xml:space="preserve">0.0 </v>
      </c>
      <c r="AS323" s="382"/>
      <c r="AW323" s="55"/>
    </row>
    <row r="324" spans="1:49" x14ac:dyDescent="0.25">
      <c r="A324" s="53"/>
      <c r="C324" s="54"/>
      <c r="F324" s="449"/>
      <c r="H324" s="449"/>
      <c r="I324" s="449"/>
      <c r="J324" s="461"/>
      <c r="K324" s="461"/>
      <c r="L324" s="379"/>
      <c r="M324" s="379"/>
      <c r="N324" s="50"/>
      <c r="O324" s="50"/>
      <c r="P324" s="379"/>
      <c r="Q324" s="379"/>
      <c r="R324" s="379"/>
      <c r="T324" s="366">
        <v>71</v>
      </c>
      <c r="U324" s="194"/>
      <c r="V324" s="195" t="str">
        <f t="shared" si="33"/>
        <v xml:space="preserve">   15' Style A - Smooth - for Shroud - Aluminum Direct Buried Pole </v>
      </c>
      <c r="W324" s="194"/>
      <c r="X324" s="194"/>
      <c r="Y324" s="189">
        <f t="shared" si="34"/>
        <v>0</v>
      </c>
      <c r="Z324" s="131"/>
      <c r="AA324" s="189"/>
      <c r="AB324" s="189"/>
      <c r="AC324" s="521">
        <v>9.84</v>
      </c>
      <c r="AD324" s="526"/>
      <c r="AE324" s="191">
        <f t="shared" si="35"/>
        <v>0</v>
      </c>
      <c r="AF324" s="191"/>
      <c r="AG324" s="311">
        <v>0</v>
      </c>
      <c r="AH324" s="303"/>
      <c r="AI324" s="191">
        <f t="shared" si="36"/>
        <v>0</v>
      </c>
      <c r="AJ324" s="191"/>
      <c r="AK324" s="304" t="str">
        <f t="shared" si="37"/>
        <v xml:space="preserve">0.0 </v>
      </c>
      <c r="AL324" s="305"/>
      <c r="AM324" s="131"/>
      <c r="AN324" s="191"/>
      <c r="AO324" s="191">
        <f t="shared" si="39"/>
        <v>0</v>
      </c>
      <c r="AP324" s="191"/>
      <c r="AQ324" s="304" t="str">
        <f t="shared" si="38"/>
        <v xml:space="preserve">0.0 </v>
      </c>
      <c r="AS324" s="382"/>
      <c r="AW324" s="55"/>
    </row>
    <row r="325" spans="1:49" x14ac:dyDescent="0.25">
      <c r="A325" s="53"/>
      <c r="C325" s="54"/>
      <c r="F325" s="449"/>
      <c r="H325" s="449"/>
      <c r="I325" s="449"/>
      <c r="J325" s="461"/>
      <c r="K325" s="461"/>
      <c r="L325" s="379"/>
      <c r="M325" s="379"/>
      <c r="N325" s="50"/>
      <c r="O325" s="50"/>
      <c r="P325" s="379"/>
      <c r="Q325" s="379"/>
      <c r="R325" s="379"/>
      <c r="T325" s="366">
        <v>72</v>
      </c>
      <c r="U325" s="194"/>
      <c r="V325" s="195" t="str">
        <f t="shared" si="33"/>
        <v xml:space="preserve">   20' Style A - Smooth - for Shroud - Aluminum Direct Buried Pole </v>
      </c>
      <c r="W325" s="194"/>
      <c r="X325" s="194"/>
      <c r="Y325" s="189">
        <f t="shared" si="34"/>
        <v>0</v>
      </c>
      <c r="Z325" s="131"/>
      <c r="AA325" s="189"/>
      <c r="AB325" s="131"/>
      <c r="AC325" s="521">
        <v>12.49</v>
      </c>
      <c r="AD325" s="526"/>
      <c r="AE325" s="191">
        <f t="shared" si="35"/>
        <v>0</v>
      </c>
      <c r="AF325" s="191"/>
      <c r="AG325" s="311">
        <v>0</v>
      </c>
      <c r="AH325" s="303"/>
      <c r="AI325" s="191">
        <f t="shared" si="36"/>
        <v>0</v>
      </c>
      <c r="AJ325" s="191"/>
      <c r="AK325" s="304" t="str">
        <f t="shared" si="37"/>
        <v xml:space="preserve">0.0 </v>
      </c>
      <c r="AL325" s="305"/>
      <c r="AM325" s="131"/>
      <c r="AN325" s="191"/>
      <c r="AO325" s="191">
        <f t="shared" si="39"/>
        <v>0</v>
      </c>
      <c r="AP325" s="191"/>
      <c r="AQ325" s="304" t="str">
        <f t="shared" si="38"/>
        <v xml:space="preserve">0.0 </v>
      </c>
      <c r="AS325" s="382"/>
      <c r="AW325" s="55"/>
    </row>
    <row r="326" spans="1:49" x14ac:dyDescent="0.25">
      <c r="A326" s="53"/>
      <c r="C326" s="54"/>
      <c r="F326" s="449"/>
      <c r="H326" s="449"/>
      <c r="I326" s="449"/>
      <c r="J326" s="461"/>
      <c r="K326" s="461"/>
      <c r="L326" s="379"/>
      <c r="M326" s="379"/>
      <c r="N326" s="50"/>
      <c r="O326" s="50"/>
      <c r="P326" s="379"/>
      <c r="Q326" s="379"/>
      <c r="R326" s="379"/>
      <c r="T326" s="366">
        <v>73</v>
      </c>
      <c r="U326" s="194"/>
      <c r="V326" s="195" t="str">
        <f t="shared" si="33"/>
        <v xml:space="preserve">   Shroud - Standard Style for anchor base poles</v>
      </c>
      <c r="W326" s="194"/>
      <c r="X326" s="194"/>
      <c r="Y326" s="189">
        <f t="shared" si="34"/>
        <v>0</v>
      </c>
      <c r="Z326" s="131"/>
      <c r="AA326" s="189"/>
      <c r="AB326" s="189"/>
      <c r="AC326" s="521">
        <v>6.87</v>
      </c>
      <c r="AD326" s="526"/>
      <c r="AE326" s="191">
        <f t="shared" si="35"/>
        <v>0</v>
      </c>
      <c r="AF326" s="191"/>
      <c r="AG326" s="311">
        <v>0</v>
      </c>
      <c r="AH326" s="303"/>
      <c r="AI326" s="191">
        <f t="shared" si="36"/>
        <v>0</v>
      </c>
      <c r="AJ326" s="191"/>
      <c r="AK326" s="304" t="str">
        <f t="shared" si="37"/>
        <v xml:space="preserve">0.0 </v>
      </c>
      <c r="AL326" s="305"/>
      <c r="AM326" s="131"/>
      <c r="AN326" s="191"/>
      <c r="AO326" s="191">
        <f t="shared" si="39"/>
        <v>0</v>
      </c>
      <c r="AP326" s="191"/>
      <c r="AQ326" s="304" t="str">
        <f t="shared" si="38"/>
        <v xml:space="preserve">0.0 </v>
      </c>
      <c r="AS326" s="382"/>
      <c r="AW326" s="55"/>
    </row>
    <row r="327" spans="1:49" x14ac:dyDescent="0.25">
      <c r="A327" s="53"/>
      <c r="C327" s="54"/>
      <c r="F327" s="449"/>
      <c r="H327" s="449"/>
      <c r="I327" s="449"/>
      <c r="J327" s="461"/>
      <c r="K327" s="461"/>
      <c r="L327" s="379"/>
      <c r="M327" s="379"/>
      <c r="N327" s="50"/>
      <c r="O327" s="50"/>
      <c r="P327" s="379"/>
      <c r="Q327" s="379"/>
      <c r="R327" s="379"/>
      <c r="T327" s="366">
        <v>74</v>
      </c>
      <c r="U327" s="289"/>
      <c r="V327" s="195" t="str">
        <f t="shared" si="33"/>
        <v xml:space="preserve">   Shroud - Style B Pole for smooth and fluted poles</v>
      </c>
      <c r="W327" s="289"/>
      <c r="X327" s="194"/>
      <c r="Y327" s="189">
        <f t="shared" si="34"/>
        <v>0</v>
      </c>
      <c r="Z327" s="131"/>
      <c r="AA327" s="189"/>
      <c r="AB327" s="189"/>
      <c r="AC327" s="521">
        <v>9.3000000000000007</v>
      </c>
      <c r="AD327" s="526"/>
      <c r="AE327" s="191">
        <f t="shared" si="35"/>
        <v>0</v>
      </c>
      <c r="AF327" s="191"/>
      <c r="AG327" s="311">
        <v>0</v>
      </c>
      <c r="AH327" s="303"/>
      <c r="AI327" s="191">
        <f t="shared" si="36"/>
        <v>0</v>
      </c>
      <c r="AJ327" s="191"/>
      <c r="AK327" s="304" t="str">
        <f t="shared" si="37"/>
        <v xml:space="preserve">0.0 </v>
      </c>
      <c r="AL327" s="305"/>
      <c r="AM327" s="131"/>
      <c r="AN327" s="191"/>
      <c r="AO327" s="191">
        <f t="shared" si="39"/>
        <v>0</v>
      </c>
      <c r="AP327" s="191"/>
      <c r="AQ327" s="304" t="str">
        <f t="shared" si="38"/>
        <v xml:space="preserve">0.0 </v>
      </c>
      <c r="AS327" s="382"/>
      <c r="AW327" s="55"/>
    </row>
    <row r="328" spans="1:49" x14ac:dyDescent="0.25">
      <c r="A328" s="53"/>
      <c r="C328" s="54"/>
      <c r="F328" s="449"/>
      <c r="H328" s="449"/>
      <c r="I328" s="449"/>
      <c r="J328" s="461"/>
      <c r="K328" s="461"/>
      <c r="L328" s="379"/>
      <c r="M328" s="379"/>
      <c r="N328" s="50"/>
      <c r="O328" s="50"/>
      <c r="P328" s="379"/>
      <c r="Q328" s="379"/>
      <c r="R328" s="379"/>
      <c r="T328" s="366">
        <v>75</v>
      </c>
      <c r="U328" s="194"/>
      <c r="V328" s="195" t="str">
        <f t="shared" si="33"/>
        <v xml:space="preserve">   Shroud - Style C Pole for smooth and fluted poles</v>
      </c>
      <c r="W328" s="194"/>
      <c r="X328" s="194"/>
      <c r="Y328" s="189">
        <f t="shared" si="34"/>
        <v>0</v>
      </c>
      <c r="Z328" s="131"/>
      <c r="AA328" s="189"/>
      <c r="AB328" s="189"/>
      <c r="AC328" s="521">
        <v>12.45</v>
      </c>
      <c r="AD328" s="526"/>
      <c r="AE328" s="191">
        <f t="shared" si="35"/>
        <v>0</v>
      </c>
      <c r="AF328" s="191"/>
      <c r="AG328" s="311">
        <v>0</v>
      </c>
      <c r="AH328" s="303"/>
      <c r="AI328" s="191">
        <f t="shared" si="36"/>
        <v>0</v>
      </c>
      <c r="AJ328" s="191"/>
      <c r="AK328" s="304" t="str">
        <f t="shared" si="37"/>
        <v xml:space="preserve">0.0 </v>
      </c>
      <c r="AL328" s="305"/>
      <c r="AM328" s="131"/>
      <c r="AN328" s="191"/>
      <c r="AO328" s="191">
        <f t="shared" si="39"/>
        <v>0</v>
      </c>
      <c r="AP328" s="191"/>
      <c r="AQ328" s="304" t="str">
        <f t="shared" si="38"/>
        <v xml:space="preserve">0.0 </v>
      </c>
      <c r="AS328" s="382"/>
      <c r="AW328" s="55"/>
    </row>
    <row r="329" spans="1:49" x14ac:dyDescent="0.25">
      <c r="A329" s="53"/>
      <c r="C329" s="54"/>
      <c r="F329" s="449"/>
      <c r="H329" s="449"/>
      <c r="I329" s="449"/>
      <c r="J329" s="461"/>
      <c r="K329" s="461"/>
      <c r="L329" s="379"/>
      <c r="M329" s="379"/>
      <c r="N329" s="50"/>
      <c r="O329" s="50"/>
      <c r="P329" s="379"/>
      <c r="Q329" s="379"/>
      <c r="R329" s="379"/>
      <c r="T329" s="366">
        <v>76</v>
      </c>
      <c r="U329" s="290"/>
      <c r="V329" s="195" t="str">
        <f t="shared" si="33"/>
        <v xml:space="preserve">   Shroud - Style D Pole for smooth and fluted poles </v>
      </c>
      <c r="W329" s="290"/>
      <c r="X329" s="194"/>
      <c r="Y329" s="189">
        <f t="shared" si="34"/>
        <v>0</v>
      </c>
      <c r="Z329" s="131"/>
      <c r="AA329" s="189"/>
      <c r="AB329" s="189"/>
      <c r="AC329" s="521">
        <v>24.46</v>
      </c>
      <c r="AD329" s="526"/>
      <c r="AE329" s="191">
        <f t="shared" si="35"/>
        <v>0</v>
      </c>
      <c r="AF329" s="191"/>
      <c r="AG329" s="311">
        <v>0</v>
      </c>
      <c r="AH329" s="303"/>
      <c r="AI329" s="191">
        <f t="shared" si="36"/>
        <v>0</v>
      </c>
      <c r="AJ329" s="191"/>
      <c r="AK329" s="304" t="str">
        <f t="shared" si="37"/>
        <v xml:space="preserve">0.0 </v>
      </c>
      <c r="AL329" s="305"/>
      <c r="AM329" s="131"/>
      <c r="AN329" s="191"/>
      <c r="AO329" s="191">
        <f t="shared" si="39"/>
        <v>0</v>
      </c>
      <c r="AP329" s="191"/>
      <c r="AQ329" s="304" t="str">
        <f t="shared" si="38"/>
        <v xml:space="preserve">0.0 </v>
      </c>
      <c r="AS329" s="382"/>
      <c r="AW329" s="55"/>
    </row>
    <row r="330" spans="1:49" x14ac:dyDescent="0.25">
      <c r="A330" s="53"/>
      <c r="C330" s="54"/>
      <c r="F330" s="449"/>
      <c r="H330" s="449"/>
      <c r="I330" s="449"/>
      <c r="J330" s="461"/>
      <c r="K330" s="461"/>
      <c r="L330" s="379"/>
      <c r="M330" s="379"/>
      <c r="N330" s="50"/>
      <c r="O330" s="50"/>
      <c r="P330" s="379"/>
      <c r="Q330" s="379"/>
      <c r="R330" s="379"/>
      <c r="T330" s="366">
        <v>77</v>
      </c>
      <c r="U330" s="290"/>
      <c r="V330" s="195" t="str">
        <f t="shared" si="33"/>
        <v>TOTAL LED POLES</v>
      </c>
      <c r="W330" s="290"/>
      <c r="X330" s="194"/>
      <c r="Y330" s="189">
        <f t="shared" si="34"/>
        <v>0</v>
      </c>
      <c r="Z330" s="131"/>
      <c r="AA330" s="189"/>
      <c r="AB330" s="189"/>
      <c r="AC330" s="521">
        <v>9.9700000000000006</v>
      </c>
      <c r="AD330" s="526"/>
      <c r="AE330" s="191">
        <f t="shared" si="35"/>
        <v>0</v>
      </c>
      <c r="AF330" s="191"/>
      <c r="AG330" s="311">
        <v>0</v>
      </c>
      <c r="AH330" s="303"/>
      <c r="AI330" s="191">
        <f t="shared" si="36"/>
        <v>0</v>
      </c>
      <c r="AJ330" s="191"/>
      <c r="AK330" s="304" t="str">
        <f t="shared" si="37"/>
        <v xml:space="preserve">0.0 </v>
      </c>
      <c r="AL330" s="305"/>
      <c r="AM330" s="131"/>
      <c r="AN330" s="191"/>
      <c r="AO330" s="191">
        <f t="shared" si="39"/>
        <v>0</v>
      </c>
      <c r="AP330" s="191"/>
      <c r="AQ330" s="304" t="str">
        <f t="shared" si="38"/>
        <v xml:space="preserve">0.0 </v>
      </c>
      <c r="AS330" s="382"/>
      <c r="AW330" s="55"/>
    </row>
    <row r="331" spans="1:49" x14ac:dyDescent="0.25">
      <c r="A331" s="53"/>
      <c r="C331" s="54"/>
      <c r="F331" s="449"/>
      <c r="H331" s="449"/>
      <c r="I331" s="449"/>
      <c r="J331" s="461"/>
      <c r="K331" s="461"/>
      <c r="L331" s="379"/>
      <c r="M331" s="379"/>
      <c r="N331" s="50"/>
      <c r="O331" s="50"/>
      <c r="P331" s="379"/>
      <c r="Q331" s="379"/>
      <c r="R331" s="379"/>
      <c r="T331" s="366">
        <v>78</v>
      </c>
      <c r="U331" s="194"/>
      <c r="V331" s="195">
        <f t="shared" si="33"/>
        <v>0</v>
      </c>
      <c r="W331" s="194"/>
      <c r="X331" s="194"/>
      <c r="Y331" s="189">
        <f t="shared" si="34"/>
        <v>0</v>
      </c>
      <c r="Z331" s="131"/>
      <c r="AA331" s="189"/>
      <c r="AB331" s="189"/>
      <c r="AC331" s="521">
        <v>24.73</v>
      </c>
      <c r="AD331" s="526"/>
      <c r="AE331" s="191">
        <f t="shared" si="35"/>
        <v>0</v>
      </c>
      <c r="AF331" s="191"/>
      <c r="AG331" s="311">
        <v>0</v>
      </c>
      <c r="AH331" s="303"/>
      <c r="AI331" s="191">
        <f t="shared" si="36"/>
        <v>0</v>
      </c>
      <c r="AJ331" s="191"/>
      <c r="AK331" s="304" t="str">
        <f t="shared" si="37"/>
        <v xml:space="preserve">0.0 </v>
      </c>
      <c r="AL331" s="305"/>
      <c r="AM331" s="131"/>
      <c r="AN331" s="191"/>
      <c r="AO331" s="191">
        <f t="shared" si="39"/>
        <v>0</v>
      </c>
      <c r="AP331" s="191"/>
      <c r="AQ331" s="304" t="str">
        <f t="shared" si="38"/>
        <v xml:space="preserve">0.0 </v>
      </c>
      <c r="AS331" s="382"/>
      <c r="AW331" s="55"/>
    </row>
    <row r="332" spans="1:49" x14ac:dyDescent="0.25">
      <c r="A332" s="53"/>
      <c r="C332" s="54"/>
      <c r="F332" s="449"/>
      <c r="H332" s="449"/>
      <c r="I332" s="449"/>
      <c r="J332" s="461"/>
      <c r="K332" s="461"/>
      <c r="L332" s="379"/>
      <c r="M332" s="379"/>
      <c r="N332" s="50"/>
      <c r="O332" s="50"/>
      <c r="P332" s="379"/>
      <c r="Q332" s="379"/>
      <c r="R332" s="379"/>
      <c r="T332" s="366">
        <v>79</v>
      </c>
      <c r="U332" s="194"/>
      <c r="V332" s="195" t="str">
        <f t="shared" si="33"/>
        <v>POLE FOUNDATIONS</v>
      </c>
      <c r="W332" s="194"/>
      <c r="X332" s="194"/>
      <c r="Y332" s="189">
        <f t="shared" si="34"/>
        <v>0</v>
      </c>
      <c r="Z332" s="131"/>
      <c r="AA332" s="189"/>
      <c r="AB332" s="189"/>
      <c r="AC332" s="521">
        <v>9.2100000000000009</v>
      </c>
      <c r="AD332" s="526"/>
      <c r="AE332" s="191">
        <f t="shared" si="35"/>
        <v>0</v>
      </c>
      <c r="AF332" s="191"/>
      <c r="AG332" s="311">
        <v>0</v>
      </c>
      <c r="AH332" s="303"/>
      <c r="AI332" s="191">
        <f t="shared" si="36"/>
        <v>0</v>
      </c>
      <c r="AJ332" s="191"/>
      <c r="AK332" s="304" t="str">
        <f t="shared" si="37"/>
        <v xml:space="preserve">0.0 </v>
      </c>
      <c r="AL332" s="305"/>
      <c r="AM332" s="131"/>
      <c r="AN332" s="191"/>
      <c r="AO332" s="191">
        <f t="shared" si="39"/>
        <v>0</v>
      </c>
      <c r="AP332" s="191"/>
      <c r="AQ332" s="304" t="str">
        <f t="shared" si="38"/>
        <v xml:space="preserve">0.0 </v>
      </c>
      <c r="AS332" s="382"/>
      <c r="AW332" s="55"/>
    </row>
    <row r="333" spans="1:49" x14ac:dyDescent="0.25">
      <c r="A333" s="53"/>
      <c r="C333" s="54"/>
      <c r="F333" s="449"/>
      <c r="H333" s="449"/>
      <c r="I333" s="449"/>
      <c r="J333" s="461"/>
      <c r="K333" s="461"/>
      <c r="L333" s="379"/>
      <c r="M333" s="379"/>
      <c r="N333" s="50"/>
      <c r="O333" s="50"/>
      <c r="P333" s="379"/>
      <c r="Q333" s="379"/>
      <c r="R333" s="379"/>
      <c r="T333" s="366">
        <v>80</v>
      </c>
      <c r="U333" s="291"/>
      <c r="V333" s="195" t="str">
        <f t="shared" si="33"/>
        <v xml:space="preserve">   Flush - Pre-fabricated - Style A Pole</v>
      </c>
      <c r="W333" s="291"/>
      <c r="X333" s="194"/>
      <c r="Y333" s="189">
        <f t="shared" si="34"/>
        <v>0</v>
      </c>
      <c r="Z333" s="131"/>
      <c r="AA333" s="189"/>
      <c r="AB333" s="189"/>
      <c r="AC333" s="521">
        <v>9.3000000000000007</v>
      </c>
      <c r="AD333" s="526"/>
      <c r="AE333" s="191">
        <f t="shared" si="35"/>
        <v>0</v>
      </c>
      <c r="AF333" s="191"/>
      <c r="AG333" s="311">
        <v>0</v>
      </c>
      <c r="AH333" s="303"/>
      <c r="AI333" s="191">
        <f t="shared" si="36"/>
        <v>0</v>
      </c>
      <c r="AJ333" s="191"/>
      <c r="AK333" s="304" t="str">
        <f t="shared" si="37"/>
        <v xml:space="preserve">0.0 </v>
      </c>
      <c r="AL333" s="305"/>
      <c r="AM333" s="131"/>
      <c r="AN333" s="191"/>
      <c r="AO333" s="191">
        <f t="shared" si="39"/>
        <v>0</v>
      </c>
      <c r="AP333" s="191"/>
      <c r="AQ333" s="304" t="str">
        <f t="shared" si="38"/>
        <v xml:space="preserve">0.0 </v>
      </c>
      <c r="AS333" s="382"/>
      <c r="AW333" s="55"/>
    </row>
    <row r="334" spans="1:49" x14ac:dyDescent="0.25">
      <c r="A334" s="53"/>
      <c r="C334" s="54"/>
      <c r="F334" s="449"/>
      <c r="H334" s="449"/>
      <c r="I334" s="449"/>
      <c r="J334" s="461"/>
      <c r="K334" s="461"/>
      <c r="L334" s="379"/>
      <c r="M334" s="379"/>
      <c r="N334" s="50"/>
      <c r="O334" s="50"/>
      <c r="P334" s="379"/>
      <c r="Q334" s="379"/>
      <c r="R334" s="379"/>
      <c r="T334" s="366">
        <v>81</v>
      </c>
      <c r="U334" s="194"/>
      <c r="V334" s="195" t="str">
        <f t="shared" si="33"/>
        <v xml:space="preserve">   Flush - Pre-fabricated - Style B Pole</v>
      </c>
      <c r="W334" s="194"/>
      <c r="X334" s="194"/>
      <c r="Y334" s="189">
        <f t="shared" si="34"/>
        <v>0</v>
      </c>
      <c r="Z334" s="131"/>
      <c r="AA334" s="189"/>
      <c r="AB334" s="189"/>
      <c r="AC334" s="521">
        <v>9.9600000000000009</v>
      </c>
      <c r="AD334" s="526"/>
      <c r="AE334" s="191">
        <f t="shared" si="35"/>
        <v>0</v>
      </c>
      <c r="AF334" s="191"/>
      <c r="AG334" s="311">
        <v>0</v>
      </c>
      <c r="AH334" s="303"/>
      <c r="AI334" s="191">
        <f t="shared" si="36"/>
        <v>0</v>
      </c>
      <c r="AJ334" s="191"/>
      <c r="AK334" s="304" t="str">
        <f t="shared" si="37"/>
        <v xml:space="preserve">0.0 </v>
      </c>
      <c r="AL334" s="305"/>
      <c r="AM334" s="131"/>
      <c r="AN334" s="191"/>
      <c r="AO334" s="191">
        <f t="shared" si="39"/>
        <v>0</v>
      </c>
      <c r="AP334" s="191"/>
      <c r="AQ334" s="304" t="str">
        <f t="shared" si="38"/>
        <v xml:space="preserve">0.0 </v>
      </c>
      <c r="AS334" s="382"/>
      <c r="AW334" s="55"/>
    </row>
    <row r="335" spans="1:49" x14ac:dyDescent="0.25">
      <c r="F335" s="379"/>
      <c r="H335" s="381"/>
      <c r="I335" s="381"/>
      <c r="J335" s="464"/>
      <c r="K335" s="464"/>
      <c r="L335" s="381"/>
      <c r="M335" s="381"/>
      <c r="N335" s="381"/>
      <c r="O335" s="381"/>
      <c r="P335" s="381"/>
      <c r="Q335" s="381"/>
      <c r="R335" s="381"/>
      <c r="T335" s="366">
        <v>82</v>
      </c>
      <c r="U335" s="194"/>
      <c r="V335" s="195" t="str">
        <f t="shared" si="33"/>
        <v xml:space="preserve">   Flush - Pre-fabricated - Style C Pole</v>
      </c>
      <c r="W335" s="194"/>
      <c r="X335" s="194"/>
      <c r="Y335" s="189">
        <f t="shared" si="34"/>
        <v>0</v>
      </c>
      <c r="Z335" s="131"/>
      <c r="AA335" s="189"/>
      <c r="AB335" s="189"/>
      <c r="AC335" s="521">
        <v>8.32</v>
      </c>
      <c r="AD335" s="309"/>
      <c r="AE335" s="191">
        <f t="shared" si="35"/>
        <v>0</v>
      </c>
      <c r="AF335" s="131"/>
      <c r="AG335" s="311">
        <v>0</v>
      </c>
      <c r="AH335" s="131"/>
      <c r="AI335" s="191">
        <f t="shared" si="36"/>
        <v>0</v>
      </c>
      <c r="AJ335" s="131"/>
      <c r="AK335" s="304" t="str">
        <f t="shared" si="37"/>
        <v xml:space="preserve">0.0 </v>
      </c>
      <c r="AL335" s="131"/>
      <c r="AM335" s="131"/>
      <c r="AN335" s="131"/>
      <c r="AO335" s="191">
        <f t="shared" si="39"/>
        <v>0</v>
      </c>
      <c r="AP335" s="131"/>
      <c r="AQ335" s="304" t="str">
        <f t="shared" si="38"/>
        <v xml:space="preserve">0.0 </v>
      </c>
      <c r="AS335" s="382"/>
      <c r="AW335" s="55"/>
    </row>
    <row r="336" spans="1:49" x14ac:dyDescent="0.25">
      <c r="F336" s="379"/>
      <c r="H336" s="381"/>
      <c r="I336" s="381"/>
      <c r="J336" s="464"/>
      <c r="K336" s="464"/>
      <c r="L336" s="381"/>
      <c r="M336" s="381"/>
      <c r="N336" s="381"/>
      <c r="O336" s="381"/>
      <c r="P336" s="381"/>
      <c r="Q336" s="381"/>
      <c r="R336" s="381"/>
      <c r="T336" s="366">
        <v>83</v>
      </c>
      <c r="U336" s="194"/>
      <c r="V336" s="195" t="str">
        <f t="shared" si="33"/>
        <v xml:space="preserve">   Flush - Pre-fabricated - Style E Pole</v>
      </c>
      <c r="W336" s="194"/>
      <c r="X336" s="194"/>
      <c r="Y336" s="189">
        <f t="shared" si="34"/>
        <v>0</v>
      </c>
      <c r="Z336" s="131"/>
      <c r="AA336" s="189"/>
      <c r="AB336" s="189"/>
      <c r="AC336" s="521">
        <v>9.84</v>
      </c>
      <c r="AD336" s="309"/>
      <c r="AE336" s="191">
        <f t="shared" si="35"/>
        <v>0</v>
      </c>
      <c r="AF336" s="131"/>
      <c r="AG336" s="311">
        <v>0</v>
      </c>
      <c r="AH336" s="131"/>
      <c r="AI336" s="191">
        <f t="shared" si="36"/>
        <v>0</v>
      </c>
      <c r="AJ336" s="131"/>
      <c r="AK336" s="304" t="str">
        <f t="shared" si="37"/>
        <v xml:space="preserve">0.0 </v>
      </c>
      <c r="AL336" s="131"/>
      <c r="AM336" s="131"/>
      <c r="AN336" s="131"/>
      <c r="AO336" s="191">
        <f t="shared" si="39"/>
        <v>0</v>
      </c>
      <c r="AP336" s="131"/>
      <c r="AQ336" s="304" t="str">
        <f t="shared" si="38"/>
        <v xml:space="preserve">0.0 </v>
      </c>
      <c r="AS336" s="382"/>
      <c r="AW336" s="55"/>
    </row>
    <row r="337" spans="1:49" x14ac:dyDescent="0.25">
      <c r="F337" s="379"/>
      <c r="H337" s="381"/>
      <c r="I337" s="381"/>
      <c r="J337" s="464"/>
      <c r="K337" s="464"/>
      <c r="L337" s="381"/>
      <c r="M337" s="381"/>
      <c r="N337" s="381"/>
      <c r="O337" s="381"/>
      <c r="P337" s="381"/>
      <c r="Q337" s="381"/>
      <c r="R337" s="381"/>
      <c r="T337" s="366">
        <v>84</v>
      </c>
      <c r="U337" s="194"/>
      <c r="V337" s="195" t="str">
        <f t="shared" si="33"/>
        <v xml:space="preserve">   Flush - Pre-fabricated - Style F Pole</v>
      </c>
      <c r="W337" s="194"/>
      <c r="X337" s="194"/>
      <c r="Y337" s="189">
        <f t="shared" si="34"/>
        <v>0</v>
      </c>
      <c r="Z337" s="131"/>
      <c r="AA337" s="189"/>
      <c r="AB337" s="189"/>
      <c r="AC337" s="521">
        <v>28.29</v>
      </c>
      <c r="AD337" s="309"/>
      <c r="AE337" s="191">
        <f t="shared" si="35"/>
        <v>0</v>
      </c>
      <c r="AF337" s="131"/>
      <c r="AG337" s="311">
        <v>0</v>
      </c>
      <c r="AH337" s="131"/>
      <c r="AI337" s="191">
        <f t="shared" si="36"/>
        <v>0</v>
      </c>
      <c r="AJ337" s="131"/>
      <c r="AK337" s="304" t="str">
        <f t="shared" si="37"/>
        <v xml:space="preserve">0.0 </v>
      </c>
      <c r="AL337" s="131"/>
      <c r="AM337" s="131"/>
      <c r="AN337" s="131"/>
      <c r="AO337" s="191">
        <f t="shared" si="39"/>
        <v>0</v>
      </c>
      <c r="AP337" s="131"/>
      <c r="AQ337" s="304" t="str">
        <f t="shared" si="38"/>
        <v xml:space="preserve">0.0 </v>
      </c>
      <c r="AS337" s="382"/>
      <c r="AW337" s="55"/>
    </row>
    <row r="338" spans="1:49" x14ac:dyDescent="0.25">
      <c r="F338" s="379"/>
      <c r="H338" s="381"/>
      <c r="I338" s="381"/>
      <c r="J338" s="464"/>
      <c r="K338" s="464"/>
      <c r="L338" s="381"/>
      <c r="M338" s="381"/>
      <c r="N338" s="381"/>
      <c r="O338" s="381"/>
      <c r="P338" s="381"/>
      <c r="Q338" s="381"/>
      <c r="R338" s="381"/>
      <c r="T338" s="366">
        <v>85</v>
      </c>
      <c r="U338" s="292"/>
      <c r="V338" s="195" t="str">
        <f t="shared" si="33"/>
        <v xml:space="preserve">   Flush - Pre-fabricated - Style D Pole</v>
      </c>
      <c r="W338" s="292"/>
      <c r="X338" s="194"/>
      <c r="Y338" s="189">
        <f t="shared" si="34"/>
        <v>0</v>
      </c>
      <c r="Z338" s="131"/>
      <c r="AA338" s="189"/>
      <c r="AB338" s="189"/>
      <c r="AC338" s="521">
        <v>15.74</v>
      </c>
      <c r="AD338" s="309"/>
      <c r="AE338" s="191">
        <f t="shared" si="35"/>
        <v>0</v>
      </c>
      <c r="AF338" s="191"/>
      <c r="AG338" s="311">
        <v>0</v>
      </c>
      <c r="AH338" s="303"/>
      <c r="AI338" s="191">
        <f t="shared" si="36"/>
        <v>0</v>
      </c>
      <c r="AJ338" s="191"/>
      <c r="AK338" s="304" t="str">
        <f t="shared" si="37"/>
        <v xml:space="preserve">0.0 </v>
      </c>
      <c r="AL338" s="305"/>
      <c r="AM338" s="131"/>
      <c r="AN338" s="191"/>
      <c r="AO338" s="191">
        <f t="shared" si="39"/>
        <v>0</v>
      </c>
      <c r="AP338" s="191"/>
      <c r="AQ338" s="304" t="str">
        <f t="shared" si="38"/>
        <v xml:space="preserve">0.0 </v>
      </c>
      <c r="AS338" s="382"/>
      <c r="AW338" s="55"/>
    </row>
    <row r="339" spans="1:49" x14ac:dyDescent="0.25">
      <c r="F339" s="379"/>
      <c r="H339" s="381"/>
      <c r="I339" s="381"/>
      <c r="J339" s="464"/>
      <c r="K339" s="464"/>
      <c r="L339" s="381"/>
      <c r="M339" s="381"/>
      <c r="N339" s="381"/>
      <c r="O339" s="381"/>
      <c r="P339" s="381"/>
      <c r="Q339" s="381"/>
      <c r="R339" s="381"/>
      <c r="T339" s="366">
        <v>86</v>
      </c>
      <c r="U339" s="292"/>
      <c r="V339" s="195" t="str">
        <f t="shared" si="33"/>
        <v xml:space="preserve">   Reveal - Pre-fabricated - Style A Pole</v>
      </c>
      <c r="W339" s="292"/>
      <c r="X339" s="194"/>
      <c r="Y339" s="189">
        <f t="shared" si="34"/>
        <v>0</v>
      </c>
      <c r="Z339" s="131"/>
      <c r="AA339" s="189"/>
      <c r="AB339" s="189"/>
      <c r="AC339" s="521">
        <v>12.13</v>
      </c>
      <c r="AD339" s="309"/>
      <c r="AE339" s="191">
        <f t="shared" si="35"/>
        <v>0</v>
      </c>
      <c r="AF339" s="131"/>
      <c r="AG339" s="311">
        <v>0</v>
      </c>
      <c r="AH339" s="131"/>
      <c r="AI339" s="191">
        <f t="shared" si="36"/>
        <v>0</v>
      </c>
      <c r="AJ339" s="131"/>
      <c r="AK339" s="304" t="str">
        <f t="shared" si="37"/>
        <v xml:space="preserve">0.0 </v>
      </c>
      <c r="AL339" s="131"/>
      <c r="AM339" s="131"/>
      <c r="AN339" s="131"/>
      <c r="AO339" s="191">
        <f t="shared" si="39"/>
        <v>0</v>
      </c>
      <c r="AP339" s="131"/>
      <c r="AQ339" s="304" t="str">
        <f t="shared" si="38"/>
        <v xml:space="preserve">0.0 </v>
      </c>
      <c r="AS339" s="382"/>
      <c r="AW339" s="55"/>
    </row>
    <row r="340" spans="1:49" x14ac:dyDescent="0.25">
      <c r="A340" s="53"/>
      <c r="C340" s="54"/>
      <c r="F340" s="379"/>
      <c r="H340" s="379"/>
      <c r="I340" s="379"/>
      <c r="J340" s="464"/>
      <c r="K340" s="464"/>
      <c r="L340" s="379"/>
      <c r="M340" s="379"/>
      <c r="N340" s="50"/>
      <c r="O340" s="50"/>
      <c r="P340" s="379"/>
      <c r="Q340" s="379"/>
      <c r="R340" s="379"/>
      <c r="T340" s="366">
        <v>87</v>
      </c>
      <c r="U340" s="194"/>
      <c r="V340" s="195" t="str">
        <f t="shared" si="33"/>
        <v xml:space="preserve">   Reveal - Pre-fabricated - Style B Pole</v>
      </c>
      <c r="W340" s="194"/>
      <c r="X340" s="194"/>
      <c r="Y340" s="189">
        <f t="shared" si="34"/>
        <v>0</v>
      </c>
      <c r="Z340" s="131"/>
      <c r="AA340" s="189"/>
      <c r="AB340" s="189"/>
      <c r="AC340" s="521">
        <v>11.8</v>
      </c>
      <c r="AD340" s="526"/>
      <c r="AE340" s="191">
        <f t="shared" si="35"/>
        <v>0</v>
      </c>
      <c r="AF340" s="131"/>
      <c r="AG340" s="311">
        <v>0</v>
      </c>
      <c r="AH340" s="131"/>
      <c r="AI340" s="191">
        <f t="shared" si="36"/>
        <v>0</v>
      </c>
      <c r="AJ340" s="131"/>
      <c r="AK340" s="304" t="str">
        <f t="shared" si="37"/>
        <v xml:space="preserve">0.0 </v>
      </c>
      <c r="AL340" s="131"/>
      <c r="AM340" s="131"/>
      <c r="AN340" s="131"/>
      <c r="AO340" s="191">
        <f t="shared" si="39"/>
        <v>0</v>
      </c>
      <c r="AP340" s="131"/>
      <c r="AQ340" s="304" t="str">
        <f t="shared" si="38"/>
        <v xml:space="preserve">0.0 </v>
      </c>
      <c r="AS340" s="382"/>
      <c r="AW340" s="55"/>
    </row>
    <row r="341" spans="1:49" x14ac:dyDescent="0.25">
      <c r="A341" s="53"/>
      <c r="C341" s="54"/>
      <c r="F341" s="379"/>
      <c r="H341" s="379"/>
      <c r="I341" s="379"/>
      <c r="J341" s="464"/>
      <c r="K341" s="464"/>
      <c r="L341" s="379"/>
      <c r="M341" s="379"/>
      <c r="N341" s="50"/>
      <c r="O341" s="50"/>
      <c r="P341" s="379"/>
      <c r="Q341" s="379"/>
      <c r="R341" s="379"/>
      <c r="T341" s="366">
        <v>88</v>
      </c>
      <c r="U341" s="194"/>
      <c r="V341" s="195" t="str">
        <f t="shared" si="33"/>
        <v xml:space="preserve">   Reveal - Pre-fabricated - Style C Pole</v>
      </c>
      <c r="W341" s="194"/>
      <c r="X341" s="194"/>
      <c r="Y341" s="189">
        <f t="shared" si="34"/>
        <v>0</v>
      </c>
      <c r="Z341" s="131"/>
      <c r="AA341" s="189"/>
      <c r="AB341" s="189"/>
      <c r="AC341" s="521">
        <v>14.59</v>
      </c>
      <c r="AD341" s="526"/>
      <c r="AE341" s="191">
        <f t="shared" si="35"/>
        <v>0</v>
      </c>
      <c r="AF341" s="131"/>
      <c r="AG341" s="311">
        <v>0</v>
      </c>
      <c r="AH341" s="131"/>
      <c r="AI341" s="191">
        <f t="shared" si="36"/>
        <v>0</v>
      </c>
      <c r="AJ341" s="131"/>
      <c r="AK341" s="304" t="str">
        <f t="shared" si="37"/>
        <v xml:space="preserve">0.0 </v>
      </c>
      <c r="AL341" s="131"/>
      <c r="AM341" s="131"/>
      <c r="AN341" s="131"/>
      <c r="AO341" s="191">
        <f t="shared" si="39"/>
        <v>0</v>
      </c>
      <c r="AP341" s="131"/>
      <c r="AQ341" s="304" t="str">
        <f t="shared" si="38"/>
        <v xml:space="preserve">0.0 </v>
      </c>
      <c r="AS341" s="382"/>
      <c r="AW341" s="55"/>
    </row>
    <row r="342" spans="1:49" x14ac:dyDescent="0.25">
      <c r="A342" s="53"/>
      <c r="C342" s="54"/>
      <c r="F342" s="379"/>
      <c r="H342" s="379"/>
      <c r="I342" s="379"/>
      <c r="J342" s="464"/>
      <c r="K342" s="464"/>
      <c r="L342" s="379"/>
      <c r="M342" s="379"/>
      <c r="N342" s="50"/>
      <c r="O342" s="50"/>
      <c r="P342" s="379"/>
      <c r="Q342" s="379"/>
      <c r="R342" s="379"/>
      <c r="T342" s="366">
        <v>89</v>
      </c>
      <c r="U342" s="194"/>
      <c r="V342" s="195" t="str">
        <f t="shared" si="33"/>
        <v xml:space="preserve">   Reveal - Pre-fabricated - Style D Pole</v>
      </c>
      <c r="W342" s="194"/>
      <c r="X342" s="194"/>
      <c r="Y342" s="189">
        <f t="shared" si="34"/>
        <v>0</v>
      </c>
      <c r="Z342" s="131"/>
      <c r="AA342" s="189"/>
      <c r="AB342" s="189"/>
      <c r="AC342" s="521">
        <v>5.77</v>
      </c>
      <c r="AD342" s="526"/>
      <c r="AE342" s="191">
        <f t="shared" si="35"/>
        <v>0</v>
      </c>
      <c r="AF342" s="131"/>
      <c r="AG342" s="311">
        <v>0</v>
      </c>
      <c r="AH342" s="131"/>
      <c r="AI342" s="191">
        <f t="shared" si="36"/>
        <v>0</v>
      </c>
      <c r="AJ342" s="131"/>
      <c r="AK342" s="304" t="str">
        <f t="shared" si="37"/>
        <v xml:space="preserve">0.0 </v>
      </c>
      <c r="AL342" s="131"/>
      <c r="AM342" s="131"/>
      <c r="AN342" s="131"/>
      <c r="AO342" s="191">
        <f t="shared" si="39"/>
        <v>0</v>
      </c>
      <c r="AP342" s="131"/>
      <c r="AQ342" s="304" t="str">
        <f t="shared" si="38"/>
        <v xml:space="preserve">0.0 </v>
      </c>
      <c r="AS342" s="382"/>
      <c r="AW342" s="55"/>
    </row>
    <row r="343" spans="1:49" x14ac:dyDescent="0.25">
      <c r="F343" s="379"/>
      <c r="H343" s="381"/>
      <c r="I343" s="381"/>
      <c r="J343" s="464"/>
      <c r="K343" s="464"/>
      <c r="L343" s="381"/>
      <c r="M343" s="381"/>
      <c r="N343" s="381"/>
      <c r="O343" s="381"/>
      <c r="P343" s="381"/>
      <c r="Q343" s="381"/>
      <c r="R343" s="381"/>
      <c r="T343" s="366">
        <v>90</v>
      </c>
      <c r="U343" s="194"/>
      <c r="V343" s="195" t="str">
        <f t="shared" si="33"/>
        <v xml:space="preserve">   Reveal - Pre-fabricated - Style E Pole</v>
      </c>
      <c r="W343" s="194"/>
      <c r="X343" s="194"/>
      <c r="Y343" s="189">
        <f t="shared" si="34"/>
        <v>0</v>
      </c>
      <c r="Z343" s="131"/>
      <c r="AA343" s="189"/>
      <c r="AB343" s="131"/>
      <c r="AC343" s="521">
        <v>6.27</v>
      </c>
      <c r="AD343" s="526"/>
      <c r="AE343" s="191">
        <f t="shared" si="35"/>
        <v>0</v>
      </c>
      <c r="AF343" s="191"/>
      <c r="AG343" s="311">
        <v>0</v>
      </c>
      <c r="AH343" s="303"/>
      <c r="AI343" s="191">
        <f t="shared" si="36"/>
        <v>0</v>
      </c>
      <c r="AJ343" s="191"/>
      <c r="AK343" s="304" t="str">
        <f t="shared" si="37"/>
        <v xml:space="preserve">0.0 </v>
      </c>
      <c r="AL343" s="305"/>
      <c r="AM343" s="131"/>
      <c r="AN343" s="191"/>
      <c r="AO343" s="191">
        <f t="shared" si="39"/>
        <v>0</v>
      </c>
      <c r="AP343" s="191"/>
      <c r="AQ343" s="304" t="str">
        <f t="shared" si="38"/>
        <v xml:space="preserve">0.0 </v>
      </c>
      <c r="AS343" s="382"/>
      <c r="AW343" s="55"/>
    </row>
    <row r="344" spans="1:49" x14ac:dyDescent="0.25">
      <c r="F344" s="379"/>
      <c r="H344" s="379"/>
      <c r="I344" s="379"/>
      <c r="J344" s="464"/>
      <c r="K344" s="464"/>
      <c r="L344" s="379"/>
      <c r="M344" s="379"/>
      <c r="N344" s="379"/>
      <c r="O344" s="379"/>
      <c r="P344" s="379"/>
      <c r="Q344" s="379"/>
      <c r="R344" s="379"/>
      <c r="T344" s="366">
        <v>91</v>
      </c>
      <c r="U344" s="194"/>
      <c r="V344" s="195" t="str">
        <f t="shared" si="33"/>
        <v xml:space="preserve">   Reveal - Pre-fabricated - Style F Pole</v>
      </c>
      <c r="W344" s="194"/>
      <c r="X344" s="194"/>
      <c r="Y344" s="189">
        <f t="shared" si="34"/>
        <v>0</v>
      </c>
      <c r="Z344" s="131"/>
      <c r="AA344" s="189"/>
      <c r="AB344" s="189"/>
      <c r="AC344" s="521">
        <v>9.44</v>
      </c>
      <c r="AD344" s="526"/>
      <c r="AE344" s="191">
        <f t="shared" si="35"/>
        <v>0</v>
      </c>
      <c r="AF344" s="191"/>
      <c r="AG344" s="311">
        <v>0</v>
      </c>
      <c r="AH344" s="303"/>
      <c r="AI344" s="191">
        <f t="shared" si="36"/>
        <v>0</v>
      </c>
      <c r="AJ344" s="191"/>
      <c r="AK344" s="304" t="str">
        <f t="shared" si="37"/>
        <v xml:space="preserve">0.0 </v>
      </c>
      <c r="AL344" s="305"/>
      <c r="AM344" s="131"/>
      <c r="AN344" s="191"/>
      <c r="AO344" s="191">
        <f t="shared" si="39"/>
        <v>0</v>
      </c>
      <c r="AP344" s="191"/>
      <c r="AQ344" s="304" t="str">
        <f t="shared" si="38"/>
        <v xml:space="preserve">0.0 </v>
      </c>
      <c r="AS344" s="382"/>
      <c r="AW344" s="55"/>
    </row>
    <row r="345" spans="1:49" x14ac:dyDescent="0.25">
      <c r="F345" s="379"/>
      <c r="H345" s="379"/>
      <c r="I345" s="379"/>
      <c r="J345" s="464"/>
      <c r="K345" s="464"/>
      <c r="L345" s="379"/>
      <c r="M345" s="379"/>
      <c r="N345" s="379"/>
      <c r="O345" s="379"/>
      <c r="P345" s="379"/>
      <c r="Q345" s="379"/>
      <c r="R345" s="379"/>
      <c r="T345" s="366">
        <v>92</v>
      </c>
      <c r="U345" s="194"/>
      <c r="V345" s="195" t="str">
        <f t="shared" si="33"/>
        <v xml:space="preserve">   Screw-in Foundation</v>
      </c>
      <c r="W345" s="194"/>
      <c r="X345" s="194"/>
      <c r="Y345" s="189">
        <f t="shared" si="34"/>
        <v>0</v>
      </c>
      <c r="Z345" s="131"/>
      <c r="AA345" s="189"/>
      <c r="AB345" s="189"/>
      <c r="AC345" s="521">
        <v>9.7899999999999991</v>
      </c>
      <c r="AD345" s="526"/>
      <c r="AE345" s="191">
        <f t="shared" si="35"/>
        <v>0</v>
      </c>
      <c r="AF345" s="191"/>
      <c r="AG345" s="311">
        <v>0</v>
      </c>
      <c r="AH345" s="303"/>
      <c r="AI345" s="191">
        <f t="shared" si="36"/>
        <v>0</v>
      </c>
      <c r="AJ345" s="191"/>
      <c r="AK345" s="304" t="str">
        <f t="shared" si="37"/>
        <v xml:space="preserve">0.0 </v>
      </c>
      <c r="AL345" s="305"/>
      <c r="AM345" s="131"/>
      <c r="AN345" s="191"/>
      <c r="AO345" s="191">
        <f t="shared" si="39"/>
        <v>0</v>
      </c>
      <c r="AP345" s="191"/>
      <c r="AQ345" s="304" t="str">
        <f t="shared" si="38"/>
        <v xml:space="preserve">0.0 </v>
      </c>
      <c r="AS345" s="382"/>
      <c r="AW345" s="55"/>
    </row>
    <row r="346" spans="1:49" x14ac:dyDescent="0.25">
      <c r="F346" s="379"/>
      <c r="H346" s="379"/>
      <c r="I346" s="379"/>
      <c r="J346" s="464"/>
      <c r="K346" s="464"/>
      <c r="L346" s="379"/>
      <c r="M346" s="379"/>
      <c r="N346" s="379"/>
      <c r="O346" s="379"/>
      <c r="P346" s="379"/>
      <c r="Q346" s="379"/>
      <c r="R346" s="379"/>
      <c r="T346" s="366">
        <v>93</v>
      </c>
      <c r="U346" s="194"/>
      <c r="V346" s="195" t="str">
        <f t="shared" si="33"/>
        <v>TOTAL LED POLE FOUNDATIONS</v>
      </c>
      <c r="W346" s="194"/>
      <c r="X346" s="194"/>
      <c r="Y346" s="264">
        <f>SUM(Y299:Y345)</f>
        <v>0</v>
      </c>
      <c r="Z346" s="131"/>
      <c r="AA346" s="189"/>
      <c r="AB346" s="189"/>
      <c r="AC346" s="521"/>
      <c r="AD346" s="526"/>
      <c r="AE346" s="264">
        <f>SUM(AE299:AE345)</f>
        <v>0</v>
      </c>
      <c r="AF346" s="191"/>
      <c r="AG346" s="311">
        <v>0</v>
      </c>
      <c r="AH346" s="303"/>
      <c r="AI346" s="264">
        <f>SUM(AI299:AI345)</f>
        <v>0</v>
      </c>
      <c r="AJ346" s="191"/>
      <c r="AK346" s="304" t="str">
        <f t="shared" si="37"/>
        <v xml:space="preserve">0.0 </v>
      </c>
      <c r="AL346" s="305"/>
      <c r="AM346" s="131"/>
      <c r="AN346" s="191"/>
      <c r="AO346" s="264">
        <f>SUM(AO299:AO345)</f>
        <v>0</v>
      </c>
      <c r="AP346" s="191"/>
      <c r="AQ346" s="304" t="str">
        <f t="shared" si="38"/>
        <v xml:space="preserve">0.0 </v>
      </c>
      <c r="AS346" s="382"/>
      <c r="AW346" s="55"/>
    </row>
    <row r="347" spans="1:49" x14ac:dyDescent="0.25">
      <c r="F347" s="379"/>
      <c r="H347" s="379"/>
      <c r="I347" s="379"/>
      <c r="J347" s="464"/>
      <c r="K347" s="464"/>
      <c r="L347" s="379"/>
      <c r="M347" s="379"/>
      <c r="N347" s="379"/>
      <c r="O347" s="379"/>
      <c r="P347" s="379"/>
      <c r="Q347" s="379"/>
      <c r="R347" s="379"/>
      <c r="T347" s="366"/>
      <c r="U347" s="194"/>
      <c r="V347" s="195"/>
      <c r="W347" s="194"/>
      <c r="X347" s="194"/>
      <c r="Y347" s="189"/>
      <c r="Z347" s="131"/>
      <c r="AA347" s="189"/>
      <c r="AB347" s="189"/>
      <c r="AC347" s="521"/>
      <c r="AD347" s="526"/>
      <c r="AE347" s="191"/>
      <c r="AF347" s="191"/>
      <c r="AG347" s="302"/>
      <c r="AH347" s="303"/>
      <c r="AI347" s="191"/>
      <c r="AJ347" s="191"/>
      <c r="AK347" s="304"/>
      <c r="AL347" s="305"/>
      <c r="AM347" s="191"/>
      <c r="AN347" s="191"/>
      <c r="AO347" s="191"/>
      <c r="AP347" s="191"/>
      <c r="AQ347" s="304"/>
      <c r="AS347" s="382"/>
      <c r="AW347" s="55"/>
    </row>
    <row r="348" spans="1:49" ht="20.100000000000001" customHeight="1" x14ac:dyDescent="0.25">
      <c r="A348" s="54"/>
      <c r="R348" s="54"/>
      <c r="T348" s="368" t="str">
        <f>A135</f>
        <v>(1) THESE FIGURES REPRESENT NUMBER OF UNITS BILLED.</v>
      </c>
      <c r="U348" s="194"/>
      <c r="V348" s="520" t="s">
        <v>825</v>
      </c>
      <c r="W348" s="194"/>
      <c r="X348" s="194"/>
      <c r="Y348" s="310"/>
      <c r="Z348" s="131"/>
      <c r="AA348" s="310"/>
      <c r="AB348" s="191"/>
      <c r="AC348" s="229"/>
      <c r="AD348" s="194"/>
      <c r="AE348" s="310"/>
      <c r="AF348" s="194"/>
      <c r="AG348" s="344"/>
      <c r="AH348" s="194"/>
      <c r="AI348" s="310"/>
      <c r="AJ348" s="194"/>
      <c r="AK348" s="319"/>
      <c r="AL348" s="347"/>
      <c r="AM348" s="237"/>
      <c r="AN348" s="348"/>
      <c r="AO348" s="310"/>
      <c r="AP348" s="347"/>
      <c r="AQ348" s="304"/>
      <c r="AS348" s="382"/>
      <c r="AW348" s="55"/>
    </row>
    <row r="349" spans="1:49" ht="20.100000000000001" customHeight="1" x14ac:dyDescent="0.25">
      <c r="A349" s="54"/>
      <c r="R349" s="54"/>
      <c r="T349" s="368" t="str">
        <f>A136</f>
        <v>(1A) REFLECTS FUEL COST RECOVERY INCLUDED IN BASE RATES OF $0.023837  PER KWH.</v>
      </c>
      <c r="U349" s="194"/>
      <c r="V349" s="300">
        <f>C136</f>
        <v>0</v>
      </c>
      <c r="W349" s="194"/>
      <c r="X349" s="194"/>
      <c r="Y349" s="310"/>
      <c r="Z349" s="131"/>
      <c r="AA349" s="310"/>
      <c r="AB349" s="191"/>
      <c r="AC349" s="576">
        <f>CUR_ESM_NONRES</f>
        <v>0.18160000000000001</v>
      </c>
      <c r="AD349" s="194"/>
      <c r="AE349" s="310">
        <f>ROUND(($AO$272+$AO$274+$AO$346-CUR_BASE_FUEL*AA354)*AC349,0)</f>
        <v>0</v>
      </c>
      <c r="AF349" s="194"/>
      <c r="AG349" s="344">
        <v>0</v>
      </c>
      <c r="AH349" s="194"/>
      <c r="AI349" s="191">
        <f>L136-AE349</f>
        <v>0</v>
      </c>
      <c r="AJ349" s="194"/>
      <c r="AK349" s="319" t="str">
        <f t="shared" ref="AK349:AK351" si="40">IF(AE349=0,"0.0 ",ROUND((AI349/AE349)*100,1))</f>
        <v xml:space="preserve">0.0 </v>
      </c>
      <c r="AL349" s="347"/>
      <c r="AM349" s="237"/>
      <c r="AN349" s="348"/>
      <c r="AO349" s="310">
        <f t="shared" ref="AO349:AO351" si="41">AE349+AM349</f>
        <v>0</v>
      </c>
      <c r="AP349" s="347"/>
      <c r="AQ349" s="304" t="str">
        <f t="shared" ref="AQ349:AQ354" si="42">IF(AO349=0,"0.0 ",ROUND((AI349/AO349)*100,1))</f>
        <v xml:space="preserve">0.0 </v>
      </c>
      <c r="AS349" s="382"/>
      <c r="AW349" s="55"/>
    </row>
    <row r="350" spans="1:49" ht="20.100000000000001" customHeight="1" x14ac:dyDescent="0.25">
      <c r="A350" s="54"/>
      <c r="R350" s="54"/>
      <c r="T350" s="368">
        <v>96</v>
      </c>
      <c r="U350" s="194"/>
      <c r="V350" s="300">
        <f>C137</f>
        <v>0</v>
      </c>
      <c r="W350" s="194"/>
      <c r="X350" s="194"/>
      <c r="Y350" s="310"/>
      <c r="Z350" s="131"/>
      <c r="AA350" s="310"/>
      <c r="AB350" s="191"/>
      <c r="AC350" s="539">
        <f>CUR_FAC</f>
        <v>6.8099999999999996E-4</v>
      </c>
      <c r="AD350" s="194"/>
      <c r="AE350" s="310"/>
      <c r="AF350" s="194"/>
      <c r="AG350" s="344">
        <v>0</v>
      </c>
      <c r="AH350" s="194"/>
      <c r="AI350" s="191">
        <f>L137-AE350</f>
        <v>0</v>
      </c>
      <c r="AJ350" s="194"/>
      <c r="AK350" s="319" t="str">
        <f t="shared" si="40"/>
        <v xml:space="preserve">0.0 </v>
      </c>
      <c r="AL350" s="347"/>
      <c r="AM350" s="237">
        <f>ROUND(AC350*AA354,0)</f>
        <v>0</v>
      </c>
      <c r="AN350" s="348"/>
      <c r="AO350" s="310">
        <f t="shared" si="41"/>
        <v>0</v>
      </c>
      <c r="AP350" s="347"/>
      <c r="AQ350" s="304" t="str">
        <f t="shared" si="42"/>
        <v xml:space="preserve">0.0 </v>
      </c>
      <c r="AS350" s="382"/>
      <c r="AW350" s="55"/>
    </row>
    <row r="351" spans="1:49" ht="15.75" customHeight="1" x14ac:dyDescent="0.25">
      <c r="A351" s="54"/>
      <c r="R351" s="54"/>
      <c r="T351" s="368">
        <v>97</v>
      </c>
      <c r="U351" s="194"/>
      <c r="V351" s="300">
        <f>C138</f>
        <v>0</v>
      </c>
      <c r="W351" s="194"/>
      <c r="X351" s="194"/>
      <c r="Y351" s="310"/>
      <c r="Z351" s="131"/>
      <c r="AA351" s="310"/>
      <c r="AB351" s="191"/>
      <c r="AC351" s="539">
        <f>RS_PSM</f>
        <v>-1.63E-4</v>
      </c>
      <c r="AD351" s="194"/>
      <c r="AE351" s="314">
        <f>ROUND(($AA$354)*AC351,0)</f>
        <v>0</v>
      </c>
      <c r="AF351" s="194"/>
      <c r="AG351" s="313">
        <v>0</v>
      </c>
      <c r="AH351" s="194"/>
      <c r="AI351" s="191">
        <f>L138-AE351</f>
        <v>0</v>
      </c>
      <c r="AJ351" s="194"/>
      <c r="AK351" s="315" t="str">
        <f t="shared" si="40"/>
        <v xml:space="preserve">0.0 </v>
      </c>
      <c r="AL351" s="347"/>
      <c r="AM351" s="537"/>
      <c r="AN351" s="348"/>
      <c r="AO351" s="314">
        <f t="shared" si="41"/>
        <v>0</v>
      </c>
      <c r="AP351" s="131"/>
      <c r="AQ351" s="304" t="str">
        <f t="shared" si="42"/>
        <v xml:space="preserve">0.0 </v>
      </c>
      <c r="AS351" s="382"/>
      <c r="AW351" s="55"/>
    </row>
    <row r="352" spans="1:49" ht="20.100000000000001" customHeight="1" x14ac:dyDescent="0.25">
      <c r="A352" s="54"/>
      <c r="R352" s="54"/>
      <c r="T352" s="368">
        <v>98</v>
      </c>
      <c r="U352" s="194"/>
      <c r="V352" s="520" t="s">
        <v>538</v>
      </c>
      <c r="W352" s="194"/>
      <c r="X352" s="194"/>
      <c r="Y352" s="310"/>
      <c r="Z352" s="131"/>
      <c r="AA352" s="310"/>
      <c r="AB352" s="191"/>
      <c r="AC352" s="229"/>
      <c r="AD352" s="194"/>
      <c r="AE352" s="316">
        <f>SUM(AE349:AE351)</f>
        <v>0</v>
      </c>
      <c r="AF352" s="194"/>
      <c r="AG352" s="317">
        <v>0</v>
      </c>
      <c r="AH352" s="194"/>
      <c r="AI352" s="316">
        <f>SUM(AI349:AI351)</f>
        <v>0</v>
      </c>
      <c r="AJ352" s="194"/>
      <c r="AK352" s="318" t="str">
        <f>IF(AE352=0,"0.0 ",ROUND((AI352/AE352)*100,1))</f>
        <v xml:space="preserve">0.0 </v>
      </c>
      <c r="AL352" s="347"/>
      <c r="AM352" s="532"/>
      <c r="AN352" s="348"/>
      <c r="AO352" s="316">
        <f>SUM(AO349:AO351)</f>
        <v>0</v>
      </c>
      <c r="AP352" s="347"/>
      <c r="AQ352" s="304" t="str">
        <f t="shared" si="42"/>
        <v xml:space="preserve">0.0 </v>
      </c>
      <c r="AS352" s="382"/>
      <c r="AW352" s="55"/>
    </row>
    <row r="353" spans="1:49" ht="15.75" customHeight="1" x14ac:dyDescent="0.25">
      <c r="A353" s="54"/>
      <c r="R353" s="54"/>
      <c r="T353" s="368"/>
      <c r="U353" s="194"/>
      <c r="V353" s="518"/>
      <c r="W353" s="194"/>
      <c r="X353" s="194"/>
      <c r="Y353" s="310"/>
      <c r="Z353" s="131"/>
      <c r="AA353" s="310"/>
      <c r="AB353" s="191"/>
      <c r="AC353" s="229"/>
      <c r="AD353" s="194"/>
      <c r="AE353" s="310"/>
      <c r="AF353" s="194"/>
      <c r="AG353" s="344"/>
      <c r="AH353" s="194"/>
      <c r="AI353" s="310"/>
      <c r="AJ353" s="194"/>
      <c r="AK353" s="319"/>
      <c r="AL353" s="347"/>
      <c r="AM353" s="237"/>
      <c r="AN353" s="348"/>
      <c r="AO353" s="310"/>
      <c r="AP353" s="347"/>
      <c r="AQ353" s="304"/>
      <c r="AS353" s="382"/>
      <c r="AW353" s="55"/>
    </row>
    <row r="354" spans="1:49" ht="25.5" customHeight="1" thickBot="1" x14ac:dyDescent="0.3">
      <c r="L354" s="54"/>
      <c r="M354" s="54"/>
      <c r="R354" s="53"/>
      <c r="T354" s="368">
        <v>99</v>
      </c>
      <c r="U354" s="194"/>
      <c r="V354" s="518" t="s">
        <v>697</v>
      </c>
      <c r="W354" s="194"/>
      <c r="X354" s="194"/>
      <c r="Y354" s="352">
        <f>Y346+Y272</f>
        <v>0</v>
      </c>
      <c r="Z354" s="131"/>
      <c r="AA354" s="352">
        <f>AA346+AA272</f>
        <v>0</v>
      </c>
      <c r="AB354" s="191"/>
      <c r="AC354" s="229"/>
      <c r="AD354" s="194"/>
      <c r="AE354" s="352">
        <f>AE352+AE346+AE274+AE272</f>
        <v>0</v>
      </c>
      <c r="AF354" s="194"/>
      <c r="AG354" s="353">
        <v>0</v>
      </c>
      <c r="AH354" s="194"/>
      <c r="AI354" s="352">
        <f>AI352+AI346+AI274+AI272</f>
        <v>0</v>
      </c>
      <c r="AJ354" s="194"/>
      <c r="AK354" s="354" t="str">
        <f t="shared" ref="AK354" si="43">IF(AE354=0,"0.0 ",ROUND((AI354/AE354)*100,1))</f>
        <v xml:space="preserve">0.0 </v>
      </c>
      <c r="AL354" s="194"/>
      <c r="AM354" s="577">
        <f>ROUND(AA354*CUR_FAC,0)</f>
        <v>0</v>
      </c>
      <c r="AN354" s="194"/>
      <c r="AO354" s="352">
        <f>AO352+AO346+AO274+AO272</f>
        <v>0</v>
      </c>
      <c r="AP354" s="194"/>
      <c r="AQ354" s="304" t="str">
        <f t="shared" si="42"/>
        <v xml:space="preserve">0.0 </v>
      </c>
      <c r="AS354" s="382"/>
      <c r="AW354" s="55"/>
    </row>
    <row r="355" spans="1:49" ht="16.5" thickTop="1" x14ac:dyDescent="0.25">
      <c r="L355" s="54"/>
      <c r="M355" s="54"/>
      <c r="R355" s="53"/>
      <c r="T355" s="229"/>
      <c r="U355" s="194"/>
      <c r="V355" s="196"/>
      <c r="W355" s="194"/>
      <c r="X355" s="194"/>
      <c r="Y355" s="310"/>
      <c r="Z355" s="131"/>
      <c r="AA355" s="310"/>
      <c r="AB355" s="191"/>
      <c r="AC355" s="229"/>
      <c r="AD355" s="194"/>
      <c r="AE355" s="310"/>
      <c r="AF355" s="194"/>
      <c r="AG355" s="344"/>
      <c r="AH355" s="194"/>
      <c r="AI355" s="310"/>
      <c r="AJ355" s="194"/>
      <c r="AK355" s="319"/>
      <c r="AL355" s="194"/>
      <c r="AM355" s="238"/>
      <c r="AN355" s="194"/>
      <c r="AO355" s="310"/>
      <c r="AP355" s="194"/>
      <c r="AQ355" s="304"/>
      <c r="AW355" s="55"/>
    </row>
    <row r="356" spans="1:49" x14ac:dyDescent="0.25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T356" s="320" t="s">
        <v>78</v>
      </c>
      <c r="U356" s="321"/>
      <c r="V356" s="293"/>
      <c r="W356" s="293"/>
      <c r="X356" s="293"/>
      <c r="Y356" s="293"/>
      <c r="Z356" s="293"/>
      <c r="AA356" s="293"/>
      <c r="AB356" s="293"/>
      <c r="AC356" s="321"/>
      <c r="AD356" s="293"/>
      <c r="AE356" s="322"/>
      <c r="AF356" s="293"/>
      <c r="AG356" s="323"/>
      <c r="AH356" s="293"/>
      <c r="AI356" s="321"/>
      <c r="AJ356" s="293"/>
      <c r="AK356" s="324"/>
      <c r="AL356" s="293"/>
      <c r="AM356" s="293"/>
      <c r="AN356" s="293"/>
      <c r="AO356" s="293"/>
      <c r="AP356" s="194"/>
      <c r="AQ356" s="331"/>
      <c r="AW356" s="55"/>
    </row>
    <row r="357" spans="1:49" x14ac:dyDescent="0.25">
      <c r="L357" s="56"/>
      <c r="M357" s="56"/>
      <c r="N357" s="56"/>
      <c r="O357" s="56"/>
      <c r="R357" s="56"/>
      <c r="T357" s="320" t="str">
        <f>"(1A) REFLECTS FUEL COST RECOVERY INCLUDED IN BASE RATES OF "&amp;TEXT(CUR_BASE_FUEL,"$0.000000;($0.000000)")&amp;"  PER KWH."</f>
        <v>(1A) REFLECTS FUEL COST RECOVERY INCLUDED IN BASE RATES OF $0.023837  PER KWH.</v>
      </c>
      <c r="U357" s="293"/>
      <c r="V357" s="293"/>
      <c r="W357" s="293"/>
      <c r="X357" s="293"/>
      <c r="Y357" s="327"/>
      <c r="Z357" s="293"/>
      <c r="AA357" s="293"/>
      <c r="AB357" s="293"/>
      <c r="AC357" s="321"/>
      <c r="AD357" s="293"/>
      <c r="AE357" s="324"/>
      <c r="AF357" s="293"/>
      <c r="AG357" s="323"/>
      <c r="AH357" s="293"/>
      <c r="AI357" s="321"/>
      <c r="AJ357" s="293"/>
      <c r="AK357" s="322"/>
      <c r="AL357" s="293"/>
      <c r="AM357" s="293"/>
      <c r="AN357" s="293"/>
      <c r="AO357" s="293"/>
      <c r="AP357" s="194"/>
      <c r="AQ357" s="331"/>
      <c r="AW357" s="55"/>
    </row>
    <row r="358" spans="1:49" x14ac:dyDescent="0.25">
      <c r="L358" s="56"/>
      <c r="M358" s="56"/>
      <c r="N358" s="56"/>
      <c r="O358" s="56"/>
      <c r="R358" s="56"/>
      <c r="T358" s="320" t="str">
        <f>"(2) REFLECTS FUEL COMPONENT OF "&amp;TEXT(CUR_FAC,"$0.000000;($0.000000)")&amp;"  PER KWH."</f>
        <v>(2) REFLECTS FUEL COMPONENT OF $0.000681  PER KWH.</v>
      </c>
      <c r="U358" s="293"/>
      <c r="V358" s="293"/>
      <c r="W358" s="293"/>
      <c r="X358" s="293"/>
      <c r="Y358" s="327"/>
      <c r="Z358" s="293"/>
      <c r="AA358" s="293"/>
      <c r="AB358" s="293"/>
      <c r="AC358" s="321"/>
      <c r="AD358" s="293"/>
      <c r="AE358" s="324"/>
      <c r="AF358" s="293"/>
      <c r="AG358" s="323"/>
      <c r="AH358" s="293"/>
      <c r="AI358" s="321"/>
      <c r="AJ358" s="293"/>
      <c r="AK358" s="322"/>
      <c r="AL358" s="293"/>
      <c r="AM358" s="293"/>
      <c r="AN358" s="293"/>
      <c r="AO358" s="293"/>
      <c r="AP358" s="194"/>
      <c r="AQ358" s="331"/>
      <c r="AW358" s="55"/>
    </row>
    <row r="359" spans="1:49" x14ac:dyDescent="0.25">
      <c r="L359" s="56"/>
      <c r="M359" s="56"/>
      <c r="N359" s="56"/>
      <c r="O359" s="56"/>
      <c r="R359" s="56"/>
      <c r="T359" s="322"/>
      <c r="U359" s="293"/>
      <c r="V359" s="293"/>
      <c r="W359" s="293"/>
      <c r="X359" s="293"/>
      <c r="Y359" s="327"/>
      <c r="Z359" s="293"/>
      <c r="AA359" s="293"/>
      <c r="AB359" s="293"/>
      <c r="AC359" s="321"/>
      <c r="AD359" s="293"/>
      <c r="AE359" s="322"/>
      <c r="AF359" s="293"/>
      <c r="AG359" s="323"/>
      <c r="AH359" s="293"/>
      <c r="AI359" s="321"/>
      <c r="AJ359" s="293"/>
      <c r="AK359" s="322"/>
      <c r="AL359" s="293"/>
      <c r="AM359" s="293"/>
      <c r="AN359" s="293"/>
      <c r="AO359" s="293"/>
      <c r="AP359" s="194"/>
      <c r="AQ359" s="331"/>
      <c r="AW359" s="55"/>
    </row>
    <row r="360" spans="1:49" x14ac:dyDescent="0.25">
      <c r="A360" s="56"/>
      <c r="C360" s="56"/>
      <c r="D360" s="56"/>
      <c r="E360" s="56"/>
      <c r="F360" s="56"/>
      <c r="J360" s="56"/>
      <c r="K360" s="56"/>
      <c r="L360" s="56"/>
      <c r="M360" s="56"/>
      <c r="N360" s="56"/>
      <c r="O360" s="56"/>
      <c r="P360" s="56"/>
      <c r="Q360" s="56"/>
      <c r="R360" s="56"/>
      <c r="T360" s="322"/>
      <c r="U360" s="293"/>
      <c r="V360" s="293"/>
      <c r="W360" s="293"/>
      <c r="X360" s="293"/>
      <c r="Y360" s="327"/>
      <c r="Z360" s="293"/>
      <c r="AA360" s="293"/>
      <c r="AB360" s="293"/>
      <c r="AC360" s="321"/>
      <c r="AD360" s="321"/>
      <c r="AE360" s="322"/>
      <c r="AF360" s="321"/>
      <c r="AG360" s="328"/>
      <c r="AH360" s="321"/>
      <c r="AI360" s="321"/>
      <c r="AJ360" s="321"/>
      <c r="AK360" s="322"/>
      <c r="AL360" s="293"/>
      <c r="AM360" s="293"/>
      <c r="AN360" s="293"/>
      <c r="AO360" s="293"/>
      <c r="AP360" s="194"/>
      <c r="AQ360" s="331"/>
      <c r="AW360" s="55"/>
    </row>
    <row r="361" spans="1:49" x14ac:dyDescent="0.25">
      <c r="A361" s="56"/>
      <c r="C361" s="56"/>
      <c r="D361" s="56"/>
      <c r="E361" s="56"/>
      <c r="F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T361" s="229"/>
      <c r="U361" s="231"/>
      <c r="V361" s="231"/>
      <c r="W361" s="229"/>
      <c r="X361" s="229"/>
      <c r="Y361" s="229"/>
      <c r="Z361" s="229"/>
      <c r="AA361" s="231"/>
      <c r="AB361" s="231"/>
      <c r="AC361" s="229"/>
      <c r="AD361" s="231"/>
      <c r="AE361" s="231"/>
      <c r="AF361" s="231"/>
      <c r="AG361" s="332"/>
      <c r="AH361" s="231"/>
      <c r="AI361" s="231"/>
      <c r="AJ361" s="231"/>
      <c r="AK361" s="332"/>
      <c r="AL361" s="231"/>
      <c r="AM361" s="231"/>
      <c r="AN361" s="231"/>
      <c r="AO361" s="231"/>
      <c r="AP361" s="231"/>
      <c r="AQ361" s="333"/>
      <c r="AW361" s="55"/>
    </row>
    <row r="362" spans="1:49" x14ac:dyDescent="0.25">
      <c r="C362" s="56"/>
      <c r="D362" s="56"/>
      <c r="E362" s="56"/>
      <c r="F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T362" s="231"/>
      <c r="U362" s="231"/>
      <c r="V362" s="231"/>
      <c r="W362" s="229"/>
      <c r="X362" s="229"/>
      <c r="Y362" s="229"/>
      <c r="Z362" s="229"/>
      <c r="AA362" s="231"/>
      <c r="AB362" s="231"/>
      <c r="AC362" s="231"/>
      <c r="AD362" s="231"/>
      <c r="AE362" s="231"/>
      <c r="AF362" s="231"/>
      <c r="AG362" s="332"/>
      <c r="AH362" s="231"/>
      <c r="AI362" s="231"/>
      <c r="AJ362" s="231"/>
      <c r="AK362" s="332"/>
      <c r="AL362" s="231"/>
      <c r="AM362" s="231"/>
      <c r="AN362" s="231"/>
      <c r="AO362" s="231"/>
      <c r="AP362" s="231"/>
      <c r="AQ362" s="333"/>
      <c r="AW362" s="55"/>
    </row>
    <row r="363" spans="1:49" x14ac:dyDescent="0.25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T363" s="230"/>
      <c r="U363" s="230"/>
      <c r="V363" s="230"/>
      <c r="W363" s="230"/>
      <c r="X363" s="230"/>
      <c r="Y363" s="230"/>
      <c r="Z363" s="230"/>
      <c r="AA363" s="230"/>
      <c r="AB363" s="230"/>
      <c r="AC363" s="230"/>
      <c r="AD363" s="230"/>
      <c r="AE363" s="230"/>
      <c r="AF363" s="230"/>
      <c r="AG363" s="355"/>
      <c r="AH363" s="230"/>
      <c r="AI363" s="230"/>
      <c r="AJ363" s="230"/>
      <c r="AK363" s="355"/>
      <c r="AL363" s="230"/>
      <c r="AM363" s="230"/>
      <c r="AN363" s="230"/>
      <c r="AO363" s="230"/>
      <c r="AP363" s="230"/>
      <c r="AQ363" s="333"/>
      <c r="AW363" s="55"/>
    </row>
    <row r="364" spans="1:49" x14ac:dyDescent="0.25"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T364" s="229"/>
      <c r="U364" s="229"/>
      <c r="V364" s="229"/>
      <c r="W364" s="229"/>
      <c r="X364" s="229"/>
      <c r="Y364" s="229"/>
      <c r="Z364" s="229"/>
      <c r="AA364" s="231"/>
      <c r="AB364" s="231"/>
      <c r="AC364" s="231"/>
      <c r="AD364" s="231"/>
      <c r="AE364" s="231"/>
      <c r="AF364" s="231"/>
      <c r="AG364" s="332"/>
      <c r="AH364" s="231"/>
      <c r="AI364" s="231"/>
      <c r="AJ364" s="231"/>
      <c r="AK364" s="332"/>
      <c r="AL364" s="231"/>
      <c r="AM364" s="231"/>
      <c r="AN364" s="231"/>
      <c r="AO364" s="231"/>
      <c r="AP364" s="231"/>
      <c r="AQ364" s="333"/>
      <c r="AW364" s="55"/>
    </row>
    <row r="365" spans="1:49" x14ac:dyDescent="0.25">
      <c r="A365" s="53"/>
      <c r="C365" s="54"/>
      <c r="D365" s="54"/>
      <c r="E365" s="54"/>
      <c r="T365" s="301"/>
      <c r="U365" s="301"/>
      <c r="V365" s="229"/>
      <c r="W365" s="229"/>
      <c r="X365" s="229"/>
      <c r="Y365" s="229"/>
      <c r="Z365" s="229"/>
      <c r="AA365" s="229"/>
      <c r="AB365" s="229"/>
      <c r="AC365" s="229"/>
      <c r="AD365" s="229"/>
      <c r="AE365" s="229"/>
      <c r="AF365" s="229"/>
      <c r="AG365" s="330"/>
      <c r="AH365" s="229"/>
      <c r="AI365" s="229"/>
      <c r="AJ365" s="229"/>
      <c r="AK365" s="330"/>
      <c r="AL365" s="229"/>
      <c r="AM365" s="229"/>
      <c r="AN365" s="229"/>
      <c r="AO365" s="229"/>
      <c r="AP365" s="229"/>
      <c r="AQ365" s="333"/>
      <c r="AW365" s="55"/>
    </row>
    <row r="366" spans="1:49" x14ac:dyDescent="0.25">
      <c r="T366" s="229"/>
      <c r="U366" s="229"/>
      <c r="V366" s="229"/>
      <c r="W366" s="229"/>
      <c r="X366" s="229"/>
      <c r="Y366" s="229"/>
      <c r="Z366" s="229"/>
      <c r="AA366" s="229"/>
      <c r="AB366" s="229"/>
      <c r="AC366" s="229"/>
      <c r="AD366" s="229"/>
      <c r="AE366" s="229"/>
      <c r="AF366" s="229"/>
      <c r="AG366" s="330"/>
      <c r="AH366" s="229"/>
      <c r="AI366" s="229"/>
      <c r="AJ366" s="229"/>
      <c r="AK366" s="330"/>
      <c r="AL366" s="229"/>
      <c r="AM366" s="229"/>
      <c r="AN366" s="229"/>
      <c r="AO366" s="229"/>
      <c r="AP366" s="229"/>
      <c r="AQ366" s="333"/>
      <c r="AW366" s="55"/>
    </row>
    <row r="367" spans="1:49" x14ac:dyDescent="0.25">
      <c r="A367" s="53"/>
      <c r="C367" s="54"/>
      <c r="F367" s="449"/>
      <c r="H367" s="470"/>
      <c r="I367" s="470"/>
      <c r="J367" s="461"/>
      <c r="K367" s="461"/>
      <c r="L367" s="379"/>
      <c r="M367" s="379"/>
      <c r="N367" s="53"/>
      <c r="O367" s="53"/>
      <c r="P367" s="53"/>
      <c r="Q367" s="53"/>
      <c r="R367" s="379"/>
      <c r="T367" s="301"/>
      <c r="U367" s="229"/>
      <c r="V367" s="347"/>
      <c r="W367" s="229"/>
      <c r="X367" s="229"/>
      <c r="Y367" s="229"/>
      <c r="Z367" s="229"/>
      <c r="AA367" s="349"/>
      <c r="AB367" s="542"/>
      <c r="AC367" s="347"/>
      <c r="AD367" s="347"/>
      <c r="AE367" s="349"/>
      <c r="AF367" s="349"/>
      <c r="AG367" s="356"/>
      <c r="AH367" s="347"/>
      <c r="AI367" s="543"/>
      <c r="AJ367" s="543"/>
      <c r="AK367" s="356"/>
      <c r="AL367" s="347"/>
      <c r="AM367" s="347"/>
      <c r="AN367" s="347"/>
      <c r="AO367" s="544"/>
      <c r="AP367" s="544"/>
      <c r="AQ367" s="333"/>
      <c r="AW367" s="55"/>
    </row>
    <row r="368" spans="1:49" x14ac:dyDescent="0.25">
      <c r="F368" s="449"/>
      <c r="H368" s="470"/>
      <c r="I368" s="470"/>
      <c r="J368" s="470"/>
      <c r="K368" s="470"/>
      <c r="R368" s="379"/>
      <c r="T368" s="229"/>
      <c r="U368" s="229"/>
      <c r="V368" s="347"/>
      <c r="W368" s="229"/>
      <c r="X368" s="229"/>
      <c r="Y368" s="229"/>
      <c r="Z368" s="229"/>
      <c r="AA368" s="229"/>
      <c r="AB368" s="545"/>
      <c r="AC368" s="229"/>
      <c r="AD368" s="229"/>
      <c r="AE368" s="229"/>
      <c r="AF368" s="229"/>
      <c r="AG368" s="330"/>
      <c r="AH368" s="229"/>
      <c r="AI368" s="229"/>
      <c r="AJ368" s="229"/>
      <c r="AK368" s="330"/>
      <c r="AL368" s="229"/>
      <c r="AM368" s="229"/>
      <c r="AN368" s="229"/>
      <c r="AO368" s="229"/>
      <c r="AP368" s="229"/>
      <c r="AQ368" s="333"/>
      <c r="AW368" s="55"/>
    </row>
    <row r="369" spans="1:49" x14ac:dyDescent="0.25">
      <c r="A369" s="53"/>
      <c r="C369" s="54"/>
      <c r="F369" s="449"/>
      <c r="H369" s="449"/>
      <c r="I369" s="449"/>
      <c r="J369" s="472"/>
      <c r="K369" s="472"/>
      <c r="L369" s="379"/>
      <c r="M369" s="379"/>
      <c r="N369" s="50"/>
      <c r="O369" s="50"/>
      <c r="P369" s="449"/>
      <c r="Q369" s="449"/>
      <c r="R369" s="379"/>
      <c r="T369" s="301"/>
      <c r="U369" s="229"/>
      <c r="V369" s="347"/>
      <c r="W369" s="229"/>
      <c r="X369" s="229"/>
      <c r="Y369" s="229"/>
      <c r="Z369" s="229"/>
      <c r="AA369" s="347"/>
      <c r="AB369" s="546"/>
      <c r="AC369" s="347"/>
      <c r="AD369" s="347"/>
      <c r="AE369" s="357"/>
      <c r="AF369" s="357"/>
      <c r="AG369" s="356"/>
      <c r="AH369" s="347"/>
      <c r="AI369" s="348"/>
      <c r="AJ369" s="348"/>
      <c r="AK369" s="547"/>
      <c r="AL369" s="447"/>
      <c r="AM369" s="347"/>
      <c r="AN369" s="347"/>
      <c r="AO369" s="357"/>
      <c r="AP369" s="357"/>
      <c r="AQ369" s="333"/>
      <c r="AW369" s="55"/>
    </row>
    <row r="370" spans="1:49" x14ac:dyDescent="0.25">
      <c r="F370" s="381"/>
      <c r="H370" s="381"/>
      <c r="I370" s="381"/>
      <c r="J370" s="464"/>
      <c r="K370" s="464"/>
      <c r="L370" s="381"/>
      <c r="M370" s="381"/>
      <c r="N370" s="381"/>
      <c r="O370" s="381"/>
      <c r="P370" s="381"/>
      <c r="Q370" s="381"/>
      <c r="R370" s="381"/>
      <c r="T370" s="229"/>
      <c r="U370" s="229"/>
      <c r="V370" s="358"/>
      <c r="W370" s="229"/>
      <c r="X370" s="229"/>
      <c r="Y370" s="229"/>
      <c r="Z370" s="229"/>
      <c r="AA370" s="358"/>
      <c r="AB370" s="548"/>
      <c r="AC370" s="358"/>
      <c r="AD370" s="358"/>
      <c r="AE370" s="358"/>
      <c r="AF370" s="358"/>
      <c r="AG370" s="359"/>
      <c r="AH370" s="358"/>
      <c r="AI370" s="229"/>
      <c r="AJ370" s="229"/>
      <c r="AK370" s="359"/>
      <c r="AL370" s="358"/>
      <c r="AM370" s="358"/>
      <c r="AN370" s="358"/>
      <c r="AO370" s="229"/>
      <c r="AP370" s="229"/>
      <c r="AQ370" s="333"/>
      <c r="AW370" s="55"/>
    </row>
    <row r="371" spans="1:49" x14ac:dyDescent="0.25">
      <c r="A371" s="53"/>
      <c r="D371" s="54"/>
      <c r="E371" s="54"/>
      <c r="F371" s="379"/>
      <c r="H371" s="379"/>
      <c r="I371" s="379"/>
      <c r="J371" s="59"/>
      <c r="K371" s="59"/>
      <c r="L371" s="379"/>
      <c r="M371" s="379"/>
      <c r="N371" s="50"/>
      <c r="O371" s="50"/>
      <c r="P371" s="379"/>
      <c r="Q371" s="379"/>
      <c r="R371" s="379"/>
      <c r="T371" s="229"/>
      <c r="U371" s="301"/>
      <c r="V371" s="347"/>
      <c r="W371" s="229"/>
      <c r="X371" s="229"/>
      <c r="Y371" s="229"/>
      <c r="Z371" s="229"/>
      <c r="AA371" s="347"/>
      <c r="AB371" s="360"/>
      <c r="AC371" s="347"/>
      <c r="AD371" s="347"/>
      <c r="AE371" s="357"/>
      <c r="AF371" s="357"/>
      <c r="AG371" s="356"/>
      <c r="AH371" s="347"/>
      <c r="AI371" s="348"/>
      <c r="AJ371" s="348"/>
      <c r="AK371" s="356"/>
      <c r="AL371" s="347"/>
      <c r="AM371" s="347"/>
      <c r="AN371" s="347"/>
      <c r="AO371" s="357"/>
      <c r="AP371" s="357"/>
      <c r="AQ371" s="333"/>
      <c r="AW371" s="55"/>
    </row>
    <row r="372" spans="1:49" x14ac:dyDescent="0.25">
      <c r="F372" s="381"/>
      <c r="H372" s="381"/>
      <c r="I372" s="381"/>
      <c r="J372" s="464"/>
      <c r="K372" s="464"/>
      <c r="L372" s="381"/>
      <c r="M372" s="381"/>
      <c r="N372" s="381"/>
      <c r="O372" s="381"/>
      <c r="P372" s="381"/>
      <c r="Q372" s="381"/>
      <c r="R372" s="381"/>
      <c r="T372" s="229"/>
      <c r="U372" s="229"/>
      <c r="V372" s="358"/>
      <c r="W372" s="229"/>
      <c r="X372" s="229"/>
      <c r="Y372" s="229"/>
      <c r="Z372" s="229"/>
      <c r="AA372" s="358"/>
      <c r="AB372" s="548"/>
      <c r="AC372" s="358"/>
      <c r="AD372" s="358"/>
      <c r="AE372" s="358"/>
      <c r="AF372" s="358"/>
      <c r="AG372" s="359"/>
      <c r="AH372" s="358"/>
      <c r="AI372" s="229"/>
      <c r="AJ372" s="229"/>
      <c r="AK372" s="359"/>
      <c r="AL372" s="358"/>
      <c r="AM372" s="358"/>
      <c r="AN372" s="358"/>
      <c r="AO372" s="229"/>
      <c r="AP372" s="229"/>
      <c r="AQ372" s="333"/>
      <c r="AW372" s="55"/>
    </row>
    <row r="373" spans="1:49" x14ac:dyDescent="0.25">
      <c r="R373" s="379"/>
      <c r="T373" s="229"/>
      <c r="U373" s="229"/>
      <c r="V373" s="229"/>
      <c r="W373" s="229"/>
      <c r="X373" s="229"/>
      <c r="Y373" s="229"/>
      <c r="Z373" s="229"/>
      <c r="AA373" s="229"/>
      <c r="AB373" s="229"/>
      <c r="AC373" s="229"/>
      <c r="AD373" s="229"/>
      <c r="AE373" s="229"/>
      <c r="AF373" s="229"/>
      <c r="AG373" s="330"/>
      <c r="AH373" s="229"/>
      <c r="AI373" s="229"/>
      <c r="AJ373" s="229"/>
      <c r="AK373" s="330"/>
      <c r="AL373" s="229"/>
      <c r="AM373" s="229"/>
      <c r="AN373" s="229"/>
      <c r="AO373" s="229"/>
      <c r="AP373" s="229"/>
      <c r="AQ373" s="333"/>
      <c r="AW373" s="55"/>
    </row>
    <row r="374" spans="1:49" x14ac:dyDescent="0.25">
      <c r="R374" s="379"/>
      <c r="T374" s="229"/>
      <c r="U374" s="229"/>
      <c r="V374" s="229"/>
      <c r="W374" s="229"/>
      <c r="X374" s="229"/>
      <c r="Y374" s="229"/>
      <c r="Z374" s="229"/>
      <c r="AA374" s="229"/>
      <c r="AB374" s="229"/>
      <c r="AC374" s="229"/>
      <c r="AD374" s="229"/>
      <c r="AE374" s="229"/>
      <c r="AF374" s="229"/>
      <c r="AG374" s="330"/>
      <c r="AH374" s="229"/>
      <c r="AI374" s="229"/>
      <c r="AJ374" s="229"/>
      <c r="AK374" s="330"/>
      <c r="AL374" s="229"/>
      <c r="AM374" s="229"/>
      <c r="AN374" s="229"/>
      <c r="AO374" s="229"/>
      <c r="AP374" s="229"/>
      <c r="AQ374" s="333"/>
      <c r="AW374" s="55"/>
    </row>
    <row r="375" spans="1:49" x14ac:dyDescent="0.25">
      <c r="R375" s="379"/>
      <c r="T375" s="229"/>
      <c r="U375" s="229"/>
      <c r="V375" s="229"/>
      <c r="W375" s="229"/>
      <c r="X375" s="229"/>
      <c r="Y375" s="229"/>
      <c r="Z375" s="229"/>
      <c r="AA375" s="229"/>
      <c r="AB375" s="229"/>
      <c r="AC375" s="229"/>
      <c r="AD375" s="229"/>
      <c r="AE375" s="229"/>
      <c r="AF375" s="229"/>
      <c r="AG375" s="330"/>
      <c r="AH375" s="229"/>
      <c r="AI375" s="229"/>
      <c r="AJ375" s="229"/>
      <c r="AK375" s="330"/>
      <c r="AL375" s="229"/>
      <c r="AM375" s="229"/>
      <c r="AN375" s="229"/>
      <c r="AO375" s="229"/>
      <c r="AP375" s="229"/>
      <c r="AQ375" s="333"/>
      <c r="AW375" s="55"/>
    </row>
    <row r="376" spans="1:49" x14ac:dyDescent="0.25">
      <c r="A376" s="53"/>
      <c r="C376" s="54"/>
      <c r="D376" s="54"/>
      <c r="E376" s="54"/>
      <c r="H376" s="379"/>
      <c r="I376" s="379"/>
      <c r="J376" s="59"/>
      <c r="K376" s="59"/>
      <c r="L376" s="379"/>
      <c r="M376" s="379"/>
      <c r="N376" s="50"/>
      <c r="O376" s="50"/>
      <c r="P376" s="379"/>
      <c r="Q376" s="379"/>
      <c r="R376" s="379"/>
      <c r="T376" s="301"/>
      <c r="U376" s="301"/>
      <c r="V376" s="229"/>
      <c r="W376" s="229"/>
      <c r="X376" s="229"/>
      <c r="Y376" s="229"/>
      <c r="Z376" s="229"/>
      <c r="AA376" s="347"/>
      <c r="AB376" s="360"/>
      <c r="AC376" s="347"/>
      <c r="AD376" s="347"/>
      <c r="AE376" s="357"/>
      <c r="AF376" s="357"/>
      <c r="AG376" s="330"/>
      <c r="AH376" s="229"/>
      <c r="AI376" s="229"/>
      <c r="AJ376" s="229"/>
      <c r="AK376" s="330"/>
      <c r="AL376" s="229"/>
      <c r="AM376" s="229"/>
      <c r="AN376" s="229"/>
      <c r="AO376" s="229"/>
      <c r="AP376" s="229"/>
      <c r="AQ376" s="333"/>
      <c r="AW376" s="55"/>
    </row>
    <row r="377" spans="1:49" x14ac:dyDescent="0.25">
      <c r="H377" s="379"/>
      <c r="I377" s="379"/>
      <c r="J377" s="59"/>
      <c r="K377" s="59"/>
      <c r="L377" s="379"/>
      <c r="M377" s="379"/>
      <c r="N377" s="50"/>
      <c r="O377" s="50"/>
      <c r="P377" s="379"/>
      <c r="Q377" s="379"/>
      <c r="R377" s="379"/>
      <c r="T377" s="229"/>
      <c r="U377" s="229"/>
      <c r="V377" s="229"/>
      <c r="W377" s="229"/>
      <c r="X377" s="229"/>
      <c r="Y377" s="229"/>
      <c r="Z377" s="229"/>
      <c r="AA377" s="347"/>
      <c r="AB377" s="360"/>
      <c r="AC377" s="347"/>
      <c r="AD377" s="347"/>
      <c r="AE377" s="357"/>
      <c r="AF377" s="357"/>
      <c r="AG377" s="330"/>
      <c r="AH377" s="229"/>
      <c r="AI377" s="229"/>
      <c r="AJ377" s="229"/>
      <c r="AK377" s="330"/>
      <c r="AL377" s="229"/>
      <c r="AM377" s="229"/>
      <c r="AN377" s="229"/>
      <c r="AO377" s="229"/>
      <c r="AP377" s="229"/>
      <c r="AQ377" s="333"/>
      <c r="AW377" s="55"/>
    </row>
    <row r="378" spans="1:49" x14ac:dyDescent="0.25">
      <c r="A378" s="53"/>
      <c r="C378" s="54"/>
      <c r="F378" s="449"/>
      <c r="H378" s="449"/>
      <c r="I378" s="449"/>
      <c r="J378" s="61"/>
      <c r="K378" s="61"/>
      <c r="L378" s="449"/>
      <c r="M378" s="449"/>
      <c r="N378" s="50"/>
      <c r="O378" s="50"/>
      <c r="P378" s="379"/>
      <c r="Q378" s="379"/>
      <c r="R378" s="379"/>
      <c r="T378" s="301"/>
      <c r="U378" s="229"/>
      <c r="V378" s="347"/>
      <c r="W378" s="229"/>
      <c r="X378" s="229"/>
      <c r="Y378" s="229"/>
      <c r="Z378" s="229"/>
      <c r="AA378" s="347"/>
      <c r="AB378" s="361"/>
      <c r="AC378" s="347"/>
      <c r="AD378" s="347"/>
      <c r="AE378" s="357"/>
      <c r="AF378" s="357"/>
      <c r="AG378" s="356"/>
      <c r="AH378" s="347"/>
      <c r="AI378" s="348"/>
      <c r="AJ378" s="348"/>
      <c r="AK378" s="356"/>
      <c r="AL378" s="347"/>
      <c r="AM378" s="347"/>
      <c r="AN378" s="347"/>
      <c r="AO378" s="357"/>
      <c r="AP378" s="357"/>
      <c r="AQ378" s="333"/>
      <c r="AW378" s="55"/>
    </row>
    <row r="379" spans="1:49" x14ac:dyDescent="0.25">
      <c r="F379" s="449"/>
      <c r="H379" s="470"/>
      <c r="I379" s="470"/>
      <c r="J379" s="470"/>
      <c r="K379" s="470"/>
      <c r="R379" s="379"/>
      <c r="T379" s="229"/>
      <c r="U379" s="229"/>
      <c r="V379" s="347"/>
      <c r="W379" s="229"/>
      <c r="X379" s="229"/>
      <c r="Y379" s="229"/>
      <c r="Z379" s="229"/>
      <c r="AA379" s="229"/>
      <c r="AB379" s="545"/>
      <c r="AC379" s="229"/>
      <c r="AD379" s="229"/>
      <c r="AE379" s="229"/>
      <c r="AF379" s="229"/>
      <c r="AG379" s="330"/>
      <c r="AH379" s="229"/>
      <c r="AI379" s="229"/>
      <c r="AJ379" s="229"/>
      <c r="AK379" s="330"/>
      <c r="AL379" s="229"/>
      <c r="AM379" s="229"/>
      <c r="AN379" s="229"/>
      <c r="AO379" s="229"/>
      <c r="AP379" s="229"/>
      <c r="AQ379" s="333"/>
      <c r="AW379" s="55"/>
    </row>
    <row r="380" spans="1:49" x14ac:dyDescent="0.25">
      <c r="A380" s="53"/>
      <c r="C380" s="54"/>
      <c r="F380" s="449"/>
      <c r="H380" s="449"/>
      <c r="I380" s="449"/>
      <c r="J380" s="461"/>
      <c r="K380" s="461"/>
      <c r="L380" s="379"/>
      <c r="M380" s="379"/>
      <c r="N380" s="50"/>
      <c r="O380" s="50"/>
      <c r="P380" s="379"/>
      <c r="Q380" s="379"/>
      <c r="R380" s="379"/>
      <c r="T380" s="301"/>
      <c r="U380" s="229"/>
      <c r="V380" s="347"/>
      <c r="W380" s="229"/>
      <c r="X380" s="229"/>
      <c r="Y380" s="229"/>
      <c r="Z380" s="229"/>
      <c r="AA380" s="347"/>
      <c r="AB380" s="542"/>
      <c r="AC380" s="347"/>
      <c r="AD380" s="347"/>
      <c r="AE380" s="357"/>
      <c r="AF380" s="357"/>
      <c r="AG380" s="356"/>
      <c r="AH380" s="347"/>
      <c r="AI380" s="348"/>
      <c r="AJ380" s="348"/>
      <c r="AK380" s="356"/>
      <c r="AL380" s="347"/>
      <c r="AM380" s="347"/>
      <c r="AN380" s="347"/>
      <c r="AO380" s="357"/>
      <c r="AP380" s="357"/>
      <c r="AQ380" s="333"/>
      <c r="AW380" s="55"/>
    </row>
    <row r="381" spans="1:49" x14ac:dyDescent="0.25">
      <c r="F381" s="449"/>
      <c r="H381" s="470"/>
      <c r="I381" s="470"/>
      <c r="J381" s="470"/>
      <c r="K381" s="470"/>
      <c r="R381" s="379"/>
      <c r="T381" s="229"/>
      <c r="U381" s="229"/>
      <c r="V381" s="347"/>
      <c r="W381" s="229"/>
      <c r="X381" s="229"/>
      <c r="Y381" s="229"/>
      <c r="Z381" s="229"/>
      <c r="AA381" s="229"/>
      <c r="AB381" s="545"/>
      <c r="AC381" s="229"/>
      <c r="AD381" s="229"/>
      <c r="AE381" s="229"/>
      <c r="AF381" s="229"/>
      <c r="AG381" s="330"/>
      <c r="AH381" s="229"/>
      <c r="AI381" s="229"/>
      <c r="AJ381" s="229"/>
      <c r="AK381" s="330"/>
      <c r="AL381" s="229"/>
      <c r="AM381" s="229"/>
      <c r="AN381" s="229"/>
      <c r="AO381" s="229"/>
      <c r="AP381" s="229"/>
      <c r="AQ381" s="333"/>
      <c r="AW381" s="55"/>
    </row>
    <row r="382" spans="1:49" x14ac:dyDescent="0.25">
      <c r="A382" s="53"/>
      <c r="C382" s="54"/>
      <c r="F382" s="449"/>
      <c r="H382" s="449"/>
      <c r="I382" s="449"/>
      <c r="J382" s="472"/>
      <c r="K382" s="472"/>
      <c r="L382" s="379"/>
      <c r="M382" s="379"/>
      <c r="N382" s="50"/>
      <c r="O382" s="50"/>
      <c r="P382" s="379"/>
      <c r="Q382" s="379"/>
      <c r="R382" s="379"/>
      <c r="T382" s="301"/>
      <c r="U382" s="229"/>
      <c r="V382" s="347"/>
      <c r="W382" s="229"/>
      <c r="X382" s="229"/>
      <c r="Y382" s="229"/>
      <c r="Z382" s="229"/>
      <c r="AA382" s="347"/>
      <c r="AB382" s="546"/>
      <c r="AC382" s="347"/>
      <c r="AD382" s="347"/>
      <c r="AE382" s="357"/>
      <c r="AF382" s="357"/>
      <c r="AG382" s="356"/>
      <c r="AH382" s="347"/>
      <c r="AI382" s="348"/>
      <c r="AJ382" s="348"/>
      <c r="AK382" s="356"/>
      <c r="AL382" s="347"/>
      <c r="AM382" s="347"/>
      <c r="AN382" s="347"/>
      <c r="AO382" s="357"/>
      <c r="AP382" s="357"/>
      <c r="AQ382" s="333"/>
      <c r="AW382" s="55"/>
    </row>
    <row r="383" spans="1:49" x14ac:dyDescent="0.25">
      <c r="F383" s="381"/>
      <c r="H383" s="381"/>
      <c r="I383" s="381"/>
      <c r="J383" s="464"/>
      <c r="K383" s="464"/>
      <c r="L383" s="381"/>
      <c r="M383" s="381"/>
      <c r="N383" s="381"/>
      <c r="O383" s="381"/>
      <c r="P383" s="381"/>
      <c r="Q383" s="381"/>
      <c r="R383" s="381"/>
      <c r="S383" s="379"/>
      <c r="T383" s="229"/>
      <c r="U383" s="229"/>
      <c r="V383" s="358"/>
      <c r="W383" s="229"/>
      <c r="X383" s="229"/>
      <c r="Y383" s="229"/>
      <c r="Z383" s="229"/>
      <c r="AA383" s="358"/>
      <c r="AB383" s="548"/>
      <c r="AC383" s="358"/>
      <c r="AD383" s="358"/>
      <c r="AE383" s="358"/>
      <c r="AF383" s="358"/>
      <c r="AG383" s="359"/>
      <c r="AH383" s="358"/>
      <c r="AI383" s="229"/>
      <c r="AJ383" s="229"/>
      <c r="AK383" s="359"/>
      <c r="AL383" s="358"/>
      <c r="AM383" s="358"/>
      <c r="AN383" s="358"/>
      <c r="AO383" s="229"/>
      <c r="AP383" s="229"/>
      <c r="AQ383" s="333"/>
      <c r="AW383" s="55"/>
    </row>
    <row r="384" spans="1:49" x14ac:dyDescent="0.25">
      <c r="A384" s="53"/>
      <c r="D384" s="54"/>
      <c r="E384" s="54"/>
      <c r="F384" s="379"/>
      <c r="H384" s="379"/>
      <c r="I384" s="379"/>
      <c r="J384" s="59"/>
      <c r="K384" s="59"/>
      <c r="L384" s="379"/>
      <c r="M384" s="379"/>
      <c r="N384" s="50"/>
      <c r="O384" s="50"/>
      <c r="P384" s="449"/>
      <c r="Q384" s="449"/>
      <c r="R384" s="379"/>
      <c r="S384" s="379"/>
      <c r="T384" s="229"/>
      <c r="U384" s="301"/>
      <c r="V384" s="347"/>
      <c r="W384" s="229"/>
      <c r="X384" s="229"/>
      <c r="Y384" s="229"/>
      <c r="Z384" s="229"/>
      <c r="AA384" s="347"/>
      <c r="AB384" s="360"/>
      <c r="AC384" s="347"/>
      <c r="AD384" s="347"/>
      <c r="AE384" s="357"/>
      <c r="AF384" s="357"/>
      <c r="AG384" s="356"/>
      <c r="AH384" s="347"/>
      <c r="AI384" s="348"/>
      <c r="AJ384" s="348"/>
      <c r="AK384" s="547"/>
      <c r="AL384" s="447"/>
      <c r="AM384" s="347"/>
      <c r="AN384" s="347"/>
      <c r="AO384" s="357"/>
      <c r="AP384" s="357"/>
      <c r="AQ384" s="333"/>
      <c r="AW384" s="55"/>
    </row>
    <row r="385" spans="1:49" x14ac:dyDescent="0.25">
      <c r="F385" s="381"/>
      <c r="H385" s="381"/>
      <c r="I385" s="381"/>
      <c r="J385" s="464"/>
      <c r="K385" s="464"/>
      <c r="L385" s="381"/>
      <c r="M385" s="381"/>
      <c r="N385" s="381"/>
      <c r="O385" s="381"/>
      <c r="P385" s="381"/>
      <c r="Q385" s="381"/>
      <c r="R385" s="381"/>
      <c r="S385" s="379"/>
      <c r="T385" s="229"/>
      <c r="U385" s="229"/>
      <c r="V385" s="358"/>
      <c r="W385" s="229"/>
      <c r="X385" s="229"/>
      <c r="Y385" s="229"/>
      <c r="Z385" s="229"/>
      <c r="AA385" s="358"/>
      <c r="AB385" s="548"/>
      <c r="AC385" s="358"/>
      <c r="AD385" s="358"/>
      <c r="AE385" s="358"/>
      <c r="AF385" s="358"/>
      <c r="AG385" s="359"/>
      <c r="AH385" s="358"/>
      <c r="AI385" s="229"/>
      <c r="AJ385" s="229"/>
      <c r="AK385" s="359"/>
      <c r="AL385" s="358"/>
      <c r="AM385" s="358"/>
      <c r="AN385" s="358"/>
      <c r="AO385" s="229"/>
      <c r="AP385" s="229"/>
      <c r="AQ385" s="333"/>
      <c r="AW385" s="55"/>
    </row>
    <row r="386" spans="1:49" x14ac:dyDescent="0.25">
      <c r="R386" s="379"/>
      <c r="T386" s="229"/>
      <c r="U386" s="229"/>
      <c r="V386" s="229"/>
      <c r="W386" s="229"/>
      <c r="X386" s="229"/>
      <c r="Y386" s="229"/>
      <c r="Z386" s="229"/>
      <c r="AA386" s="229"/>
      <c r="AB386" s="229"/>
      <c r="AC386" s="229"/>
      <c r="AD386" s="229"/>
      <c r="AE386" s="229"/>
      <c r="AF386" s="229"/>
      <c r="AG386" s="330"/>
      <c r="AH386" s="229"/>
      <c r="AI386" s="229"/>
      <c r="AJ386" s="229"/>
      <c r="AK386" s="330"/>
      <c r="AL386" s="229"/>
      <c r="AM386" s="229"/>
      <c r="AN386" s="229"/>
      <c r="AO386" s="229"/>
      <c r="AP386" s="229"/>
      <c r="AQ386" s="333"/>
      <c r="AW386" s="55"/>
    </row>
    <row r="387" spans="1:49" x14ac:dyDescent="0.25">
      <c r="F387" s="379"/>
      <c r="H387" s="379"/>
      <c r="I387" s="379"/>
      <c r="J387" s="59"/>
      <c r="K387" s="59"/>
      <c r="L387" s="379"/>
      <c r="M387" s="379"/>
      <c r="N387" s="379"/>
      <c r="O387" s="379"/>
      <c r="P387" s="379"/>
      <c r="Q387" s="379"/>
      <c r="R387" s="379"/>
      <c r="T387" s="229"/>
      <c r="U387" s="229"/>
      <c r="V387" s="347"/>
      <c r="W387" s="229"/>
      <c r="X387" s="229"/>
      <c r="Y387" s="229"/>
      <c r="Z387" s="229"/>
      <c r="AA387" s="347"/>
      <c r="AB387" s="360"/>
      <c r="AC387" s="347"/>
      <c r="AD387" s="347"/>
      <c r="AE387" s="347"/>
      <c r="AF387" s="347"/>
      <c r="AG387" s="330"/>
      <c r="AH387" s="229"/>
      <c r="AI387" s="229"/>
      <c r="AJ387" s="229"/>
      <c r="AK387" s="330"/>
      <c r="AL387" s="229"/>
      <c r="AM387" s="229"/>
      <c r="AN387" s="229"/>
      <c r="AO387" s="229"/>
      <c r="AP387" s="229"/>
      <c r="AQ387" s="333"/>
      <c r="AW387" s="55"/>
    </row>
    <row r="388" spans="1:49" x14ac:dyDescent="0.25">
      <c r="C388" s="54"/>
      <c r="F388" s="379"/>
      <c r="H388" s="379"/>
      <c r="I388" s="379"/>
      <c r="J388" s="59"/>
      <c r="K388" s="59"/>
      <c r="L388" s="379"/>
      <c r="M388" s="379"/>
      <c r="N388" s="379"/>
      <c r="O388" s="379"/>
      <c r="P388" s="379"/>
      <c r="Q388" s="379"/>
      <c r="R388" s="379"/>
      <c r="T388" s="301"/>
      <c r="U388" s="229"/>
      <c r="V388" s="347"/>
      <c r="W388" s="229"/>
      <c r="X388" s="229"/>
      <c r="Y388" s="229"/>
      <c r="Z388" s="229"/>
      <c r="AA388" s="347"/>
      <c r="AB388" s="360"/>
      <c r="AC388" s="347"/>
      <c r="AD388" s="347"/>
      <c r="AE388" s="347"/>
      <c r="AF388" s="347"/>
      <c r="AG388" s="330"/>
      <c r="AH388" s="229"/>
      <c r="AI388" s="229"/>
      <c r="AJ388" s="229"/>
      <c r="AK388" s="330"/>
      <c r="AL388" s="229"/>
      <c r="AM388" s="229"/>
      <c r="AN388" s="229"/>
      <c r="AO388" s="229"/>
      <c r="AP388" s="229"/>
      <c r="AQ388" s="333"/>
      <c r="AW388" s="55"/>
    </row>
    <row r="389" spans="1:49" x14ac:dyDescent="0.25">
      <c r="C389" s="54"/>
      <c r="T389" s="301"/>
      <c r="U389" s="229"/>
      <c r="V389" s="229"/>
      <c r="W389" s="229"/>
      <c r="X389" s="229"/>
      <c r="Y389" s="229"/>
      <c r="Z389" s="229"/>
      <c r="AA389" s="229"/>
      <c r="AB389" s="229"/>
      <c r="AC389" s="229"/>
      <c r="AD389" s="229"/>
      <c r="AE389" s="229"/>
      <c r="AF389" s="229"/>
      <c r="AG389" s="330"/>
      <c r="AH389" s="229"/>
      <c r="AI389" s="229"/>
      <c r="AJ389" s="229"/>
      <c r="AK389" s="330"/>
      <c r="AL389" s="229"/>
      <c r="AM389" s="229"/>
      <c r="AN389" s="229"/>
      <c r="AO389" s="229"/>
      <c r="AP389" s="229"/>
      <c r="AQ389" s="333"/>
      <c r="AW389" s="55"/>
    </row>
    <row r="390" spans="1:49" x14ac:dyDescent="0.25">
      <c r="A390" s="54"/>
      <c r="T390" s="229"/>
      <c r="U390" s="229"/>
      <c r="V390" s="229"/>
      <c r="W390" s="229"/>
      <c r="X390" s="229"/>
      <c r="Y390" s="229"/>
      <c r="Z390" s="229"/>
      <c r="AA390" s="229"/>
      <c r="AB390" s="229"/>
      <c r="AC390" s="229"/>
      <c r="AD390" s="229"/>
      <c r="AE390" s="229"/>
      <c r="AF390" s="229"/>
      <c r="AG390" s="330"/>
      <c r="AH390" s="229"/>
      <c r="AI390" s="229"/>
      <c r="AJ390" s="229"/>
      <c r="AK390" s="330"/>
      <c r="AL390" s="229"/>
      <c r="AM390" s="229"/>
      <c r="AN390" s="229"/>
      <c r="AO390" s="229"/>
      <c r="AP390" s="229"/>
      <c r="AQ390" s="333"/>
      <c r="AW390" s="55"/>
    </row>
    <row r="391" spans="1:49" x14ac:dyDescent="0.25">
      <c r="T391" s="229"/>
      <c r="U391" s="229"/>
      <c r="V391" s="229"/>
      <c r="W391" s="229"/>
      <c r="X391" s="229"/>
      <c r="Y391" s="229"/>
      <c r="Z391" s="229"/>
      <c r="AA391" s="229"/>
      <c r="AB391" s="229"/>
      <c r="AC391" s="229"/>
      <c r="AD391" s="229"/>
      <c r="AE391" s="229"/>
      <c r="AF391" s="229"/>
      <c r="AG391" s="330"/>
      <c r="AH391" s="229"/>
      <c r="AI391" s="229"/>
      <c r="AJ391" s="229"/>
      <c r="AK391" s="330"/>
      <c r="AL391" s="229"/>
      <c r="AM391" s="229"/>
      <c r="AN391" s="229"/>
      <c r="AO391" s="229"/>
      <c r="AP391" s="229"/>
      <c r="AQ391" s="333"/>
      <c r="AW391" s="55"/>
    </row>
    <row r="392" spans="1:49" x14ac:dyDescent="0.25">
      <c r="J392" s="53"/>
      <c r="K392" s="53"/>
      <c r="T392" s="229"/>
      <c r="U392" s="229"/>
      <c r="V392" s="229"/>
      <c r="W392" s="229"/>
      <c r="X392" s="229"/>
      <c r="Y392" s="229"/>
      <c r="Z392" s="229"/>
      <c r="AA392" s="229"/>
      <c r="AB392" s="349"/>
      <c r="AC392" s="229"/>
      <c r="AD392" s="229"/>
      <c r="AE392" s="229"/>
      <c r="AF392" s="229"/>
      <c r="AG392" s="330"/>
      <c r="AH392" s="229"/>
      <c r="AI392" s="229"/>
      <c r="AJ392" s="229"/>
      <c r="AK392" s="330"/>
      <c r="AL392" s="229"/>
      <c r="AM392" s="229"/>
      <c r="AN392" s="229"/>
      <c r="AO392" s="229"/>
      <c r="AP392" s="229"/>
      <c r="AQ392" s="333"/>
      <c r="AW392" s="55"/>
    </row>
    <row r="393" spans="1:49" x14ac:dyDescent="0.25">
      <c r="H393" s="54"/>
      <c r="I393" s="54"/>
      <c r="T393" s="229"/>
      <c r="U393" s="229"/>
      <c r="V393" s="229"/>
      <c r="W393" s="229"/>
      <c r="X393" s="229"/>
      <c r="Y393" s="229"/>
      <c r="Z393" s="229"/>
      <c r="AA393" s="301"/>
      <c r="AB393" s="229"/>
      <c r="AC393" s="229"/>
      <c r="AD393" s="229"/>
      <c r="AE393" s="229"/>
      <c r="AF393" s="229"/>
      <c r="AG393" s="330"/>
      <c r="AH393" s="229"/>
      <c r="AI393" s="229"/>
      <c r="AJ393" s="229"/>
      <c r="AK393" s="330"/>
      <c r="AL393" s="229"/>
      <c r="AM393" s="229"/>
      <c r="AN393" s="229"/>
      <c r="AO393" s="229"/>
      <c r="AP393" s="229"/>
      <c r="AQ393" s="333"/>
      <c r="AW393" s="55"/>
    </row>
    <row r="394" spans="1:49" x14ac:dyDescent="0.25">
      <c r="J394" s="53"/>
      <c r="K394" s="53"/>
      <c r="T394" s="229"/>
      <c r="U394" s="229"/>
      <c r="V394" s="229"/>
      <c r="W394" s="229"/>
      <c r="X394" s="229"/>
      <c r="Y394" s="229"/>
      <c r="Z394" s="229"/>
      <c r="AA394" s="229"/>
      <c r="AB394" s="349"/>
      <c r="AC394" s="229"/>
      <c r="AD394" s="229"/>
      <c r="AE394" s="229"/>
      <c r="AF394" s="229"/>
      <c r="AG394" s="330"/>
      <c r="AH394" s="229"/>
      <c r="AI394" s="229"/>
      <c r="AJ394" s="229"/>
      <c r="AK394" s="330"/>
      <c r="AL394" s="229"/>
      <c r="AM394" s="229"/>
      <c r="AN394" s="229"/>
      <c r="AO394" s="229"/>
      <c r="AP394" s="229"/>
      <c r="AQ394" s="333"/>
      <c r="AW394" s="55"/>
    </row>
    <row r="395" spans="1:49" x14ac:dyDescent="0.25">
      <c r="L395" s="54"/>
      <c r="M395" s="54"/>
      <c r="T395" s="229"/>
      <c r="U395" s="229"/>
      <c r="V395" s="229"/>
      <c r="W395" s="229"/>
      <c r="X395" s="229"/>
      <c r="Y395" s="229"/>
      <c r="Z395" s="229"/>
      <c r="AA395" s="229"/>
      <c r="AB395" s="229"/>
      <c r="AC395" s="301"/>
      <c r="AD395" s="301"/>
      <c r="AE395" s="229"/>
      <c r="AF395" s="229"/>
      <c r="AG395" s="330"/>
      <c r="AH395" s="229"/>
      <c r="AI395" s="229"/>
      <c r="AJ395" s="229"/>
      <c r="AK395" s="330"/>
      <c r="AL395" s="229"/>
      <c r="AM395" s="229"/>
      <c r="AN395" s="229"/>
      <c r="AO395" s="229"/>
      <c r="AP395" s="229"/>
      <c r="AQ395" s="333"/>
      <c r="AW395" s="55"/>
    </row>
    <row r="396" spans="1:49" x14ac:dyDescent="0.25">
      <c r="A396" s="53"/>
      <c r="R396" s="54"/>
      <c r="T396" s="229"/>
      <c r="U396" s="229"/>
      <c r="V396" s="229"/>
      <c r="W396" s="229"/>
      <c r="X396" s="229"/>
      <c r="Y396" s="229"/>
      <c r="Z396" s="229"/>
      <c r="AA396" s="229"/>
      <c r="AB396" s="229"/>
      <c r="AC396" s="229"/>
      <c r="AD396" s="229"/>
      <c r="AE396" s="229"/>
      <c r="AF396" s="229"/>
      <c r="AG396" s="330"/>
      <c r="AH396" s="229"/>
      <c r="AI396" s="229"/>
      <c r="AJ396" s="229"/>
      <c r="AK396" s="330"/>
      <c r="AL396" s="229"/>
      <c r="AM396" s="301"/>
      <c r="AN396" s="301"/>
      <c r="AO396" s="229"/>
      <c r="AP396" s="229"/>
      <c r="AQ396" s="333"/>
      <c r="AW396" s="55"/>
    </row>
    <row r="397" spans="1:49" x14ac:dyDescent="0.25">
      <c r="A397" s="53"/>
      <c r="R397" s="54"/>
      <c r="T397" s="229"/>
      <c r="U397" s="229"/>
      <c r="V397" s="229"/>
      <c r="W397" s="229"/>
      <c r="X397" s="229"/>
      <c r="Y397" s="229"/>
      <c r="Z397" s="229"/>
      <c r="AA397" s="229"/>
      <c r="AB397" s="229"/>
      <c r="AC397" s="229"/>
      <c r="AD397" s="229"/>
      <c r="AE397" s="229"/>
      <c r="AF397" s="229"/>
      <c r="AG397" s="330"/>
      <c r="AH397" s="229"/>
      <c r="AI397" s="229"/>
      <c r="AJ397" s="229"/>
      <c r="AK397" s="330"/>
      <c r="AL397" s="229"/>
      <c r="AM397" s="301"/>
      <c r="AN397" s="301"/>
      <c r="AO397" s="229"/>
      <c r="AP397" s="229"/>
      <c r="AQ397" s="333"/>
      <c r="AW397" s="55"/>
    </row>
    <row r="398" spans="1:49" x14ac:dyDescent="0.25">
      <c r="A398" s="54"/>
      <c r="R398" s="54"/>
      <c r="T398" s="229"/>
      <c r="U398" s="229"/>
      <c r="V398" s="229"/>
      <c r="W398" s="229"/>
      <c r="X398" s="229"/>
      <c r="Y398" s="229"/>
      <c r="Z398" s="229"/>
      <c r="AA398" s="229"/>
      <c r="AB398" s="229"/>
      <c r="AC398" s="229"/>
      <c r="AD398" s="229"/>
      <c r="AE398" s="229"/>
      <c r="AF398" s="229"/>
      <c r="AG398" s="330"/>
      <c r="AH398" s="229"/>
      <c r="AI398" s="229"/>
      <c r="AJ398" s="229"/>
      <c r="AK398" s="330"/>
      <c r="AL398" s="229"/>
      <c r="AM398" s="301"/>
      <c r="AN398" s="301"/>
      <c r="AO398" s="229"/>
      <c r="AP398" s="229"/>
      <c r="AQ398" s="333"/>
      <c r="AW398" s="55"/>
    </row>
    <row r="399" spans="1:49" x14ac:dyDescent="0.25">
      <c r="L399" s="54"/>
      <c r="M399" s="54"/>
      <c r="R399" s="53"/>
      <c r="T399" s="229"/>
      <c r="U399" s="229"/>
      <c r="V399" s="229"/>
      <c r="W399" s="229"/>
      <c r="X399" s="229"/>
      <c r="Y399" s="229"/>
      <c r="Z399" s="229"/>
      <c r="AA399" s="229"/>
      <c r="AB399" s="229"/>
      <c r="AC399" s="301"/>
      <c r="AD399" s="301"/>
      <c r="AE399" s="229"/>
      <c r="AF399" s="229"/>
      <c r="AG399" s="330"/>
      <c r="AH399" s="229"/>
      <c r="AI399" s="229"/>
      <c r="AJ399" s="229"/>
      <c r="AK399" s="330"/>
      <c r="AL399" s="229"/>
      <c r="AM399" s="349"/>
      <c r="AN399" s="349"/>
      <c r="AO399" s="229"/>
      <c r="AP399" s="229"/>
      <c r="AQ399" s="333"/>
      <c r="AW399" s="55"/>
    </row>
    <row r="400" spans="1:49" x14ac:dyDescent="0.25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T400" s="230"/>
      <c r="U400" s="230"/>
      <c r="V400" s="230"/>
      <c r="W400" s="230"/>
      <c r="X400" s="230"/>
      <c r="Y400" s="230"/>
      <c r="Z400" s="230"/>
      <c r="AA400" s="230"/>
      <c r="AB400" s="230"/>
      <c r="AC400" s="230"/>
      <c r="AD400" s="230"/>
      <c r="AE400" s="230"/>
      <c r="AF400" s="230"/>
      <c r="AG400" s="355"/>
      <c r="AH400" s="230"/>
      <c r="AI400" s="230"/>
      <c r="AJ400" s="230"/>
      <c r="AK400" s="355"/>
      <c r="AL400" s="230"/>
      <c r="AM400" s="230"/>
      <c r="AN400" s="230"/>
      <c r="AO400" s="230"/>
      <c r="AP400" s="230"/>
      <c r="AQ400" s="333"/>
      <c r="AW400" s="55"/>
    </row>
    <row r="401" spans="1:49" x14ac:dyDescent="0.25">
      <c r="L401" s="56"/>
      <c r="M401" s="56"/>
      <c r="N401" s="56"/>
      <c r="O401" s="56"/>
      <c r="R401" s="56"/>
      <c r="T401" s="229"/>
      <c r="U401" s="229"/>
      <c r="V401" s="229"/>
      <c r="W401" s="229"/>
      <c r="X401" s="229"/>
      <c r="Y401" s="229"/>
      <c r="Z401" s="229"/>
      <c r="AA401" s="229"/>
      <c r="AB401" s="229"/>
      <c r="AC401" s="231"/>
      <c r="AD401" s="231"/>
      <c r="AE401" s="231"/>
      <c r="AF401" s="231"/>
      <c r="AG401" s="332"/>
      <c r="AH401" s="231"/>
      <c r="AI401" s="231"/>
      <c r="AJ401" s="231"/>
      <c r="AK401" s="330"/>
      <c r="AL401" s="229"/>
      <c r="AM401" s="231"/>
      <c r="AN401" s="231"/>
      <c r="AO401" s="231"/>
      <c r="AP401" s="231"/>
      <c r="AQ401" s="333"/>
      <c r="AW401" s="55"/>
    </row>
    <row r="402" spans="1:49" x14ac:dyDescent="0.25">
      <c r="L402" s="56"/>
      <c r="M402" s="56"/>
      <c r="N402" s="56"/>
      <c r="O402" s="56"/>
      <c r="R402" s="56"/>
      <c r="T402" s="229"/>
      <c r="U402" s="229"/>
      <c r="V402" s="229"/>
      <c r="W402" s="229"/>
      <c r="X402" s="229"/>
      <c r="Y402" s="229"/>
      <c r="Z402" s="229"/>
      <c r="AA402" s="229"/>
      <c r="AB402" s="231"/>
      <c r="AC402" s="231"/>
      <c r="AD402" s="231"/>
      <c r="AE402" s="231"/>
      <c r="AF402" s="231"/>
      <c r="AG402" s="332"/>
      <c r="AH402" s="231"/>
      <c r="AI402" s="231"/>
      <c r="AJ402" s="231"/>
      <c r="AK402" s="330"/>
      <c r="AL402" s="229"/>
      <c r="AM402" s="231"/>
      <c r="AN402" s="231"/>
      <c r="AO402" s="231"/>
      <c r="AP402" s="231"/>
      <c r="AQ402" s="333"/>
      <c r="AW402" s="55"/>
    </row>
    <row r="403" spans="1:49" x14ac:dyDescent="0.25">
      <c r="A403" s="56"/>
      <c r="C403" s="56"/>
      <c r="D403" s="56"/>
      <c r="E403" s="56"/>
      <c r="F403" s="56"/>
      <c r="J403" s="56"/>
      <c r="K403" s="56"/>
      <c r="L403" s="56"/>
      <c r="M403" s="56"/>
      <c r="N403" s="56"/>
      <c r="O403" s="56"/>
      <c r="P403" s="56"/>
      <c r="Q403" s="56"/>
      <c r="R403" s="56"/>
      <c r="T403" s="231"/>
      <c r="U403" s="231"/>
      <c r="V403" s="231"/>
      <c r="W403" s="229"/>
      <c r="X403" s="229"/>
      <c r="Y403" s="229"/>
      <c r="Z403" s="229"/>
      <c r="AA403" s="229"/>
      <c r="AB403" s="231"/>
      <c r="AC403" s="231"/>
      <c r="AD403" s="231"/>
      <c r="AE403" s="231"/>
      <c r="AF403" s="231"/>
      <c r="AG403" s="332"/>
      <c r="AH403" s="231"/>
      <c r="AI403" s="231"/>
      <c r="AJ403" s="231"/>
      <c r="AK403" s="332"/>
      <c r="AL403" s="231"/>
      <c r="AM403" s="231"/>
      <c r="AN403" s="231"/>
      <c r="AO403" s="231"/>
      <c r="AP403" s="231"/>
      <c r="AQ403" s="333"/>
      <c r="AW403" s="55"/>
    </row>
    <row r="404" spans="1:49" x14ac:dyDescent="0.25">
      <c r="A404" s="56"/>
      <c r="C404" s="56"/>
      <c r="D404" s="56"/>
      <c r="E404" s="56"/>
      <c r="F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T404" s="231"/>
      <c r="U404" s="231"/>
      <c r="V404" s="231"/>
      <c r="W404" s="229"/>
      <c r="X404" s="229"/>
      <c r="Y404" s="229"/>
      <c r="Z404" s="229"/>
      <c r="AA404" s="231"/>
      <c r="AB404" s="231"/>
      <c r="AC404" s="231"/>
      <c r="AD404" s="231"/>
      <c r="AE404" s="231"/>
      <c r="AF404" s="231"/>
      <c r="AG404" s="332"/>
      <c r="AH404" s="231"/>
      <c r="AI404" s="231"/>
      <c r="AJ404" s="231"/>
      <c r="AK404" s="332"/>
      <c r="AL404" s="231"/>
      <c r="AM404" s="231"/>
      <c r="AN404" s="231"/>
      <c r="AO404" s="231"/>
      <c r="AP404" s="231"/>
      <c r="AQ404" s="333"/>
      <c r="AW404" s="55"/>
    </row>
    <row r="405" spans="1:49" x14ac:dyDescent="0.25">
      <c r="C405" s="56"/>
      <c r="D405" s="56"/>
      <c r="E405" s="56"/>
      <c r="F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T405" s="231"/>
      <c r="U405" s="231"/>
      <c r="V405" s="231"/>
      <c r="W405" s="229"/>
      <c r="X405" s="229"/>
      <c r="Y405" s="229"/>
      <c r="Z405" s="229"/>
      <c r="AA405" s="231"/>
      <c r="AB405" s="231"/>
      <c r="AC405" s="231"/>
      <c r="AD405" s="231"/>
      <c r="AE405" s="231"/>
      <c r="AF405" s="231"/>
      <c r="AG405" s="332"/>
      <c r="AH405" s="231"/>
      <c r="AI405" s="231"/>
      <c r="AJ405" s="231"/>
      <c r="AK405" s="332"/>
      <c r="AL405" s="231"/>
      <c r="AM405" s="231"/>
      <c r="AN405" s="231"/>
      <c r="AO405" s="231"/>
      <c r="AP405" s="231"/>
      <c r="AQ405" s="333"/>
      <c r="AW405" s="55"/>
    </row>
    <row r="406" spans="1:49" x14ac:dyDescent="0.25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T406" s="230"/>
      <c r="U406" s="230"/>
      <c r="V406" s="230"/>
      <c r="W406" s="230"/>
      <c r="X406" s="230"/>
      <c r="Y406" s="230"/>
      <c r="Z406" s="230"/>
      <c r="AA406" s="230"/>
      <c r="AB406" s="230"/>
      <c r="AC406" s="230"/>
      <c r="AD406" s="230"/>
      <c r="AE406" s="230"/>
      <c r="AF406" s="230"/>
      <c r="AG406" s="355"/>
      <c r="AH406" s="230"/>
      <c r="AI406" s="230"/>
      <c r="AJ406" s="230"/>
      <c r="AK406" s="355"/>
      <c r="AL406" s="230"/>
      <c r="AM406" s="230"/>
      <c r="AN406" s="230"/>
      <c r="AO406" s="230"/>
      <c r="AP406" s="230"/>
      <c r="AQ406" s="333"/>
      <c r="AW406" s="55"/>
    </row>
    <row r="407" spans="1:49" x14ac:dyDescent="0.25"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T407" s="229"/>
      <c r="U407" s="229"/>
      <c r="V407" s="229"/>
      <c r="W407" s="229"/>
      <c r="X407" s="229"/>
      <c r="Y407" s="229"/>
      <c r="Z407" s="229"/>
      <c r="AA407" s="231"/>
      <c r="AB407" s="231"/>
      <c r="AC407" s="231"/>
      <c r="AD407" s="231"/>
      <c r="AE407" s="231"/>
      <c r="AF407" s="231"/>
      <c r="AG407" s="332"/>
      <c r="AH407" s="231"/>
      <c r="AI407" s="231"/>
      <c r="AJ407" s="231"/>
      <c r="AK407" s="332"/>
      <c r="AL407" s="231"/>
      <c r="AM407" s="231"/>
      <c r="AN407" s="231"/>
      <c r="AO407" s="231"/>
      <c r="AP407" s="231"/>
      <c r="AQ407" s="333"/>
      <c r="AW407" s="55"/>
    </row>
    <row r="408" spans="1:49" x14ac:dyDescent="0.25">
      <c r="A408" s="53"/>
      <c r="C408" s="54"/>
      <c r="D408" s="54"/>
      <c r="E408" s="54"/>
      <c r="T408" s="301"/>
      <c r="U408" s="301"/>
      <c r="V408" s="229"/>
      <c r="W408" s="229"/>
      <c r="X408" s="229"/>
      <c r="Y408" s="229"/>
      <c r="Z408" s="229"/>
      <c r="AA408" s="229"/>
      <c r="AB408" s="229"/>
      <c r="AC408" s="229"/>
      <c r="AD408" s="229"/>
      <c r="AE408" s="229"/>
      <c r="AF408" s="229"/>
      <c r="AG408" s="330"/>
      <c r="AH408" s="229"/>
      <c r="AI408" s="229"/>
      <c r="AJ408" s="229"/>
      <c r="AK408" s="330"/>
      <c r="AL408" s="229"/>
      <c r="AM408" s="229"/>
      <c r="AN408" s="229"/>
      <c r="AO408" s="229"/>
      <c r="AP408" s="229"/>
      <c r="AQ408" s="333"/>
      <c r="AW408" s="55"/>
    </row>
    <row r="409" spans="1:49" x14ac:dyDescent="0.25">
      <c r="A409" s="53"/>
      <c r="D409" s="54"/>
      <c r="E409" s="54"/>
      <c r="T409" s="229"/>
      <c r="U409" s="301"/>
      <c r="V409" s="229"/>
      <c r="W409" s="229"/>
      <c r="X409" s="229"/>
      <c r="Y409" s="229"/>
      <c r="Z409" s="229"/>
      <c r="AA409" s="229"/>
      <c r="AB409" s="229"/>
      <c r="AC409" s="229"/>
      <c r="AD409" s="229"/>
      <c r="AE409" s="229"/>
      <c r="AF409" s="229"/>
      <c r="AG409" s="330"/>
      <c r="AH409" s="229"/>
      <c r="AI409" s="229"/>
      <c r="AJ409" s="229"/>
      <c r="AK409" s="330"/>
      <c r="AL409" s="229"/>
      <c r="AM409" s="229"/>
      <c r="AN409" s="229"/>
      <c r="AO409" s="229"/>
      <c r="AP409" s="229"/>
      <c r="AQ409" s="333"/>
      <c r="AW409" s="55"/>
    </row>
    <row r="410" spans="1:49" x14ac:dyDescent="0.25">
      <c r="T410" s="229"/>
      <c r="U410" s="229"/>
      <c r="V410" s="229"/>
      <c r="W410" s="229"/>
      <c r="X410" s="229"/>
      <c r="Y410" s="229"/>
      <c r="Z410" s="229"/>
      <c r="AA410" s="229"/>
      <c r="AB410" s="229"/>
      <c r="AC410" s="229"/>
      <c r="AD410" s="229"/>
      <c r="AE410" s="229"/>
      <c r="AF410" s="229"/>
      <c r="AG410" s="330"/>
      <c r="AH410" s="229"/>
      <c r="AI410" s="229"/>
      <c r="AJ410" s="229"/>
      <c r="AK410" s="330"/>
      <c r="AL410" s="229"/>
      <c r="AM410" s="229"/>
      <c r="AN410" s="229"/>
      <c r="AO410" s="229"/>
      <c r="AP410" s="229"/>
      <c r="AQ410" s="333"/>
      <c r="AW410" s="55"/>
    </row>
    <row r="411" spans="1:49" x14ac:dyDescent="0.25">
      <c r="A411" s="53"/>
      <c r="C411" s="54"/>
      <c r="F411" s="379"/>
      <c r="J411" s="62"/>
      <c r="K411" s="62"/>
      <c r="L411" s="379"/>
      <c r="M411" s="379"/>
      <c r="R411" s="379"/>
      <c r="T411" s="301"/>
      <c r="U411" s="229"/>
      <c r="V411" s="347"/>
      <c r="W411" s="229"/>
      <c r="X411" s="229"/>
      <c r="Y411" s="229"/>
      <c r="Z411" s="229"/>
      <c r="AA411" s="229"/>
      <c r="AB411" s="362"/>
      <c r="AC411" s="347"/>
      <c r="AD411" s="347"/>
      <c r="AE411" s="229"/>
      <c r="AF411" s="229"/>
      <c r="AG411" s="330"/>
      <c r="AH411" s="229"/>
      <c r="AI411" s="229"/>
      <c r="AJ411" s="229"/>
      <c r="AK411" s="330"/>
      <c r="AL411" s="229"/>
      <c r="AM411" s="347"/>
      <c r="AN411" s="347"/>
      <c r="AO411" s="229"/>
      <c r="AP411" s="229"/>
      <c r="AQ411" s="333"/>
      <c r="AW411" s="55"/>
    </row>
    <row r="412" spans="1:49" x14ac:dyDescent="0.25">
      <c r="F412" s="379"/>
      <c r="R412" s="379"/>
      <c r="T412" s="229"/>
      <c r="U412" s="229"/>
      <c r="V412" s="347"/>
      <c r="W412" s="229"/>
      <c r="X412" s="229"/>
      <c r="Y412" s="229"/>
      <c r="Z412" s="229"/>
      <c r="AA412" s="229"/>
      <c r="AB412" s="229"/>
      <c r="AC412" s="229"/>
      <c r="AD412" s="229"/>
      <c r="AE412" s="229"/>
      <c r="AF412" s="229"/>
      <c r="AG412" s="330"/>
      <c r="AH412" s="229"/>
      <c r="AI412" s="229"/>
      <c r="AJ412" s="229"/>
      <c r="AK412" s="330"/>
      <c r="AL412" s="229"/>
      <c r="AM412" s="347"/>
      <c r="AN412" s="347"/>
      <c r="AO412" s="229"/>
      <c r="AP412" s="229"/>
      <c r="AQ412" s="333"/>
      <c r="AW412" s="55"/>
    </row>
    <row r="413" spans="1:49" x14ac:dyDescent="0.25">
      <c r="A413" s="53"/>
      <c r="C413" s="54"/>
      <c r="F413" s="449"/>
      <c r="H413" s="449"/>
      <c r="I413" s="449"/>
      <c r="J413" s="461"/>
      <c r="K413" s="461"/>
      <c r="L413" s="379"/>
      <c r="M413" s="379"/>
      <c r="N413" s="50"/>
      <c r="O413" s="50"/>
      <c r="P413" s="379"/>
      <c r="Q413" s="379"/>
      <c r="R413" s="379"/>
      <c r="T413" s="301"/>
      <c r="U413" s="229"/>
      <c r="V413" s="347"/>
      <c r="W413" s="229"/>
      <c r="X413" s="229"/>
      <c r="Y413" s="229"/>
      <c r="Z413" s="229"/>
      <c r="AA413" s="347"/>
      <c r="AB413" s="542"/>
      <c r="AC413" s="347"/>
      <c r="AD413" s="347"/>
      <c r="AE413" s="357"/>
      <c r="AF413" s="357"/>
      <c r="AG413" s="356"/>
      <c r="AH413" s="347"/>
      <c r="AI413" s="348"/>
      <c r="AJ413" s="348"/>
      <c r="AK413" s="356"/>
      <c r="AL413" s="347"/>
      <c r="AM413" s="347"/>
      <c r="AN413" s="347"/>
      <c r="AO413" s="357"/>
      <c r="AP413" s="357"/>
      <c r="AQ413" s="333"/>
      <c r="AW413" s="55"/>
    </row>
    <row r="414" spans="1:49" x14ac:dyDescent="0.25">
      <c r="A414" s="53"/>
      <c r="C414" s="54"/>
      <c r="F414" s="449"/>
      <c r="H414" s="470"/>
      <c r="I414" s="470"/>
      <c r="J414" s="461"/>
      <c r="K414" s="461"/>
      <c r="L414" s="379"/>
      <c r="M414" s="379"/>
      <c r="N414" s="50"/>
      <c r="O414" s="50"/>
      <c r="P414" s="379"/>
      <c r="Q414" s="379"/>
      <c r="R414" s="379"/>
      <c r="T414" s="301"/>
      <c r="U414" s="229"/>
      <c r="V414" s="347"/>
      <c r="W414" s="229"/>
      <c r="X414" s="229"/>
      <c r="Y414" s="229"/>
      <c r="Z414" s="229"/>
      <c r="AA414" s="347"/>
      <c r="AB414" s="542"/>
      <c r="AC414" s="347"/>
      <c r="AD414" s="347"/>
      <c r="AE414" s="357"/>
      <c r="AF414" s="357"/>
      <c r="AG414" s="356"/>
      <c r="AH414" s="347"/>
      <c r="AI414" s="348"/>
      <c r="AJ414" s="348"/>
      <c r="AK414" s="356"/>
      <c r="AL414" s="347"/>
      <c r="AM414" s="347"/>
      <c r="AN414" s="347"/>
      <c r="AO414" s="357"/>
      <c r="AP414" s="357"/>
      <c r="AQ414" s="333"/>
      <c r="AW414" s="55"/>
    </row>
    <row r="415" spans="1:49" x14ac:dyDescent="0.25">
      <c r="F415" s="381"/>
      <c r="H415" s="379"/>
      <c r="I415" s="379"/>
      <c r="J415" s="464"/>
      <c r="K415" s="464"/>
      <c r="L415" s="381"/>
      <c r="M415" s="381"/>
      <c r="N415" s="381"/>
      <c r="O415" s="381"/>
      <c r="P415" s="381"/>
      <c r="Q415" s="381"/>
      <c r="R415" s="381"/>
      <c r="T415" s="229"/>
      <c r="U415" s="229"/>
      <c r="V415" s="358"/>
      <c r="W415" s="229"/>
      <c r="X415" s="229"/>
      <c r="Y415" s="229"/>
      <c r="Z415" s="229"/>
      <c r="AA415" s="347"/>
      <c r="AB415" s="548"/>
      <c r="AC415" s="358"/>
      <c r="AD415" s="358"/>
      <c r="AE415" s="358"/>
      <c r="AF415" s="358"/>
      <c r="AG415" s="359"/>
      <c r="AH415" s="358"/>
      <c r="AI415" s="229"/>
      <c r="AJ415" s="229"/>
      <c r="AK415" s="359"/>
      <c r="AL415" s="358"/>
      <c r="AM415" s="358"/>
      <c r="AN415" s="358"/>
      <c r="AO415" s="229"/>
      <c r="AP415" s="229"/>
      <c r="AQ415" s="333"/>
      <c r="AW415" s="55"/>
    </row>
    <row r="416" spans="1:49" x14ac:dyDescent="0.25">
      <c r="A416" s="53"/>
      <c r="C416" s="54"/>
      <c r="F416" s="379"/>
      <c r="H416" s="379"/>
      <c r="I416" s="379"/>
      <c r="J416" s="59"/>
      <c r="K416" s="59"/>
      <c r="L416" s="379"/>
      <c r="M416" s="379"/>
      <c r="N416" s="50"/>
      <c r="O416" s="50"/>
      <c r="P416" s="379"/>
      <c r="Q416" s="379"/>
      <c r="R416" s="379"/>
      <c r="T416" s="301"/>
      <c r="U416" s="229"/>
      <c r="V416" s="347"/>
      <c r="W416" s="229"/>
      <c r="X416" s="229"/>
      <c r="Y416" s="229"/>
      <c r="Z416" s="229"/>
      <c r="AA416" s="347"/>
      <c r="AB416" s="360"/>
      <c r="AC416" s="347"/>
      <c r="AD416" s="347"/>
      <c r="AE416" s="357"/>
      <c r="AF416" s="357"/>
      <c r="AG416" s="356"/>
      <c r="AH416" s="347"/>
      <c r="AI416" s="348"/>
      <c r="AJ416" s="348"/>
      <c r="AK416" s="356"/>
      <c r="AL416" s="347"/>
      <c r="AM416" s="347"/>
      <c r="AN416" s="347"/>
      <c r="AO416" s="357"/>
      <c r="AP416" s="357"/>
      <c r="AQ416" s="333"/>
      <c r="AW416" s="55"/>
    </row>
    <row r="417" spans="1:49" x14ac:dyDescent="0.25">
      <c r="F417" s="381"/>
      <c r="H417" s="379"/>
      <c r="I417" s="379"/>
      <c r="J417" s="464"/>
      <c r="K417" s="464"/>
      <c r="L417" s="381"/>
      <c r="M417" s="381"/>
      <c r="N417" s="381"/>
      <c r="O417" s="381"/>
      <c r="P417" s="381"/>
      <c r="Q417" s="381"/>
      <c r="R417" s="381"/>
      <c r="T417" s="229"/>
      <c r="U417" s="229"/>
      <c r="V417" s="358"/>
      <c r="W417" s="229"/>
      <c r="X417" s="229"/>
      <c r="Y417" s="229"/>
      <c r="Z417" s="229"/>
      <c r="AA417" s="347"/>
      <c r="AB417" s="548"/>
      <c r="AC417" s="358"/>
      <c r="AD417" s="358"/>
      <c r="AE417" s="358"/>
      <c r="AF417" s="358"/>
      <c r="AG417" s="359"/>
      <c r="AH417" s="358"/>
      <c r="AI417" s="229"/>
      <c r="AJ417" s="229"/>
      <c r="AK417" s="359"/>
      <c r="AL417" s="358"/>
      <c r="AM417" s="358"/>
      <c r="AN417" s="358"/>
      <c r="AO417" s="229"/>
      <c r="AP417" s="229"/>
      <c r="AQ417" s="333"/>
      <c r="AW417" s="55"/>
    </row>
    <row r="418" spans="1:49" x14ac:dyDescent="0.25">
      <c r="F418" s="379"/>
      <c r="R418" s="379"/>
      <c r="T418" s="229"/>
      <c r="U418" s="229"/>
      <c r="V418" s="347"/>
      <c r="W418" s="229"/>
      <c r="X418" s="229"/>
      <c r="Y418" s="229"/>
      <c r="Z418" s="229"/>
      <c r="AA418" s="229"/>
      <c r="AB418" s="229"/>
      <c r="AC418" s="229"/>
      <c r="AD418" s="229"/>
      <c r="AE418" s="229"/>
      <c r="AF418" s="229"/>
      <c r="AG418" s="330"/>
      <c r="AH418" s="229"/>
      <c r="AI418" s="229"/>
      <c r="AJ418" s="229"/>
      <c r="AK418" s="330"/>
      <c r="AL418" s="229"/>
      <c r="AM418" s="347"/>
      <c r="AN418" s="347"/>
      <c r="AO418" s="229"/>
      <c r="AP418" s="229"/>
      <c r="AQ418" s="333"/>
      <c r="AW418" s="55"/>
    </row>
    <row r="419" spans="1:49" x14ac:dyDescent="0.25">
      <c r="A419" s="53"/>
      <c r="C419" s="54"/>
      <c r="F419" s="379"/>
      <c r="R419" s="379"/>
      <c r="T419" s="301"/>
      <c r="U419" s="229"/>
      <c r="V419" s="347"/>
      <c r="W419" s="229"/>
      <c r="X419" s="229"/>
      <c r="Y419" s="229"/>
      <c r="Z419" s="229"/>
      <c r="AA419" s="229"/>
      <c r="AB419" s="229"/>
      <c r="AC419" s="229"/>
      <c r="AD419" s="229"/>
      <c r="AE419" s="229"/>
      <c r="AF419" s="229"/>
      <c r="AG419" s="330"/>
      <c r="AH419" s="229"/>
      <c r="AI419" s="229"/>
      <c r="AJ419" s="229"/>
      <c r="AK419" s="330"/>
      <c r="AL419" s="229"/>
      <c r="AM419" s="347"/>
      <c r="AN419" s="347"/>
      <c r="AO419" s="229"/>
      <c r="AP419" s="229"/>
      <c r="AQ419" s="333"/>
      <c r="AW419" s="55"/>
    </row>
    <row r="420" spans="1:49" x14ac:dyDescent="0.25">
      <c r="F420" s="379"/>
      <c r="R420" s="379"/>
      <c r="T420" s="229"/>
      <c r="U420" s="229"/>
      <c r="V420" s="347"/>
      <c r="W420" s="229"/>
      <c r="X420" s="229"/>
      <c r="Y420" s="229"/>
      <c r="Z420" s="229"/>
      <c r="AA420" s="229"/>
      <c r="AB420" s="229"/>
      <c r="AC420" s="229"/>
      <c r="AD420" s="229"/>
      <c r="AE420" s="229"/>
      <c r="AF420" s="229"/>
      <c r="AG420" s="330"/>
      <c r="AH420" s="229"/>
      <c r="AI420" s="229"/>
      <c r="AJ420" s="229"/>
      <c r="AK420" s="330"/>
      <c r="AL420" s="229"/>
      <c r="AM420" s="347"/>
      <c r="AN420" s="347"/>
      <c r="AO420" s="229"/>
      <c r="AP420" s="229"/>
      <c r="AQ420" s="333"/>
      <c r="AW420" s="55"/>
    </row>
    <row r="421" spans="1:49" x14ac:dyDescent="0.25">
      <c r="A421" s="53"/>
      <c r="C421" s="54"/>
      <c r="F421" s="379"/>
      <c r="H421" s="449"/>
      <c r="I421" s="449"/>
      <c r="J421" s="472"/>
      <c r="K421" s="472"/>
      <c r="L421" s="379"/>
      <c r="M421" s="379"/>
      <c r="N421" s="50"/>
      <c r="O421" s="50"/>
      <c r="P421" s="449"/>
      <c r="Q421" s="449"/>
      <c r="R421" s="379"/>
      <c r="T421" s="301"/>
      <c r="U421" s="229"/>
      <c r="V421" s="347"/>
      <c r="W421" s="229"/>
      <c r="X421" s="229"/>
      <c r="Y421" s="229"/>
      <c r="Z421" s="229"/>
      <c r="AA421" s="347"/>
      <c r="AB421" s="546"/>
      <c r="AC421" s="347"/>
      <c r="AD421" s="347"/>
      <c r="AE421" s="357"/>
      <c r="AF421" s="357"/>
      <c r="AG421" s="356"/>
      <c r="AH421" s="347"/>
      <c r="AI421" s="348"/>
      <c r="AJ421" s="348"/>
      <c r="AK421" s="547"/>
      <c r="AL421" s="447"/>
      <c r="AM421" s="347"/>
      <c r="AN421" s="347"/>
      <c r="AO421" s="357"/>
      <c r="AP421" s="357"/>
      <c r="AQ421" s="333"/>
      <c r="AW421" s="55"/>
    </row>
    <row r="422" spans="1:49" x14ac:dyDescent="0.25">
      <c r="H422" s="381"/>
      <c r="I422" s="381"/>
      <c r="J422" s="464"/>
      <c r="K422" s="464"/>
      <c r="L422" s="381"/>
      <c r="M422" s="381"/>
      <c r="N422" s="381"/>
      <c r="O422" s="381"/>
      <c r="P422" s="381"/>
      <c r="Q422" s="381"/>
      <c r="R422" s="381"/>
      <c r="T422" s="229"/>
      <c r="U422" s="229"/>
      <c r="V422" s="358"/>
      <c r="W422" s="229"/>
      <c r="X422" s="229"/>
      <c r="Y422" s="229"/>
      <c r="Z422" s="229"/>
      <c r="AA422" s="358"/>
      <c r="AB422" s="548"/>
      <c r="AC422" s="358"/>
      <c r="AD422" s="358"/>
      <c r="AE422" s="358"/>
      <c r="AF422" s="358"/>
      <c r="AG422" s="359"/>
      <c r="AH422" s="358"/>
      <c r="AI422" s="229"/>
      <c r="AJ422" s="229"/>
      <c r="AK422" s="359"/>
      <c r="AL422" s="358"/>
      <c r="AM422" s="358"/>
      <c r="AN422" s="358"/>
      <c r="AO422" s="229"/>
      <c r="AP422" s="229"/>
      <c r="AQ422" s="333"/>
      <c r="AW422" s="55"/>
    </row>
    <row r="423" spans="1:49" x14ac:dyDescent="0.25">
      <c r="F423" s="381"/>
      <c r="T423" s="229"/>
      <c r="U423" s="229"/>
      <c r="V423" s="229"/>
      <c r="W423" s="229"/>
      <c r="X423" s="229"/>
      <c r="Y423" s="229"/>
      <c r="Z423" s="229"/>
      <c r="AA423" s="229"/>
      <c r="AB423" s="229"/>
      <c r="AC423" s="229"/>
      <c r="AD423" s="229"/>
      <c r="AE423" s="229"/>
      <c r="AF423" s="229"/>
      <c r="AG423" s="330"/>
      <c r="AH423" s="229"/>
      <c r="AI423" s="229"/>
      <c r="AJ423" s="229"/>
      <c r="AK423" s="330"/>
      <c r="AL423" s="229"/>
      <c r="AM423" s="229"/>
      <c r="AN423" s="229"/>
      <c r="AO423" s="229"/>
      <c r="AP423" s="229"/>
      <c r="AQ423" s="333"/>
      <c r="AW423" s="55"/>
    </row>
    <row r="424" spans="1:49" x14ac:dyDescent="0.25">
      <c r="A424" s="53"/>
      <c r="C424" s="54"/>
      <c r="F424" s="379"/>
      <c r="H424" s="379"/>
      <c r="I424" s="379"/>
      <c r="J424" s="62"/>
      <c r="K424" s="62"/>
      <c r="L424" s="379"/>
      <c r="M424" s="379"/>
      <c r="N424" s="50"/>
      <c r="O424" s="50"/>
      <c r="P424" s="379"/>
      <c r="Q424" s="379"/>
      <c r="R424" s="379"/>
      <c r="T424" s="301"/>
      <c r="U424" s="229"/>
      <c r="V424" s="347"/>
      <c r="W424" s="229"/>
      <c r="X424" s="229"/>
      <c r="Y424" s="229"/>
      <c r="Z424" s="229"/>
      <c r="AA424" s="347"/>
      <c r="AB424" s="362"/>
      <c r="AC424" s="347"/>
      <c r="AD424" s="347"/>
      <c r="AE424" s="357"/>
      <c r="AF424" s="357"/>
      <c r="AG424" s="356"/>
      <c r="AH424" s="347"/>
      <c r="AI424" s="348"/>
      <c r="AJ424" s="348"/>
      <c r="AK424" s="356"/>
      <c r="AL424" s="347"/>
      <c r="AM424" s="347"/>
      <c r="AN424" s="347"/>
      <c r="AO424" s="357"/>
      <c r="AP424" s="357"/>
      <c r="AQ424" s="333"/>
      <c r="AW424" s="55"/>
    </row>
    <row r="425" spans="1:49" x14ac:dyDescent="0.25">
      <c r="F425" s="381"/>
      <c r="H425" s="381"/>
      <c r="I425" s="381"/>
      <c r="J425" s="464"/>
      <c r="K425" s="464"/>
      <c r="L425" s="381"/>
      <c r="M425" s="381"/>
      <c r="N425" s="381"/>
      <c r="O425" s="381"/>
      <c r="P425" s="381"/>
      <c r="Q425" s="381"/>
      <c r="R425" s="381"/>
      <c r="T425" s="229"/>
      <c r="U425" s="229"/>
      <c r="V425" s="358"/>
      <c r="W425" s="229"/>
      <c r="X425" s="229"/>
      <c r="Y425" s="229"/>
      <c r="Z425" s="229"/>
      <c r="AA425" s="358"/>
      <c r="AB425" s="548"/>
      <c r="AC425" s="358"/>
      <c r="AD425" s="358"/>
      <c r="AE425" s="358"/>
      <c r="AF425" s="358"/>
      <c r="AG425" s="359"/>
      <c r="AH425" s="358"/>
      <c r="AI425" s="229"/>
      <c r="AJ425" s="229"/>
      <c r="AK425" s="359"/>
      <c r="AL425" s="358"/>
      <c r="AM425" s="358"/>
      <c r="AN425" s="358"/>
      <c r="AO425" s="229"/>
      <c r="AP425" s="229"/>
      <c r="AQ425" s="333"/>
      <c r="AW425" s="55"/>
    </row>
    <row r="426" spans="1:49" x14ac:dyDescent="0.25">
      <c r="R426" s="379"/>
      <c r="T426" s="229"/>
      <c r="U426" s="229"/>
      <c r="V426" s="229"/>
      <c r="W426" s="229"/>
      <c r="X426" s="229"/>
      <c r="Y426" s="229"/>
      <c r="Z426" s="229"/>
      <c r="AA426" s="229"/>
      <c r="AB426" s="229"/>
      <c r="AC426" s="229"/>
      <c r="AD426" s="229"/>
      <c r="AE426" s="229"/>
      <c r="AF426" s="229"/>
      <c r="AG426" s="330"/>
      <c r="AH426" s="229"/>
      <c r="AI426" s="347"/>
      <c r="AJ426" s="347"/>
      <c r="AK426" s="330"/>
      <c r="AL426" s="229"/>
      <c r="AM426" s="229"/>
      <c r="AN426" s="229"/>
      <c r="AO426" s="229"/>
      <c r="AP426" s="229"/>
      <c r="AQ426" s="333"/>
      <c r="AW426" s="55"/>
    </row>
    <row r="427" spans="1:49" x14ac:dyDescent="0.25">
      <c r="F427" s="379"/>
      <c r="H427" s="379"/>
      <c r="I427" s="379"/>
      <c r="J427" s="59"/>
      <c r="K427" s="59"/>
      <c r="L427" s="379"/>
      <c r="M427" s="379"/>
      <c r="N427" s="379"/>
      <c r="O427" s="379"/>
      <c r="P427" s="379"/>
      <c r="Q427" s="379"/>
      <c r="R427" s="379"/>
      <c r="T427" s="229"/>
      <c r="U427" s="229"/>
      <c r="V427" s="347"/>
      <c r="W427" s="229"/>
      <c r="X427" s="229"/>
      <c r="Y427" s="229"/>
      <c r="Z427" s="229"/>
      <c r="AA427" s="347"/>
      <c r="AB427" s="360"/>
      <c r="AC427" s="347"/>
      <c r="AD427" s="347"/>
      <c r="AE427" s="347"/>
      <c r="AF427" s="347"/>
      <c r="AG427" s="356"/>
      <c r="AH427" s="347"/>
      <c r="AI427" s="347"/>
      <c r="AJ427" s="347"/>
      <c r="AK427" s="330"/>
      <c r="AL427" s="229"/>
      <c r="AM427" s="229"/>
      <c r="AN427" s="229"/>
      <c r="AO427" s="229"/>
      <c r="AP427" s="229"/>
      <c r="AQ427" s="333"/>
      <c r="AW427" s="55"/>
    </row>
    <row r="428" spans="1:49" x14ac:dyDescent="0.25">
      <c r="C428" s="54"/>
      <c r="F428" s="379"/>
      <c r="H428" s="379"/>
      <c r="I428" s="379"/>
      <c r="J428" s="59"/>
      <c r="K428" s="59"/>
      <c r="L428" s="379"/>
      <c r="M428" s="379"/>
      <c r="N428" s="379"/>
      <c r="O428" s="379"/>
      <c r="P428" s="379"/>
      <c r="Q428" s="379"/>
      <c r="R428" s="379"/>
      <c r="T428" s="301"/>
      <c r="U428" s="229"/>
      <c r="V428" s="347"/>
      <c r="W428" s="229"/>
      <c r="X428" s="229"/>
      <c r="Y428" s="229"/>
      <c r="Z428" s="229"/>
      <c r="AA428" s="347"/>
      <c r="AB428" s="360"/>
      <c r="AC428" s="347"/>
      <c r="AD428" s="347"/>
      <c r="AE428" s="347"/>
      <c r="AF428" s="347"/>
      <c r="AG428" s="356"/>
      <c r="AH428" s="347"/>
      <c r="AI428" s="347"/>
      <c r="AJ428" s="347"/>
      <c r="AK428" s="330"/>
      <c r="AL428" s="229"/>
      <c r="AM428" s="229"/>
      <c r="AN428" s="229"/>
      <c r="AO428" s="229"/>
      <c r="AP428" s="229"/>
      <c r="AQ428" s="333"/>
      <c r="AW428" s="55"/>
    </row>
    <row r="429" spans="1:49" x14ac:dyDescent="0.25">
      <c r="A429" s="54"/>
      <c r="T429" s="229"/>
      <c r="U429" s="229"/>
      <c r="V429" s="229"/>
      <c r="W429" s="229"/>
      <c r="X429" s="229"/>
      <c r="Y429" s="229"/>
      <c r="Z429" s="229"/>
      <c r="AA429" s="229"/>
      <c r="AB429" s="229"/>
      <c r="AC429" s="229"/>
      <c r="AD429" s="229"/>
      <c r="AE429" s="229"/>
      <c r="AF429" s="229"/>
      <c r="AG429" s="330"/>
      <c r="AH429" s="229"/>
      <c r="AI429" s="229"/>
      <c r="AJ429" s="229"/>
      <c r="AK429" s="330"/>
      <c r="AL429" s="229"/>
      <c r="AM429" s="229"/>
      <c r="AN429" s="229"/>
      <c r="AO429" s="229"/>
      <c r="AP429" s="229"/>
      <c r="AQ429" s="333"/>
      <c r="AW429" s="55"/>
    </row>
    <row r="430" spans="1:49" x14ac:dyDescent="0.25">
      <c r="T430" s="229"/>
      <c r="U430" s="229"/>
      <c r="V430" s="229"/>
      <c r="W430" s="229"/>
      <c r="X430" s="229"/>
      <c r="Y430" s="229"/>
      <c r="Z430" s="229"/>
      <c r="AA430" s="229"/>
      <c r="AB430" s="229"/>
      <c r="AC430" s="229"/>
      <c r="AD430" s="229"/>
      <c r="AE430" s="229"/>
      <c r="AF430" s="229"/>
      <c r="AG430" s="330"/>
      <c r="AH430" s="229"/>
      <c r="AI430" s="229"/>
      <c r="AJ430" s="229"/>
      <c r="AK430" s="330"/>
      <c r="AL430" s="229"/>
      <c r="AM430" s="229"/>
      <c r="AN430" s="229"/>
      <c r="AO430" s="229"/>
      <c r="AP430" s="229"/>
      <c r="AQ430" s="333"/>
      <c r="AW430" s="55"/>
    </row>
    <row r="431" spans="1:49" x14ac:dyDescent="0.25">
      <c r="J431" s="53"/>
      <c r="K431" s="53"/>
      <c r="T431" s="229"/>
      <c r="U431" s="229"/>
      <c r="V431" s="229"/>
      <c r="W431" s="229"/>
      <c r="X431" s="229"/>
      <c r="Y431" s="229"/>
      <c r="Z431" s="229"/>
      <c r="AA431" s="229"/>
      <c r="AB431" s="349"/>
      <c r="AC431" s="229"/>
      <c r="AD431" s="229"/>
      <c r="AE431" s="229"/>
      <c r="AF431" s="229"/>
      <c r="AG431" s="330"/>
      <c r="AH431" s="229"/>
      <c r="AI431" s="229"/>
      <c r="AJ431" s="229"/>
      <c r="AK431" s="330"/>
      <c r="AL431" s="229"/>
      <c r="AM431" s="229"/>
      <c r="AN431" s="229"/>
      <c r="AO431" s="229"/>
      <c r="AP431" s="229"/>
      <c r="AQ431" s="333"/>
      <c r="AW431" s="55"/>
    </row>
    <row r="432" spans="1:49" x14ac:dyDescent="0.25">
      <c r="H432" s="54"/>
      <c r="I432" s="54"/>
      <c r="T432" s="229"/>
      <c r="U432" s="229"/>
      <c r="V432" s="229"/>
      <c r="W432" s="229"/>
      <c r="X432" s="229"/>
      <c r="Y432" s="229"/>
      <c r="Z432" s="229"/>
      <c r="AA432" s="301"/>
      <c r="AB432" s="229"/>
      <c r="AC432" s="229"/>
      <c r="AD432" s="229"/>
      <c r="AE432" s="229"/>
      <c r="AF432" s="229"/>
      <c r="AG432" s="330"/>
      <c r="AH432" s="229"/>
      <c r="AI432" s="229"/>
      <c r="AJ432" s="229"/>
      <c r="AK432" s="330"/>
      <c r="AL432" s="229"/>
      <c r="AM432" s="229"/>
      <c r="AN432" s="229"/>
      <c r="AO432" s="229"/>
      <c r="AP432" s="229"/>
      <c r="AQ432" s="333"/>
      <c r="AW432" s="55"/>
    </row>
    <row r="433" spans="1:49" x14ac:dyDescent="0.25">
      <c r="J433" s="53"/>
      <c r="K433" s="53"/>
      <c r="T433" s="229"/>
      <c r="U433" s="229"/>
      <c r="V433" s="229"/>
      <c r="W433" s="229"/>
      <c r="X433" s="229"/>
      <c r="Y433" s="229"/>
      <c r="Z433" s="229"/>
      <c r="AA433" s="229"/>
      <c r="AB433" s="349"/>
      <c r="AC433" s="229"/>
      <c r="AD433" s="229"/>
      <c r="AE433" s="229"/>
      <c r="AF433" s="229"/>
      <c r="AG433" s="330"/>
      <c r="AH433" s="229"/>
      <c r="AI433" s="229"/>
      <c r="AJ433" s="229"/>
      <c r="AK433" s="330"/>
      <c r="AL433" s="229"/>
      <c r="AM433" s="229"/>
      <c r="AN433" s="229"/>
      <c r="AO433" s="229"/>
      <c r="AP433" s="229"/>
      <c r="AQ433" s="333"/>
      <c r="AW433" s="55"/>
    </row>
    <row r="434" spans="1:49" x14ac:dyDescent="0.25">
      <c r="L434" s="54"/>
      <c r="M434" s="54"/>
      <c r="T434" s="229"/>
      <c r="U434" s="229"/>
      <c r="V434" s="229"/>
      <c r="W434" s="229"/>
      <c r="X434" s="229"/>
      <c r="Y434" s="229"/>
      <c r="Z434" s="229"/>
      <c r="AA434" s="229"/>
      <c r="AB434" s="229"/>
      <c r="AC434" s="301"/>
      <c r="AD434" s="301"/>
      <c r="AE434" s="229"/>
      <c r="AF434" s="229"/>
      <c r="AG434" s="330"/>
      <c r="AH434" s="229"/>
      <c r="AI434" s="229"/>
      <c r="AJ434" s="229"/>
      <c r="AK434" s="330"/>
      <c r="AL434" s="229"/>
      <c r="AM434" s="229"/>
      <c r="AN434" s="229"/>
      <c r="AO434" s="229"/>
      <c r="AP434" s="229"/>
      <c r="AQ434" s="333"/>
      <c r="AW434" s="55"/>
    </row>
    <row r="435" spans="1:49" x14ac:dyDescent="0.25">
      <c r="A435" s="53"/>
      <c r="R435" s="54"/>
      <c r="T435" s="229"/>
      <c r="U435" s="229"/>
      <c r="V435" s="229"/>
      <c r="W435" s="229"/>
      <c r="X435" s="229"/>
      <c r="Y435" s="229"/>
      <c r="Z435" s="229"/>
      <c r="AA435" s="229"/>
      <c r="AB435" s="229"/>
      <c r="AC435" s="229"/>
      <c r="AD435" s="229"/>
      <c r="AE435" s="229"/>
      <c r="AF435" s="229"/>
      <c r="AG435" s="330"/>
      <c r="AH435" s="229"/>
      <c r="AI435" s="229"/>
      <c r="AJ435" s="229"/>
      <c r="AK435" s="330"/>
      <c r="AL435" s="229"/>
      <c r="AM435" s="301"/>
      <c r="AN435" s="301"/>
      <c r="AO435" s="229"/>
      <c r="AP435" s="229"/>
      <c r="AQ435" s="333"/>
      <c r="AW435" s="55"/>
    </row>
    <row r="436" spans="1:49" x14ac:dyDescent="0.25">
      <c r="A436" s="53"/>
      <c r="R436" s="54"/>
      <c r="T436" s="229"/>
      <c r="U436" s="229"/>
      <c r="V436" s="229"/>
      <c r="W436" s="229"/>
      <c r="X436" s="229"/>
      <c r="Y436" s="229"/>
      <c r="Z436" s="229"/>
      <c r="AA436" s="229"/>
      <c r="AB436" s="229"/>
      <c r="AC436" s="229"/>
      <c r="AD436" s="229"/>
      <c r="AE436" s="229"/>
      <c r="AF436" s="229"/>
      <c r="AG436" s="330"/>
      <c r="AH436" s="229"/>
      <c r="AI436" s="229"/>
      <c r="AJ436" s="229"/>
      <c r="AK436" s="330"/>
      <c r="AL436" s="229"/>
      <c r="AM436" s="301"/>
      <c r="AN436" s="301"/>
      <c r="AO436" s="229"/>
      <c r="AP436" s="229"/>
      <c r="AQ436" s="333"/>
      <c r="AW436" s="55"/>
    </row>
    <row r="437" spans="1:49" x14ac:dyDescent="0.25">
      <c r="A437" s="54"/>
      <c r="R437" s="54"/>
      <c r="T437" s="229"/>
      <c r="U437" s="229"/>
      <c r="V437" s="229"/>
      <c r="W437" s="229"/>
      <c r="X437" s="229"/>
      <c r="Y437" s="229"/>
      <c r="Z437" s="229"/>
      <c r="AA437" s="229"/>
      <c r="AB437" s="229"/>
      <c r="AC437" s="229"/>
      <c r="AD437" s="229"/>
      <c r="AE437" s="229"/>
      <c r="AF437" s="229"/>
      <c r="AG437" s="330"/>
      <c r="AH437" s="229"/>
      <c r="AI437" s="229"/>
      <c r="AJ437" s="229"/>
      <c r="AK437" s="330"/>
      <c r="AL437" s="229"/>
      <c r="AM437" s="301"/>
      <c r="AN437" s="301"/>
      <c r="AO437" s="229"/>
      <c r="AP437" s="229"/>
      <c r="AQ437" s="333"/>
      <c r="AW437" s="55"/>
    </row>
    <row r="438" spans="1:49" x14ac:dyDescent="0.25">
      <c r="L438" s="54"/>
      <c r="M438" s="54"/>
      <c r="R438" s="53"/>
      <c r="T438" s="229"/>
      <c r="U438" s="229"/>
      <c r="V438" s="229"/>
      <c r="W438" s="229"/>
      <c r="X438" s="229"/>
      <c r="Y438" s="229"/>
      <c r="Z438" s="229"/>
      <c r="AA438" s="229"/>
      <c r="AB438" s="229"/>
      <c r="AC438" s="301"/>
      <c r="AD438" s="301"/>
      <c r="AE438" s="229"/>
      <c r="AF438" s="229"/>
      <c r="AG438" s="330"/>
      <c r="AH438" s="229"/>
      <c r="AI438" s="229"/>
      <c r="AJ438" s="229"/>
      <c r="AK438" s="330"/>
      <c r="AL438" s="229"/>
      <c r="AM438" s="349"/>
      <c r="AN438" s="349"/>
      <c r="AO438" s="229"/>
      <c r="AP438" s="229"/>
      <c r="AQ438" s="333"/>
      <c r="AW438" s="55"/>
    </row>
    <row r="439" spans="1:49" x14ac:dyDescent="0.25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T439" s="230"/>
      <c r="U439" s="230"/>
      <c r="V439" s="230"/>
      <c r="W439" s="230"/>
      <c r="X439" s="230"/>
      <c r="Y439" s="230"/>
      <c r="Z439" s="230"/>
      <c r="AA439" s="230"/>
      <c r="AB439" s="230"/>
      <c r="AC439" s="230"/>
      <c r="AD439" s="230"/>
      <c r="AE439" s="230"/>
      <c r="AF439" s="230"/>
      <c r="AG439" s="355"/>
      <c r="AH439" s="230"/>
      <c r="AI439" s="230"/>
      <c r="AJ439" s="230"/>
      <c r="AK439" s="355"/>
      <c r="AL439" s="230"/>
      <c r="AM439" s="230"/>
      <c r="AN439" s="230"/>
      <c r="AO439" s="230"/>
      <c r="AP439" s="230"/>
      <c r="AQ439" s="333"/>
      <c r="AW439" s="55"/>
    </row>
    <row r="440" spans="1:49" x14ac:dyDescent="0.25">
      <c r="L440" s="56"/>
      <c r="M440" s="56"/>
      <c r="N440" s="56"/>
      <c r="O440" s="56"/>
      <c r="R440" s="56"/>
      <c r="T440" s="229"/>
      <c r="U440" s="229"/>
      <c r="V440" s="229"/>
      <c r="W440" s="229"/>
      <c r="X440" s="229"/>
      <c r="Y440" s="229"/>
      <c r="Z440" s="229"/>
      <c r="AA440" s="229"/>
      <c r="AB440" s="229"/>
      <c r="AC440" s="231"/>
      <c r="AD440" s="231"/>
      <c r="AE440" s="231"/>
      <c r="AF440" s="231"/>
      <c r="AG440" s="332"/>
      <c r="AH440" s="231"/>
      <c r="AI440" s="231"/>
      <c r="AJ440" s="231"/>
      <c r="AK440" s="330"/>
      <c r="AL440" s="229"/>
      <c r="AM440" s="231"/>
      <c r="AN440" s="231"/>
      <c r="AO440" s="231"/>
      <c r="AP440" s="231"/>
      <c r="AQ440" s="333"/>
      <c r="AW440" s="55"/>
    </row>
    <row r="441" spans="1:49" x14ac:dyDescent="0.25">
      <c r="L441" s="56"/>
      <c r="M441" s="56"/>
      <c r="N441" s="56"/>
      <c r="O441" s="56"/>
      <c r="R441" s="56"/>
      <c r="T441" s="229"/>
      <c r="U441" s="229"/>
      <c r="V441" s="229"/>
      <c r="W441" s="229"/>
      <c r="X441" s="229"/>
      <c r="Y441" s="229"/>
      <c r="Z441" s="229"/>
      <c r="AA441" s="229"/>
      <c r="AB441" s="231"/>
      <c r="AC441" s="231"/>
      <c r="AD441" s="231"/>
      <c r="AE441" s="231"/>
      <c r="AF441" s="231"/>
      <c r="AG441" s="332"/>
      <c r="AH441" s="231"/>
      <c r="AI441" s="231"/>
      <c r="AJ441" s="231"/>
      <c r="AK441" s="330"/>
      <c r="AL441" s="229"/>
      <c r="AM441" s="231"/>
      <c r="AN441" s="231"/>
      <c r="AO441" s="231"/>
      <c r="AP441" s="231"/>
      <c r="AQ441" s="333"/>
      <c r="AW441" s="55"/>
    </row>
    <row r="442" spans="1:49" x14ac:dyDescent="0.25">
      <c r="A442" s="56"/>
      <c r="C442" s="56"/>
      <c r="D442" s="56"/>
      <c r="E442" s="56"/>
      <c r="F442" s="56"/>
      <c r="J442" s="56"/>
      <c r="K442" s="56"/>
      <c r="L442" s="56"/>
      <c r="M442" s="56"/>
      <c r="N442" s="56"/>
      <c r="O442" s="56"/>
      <c r="P442" s="56"/>
      <c r="Q442" s="56"/>
      <c r="R442" s="56"/>
      <c r="T442" s="231"/>
      <c r="U442" s="231"/>
      <c r="V442" s="231"/>
      <c r="W442" s="229"/>
      <c r="X442" s="229"/>
      <c r="Y442" s="229"/>
      <c r="Z442" s="229"/>
      <c r="AA442" s="229"/>
      <c r="AB442" s="231"/>
      <c r="AC442" s="231"/>
      <c r="AD442" s="231"/>
      <c r="AE442" s="231"/>
      <c r="AF442" s="231"/>
      <c r="AG442" s="332"/>
      <c r="AH442" s="231"/>
      <c r="AI442" s="231"/>
      <c r="AJ442" s="231"/>
      <c r="AK442" s="332"/>
      <c r="AL442" s="231"/>
      <c r="AM442" s="231"/>
      <c r="AN442" s="231"/>
      <c r="AO442" s="231"/>
      <c r="AP442" s="231"/>
      <c r="AQ442" s="333"/>
      <c r="AW442" s="55"/>
    </row>
    <row r="443" spans="1:49" x14ac:dyDescent="0.25">
      <c r="A443" s="56"/>
      <c r="C443" s="56"/>
      <c r="D443" s="56"/>
      <c r="E443" s="56"/>
      <c r="F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T443" s="231"/>
      <c r="U443" s="231"/>
      <c r="V443" s="231"/>
      <c r="W443" s="229"/>
      <c r="X443" s="229"/>
      <c r="Y443" s="229"/>
      <c r="Z443" s="229"/>
      <c r="AA443" s="231"/>
      <c r="AB443" s="231"/>
      <c r="AC443" s="231"/>
      <c r="AD443" s="231"/>
      <c r="AE443" s="231"/>
      <c r="AF443" s="231"/>
      <c r="AG443" s="332"/>
      <c r="AH443" s="231"/>
      <c r="AI443" s="231"/>
      <c r="AJ443" s="231"/>
      <c r="AK443" s="332"/>
      <c r="AL443" s="231"/>
      <c r="AM443" s="231"/>
      <c r="AN443" s="231"/>
      <c r="AO443" s="231"/>
      <c r="AP443" s="231"/>
      <c r="AQ443" s="333"/>
      <c r="AW443" s="55"/>
    </row>
    <row r="444" spans="1:49" x14ac:dyDescent="0.25">
      <c r="C444" s="56"/>
      <c r="D444" s="56"/>
      <c r="E444" s="56"/>
      <c r="F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T444" s="231"/>
      <c r="U444" s="231"/>
      <c r="V444" s="231"/>
      <c r="W444" s="229"/>
      <c r="X444" s="229"/>
      <c r="Y444" s="229"/>
      <c r="Z444" s="229"/>
      <c r="AA444" s="231"/>
      <c r="AB444" s="231"/>
      <c r="AC444" s="231"/>
      <c r="AD444" s="231"/>
      <c r="AE444" s="231"/>
      <c r="AF444" s="231"/>
      <c r="AG444" s="332"/>
      <c r="AH444" s="231"/>
      <c r="AI444" s="231"/>
      <c r="AJ444" s="231"/>
      <c r="AK444" s="332"/>
      <c r="AL444" s="231"/>
      <c r="AM444" s="231"/>
      <c r="AN444" s="231"/>
      <c r="AO444" s="231"/>
      <c r="AP444" s="231"/>
      <c r="AQ444" s="333"/>
      <c r="AW444" s="55"/>
    </row>
    <row r="445" spans="1:49" x14ac:dyDescent="0.25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T445" s="230"/>
      <c r="U445" s="230"/>
      <c r="V445" s="230"/>
      <c r="W445" s="230"/>
      <c r="X445" s="230"/>
      <c r="Y445" s="230"/>
      <c r="Z445" s="230"/>
      <c r="AA445" s="230"/>
      <c r="AB445" s="230"/>
      <c r="AC445" s="230"/>
      <c r="AD445" s="230"/>
      <c r="AE445" s="230"/>
      <c r="AF445" s="230"/>
      <c r="AG445" s="355"/>
      <c r="AH445" s="230"/>
      <c r="AI445" s="230"/>
      <c r="AJ445" s="230"/>
      <c r="AK445" s="355"/>
      <c r="AL445" s="230"/>
      <c r="AM445" s="230"/>
      <c r="AN445" s="230"/>
      <c r="AO445" s="230"/>
      <c r="AP445" s="230"/>
      <c r="AQ445" s="333"/>
      <c r="AW445" s="55"/>
    </row>
    <row r="446" spans="1:49" x14ac:dyDescent="0.25"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T446" s="229"/>
      <c r="U446" s="229"/>
      <c r="V446" s="229"/>
      <c r="W446" s="229"/>
      <c r="X446" s="229"/>
      <c r="Y446" s="229"/>
      <c r="Z446" s="229"/>
      <c r="AA446" s="231"/>
      <c r="AB446" s="231"/>
      <c r="AC446" s="231"/>
      <c r="AD446" s="231"/>
      <c r="AE446" s="231"/>
      <c r="AF446" s="231"/>
      <c r="AG446" s="332"/>
      <c r="AH446" s="231"/>
      <c r="AI446" s="231"/>
      <c r="AJ446" s="231"/>
      <c r="AK446" s="332"/>
      <c r="AL446" s="231"/>
      <c r="AM446" s="231"/>
      <c r="AN446" s="231"/>
      <c r="AO446" s="231"/>
      <c r="AP446" s="231"/>
      <c r="AQ446" s="333"/>
      <c r="AW446" s="55"/>
    </row>
    <row r="447" spans="1:49" x14ac:dyDescent="0.25">
      <c r="A447" s="53"/>
      <c r="C447" s="54"/>
      <c r="D447" s="54"/>
      <c r="E447" s="54"/>
      <c r="T447" s="301"/>
      <c r="U447" s="301"/>
      <c r="V447" s="229"/>
      <c r="W447" s="229"/>
      <c r="X447" s="229"/>
      <c r="Y447" s="229"/>
      <c r="Z447" s="229"/>
      <c r="AA447" s="229"/>
      <c r="AB447" s="229"/>
      <c r="AC447" s="229"/>
      <c r="AD447" s="229"/>
      <c r="AE447" s="229"/>
      <c r="AF447" s="229"/>
      <c r="AG447" s="330"/>
      <c r="AH447" s="229"/>
      <c r="AI447" s="229"/>
      <c r="AJ447" s="229"/>
      <c r="AK447" s="330"/>
      <c r="AL447" s="229"/>
      <c r="AM447" s="229"/>
      <c r="AN447" s="229"/>
      <c r="AO447" s="229"/>
      <c r="AP447" s="229"/>
      <c r="AQ447" s="333"/>
      <c r="AW447" s="55"/>
    </row>
    <row r="448" spans="1:49" x14ac:dyDescent="0.25">
      <c r="A448" s="53"/>
      <c r="C448" s="54"/>
      <c r="T448" s="301"/>
      <c r="U448" s="229"/>
      <c r="V448" s="229"/>
      <c r="W448" s="229"/>
      <c r="X448" s="229"/>
      <c r="Y448" s="229"/>
      <c r="Z448" s="229"/>
      <c r="AA448" s="229"/>
      <c r="AB448" s="229"/>
      <c r="AC448" s="229"/>
      <c r="AD448" s="229"/>
      <c r="AE448" s="229"/>
      <c r="AF448" s="229"/>
      <c r="AG448" s="330"/>
      <c r="AH448" s="229"/>
      <c r="AI448" s="229"/>
      <c r="AJ448" s="229"/>
      <c r="AK448" s="330"/>
      <c r="AL448" s="229"/>
      <c r="AM448" s="229"/>
      <c r="AN448" s="229"/>
      <c r="AO448" s="229"/>
      <c r="AP448" s="229"/>
      <c r="AQ448" s="333"/>
      <c r="AW448" s="55"/>
    </row>
    <row r="449" spans="1:49" x14ac:dyDescent="0.25">
      <c r="T449" s="229"/>
      <c r="U449" s="229"/>
      <c r="V449" s="229"/>
      <c r="W449" s="229"/>
      <c r="X449" s="229"/>
      <c r="Y449" s="229"/>
      <c r="Z449" s="229"/>
      <c r="AA449" s="229"/>
      <c r="AB449" s="229"/>
      <c r="AC449" s="229"/>
      <c r="AD449" s="229"/>
      <c r="AE449" s="229"/>
      <c r="AF449" s="229"/>
      <c r="AG449" s="330"/>
      <c r="AH449" s="229"/>
      <c r="AI449" s="229"/>
      <c r="AJ449" s="229"/>
      <c r="AK449" s="330"/>
      <c r="AL449" s="229"/>
      <c r="AM449" s="229"/>
      <c r="AN449" s="229"/>
      <c r="AO449" s="229"/>
      <c r="AP449" s="229"/>
      <c r="AQ449" s="333"/>
      <c r="AW449" s="55"/>
    </row>
    <row r="450" spans="1:49" x14ac:dyDescent="0.25">
      <c r="A450" s="53"/>
      <c r="C450" s="54"/>
      <c r="F450" s="449"/>
      <c r="H450" s="449"/>
      <c r="I450" s="449"/>
      <c r="J450" s="461"/>
      <c r="K450" s="461"/>
      <c r="L450" s="379"/>
      <c r="M450" s="379"/>
      <c r="N450" s="50"/>
      <c r="O450" s="50"/>
      <c r="P450" s="53"/>
      <c r="Q450" s="53"/>
      <c r="R450" s="379"/>
      <c r="T450" s="301"/>
      <c r="U450" s="229"/>
      <c r="V450" s="347"/>
      <c r="W450" s="229"/>
      <c r="X450" s="229"/>
      <c r="Y450" s="229"/>
      <c r="Z450" s="229"/>
      <c r="AA450" s="447"/>
      <c r="AB450" s="542"/>
      <c r="AC450" s="347"/>
      <c r="AD450" s="347"/>
      <c r="AE450" s="357"/>
      <c r="AF450" s="357"/>
      <c r="AG450" s="356"/>
      <c r="AH450" s="347"/>
      <c r="AI450" s="348"/>
      <c r="AJ450" s="348"/>
      <c r="AK450" s="356"/>
      <c r="AL450" s="349"/>
      <c r="AM450" s="347"/>
      <c r="AN450" s="347"/>
      <c r="AO450" s="357"/>
      <c r="AP450" s="357"/>
      <c r="AQ450" s="333"/>
      <c r="AW450" s="55"/>
    </row>
    <row r="451" spans="1:49" x14ac:dyDescent="0.25">
      <c r="F451" s="381"/>
      <c r="H451" s="379"/>
      <c r="I451" s="379"/>
      <c r="J451" s="464"/>
      <c r="K451" s="464"/>
      <c r="L451" s="381"/>
      <c r="M451" s="381"/>
      <c r="N451" s="381"/>
      <c r="O451" s="381"/>
      <c r="P451" s="381"/>
      <c r="Q451" s="381"/>
      <c r="R451" s="381"/>
      <c r="T451" s="229"/>
      <c r="U451" s="229"/>
      <c r="V451" s="358"/>
      <c r="W451" s="229"/>
      <c r="X451" s="229"/>
      <c r="Y451" s="229"/>
      <c r="Z451" s="229"/>
      <c r="AA451" s="347"/>
      <c r="AB451" s="548"/>
      <c r="AC451" s="358"/>
      <c r="AD451" s="358"/>
      <c r="AE451" s="358"/>
      <c r="AF451" s="358"/>
      <c r="AG451" s="359"/>
      <c r="AH451" s="358"/>
      <c r="AI451" s="229"/>
      <c r="AJ451" s="229"/>
      <c r="AK451" s="359"/>
      <c r="AL451" s="358"/>
      <c r="AM451" s="358"/>
      <c r="AN451" s="358"/>
      <c r="AO451" s="357"/>
      <c r="AP451" s="357"/>
      <c r="AQ451" s="333"/>
      <c r="AW451" s="55"/>
    </row>
    <row r="452" spans="1:49" x14ac:dyDescent="0.25">
      <c r="A452" s="53"/>
      <c r="C452" s="54"/>
      <c r="F452" s="449"/>
      <c r="H452" s="449"/>
      <c r="I452" s="449"/>
      <c r="J452" s="477"/>
      <c r="K452" s="477"/>
      <c r="L452" s="379"/>
      <c r="M452" s="379"/>
      <c r="N452" s="50"/>
      <c r="O452" s="50"/>
      <c r="P452" s="379"/>
      <c r="Q452" s="379"/>
      <c r="R452" s="379"/>
      <c r="S452" s="379"/>
      <c r="T452" s="301"/>
      <c r="U452" s="229"/>
      <c r="V452" s="447"/>
      <c r="W452" s="229"/>
      <c r="X452" s="229"/>
      <c r="Y452" s="229"/>
      <c r="Z452" s="229"/>
      <c r="AA452" s="447"/>
      <c r="AB452" s="549"/>
      <c r="AC452" s="347"/>
      <c r="AD452" s="347"/>
      <c r="AE452" s="357"/>
      <c r="AF452" s="357"/>
      <c r="AG452" s="356"/>
      <c r="AH452" s="347"/>
      <c r="AI452" s="357"/>
      <c r="AJ452" s="357"/>
      <c r="AK452" s="356"/>
      <c r="AL452" s="347"/>
      <c r="AM452" s="347"/>
      <c r="AN452" s="347"/>
      <c r="AO452" s="357"/>
      <c r="AP452" s="357"/>
      <c r="AQ452" s="333"/>
      <c r="AW452" s="55"/>
    </row>
    <row r="453" spans="1:49" x14ac:dyDescent="0.25">
      <c r="A453" s="53"/>
      <c r="C453" s="54"/>
      <c r="F453" s="449"/>
      <c r="H453" s="449"/>
      <c r="I453" s="449"/>
      <c r="J453" s="461"/>
      <c r="K453" s="461"/>
      <c r="L453" s="379"/>
      <c r="M453" s="379"/>
      <c r="N453" s="50"/>
      <c r="O453" s="50"/>
      <c r="P453" s="379"/>
      <c r="Q453" s="379"/>
      <c r="R453" s="379"/>
      <c r="T453" s="301"/>
      <c r="U453" s="229"/>
      <c r="V453" s="447"/>
      <c r="W453" s="229"/>
      <c r="X453" s="229"/>
      <c r="Y453" s="229"/>
      <c r="Z453" s="229"/>
      <c r="AA453" s="347"/>
      <c r="AB453" s="542"/>
      <c r="AC453" s="347"/>
      <c r="AD453" s="347"/>
      <c r="AE453" s="357"/>
      <c r="AF453" s="357"/>
      <c r="AG453" s="356"/>
      <c r="AH453" s="347"/>
      <c r="AI453" s="348"/>
      <c r="AJ453" s="348"/>
      <c r="AK453" s="356"/>
      <c r="AL453" s="347"/>
      <c r="AM453" s="347"/>
      <c r="AN453" s="347"/>
      <c r="AO453" s="357"/>
      <c r="AP453" s="357"/>
      <c r="AQ453" s="333"/>
      <c r="AW453" s="55"/>
    </row>
    <row r="454" spans="1:49" x14ac:dyDescent="0.25">
      <c r="A454" s="53"/>
      <c r="C454" s="54"/>
      <c r="F454" s="449"/>
      <c r="H454" s="449"/>
      <c r="I454" s="449"/>
      <c r="J454" s="461"/>
      <c r="K454" s="461"/>
      <c r="L454" s="379"/>
      <c r="M454" s="379"/>
      <c r="N454" s="50"/>
      <c r="O454" s="50"/>
      <c r="P454" s="379"/>
      <c r="Q454" s="379"/>
      <c r="R454" s="379"/>
      <c r="T454" s="301"/>
      <c r="U454" s="229"/>
      <c r="V454" s="447"/>
      <c r="W454" s="229"/>
      <c r="X454" s="229"/>
      <c r="Y454" s="229"/>
      <c r="Z454" s="229"/>
      <c r="AA454" s="347"/>
      <c r="AB454" s="542"/>
      <c r="AC454" s="347"/>
      <c r="AD454" s="347"/>
      <c r="AE454" s="357"/>
      <c r="AF454" s="357"/>
      <c r="AG454" s="356"/>
      <c r="AH454" s="347"/>
      <c r="AI454" s="348"/>
      <c r="AJ454" s="348"/>
      <c r="AK454" s="356"/>
      <c r="AL454" s="347"/>
      <c r="AM454" s="347"/>
      <c r="AN454" s="347"/>
      <c r="AO454" s="357"/>
      <c r="AP454" s="357"/>
      <c r="AQ454" s="333"/>
      <c r="AW454" s="55"/>
    </row>
    <row r="455" spans="1:49" x14ac:dyDescent="0.25">
      <c r="F455" s="381"/>
      <c r="H455" s="381"/>
      <c r="I455" s="381"/>
      <c r="J455" s="464"/>
      <c r="K455" s="464"/>
      <c r="L455" s="381"/>
      <c r="M455" s="381"/>
      <c r="N455" s="381"/>
      <c r="O455" s="381"/>
      <c r="P455" s="381"/>
      <c r="Q455" s="381"/>
      <c r="R455" s="381"/>
      <c r="T455" s="229"/>
      <c r="U455" s="229"/>
      <c r="V455" s="358"/>
      <c r="W455" s="229"/>
      <c r="X455" s="229"/>
      <c r="Y455" s="229"/>
      <c r="Z455" s="229"/>
      <c r="AA455" s="358"/>
      <c r="AB455" s="548"/>
      <c r="AC455" s="358"/>
      <c r="AD455" s="358"/>
      <c r="AE455" s="358"/>
      <c r="AF455" s="358"/>
      <c r="AG455" s="359"/>
      <c r="AH455" s="358"/>
      <c r="AI455" s="229"/>
      <c r="AJ455" s="229"/>
      <c r="AK455" s="359"/>
      <c r="AL455" s="358"/>
      <c r="AM455" s="358"/>
      <c r="AN455" s="358"/>
      <c r="AO455" s="357"/>
      <c r="AP455" s="357"/>
      <c r="AQ455" s="333"/>
      <c r="AW455" s="55"/>
    </row>
    <row r="456" spans="1:49" x14ac:dyDescent="0.25">
      <c r="A456" s="53"/>
      <c r="C456" s="54"/>
      <c r="F456" s="379"/>
      <c r="H456" s="379"/>
      <c r="I456" s="379"/>
      <c r="J456" s="59"/>
      <c r="K456" s="59"/>
      <c r="L456" s="379"/>
      <c r="M456" s="379"/>
      <c r="N456" s="50"/>
      <c r="O456" s="50"/>
      <c r="P456" s="379"/>
      <c r="Q456" s="379"/>
      <c r="R456" s="379"/>
      <c r="T456" s="301"/>
      <c r="U456" s="229"/>
      <c r="V456" s="347"/>
      <c r="W456" s="229"/>
      <c r="X456" s="229"/>
      <c r="Y456" s="229"/>
      <c r="Z456" s="229"/>
      <c r="AA456" s="347"/>
      <c r="AB456" s="360"/>
      <c r="AC456" s="347"/>
      <c r="AD456" s="347"/>
      <c r="AE456" s="357"/>
      <c r="AF456" s="357"/>
      <c r="AG456" s="356"/>
      <c r="AH456" s="347"/>
      <c r="AI456" s="348"/>
      <c r="AJ456" s="348"/>
      <c r="AK456" s="356"/>
      <c r="AL456" s="347"/>
      <c r="AM456" s="347"/>
      <c r="AN456" s="347"/>
      <c r="AO456" s="357"/>
      <c r="AP456" s="357"/>
      <c r="AQ456" s="333"/>
      <c r="AW456" s="55"/>
    </row>
    <row r="457" spans="1:49" x14ac:dyDescent="0.25">
      <c r="F457" s="381"/>
      <c r="H457" s="381"/>
      <c r="I457" s="381"/>
      <c r="J457" s="464"/>
      <c r="K457" s="464"/>
      <c r="L457" s="381"/>
      <c r="M457" s="381"/>
      <c r="N457" s="381"/>
      <c r="O457" s="381"/>
      <c r="P457" s="381"/>
      <c r="Q457" s="381"/>
      <c r="R457" s="381"/>
      <c r="T457" s="229"/>
      <c r="U457" s="229"/>
      <c r="V457" s="358"/>
      <c r="W457" s="229"/>
      <c r="X457" s="229"/>
      <c r="Y457" s="229"/>
      <c r="Z457" s="229"/>
      <c r="AA457" s="358"/>
      <c r="AB457" s="548"/>
      <c r="AC457" s="358"/>
      <c r="AD457" s="358"/>
      <c r="AE457" s="358"/>
      <c r="AF457" s="358"/>
      <c r="AG457" s="359"/>
      <c r="AH457" s="358"/>
      <c r="AI457" s="229"/>
      <c r="AJ457" s="229"/>
      <c r="AK457" s="359"/>
      <c r="AL457" s="358"/>
      <c r="AM457" s="358"/>
      <c r="AN457" s="358"/>
      <c r="AO457" s="357"/>
      <c r="AP457" s="357"/>
      <c r="AQ457" s="333"/>
      <c r="AW457" s="55"/>
    </row>
    <row r="458" spans="1:49" x14ac:dyDescent="0.25">
      <c r="A458" s="53"/>
      <c r="C458" s="54"/>
      <c r="F458" s="379"/>
      <c r="H458" s="379"/>
      <c r="I458" s="379"/>
      <c r="J458" s="59"/>
      <c r="K458" s="59"/>
      <c r="L458" s="379"/>
      <c r="M458" s="379"/>
      <c r="N458" s="50"/>
      <c r="O458" s="50"/>
      <c r="P458" s="379"/>
      <c r="Q458" s="379"/>
      <c r="R458" s="379"/>
      <c r="T458" s="301"/>
      <c r="U458" s="229"/>
      <c r="V458" s="347"/>
      <c r="W458" s="229"/>
      <c r="X458" s="229"/>
      <c r="Y458" s="229"/>
      <c r="Z458" s="229"/>
      <c r="AA458" s="347"/>
      <c r="AB458" s="360"/>
      <c r="AC458" s="347"/>
      <c r="AD458" s="347"/>
      <c r="AE458" s="357"/>
      <c r="AF458" s="357"/>
      <c r="AG458" s="356"/>
      <c r="AH458" s="347"/>
      <c r="AI458" s="348"/>
      <c r="AJ458" s="348"/>
      <c r="AK458" s="356"/>
      <c r="AL458" s="347"/>
      <c r="AM458" s="347"/>
      <c r="AN458" s="347"/>
      <c r="AO458" s="357"/>
      <c r="AP458" s="357"/>
      <c r="AQ458" s="333"/>
      <c r="AW458" s="55"/>
    </row>
    <row r="459" spans="1:49" x14ac:dyDescent="0.25">
      <c r="A459" s="53"/>
      <c r="C459" s="54"/>
      <c r="F459" s="379"/>
      <c r="H459" s="449"/>
      <c r="I459" s="449"/>
      <c r="J459" s="472"/>
      <c r="K459" s="472"/>
      <c r="L459" s="379"/>
      <c r="M459" s="379"/>
      <c r="N459" s="50"/>
      <c r="O459" s="50"/>
      <c r="P459" s="379"/>
      <c r="Q459" s="379"/>
      <c r="R459" s="379"/>
      <c r="T459" s="301"/>
      <c r="U459" s="229"/>
      <c r="V459" s="347"/>
      <c r="W459" s="229"/>
      <c r="X459" s="229"/>
      <c r="Y459" s="229"/>
      <c r="Z459" s="229"/>
      <c r="AA459" s="347"/>
      <c r="AB459" s="546"/>
      <c r="AC459" s="347"/>
      <c r="AD459" s="347"/>
      <c r="AE459" s="357"/>
      <c r="AF459" s="357"/>
      <c r="AG459" s="356"/>
      <c r="AH459" s="347"/>
      <c r="AI459" s="348"/>
      <c r="AJ459" s="348"/>
      <c r="AK459" s="356"/>
      <c r="AL459" s="347"/>
      <c r="AM459" s="347"/>
      <c r="AN459" s="347"/>
      <c r="AO459" s="357"/>
      <c r="AP459" s="357"/>
      <c r="AQ459" s="333"/>
      <c r="AW459" s="55"/>
    </row>
    <row r="460" spans="1:49" x14ac:dyDescent="0.25">
      <c r="H460" s="381"/>
      <c r="I460" s="381"/>
      <c r="J460" s="464"/>
      <c r="K460" s="464"/>
      <c r="L460" s="381"/>
      <c r="M460" s="381"/>
      <c r="N460" s="381"/>
      <c r="O460" s="381"/>
      <c r="P460" s="381"/>
      <c r="Q460" s="381"/>
      <c r="R460" s="381"/>
      <c r="T460" s="229"/>
      <c r="U460" s="229"/>
      <c r="V460" s="358"/>
      <c r="W460" s="229"/>
      <c r="X460" s="229"/>
      <c r="Y460" s="229"/>
      <c r="Z460" s="229"/>
      <c r="AA460" s="358"/>
      <c r="AB460" s="548"/>
      <c r="AC460" s="358"/>
      <c r="AD460" s="358"/>
      <c r="AE460" s="358"/>
      <c r="AF460" s="358"/>
      <c r="AG460" s="359"/>
      <c r="AH460" s="358"/>
      <c r="AI460" s="229"/>
      <c r="AJ460" s="229"/>
      <c r="AK460" s="359"/>
      <c r="AL460" s="358"/>
      <c r="AM460" s="358"/>
      <c r="AN460" s="358"/>
      <c r="AO460" s="357"/>
      <c r="AP460" s="357"/>
      <c r="AQ460" s="333"/>
      <c r="AW460" s="55"/>
    </row>
    <row r="461" spans="1:49" x14ac:dyDescent="0.25">
      <c r="F461" s="381"/>
      <c r="T461" s="229"/>
      <c r="U461" s="229"/>
      <c r="V461" s="229"/>
      <c r="W461" s="229"/>
      <c r="X461" s="229"/>
      <c r="Y461" s="229"/>
      <c r="Z461" s="229"/>
      <c r="AA461" s="229"/>
      <c r="AB461" s="229"/>
      <c r="AC461" s="229"/>
      <c r="AD461" s="229"/>
      <c r="AE461" s="229"/>
      <c r="AF461" s="229"/>
      <c r="AG461" s="330"/>
      <c r="AH461" s="229"/>
      <c r="AI461" s="229"/>
      <c r="AJ461" s="229"/>
      <c r="AK461" s="330"/>
      <c r="AL461" s="229"/>
      <c r="AM461" s="229"/>
      <c r="AN461" s="229"/>
      <c r="AO461" s="229"/>
      <c r="AP461" s="229"/>
      <c r="AQ461" s="333"/>
      <c r="AW461" s="55"/>
    </row>
    <row r="462" spans="1:49" x14ac:dyDescent="0.25">
      <c r="A462" s="53"/>
      <c r="C462" s="54"/>
      <c r="F462" s="379"/>
      <c r="H462" s="379"/>
      <c r="I462" s="379"/>
      <c r="J462" s="464"/>
      <c r="K462" s="464"/>
      <c r="L462" s="379"/>
      <c r="M462" s="379"/>
      <c r="N462" s="50"/>
      <c r="O462" s="50"/>
      <c r="P462" s="379"/>
      <c r="Q462" s="379"/>
      <c r="R462" s="379"/>
      <c r="S462" s="379"/>
      <c r="T462" s="301"/>
      <c r="U462" s="229"/>
      <c r="V462" s="347"/>
      <c r="W462" s="229"/>
      <c r="X462" s="229"/>
      <c r="Y462" s="229"/>
      <c r="Z462" s="229"/>
      <c r="AA462" s="347"/>
      <c r="AB462" s="548"/>
      <c r="AC462" s="347"/>
      <c r="AD462" s="347"/>
      <c r="AE462" s="357"/>
      <c r="AF462" s="357"/>
      <c r="AG462" s="356"/>
      <c r="AH462" s="347"/>
      <c r="AI462" s="357"/>
      <c r="AJ462" s="357"/>
      <c r="AK462" s="356"/>
      <c r="AL462" s="347"/>
      <c r="AM462" s="347"/>
      <c r="AN462" s="347"/>
      <c r="AO462" s="357"/>
      <c r="AP462" s="357"/>
      <c r="AQ462" s="333"/>
      <c r="AW462" s="55"/>
    </row>
    <row r="463" spans="1:49" x14ac:dyDescent="0.25">
      <c r="F463" s="381"/>
      <c r="H463" s="381"/>
      <c r="I463" s="381"/>
      <c r="J463" s="464"/>
      <c r="K463" s="464"/>
      <c r="L463" s="381"/>
      <c r="M463" s="381"/>
      <c r="N463" s="381"/>
      <c r="O463" s="381"/>
      <c r="P463" s="381"/>
      <c r="Q463" s="381"/>
      <c r="R463" s="381"/>
      <c r="S463" s="379"/>
      <c r="T463" s="229"/>
      <c r="U463" s="229"/>
      <c r="V463" s="358"/>
      <c r="W463" s="229"/>
      <c r="X463" s="229"/>
      <c r="Y463" s="229"/>
      <c r="Z463" s="229"/>
      <c r="AA463" s="358"/>
      <c r="AB463" s="548"/>
      <c r="AC463" s="358"/>
      <c r="AD463" s="358"/>
      <c r="AE463" s="358"/>
      <c r="AF463" s="358"/>
      <c r="AG463" s="359"/>
      <c r="AH463" s="358"/>
      <c r="AI463" s="229"/>
      <c r="AJ463" s="229"/>
      <c r="AK463" s="359"/>
      <c r="AL463" s="358"/>
      <c r="AM463" s="358"/>
      <c r="AN463" s="358"/>
      <c r="AO463" s="357"/>
      <c r="AP463" s="357"/>
      <c r="AQ463" s="333"/>
      <c r="AW463" s="55"/>
    </row>
    <row r="464" spans="1:49" x14ac:dyDescent="0.25">
      <c r="A464" s="53"/>
      <c r="C464" s="54"/>
      <c r="H464" s="449"/>
      <c r="I464" s="449"/>
      <c r="J464" s="464"/>
      <c r="K464" s="464"/>
      <c r="L464" s="379"/>
      <c r="M464" s="379"/>
      <c r="N464" s="50"/>
      <c r="O464" s="50"/>
      <c r="P464" s="379"/>
      <c r="Q464" s="379"/>
      <c r="R464" s="379"/>
      <c r="S464" s="379"/>
      <c r="T464" s="301"/>
      <c r="U464" s="229"/>
      <c r="V464" s="447"/>
      <c r="W464" s="229"/>
      <c r="X464" s="229"/>
      <c r="Y464" s="229"/>
      <c r="Z464" s="229"/>
      <c r="AA464" s="447"/>
      <c r="AB464" s="548"/>
      <c r="AC464" s="347"/>
      <c r="AD464" s="347"/>
      <c r="AE464" s="357"/>
      <c r="AF464" s="357"/>
      <c r="AG464" s="356"/>
      <c r="AH464" s="347"/>
      <c r="AI464" s="229"/>
      <c r="AJ464" s="229"/>
      <c r="AK464" s="356"/>
      <c r="AL464" s="347"/>
      <c r="AM464" s="347"/>
      <c r="AN464" s="347"/>
      <c r="AO464" s="357"/>
      <c r="AP464" s="357"/>
      <c r="AQ464" s="333"/>
      <c r="AW464" s="55"/>
    </row>
    <row r="465" spans="1:49" x14ac:dyDescent="0.25">
      <c r="F465" s="449"/>
      <c r="T465" s="229"/>
      <c r="U465" s="229"/>
      <c r="V465" s="229"/>
      <c r="W465" s="229"/>
      <c r="X465" s="229"/>
      <c r="Y465" s="229"/>
      <c r="Z465" s="229"/>
      <c r="AA465" s="229"/>
      <c r="AB465" s="229"/>
      <c r="AC465" s="229"/>
      <c r="AD465" s="229"/>
      <c r="AE465" s="229"/>
      <c r="AF465" s="229"/>
      <c r="AG465" s="330"/>
      <c r="AH465" s="229"/>
      <c r="AI465" s="229"/>
      <c r="AJ465" s="229"/>
      <c r="AK465" s="330"/>
      <c r="AL465" s="229"/>
      <c r="AM465" s="229"/>
      <c r="AN465" s="229"/>
      <c r="AO465" s="229"/>
      <c r="AP465" s="229"/>
      <c r="AQ465" s="333"/>
      <c r="AW465" s="55"/>
    </row>
    <row r="466" spans="1:49" x14ac:dyDescent="0.25">
      <c r="A466" s="53"/>
      <c r="C466" s="54"/>
      <c r="F466" s="449"/>
      <c r="H466" s="449"/>
      <c r="I466" s="449"/>
      <c r="J466" s="461"/>
      <c r="K466" s="461"/>
      <c r="L466" s="379"/>
      <c r="M466" s="379"/>
      <c r="N466" s="50"/>
      <c r="O466" s="50"/>
      <c r="P466" s="53"/>
      <c r="Q466" s="53"/>
      <c r="R466" s="379"/>
      <c r="T466" s="301"/>
      <c r="U466" s="229"/>
      <c r="V466" s="347"/>
      <c r="W466" s="229"/>
      <c r="X466" s="229"/>
      <c r="Y466" s="229"/>
      <c r="Z466" s="229"/>
      <c r="AA466" s="447"/>
      <c r="AB466" s="542"/>
      <c r="AC466" s="347"/>
      <c r="AD466" s="347"/>
      <c r="AE466" s="357"/>
      <c r="AF466" s="357"/>
      <c r="AG466" s="356"/>
      <c r="AH466" s="347"/>
      <c r="AI466" s="348"/>
      <c r="AJ466" s="348"/>
      <c r="AK466" s="356"/>
      <c r="AL466" s="349"/>
      <c r="AM466" s="347"/>
      <c r="AN466" s="347"/>
      <c r="AO466" s="357"/>
      <c r="AP466" s="357"/>
      <c r="AQ466" s="333"/>
      <c r="AW466" s="55"/>
    </row>
    <row r="467" spans="1:49" x14ac:dyDescent="0.25">
      <c r="F467" s="381"/>
      <c r="H467" s="379"/>
      <c r="I467" s="379"/>
      <c r="J467" s="464"/>
      <c r="K467" s="464"/>
      <c r="L467" s="381"/>
      <c r="M467" s="381"/>
      <c r="N467" s="381"/>
      <c r="O467" s="381"/>
      <c r="P467" s="381"/>
      <c r="Q467" s="381"/>
      <c r="R467" s="381"/>
      <c r="T467" s="229"/>
      <c r="U467" s="229"/>
      <c r="V467" s="358"/>
      <c r="W467" s="229"/>
      <c r="X467" s="229"/>
      <c r="Y467" s="229"/>
      <c r="Z467" s="229"/>
      <c r="AA467" s="347"/>
      <c r="AB467" s="548"/>
      <c r="AC467" s="358"/>
      <c r="AD467" s="358"/>
      <c r="AE467" s="358"/>
      <c r="AF467" s="358"/>
      <c r="AG467" s="359"/>
      <c r="AH467" s="358"/>
      <c r="AI467" s="229"/>
      <c r="AJ467" s="229"/>
      <c r="AK467" s="359"/>
      <c r="AL467" s="358"/>
      <c r="AM467" s="358"/>
      <c r="AN467" s="358"/>
      <c r="AO467" s="357"/>
      <c r="AP467" s="357"/>
      <c r="AQ467" s="333"/>
      <c r="AW467" s="55"/>
    </row>
    <row r="468" spans="1:49" x14ac:dyDescent="0.25">
      <c r="A468" s="53"/>
      <c r="C468" s="54"/>
      <c r="F468" s="449"/>
      <c r="H468" s="449"/>
      <c r="I468" s="449"/>
      <c r="J468" s="477"/>
      <c r="K468" s="477"/>
      <c r="L468" s="379"/>
      <c r="M468" s="379"/>
      <c r="N468" s="50"/>
      <c r="O468" s="50"/>
      <c r="P468" s="379"/>
      <c r="Q468" s="379"/>
      <c r="R468" s="379"/>
      <c r="S468" s="379"/>
      <c r="T468" s="301"/>
      <c r="U468" s="229"/>
      <c r="V468" s="447"/>
      <c r="W468" s="229"/>
      <c r="X468" s="229"/>
      <c r="Y468" s="229"/>
      <c r="Z468" s="229"/>
      <c r="AA468" s="447"/>
      <c r="AB468" s="549"/>
      <c r="AC468" s="347"/>
      <c r="AD468" s="347"/>
      <c r="AE468" s="357"/>
      <c r="AF468" s="357"/>
      <c r="AG468" s="356"/>
      <c r="AH468" s="347"/>
      <c r="AI468" s="357"/>
      <c r="AJ468" s="357"/>
      <c r="AK468" s="356"/>
      <c r="AL468" s="347"/>
      <c r="AM468" s="347"/>
      <c r="AN468" s="347"/>
      <c r="AO468" s="357"/>
      <c r="AP468" s="357"/>
      <c r="AQ468" s="333"/>
      <c r="AW468" s="55"/>
    </row>
    <row r="469" spans="1:49" x14ac:dyDescent="0.25">
      <c r="A469" s="53"/>
      <c r="C469" s="54"/>
      <c r="F469" s="449"/>
      <c r="H469" s="449"/>
      <c r="I469" s="449"/>
      <c r="J469" s="461"/>
      <c r="K469" s="461"/>
      <c r="L469" s="379"/>
      <c r="M469" s="379"/>
      <c r="N469" s="50"/>
      <c r="O469" s="50"/>
      <c r="P469" s="379"/>
      <c r="Q469" s="379"/>
      <c r="R469" s="379"/>
      <c r="T469" s="301"/>
      <c r="U469" s="229"/>
      <c r="V469" s="447"/>
      <c r="W469" s="229"/>
      <c r="X469" s="229"/>
      <c r="Y469" s="229"/>
      <c r="Z469" s="229"/>
      <c r="AA469" s="347"/>
      <c r="AB469" s="542"/>
      <c r="AC469" s="347"/>
      <c r="AD469" s="347"/>
      <c r="AE469" s="357"/>
      <c r="AF469" s="357"/>
      <c r="AG469" s="356"/>
      <c r="AH469" s="347"/>
      <c r="AI469" s="348"/>
      <c r="AJ469" s="348"/>
      <c r="AK469" s="356"/>
      <c r="AL469" s="347"/>
      <c r="AM469" s="347"/>
      <c r="AN469" s="347"/>
      <c r="AO469" s="357"/>
      <c r="AP469" s="357"/>
      <c r="AQ469" s="333"/>
      <c r="AW469" s="55"/>
    </row>
    <row r="470" spans="1:49" x14ac:dyDescent="0.25">
      <c r="A470" s="53"/>
      <c r="C470" s="54"/>
      <c r="F470" s="449"/>
      <c r="H470" s="449"/>
      <c r="I470" s="449"/>
      <c r="J470" s="461"/>
      <c r="K470" s="461"/>
      <c r="L470" s="379"/>
      <c r="M470" s="379"/>
      <c r="N470" s="50"/>
      <c r="O470" s="50"/>
      <c r="P470" s="379"/>
      <c r="Q470" s="379"/>
      <c r="R470" s="379"/>
      <c r="T470" s="301"/>
      <c r="U470" s="229"/>
      <c r="V470" s="447"/>
      <c r="W470" s="229"/>
      <c r="X470" s="229"/>
      <c r="Y470" s="229"/>
      <c r="Z470" s="229"/>
      <c r="AA470" s="347"/>
      <c r="AB470" s="542"/>
      <c r="AC470" s="347"/>
      <c r="AD470" s="347"/>
      <c r="AE470" s="357"/>
      <c r="AF470" s="357"/>
      <c r="AG470" s="356"/>
      <c r="AH470" s="347"/>
      <c r="AI470" s="348"/>
      <c r="AJ470" s="348"/>
      <c r="AK470" s="356"/>
      <c r="AL470" s="347"/>
      <c r="AM470" s="347"/>
      <c r="AN470" s="347"/>
      <c r="AO470" s="357"/>
      <c r="AP470" s="357"/>
      <c r="AQ470" s="333"/>
      <c r="AW470" s="55"/>
    </row>
    <row r="471" spans="1:49" x14ac:dyDescent="0.25">
      <c r="F471" s="381"/>
      <c r="H471" s="381"/>
      <c r="I471" s="381"/>
      <c r="J471" s="464"/>
      <c r="K471" s="464"/>
      <c r="L471" s="381"/>
      <c r="M471" s="381"/>
      <c r="N471" s="381"/>
      <c r="O471" s="381"/>
      <c r="P471" s="381"/>
      <c r="Q471" s="381"/>
      <c r="R471" s="381"/>
      <c r="T471" s="229"/>
      <c r="U471" s="229"/>
      <c r="V471" s="358"/>
      <c r="W471" s="229"/>
      <c r="X471" s="229"/>
      <c r="Y471" s="229"/>
      <c r="Z471" s="229"/>
      <c r="AA471" s="358"/>
      <c r="AB471" s="548"/>
      <c r="AC471" s="358"/>
      <c r="AD471" s="358"/>
      <c r="AE471" s="358"/>
      <c r="AF471" s="358"/>
      <c r="AG471" s="359"/>
      <c r="AH471" s="358"/>
      <c r="AI471" s="229"/>
      <c r="AJ471" s="229"/>
      <c r="AK471" s="359"/>
      <c r="AL471" s="358"/>
      <c r="AM471" s="358"/>
      <c r="AN471" s="358"/>
      <c r="AO471" s="357"/>
      <c r="AP471" s="357"/>
      <c r="AQ471" s="333"/>
      <c r="AW471" s="55"/>
    </row>
    <row r="472" spans="1:49" x14ac:dyDescent="0.25">
      <c r="A472" s="53"/>
      <c r="C472" s="54"/>
      <c r="F472" s="379"/>
      <c r="H472" s="379"/>
      <c r="I472" s="379"/>
      <c r="J472" s="59"/>
      <c r="K472" s="59"/>
      <c r="L472" s="379"/>
      <c r="M472" s="379"/>
      <c r="N472" s="50"/>
      <c r="O472" s="50"/>
      <c r="P472" s="379"/>
      <c r="Q472" s="379"/>
      <c r="R472" s="379"/>
      <c r="T472" s="301"/>
      <c r="U472" s="229"/>
      <c r="V472" s="347"/>
      <c r="W472" s="229"/>
      <c r="X472" s="229"/>
      <c r="Y472" s="229"/>
      <c r="Z472" s="229"/>
      <c r="AA472" s="347"/>
      <c r="AB472" s="360"/>
      <c r="AC472" s="347"/>
      <c r="AD472" s="347"/>
      <c r="AE472" s="357"/>
      <c r="AF472" s="357"/>
      <c r="AG472" s="356"/>
      <c r="AH472" s="347"/>
      <c r="AI472" s="348"/>
      <c r="AJ472" s="348"/>
      <c r="AK472" s="356"/>
      <c r="AL472" s="347"/>
      <c r="AM472" s="347"/>
      <c r="AN472" s="347"/>
      <c r="AO472" s="357"/>
      <c r="AP472" s="357"/>
      <c r="AQ472" s="333"/>
      <c r="AW472" s="55"/>
    </row>
    <row r="473" spans="1:49" x14ac:dyDescent="0.25">
      <c r="F473" s="381"/>
      <c r="H473" s="381"/>
      <c r="I473" s="381"/>
      <c r="J473" s="464"/>
      <c r="K473" s="464"/>
      <c r="L473" s="381"/>
      <c r="M473" s="381"/>
      <c r="N473" s="381"/>
      <c r="O473" s="381"/>
      <c r="P473" s="381"/>
      <c r="Q473" s="381"/>
      <c r="R473" s="381"/>
      <c r="T473" s="229"/>
      <c r="U473" s="229"/>
      <c r="V473" s="358"/>
      <c r="W473" s="229"/>
      <c r="X473" s="229"/>
      <c r="Y473" s="229"/>
      <c r="Z473" s="229"/>
      <c r="AA473" s="358"/>
      <c r="AB473" s="548"/>
      <c r="AC473" s="358"/>
      <c r="AD473" s="358"/>
      <c r="AE473" s="358"/>
      <c r="AF473" s="358"/>
      <c r="AG473" s="359"/>
      <c r="AH473" s="358"/>
      <c r="AI473" s="229"/>
      <c r="AJ473" s="229"/>
      <c r="AK473" s="359"/>
      <c r="AL473" s="358"/>
      <c r="AM473" s="358"/>
      <c r="AN473" s="358"/>
      <c r="AO473" s="357"/>
      <c r="AP473" s="357"/>
      <c r="AQ473" s="333"/>
      <c r="AW473" s="55"/>
    </row>
    <row r="474" spans="1:49" x14ac:dyDescent="0.25">
      <c r="A474" s="53"/>
      <c r="C474" s="54"/>
      <c r="F474" s="379"/>
      <c r="H474" s="379"/>
      <c r="I474" s="379"/>
      <c r="J474" s="59"/>
      <c r="K474" s="59"/>
      <c r="L474" s="379"/>
      <c r="M474" s="379"/>
      <c r="N474" s="50"/>
      <c r="O474" s="50"/>
      <c r="P474" s="379"/>
      <c r="Q474" s="379"/>
      <c r="R474" s="379"/>
      <c r="T474" s="301"/>
      <c r="U474" s="229"/>
      <c r="V474" s="347"/>
      <c r="W474" s="229"/>
      <c r="X474" s="229"/>
      <c r="Y474" s="229"/>
      <c r="Z474" s="229"/>
      <c r="AA474" s="347"/>
      <c r="AB474" s="360"/>
      <c r="AC474" s="347"/>
      <c r="AD474" s="347"/>
      <c r="AE474" s="357"/>
      <c r="AF474" s="357"/>
      <c r="AG474" s="356"/>
      <c r="AH474" s="347"/>
      <c r="AI474" s="348"/>
      <c r="AJ474" s="348"/>
      <c r="AK474" s="356"/>
      <c r="AL474" s="347"/>
      <c r="AM474" s="347"/>
      <c r="AN474" s="347"/>
      <c r="AO474" s="357"/>
      <c r="AP474" s="357"/>
      <c r="AQ474" s="333"/>
      <c r="AW474" s="55"/>
    </row>
    <row r="475" spans="1:49" x14ac:dyDescent="0.25">
      <c r="A475" s="53"/>
      <c r="C475" s="54"/>
      <c r="F475" s="379"/>
      <c r="H475" s="449"/>
      <c r="I475" s="449"/>
      <c r="J475" s="472"/>
      <c r="K475" s="472"/>
      <c r="L475" s="379"/>
      <c r="M475" s="379"/>
      <c r="N475" s="50"/>
      <c r="O475" s="50"/>
      <c r="P475" s="379"/>
      <c r="Q475" s="379"/>
      <c r="R475" s="379"/>
      <c r="T475" s="301"/>
      <c r="U475" s="229"/>
      <c r="V475" s="347"/>
      <c r="W475" s="229"/>
      <c r="X475" s="229"/>
      <c r="Y475" s="229"/>
      <c r="Z475" s="229"/>
      <c r="AA475" s="347"/>
      <c r="AB475" s="546"/>
      <c r="AC475" s="347"/>
      <c r="AD475" s="347"/>
      <c r="AE475" s="357"/>
      <c r="AF475" s="357"/>
      <c r="AG475" s="356"/>
      <c r="AH475" s="347"/>
      <c r="AI475" s="348"/>
      <c r="AJ475" s="348"/>
      <c r="AK475" s="356"/>
      <c r="AL475" s="347"/>
      <c r="AM475" s="347"/>
      <c r="AN475" s="347"/>
      <c r="AO475" s="357"/>
      <c r="AP475" s="357"/>
      <c r="AQ475" s="333"/>
      <c r="AW475" s="55"/>
    </row>
    <row r="476" spans="1:49" x14ac:dyDescent="0.25">
      <c r="H476" s="381"/>
      <c r="I476" s="381"/>
      <c r="J476" s="464"/>
      <c r="K476" s="464"/>
      <c r="L476" s="381"/>
      <c r="M476" s="381"/>
      <c r="N476" s="381"/>
      <c r="O476" s="381"/>
      <c r="P476" s="381"/>
      <c r="Q476" s="381"/>
      <c r="R476" s="381"/>
      <c r="T476" s="229"/>
      <c r="U476" s="229"/>
      <c r="V476" s="358"/>
      <c r="W476" s="229"/>
      <c r="X476" s="229"/>
      <c r="Y476" s="229"/>
      <c r="Z476" s="229"/>
      <c r="AA476" s="358"/>
      <c r="AB476" s="548"/>
      <c r="AC476" s="358"/>
      <c r="AD476" s="358"/>
      <c r="AE476" s="358"/>
      <c r="AF476" s="358"/>
      <c r="AG476" s="359"/>
      <c r="AH476" s="358"/>
      <c r="AI476" s="229"/>
      <c r="AJ476" s="229"/>
      <c r="AK476" s="359"/>
      <c r="AL476" s="358"/>
      <c r="AM476" s="358"/>
      <c r="AN476" s="358"/>
      <c r="AO476" s="357"/>
      <c r="AP476" s="357"/>
      <c r="AQ476" s="333"/>
      <c r="AW476" s="55"/>
    </row>
    <row r="477" spans="1:49" x14ac:dyDescent="0.25">
      <c r="F477" s="381"/>
      <c r="T477" s="229"/>
      <c r="U477" s="229"/>
      <c r="V477" s="229"/>
      <c r="W477" s="229"/>
      <c r="X477" s="229"/>
      <c r="Y477" s="229"/>
      <c r="Z477" s="229"/>
      <c r="AA477" s="229"/>
      <c r="AB477" s="229"/>
      <c r="AC477" s="229"/>
      <c r="AD477" s="229"/>
      <c r="AE477" s="229"/>
      <c r="AF477" s="229"/>
      <c r="AG477" s="330"/>
      <c r="AH477" s="229"/>
      <c r="AI477" s="229"/>
      <c r="AJ477" s="229"/>
      <c r="AK477" s="330"/>
      <c r="AL477" s="229"/>
      <c r="AM477" s="229"/>
      <c r="AN477" s="229"/>
      <c r="AO477" s="229"/>
      <c r="AP477" s="229"/>
      <c r="AQ477" s="333"/>
      <c r="AW477" s="55"/>
    </row>
    <row r="478" spans="1:49" x14ac:dyDescent="0.25">
      <c r="A478" s="53"/>
      <c r="C478" s="54"/>
      <c r="F478" s="379"/>
      <c r="H478" s="379"/>
      <c r="I478" s="379"/>
      <c r="J478" s="464"/>
      <c r="K478" s="464"/>
      <c r="L478" s="379"/>
      <c r="M478" s="379"/>
      <c r="N478" s="50"/>
      <c r="O478" s="50"/>
      <c r="P478" s="379"/>
      <c r="Q478" s="379"/>
      <c r="R478" s="379"/>
      <c r="S478" s="379"/>
      <c r="T478" s="301"/>
      <c r="U478" s="229"/>
      <c r="V478" s="347"/>
      <c r="W478" s="229"/>
      <c r="X478" s="229"/>
      <c r="Y478" s="229"/>
      <c r="Z478" s="229"/>
      <c r="AA478" s="347"/>
      <c r="AB478" s="548"/>
      <c r="AC478" s="347"/>
      <c r="AD478" s="347"/>
      <c r="AE478" s="357"/>
      <c r="AF478" s="357"/>
      <c r="AG478" s="356"/>
      <c r="AH478" s="347"/>
      <c r="AI478" s="357"/>
      <c r="AJ478" s="357"/>
      <c r="AK478" s="356"/>
      <c r="AL478" s="347"/>
      <c r="AM478" s="347"/>
      <c r="AN478" s="347"/>
      <c r="AO478" s="357"/>
      <c r="AP478" s="357"/>
      <c r="AQ478" s="333"/>
      <c r="AW478" s="55"/>
    </row>
    <row r="479" spans="1:49" x14ac:dyDescent="0.25">
      <c r="F479" s="381"/>
      <c r="H479" s="381"/>
      <c r="I479" s="381"/>
      <c r="J479" s="464"/>
      <c r="K479" s="464"/>
      <c r="L479" s="381"/>
      <c r="M479" s="381"/>
      <c r="N479" s="381"/>
      <c r="O479" s="381"/>
      <c r="P479" s="381"/>
      <c r="Q479" s="381"/>
      <c r="R479" s="381"/>
      <c r="S479" s="379"/>
      <c r="T479" s="229"/>
      <c r="U479" s="229"/>
      <c r="V479" s="358"/>
      <c r="W479" s="229"/>
      <c r="X479" s="229"/>
      <c r="Y479" s="229"/>
      <c r="Z479" s="229"/>
      <c r="AA479" s="358"/>
      <c r="AB479" s="548"/>
      <c r="AC479" s="358"/>
      <c r="AD479" s="358"/>
      <c r="AE479" s="358"/>
      <c r="AF479" s="358"/>
      <c r="AG479" s="359"/>
      <c r="AH479" s="358"/>
      <c r="AI479" s="229"/>
      <c r="AJ479" s="229"/>
      <c r="AK479" s="359"/>
      <c r="AL479" s="358"/>
      <c r="AM479" s="358"/>
      <c r="AN479" s="358"/>
      <c r="AO479" s="357"/>
      <c r="AP479" s="357"/>
      <c r="AQ479" s="333"/>
      <c r="AW479" s="55"/>
    </row>
    <row r="480" spans="1:49" x14ac:dyDescent="0.25">
      <c r="A480" s="53"/>
      <c r="C480" s="54"/>
      <c r="T480" s="301"/>
      <c r="U480" s="229"/>
      <c r="V480" s="229"/>
      <c r="W480" s="229"/>
      <c r="X480" s="229"/>
      <c r="Y480" s="229"/>
      <c r="Z480" s="229"/>
      <c r="AA480" s="229"/>
      <c r="AB480" s="229"/>
      <c r="AC480" s="229"/>
      <c r="AD480" s="229"/>
      <c r="AE480" s="229"/>
      <c r="AF480" s="229"/>
      <c r="AG480" s="330"/>
      <c r="AH480" s="229"/>
      <c r="AI480" s="229"/>
      <c r="AJ480" s="229"/>
      <c r="AK480" s="330"/>
      <c r="AL480" s="229"/>
      <c r="AM480" s="229"/>
      <c r="AN480" s="229"/>
      <c r="AO480" s="229"/>
      <c r="AP480" s="229"/>
      <c r="AQ480" s="333"/>
      <c r="AW480" s="55"/>
    </row>
    <row r="481" spans="1:77" x14ac:dyDescent="0.25">
      <c r="A481" s="53"/>
      <c r="C481" s="54"/>
      <c r="F481" s="379"/>
      <c r="H481" s="379"/>
      <c r="I481" s="379"/>
      <c r="L481" s="379"/>
      <c r="M481" s="379"/>
      <c r="N481" s="50"/>
      <c r="O481" s="50"/>
      <c r="P481" s="449"/>
      <c r="Q481" s="449"/>
      <c r="R481" s="379"/>
      <c r="T481" s="301"/>
      <c r="U481" s="229"/>
      <c r="V481" s="347"/>
      <c r="W481" s="229"/>
      <c r="X481" s="229"/>
      <c r="Y481" s="229"/>
      <c r="Z481" s="229"/>
      <c r="AA481" s="347"/>
      <c r="AB481" s="229"/>
      <c r="AC481" s="347"/>
      <c r="AD481" s="347"/>
      <c r="AE481" s="357"/>
      <c r="AF481" s="357"/>
      <c r="AG481" s="356"/>
      <c r="AH481" s="347"/>
      <c r="AI481" s="357"/>
      <c r="AJ481" s="357"/>
      <c r="AK481" s="547"/>
      <c r="AL481" s="447"/>
      <c r="AM481" s="347"/>
      <c r="AN481" s="347"/>
      <c r="AO481" s="357"/>
      <c r="AP481" s="357"/>
      <c r="AQ481" s="333"/>
      <c r="AW481" s="55"/>
    </row>
    <row r="482" spans="1:77" x14ac:dyDescent="0.25">
      <c r="H482" s="381"/>
      <c r="I482" s="381"/>
      <c r="J482" s="464"/>
      <c r="K482" s="464"/>
      <c r="L482" s="381"/>
      <c r="M482" s="381"/>
      <c r="N482" s="381"/>
      <c r="O482" s="381"/>
      <c r="P482" s="381"/>
      <c r="Q482" s="381"/>
      <c r="R482" s="381"/>
      <c r="T482" s="229"/>
      <c r="U482" s="229"/>
      <c r="V482" s="358"/>
      <c r="W482" s="229"/>
      <c r="X482" s="229"/>
      <c r="Y482" s="229"/>
      <c r="Z482" s="229"/>
      <c r="AA482" s="358"/>
      <c r="AB482" s="548"/>
      <c r="AC482" s="358"/>
      <c r="AD482" s="358"/>
      <c r="AE482" s="358"/>
      <c r="AF482" s="358"/>
      <c r="AG482" s="359"/>
      <c r="AH482" s="358"/>
      <c r="AI482" s="229"/>
      <c r="AJ482" s="229"/>
      <c r="AK482" s="359"/>
      <c r="AL482" s="358"/>
      <c r="AM482" s="358"/>
      <c r="AN482" s="358"/>
      <c r="AO482" s="229"/>
      <c r="AP482" s="229"/>
      <c r="AQ482" s="333"/>
      <c r="AW482" s="55"/>
    </row>
    <row r="483" spans="1:77" x14ac:dyDescent="0.25">
      <c r="F483" s="381"/>
      <c r="T483" s="229"/>
      <c r="U483" s="229"/>
      <c r="V483" s="229"/>
      <c r="W483" s="229"/>
      <c r="X483" s="229"/>
      <c r="Y483" s="229"/>
      <c r="Z483" s="229"/>
      <c r="AA483" s="229"/>
      <c r="AB483" s="229"/>
      <c r="AC483" s="229"/>
      <c r="AD483" s="229"/>
      <c r="AE483" s="229"/>
      <c r="AF483" s="229"/>
      <c r="AG483" s="330"/>
      <c r="AH483" s="229"/>
      <c r="AI483" s="229"/>
      <c r="AJ483" s="229"/>
      <c r="AK483" s="330"/>
      <c r="AL483" s="229"/>
      <c r="AM483" s="229"/>
      <c r="AN483" s="229"/>
      <c r="AO483" s="229"/>
      <c r="AP483" s="229"/>
      <c r="AQ483" s="333"/>
      <c r="AW483" s="55"/>
    </row>
    <row r="484" spans="1:77" x14ac:dyDescent="0.25">
      <c r="C484" s="54"/>
      <c r="L484" s="379"/>
      <c r="M484" s="379"/>
      <c r="N484" s="379"/>
      <c r="O484" s="379"/>
      <c r="P484" s="379"/>
      <c r="Q484" s="379"/>
      <c r="R484" s="379"/>
      <c r="S484" s="379"/>
      <c r="T484" s="301"/>
      <c r="U484" s="229"/>
      <c r="V484" s="229"/>
      <c r="W484" s="229"/>
      <c r="X484" s="229"/>
      <c r="Y484" s="229"/>
      <c r="Z484" s="229"/>
      <c r="AA484" s="229"/>
      <c r="AB484" s="229"/>
      <c r="AC484" s="347"/>
      <c r="AD484" s="347"/>
      <c r="AE484" s="347"/>
      <c r="AF484" s="347"/>
      <c r="AG484" s="330"/>
      <c r="AH484" s="229"/>
      <c r="AI484" s="229"/>
      <c r="AJ484" s="229"/>
      <c r="AK484" s="356"/>
      <c r="AL484" s="347"/>
      <c r="AM484" s="347"/>
      <c r="AN484" s="347"/>
      <c r="AO484" s="229"/>
      <c r="AP484" s="229"/>
      <c r="AQ484" s="333"/>
      <c r="AW484" s="55"/>
    </row>
    <row r="485" spans="1:77" x14ac:dyDescent="0.25">
      <c r="A485" s="54"/>
      <c r="T485" s="229"/>
      <c r="U485" s="229"/>
      <c r="V485" s="229"/>
      <c r="W485" s="229"/>
      <c r="X485" s="229"/>
      <c r="Y485" s="229"/>
      <c r="Z485" s="229"/>
      <c r="AA485" s="229"/>
      <c r="AB485" s="229"/>
      <c r="AC485" s="229"/>
      <c r="AD485" s="229"/>
      <c r="AE485" s="229"/>
      <c r="AF485" s="229"/>
      <c r="AG485" s="330"/>
      <c r="AH485" s="229"/>
      <c r="AI485" s="229"/>
      <c r="AJ485" s="229"/>
      <c r="AK485" s="330"/>
      <c r="AL485" s="229"/>
      <c r="AM485" s="229"/>
      <c r="AN485" s="229"/>
      <c r="AO485" s="229"/>
      <c r="AP485" s="229"/>
      <c r="AQ485" s="333"/>
      <c r="AW485" s="55"/>
    </row>
    <row r="486" spans="1:77" s="170" customFormat="1" x14ac:dyDescent="0.25">
      <c r="A486" s="380"/>
      <c r="B486" s="380"/>
      <c r="C486" s="380"/>
      <c r="D486" s="380"/>
      <c r="E486" s="380"/>
      <c r="F486" s="380"/>
      <c r="G486" s="380"/>
      <c r="H486" s="380"/>
      <c r="I486" s="380"/>
      <c r="J486" s="53"/>
      <c r="K486" s="53"/>
      <c r="L486" s="380"/>
      <c r="M486" s="380"/>
      <c r="N486" s="380"/>
      <c r="O486" s="380"/>
      <c r="P486" s="380"/>
      <c r="Q486" s="380"/>
      <c r="R486" s="380"/>
      <c r="S486" s="380"/>
      <c r="T486" s="380"/>
      <c r="U486" s="380"/>
      <c r="V486" s="380"/>
      <c r="W486" s="380"/>
      <c r="X486" s="380"/>
      <c r="Y486" s="380"/>
      <c r="Z486" s="380"/>
      <c r="AA486" s="380"/>
      <c r="AB486" s="53"/>
      <c r="AC486" s="380"/>
      <c r="AD486" s="380"/>
      <c r="AE486" s="380"/>
      <c r="AF486" s="380"/>
      <c r="AG486" s="153"/>
      <c r="AH486" s="380"/>
      <c r="AI486" s="380"/>
      <c r="AJ486" s="380"/>
      <c r="AK486" s="153"/>
      <c r="AL486" s="380"/>
      <c r="AM486" s="380"/>
      <c r="AN486" s="380"/>
      <c r="AO486" s="380"/>
      <c r="AP486" s="380"/>
      <c r="AR486" s="380"/>
      <c r="AS486" s="380"/>
      <c r="AT486" s="380"/>
      <c r="AU486" s="380"/>
      <c r="AV486" s="380"/>
      <c r="AW486" s="55"/>
      <c r="AX486" s="380"/>
      <c r="AY486" s="380"/>
      <c r="AZ486" s="380"/>
      <c r="BA486" s="380"/>
      <c r="BB486" s="380"/>
      <c r="BC486" s="380"/>
      <c r="BD486" s="380"/>
      <c r="BE486" s="380"/>
      <c r="BF486" s="380"/>
      <c r="BG486" s="380"/>
      <c r="BH486" s="380"/>
      <c r="BI486" s="380"/>
      <c r="BJ486" s="380"/>
      <c r="BK486" s="380"/>
      <c r="BL486" s="380"/>
      <c r="BM486" s="380"/>
      <c r="BN486" s="380"/>
      <c r="BO486" s="380"/>
      <c r="BP486" s="380"/>
      <c r="BQ486" s="380"/>
      <c r="BR486" s="380"/>
      <c r="BS486" s="380"/>
      <c r="BT486" s="380"/>
      <c r="BU486" s="380"/>
      <c r="BV486" s="380"/>
      <c r="BW486" s="380"/>
      <c r="BX486" s="380"/>
      <c r="BY486" s="380"/>
    </row>
    <row r="487" spans="1:77" s="170" customFormat="1" x14ac:dyDescent="0.25">
      <c r="A487" s="380"/>
      <c r="B487" s="380"/>
      <c r="C487" s="380"/>
      <c r="D487" s="380"/>
      <c r="E487" s="380"/>
      <c r="F487" s="380"/>
      <c r="G487" s="380"/>
      <c r="H487" s="54"/>
      <c r="I487" s="54"/>
      <c r="J487" s="380"/>
      <c r="K487" s="380"/>
      <c r="L487" s="380"/>
      <c r="M487" s="380"/>
      <c r="N487" s="380"/>
      <c r="O487" s="380"/>
      <c r="P487" s="380"/>
      <c r="Q487" s="380"/>
      <c r="R487" s="380"/>
      <c r="S487" s="380"/>
      <c r="T487" s="380"/>
      <c r="U487" s="380"/>
      <c r="V487" s="380"/>
      <c r="W487" s="380"/>
      <c r="X487" s="380"/>
      <c r="Y487" s="380"/>
      <c r="Z487" s="380"/>
      <c r="AA487" s="54"/>
      <c r="AB487" s="380"/>
      <c r="AC487" s="380"/>
      <c r="AD487" s="380"/>
      <c r="AE487" s="380"/>
      <c r="AF487" s="380"/>
      <c r="AG487" s="153"/>
      <c r="AH487" s="380"/>
      <c r="AI487" s="380"/>
      <c r="AJ487" s="380"/>
      <c r="AK487" s="153"/>
      <c r="AL487" s="380"/>
      <c r="AM487" s="380"/>
      <c r="AN487" s="380"/>
      <c r="AO487" s="380"/>
      <c r="AP487" s="380"/>
      <c r="AR487" s="380"/>
      <c r="AS487" s="380"/>
      <c r="AT487" s="380"/>
      <c r="AU487" s="380"/>
      <c r="AV487" s="380"/>
      <c r="AW487" s="55"/>
      <c r="AX487" s="380"/>
      <c r="AY487" s="380"/>
      <c r="AZ487" s="380"/>
      <c r="BA487" s="380"/>
      <c r="BB487" s="380"/>
      <c r="BC487" s="380"/>
      <c r="BD487" s="380"/>
      <c r="BE487" s="380"/>
      <c r="BF487" s="380"/>
      <c r="BG487" s="380"/>
      <c r="BH487" s="380"/>
      <c r="BI487" s="380"/>
      <c r="BJ487" s="380"/>
      <c r="BK487" s="380"/>
      <c r="BL487" s="380"/>
      <c r="BM487" s="380"/>
      <c r="BN487" s="380"/>
      <c r="BO487" s="380"/>
      <c r="BP487" s="380"/>
      <c r="BQ487" s="380"/>
      <c r="BR487" s="380"/>
      <c r="BS487" s="380"/>
      <c r="BT487" s="380"/>
      <c r="BU487" s="380"/>
      <c r="BV487" s="380"/>
      <c r="BW487" s="380"/>
      <c r="BX487" s="380"/>
      <c r="BY487" s="380"/>
    </row>
    <row r="488" spans="1:77" s="170" customFormat="1" x14ac:dyDescent="0.25">
      <c r="A488" s="380"/>
      <c r="B488" s="380"/>
      <c r="C488" s="380"/>
      <c r="D488" s="380"/>
      <c r="E488" s="380"/>
      <c r="F488" s="380"/>
      <c r="G488" s="380"/>
      <c r="H488" s="380"/>
      <c r="I488" s="380"/>
      <c r="J488" s="53"/>
      <c r="K488" s="53"/>
      <c r="L488" s="380"/>
      <c r="M488" s="380"/>
      <c r="N488" s="380"/>
      <c r="O488" s="380"/>
      <c r="P488" s="380"/>
      <c r="Q488" s="380"/>
      <c r="R488" s="380"/>
      <c r="S488" s="380"/>
      <c r="T488" s="380"/>
      <c r="U488" s="380"/>
      <c r="V488" s="380"/>
      <c r="W488" s="380"/>
      <c r="X488" s="380"/>
      <c r="Y488" s="380"/>
      <c r="Z488" s="380"/>
      <c r="AA488" s="380"/>
      <c r="AB488" s="53"/>
      <c r="AC488" s="380"/>
      <c r="AD488" s="380"/>
      <c r="AE488" s="380"/>
      <c r="AF488" s="380"/>
      <c r="AG488" s="153"/>
      <c r="AH488" s="380"/>
      <c r="AI488" s="380"/>
      <c r="AJ488" s="380"/>
      <c r="AK488" s="153"/>
      <c r="AL488" s="380"/>
      <c r="AM488" s="380"/>
      <c r="AN488" s="380"/>
      <c r="AO488" s="380"/>
      <c r="AP488" s="380"/>
      <c r="AR488" s="380"/>
      <c r="AS488" s="380"/>
      <c r="AT488" s="380"/>
      <c r="AU488" s="380"/>
      <c r="AV488" s="380"/>
      <c r="AW488" s="55"/>
      <c r="AX488" s="380"/>
      <c r="AY488" s="380"/>
      <c r="AZ488" s="380"/>
      <c r="BA488" s="380"/>
      <c r="BB488" s="380"/>
      <c r="BC488" s="380"/>
      <c r="BD488" s="380"/>
      <c r="BE488" s="380"/>
      <c r="BF488" s="380"/>
      <c r="BG488" s="380"/>
      <c r="BH488" s="380"/>
      <c r="BI488" s="380"/>
      <c r="BJ488" s="380"/>
      <c r="BK488" s="380"/>
      <c r="BL488" s="380"/>
      <c r="BM488" s="380"/>
      <c r="BN488" s="380"/>
      <c r="BO488" s="380"/>
      <c r="BP488" s="380"/>
      <c r="BQ488" s="380"/>
      <c r="BR488" s="380"/>
      <c r="BS488" s="380"/>
      <c r="BT488" s="380"/>
      <c r="BU488" s="380"/>
      <c r="BV488" s="380"/>
      <c r="BW488" s="380"/>
      <c r="BX488" s="380"/>
      <c r="BY488" s="380"/>
    </row>
    <row r="489" spans="1:77" s="170" customFormat="1" x14ac:dyDescent="0.25">
      <c r="A489" s="380"/>
      <c r="B489" s="380"/>
      <c r="C489" s="380"/>
      <c r="D489" s="380"/>
      <c r="E489" s="380"/>
      <c r="F489" s="380"/>
      <c r="G489" s="380"/>
      <c r="H489" s="380"/>
      <c r="I489" s="380"/>
      <c r="J489" s="380"/>
      <c r="K489" s="380"/>
      <c r="L489" s="54"/>
      <c r="M489" s="54"/>
      <c r="N489" s="380"/>
      <c r="O489" s="380"/>
      <c r="P489" s="380"/>
      <c r="Q489" s="380"/>
      <c r="R489" s="380"/>
      <c r="S489" s="380"/>
      <c r="T489" s="380"/>
      <c r="U489" s="380"/>
      <c r="V489" s="380"/>
      <c r="W489" s="380"/>
      <c r="X489" s="380"/>
      <c r="Y489" s="380"/>
      <c r="Z489" s="380"/>
      <c r="AA489" s="380"/>
      <c r="AB489" s="380"/>
      <c r="AC489" s="54"/>
      <c r="AD489" s="54"/>
      <c r="AE489" s="380"/>
      <c r="AF489" s="380"/>
      <c r="AG489" s="153"/>
      <c r="AH489" s="380"/>
      <c r="AI489" s="380"/>
      <c r="AJ489" s="380"/>
      <c r="AK489" s="153"/>
      <c r="AL489" s="380"/>
      <c r="AM489" s="380"/>
      <c r="AN489" s="380"/>
      <c r="AO489" s="380"/>
      <c r="AP489" s="380"/>
      <c r="AR489" s="380"/>
      <c r="AS489" s="380"/>
      <c r="AT489" s="380"/>
      <c r="AU489" s="380"/>
      <c r="AV489" s="380"/>
      <c r="AW489" s="55"/>
      <c r="AX489" s="380"/>
      <c r="AY489" s="380"/>
      <c r="AZ489" s="380"/>
      <c r="BA489" s="380"/>
      <c r="BB489" s="380"/>
      <c r="BC489" s="380"/>
      <c r="BD489" s="380"/>
      <c r="BE489" s="380"/>
      <c r="BF489" s="380"/>
      <c r="BG489" s="380"/>
      <c r="BH489" s="380"/>
      <c r="BI489" s="380"/>
      <c r="BJ489" s="380"/>
      <c r="BK489" s="380"/>
      <c r="BL489" s="380"/>
      <c r="BM489" s="380"/>
      <c r="BN489" s="380"/>
      <c r="BO489" s="380"/>
      <c r="BP489" s="380"/>
      <c r="BQ489" s="380"/>
      <c r="BR489" s="380"/>
      <c r="BS489" s="380"/>
      <c r="BT489" s="380"/>
      <c r="BU489" s="380"/>
      <c r="BV489" s="380"/>
      <c r="BW489" s="380"/>
      <c r="BX489" s="380"/>
      <c r="BY489" s="380"/>
    </row>
    <row r="490" spans="1:77" s="170" customFormat="1" x14ac:dyDescent="0.25">
      <c r="A490" s="53"/>
      <c r="B490" s="380"/>
      <c r="C490" s="380"/>
      <c r="D490" s="380"/>
      <c r="E490" s="380"/>
      <c r="F490" s="380"/>
      <c r="G490" s="380"/>
      <c r="H490" s="380"/>
      <c r="I490" s="380"/>
      <c r="J490" s="380"/>
      <c r="K490" s="380"/>
      <c r="L490" s="380"/>
      <c r="M490" s="380"/>
      <c r="N490" s="380"/>
      <c r="O490" s="380"/>
      <c r="P490" s="380"/>
      <c r="Q490" s="380"/>
      <c r="R490" s="54"/>
      <c r="S490" s="380"/>
      <c r="T490" s="380"/>
      <c r="U490" s="380"/>
      <c r="V490" s="380"/>
      <c r="W490" s="380"/>
      <c r="X490" s="380"/>
      <c r="Y490" s="380"/>
      <c r="Z490" s="380"/>
      <c r="AA490" s="380"/>
      <c r="AB490" s="380"/>
      <c r="AC490" s="380"/>
      <c r="AD490" s="380"/>
      <c r="AE490" s="380"/>
      <c r="AF490" s="380"/>
      <c r="AG490" s="153"/>
      <c r="AH490" s="380"/>
      <c r="AI490" s="380"/>
      <c r="AJ490" s="380"/>
      <c r="AK490" s="153"/>
      <c r="AL490" s="380"/>
      <c r="AM490" s="54"/>
      <c r="AN490" s="54"/>
      <c r="AO490" s="380"/>
      <c r="AP490" s="380"/>
      <c r="AR490" s="380"/>
      <c r="AS490" s="380"/>
      <c r="AT490" s="380"/>
      <c r="AU490" s="380"/>
      <c r="AV490" s="380"/>
      <c r="AW490" s="55"/>
      <c r="AX490" s="380"/>
      <c r="AY490" s="380"/>
      <c r="AZ490" s="380"/>
      <c r="BA490" s="380"/>
      <c r="BB490" s="380"/>
      <c r="BC490" s="380"/>
      <c r="BD490" s="380"/>
      <c r="BE490" s="380"/>
      <c r="BF490" s="380"/>
      <c r="BG490" s="380"/>
      <c r="BH490" s="380"/>
      <c r="BI490" s="380"/>
      <c r="BJ490" s="380"/>
      <c r="BK490" s="380"/>
      <c r="BL490" s="380"/>
      <c r="BM490" s="380"/>
      <c r="BN490" s="380"/>
      <c r="BO490" s="380"/>
      <c r="BP490" s="380"/>
      <c r="BQ490" s="380"/>
      <c r="BR490" s="380"/>
      <c r="BS490" s="380"/>
      <c r="BT490" s="380"/>
      <c r="BU490" s="380"/>
      <c r="BV490" s="380"/>
      <c r="BW490" s="380"/>
      <c r="BX490" s="380"/>
      <c r="BY490" s="380"/>
    </row>
    <row r="491" spans="1:77" s="170" customFormat="1" x14ac:dyDescent="0.25">
      <c r="A491" s="53"/>
      <c r="B491" s="380"/>
      <c r="C491" s="380"/>
      <c r="D491" s="380"/>
      <c r="E491" s="380"/>
      <c r="F491" s="380"/>
      <c r="G491" s="380"/>
      <c r="H491" s="380"/>
      <c r="I491" s="380"/>
      <c r="J491" s="380"/>
      <c r="K491" s="380"/>
      <c r="L491" s="380"/>
      <c r="M491" s="380"/>
      <c r="N491" s="380"/>
      <c r="O491" s="380"/>
      <c r="P491" s="380"/>
      <c r="Q491" s="380"/>
      <c r="R491" s="54"/>
      <c r="S491" s="380"/>
      <c r="T491" s="380"/>
      <c r="U491" s="380"/>
      <c r="V491" s="380"/>
      <c r="W491" s="380"/>
      <c r="X491" s="380"/>
      <c r="Y491" s="380"/>
      <c r="Z491" s="380"/>
      <c r="AA491" s="380"/>
      <c r="AB491" s="380"/>
      <c r="AC491" s="380"/>
      <c r="AD491" s="380"/>
      <c r="AE491" s="380"/>
      <c r="AF491" s="380"/>
      <c r="AG491" s="153"/>
      <c r="AH491" s="380"/>
      <c r="AI491" s="380"/>
      <c r="AJ491" s="380"/>
      <c r="AK491" s="153"/>
      <c r="AL491" s="380"/>
      <c r="AM491" s="54"/>
      <c r="AN491" s="54"/>
      <c r="AO491" s="380"/>
      <c r="AP491" s="380"/>
      <c r="AR491" s="380"/>
      <c r="AS491" s="380"/>
      <c r="AT491" s="380"/>
      <c r="AU491" s="380"/>
      <c r="AV491" s="380"/>
      <c r="AW491" s="55"/>
      <c r="AX491" s="380"/>
      <c r="AY491" s="380"/>
      <c r="AZ491" s="380"/>
      <c r="BA491" s="380"/>
      <c r="BB491" s="380"/>
      <c r="BC491" s="380"/>
      <c r="BD491" s="380"/>
      <c r="BE491" s="380"/>
      <c r="BF491" s="380"/>
      <c r="BG491" s="380"/>
      <c r="BH491" s="380"/>
      <c r="BI491" s="380"/>
      <c r="BJ491" s="380"/>
      <c r="BK491" s="380"/>
      <c r="BL491" s="380"/>
      <c r="BM491" s="380"/>
      <c r="BN491" s="380"/>
      <c r="BO491" s="380"/>
      <c r="BP491" s="380"/>
      <c r="BQ491" s="380"/>
      <c r="BR491" s="380"/>
      <c r="BS491" s="380"/>
      <c r="BT491" s="380"/>
      <c r="BU491" s="380"/>
      <c r="BV491" s="380"/>
      <c r="BW491" s="380"/>
      <c r="BX491" s="380"/>
      <c r="BY491" s="380"/>
    </row>
    <row r="492" spans="1:77" s="170" customFormat="1" x14ac:dyDescent="0.25">
      <c r="A492" s="54"/>
      <c r="B492" s="380"/>
      <c r="C492" s="380"/>
      <c r="D492" s="380"/>
      <c r="E492" s="380"/>
      <c r="F492" s="380"/>
      <c r="G492" s="380"/>
      <c r="H492" s="380"/>
      <c r="I492" s="380"/>
      <c r="J492" s="380"/>
      <c r="K492" s="380"/>
      <c r="L492" s="380"/>
      <c r="M492" s="380"/>
      <c r="N492" s="380"/>
      <c r="O492" s="380"/>
      <c r="P492" s="380"/>
      <c r="Q492" s="380"/>
      <c r="R492" s="54"/>
      <c r="S492" s="380"/>
      <c r="T492" s="380"/>
      <c r="U492" s="380"/>
      <c r="V492" s="380"/>
      <c r="W492" s="380"/>
      <c r="X492" s="380"/>
      <c r="Y492" s="380"/>
      <c r="Z492" s="380"/>
      <c r="AA492" s="380"/>
      <c r="AB492" s="380"/>
      <c r="AC492" s="380"/>
      <c r="AD492" s="380"/>
      <c r="AE492" s="380"/>
      <c r="AF492" s="380"/>
      <c r="AG492" s="153"/>
      <c r="AH492" s="380"/>
      <c r="AI492" s="380"/>
      <c r="AJ492" s="380"/>
      <c r="AK492" s="153"/>
      <c r="AL492" s="380"/>
      <c r="AM492" s="54"/>
      <c r="AN492" s="54"/>
      <c r="AO492" s="380"/>
      <c r="AP492" s="380"/>
      <c r="AR492" s="380"/>
      <c r="AS492" s="380"/>
      <c r="AT492" s="380"/>
      <c r="AU492" s="380"/>
      <c r="AV492" s="380"/>
      <c r="AW492" s="55"/>
      <c r="AX492" s="380"/>
      <c r="AY492" s="380"/>
      <c r="AZ492" s="380"/>
      <c r="BA492" s="380"/>
      <c r="BB492" s="380"/>
      <c r="BC492" s="380"/>
      <c r="BD492" s="380"/>
      <c r="BE492" s="380"/>
      <c r="BF492" s="380"/>
      <c r="BG492" s="380"/>
      <c r="BH492" s="380"/>
      <c r="BI492" s="380"/>
      <c r="BJ492" s="380"/>
      <c r="BK492" s="380"/>
      <c r="BL492" s="380"/>
      <c r="BM492" s="380"/>
      <c r="BN492" s="380"/>
      <c r="BO492" s="380"/>
      <c r="BP492" s="380"/>
      <c r="BQ492" s="380"/>
      <c r="BR492" s="380"/>
      <c r="BS492" s="380"/>
      <c r="BT492" s="380"/>
      <c r="BU492" s="380"/>
      <c r="BV492" s="380"/>
      <c r="BW492" s="380"/>
      <c r="BX492" s="380"/>
      <c r="BY492" s="380"/>
    </row>
    <row r="493" spans="1:77" s="170" customFormat="1" x14ac:dyDescent="0.25">
      <c r="A493" s="380"/>
      <c r="B493" s="380"/>
      <c r="C493" s="380"/>
      <c r="D493" s="380"/>
      <c r="E493" s="380"/>
      <c r="F493" s="380"/>
      <c r="G493" s="380"/>
      <c r="H493" s="380"/>
      <c r="I493" s="380"/>
      <c r="J493" s="380"/>
      <c r="K493" s="380"/>
      <c r="L493" s="54"/>
      <c r="M493" s="54"/>
      <c r="N493" s="380"/>
      <c r="O493" s="380"/>
      <c r="P493" s="380"/>
      <c r="Q493" s="380"/>
      <c r="R493" s="53"/>
      <c r="S493" s="380"/>
      <c r="T493" s="380"/>
      <c r="U493" s="380"/>
      <c r="V493" s="380"/>
      <c r="W493" s="380"/>
      <c r="X493" s="380"/>
      <c r="Y493" s="380"/>
      <c r="Z493" s="380"/>
      <c r="AA493" s="380"/>
      <c r="AB493" s="380"/>
      <c r="AC493" s="54"/>
      <c r="AD493" s="54"/>
      <c r="AE493" s="380"/>
      <c r="AF493" s="380"/>
      <c r="AG493" s="153"/>
      <c r="AH493" s="380"/>
      <c r="AI493" s="380"/>
      <c r="AJ493" s="380"/>
      <c r="AK493" s="153"/>
      <c r="AL493" s="380"/>
      <c r="AM493" s="53"/>
      <c r="AN493" s="53"/>
      <c r="AO493" s="380"/>
      <c r="AP493" s="380"/>
      <c r="AR493" s="380"/>
      <c r="AS493" s="380"/>
      <c r="AT493" s="380"/>
      <c r="AU493" s="380"/>
      <c r="AV493" s="380"/>
      <c r="AW493" s="55"/>
      <c r="AX493" s="380"/>
      <c r="AY493" s="380"/>
      <c r="AZ493" s="380"/>
      <c r="BA493" s="380"/>
      <c r="BB493" s="380"/>
      <c r="BC493" s="380"/>
      <c r="BD493" s="380"/>
      <c r="BE493" s="380"/>
      <c r="BF493" s="380"/>
      <c r="BG493" s="380"/>
      <c r="BH493" s="380"/>
      <c r="BI493" s="380"/>
      <c r="BJ493" s="380"/>
      <c r="BK493" s="380"/>
      <c r="BL493" s="380"/>
      <c r="BM493" s="380"/>
      <c r="BN493" s="380"/>
      <c r="BO493" s="380"/>
      <c r="BP493" s="380"/>
      <c r="BQ493" s="380"/>
      <c r="BR493" s="380"/>
      <c r="BS493" s="380"/>
      <c r="BT493" s="380"/>
      <c r="BU493" s="380"/>
      <c r="BV493" s="380"/>
      <c r="BW493" s="380"/>
      <c r="BX493" s="380"/>
      <c r="BY493" s="380"/>
    </row>
    <row r="494" spans="1:77" s="170" customFormat="1" x14ac:dyDescent="0.25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380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154"/>
      <c r="AH494" s="55"/>
      <c r="AI494" s="55"/>
      <c r="AJ494" s="55"/>
      <c r="AK494" s="154"/>
      <c r="AL494" s="55"/>
      <c r="AM494" s="55"/>
      <c r="AN494" s="55"/>
      <c r="AO494" s="55"/>
      <c r="AP494" s="55"/>
      <c r="AR494" s="380"/>
      <c r="AS494" s="380"/>
      <c r="AT494" s="380"/>
      <c r="AU494" s="380"/>
      <c r="AV494" s="380"/>
      <c r="AW494" s="55"/>
      <c r="AX494" s="380"/>
      <c r="AY494" s="380"/>
      <c r="AZ494" s="380"/>
      <c r="BA494" s="380"/>
      <c r="BB494" s="380"/>
      <c r="BC494" s="380"/>
      <c r="BD494" s="380"/>
      <c r="BE494" s="380"/>
      <c r="BF494" s="380"/>
      <c r="BG494" s="380"/>
      <c r="BH494" s="380"/>
      <c r="BI494" s="380"/>
      <c r="BJ494" s="380"/>
      <c r="BK494" s="380"/>
      <c r="BL494" s="380"/>
      <c r="BM494" s="380"/>
      <c r="BN494" s="380"/>
      <c r="BO494" s="380"/>
      <c r="BP494" s="380"/>
      <c r="BQ494" s="380"/>
      <c r="BR494" s="380"/>
      <c r="BS494" s="380"/>
      <c r="BT494" s="380"/>
      <c r="BU494" s="380"/>
      <c r="BV494" s="380"/>
      <c r="BW494" s="380"/>
      <c r="BX494" s="380"/>
      <c r="BY494" s="380"/>
    </row>
    <row r="495" spans="1:77" s="170" customFormat="1" x14ac:dyDescent="0.25">
      <c r="A495" s="380"/>
      <c r="B495" s="380"/>
      <c r="C495" s="380"/>
      <c r="D495" s="380"/>
      <c r="E495" s="380"/>
      <c r="F495" s="380"/>
      <c r="G495" s="380"/>
      <c r="H495" s="380"/>
      <c r="I495" s="380"/>
      <c r="J495" s="380"/>
      <c r="K495" s="380"/>
      <c r="L495" s="56"/>
      <c r="M495" s="56"/>
      <c r="N495" s="56"/>
      <c r="O495" s="56"/>
      <c r="P495" s="380"/>
      <c r="Q495" s="380"/>
      <c r="R495" s="56"/>
      <c r="S495" s="380"/>
      <c r="T495" s="380"/>
      <c r="U495" s="380"/>
      <c r="V495" s="380"/>
      <c r="W495" s="380"/>
      <c r="X495" s="380"/>
      <c r="Y495" s="380"/>
      <c r="Z495" s="380"/>
      <c r="AA495" s="380"/>
      <c r="AB495" s="380"/>
      <c r="AC495" s="56"/>
      <c r="AD495" s="56"/>
      <c r="AE495" s="56"/>
      <c r="AF495" s="56"/>
      <c r="AG495" s="155"/>
      <c r="AH495" s="56"/>
      <c r="AI495" s="56"/>
      <c r="AJ495" s="56"/>
      <c r="AK495" s="153"/>
      <c r="AL495" s="380"/>
      <c r="AM495" s="56"/>
      <c r="AN495" s="56"/>
      <c r="AO495" s="56"/>
      <c r="AP495" s="56"/>
      <c r="AR495" s="380"/>
      <c r="AS495" s="380"/>
      <c r="AT495" s="380"/>
      <c r="AU495" s="380"/>
      <c r="AV495" s="380"/>
      <c r="AW495" s="55"/>
      <c r="AX495" s="380"/>
      <c r="AY495" s="380"/>
      <c r="AZ495" s="380"/>
      <c r="BA495" s="380"/>
      <c r="BB495" s="380"/>
      <c r="BC495" s="380"/>
      <c r="BD495" s="380"/>
      <c r="BE495" s="380"/>
      <c r="BF495" s="380"/>
      <c r="BG495" s="380"/>
      <c r="BH495" s="380"/>
      <c r="BI495" s="380"/>
      <c r="BJ495" s="380"/>
      <c r="BK495" s="380"/>
      <c r="BL495" s="380"/>
      <c r="BM495" s="380"/>
      <c r="BN495" s="380"/>
      <c r="BO495" s="380"/>
      <c r="BP495" s="380"/>
      <c r="BQ495" s="380"/>
      <c r="BR495" s="380"/>
      <c r="BS495" s="380"/>
      <c r="BT495" s="380"/>
      <c r="BU495" s="380"/>
      <c r="BV495" s="380"/>
      <c r="BW495" s="380"/>
      <c r="BX495" s="380"/>
      <c r="BY495" s="380"/>
    </row>
    <row r="496" spans="1:77" s="170" customFormat="1" x14ac:dyDescent="0.25">
      <c r="A496" s="380"/>
      <c r="B496" s="380"/>
      <c r="C496" s="380"/>
      <c r="D496" s="380"/>
      <c r="E496" s="380"/>
      <c r="F496" s="380"/>
      <c r="G496" s="380"/>
      <c r="H496" s="380"/>
      <c r="I496" s="380"/>
      <c r="J496" s="380"/>
      <c r="K496" s="380"/>
      <c r="L496" s="56"/>
      <c r="M496" s="56"/>
      <c r="N496" s="56"/>
      <c r="O496" s="56"/>
      <c r="P496" s="380"/>
      <c r="Q496" s="380"/>
      <c r="R496" s="56"/>
      <c r="S496" s="380"/>
      <c r="T496" s="380"/>
      <c r="U496" s="380"/>
      <c r="V496" s="380"/>
      <c r="W496" s="380"/>
      <c r="X496" s="380"/>
      <c r="Y496" s="380"/>
      <c r="Z496" s="380"/>
      <c r="AA496" s="380"/>
      <c r="AB496" s="56"/>
      <c r="AC496" s="56"/>
      <c r="AD496" s="56"/>
      <c r="AE496" s="56"/>
      <c r="AF496" s="56"/>
      <c r="AG496" s="155"/>
      <c r="AH496" s="56"/>
      <c r="AI496" s="56"/>
      <c r="AJ496" s="56"/>
      <c r="AK496" s="153"/>
      <c r="AL496" s="380"/>
      <c r="AM496" s="56"/>
      <c r="AN496" s="56"/>
      <c r="AO496" s="56"/>
      <c r="AP496" s="56"/>
      <c r="AR496" s="380"/>
      <c r="AS496" s="380"/>
      <c r="AT496" s="380"/>
      <c r="AU496" s="380"/>
      <c r="AV496" s="380"/>
      <c r="AW496" s="55"/>
      <c r="AX496" s="380"/>
      <c r="AY496" s="380"/>
      <c r="AZ496" s="380"/>
      <c r="BA496" s="380"/>
      <c r="BB496" s="380"/>
      <c r="BC496" s="380"/>
      <c r="BD496" s="380"/>
      <c r="BE496" s="380"/>
      <c r="BF496" s="380"/>
      <c r="BG496" s="380"/>
      <c r="BH496" s="380"/>
      <c r="BI496" s="380"/>
      <c r="BJ496" s="380"/>
      <c r="BK496" s="380"/>
      <c r="BL496" s="380"/>
      <c r="BM496" s="380"/>
      <c r="BN496" s="380"/>
      <c r="BO496" s="380"/>
      <c r="BP496" s="380"/>
      <c r="BQ496" s="380"/>
      <c r="BR496" s="380"/>
      <c r="BS496" s="380"/>
      <c r="BT496" s="380"/>
      <c r="BU496" s="380"/>
      <c r="BV496" s="380"/>
      <c r="BW496" s="380"/>
      <c r="BX496" s="380"/>
      <c r="BY496" s="380"/>
    </row>
    <row r="497" spans="1:77" s="170" customFormat="1" x14ac:dyDescent="0.25">
      <c r="A497" s="56"/>
      <c r="B497" s="380"/>
      <c r="C497" s="56"/>
      <c r="D497" s="56"/>
      <c r="E497" s="56"/>
      <c r="F497" s="56"/>
      <c r="G497" s="380"/>
      <c r="H497" s="380"/>
      <c r="I497" s="380"/>
      <c r="J497" s="56"/>
      <c r="K497" s="56"/>
      <c r="L497" s="56"/>
      <c r="M497" s="56"/>
      <c r="N497" s="56"/>
      <c r="O497" s="56"/>
      <c r="P497" s="56"/>
      <c r="Q497" s="56"/>
      <c r="R497" s="56"/>
      <c r="S497" s="380"/>
      <c r="T497" s="56"/>
      <c r="U497" s="56"/>
      <c r="V497" s="56"/>
      <c r="W497" s="380"/>
      <c r="X497" s="380"/>
      <c r="Y497" s="380"/>
      <c r="Z497" s="380"/>
      <c r="AA497" s="380"/>
      <c r="AB497" s="56"/>
      <c r="AC497" s="56"/>
      <c r="AD497" s="56"/>
      <c r="AE497" s="56"/>
      <c r="AF497" s="56"/>
      <c r="AG497" s="155"/>
      <c r="AH497" s="56"/>
      <c r="AI497" s="56"/>
      <c r="AJ497" s="56"/>
      <c r="AK497" s="155"/>
      <c r="AL497" s="56"/>
      <c r="AM497" s="56"/>
      <c r="AN497" s="56"/>
      <c r="AO497" s="56"/>
      <c r="AP497" s="56"/>
      <c r="AR497" s="380"/>
      <c r="AS497" s="380"/>
      <c r="AT497" s="380"/>
      <c r="AU497" s="380"/>
      <c r="AV497" s="380"/>
      <c r="AW497" s="55"/>
      <c r="AX497" s="380"/>
      <c r="AY497" s="380"/>
      <c r="AZ497" s="380"/>
      <c r="BA497" s="380"/>
      <c r="BB497" s="380"/>
      <c r="BC497" s="380"/>
      <c r="BD497" s="380"/>
      <c r="BE497" s="380"/>
      <c r="BF497" s="380"/>
      <c r="BG497" s="380"/>
      <c r="BH497" s="380"/>
      <c r="BI497" s="380"/>
      <c r="BJ497" s="380"/>
      <c r="BK497" s="380"/>
      <c r="BL497" s="380"/>
      <c r="BM497" s="380"/>
      <c r="BN497" s="380"/>
      <c r="BO497" s="380"/>
      <c r="BP497" s="380"/>
      <c r="BQ497" s="380"/>
      <c r="BR497" s="380"/>
      <c r="BS497" s="380"/>
      <c r="BT497" s="380"/>
      <c r="BU497" s="380"/>
      <c r="BV497" s="380"/>
      <c r="BW497" s="380"/>
      <c r="BX497" s="380"/>
      <c r="BY497" s="380"/>
    </row>
    <row r="498" spans="1:77" s="170" customFormat="1" x14ac:dyDescent="0.25">
      <c r="A498" s="56"/>
      <c r="B498" s="380"/>
      <c r="C498" s="56"/>
      <c r="D498" s="56"/>
      <c r="E498" s="56"/>
      <c r="F498" s="56"/>
      <c r="G498" s="380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380"/>
      <c r="T498" s="56"/>
      <c r="U498" s="56"/>
      <c r="V498" s="56"/>
      <c r="W498" s="380"/>
      <c r="X498" s="380"/>
      <c r="Y498" s="380"/>
      <c r="Z498" s="380"/>
      <c r="AA498" s="56"/>
      <c r="AB498" s="56"/>
      <c r="AC498" s="56"/>
      <c r="AD498" s="56"/>
      <c r="AE498" s="56"/>
      <c r="AF498" s="56"/>
      <c r="AG498" s="155"/>
      <c r="AH498" s="56"/>
      <c r="AI498" s="56"/>
      <c r="AJ498" s="56"/>
      <c r="AK498" s="155"/>
      <c r="AL498" s="56"/>
      <c r="AM498" s="56"/>
      <c r="AN498" s="56"/>
      <c r="AO498" s="56"/>
      <c r="AP498" s="56"/>
      <c r="AR498" s="380"/>
      <c r="AS498" s="380"/>
      <c r="AT498" s="380"/>
      <c r="AU498" s="380"/>
      <c r="AV498" s="380"/>
      <c r="AW498" s="55"/>
      <c r="AX498" s="380"/>
      <c r="AY498" s="380"/>
      <c r="AZ498" s="380"/>
      <c r="BA498" s="380"/>
      <c r="BB498" s="380"/>
      <c r="BC498" s="380"/>
      <c r="BD498" s="380"/>
      <c r="BE498" s="380"/>
      <c r="BF498" s="380"/>
      <c r="BG498" s="380"/>
      <c r="BH498" s="380"/>
      <c r="BI498" s="380"/>
      <c r="BJ498" s="380"/>
      <c r="BK498" s="380"/>
      <c r="BL498" s="380"/>
      <c r="BM498" s="380"/>
      <c r="BN498" s="380"/>
      <c r="BO498" s="380"/>
      <c r="BP498" s="380"/>
      <c r="BQ498" s="380"/>
      <c r="BR498" s="380"/>
      <c r="BS498" s="380"/>
      <c r="BT498" s="380"/>
      <c r="BU498" s="380"/>
      <c r="BV498" s="380"/>
      <c r="BW498" s="380"/>
      <c r="BX498" s="380"/>
      <c r="BY498" s="380"/>
    </row>
    <row r="499" spans="1:77" s="170" customFormat="1" x14ac:dyDescent="0.25">
      <c r="A499" s="380"/>
      <c r="B499" s="380"/>
      <c r="C499" s="56"/>
      <c r="D499" s="56"/>
      <c r="E499" s="56"/>
      <c r="F499" s="56"/>
      <c r="G499" s="380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380"/>
      <c r="T499" s="56"/>
      <c r="U499" s="56"/>
      <c r="V499" s="56"/>
      <c r="W499" s="380"/>
      <c r="X499" s="380"/>
      <c r="Y499" s="380"/>
      <c r="Z499" s="380"/>
      <c r="AA499" s="56"/>
      <c r="AB499" s="56"/>
      <c r="AC499" s="56"/>
      <c r="AD499" s="56"/>
      <c r="AE499" s="56"/>
      <c r="AF499" s="56"/>
      <c r="AG499" s="155"/>
      <c r="AH499" s="56"/>
      <c r="AI499" s="56"/>
      <c r="AJ499" s="56"/>
      <c r="AK499" s="155"/>
      <c r="AL499" s="56"/>
      <c r="AM499" s="56"/>
      <c r="AN499" s="56"/>
      <c r="AO499" s="56"/>
      <c r="AP499" s="56"/>
      <c r="AR499" s="380"/>
      <c r="AS499" s="380"/>
      <c r="AT499" s="380"/>
      <c r="AU499" s="380"/>
      <c r="AV499" s="380"/>
      <c r="AW499" s="55"/>
      <c r="AX499" s="380"/>
      <c r="AY499" s="380"/>
      <c r="AZ499" s="380"/>
      <c r="BA499" s="380"/>
      <c r="BB499" s="380"/>
      <c r="BC499" s="380"/>
      <c r="BD499" s="380"/>
      <c r="BE499" s="380"/>
      <c r="BF499" s="380"/>
      <c r="BG499" s="380"/>
      <c r="BH499" s="380"/>
      <c r="BI499" s="380"/>
      <c r="BJ499" s="380"/>
      <c r="BK499" s="380"/>
      <c r="BL499" s="380"/>
      <c r="BM499" s="380"/>
      <c r="BN499" s="380"/>
      <c r="BO499" s="380"/>
      <c r="BP499" s="380"/>
      <c r="BQ499" s="380"/>
      <c r="BR499" s="380"/>
      <c r="BS499" s="380"/>
      <c r="BT499" s="380"/>
      <c r="BU499" s="380"/>
      <c r="BV499" s="380"/>
      <c r="BW499" s="380"/>
      <c r="BX499" s="380"/>
      <c r="BY499" s="380"/>
    </row>
    <row r="500" spans="1:77" s="170" customFormat="1" x14ac:dyDescent="0.25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380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154"/>
      <c r="AH500" s="55"/>
      <c r="AI500" s="55"/>
      <c r="AJ500" s="55"/>
      <c r="AK500" s="154"/>
      <c r="AL500" s="55"/>
      <c r="AM500" s="55"/>
      <c r="AN500" s="55"/>
      <c r="AO500" s="55"/>
      <c r="AP500" s="55"/>
      <c r="AR500" s="380"/>
      <c r="AS500" s="380"/>
      <c r="AT500" s="380"/>
      <c r="AU500" s="380"/>
      <c r="AV500" s="380"/>
      <c r="AW500" s="55"/>
      <c r="AX500" s="380"/>
      <c r="AY500" s="380"/>
      <c r="AZ500" s="380"/>
      <c r="BA500" s="380"/>
      <c r="BB500" s="380"/>
      <c r="BC500" s="380"/>
      <c r="BD500" s="380"/>
      <c r="BE500" s="380"/>
      <c r="BF500" s="380"/>
      <c r="BG500" s="380"/>
      <c r="BH500" s="380"/>
      <c r="BI500" s="380"/>
      <c r="BJ500" s="380"/>
      <c r="BK500" s="380"/>
      <c r="BL500" s="380"/>
      <c r="BM500" s="380"/>
      <c r="BN500" s="380"/>
      <c r="BO500" s="380"/>
      <c r="BP500" s="380"/>
      <c r="BQ500" s="380"/>
      <c r="BR500" s="380"/>
      <c r="BS500" s="380"/>
      <c r="BT500" s="380"/>
      <c r="BU500" s="380"/>
      <c r="BV500" s="380"/>
      <c r="BW500" s="380"/>
      <c r="BX500" s="380"/>
      <c r="BY500" s="380"/>
    </row>
    <row r="501" spans="1:77" s="170" customFormat="1" x14ac:dyDescent="0.25">
      <c r="A501" s="380"/>
      <c r="B501" s="380"/>
      <c r="C501" s="380"/>
      <c r="D501" s="380"/>
      <c r="E501" s="380"/>
      <c r="F501" s="380"/>
      <c r="G501" s="380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380"/>
      <c r="T501" s="380"/>
      <c r="U501" s="380"/>
      <c r="V501" s="380"/>
      <c r="W501" s="380"/>
      <c r="X501" s="380"/>
      <c r="Y501" s="380"/>
      <c r="Z501" s="380"/>
      <c r="AA501" s="56"/>
      <c r="AB501" s="56"/>
      <c r="AC501" s="56"/>
      <c r="AD501" s="56"/>
      <c r="AE501" s="56"/>
      <c r="AF501" s="56"/>
      <c r="AG501" s="155"/>
      <c r="AH501" s="56"/>
      <c r="AI501" s="56"/>
      <c r="AJ501" s="56"/>
      <c r="AK501" s="155"/>
      <c r="AL501" s="56"/>
      <c r="AM501" s="56"/>
      <c r="AN501" s="56"/>
      <c r="AO501" s="56"/>
      <c r="AP501" s="56"/>
      <c r="AR501" s="380"/>
      <c r="AS501" s="380"/>
      <c r="AT501" s="380"/>
      <c r="AU501" s="380"/>
      <c r="AV501" s="380"/>
      <c r="AW501" s="55"/>
      <c r="AX501" s="380"/>
      <c r="AY501" s="380"/>
      <c r="AZ501" s="380"/>
      <c r="BA501" s="380"/>
      <c r="BB501" s="380"/>
      <c r="BC501" s="380"/>
      <c r="BD501" s="380"/>
      <c r="BE501" s="380"/>
      <c r="BF501" s="380"/>
      <c r="BG501" s="380"/>
      <c r="BH501" s="380"/>
      <c r="BI501" s="380"/>
      <c r="BJ501" s="380"/>
      <c r="BK501" s="380"/>
      <c r="BL501" s="380"/>
      <c r="BM501" s="380"/>
      <c r="BN501" s="380"/>
      <c r="BO501" s="380"/>
      <c r="BP501" s="380"/>
      <c r="BQ501" s="380"/>
      <c r="BR501" s="380"/>
      <c r="BS501" s="380"/>
      <c r="BT501" s="380"/>
      <c r="BU501" s="380"/>
      <c r="BV501" s="380"/>
      <c r="BW501" s="380"/>
      <c r="BX501" s="380"/>
      <c r="BY501" s="380"/>
    </row>
    <row r="502" spans="1:77" s="170" customFormat="1" x14ac:dyDescent="0.25">
      <c r="A502" s="53"/>
      <c r="B502" s="380"/>
      <c r="C502" s="54"/>
      <c r="D502" s="54"/>
      <c r="E502" s="54"/>
      <c r="F502" s="380"/>
      <c r="G502" s="380"/>
      <c r="H502" s="380"/>
      <c r="I502" s="380"/>
      <c r="J502" s="380"/>
      <c r="K502" s="380"/>
      <c r="L502" s="380"/>
      <c r="M502" s="380"/>
      <c r="N502" s="380"/>
      <c r="O502" s="380"/>
      <c r="P502" s="380"/>
      <c r="Q502" s="380"/>
      <c r="R502" s="380"/>
      <c r="S502" s="380"/>
      <c r="T502" s="54"/>
      <c r="U502" s="54"/>
      <c r="V502" s="380"/>
      <c r="W502" s="380"/>
      <c r="X502" s="380"/>
      <c r="Y502" s="380"/>
      <c r="Z502" s="380"/>
      <c r="AA502" s="380"/>
      <c r="AB502" s="380"/>
      <c r="AC502" s="380"/>
      <c r="AD502" s="380"/>
      <c r="AE502" s="380"/>
      <c r="AF502" s="380"/>
      <c r="AG502" s="153"/>
      <c r="AH502" s="380"/>
      <c r="AI502" s="380"/>
      <c r="AJ502" s="380"/>
      <c r="AK502" s="153"/>
      <c r="AL502" s="380"/>
      <c r="AM502" s="380"/>
      <c r="AN502" s="380"/>
      <c r="AO502" s="380"/>
      <c r="AP502" s="380"/>
      <c r="AR502" s="380"/>
      <c r="AS502" s="380"/>
      <c r="AT502" s="380"/>
      <c r="AU502" s="380"/>
      <c r="AV502" s="380"/>
      <c r="AW502" s="55"/>
      <c r="AX502" s="380"/>
      <c r="AY502" s="380"/>
      <c r="AZ502" s="380"/>
      <c r="BA502" s="380"/>
      <c r="BB502" s="380"/>
      <c r="BC502" s="380"/>
      <c r="BD502" s="380"/>
      <c r="BE502" s="380"/>
      <c r="BF502" s="380"/>
      <c r="BG502" s="380"/>
      <c r="BH502" s="380"/>
      <c r="BI502" s="380"/>
      <c r="BJ502" s="380"/>
      <c r="BK502" s="380"/>
      <c r="BL502" s="380"/>
      <c r="BM502" s="380"/>
      <c r="BN502" s="380"/>
      <c r="BO502" s="380"/>
      <c r="BP502" s="380"/>
      <c r="BQ502" s="380"/>
      <c r="BR502" s="380"/>
      <c r="BS502" s="380"/>
      <c r="BT502" s="380"/>
      <c r="BU502" s="380"/>
      <c r="BV502" s="380"/>
      <c r="BW502" s="380"/>
      <c r="BX502" s="380"/>
      <c r="BY502" s="380"/>
    </row>
    <row r="503" spans="1:77" s="170" customFormat="1" x14ac:dyDescent="0.25">
      <c r="A503" s="380"/>
      <c r="B503" s="380"/>
      <c r="C503" s="380"/>
      <c r="D503" s="54"/>
      <c r="E503" s="54"/>
      <c r="F503" s="380"/>
      <c r="G503" s="380"/>
      <c r="H503" s="380"/>
      <c r="I503" s="380"/>
      <c r="J503" s="380"/>
      <c r="K503" s="380"/>
      <c r="L503" s="380"/>
      <c r="M503" s="380"/>
      <c r="N503" s="380"/>
      <c r="O503" s="380"/>
      <c r="P503" s="380"/>
      <c r="Q503" s="380"/>
      <c r="R503" s="380"/>
      <c r="S503" s="380"/>
      <c r="T503" s="380"/>
      <c r="U503" s="54"/>
      <c r="V503" s="380"/>
      <c r="W503" s="380"/>
      <c r="X503" s="380"/>
      <c r="Y503" s="380"/>
      <c r="Z503" s="380"/>
      <c r="AA503" s="380"/>
      <c r="AB503" s="380"/>
      <c r="AC503" s="380"/>
      <c r="AD503" s="380"/>
      <c r="AE503" s="380"/>
      <c r="AF503" s="380"/>
      <c r="AG503" s="153"/>
      <c r="AH503" s="380"/>
      <c r="AI503" s="380"/>
      <c r="AJ503" s="380"/>
      <c r="AK503" s="153"/>
      <c r="AL503" s="380"/>
      <c r="AM503" s="380"/>
      <c r="AN503" s="380"/>
      <c r="AO503" s="380"/>
      <c r="AP503" s="380"/>
      <c r="AR503" s="380"/>
      <c r="AS503" s="380"/>
      <c r="AT503" s="380"/>
      <c r="AU503" s="380"/>
      <c r="AV503" s="380"/>
      <c r="AW503" s="55"/>
      <c r="AX503" s="380"/>
      <c r="AY503" s="380"/>
      <c r="AZ503" s="380"/>
      <c r="BA503" s="380"/>
      <c r="BB503" s="380"/>
      <c r="BC503" s="380"/>
      <c r="BD503" s="380"/>
      <c r="BE503" s="380"/>
      <c r="BF503" s="380"/>
      <c r="BG503" s="380"/>
      <c r="BH503" s="380"/>
      <c r="BI503" s="380"/>
      <c r="BJ503" s="380"/>
      <c r="BK503" s="380"/>
      <c r="BL503" s="380"/>
      <c r="BM503" s="380"/>
      <c r="BN503" s="380"/>
      <c r="BO503" s="380"/>
      <c r="BP503" s="380"/>
      <c r="BQ503" s="380"/>
      <c r="BR503" s="380"/>
      <c r="BS503" s="380"/>
      <c r="BT503" s="380"/>
      <c r="BU503" s="380"/>
      <c r="BV503" s="380"/>
      <c r="BW503" s="380"/>
      <c r="BX503" s="380"/>
      <c r="BY503" s="380"/>
    </row>
    <row r="504" spans="1:77" x14ac:dyDescent="0.25">
      <c r="AW504" s="55"/>
    </row>
    <row r="505" spans="1:77" s="170" customFormat="1" x14ac:dyDescent="0.25">
      <c r="A505" s="53"/>
      <c r="B505" s="380"/>
      <c r="C505" s="54"/>
      <c r="D505" s="380"/>
      <c r="E505" s="380"/>
      <c r="F505" s="380"/>
      <c r="G505" s="380"/>
      <c r="H505" s="380"/>
      <c r="I505" s="380"/>
      <c r="J505" s="380"/>
      <c r="K505" s="380"/>
      <c r="L505" s="380"/>
      <c r="M505" s="380"/>
      <c r="N505" s="380"/>
      <c r="O505" s="380"/>
      <c r="P505" s="380"/>
      <c r="Q505" s="380"/>
      <c r="R505" s="380"/>
      <c r="S505" s="380"/>
      <c r="T505" s="54"/>
      <c r="U505" s="380"/>
      <c r="V505" s="380"/>
      <c r="W505" s="380"/>
      <c r="X505" s="380"/>
      <c r="Y505" s="380"/>
      <c r="Z505" s="380"/>
      <c r="AA505" s="380"/>
      <c r="AB505" s="380"/>
      <c r="AC505" s="380"/>
      <c r="AD505" s="380"/>
      <c r="AE505" s="380"/>
      <c r="AF505" s="380"/>
      <c r="AG505" s="153"/>
      <c r="AH505" s="380"/>
      <c r="AI505" s="380"/>
      <c r="AJ505" s="380"/>
      <c r="AK505" s="153"/>
      <c r="AL505" s="380"/>
      <c r="AM505" s="380"/>
      <c r="AN505" s="380"/>
      <c r="AO505" s="380"/>
      <c r="AP505" s="380"/>
      <c r="AR505" s="380"/>
      <c r="AS505" s="380"/>
      <c r="AT505" s="380"/>
      <c r="AU505" s="380"/>
      <c r="AV505" s="380"/>
      <c r="AW505" s="55"/>
      <c r="AX505" s="380"/>
      <c r="AY505" s="380"/>
      <c r="AZ505" s="380"/>
      <c r="BA505" s="380"/>
      <c r="BB505" s="380"/>
      <c r="BC505" s="380"/>
      <c r="BD505" s="380"/>
      <c r="BE505" s="380"/>
      <c r="BF505" s="380"/>
      <c r="BG505" s="380"/>
      <c r="BH505" s="380"/>
      <c r="BI505" s="380"/>
      <c r="BJ505" s="380"/>
      <c r="BK505" s="380"/>
      <c r="BL505" s="380"/>
      <c r="BM505" s="380"/>
      <c r="BN505" s="380"/>
      <c r="BO505" s="380"/>
      <c r="BP505" s="380"/>
      <c r="BQ505" s="380"/>
      <c r="BR505" s="380"/>
      <c r="BS505" s="380"/>
      <c r="BT505" s="380"/>
      <c r="BU505" s="380"/>
      <c r="BV505" s="380"/>
      <c r="BW505" s="380"/>
      <c r="BX505" s="380"/>
      <c r="BY505" s="380"/>
    </row>
    <row r="506" spans="1:77" s="170" customFormat="1" x14ac:dyDescent="0.25">
      <c r="A506" s="53"/>
      <c r="B506" s="380"/>
      <c r="C506" s="54"/>
      <c r="D506" s="380"/>
      <c r="E506" s="380"/>
      <c r="F506" s="449"/>
      <c r="G506" s="380"/>
      <c r="H506" s="449"/>
      <c r="I506" s="449"/>
      <c r="J506" s="221"/>
      <c r="K506" s="221"/>
      <c r="L506" s="379"/>
      <c r="M506" s="379"/>
      <c r="N506" s="50"/>
      <c r="O506" s="50"/>
      <c r="P506" s="379"/>
      <c r="Q506" s="379"/>
      <c r="R506" s="379"/>
      <c r="S506" s="380"/>
      <c r="T506" s="54"/>
      <c r="U506" s="380"/>
      <c r="V506" s="449"/>
      <c r="W506" s="379"/>
      <c r="X506" s="379"/>
      <c r="Y506" s="379"/>
      <c r="Z506" s="379"/>
      <c r="AA506" s="449"/>
      <c r="AB506" s="221"/>
      <c r="AC506" s="379"/>
      <c r="AD506" s="379"/>
      <c r="AE506" s="50"/>
      <c r="AF506" s="50"/>
      <c r="AG506" s="156"/>
      <c r="AH506" s="379"/>
      <c r="AI506" s="60"/>
      <c r="AJ506" s="60"/>
      <c r="AK506" s="156"/>
      <c r="AL506" s="379"/>
      <c r="AM506" s="379"/>
      <c r="AN506" s="379"/>
      <c r="AO506" s="50"/>
      <c r="AP506" s="50"/>
      <c r="AR506" s="380"/>
      <c r="AS506" s="380"/>
      <c r="AT506" s="380"/>
      <c r="AU506" s="380"/>
      <c r="AV506" s="380"/>
      <c r="AW506" s="55"/>
      <c r="AX506" s="380"/>
      <c r="AY506" s="380"/>
      <c r="AZ506" s="380"/>
      <c r="BA506" s="380"/>
      <c r="BB506" s="380"/>
      <c r="BC506" s="380"/>
      <c r="BD506" s="380"/>
      <c r="BE506" s="380"/>
      <c r="BF506" s="380"/>
      <c r="BG506" s="380"/>
      <c r="BH506" s="380"/>
      <c r="BI506" s="380"/>
      <c r="BJ506" s="380"/>
      <c r="BK506" s="380"/>
      <c r="BL506" s="380"/>
      <c r="BM506" s="380"/>
      <c r="BN506" s="380"/>
      <c r="BO506" s="380"/>
      <c r="BP506" s="380"/>
      <c r="BQ506" s="380"/>
      <c r="BR506" s="380"/>
      <c r="BS506" s="380"/>
      <c r="BT506" s="380"/>
      <c r="BU506" s="380"/>
      <c r="BV506" s="380"/>
      <c r="BW506" s="380"/>
      <c r="BX506" s="380"/>
      <c r="BY506" s="380"/>
    </row>
    <row r="507" spans="1:77" s="170" customFormat="1" x14ac:dyDescent="0.25">
      <c r="A507" s="53"/>
      <c r="B507" s="380"/>
      <c r="C507" s="54"/>
      <c r="D507" s="380"/>
      <c r="E507" s="380"/>
      <c r="F507" s="379"/>
      <c r="G507" s="380"/>
      <c r="H507" s="379"/>
      <c r="I507" s="379"/>
      <c r="J507" s="464"/>
      <c r="K507" s="464"/>
      <c r="L507" s="379"/>
      <c r="M507" s="379"/>
      <c r="N507" s="50"/>
      <c r="O507" s="50"/>
      <c r="P507" s="379"/>
      <c r="Q507" s="379"/>
      <c r="R507" s="379"/>
      <c r="S507" s="380"/>
      <c r="T507" s="54"/>
      <c r="U507" s="380"/>
      <c r="V507" s="449"/>
      <c r="W507" s="379"/>
      <c r="X507" s="379"/>
      <c r="Y507" s="379"/>
      <c r="Z507" s="379"/>
      <c r="AA507" s="449"/>
      <c r="AB507" s="464"/>
      <c r="AC507" s="379"/>
      <c r="AD507" s="379"/>
      <c r="AE507" s="50"/>
      <c r="AF507" s="50"/>
      <c r="AG507" s="156"/>
      <c r="AH507" s="379"/>
      <c r="AI507" s="60"/>
      <c r="AJ507" s="60"/>
      <c r="AK507" s="156"/>
      <c r="AL507" s="379"/>
      <c r="AM507" s="379"/>
      <c r="AN507" s="379"/>
      <c r="AO507" s="50"/>
      <c r="AP507" s="50"/>
      <c r="AR507" s="380"/>
      <c r="AS507" s="380"/>
      <c r="AT507" s="380"/>
      <c r="AU507" s="380"/>
      <c r="AV507" s="380"/>
      <c r="AW507" s="55"/>
      <c r="AX507" s="380"/>
      <c r="AY507" s="380"/>
      <c r="AZ507" s="380"/>
      <c r="BA507" s="380"/>
      <c r="BB507" s="380"/>
      <c r="BC507" s="380"/>
      <c r="BD507" s="380"/>
      <c r="BE507" s="380"/>
      <c r="BF507" s="380"/>
      <c r="BG507" s="380"/>
      <c r="BH507" s="380"/>
      <c r="BI507" s="380"/>
      <c r="BJ507" s="380"/>
      <c r="BK507" s="380"/>
      <c r="BL507" s="380"/>
      <c r="BM507" s="380"/>
      <c r="BN507" s="380"/>
      <c r="BO507" s="380"/>
      <c r="BP507" s="380"/>
      <c r="BQ507" s="380"/>
      <c r="BR507" s="380"/>
      <c r="BS507" s="380"/>
      <c r="BT507" s="380"/>
      <c r="BU507" s="380"/>
      <c r="BV507" s="380"/>
      <c r="BW507" s="380"/>
      <c r="BX507" s="380"/>
      <c r="BY507" s="380"/>
    </row>
    <row r="508" spans="1:77" s="170" customFormat="1" x14ac:dyDescent="0.25">
      <c r="A508" s="53"/>
      <c r="B508" s="380"/>
      <c r="C508" s="54"/>
      <c r="D508" s="380"/>
      <c r="E508" s="380"/>
      <c r="F508" s="449"/>
      <c r="G508" s="380"/>
      <c r="H508" s="449"/>
      <c r="I508" s="449"/>
      <c r="J508" s="221"/>
      <c r="K508" s="221"/>
      <c r="L508" s="379"/>
      <c r="M508" s="379"/>
      <c r="N508" s="50"/>
      <c r="O508" s="50"/>
      <c r="P508" s="379"/>
      <c r="Q508" s="379"/>
      <c r="R508" s="379"/>
      <c r="S508" s="380"/>
      <c r="T508" s="54"/>
      <c r="U508" s="380"/>
      <c r="V508" s="449"/>
      <c r="W508" s="379"/>
      <c r="X508" s="379"/>
      <c r="Y508" s="379"/>
      <c r="Z508" s="379"/>
      <c r="AA508" s="449"/>
      <c r="AB508" s="221"/>
      <c r="AC508" s="379"/>
      <c r="AD508" s="379"/>
      <c r="AE508" s="50"/>
      <c r="AF508" s="50"/>
      <c r="AG508" s="156"/>
      <c r="AH508" s="379"/>
      <c r="AI508" s="60"/>
      <c r="AJ508" s="60"/>
      <c r="AK508" s="156"/>
      <c r="AL508" s="379"/>
      <c r="AM508" s="379"/>
      <c r="AN508" s="379"/>
      <c r="AO508" s="50"/>
      <c r="AP508" s="50"/>
      <c r="AR508" s="380"/>
      <c r="AS508" s="380"/>
      <c r="AT508" s="380"/>
      <c r="AU508" s="380"/>
      <c r="AV508" s="380"/>
      <c r="AW508" s="55"/>
      <c r="AX508" s="380"/>
      <c r="AY508" s="380"/>
      <c r="AZ508" s="380"/>
      <c r="BA508" s="380"/>
      <c r="BB508" s="380"/>
      <c r="BC508" s="380"/>
      <c r="BD508" s="380"/>
      <c r="BE508" s="380"/>
      <c r="BF508" s="380"/>
      <c r="BG508" s="380"/>
      <c r="BH508" s="380"/>
      <c r="BI508" s="380"/>
      <c r="BJ508" s="380"/>
      <c r="BK508" s="380"/>
      <c r="BL508" s="380"/>
      <c r="BM508" s="380"/>
      <c r="BN508" s="380"/>
      <c r="BO508" s="380"/>
      <c r="BP508" s="380"/>
      <c r="BQ508" s="380"/>
      <c r="BR508" s="380"/>
      <c r="BS508" s="380"/>
      <c r="BT508" s="380"/>
      <c r="BU508" s="380"/>
      <c r="BV508" s="380"/>
      <c r="BW508" s="380"/>
      <c r="BX508" s="380"/>
      <c r="BY508" s="380"/>
    </row>
    <row r="509" spans="1:77" s="170" customFormat="1" x14ac:dyDescent="0.25">
      <c r="A509" s="53"/>
      <c r="B509" s="380"/>
      <c r="C509" s="54"/>
      <c r="D509" s="380"/>
      <c r="E509" s="380"/>
      <c r="F509" s="449"/>
      <c r="G509" s="380"/>
      <c r="H509" s="449"/>
      <c r="I509" s="449"/>
      <c r="J509" s="221"/>
      <c r="K509" s="221"/>
      <c r="L509" s="379"/>
      <c r="M509" s="379"/>
      <c r="N509" s="50"/>
      <c r="O509" s="50"/>
      <c r="P509" s="379"/>
      <c r="Q509" s="379"/>
      <c r="R509" s="379"/>
      <c r="S509" s="380"/>
      <c r="T509" s="54"/>
      <c r="U509" s="380"/>
      <c r="V509" s="449"/>
      <c r="W509" s="379"/>
      <c r="X509" s="379"/>
      <c r="Y509" s="379"/>
      <c r="Z509" s="379"/>
      <c r="AA509" s="449"/>
      <c r="AB509" s="221"/>
      <c r="AC509" s="379"/>
      <c r="AD509" s="379"/>
      <c r="AE509" s="50"/>
      <c r="AF509" s="50"/>
      <c r="AG509" s="156"/>
      <c r="AH509" s="379"/>
      <c r="AI509" s="60"/>
      <c r="AJ509" s="60"/>
      <c r="AK509" s="156"/>
      <c r="AL509" s="379"/>
      <c r="AM509" s="379"/>
      <c r="AN509" s="379"/>
      <c r="AO509" s="50"/>
      <c r="AP509" s="50"/>
      <c r="AR509" s="380"/>
      <c r="AS509" s="380"/>
      <c r="AT509" s="380"/>
      <c r="AU509" s="380"/>
      <c r="AV509" s="380"/>
      <c r="AW509" s="55"/>
      <c r="AX509" s="380"/>
      <c r="AY509" s="380"/>
      <c r="AZ509" s="380"/>
      <c r="BA509" s="380"/>
      <c r="BB509" s="380"/>
      <c r="BC509" s="380"/>
      <c r="BD509" s="380"/>
      <c r="BE509" s="380"/>
      <c r="BF509" s="380"/>
      <c r="BG509" s="380"/>
      <c r="BH509" s="380"/>
      <c r="BI509" s="380"/>
      <c r="BJ509" s="380"/>
      <c r="BK509" s="380"/>
      <c r="BL509" s="380"/>
      <c r="BM509" s="380"/>
      <c r="BN509" s="380"/>
      <c r="BO509" s="380"/>
      <c r="BP509" s="380"/>
      <c r="BQ509" s="380"/>
      <c r="BR509" s="380"/>
      <c r="BS509" s="380"/>
      <c r="BT509" s="380"/>
      <c r="BU509" s="380"/>
      <c r="BV509" s="380"/>
      <c r="BW509" s="380"/>
      <c r="BX509" s="380"/>
      <c r="BY509" s="380"/>
    </row>
    <row r="510" spans="1:77" s="170" customFormat="1" x14ac:dyDescent="0.25">
      <c r="A510" s="53"/>
      <c r="B510" s="380"/>
      <c r="C510" s="54"/>
      <c r="D510" s="380"/>
      <c r="E510" s="380"/>
      <c r="F510" s="449"/>
      <c r="G510" s="380"/>
      <c r="H510" s="449"/>
      <c r="I510" s="449"/>
      <c r="J510" s="221"/>
      <c r="K510" s="221"/>
      <c r="L510" s="379"/>
      <c r="M510" s="379"/>
      <c r="N510" s="50"/>
      <c r="O510" s="50"/>
      <c r="P510" s="379"/>
      <c r="Q510" s="379"/>
      <c r="R510" s="379"/>
      <c r="S510" s="380"/>
      <c r="T510" s="54"/>
      <c r="U510" s="380"/>
      <c r="V510" s="449"/>
      <c r="W510" s="379"/>
      <c r="X510" s="379"/>
      <c r="Y510" s="379"/>
      <c r="Z510" s="379"/>
      <c r="AA510" s="449"/>
      <c r="AB510" s="221"/>
      <c r="AC510" s="379"/>
      <c r="AD510" s="379"/>
      <c r="AE510" s="50"/>
      <c r="AF510" s="50"/>
      <c r="AG510" s="156"/>
      <c r="AH510" s="379"/>
      <c r="AI510" s="60"/>
      <c r="AJ510" s="60"/>
      <c r="AK510" s="156"/>
      <c r="AL510" s="379"/>
      <c r="AM510" s="379"/>
      <c r="AN510" s="379"/>
      <c r="AO510" s="50"/>
      <c r="AP510" s="50"/>
      <c r="AR510" s="380"/>
      <c r="AS510" s="380"/>
      <c r="AT510" s="380"/>
      <c r="AU510" s="380"/>
      <c r="AV510" s="380"/>
      <c r="AW510" s="55"/>
      <c r="AX510" s="380"/>
      <c r="AY510" s="380"/>
      <c r="AZ510" s="380"/>
      <c r="BA510" s="380"/>
      <c r="BB510" s="380"/>
      <c r="BC510" s="380"/>
      <c r="BD510" s="380"/>
      <c r="BE510" s="380"/>
      <c r="BF510" s="380"/>
      <c r="BG510" s="380"/>
      <c r="BH510" s="380"/>
      <c r="BI510" s="380"/>
      <c r="BJ510" s="380"/>
      <c r="BK510" s="380"/>
      <c r="BL510" s="380"/>
      <c r="BM510" s="380"/>
      <c r="BN510" s="380"/>
      <c r="BO510" s="380"/>
      <c r="BP510" s="380"/>
      <c r="BQ510" s="380"/>
      <c r="BR510" s="380"/>
      <c r="BS510" s="380"/>
      <c r="BT510" s="380"/>
      <c r="BU510" s="380"/>
      <c r="BV510" s="380"/>
      <c r="BW510" s="380"/>
      <c r="BX510" s="380"/>
      <c r="BY510" s="380"/>
    </row>
    <row r="511" spans="1:77" s="170" customFormat="1" x14ac:dyDescent="0.25">
      <c r="A511" s="53"/>
      <c r="B511" s="380"/>
      <c r="C511" s="54"/>
      <c r="D511" s="380"/>
      <c r="E511" s="380"/>
      <c r="F511" s="379"/>
      <c r="G511" s="380"/>
      <c r="H511" s="379"/>
      <c r="I511" s="379"/>
      <c r="J511" s="221"/>
      <c r="K511" s="221"/>
      <c r="L511" s="379"/>
      <c r="M511" s="379"/>
      <c r="N511" s="50"/>
      <c r="O511" s="50"/>
      <c r="P511" s="379"/>
      <c r="Q511" s="379"/>
      <c r="R511" s="379"/>
      <c r="S511" s="380"/>
      <c r="T511" s="54"/>
      <c r="U511" s="380"/>
      <c r="V511" s="449"/>
      <c r="W511" s="379"/>
      <c r="X511" s="379"/>
      <c r="Y511" s="379"/>
      <c r="Z511" s="379"/>
      <c r="AA511" s="449"/>
      <c r="AB511" s="221"/>
      <c r="AC511" s="379"/>
      <c r="AD511" s="379"/>
      <c r="AE511" s="50"/>
      <c r="AF511" s="50"/>
      <c r="AG511" s="156"/>
      <c r="AH511" s="379"/>
      <c r="AI511" s="60"/>
      <c r="AJ511" s="60"/>
      <c r="AK511" s="156"/>
      <c r="AL511" s="379"/>
      <c r="AM511" s="379"/>
      <c r="AN511" s="379"/>
      <c r="AO511" s="50"/>
      <c r="AP511" s="50"/>
      <c r="AR511" s="380"/>
      <c r="AS511" s="380"/>
      <c r="AT511" s="380"/>
      <c r="AU511" s="380"/>
      <c r="AV511" s="380"/>
      <c r="AW511" s="55"/>
      <c r="AX511" s="380"/>
      <c r="AY511" s="380"/>
      <c r="AZ511" s="380"/>
      <c r="BA511" s="380"/>
      <c r="BB511" s="380"/>
      <c r="BC511" s="380"/>
      <c r="BD511" s="380"/>
      <c r="BE511" s="380"/>
      <c r="BF511" s="380"/>
      <c r="BG511" s="380"/>
      <c r="BH511" s="380"/>
      <c r="BI511" s="380"/>
      <c r="BJ511" s="380"/>
      <c r="BK511" s="380"/>
      <c r="BL511" s="380"/>
      <c r="BM511" s="380"/>
      <c r="BN511" s="380"/>
      <c r="BO511" s="380"/>
      <c r="BP511" s="380"/>
      <c r="BQ511" s="380"/>
      <c r="BR511" s="380"/>
      <c r="BS511" s="380"/>
      <c r="BT511" s="380"/>
      <c r="BU511" s="380"/>
      <c r="BV511" s="380"/>
      <c r="BW511" s="380"/>
      <c r="BX511" s="380"/>
      <c r="BY511" s="380"/>
    </row>
    <row r="512" spans="1:77" s="170" customFormat="1" x14ac:dyDescent="0.25">
      <c r="A512" s="53"/>
      <c r="B512" s="380"/>
      <c r="C512" s="54"/>
      <c r="D512" s="380"/>
      <c r="E512" s="380"/>
      <c r="F512" s="379"/>
      <c r="G512" s="380"/>
      <c r="H512" s="379"/>
      <c r="I512" s="379"/>
      <c r="J512" s="221"/>
      <c r="K512" s="221"/>
      <c r="L512" s="379"/>
      <c r="M512" s="379"/>
      <c r="N512" s="50"/>
      <c r="O512" s="50"/>
      <c r="P512" s="379"/>
      <c r="Q512" s="379"/>
      <c r="R512" s="379"/>
      <c r="S512" s="380"/>
      <c r="T512" s="54"/>
      <c r="U512" s="380"/>
      <c r="V512" s="449"/>
      <c r="W512" s="379"/>
      <c r="X512" s="379"/>
      <c r="Y512" s="379"/>
      <c r="Z512" s="379"/>
      <c r="AA512" s="449"/>
      <c r="AB512" s="221"/>
      <c r="AC512" s="379"/>
      <c r="AD512" s="379"/>
      <c r="AE512" s="50"/>
      <c r="AF512" s="50"/>
      <c r="AG512" s="156"/>
      <c r="AH512" s="379"/>
      <c r="AI512" s="60"/>
      <c r="AJ512" s="60"/>
      <c r="AK512" s="156"/>
      <c r="AL512" s="379"/>
      <c r="AM512" s="379"/>
      <c r="AN512" s="379"/>
      <c r="AO512" s="50"/>
      <c r="AP512" s="50"/>
      <c r="AR512" s="380"/>
      <c r="AS512" s="380"/>
      <c r="AT512" s="380"/>
      <c r="AU512" s="380"/>
      <c r="AV512" s="380"/>
      <c r="AW512" s="55"/>
      <c r="AX512" s="380"/>
      <c r="AY512" s="380"/>
      <c r="AZ512" s="380"/>
      <c r="BA512" s="380"/>
      <c r="BB512" s="380"/>
      <c r="BC512" s="380"/>
      <c r="BD512" s="380"/>
      <c r="BE512" s="380"/>
      <c r="BF512" s="380"/>
      <c r="BG512" s="380"/>
      <c r="BH512" s="380"/>
      <c r="BI512" s="380"/>
      <c r="BJ512" s="380"/>
      <c r="BK512" s="380"/>
      <c r="BL512" s="380"/>
      <c r="BM512" s="380"/>
      <c r="BN512" s="380"/>
      <c r="BO512" s="380"/>
      <c r="BP512" s="380"/>
      <c r="BQ512" s="380"/>
      <c r="BR512" s="380"/>
      <c r="BS512" s="380"/>
      <c r="BT512" s="380"/>
      <c r="BU512" s="380"/>
      <c r="BV512" s="380"/>
      <c r="BW512" s="380"/>
      <c r="BX512" s="380"/>
      <c r="BY512" s="380"/>
    </row>
    <row r="513" spans="1:77" s="170" customFormat="1" x14ac:dyDescent="0.25">
      <c r="A513" s="380"/>
      <c r="B513" s="380"/>
      <c r="C513" s="380"/>
      <c r="D513" s="380"/>
      <c r="E513" s="380"/>
      <c r="F513" s="63"/>
      <c r="G513" s="380"/>
      <c r="H513" s="479"/>
      <c r="I513" s="479"/>
      <c r="J513" s="221"/>
      <c r="K513" s="221"/>
      <c r="L513" s="63"/>
      <c r="M513" s="63"/>
      <c r="N513" s="381"/>
      <c r="O513" s="381"/>
      <c r="P513" s="63"/>
      <c r="Q513" s="63"/>
      <c r="R513" s="63"/>
      <c r="S513" s="380"/>
      <c r="T513" s="380"/>
      <c r="U513" s="380"/>
      <c r="V513" s="63"/>
      <c r="W513" s="379"/>
      <c r="X513" s="379"/>
      <c r="Y513" s="379"/>
      <c r="Z513" s="379"/>
      <c r="AA513" s="63"/>
      <c r="AB513" s="221"/>
      <c r="AC513" s="63"/>
      <c r="AD513" s="63"/>
      <c r="AE513" s="64"/>
      <c r="AF513" s="64"/>
      <c r="AG513" s="154"/>
      <c r="AH513" s="63"/>
      <c r="AI513" s="60"/>
      <c r="AJ513" s="60"/>
      <c r="AK513" s="154"/>
      <c r="AL513" s="63"/>
      <c r="AM513" s="63"/>
      <c r="AN513" s="63"/>
      <c r="AO513" s="50"/>
      <c r="AP513" s="50"/>
      <c r="AR513" s="380"/>
      <c r="AS513" s="380"/>
      <c r="AT513" s="380"/>
      <c r="AU513" s="380"/>
      <c r="AV513" s="380"/>
      <c r="AW513" s="55"/>
      <c r="AX513" s="380"/>
      <c r="AY513" s="380"/>
      <c r="AZ513" s="380"/>
      <c r="BA513" s="380"/>
      <c r="BB513" s="380"/>
      <c r="BC513" s="380"/>
      <c r="BD513" s="380"/>
      <c r="BE513" s="380"/>
      <c r="BF513" s="380"/>
      <c r="BG513" s="380"/>
      <c r="BH513" s="380"/>
      <c r="BI513" s="380"/>
      <c r="BJ513" s="380"/>
      <c r="BK513" s="380"/>
      <c r="BL513" s="380"/>
      <c r="BM513" s="380"/>
      <c r="BN513" s="380"/>
      <c r="BO513" s="380"/>
      <c r="BP513" s="380"/>
      <c r="BQ513" s="380"/>
      <c r="BR513" s="380"/>
      <c r="BS513" s="380"/>
      <c r="BT513" s="380"/>
      <c r="BU513" s="380"/>
      <c r="BV513" s="380"/>
      <c r="BW513" s="380"/>
      <c r="BX513" s="380"/>
      <c r="BY513" s="380"/>
    </row>
    <row r="514" spans="1:77" s="170" customFormat="1" x14ac:dyDescent="0.25">
      <c r="A514" s="53"/>
      <c r="B514" s="380"/>
      <c r="C514" s="54"/>
      <c r="D514" s="380"/>
      <c r="E514" s="380"/>
      <c r="F514" s="379"/>
      <c r="G514" s="380"/>
      <c r="H514" s="379"/>
      <c r="I514" s="379"/>
      <c r="J514" s="221"/>
      <c r="K514" s="221"/>
      <c r="L514" s="379"/>
      <c r="M514" s="379"/>
      <c r="N514" s="60"/>
      <c r="O514" s="60"/>
      <c r="P514" s="379"/>
      <c r="Q514" s="379"/>
      <c r="R514" s="379"/>
      <c r="S514" s="380"/>
      <c r="T514" s="56"/>
      <c r="U514" s="380"/>
      <c r="V514" s="379"/>
      <c r="W514" s="379"/>
      <c r="X514" s="379"/>
      <c r="Y514" s="379"/>
      <c r="Z514" s="379"/>
      <c r="AA514" s="379"/>
      <c r="AB514" s="221"/>
      <c r="AC514" s="379"/>
      <c r="AD514" s="379"/>
      <c r="AE514" s="60"/>
      <c r="AF514" s="60"/>
      <c r="AG514" s="156"/>
      <c r="AH514" s="379"/>
      <c r="AI514" s="60"/>
      <c r="AJ514" s="60"/>
      <c r="AK514" s="156"/>
      <c r="AL514" s="379"/>
      <c r="AM514" s="379"/>
      <c r="AN514" s="379"/>
      <c r="AO514" s="50"/>
      <c r="AP514" s="50"/>
      <c r="AR514" s="380"/>
      <c r="AS514" s="380"/>
      <c r="AT514" s="380"/>
      <c r="AU514" s="380"/>
      <c r="AV514" s="380"/>
      <c r="AW514" s="55"/>
      <c r="AX514" s="380"/>
      <c r="AY514" s="380"/>
      <c r="AZ514" s="380"/>
      <c r="BA514" s="380"/>
      <c r="BB514" s="380"/>
      <c r="BC514" s="380"/>
      <c r="BD514" s="380"/>
      <c r="BE514" s="380"/>
      <c r="BF514" s="380"/>
      <c r="BG514" s="380"/>
      <c r="BH514" s="380"/>
      <c r="BI514" s="380"/>
      <c r="BJ514" s="380"/>
      <c r="BK514" s="380"/>
      <c r="BL514" s="380"/>
      <c r="BM514" s="380"/>
      <c r="BN514" s="380"/>
      <c r="BO514" s="380"/>
      <c r="BP514" s="380"/>
      <c r="BQ514" s="380"/>
      <c r="BR514" s="380"/>
      <c r="BS514" s="380"/>
      <c r="BT514" s="380"/>
      <c r="BU514" s="380"/>
      <c r="BV514" s="380"/>
      <c r="BW514" s="380"/>
      <c r="BX514" s="380"/>
      <c r="BY514" s="380"/>
    </row>
    <row r="515" spans="1:77" s="170" customFormat="1" x14ac:dyDescent="0.25">
      <c r="A515" s="380"/>
      <c r="B515" s="380"/>
      <c r="C515" s="380"/>
      <c r="D515" s="380"/>
      <c r="E515" s="380"/>
      <c r="F515" s="55"/>
      <c r="G515" s="380"/>
      <c r="H515" s="55"/>
      <c r="I515" s="55"/>
      <c r="J515" s="380"/>
      <c r="K515" s="380"/>
      <c r="L515" s="55"/>
      <c r="M515" s="55"/>
      <c r="N515" s="64"/>
      <c r="O515" s="64"/>
      <c r="P515" s="63"/>
      <c r="Q515" s="63"/>
      <c r="R515" s="63"/>
      <c r="S515" s="380"/>
      <c r="T515" s="380"/>
      <c r="U515" s="380"/>
      <c r="V515" s="63"/>
      <c r="W515" s="380"/>
      <c r="X515" s="380"/>
      <c r="Y515" s="380"/>
      <c r="Z515" s="380"/>
      <c r="AA515" s="63"/>
      <c r="AB515" s="464"/>
      <c r="AC515" s="63"/>
      <c r="AD515" s="63"/>
      <c r="AE515" s="63"/>
      <c r="AF515" s="63"/>
      <c r="AG515" s="154"/>
      <c r="AH515" s="63"/>
      <c r="AI515" s="380"/>
      <c r="AJ515" s="380"/>
      <c r="AK515" s="154"/>
      <c r="AL515" s="63"/>
      <c r="AM515" s="63"/>
      <c r="AN515" s="63"/>
      <c r="AO515" s="64"/>
      <c r="AP515" s="64"/>
      <c r="AR515" s="380"/>
      <c r="AS515" s="380"/>
      <c r="AT515" s="380"/>
      <c r="AU515" s="380"/>
      <c r="AV515" s="380"/>
      <c r="AW515" s="55"/>
      <c r="AX515" s="380"/>
      <c r="AY515" s="380"/>
      <c r="AZ515" s="380"/>
      <c r="BA515" s="380"/>
      <c r="BB515" s="380"/>
      <c r="BC515" s="380"/>
      <c r="BD515" s="380"/>
      <c r="BE515" s="380"/>
      <c r="BF515" s="380"/>
      <c r="BG515" s="380"/>
      <c r="BH515" s="380"/>
      <c r="BI515" s="380"/>
      <c r="BJ515" s="380"/>
      <c r="BK515" s="380"/>
      <c r="BL515" s="380"/>
      <c r="BM515" s="380"/>
      <c r="BN515" s="380"/>
      <c r="BO515" s="380"/>
      <c r="BP515" s="380"/>
      <c r="BQ515" s="380"/>
      <c r="BR515" s="380"/>
      <c r="BS515" s="380"/>
      <c r="BT515" s="380"/>
      <c r="BU515" s="380"/>
      <c r="BV515" s="380"/>
      <c r="BW515" s="380"/>
      <c r="BX515" s="380"/>
      <c r="BY515" s="380"/>
    </row>
    <row r="516" spans="1:77" s="170" customFormat="1" x14ac:dyDescent="0.25">
      <c r="A516" s="380"/>
      <c r="B516" s="380"/>
      <c r="C516" s="380"/>
      <c r="D516" s="380"/>
      <c r="E516" s="380"/>
      <c r="F516" s="380"/>
      <c r="G516" s="380"/>
      <c r="H516" s="380"/>
      <c r="I516" s="380"/>
      <c r="J516" s="380"/>
      <c r="K516" s="380"/>
      <c r="L516" s="380"/>
      <c r="M516" s="380"/>
      <c r="N516" s="380"/>
      <c r="O516" s="380"/>
      <c r="P516" s="380"/>
      <c r="Q516" s="380"/>
      <c r="R516" s="380"/>
      <c r="S516" s="380"/>
      <c r="T516" s="380"/>
      <c r="U516" s="380"/>
      <c r="V516" s="380"/>
      <c r="W516" s="380"/>
      <c r="X516" s="380"/>
      <c r="Y516" s="380"/>
      <c r="Z516" s="380"/>
      <c r="AA516" s="380"/>
      <c r="AB516" s="380"/>
      <c r="AC516" s="380"/>
      <c r="AD516" s="380"/>
      <c r="AE516" s="380"/>
      <c r="AF516" s="380"/>
      <c r="AG516" s="153"/>
      <c r="AH516" s="380"/>
      <c r="AI516" s="380"/>
      <c r="AJ516" s="380"/>
      <c r="AK516" s="156"/>
      <c r="AL516" s="53"/>
      <c r="AM516" s="380"/>
      <c r="AN516" s="380"/>
      <c r="AO516" s="380"/>
      <c r="AP516" s="380"/>
      <c r="AR516" s="380"/>
      <c r="AS516" s="380"/>
      <c r="AT516" s="380"/>
      <c r="AU516" s="380"/>
      <c r="AV516" s="380"/>
      <c r="AW516" s="55"/>
      <c r="AX516" s="380"/>
      <c r="AY516" s="380"/>
      <c r="AZ516" s="380"/>
      <c r="BA516" s="380"/>
      <c r="BB516" s="380"/>
      <c r="BC516" s="380"/>
      <c r="BD516" s="380"/>
      <c r="BE516" s="380"/>
      <c r="BF516" s="380"/>
      <c r="BG516" s="380"/>
      <c r="BH516" s="380"/>
      <c r="BI516" s="380"/>
      <c r="BJ516" s="380"/>
      <c r="BK516" s="380"/>
      <c r="BL516" s="380"/>
      <c r="BM516" s="380"/>
      <c r="BN516" s="380"/>
      <c r="BO516" s="380"/>
      <c r="BP516" s="380"/>
      <c r="BQ516" s="380"/>
      <c r="BR516" s="380"/>
      <c r="BS516" s="380"/>
      <c r="BT516" s="380"/>
      <c r="BU516" s="380"/>
      <c r="BV516" s="380"/>
      <c r="BW516" s="380"/>
      <c r="BX516" s="380"/>
      <c r="BY516" s="380"/>
    </row>
    <row r="517" spans="1:77" x14ac:dyDescent="0.25">
      <c r="AW517" s="55"/>
    </row>
    <row r="518" spans="1:77" x14ac:dyDescent="0.25">
      <c r="AW518" s="55"/>
    </row>
    <row r="519" spans="1:77" x14ac:dyDescent="0.25">
      <c r="AW519" s="55"/>
    </row>
    <row r="520" spans="1:77" s="170" customFormat="1" x14ac:dyDescent="0.25">
      <c r="A520" s="380"/>
      <c r="B520" s="380"/>
      <c r="C520" s="380"/>
      <c r="D520" s="380"/>
      <c r="E520" s="380"/>
      <c r="F520" s="380"/>
      <c r="G520" s="380"/>
      <c r="H520" s="380"/>
      <c r="I520" s="380"/>
      <c r="J520" s="380"/>
      <c r="K520" s="380"/>
      <c r="L520" s="380"/>
      <c r="M520" s="380"/>
      <c r="N520" s="379"/>
      <c r="O520" s="379"/>
      <c r="P520" s="379"/>
      <c r="Q520" s="379"/>
      <c r="R520" s="379"/>
      <c r="S520" s="380"/>
      <c r="T520" s="380"/>
      <c r="U520" s="380"/>
      <c r="V520" s="379"/>
      <c r="W520" s="380"/>
      <c r="X520" s="380"/>
      <c r="Y520" s="380"/>
      <c r="Z520" s="380"/>
      <c r="AA520" s="379"/>
      <c r="AB520" s="59"/>
      <c r="AC520" s="379"/>
      <c r="AD520" s="379"/>
      <c r="AE520" s="50"/>
      <c r="AF520" s="50"/>
      <c r="AG520" s="156"/>
      <c r="AH520" s="379"/>
      <c r="AI520" s="60"/>
      <c r="AJ520" s="60"/>
      <c r="AK520" s="156"/>
      <c r="AL520" s="379"/>
      <c r="AM520" s="379"/>
      <c r="AN520" s="379"/>
      <c r="AO520" s="50"/>
      <c r="AP520" s="50"/>
      <c r="AR520" s="380"/>
      <c r="AS520" s="380"/>
      <c r="AT520" s="380"/>
      <c r="AU520" s="380"/>
      <c r="AV520" s="380"/>
      <c r="AW520" s="55"/>
      <c r="AX520" s="380"/>
      <c r="AY520" s="380"/>
      <c r="AZ520" s="380"/>
      <c r="BA520" s="380"/>
      <c r="BB520" s="380"/>
      <c r="BC520" s="380"/>
      <c r="BD520" s="380"/>
      <c r="BE520" s="380"/>
      <c r="BF520" s="380"/>
      <c r="BG520" s="380"/>
      <c r="BH520" s="380"/>
      <c r="BI520" s="380"/>
      <c r="BJ520" s="380"/>
      <c r="BK520" s="380"/>
      <c r="BL520" s="380"/>
      <c r="BM520" s="380"/>
      <c r="BN520" s="380"/>
      <c r="BO520" s="380"/>
      <c r="BP520" s="380"/>
      <c r="BQ520" s="380"/>
      <c r="BR520" s="380"/>
      <c r="BS520" s="380"/>
      <c r="BT520" s="380"/>
      <c r="BU520" s="380"/>
      <c r="BV520" s="380"/>
      <c r="BW520" s="380"/>
      <c r="BX520" s="380"/>
      <c r="BY520" s="380"/>
    </row>
    <row r="521" spans="1:77" s="170" customFormat="1" x14ac:dyDescent="0.25">
      <c r="A521" s="53"/>
      <c r="B521" s="380"/>
      <c r="C521" s="54"/>
      <c r="D521" s="54"/>
      <c r="E521" s="54"/>
      <c r="F521" s="380"/>
      <c r="G521" s="380"/>
      <c r="H521" s="380"/>
      <c r="I521" s="380"/>
      <c r="J521" s="65"/>
      <c r="K521" s="65"/>
      <c r="L521" s="380"/>
      <c r="M521" s="380"/>
      <c r="N521" s="380"/>
      <c r="O521" s="380"/>
      <c r="P521" s="380"/>
      <c r="Q521" s="380"/>
      <c r="R521" s="380"/>
      <c r="S521" s="380"/>
      <c r="T521" s="54"/>
      <c r="U521" s="54"/>
      <c r="V521" s="380"/>
      <c r="W521" s="380"/>
      <c r="X521" s="380"/>
      <c r="Y521" s="380"/>
      <c r="Z521" s="380"/>
      <c r="AA521" s="380"/>
      <c r="AB521" s="65"/>
      <c r="AC521" s="380"/>
      <c r="AD521" s="380"/>
      <c r="AE521" s="380"/>
      <c r="AF521" s="380"/>
      <c r="AG521" s="156"/>
      <c r="AH521" s="379"/>
      <c r="AI521" s="380"/>
      <c r="AJ521" s="380"/>
      <c r="AK521" s="156"/>
      <c r="AL521" s="379"/>
      <c r="AM521" s="379"/>
      <c r="AN521" s="379"/>
      <c r="AO521" s="50"/>
      <c r="AP521" s="50"/>
      <c r="AR521" s="380"/>
      <c r="AS521" s="380"/>
      <c r="AT521" s="380"/>
      <c r="AU521" s="380"/>
      <c r="AV521" s="380"/>
      <c r="AW521" s="55"/>
      <c r="AX521" s="380"/>
      <c r="AY521" s="380"/>
      <c r="AZ521" s="380"/>
      <c r="BA521" s="380"/>
      <c r="BB521" s="380"/>
      <c r="BC521" s="380"/>
      <c r="BD521" s="380"/>
      <c r="BE521" s="380"/>
      <c r="BF521" s="380"/>
      <c r="BG521" s="380"/>
      <c r="BH521" s="380"/>
      <c r="BI521" s="380"/>
      <c r="BJ521" s="380"/>
      <c r="BK521" s="380"/>
      <c r="BL521" s="380"/>
      <c r="BM521" s="380"/>
      <c r="BN521" s="380"/>
      <c r="BO521" s="380"/>
      <c r="BP521" s="380"/>
      <c r="BQ521" s="380"/>
      <c r="BR521" s="380"/>
      <c r="BS521" s="380"/>
      <c r="BT521" s="380"/>
      <c r="BU521" s="380"/>
      <c r="BV521" s="380"/>
      <c r="BW521" s="380"/>
      <c r="BX521" s="380"/>
      <c r="BY521" s="380"/>
    </row>
    <row r="522" spans="1:77" s="170" customFormat="1" x14ac:dyDescent="0.25">
      <c r="A522" s="380"/>
      <c r="B522" s="380"/>
      <c r="C522" s="380"/>
      <c r="D522" s="54"/>
      <c r="E522" s="54"/>
      <c r="F522" s="379"/>
      <c r="G522" s="380"/>
      <c r="H522" s="379"/>
      <c r="I522" s="379"/>
      <c r="J522" s="221"/>
      <c r="K522" s="221"/>
      <c r="L522" s="379"/>
      <c r="M522" s="379"/>
      <c r="N522" s="50"/>
      <c r="O522" s="50"/>
      <c r="P522" s="379"/>
      <c r="Q522" s="379"/>
      <c r="R522" s="379"/>
      <c r="S522" s="380"/>
      <c r="T522" s="380"/>
      <c r="U522" s="54"/>
      <c r="V522" s="379"/>
      <c r="W522" s="380"/>
      <c r="X522" s="380"/>
      <c r="Y522" s="380"/>
      <c r="Z522" s="380"/>
      <c r="AA522" s="379"/>
      <c r="AB522" s="221"/>
      <c r="AC522" s="379"/>
      <c r="AD522" s="379"/>
      <c r="AE522" s="50"/>
      <c r="AF522" s="50"/>
      <c r="AG522" s="156"/>
      <c r="AH522" s="379"/>
      <c r="AI522" s="60"/>
      <c r="AJ522" s="60"/>
      <c r="AK522" s="156"/>
      <c r="AL522" s="379"/>
      <c r="AM522" s="379"/>
      <c r="AN522" s="379"/>
      <c r="AO522" s="50"/>
      <c r="AP522" s="50"/>
      <c r="AR522" s="380"/>
      <c r="AS522" s="380"/>
      <c r="AT522" s="380"/>
      <c r="AU522" s="380"/>
      <c r="AV522" s="380"/>
      <c r="AW522" s="55"/>
      <c r="AX522" s="380"/>
      <c r="AY522" s="380"/>
      <c r="AZ522" s="380"/>
      <c r="BA522" s="380"/>
      <c r="BB522" s="380"/>
      <c r="BC522" s="380"/>
      <c r="BD522" s="380"/>
      <c r="BE522" s="380"/>
      <c r="BF522" s="380"/>
      <c r="BG522" s="380"/>
      <c r="BH522" s="380"/>
      <c r="BI522" s="380"/>
      <c r="BJ522" s="380"/>
      <c r="BK522" s="380"/>
      <c r="BL522" s="380"/>
      <c r="BM522" s="380"/>
      <c r="BN522" s="380"/>
      <c r="BO522" s="380"/>
      <c r="BP522" s="380"/>
      <c r="BQ522" s="380"/>
      <c r="BR522" s="380"/>
      <c r="BS522" s="380"/>
      <c r="BT522" s="380"/>
      <c r="BU522" s="380"/>
      <c r="BV522" s="380"/>
      <c r="BW522" s="380"/>
      <c r="BX522" s="380"/>
      <c r="BY522" s="380"/>
    </row>
    <row r="523" spans="1:77" s="170" customFormat="1" x14ac:dyDescent="0.25">
      <c r="A523" s="380"/>
      <c r="B523" s="380"/>
      <c r="C523" s="380"/>
      <c r="D523" s="380"/>
      <c r="E523" s="380"/>
      <c r="F523" s="379"/>
      <c r="G523" s="380"/>
      <c r="H523" s="379"/>
      <c r="I523" s="379"/>
      <c r="J523" s="464"/>
      <c r="K523" s="464"/>
      <c r="L523" s="379"/>
      <c r="M523" s="379"/>
      <c r="N523" s="379"/>
      <c r="O523" s="379"/>
      <c r="P523" s="379"/>
      <c r="Q523" s="379"/>
      <c r="R523" s="379"/>
      <c r="S523" s="380"/>
      <c r="T523" s="380"/>
      <c r="U523" s="380"/>
      <c r="V523" s="379"/>
      <c r="W523" s="380"/>
      <c r="X523" s="380"/>
      <c r="Y523" s="380"/>
      <c r="Z523" s="380"/>
      <c r="AA523" s="379"/>
      <c r="AB523" s="464"/>
      <c r="AC523" s="379"/>
      <c r="AD523" s="379"/>
      <c r="AE523" s="379"/>
      <c r="AF523" s="379"/>
      <c r="AG523" s="156"/>
      <c r="AH523" s="379"/>
      <c r="AI523" s="60"/>
      <c r="AJ523" s="60"/>
      <c r="AK523" s="474"/>
      <c r="AL523" s="449"/>
      <c r="AM523" s="379"/>
      <c r="AN523" s="379"/>
      <c r="AO523" s="50"/>
      <c r="AP523" s="50"/>
      <c r="AR523" s="380"/>
      <c r="AS523" s="380"/>
      <c r="AT523" s="380"/>
      <c r="AU523" s="380"/>
      <c r="AV523" s="380"/>
      <c r="AW523" s="55"/>
      <c r="AX523" s="380"/>
      <c r="AY523" s="380"/>
      <c r="AZ523" s="380"/>
      <c r="BA523" s="380"/>
      <c r="BB523" s="380"/>
      <c r="BC523" s="380"/>
      <c r="BD523" s="380"/>
      <c r="BE523" s="380"/>
      <c r="BF523" s="380"/>
      <c r="BG523" s="380"/>
      <c r="BH523" s="380"/>
      <c r="BI523" s="380"/>
      <c r="BJ523" s="380"/>
      <c r="BK523" s="380"/>
      <c r="BL523" s="380"/>
      <c r="BM523" s="380"/>
      <c r="BN523" s="380"/>
      <c r="BO523" s="380"/>
      <c r="BP523" s="380"/>
      <c r="BQ523" s="380"/>
      <c r="BR523" s="380"/>
      <c r="BS523" s="380"/>
      <c r="BT523" s="380"/>
      <c r="BU523" s="380"/>
      <c r="BV523" s="380"/>
      <c r="BW523" s="380"/>
      <c r="BX523" s="380"/>
      <c r="BY523" s="380"/>
    </row>
    <row r="524" spans="1:77" s="170" customFormat="1" x14ac:dyDescent="0.25">
      <c r="A524" s="53"/>
      <c r="B524" s="380"/>
      <c r="C524" s="54"/>
      <c r="D524" s="380"/>
      <c r="E524" s="380"/>
      <c r="F524" s="449"/>
      <c r="G524" s="380"/>
      <c r="H524" s="449"/>
      <c r="I524" s="449"/>
      <c r="J524" s="463"/>
      <c r="K524" s="463"/>
      <c r="L524" s="379"/>
      <c r="M524" s="379"/>
      <c r="N524" s="50"/>
      <c r="O524" s="50"/>
      <c r="P524" s="379"/>
      <c r="Q524" s="379"/>
      <c r="R524" s="379"/>
      <c r="S524" s="380"/>
      <c r="T524" s="54"/>
      <c r="U524" s="380"/>
      <c r="V524" s="449"/>
      <c r="W524" s="380"/>
      <c r="X524" s="380"/>
      <c r="Y524" s="380"/>
      <c r="Z524" s="380"/>
      <c r="AA524" s="449"/>
      <c r="AB524" s="463"/>
      <c r="AC524" s="379"/>
      <c r="AD524" s="379"/>
      <c r="AE524" s="50"/>
      <c r="AF524" s="50"/>
      <c r="AG524" s="156"/>
      <c r="AH524" s="379"/>
      <c r="AI524" s="60"/>
      <c r="AJ524" s="60"/>
      <c r="AK524" s="156"/>
      <c r="AL524" s="379"/>
      <c r="AM524" s="379"/>
      <c r="AN524" s="379"/>
      <c r="AO524" s="50"/>
      <c r="AP524" s="50"/>
      <c r="AR524" s="380"/>
      <c r="AS524" s="380"/>
      <c r="AT524" s="380"/>
      <c r="AU524" s="380"/>
      <c r="AV524" s="380"/>
      <c r="AW524" s="55"/>
      <c r="AX524" s="380"/>
      <c r="AY524" s="380"/>
      <c r="AZ524" s="380"/>
      <c r="BA524" s="380"/>
      <c r="BB524" s="380"/>
      <c r="BC524" s="380"/>
      <c r="BD524" s="380"/>
      <c r="BE524" s="380"/>
      <c r="BF524" s="380"/>
      <c r="BG524" s="380"/>
      <c r="BH524" s="380"/>
      <c r="BI524" s="380"/>
      <c r="BJ524" s="380"/>
      <c r="BK524" s="380"/>
      <c r="BL524" s="380"/>
      <c r="BM524" s="380"/>
      <c r="BN524" s="380"/>
      <c r="BO524" s="380"/>
      <c r="BP524" s="380"/>
      <c r="BQ524" s="380"/>
      <c r="BR524" s="380"/>
      <c r="BS524" s="380"/>
      <c r="BT524" s="380"/>
      <c r="BU524" s="380"/>
      <c r="BV524" s="380"/>
      <c r="BW524" s="380"/>
      <c r="BX524" s="380"/>
      <c r="BY524" s="380"/>
    </row>
    <row r="525" spans="1:77" s="170" customFormat="1" x14ac:dyDescent="0.25">
      <c r="A525" s="380"/>
      <c r="B525" s="380"/>
      <c r="C525" s="380"/>
      <c r="D525" s="380"/>
      <c r="E525" s="380"/>
      <c r="F525" s="55"/>
      <c r="G525" s="380"/>
      <c r="H525" s="55"/>
      <c r="I525" s="55"/>
      <c r="J525" s="380"/>
      <c r="K525" s="380"/>
      <c r="L525" s="55"/>
      <c r="M525" s="55"/>
      <c r="N525" s="55"/>
      <c r="O525" s="55"/>
      <c r="P525" s="55"/>
      <c r="Q525" s="55"/>
      <c r="R525" s="55"/>
      <c r="S525" s="380"/>
      <c r="T525" s="380"/>
      <c r="U525" s="380"/>
      <c r="V525" s="55"/>
      <c r="W525" s="380"/>
      <c r="X525" s="380"/>
      <c r="Y525" s="380"/>
      <c r="Z525" s="380"/>
      <c r="AA525" s="55"/>
      <c r="AB525" s="380"/>
      <c r="AC525" s="55"/>
      <c r="AD525" s="55"/>
      <c r="AE525" s="55"/>
      <c r="AF525" s="55"/>
      <c r="AG525" s="154"/>
      <c r="AH525" s="55"/>
      <c r="AI525" s="55"/>
      <c r="AJ525" s="55"/>
      <c r="AK525" s="154"/>
      <c r="AL525" s="55"/>
      <c r="AM525" s="55"/>
      <c r="AN525" s="55"/>
      <c r="AO525" s="55"/>
      <c r="AP525" s="55"/>
      <c r="AR525" s="380"/>
      <c r="AS525" s="380"/>
      <c r="AT525" s="380"/>
      <c r="AU525" s="380"/>
      <c r="AV525" s="380"/>
      <c r="AW525" s="55"/>
      <c r="AX525" s="380"/>
      <c r="AY525" s="380"/>
      <c r="AZ525" s="380"/>
      <c r="BA525" s="380"/>
      <c r="BB525" s="380"/>
      <c r="BC525" s="380"/>
      <c r="BD525" s="380"/>
      <c r="BE525" s="380"/>
      <c r="BF525" s="380"/>
      <c r="BG525" s="380"/>
      <c r="BH525" s="380"/>
      <c r="BI525" s="380"/>
      <c r="BJ525" s="380"/>
      <c r="BK525" s="380"/>
      <c r="BL525" s="380"/>
      <c r="BM525" s="380"/>
      <c r="BN525" s="380"/>
      <c r="BO525" s="380"/>
      <c r="BP525" s="380"/>
      <c r="BQ525" s="380"/>
      <c r="BR525" s="380"/>
      <c r="BS525" s="380"/>
      <c r="BT525" s="380"/>
      <c r="BU525" s="380"/>
      <c r="BV525" s="380"/>
      <c r="BW525" s="380"/>
      <c r="BX525" s="380"/>
      <c r="BY525" s="380"/>
    </row>
    <row r="526" spans="1:77" s="170" customFormat="1" x14ac:dyDescent="0.25">
      <c r="A526" s="53"/>
      <c r="B526" s="380"/>
      <c r="C526" s="56"/>
      <c r="D526" s="380"/>
      <c r="E526" s="380"/>
      <c r="F526" s="449"/>
      <c r="G526" s="380"/>
      <c r="H526" s="449"/>
      <c r="I526" s="449"/>
      <c r="J526" s="461"/>
      <c r="K526" s="461"/>
      <c r="L526" s="449"/>
      <c r="M526" s="449"/>
      <c r="N526" s="50"/>
      <c r="O526" s="50"/>
      <c r="P526" s="449"/>
      <c r="Q526" s="449"/>
      <c r="R526" s="449"/>
      <c r="S526" s="380"/>
      <c r="T526" s="56"/>
      <c r="U526" s="380"/>
      <c r="V526" s="379"/>
      <c r="W526" s="380"/>
      <c r="X526" s="380"/>
      <c r="Y526" s="380"/>
      <c r="Z526" s="380"/>
      <c r="AA526" s="379"/>
      <c r="AB526" s="59"/>
      <c r="AC526" s="379"/>
      <c r="AD526" s="379"/>
      <c r="AE526" s="50"/>
      <c r="AF526" s="50"/>
      <c r="AG526" s="156"/>
      <c r="AH526" s="53"/>
      <c r="AI526" s="60"/>
      <c r="AJ526" s="60"/>
      <c r="AK526" s="156"/>
      <c r="AL526" s="379"/>
      <c r="AM526" s="379"/>
      <c r="AN526" s="379"/>
      <c r="AO526" s="50"/>
      <c r="AP526" s="50"/>
      <c r="AR526" s="380"/>
      <c r="AS526" s="380"/>
      <c r="AT526" s="380"/>
      <c r="AU526" s="380"/>
      <c r="AV526" s="380"/>
      <c r="AW526" s="55"/>
      <c r="AX526" s="380"/>
      <c r="AY526" s="380"/>
      <c r="AZ526" s="380"/>
      <c r="BA526" s="380"/>
      <c r="BB526" s="380"/>
      <c r="BC526" s="380"/>
      <c r="BD526" s="380"/>
      <c r="BE526" s="380"/>
      <c r="BF526" s="380"/>
      <c r="BG526" s="380"/>
      <c r="BH526" s="380"/>
      <c r="BI526" s="380"/>
      <c r="BJ526" s="380"/>
      <c r="BK526" s="380"/>
      <c r="BL526" s="380"/>
      <c r="BM526" s="380"/>
      <c r="BN526" s="380"/>
      <c r="BO526" s="380"/>
      <c r="BP526" s="380"/>
      <c r="BQ526" s="380"/>
      <c r="BR526" s="380"/>
      <c r="BS526" s="380"/>
      <c r="BT526" s="380"/>
      <c r="BU526" s="380"/>
      <c r="BV526" s="380"/>
      <c r="BW526" s="380"/>
      <c r="BX526" s="380"/>
      <c r="BY526" s="380"/>
    </row>
    <row r="527" spans="1:77" s="170" customFormat="1" x14ac:dyDescent="0.25">
      <c r="A527" s="380"/>
      <c r="B527" s="380"/>
      <c r="C527" s="380"/>
      <c r="D527" s="380"/>
      <c r="E527" s="380"/>
      <c r="F527" s="63"/>
      <c r="G527" s="380"/>
      <c r="H527" s="63"/>
      <c r="I527" s="63"/>
      <c r="J527" s="464"/>
      <c r="K527" s="464"/>
      <c r="L527" s="63"/>
      <c r="M527" s="63"/>
      <c r="N527" s="63"/>
      <c r="O527" s="63"/>
      <c r="P527" s="63"/>
      <c r="Q527" s="63"/>
      <c r="R527" s="63"/>
      <c r="S527" s="380"/>
      <c r="T527" s="380"/>
      <c r="U527" s="380"/>
      <c r="V527" s="55"/>
      <c r="W527" s="380"/>
      <c r="X527" s="380"/>
      <c r="Y527" s="380"/>
      <c r="Z527" s="380"/>
      <c r="AA527" s="55"/>
      <c r="AB527" s="380"/>
      <c r="AC527" s="55"/>
      <c r="AD527" s="55"/>
      <c r="AE527" s="55"/>
      <c r="AF527" s="55"/>
      <c r="AG527" s="154"/>
      <c r="AH527" s="55"/>
      <c r="AI527" s="55"/>
      <c r="AJ527" s="55"/>
      <c r="AK527" s="154"/>
      <c r="AL527" s="55"/>
      <c r="AM527" s="55"/>
      <c r="AN527" s="55"/>
      <c r="AO527" s="55"/>
      <c r="AP527" s="55"/>
      <c r="AR527" s="380"/>
      <c r="AS527" s="380"/>
      <c r="AT527" s="380"/>
      <c r="AU527" s="380"/>
      <c r="AV527" s="380"/>
      <c r="AW527" s="55"/>
      <c r="AX527" s="380"/>
      <c r="AY527" s="380"/>
      <c r="AZ527" s="380"/>
      <c r="BA527" s="380"/>
      <c r="BB527" s="380"/>
      <c r="BC527" s="380"/>
      <c r="BD527" s="380"/>
      <c r="BE527" s="380"/>
      <c r="BF527" s="380"/>
      <c r="BG527" s="380"/>
      <c r="BH527" s="380"/>
      <c r="BI527" s="380"/>
      <c r="BJ527" s="380"/>
      <c r="BK527" s="380"/>
      <c r="BL527" s="380"/>
      <c r="BM527" s="380"/>
      <c r="BN527" s="380"/>
      <c r="BO527" s="380"/>
      <c r="BP527" s="380"/>
      <c r="BQ527" s="380"/>
      <c r="BR527" s="380"/>
      <c r="BS527" s="380"/>
      <c r="BT527" s="380"/>
      <c r="BU527" s="380"/>
      <c r="BV527" s="380"/>
      <c r="BW527" s="380"/>
      <c r="BX527" s="380"/>
      <c r="BY527" s="380"/>
    </row>
    <row r="528" spans="1:77" s="170" customFormat="1" x14ac:dyDescent="0.25">
      <c r="A528" s="380"/>
      <c r="B528" s="380"/>
      <c r="C528" s="380"/>
      <c r="D528" s="380"/>
      <c r="E528" s="380"/>
      <c r="F528" s="449"/>
      <c r="G528" s="380"/>
      <c r="H528" s="449"/>
      <c r="I528" s="449"/>
      <c r="J528" s="477"/>
      <c r="K528" s="477"/>
      <c r="L528" s="379"/>
      <c r="M528" s="379"/>
      <c r="N528" s="50"/>
      <c r="O528" s="50"/>
      <c r="P528" s="379"/>
      <c r="Q528" s="379"/>
      <c r="R528" s="379"/>
      <c r="S528" s="380"/>
      <c r="T528" s="380"/>
      <c r="U528" s="380"/>
      <c r="V528" s="380"/>
      <c r="W528" s="380"/>
      <c r="X528" s="380"/>
      <c r="Y528" s="380"/>
      <c r="Z528" s="380"/>
      <c r="AA528" s="380"/>
      <c r="AB528" s="380"/>
      <c r="AC528" s="380"/>
      <c r="AD528" s="380"/>
      <c r="AE528" s="380"/>
      <c r="AF528" s="380"/>
      <c r="AG528" s="153"/>
      <c r="AH528" s="380"/>
      <c r="AI528" s="380"/>
      <c r="AJ528" s="380"/>
      <c r="AK528" s="153"/>
      <c r="AL528" s="380"/>
      <c r="AM528" s="380"/>
      <c r="AN528" s="380"/>
      <c r="AO528" s="380"/>
      <c r="AP528" s="380"/>
      <c r="AR528" s="380"/>
      <c r="AS528" s="380"/>
      <c r="AT528" s="380"/>
      <c r="AU528" s="380"/>
      <c r="AV528" s="380"/>
      <c r="AW528" s="55"/>
      <c r="AX528" s="380"/>
      <c r="AY528" s="380"/>
      <c r="AZ528" s="380"/>
      <c r="BA528" s="380"/>
      <c r="BB528" s="380"/>
      <c r="BC528" s="380"/>
      <c r="BD528" s="380"/>
      <c r="BE528" s="380"/>
      <c r="BF528" s="380"/>
      <c r="BG528" s="380"/>
      <c r="BH528" s="380"/>
      <c r="BI528" s="380"/>
      <c r="BJ528" s="380"/>
      <c r="BK528" s="380"/>
      <c r="BL528" s="380"/>
      <c r="BM528" s="380"/>
      <c r="BN528" s="380"/>
      <c r="BO528" s="380"/>
      <c r="BP528" s="380"/>
      <c r="BQ528" s="380"/>
      <c r="BR528" s="380"/>
      <c r="BS528" s="380"/>
      <c r="BT528" s="380"/>
      <c r="BU528" s="380"/>
      <c r="BV528" s="380"/>
      <c r="BW528" s="380"/>
      <c r="BX528" s="380"/>
      <c r="BY528" s="380"/>
    </row>
    <row r="529" spans="1:77" s="170" customFormat="1" x14ac:dyDescent="0.25">
      <c r="A529" s="54"/>
      <c r="B529" s="380"/>
      <c r="C529" s="380"/>
      <c r="D529" s="380"/>
      <c r="E529" s="380"/>
      <c r="F529" s="449"/>
      <c r="G529" s="380"/>
      <c r="H529" s="449"/>
      <c r="I529" s="449"/>
      <c r="J529" s="461"/>
      <c r="K529" s="461"/>
      <c r="L529" s="379"/>
      <c r="M529" s="379"/>
      <c r="N529" s="50"/>
      <c r="O529" s="50"/>
      <c r="P529" s="379"/>
      <c r="Q529" s="379"/>
      <c r="R529" s="379"/>
      <c r="S529" s="380"/>
      <c r="T529" s="380"/>
      <c r="U529" s="380"/>
      <c r="V529" s="380"/>
      <c r="W529" s="380"/>
      <c r="X529" s="380"/>
      <c r="Y529" s="380"/>
      <c r="Z529" s="380"/>
      <c r="AA529" s="380"/>
      <c r="AB529" s="380"/>
      <c r="AC529" s="380"/>
      <c r="AD529" s="380"/>
      <c r="AE529" s="380"/>
      <c r="AF529" s="380"/>
      <c r="AG529" s="153"/>
      <c r="AH529" s="380"/>
      <c r="AI529" s="380"/>
      <c r="AJ529" s="380"/>
      <c r="AK529" s="153"/>
      <c r="AL529" s="380"/>
      <c r="AM529" s="380"/>
      <c r="AN529" s="380"/>
      <c r="AO529" s="380"/>
      <c r="AP529" s="380"/>
      <c r="AR529" s="380"/>
      <c r="AS529" s="380"/>
      <c r="AT529" s="380"/>
      <c r="AU529" s="380"/>
      <c r="AV529" s="380"/>
      <c r="AW529" s="55"/>
      <c r="AX529" s="380"/>
      <c r="AY529" s="380"/>
      <c r="AZ529" s="380"/>
      <c r="BA529" s="380"/>
      <c r="BB529" s="380"/>
      <c r="BC529" s="380"/>
      <c r="BD529" s="380"/>
      <c r="BE529" s="380"/>
      <c r="BF529" s="380"/>
      <c r="BG529" s="380"/>
      <c r="BH529" s="380"/>
      <c r="BI529" s="380"/>
      <c r="BJ529" s="380"/>
      <c r="BK529" s="380"/>
      <c r="BL529" s="380"/>
      <c r="BM529" s="380"/>
      <c r="BN529" s="380"/>
      <c r="BO529" s="380"/>
      <c r="BP529" s="380"/>
      <c r="BQ529" s="380"/>
      <c r="BR529" s="380"/>
      <c r="BS529" s="380"/>
      <c r="BT529" s="380"/>
      <c r="BU529" s="380"/>
      <c r="BV529" s="380"/>
      <c r="BW529" s="380"/>
      <c r="BX529" s="380"/>
      <c r="BY529" s="380"/>
    </row>
    <row r="530" spans="1:77" s="170" customFormat="1" x14ac:dyDescent="0.25">
      <c r="A530" s="380"/>
      <c r="B530" s="380"/>
      <c r="C530" s="380"/>
      <c r="D530" s="380"/>
      <c r="E530" s="380"/>
      <c r="F530" s="449"/>
      <c r="G530" s="380"/>
      <c r="H530" s="449"/>
      <c r="I530" s="449"/>
      <c r="J530" s="461"/>
      <c r="K530" s="461"/>
      <c r="L530" s="379"/>
      <c r="M530" s="379"/>
      <c r="N530" s="50"/>
      <c r="O530" s="50"/>
      <c r="P530" s="379"/>
      <c r="Q530" s="379"/>
      <c r="R530" s="379"/>
      <c r="S530" s="380"/>
      <c r="T530" s="380"/>
      <c r="U530" s="380"/>
      <c r="V530" s="380"/>
      <c r="W530" s="380"/>
      <c r="X530" s="380"/>
      <c r="Y530" s="380"/>
      <c r="Z530" s="380"/>
      <c r="AA530" s="380"/>
      <c r="AB530" s="380"/>
      <c r="AC530" s="380"/>
      <c r="AD530" s="380"/>
      <c r="AE530" s="380"/>
      <c r="AF530" s="380"/>
      <c r="AG530" s="153"/>
      <c r="AH530" s="380"/>
      <c r="AI530" s="380"/>
      <c r="AJ530" s="380"/>
      <c r="AK530" s="153"/>
      <c r="AL530" s="380"/>
      <c r="AM530" s="380"/>
      <c r="AN530" s="380"/>
      <c r="AO530" s="380"/>
      <c r="AP530" s="380"/>
      <c r="AR530" s="380"/>
      <c r="AS530" s="380"/>
      <c r="AT530" s="380"/>
      <c r="AU530" s="380"/>
      <c r="AV530" s="380"/>
      <c r="AW530" s="55"/>
      <c r="AX530" s="380"/>
      <c r="AY530" s="380"/>
      <c r="AZ530" s="380"/>
      <c r="BA530" s="380"/>
      <c r="BB530" s="380"/>
      <c r="BC530" s="380"/>
      <c r="BD530" s="380"/>
      <c r="BE530" s="380"/>
      <c r="BF530" s="380"/>
      <c r="BG530" s="380"/>
      <c r="BH530" s="380"/>
      <c r="BI530" s="380"/>
      <c r="BJ530" s="380"/>
      <c r="BK530" s="380"/>
      <c r="BL530" s="380"/>
      <c r="BM530" s="380"/>
      <c r="BN530" s="380"/>
      <c r="BO530" s="380"/>
      <c r="BP530" s="380"/>
      <c r="BQ530" s="380"/>
      <c r="BR530" s="380"/>
      <c r="BS530" s="380"/>
      <c r="BT530" s="380"/>
      <c r="BU530" s="380"/>
      <c r="BV530" s="380"/>
      <c r="BW530" s="380"/>
      <c r="BX530" s="380"/>
      <c r="BY530" s="380"/>
    </row>
    <row r="531" spans="1:77" s="170" customFormat="1" x14ac:dyDescent="0.25">
      <c r="A531" s="54"/>
      <c r="B531" s="380"/>
      <c r="C531" s="380"/>
      <c r="D531" s="380"/>
      <c r="E531" s="380"/>
      <c r="F531" s="380"/>
      <c r="G531" s="380"/>
      <c r="H531" s="380"/>
      <c r="I531" s="380"/>
      <c r="J531" s="380"/>
      <c r="K531" s="380"/>
      <c r="L531" s="380"/>
      <c r="M531" s="380"/>
      <c r="N531" s="380"/>
      <c r="O531" s="380"/>
      <c r="P531" s="380"/>
      <c r="Q531" s="380"/>
      <c r="R531" s="380"/>
      <c r="S531" s="380"/>
      <c r="T531" s="380"/>
      <c r="U531" s="380"/>
      <c r="V531" s="380"/>
      <c r="W531" s="380"/>
      <c r="X531" s="380"/>
      <c r="Y531" s="380"/>
      <c r="Z531" s="380"/>
      <c r="AA531" s="380"/>
      <c r="AB531" s="380"/>
      <c r="AC531" s="380"/>
      <c r="AD531" s="380"/>
      <c r="AE531" s="380"/>
      <c r="AF531" s="380"/>
      <c r="AG531" s="153"/>
      <c r="AH531" s="380"/>
      <c r="AI531" s="380"/>
      <c r="AJ531" s="380"/>
      <c r="AK531" s="153"/>
      <c r="AL531" s="380"/>
      <c r="AM531" s="380"/>
      <c r="AN531" s="380"/>
      <c r="AO531" s="380"/>
      <c r="AP531" s="380"/>
      <c r="AR531" s="380"/>
      <c r="AS531" s="380"/>
      <c r="AT531" s="380"/>
      <c r="AU531" s="380"/>
      <c r="AV531" s="380"/>
      <c r="AW531" s="55"/>
      <c r="AX531" s="380"/>
      <c r="AY531" s="380"/>
      <c r="AZ531" s="380"/>
      <c r="BA531" s="380"/>
      <c r="BB531" s="380"/>
      <c r="BC531" s="380"/>
      <c r="BD531" s="380"/>
      <c r="BE531" s="380"/>
      <c r="BF531" s="380"/>
      <c r="BG531" s="380"/>
      <c r="BH531" s="380"/>
      <c r="BI531" s="380"/>
      <c r="BJ531" s="380"/>
      <c r="BK531" s="380"/>
      <c r="BL531" s="380"/>
      <c r="BM531" s="380"/>
      <c r="BN531" s="380"/>
      <c r="BO531" s="380"/>
      <c r="BP531" s="380"/>
      <c r="BQ531" s="380"/>
      <c r="BR531" s="380"/>
      <c r="BS531" s="380"/>
      <c r="BT531" s="380"/>
      <c r="BU531" s="380"/>
      <c r="BV531" s="380"/>
      <c r="BW531" s="380"/>
      <c r="BX531" s="380"/>
      <c r="BY531" s="380"/>
    </row>
    <row r="532" spans="1:77" x14ac:dyDescent="0.25">
      <c r="AW532" s="55"/>
    </row>
    <row r="533" spans="1:77" s="170" customFormat="1" x14ac:dyDescent="0.25">
      <c r="A533" s="380"/>
      <c r="B533" s="380"/>
      <c r="C533" s="380"/>
      <c r="D533" s="380"/>
      <c r="E533" s="380"/>
      <c r="F533" s="380"/>
      <c r="G533" s="380"/>
      <c r="H533" s="380"/>
      <c r="I533" s="380"/>
      <c r="J533" s="53"/>
      <c r="K533" s="53"/>
      <c r="L533" s="380"/>
      <c r="M533" s="380"/>
      <c r="N533" s="380"/>
      <c r="O533" s="380"/>
      <c r="P533" s="380"/>
      <c r="Q533" s="380"/>
      <c r="R533" s="380"/>
      <c r="S533" s="380"/>
      <c r="T533" s="380"/>
      <c r="U533" s="380"/>
      <c r="V533" s="380"/>
      <c r="W533" s="380"/>
      <c r="X533" s="380"/>
      <c r="Y533" s="380"/>
      <c r="Z533" s="380"/>
      <c r="AA533" s="380"/>
      <c r="AB533" s="53"/>
      <c r="AC533" s="380"/>
      <c r="AD533" s="380"/>
      <c r="AE533" s="380"/>
      <c r="AF533" s="380"/>
      <c r="AG533" s="153"/>
      <c r="AH533" s="380"/>
      <c r="AI533" s="380"/>
      <c r="AJ533" s="380"/>
      <c r="AK533" s="153"/>
      <c r="AL533" s="380"/>
      <c r="AM533" s="380"/>
      <c r="AN533" s="380"/>
      <c r="AO533" s="380"/>
      <c r="AP533" s="380"/>
      <c r="AR533" s="380"/>
      <c r="AS533" s="380"/>
      <c r="AT533" s="380"/>
      <c r="AU533" s="380"/>
      <c r="AV533" s="380"/>
      <c r="AW533" s="55"/>
      <c r="AX533" s="380"/>
      <c r="AY533" s="380"/>
      <c r="AZ533" s="380"/>
      <c r="BA533" s="380"/>
      <c r="BB533" s="380"/>
      <c r="BC533" s="380"/>
      <c r="BD533" s="380"/>
      <c r="BE533" s="380"/>
      <c r="BF533" s="380"/>
      <c r="BG533" s="380"/>
      <c r="BH533" s="380"/>
      <c r="BI533" s="380"/>
      <c r="BJ533" s="380"/>
      <c r="BK533" s="380"/>
      <c r="BL533" s="380"/>
      <c r="BM533" s="380"/>
      <c r="BN533" s="380"/>
      <c r="BO533" s="380"/>
      <c r="BP533" s="380"/>
      <c r="BQ533" s="380"/>
      <c r="BR533" s="380"/>
      <c r="BS533" s="380"/>
      <c r="BT533" s="380"/>
      <c r="BU533" s="380"/>
      <c r="BV533" s="380"/>
      <c r="BW533" s="380"/>
      <c r="BX533" s="380"/>
      <c r="BY533" s="380"/>
    </row>
    <row r="534" spans="1:77" s="170" customFormat="1" x14ac:dyDescent="0.25">
      <c r="A534" s="380"/>
      <c r="B534" s="380"/>
      <c r="C534" s="380"/>
      <c r="D534" s="380"/>
      <c r="E534" s="380"/>
      <c r="F534" s="380"/>
      <c r="G534" s="380"/>
      <c r="H534" s="54"/>
      <c r="I534" s="54"/>
      <c r="J534" s="380"/>
      <c r="K534" s="380"/>
      <c r="L534" s="380"/>
      <c r="M534" s="380"/>
      <c r="N534" s="380"/>
      <c r="O534" s="380"/>
      <c r="P534" s="380"/>
      <c r="Q534" s="380"/>
      <c r="R534" s="380"/>
      <c r="S534" s="380"/>
      <c r="T534" s="380"/>
      <c r="U534" s="380"/>
      <c r="V534" s="380"/>
      <c r="W534" s="380"/>
      <c r="X534" s="380"/>
      <c r="Y534" s="380"/>
      <c r="Z534" s="380"/>
      <c r="AA534" s="54"/>
      <c r="AB534" s="380"/>
      <c r="AC534" s="380"/>
      <c r="AD534" s="380"/>
      <c r="AE534" s="380"/>
      <c r="AF534" s="380"/>
      <c r="AG534" s="153"/>
      <c r="AH534" s="380"/>
      <c r="AI534" s="380"/>
      <c r="AJ534" s="380"/>
      <c r="AK534" s="153"/>
      <c r="AL534" s="380"/>
      <c r="AM534" s="380"/>
      <c r="AN534" s="380"/>
      <c r="AO534" s="380"/>
      <c r="AP534" s="380"/>
      <c r="AR534" s="380"/>
      <c r="AS534" s="380"/>
      <c r="AT534" s="380"/>
      <c r="AU534" s="380"/>
      <c r="AV534" s="380"/>
      <c r="AW534" s="55"/>
      <c r="AX534" s="380"/>
      <c r="AY534" s="380"/>
      <c r="AZ534" s="380"/>
      <c r="BA534" s="380"/>
      <c r="BB534" s="380"/>
      <c r="BC534" s="380"/>
      <c r="BD534" s="380"/>
      <c r="BE534" s="380"/>
      <c r="BF534" s="380"/>
      <c r="BG534" s="380"/>
      <c r="BH534" s="380"/>
      <c r="BI534" s="380"/>
      <c r="BJ534" s="380"/>
      <c r="BK534" s="380"/>
      <c r="BL534" s="380"/>
      <c r="BM534" s="380"/>
      <c r="BN534" s="380"/>
      <c r="BO534" s="380"/>
      <c r="BP534" s="380"/>
      <c r="BQ534" s="380"/>
      <c r="BR534" s="380"/>
      <c r="BS534" s="380"/>
      <c r="BT534" s="380"/>
      <c r="BU534" s="380"/>
      <c r="BV534" s="380"/>
      <c r="BW534" s="380"/>
      <c r="BX534" s="380"/>
      <c r="BY534" s="380"/>
    </row>
    <row r="535" spans="1:77" s="170" customFormat="1" x14ac:dyDescent="0.25">
      <c r="A535" s="380"/>
      <c r="B535" s="380"/>
      <c r="C535" s="380"/>
      <c r="D535" s="380"/>
      <c r="E535" s="380"/>
      <c r="F535" s="380"/>
      <c r="G535" s="380"/>
      <c r="H535" s="380"/>
      <c r="I535" s="380"/>
      <c r="J535" s="53"/>
      <c r="K535" s="53"/>
      <c r="L535" s="380"/>
      <c r="M535" s="380"/>
      <c r="N535" s="380"/>
      <c r="O535" s="380"/>
      <c r="P535" s="380"/>
      <c r="Q535" s="380"/>
      <c r="R535" s="380"/>
      <c r="S535" s="380"/>
      <c r="T535" s="380"/>
      <c r="U535" s="380"/>
      <c r="V535" s="380"/>
      <c r="W535" s="380"/>
      <c r="X535" s="380"/>
      <c r="Y535" s="380"/>
      <c r="Z535" s="380"/>
      <c r="AA535" s="380"/>
      <c r="AB535" s="53"/>
      <c r="AC535" s="380"/>
      <c r="AD535" s="380"/>
      <c r="AE535" s="380"/>
      <c r="AF535" s="380"/>
      <c r="AG535" s="153"/>
      <c r="AH535" s="380"/>
      <c r="AI535" s="380"/>
      <c r="AJ535" s="380"/>
      <c r="AK535" s="153"/>
      <c r="AL535" s="380"/>
      <c r="AM535" s="380"/>
      <c r="AN535" s="380"/>
      <c r="AO535" s="380"/>
      <c r="AP535" s="380"/>
      <c r="AR535" s="380"/>
      <c r="AS535" s="380"/>
      <c r="AT535" s="380"/>
      <c r="AU535" s="380"/>
      <c r="AV535" s="380"/>
      <c r="AW535" s="55"/>
      <c r="AX535" s="380"/>
      <c r="AY535" s="380"/>
      <c r="AZ535" s="380"/>
      <c r="BA535" s="380"/>
      <c r="BB535" s="380"/>
      <c r="BC535" s="380"/>
      <c r="BD535" s="380"/>
      <c r="BE535" s="380"/>
      <c r="BF535" s="380"/>
      <c r="BG535" s="380"/>
      <c r="BH535" s="380"/>
      <c r="BI535" s="380"/>
      <c r="BJ535" s="380"/>
      <c r="BK535" s="380"/>
      <c r="BL535" s="380"/>
      <c r="BM535" s="380"/>
      <c r="BN535" s="380"/>
      <c r="BO535" s="380"/>
      <c r="BP535" s="380"/>
      <c r="BQ535" s="380"/>
      <c r="BR535" s="380"/>
      <c r="BS535" s="380"/>
      <c r="BT535" s="380"/>
      <c r="BU535" s="380"/>
      <c r="BV535" s="380"/>
      <c r="BW535" s="380"/>
      <c r="BX535" s="380"/>
      <c r="BY535" s="380"/>
    </row>
    <row r="536" spans="1:77" s="170" customFormat="1" x14ac:dyDescent="0.25">
      <c r="A536" s="380"/>
      <c r="B536" s="380"/>
      <c r="C536" s="380"/>
      <c r="D536" s="380"/>
      <c r="E536" s="380"/>
      <c r="F536" s="380"/>
      <c r="G536" s="380"/>
      <c r="H536" s="380"/>
      <c r="I536" s="380"/>
      <c r="J536" s="380"/>
      <c r="K536" s="380"/>
      <c r="L536" s="54"/>
      <c r="M536" s="54"/>
      <c r="N536" s="380"/>
      <c r="O536" s="380"/>
      <c r="P536" s="380"/>
      <c r="Q536" s="380"/>
      <c r="R536" s="380"/>
      <c r="S536" s="380"/>
      <c r="T536" s="380"/>
      <c r="U536" s="380"/>
      <c r="V536" s="380"/>
      <c r="W536" s="380"/>
      <c r="X536" s="380"/>
      <c r="Y536" s="380"/>
      <c r="Z536" s="380"/>
      <c r="AA536" s="380"/>
      <c r="AB536" s="380"/>
      <c r="AC536" s="54"/>
      <c r="AD536" s="54"/>
      <c r="AE536" s="380"/>
      <c r="AF536" s="380"/>
      <c r="AG536" s="153"/>
      <c r="AH536" s="380"/>
      <c r="AI536" s="380"/>
      <c r="AJ536" s="380"/>
      <c r="AK536" s="153"/>
      <c r="AL536" s="380"/>
      <c r="AM536" s="380"/>
      <c r="AN536" s="380"/>
      <c r="AO536" s="380"/>
      <c r="AP536" s="380"/>
      <c r="AR536" s="380"/>
      <c r="AS536" s="380"/>
      <c r="AT536" s="380"/>
      <c r="AU536" s="380"/>
      <c r="AV536" s="380"/>
      <c r="AW536" s="55"/>
      <c r="AX536" s="380"/>
      <c r="AY536" s="380"/>
      <c r="AZ536" s="380"/>
      <c r="BA536" s="380"/>
      <c r="BB536" s="380"/>
      <c r="BC536" s="380"/>
      <c r="BD536" s="380"/>
      <c r="BE536" s="380"/>
      <c r="BF536" s="380"/>
      <c r="BG536" s="380"/>
      <c r="BH536" s="380"/>
      <c r="BI536" s="380"/>
      <c r="BJ536" s="380"/>
      <c r="BK536" s="380"/>
      <c r="BL536" s="380"/>
      <c r="BM536" s="380"/>
      <c r="BN536" s="380"/>
      <c r="BO536" s="380"/>
      <c r="BP536" s="380"/>
      <c r="BQ536" s="380"/>
      <c r="BR536" s="380"/>
      <c r="BS536" s="380"/>
      <c r="BT536" s="380"/>
      <c r="BU536" s="380"/>
      <c r="BV536" s="380"/>
      <c r="BW536" s="380"/>
      <c r="BX536" s="380"/>
      <c r="BY536" s="380"/>
    </row>
    <row r="537" spans="1:77" s="170" customFormat="1" x14ac:dyDescent="0.25">
      <c r="A537" s="53"/>
      <c r="B537" s="380"/>
      <c r="C537" s="380"/>
      <c r="D537" s="380"/>
      <c r="E537" s="380"/>
      <c r="F537" s="380"/>
      <c r="G537" s="380"/>
      <c r="H537" s="380"/>
      <c r="I537" s="380"/>
      <c r="J537" s="380"/>
      <c r="K537" s="380"/>
      <c r="L537" s="380"/>
      <c r="M537" s="380"/>
      <c r="N537" s="380"/>
      <c r="O537" s="380"/>
      <c r="P537" s="380"/>
      <c r="Q537" s="380"/>
      <c r="R537" s="54"/>
      <c r="S537" s="380"/>
      <c r="T537" s="380"/>
      <c r="U537" s="380"/>
      <c r="V537" s="380"/>
      <c r="W537" s="380"/>
      <c r="X537" s="380"/>
      <c r="Y537" s="380"/>
      <c r="Z537" s="380"/>
      <c r="AA537" s="380"/>
      <c r="AB537" s="380"/>
      <c r="AC537" s="380"/>
      <c r="AD537" s="380"/>
      <c r="AE537" s="380"/>
      <c r="AF537" s="380"/>
      <c r="AG537" s="153"/>
      <c r="AH537" s="380"/>
      <c r="AI537" s="380"/>
      <c r="AJ537" s="380"/>
      <c r="AK537" s="153"/>
      <c r="AL537" s="380"/>
      <c r="AM537" s="54"/>
      <c r="AN537" s="54"/>
      <c r="AO537" s="380"/>
      <c r="AP537" s="380"/>
      <c r="AR537" s="380"/>
      <c r="AS537" s="380"/>
      <c r="AT537" s="380"/>
      <c r="AU537" s="380"/>
      <c r="AV537" s="380"/>
      <c r="AW537" s="55"/>
      <c r="AX537" s="380"/>
      <c r="AY537" s="380"/>
      <c r="AZ537" s="380"/>
      <c r="BA537" s="380"/>
      <c r="BB537" s="380"/>
      <c r="BC537" s="380"/>
      <c r="BD537" s="380"/>
      <c r="BE537" s="380"/>
      <c r="BF537" s="380"/>
      <c r="BG537" s="380"/>
      <c r="BH537" s="380"/>
      <c r="BI537" s="380"/>
      <c r="BJ537" s="380"/>
      <c r="BK537" s="380"/>
      <c r="BL537" s="380"/>
      <c r="BM537" s="380"/>
      <c r="BN537" s="380"/>
      <c r="BO537" s="380"/>
      <c r="BP537" s="380"/>
      <c r="BQ537" s="380"/>
      <c r="BR537" s="380"/>
      <c r="BS537" s="380"/>
      <c r="BT537" s="380"/>
      <c r="BU537" s="380"/>
      <c r="BV537" s="380"/>
      <c r="BW537" s="380"/>
      <c r="BX537" s="380"/>
      <c r="BY537" s="380"/>
    </row>
    <row r="538" spans="1:77" s="170" customFormat="1" x14ac:dyDescent="0.25">
      <c r="A538" s="53"/>
      <c r="B538" s="380"/>
      <c r="C538" s="380"/>
      <c r="D538" s="380"/>
      <c r="E538" s="380"/>
      <c r="F538" s="380"/>
      <c r="G538" s="380"/>
      <c r="H538" s="380"/>
      <c r="I538" s="380"/>
      <c r="J538" s="380"/>
      <c r="K538" s="380"/>
      <c r="L538" s="380"/>
      <c r="M538" s="380"/>
      <c r="N538" s="380"/>
      <c r="O538" s="380"/>
      <c r="P538" s="380"/>
      <c r="Q538" s="380"/>
      <c r="R538" s="54"/>
      <c r="S538" s="380"/>
      <c r="T538" s="380"/>
      <c r="U538" s="380"/>
      <c r="V538" s="380"/>
      <c r="W538" s="380"/>
      <c r="X538" s="380"/>
      <c r="Y538" s="380"/>
      <c r="Z538" s="380"/>
      <c r="AA538" s="380"/>
      <c r="AB538" s="380"/>
      <c r="AC538" s="380"/>
      <c r="AD538" s="380"/>
      <c r="AE538" s="380"/>
      <c r="AF538" s="380"/>
      <c r="AG538" s="153"/>
      <c r="AH538" s="380"/>
      <c r="AI538" s="380"/>
      <c r="AJ538" s="380"/>
      <c r="AK538" s="153"/>
      <c r="AL538" s="380"/>
      <c r="AM538" s="54"/>
      <c r="AN538" s="54"/>
      <c r="AO538" s="380"/>
      <c r="AP538" s="380"/>
      <c r="AR538" s="380"/>
      <c r="AS538" s="380"/>
      <c r="AT538" s="380"/>
      <c r="AU538" s="380"/>
      <c r="AV538" s="380"/>
      <c r="AW538" s="55"/>
      <c r="AX538" s="380"/>
      <c r="AY538" s="380"/>
      <c r="AZ538" s="380"/>
      <c r="BA538" s="380"/>
      <c r="BB538" s="380"/>
      <c r="BC538" s="380"/>
      <c r="BD538" s="380"/>
      <c r="BE538" s="380"/>
      <c r="BF538" s="380"/>
      <c r="BG538" s="380"/>
      <c r="BH538" s="380"/>
      <c r="BI538" s="380"/>
      <c r="BJ538" s="380"/>
      <c r="BK538" s="380"/>
      <c r="BL538" s="380"/>
      <c r="BM538" s="380"/>
      <c r="BN538" s="380"/>
      <c r="BO538" s="380"/>
      <c r="BP538" s="380"/>
      <c r="BQ538" s="380"/>
      <c r="BR538" s="380"/>
      <c r="BS538" s="380"/>
      <c r="BT538" s="380"/>
      <c r="BU538" s="380"/>
      <c r="BV538" s="380"/>
      <c r="BW538" s="380"/>
      <c r="BX538" s="380"/>
      <c r="BY538" s="380"/>
    </row>
    <row r="539" spans="1:77" s="170" customFormat="1" x14ac:dyDescent="0.25">
      <c r="A539" s="54"/>
      <c r="B539" s="380"/>
      <c r="C539" s="380"/>
      <c r="D539" s="380"/>
      <c r="E539" s="380"/>
      <c r="F539" s="380"/>
      <c r="G539" s="380"/>
      <c r="H539" s="380"/>
      <c r="I539" s="380"/>
      <c r="J539" s="380"/>
      <c r="K539" s="380"/>
      <c r="L539" s="380"/>
      <c r="M539" s="380"/>
      <c r="N539" s="380"/>
      <c r="O539" s="380"/>
      <c r="P539" s="380"/>
      <c r="Q539" s="380"/>
      <c r="R539" s="54"/>
      <c r="S539" s="380"/>
      <c r="T539" s="380"/>
      <c r="U539" s="380"/>
      <c r="V539" s="380"/>
      <c r="W539" s="380"/>
      <c r="X539" s="380"/>
      <c r="Y539" s="380"/>
      <c r="Z539" s="380"/>
      <c r="AA539" s="380"/>
      <c r="AB539" s="380"/>
      <c r="AC539" s="380"/>
      <c r="AD539" s="380"/>
      <c r="AE539" s="380"/>
      <c r="AF539" s="380"/>
      <c r="AG539" s="153"/>
      <c r="AH539" s="380"/>
      <c r="AI539" s="380"/>
      <c r="AJ539" s="380"/>
      <c r="AK539" s="153"/>
      <c r="AL539" s="380"/>
      <c r="AM539" s="54"/>
      <c r="AN539" s="54"/>
      <c r="AO539" s="380"/>
      <c r="AP539" s="380"/>
      <c r="AR539" s="380"/>
      <c r="AS539" s="380"/>
      <c r="AT539" s="380"/>
      <c r="AU539" s="380"/>
      <c r="AV539" s="380"/>
      <c r="AW539" s="55"/>
      <c r="AX539" s="380"/>
      <c r="AY539" s="380"/>
      <c r="AZ539" s="380"/>
      <c r="BA539" s="380"/>
      <c r="BB539" s="380"/>
      <c r="BC539" s="380"/>
      <c r="BD539" s="380"/>
      <c r="BE539" s="380"/>
      <c r="BF539" s="380"/>
      <c r="BG539" s="380"/>
      <c r="BH539" s="380"/>
      <c r="BI539" s="380"/>
      <c r="BJ539" s="380"/>
      <c r="BK539" s="380"/>
      <c r="BL539" s="380"/>
      <c r="BM539" s="380"/>
      <c r="BN539" s="380"/>
      <c r="BO539" s="380"/>
      <c r="BP539" s="380"/>
      <c r="BQ539" s="380"/>
      <c r="BR539" s="380"/>
      <c r="BS539" s="380"/>
      <c r="BT539" s="380"/>
      <c r="BU539" s="380"/>
      <c r="BV539" s="380"/>
      <c r="BW539" s="380"/>
      <c r="BX539" s="380"/>
      <c r="BY539" s="380"/>
    </row>
    <row r="540" spans="1:77" s="170" customFormat="1" x14ac:dyDescent="0.25">
      <c r="A540" s="380"/>
      <c r="B540" s="380"/>
      <c r="C540" s="380"/>
      <c r="D540" s="380"/>
      <c r="E540" s="380"/>
      <c r="F540" s="380"/>
      <c r="G540" s="380"/>
      <c r="H540" s="380"/>
      <c r="I540" s="380"/>
      <c r="J540" s="380"/>
      <c r="K540" s="380"/>
      <c r="L540" s="54"/>
      <c r="M540" s="54"/>
      <c r="N540" s="380"/>
      <c r="O540" s="380"/>
      <c r="P540" s="380"/>
      <c r="Q540" s="380"/>
      <c r="R540" s="53"/>
      <c r="S540" s="380"/>
      <c r="T540" s="380"/>
      <c r="U540" s="380"/>
      <c r="V540" s="380"/>
      <c r="W540" s="380"/>
      <c r="X540" s="380"/>
      <c r="Y540" s="380"/>
      <c r="Z540" s="380"/>
      <c r="AA540" s="380"/>
      <c r="AB540" s="380"/>
      <c r="AC540" s="54"/>
      <c r="AD540" s="54"/>
      <c r="AE540" s="380"/>
      <c r="AF540" s="380"/>
      <c r="AG540" s="153"/>
      <c r="AH540" s="380"/>
      <c r="AI540" s="380"/>
      <c r="AJ540" s="380"/>
      <c r="AK540" s="153"/>
      <c r="AL540" s="380"/>
      <c r="AM540" s="53"/>
      <c r="AN540" s="53"/>
      <c r="AO540" s="380"/>
      <c r="AP540" s="380"/>
      <c r="AR540" s="380"/>
      <c r="AS540" s="380"/>
      <c r="AT540" s="380"/>
      <c r="AU540" s="380"/>
      <c r="AV540" s="380"/>
      <c r="AW540" s="55"/>
      <c r="AX540" s="380"/>
      <c r="AY540" s="380"/>
      <c r="AZ540" s="380"/>
      <c r="BA540" s="380"/>
      <c r="BB540" s="380"/>
      <c r="BC540" s="380"/>
      <c r="BD540" s="380"/>
      <c r="BE540" s="380"/>
      <c r="BF540" s="380"/>
      <c r="BG540" s="380"/>
      <c r="BH540" s="380"/>
      <c r="BI540" s="380"/>
      <c r="BJ540" s="380"/>
      <c r="BK540" s="380"/>
      <c r="BL540" s="380"/>
      <c r="BM540" s="380"/>
      <c r="BN540" s="380"/>
      <c r="BO540" s="380"/>
      <c r="BP540" s="380"/>
      <c r="BQ540" s="380"/>
      <c r="BR540" s="380"/>
      <c r="BS540" s="380"/>
      <c r="BT540" s="380"/>
      <c r="BU540" s="380"/>
      <c r="BV540" s="380"/>
      <c r="BW540" s="380"/>
      <c r="BX540" s="380"/>
      <c r="BY540" s="380"/>
    </row>
    <row r="541" spans="1:77" s="170" customFormat="1" x14ac:dyDescent="0.25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380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154"/>
      <c r="AH541" s="55"/>
      <c r="AI541" s="55"/>
      <c r="AJ541" s="55"/>
      <c r="AK541" s="154"/>
      <c r="AL541" s="55"/>
      <c r="AM541" s="55"/>
      <c r="AN541" s="55"/>
      <c r="AO541" s="55"/>
      <c r="AP541" s="55"/>
      <c r="AR541" s="380"/>
      <c r="AS541" s="380"/>
      <c r="AT541" s="380"/>
      <c r="AU541" s="380"/>
      <c r="AV541" s="380"/>
      <c r="AW541" s="55"/>
      <c r="AX541" s="380"/>
      <c r="AY541" s="380"/>
      <c r="AZ541" s="380"/>
      <c r="BA541" s="380"/>
      <c r="BB541" s="380"/>
      <c r="BC541" s="380"/>
      <c r="BD541" s="380"/>
      <c r="BE541" s="380"/>
      <c r="BF541" s="380"/>
      <c r="BG541" s="380"/>
      <c r="BH541" s="380"/>
      <c r="BI541" s="380"/>
      <c r="BJ541" s="380"/>
      <c r="BK541" s="380"/>
      <c r="BL541" s="380"/>
      <c r="BM541" s="380"/>
      <c r="BN541" s="380"/>
      <c r="BO541" s="380"/>
      <c r="BP541" s="380"/>
      <c r="BQ541" s="380"/>
      <c r="BR541" s="380"/>
      <c r="BS541" s="380"/>
      <c r="BT541" s="380"/>
      <c r="BU541" s="380"/>
      <c r="BV541" s="380"/>
      <c r="BW541" s="380"/>
      <c r="BX541" s="380"/>
      <c r="BY541" s="380"/>
    </row>
    <row r="542" spans="1:77" s="170" customFormat="1" x14ac:dyDescent="0.25">
      <c r="A542" s="380"/>
      <c r="B542" s="380"/>
      <c r="C542" s="380"/>
      <c r="D542" s="380"/>
      <c r="E542" s="380"/>
      <c r="F542" s="380"/>
      <c r="G542" s="380"/>
      <c r="H542" s="380"/>
      <c r="I542" s="380"/>
      <c r="J542" s="380"/>
      <c r="K542" s="380"/>
      <c r="L542" s="56"/>
      <c r="M542" s="56"/>
      <c r="N542" s="56"/>
      <c r="O542" s="56"/>
      <c r="P542" s="380"/>
      <c r="Q542" s="380"/>
      <c r="R542" s="56"/>
      <c r="S542" s="380"/>
      <c r="T542" s="380"/>
      <c r="U542" s="380"/>
      <c r="V542" s="380"/>
      <c r="W542" s="380"/>
      <c r="X542" s="380"/>
      <c r="Y542" s="380"/>
      <c r="Z542" s="380"/>
      <c r="AA542" s="380"/>
      <c r="AB542" s="380"/>
      <c r="AC542" s="56"/>
      <c r="AD542" s="56"/>
      <c r="AE542" s="56"/>
      <c r="AF542" s="56"/>
      <c r="AG542" s="155"/>
      <c r="AH542" s="56"/>
      <c r="AI542" s="56"/>
      <c r="AJ542" s="56"/>
      <c r="AK542" s="153"/>
      <c r="AL542" s="380"/>
      <c r="AM542" s="56"/>
      <c r="AN542" s="56"/>
      <c r="AO542" s="56"/>
      <c r="AP542" s="56"/>
      <c r="AR542" s="380"/>
      <c r="AS542" s="380"/>
      <c r="AT542" s="380"/>
      <c r="AU542" s="380"/>
      <c r="AV542" s="380"/>
      <c r="AW542" s="55"/>
      <c r="AX542" s="380"/>
      <c r="AY542" s="380"/>
      <c r="AZ542" s="380"/>
      <c r="BA542" s="380"/>
      <c r="BB542" s="380"/>
      <c r="BC542" s="380"/>
      <c r="BD542" s="380"/>
      <c r="BE542" s="380"/>
      <c r="BF542" s="380"/>
      <c r="BG542" s="380"/>
      <c r="BH542" s="380"/>
      <c r="BI542" s="380"/>
      <c r="BJ542" s="380"/>
      <c r="BK542" s="380"/>
      <c r="BL542" s="380"/>
      <c r="BM542" s="380"/>
      <c r="BN542" s="380"/>
      <c r="BO542" s="380"/>
      <c r="BP542" s="380"/>
      <c r="BQ542" s="380"/>
      <c r="BR542" s="380"/>
      <c r="BS542" s="380"/>
      <c r="BT542" s="380"/>
      <c r="BU542" s="380"/>
      <c r="BV542" s="380"/>
      <c r="BW542" s="380"/>
      <c r="BX542" s="380"/>
      <c r="BY542" s="380"/>
    </row>
    <row r="543" spans="1:77" s="170" customFormat="1" x14ac:dyDescent="0.25">
      <c r="A543" s="380"/>
      <c r="B543" s="380"/>
      <c r="C543" s="380"/>
      <c r="D543" s="380"/>
      <c r="E543" s="380"/>
      <c r="F543" s="380"/>
      <c r="G543" s="380"/>
      <c r="H543" s="380"/>
      <c r="I543" s="380"/>
      <c r="J543" s="380"/>
      <c r="K543" s="380"/>
      <c r="L543" s="56"/>
      <c r="M543" s="56"/>
      <c r="N543" s="56"/>
      <c r="O543" s="56"/>
      <c r="P543" s="380"/>
      <c r="Q543" s="380"/>
      <c r="R543" s="56"/>
      <c r="S543" s="380"/>
      <c r="T543" s="380"/>
      <c r="U543" s="380"/>
      <c r="V543" s="380"/>
      <c r="W543" s="380"/>
      <c r="X543" s="380"/>
      <c r="Y543" s="380"/>
      <c r="Z543" s="380"/>
      <c r="AA543" s="380"/>
      <c r="AB543" s="56"/>
      <c r="AC543" s="56"/>
      <c r="AD543" s="56"/>
      <c r="AE543" s="56"/>
      <c r="AF543" s="56"/>
      <c r="AG543" s="155"/>
      <c r="AH543" s="56"/>
      <c r="AI543" s="56"/>
      <c r="AJ543" s="56"/>
      <c r="AK543" s="153"/>
      <c r="AL543" s="380"/>
      <c r="AM543" s="56"/>
      <c r="AN543" s="56"/>
      <c r="AO543" s="56"/>
      <c r="AP543" s="56"/>
      <c r="AR543" s="380"/>
      <c r="AS543" s="380"/>
      <c r="AT543" s="380"/>
      <c r="AU543" s="380"/>
      <c r="AV543" s="380"/>
      <c r="AW543" s="55"/>
      <c r="AX543" s="380"/>
      <c r="AY543" s="380"/>
      <c r="AZ543" s="380"/>
      <c r="BA543" s="380"/>
      <c r="BB543" s="380"/>
      <c r="BC543" s="380"/>
      <c r="BD543" s="380"/>
      <c r="BE543" s="380"/>
      <c r="BF543" s="380"/>
      <c r="BG543" s="380"/>
      <c r="BH543" s="380"/>
      <c r="BI543" s="380"/>
      <c r="BJ543" s="380"/>
      <c r="BK543" s="380"/>
      <c r="BL543" s="380"/>
      <c r="BM543" s="380"/>
      <c r="BN543" s="380"/>
      <c r="BO543" s="380"/>
      <c r="BP543" s="380"/>
      <c r="BQ543" s="380"/>
      <c r="BR543" s="380"/>
      <c r="BS543" s="380"/>
      <c r="BT543" s="380"/>
      <c r="BU543" s="380"/>
      <c r="BV543" s="380"/>
      <c r="BW543" s="380"/>
      <c r="BX543" s="380"/>
      <c r="BY543" s="380"/>
    </row>
    <row r="544" spans="1:77" s="170" customFormat="1" x14ac:dyDescent="0.25">
      <c r="A544" s="56"/>
      <c r="B544" s="380"/>
      <c r="C544" s="56"/>
      <c r="D544" s="56"/>
      <c r="E544" s="56"/>
      <c r="F544" s="56"/>
      <c r="G544" s="380"/>
      <c r="H544" s="380"/>
      <c r="I544" s="380"/>
      <c r="J544" s="56"/>
      <c r="K544" s="56"/>
      <c r="L544" s="56"/>
      <c r="M544" s="56"/>
      <c r="N544" s="56"/>
      <c r="O544" s="56"/>
      <c r="P544" s="56"/>
      <c r="Q544" s="56"/>
      <c r="R544" s="56"/>
      <c r="S544" s="380"/>
      <c r="T544" s="56"/>
      <c r="U544" s="56"/>
      <c r="V544" s="56"/>
      <c r="W544" s="380"/>
      <c r="X544" s="380"/>
      <c r="Y544" s="380"/>
      <c r="Z544" s="380"/>
      <c r="AA544" s="380"/>
      <c r="AB544" s="56"/>
      <c r="AC544" s="56"/>
      <c r="AD544" s="56"/>
      <c r="AE544" s="56"/>
      <c r="AF544" s="56"/>
      <c r="AG544" s="155"/>
      <c r="AH544" s="56"/>
      <c r="AI544" s="56"/>
      <c r="AJ544" s="56"/>
      <c r="AK544" s="155"/>
      <c r="AL544" s="56"/>
      <c r="AM544" s="56"/>
      <c r="AN544" s="56"/>
      <c r="AO544" s="56"/>
      <c r="AP544" s="56"/>
      <c r="AR544" s="380"/>
      <c r="AS544" s="380"/>
      <c r="AT544" s="380"/>
      <c r="AU544" s="380"/>
      <c r="AV544" s="380"/>
      <c r="AW544" s="55"/>
      <c r="AX544" s="380"/>
      <c r="AY544" s="380"/>
      <c r="AZ544" s="380"/>
      <c r="BA544" s="380"/>
      <c r="BB544" s="380"/>
      <c r="BC544" s="380"/>
      <c r="BD544" s="380"/>
      <c r="BE544" s="380"/>
      <c r="BF544" s="380"/>
      <c r="BG544" s="380"/>
      <c r="BH544" s="380"/>
      <c r="BI544" s="380"/>
      <c r="BJ544" s="380"/>
      <c r="BK544" s="380"/>
      <c r="BL544" s="380"/>
      <c r="BM544" s="380"/>
      <c r="BN544" s="380"/>
      <c r="BO544" s="380"/>
      <c r="BP544" s="380"/>
      <c r="BQ544" s="380"/>
      <c r="BR544" s="380"/>
      <c r="BS544" s="380"/>
      <c r="BT544" s="380"/>
      <c r="BU544" s="380"/>
      <c r="BV544" s="380"/>
      <c r="BW544" s="380"/>
      <c r="BX544" s="380"/>
      <c r="BY544" s="380"/>
    </row>
    <row r="545" spans="1:77" s="170" customFormat="1" x14ac:dyDescent="0.25">
      <c r="A545" s="56"/>
      <c r="B545" s="380"/>
      <c r="C545" s="56"/>
      <c r="D545" s="56"/>
      <c r="E545" s="56"/>
      <c r="F545" s="56"/>
      <c r="G545" s="380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380"/>
      <c r="T545" s="56"/>
      <c r="U545" s="56"/>
      <c r="V545" s="56"/>
      <c r="W545" s="380"/>
      <c r="X545" s="380"/>
      <c r="Y545" s="380"/>
      <c r="Z545" s="380"/>
      <c r="AA545" s="56"/>
      <c r="AB545" s="56"/>
      <c r="AC545" s="56"/>
      <c r="AD545" s="56"/>
      <c r="AE545" s="56"/>
      <c r="AF545" s="56"/>
      <c r="AG545" s="155"/>
      <c r="AH545" s="56"/>
      <c r="AI545" s="56"/>
      <c r="AJ545" s="56"/>
      <c r="AK545" s="155"/>
      <c r="AL545" s="56"/>
      <c r="AM545" s="56"/>
      <c r="AN545" s="56"/>
      <c r="AO545" s="56"/>
      <c r="AP545" s="56"/>
      <c r="AR545" s="380"/>
      <c r="AS545" s="380"/>
      <c r="AT545" s="380"/>
      <c r="AU545" s="380"/>
      <c r="AV545" s="380"/>
      <c r="AW545" s="55"/>
      <c r="AX545" s="380"/>
      <c r="AY545" s="380"/>
      <c r="AZ545" s="380"/>
      <c r="BA545" s="380"/>
      <c r="BB545" s="380"/>
      <c r="BC545" s="380"/>
      <c r="BD545" s="380"/>
      <c r="BE545" s="380"/>
      <c r="BF545" s="380"/>
      <c r="BG545" s="380"/>
      <c r="BH545" s="380"/>
      <c r="BI545" s="380"/>
      <c r="BJ545" s="380"/>
      <c r="BK545" s="380"/>
      <c r="BL545" s="380"/>
      <c r="BM545" s="380"/>
      <c r="BN545" s="380"/>
      <c r="BO545" s="380"/>
      <c r="BP545" s="380"/>
      <c r="BQ545" s="380"/>
      <c r="BR545" s="380"/>
      <c r="BS545" s="380"/>
      <c r="BT545" s="380"/>
      <c r="BU545" s="380"/>
      <c r="BV545" s="380"/>
      <c r="BW545" s="380"/>
      <c r="BX545" s="380"/>
      <c r="BY545" s="380"/>
    </row>
    <row r="546" spans="1:77" s="170" customFormat="1" x14ac:dyDescent="0.25">
      <c r="A546" s="380"/>
      <c r="B546" s="380"/>
      <c r="C546" s="56"/>
      <c r="D546" s="56"/>
      <c r="E546" s="56"/>
      <c r="F546" s="56"/>
      <c r="G546" s="380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380"/>
      <c r="T546" s="56"/>
      <c r="U546" s="56"/>
      <c r="V546" s="56"/>
      <c r="W546" s="380"/>
      <c r="X546" s="380"/>
      <c r="Y546" s="380"/>
      <c r="Z546" s="380"/>
      <c r="AA546" s="56"/>
      <c r="AB546" s="56"/>
      <c r="AC546" s="56"/>
      <c r="AD546" s="56"/>
      <c r="AE546" s="56"/>
      <c r="AF546" s="56"/>
      <c r="AG546" s="155"/>
      <c r="AH546" s="56"/>
      <c r="AI546" s="56"/>
      <c r="AJ546" s="56"/>
      <c r="AK546" s="155"/>
      <c r="AL546" s="56"/>
      <c r="AM546" s="56"/>
      <c r="AN546" s="56"/>
      <c r="AO546" s="56"/>
      <c r="AP546" s="56"/>
      <c r="AR546" s="380"/>
      <c r="AS546" s="380"/>
      <c r="AT546" s="380"/>
      <c r="AU546" s="380"/>
      <c r="AV546" s="380"/>
      <c r="AW546" s="55"/>
      <c r="AX546" s="380"/>
      <c r="AY546" s="380"/>
      <c r="AZ546" s="380"/>
      <c r="BA546" s="380"/>
      <c r="BB546" s="380"/>
      <c r="BC546" s="380"/>
      <c r="BD546" s="380"/>
      <c r="BE546" s="380"/>
      <c r="BF546" s="380"/>
      <c r="BG546" s="380"/>
      <c r="BH546" s="380"/>
      <c r="BI546" s="380"/>
      <c r="BJ546" s="380"/>
      <c r="BK546" s="380"/>
      <c r="BL546" s="380"/>
      <c r="BM546" s="380"/>
      <c r="BN546" s="380"/>
      <c r="BO546" s="380"/>
      <c r="BP546" s="380"/>
      <c r="BQ546" s="380"/>
      <c r="BR546" s="380"/>
      <c r="BS546" s="380"/>
      <c r="BT546" s="380"/>
      <c r="BU546" s="380"/>
      <c r="BV546" s="380"/>
      <c r="BW546" s="380"/>
      <c r="BX546" s="380"/>
      <c r="BY546" s="380"/>
    </row>
    <row r="547" spans="1:77" s="170" customFormat="1" x14ac:dyDescent="0.25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380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154"/>
      <c r="AH547" s="55"/>
      <c r="AI547" s="55"/>
      <c r="AJ547" s="55"/>
      <c r="AK547" s="154"/>
      <c r="AL547" s="55"/>
      <c r="AM547" s="55"/>
      <c r="AN547" s="55"/>
      <c r="AO547" s="55"/>
      <c r="AP547" s="55"/>
      <c r="AR547" s="380"/>
      <c r="AS547" s="380"/>
      <c r="AT547" s="380"/>
      <c r="AU547" s="380"/>
      <c r="AV547" s="380"/>
      <c r="AW547" s="55"/>
      <c r="AX547" s="380"/>
      <c r="AY547" s="380"/>
      <c r="AZ547" s="380"/>
      <c r="BA547" s="380"/>
      <c r="BB547" s="380"/>
      <c r="BC547" s="380"/>
      <c r="BD547" s="380"/>
      <c r="BE547" s="380"/>
      <c r="BF547" s="380"/>
      <c r="BG547" s="380"/>
      <c r="BH547" s="380"/>
      <c r="BI547" s="380"/>
      <c r="BJ547" s="380"/>
      <c r="BK547" s="380"/>
      <c r="BL547" s="380"/>
      <c r="BM547" s="380"/>
      <c r="BN547" s="380"/>
      <c r="BO547" s="380"/>
      <c r="BP547" s="380"/>
      <c r="BQ547" s="380"/>
      <c r="BR547" s="380"/>
      <c r="BS547" s="380"/>
      <c r="BT547" s="380"/>
      <c r="BU547" s="380"/>
      <c r="BV547" s="380"/>
      <c r="BW547" s="380"/>
      <c r="BX547" s="380"/>
      <c r="BY547" s="380"/>
    </row>
    <row r="548" spans="1:77" s="170" customFormat="1" x14ac:dyDescent="0.25">
      <c r="A548" s="380"/>
      <c r="B548" s="380"/>
      <c r="C548" s="380"/>
      <c r="D548" s="380"/>
      <c r="E548" s="380"/>
      <c r="F548" s="380"/>
      <c r="G548" s="380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380"/>
      <c r="T548" s="380"/>
      <c r="U548" s="380"/>
      <c r="V548" s="380"/>
      <c r="W548" s="380"/>
      <c r="X548" s="380"/>
      <c r="Y548" s="380"/>
      <c r="Z548" s="380"/>
      <c r="AA548" s="56"/>
      <c r="AB548" s="56"/>
      <c r="AC548" s="56"/>
      <c r="AD548" s="56"/>
      <c r="AE548" s="56"/>
      <c r="AF548" s="56"/>
      <c r="AG548" s="155"/>
      <c r="AH548" s="56"/>
      <c r="AI548" s="56"/>
      <c r="AJ548" s="56"/>
      <c r="AK548" s="155"/>
      <c r="AL548" s="56"/>
      <c r="AM548" s="56"/>
      <c r="AN548" s="56"/>
      <c r="AO548" s="56"/>
      <c r="AP548" s="56"/>
      <c r="AR548" s="380"/>
      <c r="AS548" s="380"/>
      <c r="AT548" s="380"/>
      <c r="AU548" s="380"/>
      <c r="AV548" s="380"/>
      <c r="AW548" s="55"/>
      <c r="AX548" s="380"/>
      <c r="AY548" s="380"/>
      <c r="AZ548" s="380"/>
      <c r="BA548" s="380"/>
      <c r="BB548" s="380"/>
      <c r="BC548" s="380"/>
      <c r="BD548" s="380"/>
      <c r="BE548" s="380"/>
      <c r="BF548" s="380"/>
      <c r="BG548" s="380"/>
      <c r="BH548" s="380"/>
      <c r="BI548" s="380"/>
      <c r="BJ548" s="380"/>
      <c r="BK548" s="380"/>
      <c r="BL548" s="380"/>
      <c r="BM548" s="380"/>
      <c r="BN548" s="380"/>
      <c r="BO548" s="380"/>
      <c r="BP548" s="380"/>
      <c r="BQ548" s="380"/>
      <c r="BR548" s="380"/>
      <c r="BS548" s="380"/>
      <c r="BT548" s="380"/>
      <c r="BU548" s="380"/>
      <c r="BV548" s="380"/>
      <c r="BW548" s="380"/>
      <c r="BX548" s="380"/>
      <c r="BY548" s="380"/>
    </row>
    <row r="549" spans="1:77" s="170" customFormat="1" x14ac:dyDescent="0.25">
      <c r="A549" s="53"/>
      <c r="B549" s="380"/>
      <c r="C549" s="54"/>
      <c r="D549" s="54"/>
      <c r="E549" s="54"/>
      <c r="F549" s="380"/>
      <c r="G549" s="380"/>
      <c r="H549" s="380"/>
      <c r="I549" s="380"/>
      <c r="J549" s="380"/>
      <c r="K549" s="380"/>
      <c r="L549" s="380"/>
      <c r="M549" s="380"/>
      <c r="N549" s="380"/>
      <c r="O549" s="380"/>
      <c r="P549" s="380"/>
      <c r="Q549" s="380"/>
      <c r="R549" s="380"/>
      <c r="S549" s="380"/>
      <c r="T549" s="54"/>
      <c r="U549" s="54"/>
      <c r="V549" s="380"/>
      <c r="W549" s="380"/>
      <c r="X549" s="380"/>
      <c r="Y549" s="380"/>
      <c r="Z549" s="380"/>
      <c r="AA549" s="380"/>
      <c r="AB549" s="380"/>
      <c r="AC549" s="380"/>
      <c r="AD549" s="380"/>
      <c r="AE549" s="380"/>
      <c r="AF549" s="380"/>
      <c r="AG549" s="153"/>
      <c r="AH549" s="380"/>
      <c r="AI549" s="380"/>
      <c r="AJ549" s="380"/>
      <c r="AK549" s="153"/>
      <c r="AL549" s="380"/>
      <c r="AM549" s="380"/>
      <c r="AN549" s="380"/>
      <c r="AO549" s="380"/>
      <c r="AP549" s="380"/>
      <c r="AR549" s="380"/>
      <c r="AS549" s="380"/>
      <c r="AT549" s="380"/>
      <c r="AU549" s="380"/>
      <c r="AV549" s="380"/>
      <c r="AW549" s="55"/>
      <c r="AX549" s="380"/>
      <c r="AY549" s="380"/>
      <c r="AZ549" s="380"/>
      <c r="BA549" s="380"/>
      <c r="BB549" s="380"/>
      <c r="BC549" s="380"/>
      <c r="BD549" s="380"/>
      <c r="BE549" s="380"/>
      <c r="BF549" s="380"/>
      <c r="BG549" s="380"/>
      <c r="BH549" s="380"/>
      <c r="BI549" s="380"/>
      <c r="BJ549" s="380"/>
      <c r="BK549" s="380"/>
      <c r="BL549" s="380"/>
      <c r="BM549" s="380"/>
      <c r="BN549" s="380"/>
      <c r="BO549" s="380"/>
      <c r="BP549" s="380"/>
      <c r="BQ549" s="380"/>
      <c r="BR549" s="380"/>
      <c r="BS549" s="380"/>
      <c r="BT549" s="380"/>
      <c r="BU549" s="380"/>
      <c r="BV549" s="380"/>
      <c r="BW549" s="380"/>
      <c r="BX549" s="380"/>
      <c r="BY549" s="380"/>
    </row>
    <row r="550" spans="1:77" x14ac:dyDescent="0.25">
      <c r="AW550" s="55"/>
    </row>
    <row r="551" spans="1:77" s="170" customFormat="1" x14ac:dyDescent="0.25">
      <c r="A551" s="53"/>
      <c r="B551" s="380"/>
      <c r="C551" s="54"/>
      <c r="D551" s="380"/>
      <c r="E551" s="380"/>
      <c r="F551" s="380"/>
      <c r="G551" s="380"/>
      <c r="H551" s="380"/>
      <c r="I551" s="380"/>
      <c r="J551" s="380"/>
      <c r="K551" s="380"/>
      <c r="L551" s="380"/>
      <c r="M551" s="380"/>
      <c r="N551" s="380"/>
      <c r="O551" s="380"/>
      <c r="P551" s="380"/>
      <c r="Q551" s="380"/>
      <c r="R551" s="380"/>
      <c r="S551" s="380"/>
      <c r="T551" s="54"/>
      <c r="U551" s="380"/>
      <c r="V551" s="380"/>
      <c r="W551" s="380"/>
      <c r="X551" s="380"/>
      <c r="Y551" s="380"/>
      <c r="Z551" s="380"/>
      <c r="AA551" s="380"/>
      <c r="AB551" s="380"/>
      <c r="AC551" s="380"/>
      <c r="AD551" s="380"/>
      <c r="AE551" s="380"/>
      <c r="AF551" s="380"/>
      <c r="AG551" s="153"/>
      <c r="AH551" s="380"/>
      <c r="AI551" s="380"/>
      <c r="AJ551" s="380"/>
      <c r="AK551" s="153"/>
      <c r="AL551" s="380"/>
      <c r="AM551" s="380"/>
      <c r="AN551" s="380"/>
      <c r="AO551" s="380"/>
      <c r="AP551" s="380"/>
      <c r="AR551" s="380"/>
      <c r="AS551" s="380"/>
      <c r="AT551" s="380"/>
      <c r="AU551" s="380"/>
      <c r="AV551" s="380"/>
      <c r="AW551" s="55"/>
      <c r="AX551" s="380"/>
      <c r="AY551" s="380"/>
      <c r="AZ551" s="380"/>
      <c r="BA551" s="380"/>
      <c r="BB551" s="380"/>
      <c r="BC551" s="380"/>
      <c r="BD551" s="380"/>
      <c r="BE551" s="380"/>
      <c r="BF551" s="380"/>
      <c r="BG551" s="380"/>
      <c r="BH551" s="380"/>
      <c r="BI551" s="380"/>
      <c r="BJ551" s="380"/>
      <c r="BK551" s="380"/>
      <c r="BL551" s="380"/>
      <c r="BM551" s="380"/>
      <c r="BN551" s="380"/>
      <c r="BO551" s="380"/>
      <c r="BP551" s="380"/>
      <c r="BQ551" s="380"/>
      <c r="BR551" s="380"/>
      <c r="BS551" s="380"/>
      <c r="BT551" s="380"/>
      <c r="BU551" s="380"/>
      <c r="BV551" s="380"/>
      <c r="BW551" s="380"/>
      <c r="BX551" s="380"/>
      <c r="BY551" s="380"/>
    </row>
    <row r="552" spans="1:77" s="170" customFormat="1" x14ac:dyDescent="0.25">
      <c r="A552" s="53"/>
      <c r="B552" s="380"/>
      <c r="C552" s="54"/>
      <c r="D552" s="380"/>
      <c r="E552" s="380"/>
      <c r="F552" s="449"/>
      <c r="G552" s="380"/>
      <c r="H552" s="449"/>
      <c r="I552" s="449"/>
      <c r="J552" s="464"/>
      <c r="K552" s="464"/>
      <c r="L552" s="379"/>
      <c r="M552" s="379"/>
      <c r="N552" s="50"/>
      <c r="O552" s="50"/>
      <c r="P552" s="379"/>
      <c r="Q552" s="379"/>
      <c r="R552" s="379"/>
      <c r="S552" s="380"/>
      <c r="T552" s="54"/>
      <c r="U552" s="380"/>
      <c r="V552" s="449"/>
      <c r="W552" s="380"/>
      <c r="X552" s="380"/>
      <c r="Y552" s="380"/>
      <c r="Z552" s="380"/>
      <c r="AA552" s="449"/>
      <c r="AB552" s="464"/>
      <c r="AC552" s="379"/>
      <c r="AD552" s="379"/>
      <c r="AE552" s="50"/>
      <c r="AF552" s="50"/>
      <c r="AG552" s="156"/>
      <c r="AH552" s="379"/>
      <c r="AI552" s="60"/>
      <c r="AJ552" s="60"/>
      <c r="AK552" s="156"/>
      <c r="AL552" s="379"/>
      <c r="AM552" s="379"/>
      <c r="AN552" s="379"/>
      <c r="AO552" s="50"/>
      <c r="AP552" s="50"/>
      <c r="AR552" s="380"/>
      <c r="AS552" s="380"/>
      <c r="AT552" s="380"/>
      <c r="AU552" s="380"/>
      <c r="AV552" s="380"/>
      <c r="AW552" s="55"/>
      <c r="AX552" s="380"/>
      <c r="AY552" s="380"/>
      <c r="AZ552" s="380"/>
      <c r="BA552" s="380"/>
      <c r="BB552" s="380"/>
      <c r="BC552" s="380"/>
      <c r="BD552" s="380"/>
      <c r="BE552" s="380"/>
      <c r="BF552" s="380"/>
      <c r="BG552" s="380"/>
      <c r="BH552" s="380"/>
      <c r="BI552" s="380"/>
      <c r="BJ552" s="380"/>
      <c r="BK552" s="380"/>
      <c r="BL552" s="380"/>
      <c r="BM552" s="380"/>
      <c r="BN552" s="380"/>
      <c r="BO552" s="380"/>
      <c r="BP552" s="380"/>
      <c r="BQ552" s="380"/>
      <c r="BR552" s="380"/>
      <c r="BS552" s="380"/>
      <c r="BT552" s="380"/>
      <c r="BU552" s="380"/>
      <c r="BV552" s="380"/>
      <c r="BW552" s="380"/>
      <c r="BX552" s="380"/>
      <c r="BY552" s="380"/>
    </row>
    <row r="553" spans="1:77" s="170" customFormat="1" x14ac:dyDescent="0.25">
      <c r="A553" s="53"/>
      <c r="B553" s="380"/>
      <c r="C553" s="54"/>
      <c r="D553" s="380"/>
      <c r="E553" s="380"/>
      <c r="F553" s="380"/>
      <c r="G553" s="380"/>
      <c r="H553" s="380"/>
      <c r="I553" s="380"/>
      <c r="J553" s="380"/>
      <c r="K553" s="380"/>
      <c r="L553" s="380"/>
      <c r="M553" s="380"/>
      <c r="N553" s="380"/>
      <c r="O553" s="380"/>
      <c r="P553" s="380"/>
      <c r="Q553" s="380"/>
      <c r="R553" s="380"/>
      <c r="S553" s="380"/>
      <c r="T553" s="54"/>
      <c r="U553" s="380"/>
      <c r="V553" s="380"/>
      <c r="W553" s="380"/>
      <c r="X553" s="380"/>
      <c r="Y553" s="380"/>
      <c r="Z553" s="380"/>
      <c r="AA553" s="380"/>
      <c r="AB553" s="380"/>
      <c r="AC553" s="380"/>
      <c r="AD553" s="380"/>
      <c r="AE553" s="380"/>
      <c r="AF553" s="380"/>
      <c r="AG553" s="153"/>
      <c r="AH553" s="380"/>
      <c r="AI553" s="380"/>
      <c r="AJ553" s="380"/>
      <c r="AK553" s="153"/>
      <c r="AL553" s="380"/>
      <c r="AM553" s="380"/>
      <c r="AN553" s="380"/>
      <c r="AO553" s="380"/>
      <c r="AP553" s="380"/>
      <c r="AR553" s="380"/>
      <c r="AS553" s="380"/>
      <c r="AT553" s="380"/>
      <c r="AU553" s="380"/>
      <c r="AV553" s="380"/>
      <c r="AW553" s="55"/>
      <c r="AX553" s="380"/>
      <c r="AY553" s="380"/>
      <c r="AZ553" s="380"/>
      <c r="BA553" s="380"/>
      <c r="BB553" s="380"/>
      <c r="BC553" s="380"/>
      <c r="BD553" s="380"/>
      <c r="BE553" s="380"/>
      <c r="BF553" s="380"/>
      <c r="BG553" s="380"/>
      <c r="BH553" s="380"/>
      <c r="BI553" s="380"/>
      <c r="BJ553" s="380"/>
      <c r="BK553" s="380"/>
      <c r="BL553" s="380"/>
      <c r="BM553" s="380"/>
      <c r="BN553" s="380"/>
      <c r="BO553" s="380"/>
      <c r="BP553" s="380"/>
      <c r="BQ553" s="380"/>
      <c r="BR553" s="380"/>
      <c r="BS553" s="380"/>
      <c r="BT553" s="380"/>
      <c r="BU553" s="380"/>
      <c r="BV553" s="380"/>
      <c r="BW553" s="380"/>
      <c r="BX553" s="380"/>
      <c r="BY553" s="380"/>
    </row>
    <row r="554" spans="1:77" s="170" customFormat="1" x14ac:dyDescent="0.25">
      <c r="A554" s="53"/>
      <c r="B554" s="380"/>
      <c r="C554" s="54"/>
      <c r="D554" s="380"/>
      <c r="E554" s="380"/>
      <c r="F554" s="449"/>
      <c r="G554" s="380"/>
      <c r="H554" s="449"/>
      <c r="I554" s="449"/>
      <c r="J554" s="221"/>
      <c r="K554" s="221"/>
      <c r="L554" s="379"/>
      <c r="M554" s="379"/>
      <c r="N554" s="50"/>
      <c r="O554" s="50"/>
      <c r="P554" s="379"/>
      <c r="Q554" s="379"/>
      <c r="R554" s="379"/>
      <c r="S554" s="380"/>
      <c r="T554" s="54"/>
      <c r="U554" s="380"/>
      <c r="V554" s="379"/>
      <c r="W554" s="380"/>
      <c r="X554" s="380"/>
      <c r="Y554" s="380"/>
      <c r="Z554" s="380"/>
      <c r="AA554" s="379"/>
      <c r="AB554" s="221"/>
      <c r="AC554" s="379"/>
      <c r="AD554" s="379"/>
      <c r="AE554" s="50"/>
      <c r="AF554" s="50"/>
      <c r="AG554" s="156"/>
      <c r="AH554" s="379"/>
      <c r="AI554" s="60"/>
      <c r="AJ554" s="60"/>
      <c r="AK554" s="156"/>
      <c r="AL554" s="379"/>
      <c r="AM554" s="379"/>
      <c r="AN554" s="379"/>
      <c r="AO554" s="50"/>
      <c r="AP554" s="50"/>
      <c r="AR554" s="380"/>
      <c r="AS554" s="380"/>
      <c r="AT554" s="380"/>
      <c r="AU554" s="380"/>
      <c r="AV554" s="380"/>
      <c r="AW554" s="55"/>
      <c r="AX554" s="380"/>
      <c r="AY554" s="380"/>
      <c r="AZ554" s="380"/>
      <c r="BA554" s="380"/>
      <c r="BB554" s="380"/>
      <c r="BC554" s="380"/>
      <c r="BD554" s="380"/>
      <c r="BE554" s="380"/>
      <c r="BF554" s="380"/>
      <c r="BG554" s="380"/>
      <c r="BH554" s="380"/>
      <c r="BI554" s="380"/>
      <c r="BJ554" s="380"/>
      <c r="BK554" s="380"/>
      <c r="BL554" s="380"/>
      <c r="BM554" s="380"/>
      <c r="BN554" s="380"/>
      <c r="BO554" s="380"/>
      <c r="BP554" s="380"/>
      <c r="BQ554" s="380"/>
      <c r="BR554" s="380"/>
      <c r="BS554" s="380"/>
      <c r="BT554" s="380"/>
      <c r="BU554" s="380"/>
      <c r="BV554" s="380"/>
      <c r="BW554" s="380"/>
      <c r="BX554" s="380"/>
      <c r="BY554" s="380"/>
    </row>
    <row r="555" spans="1:77" s="170" customFormat="1" x14ac:dyDescent="0.25">
      <c r="A555" s="53"/>
      <c r="B555" s="380"/>
      <c r="C555" s="54"/>
      <c r="D555" s="380"/>
      <c r="E555" s="380"/>
      <c r="F555" s="449"/>
      <c r="G555" s="380"/>
      <c r="H555" s="449"/>
      <c r="I555" s="449"/>
      <c r="J555" s="221"/>
      <c r="K555" s="221"/>
      <c r="L555" s="379"/>
      <c r="M555" s="379"/>
      <c r="N555" s="50"/>
      <c r="O555" s="50"/>
      <c r="P555" s="379"/>
      <c r="Q555" s="379"/>
      <c r="R555" s="379"/>
      <c r="S555" s="380"/>
      <c r="T555" s="54"/>
      <c r="U555" s="380"/>
      <c r="V555" s="379"/>
      <c r="W555" s="380"/>
      <c r="X555" s="380"/>
      <c r="Y555" s="380"/>
      <c r="Z555" s="380"/>
      <c r="AA555" s="379"/>
      <c r="AB555" s="221"/>
      <c r="AC555" s="379"/>
      <c r="AD555" s="379"/>
      <c r="AE555" s="50"/>
      <c r="AF555" s="50"/>
      <c r="AG555" s="156"/>
      <c r="AH555" s="379"/>
      <c r="AI555" s="60"/>
      <c r="AJ555" s="60"/>
      <c r="AK555" s="156"/>
      <c r="AL555" s="379"/>
      <c r="AM555" s="379"/>
      <c r="AN555" s="379"/>
      <c r="AO555" s="50"/>
      <c r="AP555" s="50"/>
      <c r="AR555" s="380"/>
      <c r="AS555" s="380"/>
      <c r="AT555" s="380"/>
      <c r="AU555" s="380"/>
      <c r="AV555" s="380"/>
      <c r="AW555" s="55"/>
      <c r="AX555" s="380"/>
      <c r="AY555" s="380"/>
      <c r="AZ555" s="380"/>
      <c r="BA555" s="380"/>
      <c r="BB555" s="380"/>
      <c r="BC555" s="380"/>
      <c r="BD555" s="380"/>
      <c r="BE555" s="380"/>
      <c r="BF555" s="380"/>
      <c r="BG555" s="380"/>
      <c r="BH555" s="380"/>
      <c r="BI555" s="380"/>
      <c r="BJ555" s="380"/>
      <c r="BK555" s="380"/>
      <c r="BL555" s="380"/>
      <c r="BM555" s="380"/>
      <c r="BN555" s="380"/>
      <c r="BO555" s="380"/>
      <c r="BP555" s="380"/>
      <c r="BQ555" s="380"/>
      <c r="BR555" s="380"/>
      <c r="BS555" s="380"/>
      <c r="BT555" s="380"/>
      <c r="BU555" s="380"/>
      <c r="BV555" s="380"/>
      <c r="BW555" s="380"/>
      <c r="BX555" s="380"/>
      <c r="BY555" s="380"/>
    </row>
    <row r="556" spans="1:77" s="170" customFormat="1" x14ac:dyDescent="0.25">
      <c r="A556" s="53"/>
      <c r="B556" s="380"/>
      <c r="C556" s="54"/>
      <c r="D556" s="380"/>
      <c r="E556" s="380"/>
      <c r="F556" s="449"/>
      <c r="G556" s="380"/>
      <c r="H556" s="449"/>
      <c r="I556" s="449"/>
      <c r="J556" s="221"/>
      <c r="K556" s="221"/>
      <c r="L556" s="379"/>
      <c r="M556" s="379"/>
      <c r="N556" s="50"/>
      <c r="O556" s="50"/>
      <c r="P556" s="379"/>
      <c r="Q556" s="379"/>
      <c r="R556" s="379"/>
      <c r="S556" s="380"/>
      <c r="T556" s="54"/>
      <c r="U556" s="380"/>
      <c r="V556" s="379"/>
      <c r="W556" s="380"/>
      <c r="X556" s="380"/>
      <c r="Y556" s="380"/>
      <c r="Z556" s="380"/>
      <c r="AA556" s="379"/>
      <c r="AB556" s="221"/>
      <c r="AC556" s="379"/>
      <c r="AD556" s="379"/>
      <c r="AE556" s="50"/>
      <c r="AF556" s="50"/>
      <c r="AG556" s="156"/>
      <c r="AH556" s="379"/>
      <c r="AI556" s="60"/>
      <c r="AJ556" s="60"/>
      <c r="AK556" s="156"/>
      <c r="AL556" s="379"/>
      <c r="AM556" s="379"/>
      <c r="AN556" s="379"/>
      <c r="AO556" s="50"/>
      <c r="AP556" s="50"/>
      <c r="AR556" s="380"/>
      <c r="AS556" s="380"/>
      <c r="AT556" s="380"/>
      <c r="AU556" s="380"/>
      <c r="AV556" s="380"/>
      <c r="AW556" s="55"/>
      <c r="AX556" s="380"/>
      <c r="AY556" s="380"/>
      <c r="AZ556" s="380"/>
      <c r="BA556" s="380"/>
      <c r="BB556" s="380"/>
      <c r="BC556" s="380"/>
      <c r="BD556" s="380"/>
      <c r="BE556" s="380"/>
      <c r="BF556" s="380"/>
      <c r="BG556" s="380"/>
      <c r="BH556" s="380"/>
      <c r="BI556" s="380"/>
      <c r="BJ556" s="380"/>
      <c r="BK556" s="380"/>
      <c r="BL556" s="380"/>
      <c r="BM556" s="380"/>
      <c r="BN556" s="380"/>
      <c r="BO556" s="380"/>
      <c r="BP556" s="380"/>
      <c r="BQ556" s="380"/>
      <c r="BR556" s="380"/>
      <c r="BS556" s="380"/>
      <c r="BT556" s="380"/>
      <c r="BU556" s="380"/>
      <c r="BV556" s="380"/>
      <c r="BW556" s="380"/>
      <c r="BX556" s="380"/>
      <c r="BY556" s="380"/>
    </row>
    <row r="557" spans="1:77" s="170" customFormat="1" x14ac:dyDescent="0.25">
      <c r="A557" s="53"/>
      <c r="B557" s="380"/>
      <c r="C557" s="54"/>
      <c r="D557" s="380"/>
      <c r="E557" s="380"/>
      <c r="F557" s="449"/>
      <c r="G557" s="380"/>
      <c r="H557" s="449"/>
      <c r="I557" s="449"/>
      <c r="J557" s="221"/>
      <c r="K557" s="221"/>
      <c r="L557" s="379"/>
      <c r="M557" s="379"/>
      <c r="N557" s="50"/>
      <c r="O557" s="50"/>
      <c r="P557" s="379"/>
      <c r="Q557" s="379"/>
      <c r="R557" s="379"/>
      <c r="S557" s="380"/>
      <c r="T557" s="54"/>
      <c r="U557" s="380"/>
      <c r="V557" s="379"/>
      <c r="W557" s="380"/>
      <c r="X557" s="380"/>
      <c r="Y557" s="380"/>
      <c r="Z557" s="380"/>
      <c r="AA557" s="379"/>
      <c r="AB557" s="221"/>
      <c r="AC557" s="379"/>
      <c r="AD557" s="379"/>
      <c r="AE557" s="50"/>
      <c r="AF557" s="50"/>
      <c r="AG557" s="156"/>
      <c r="AH557" s="379"/>
      <c r="AI557" s="60"/>
      <c r="AJ557" s="60"/>
      <c r="AK557" s="156"/>
      <c r="AL557" s="379"/>
      <c r="AM557" s="379"/>
      <c r="AN557" s="379"/>
      <c r="AO557" s="50"/>
      <c r="AP557" s="50"/>
      <c r="AR557" s="380"/>
      <c r="AS557" s="380"/>
      <c r="AT557" s="380"/>
      <c r="AU557" s="380"/>
      <c r="AV557" s="380"/>
      <c r="AW557" s="55"/>
      <c r="AX557" s="380"/>
      <c r="AY557" s="380"/>
      <c r="AZ557" s="380"/>
      <c r="BA557" s="380"/>
      <c r="BB557" s="380"/>
      <c r="BC557" s="380"/>
      <c r="BD557" s="380"/>
      <c r="BE557" s="380"/>
      <c r="BF557" s="380"/>
      <c r="BG557" s="380"/>
      <c r="BH557" s="380"/>
      <c r="BI557" s="380"/>
      <c r="BJ557" s="380"/>
      <c r="BK557" s="380"/>
      <c r="BL557" s="380"/>
      <c r="BM557" s="380"/>
      <c r="BN557" s="380"/>
      <c r="BO557" s="380"/>
      <c r="BP557" s="380"/>
      <c r="BQ557" s="380"/>
      <c r="BR557" s="380"/>
      <c r="BS557" s="380"/>
      <c r="BT557" s="380"/>
      <c r="BU557" s="380"/>
      <c r="BV557" s="380"/>
      <c r="BW557" s="380"/>
      <c r="BX557" s="380"/>
      <c r="BY557" s="380"/>
    </row>
    <row r="558" spans="1:77" s="170" customFormat="1" x14ac:dyDescent="0.25">
      <c r="A558" s="53"/>
      <c r="B558" s="380"/>
      <c r="C558" s="54"/>
      <c r="D558" s="380"/>
      <c r="E558" s="380"/>
      <c r="F558" s="380"/>
      <c r="G558" s="380"/>
      <c r="H558" s="380"/>
      <c r="I558" s="380"/>
      <c r="J558" s="65"/>
      <c r="K558" s="65"/>
      <c r="L558" s="380"/>
      <c r="M558" s="380"/>
      <c r="N558" s="380"/>
      <c r="O558" s="380"/>
      <c r="P558" s="380"/>
      <c r="Q558" s="380"/>
      <c r="R558" s="380"/>
      <c r="S558" s="380"/>
      <c r="T558" s="54"/>
      <c r="U558" s="380"/>
      <c r="V558" s="380"/>
      <c r="W558" s="380"/>
      <c r="X558" s="380"/>
      <c r="Y558" s="380"/>
      <c r="Z558" s="380"/>
      <c r="AA558" s="380"/>
      <c r="AB558" s="65"/>
      <c r="AC558" s="380"/>
      <c r="AD558" s="380"/>
      <c r="AE558" s="380"/>
      <c r="AF558" s="380"/>
      <c r="AG558" s="153"/>
      <c r="AH558" s="380"/>
      <c r="AI558" s="380"/>
      <c r="AJ558" s="380"/>
      <c r="AK558" s="153"/>
      <c r="AL558" s="380"/>
      <c r="AM558" s="380"/>
      <c r="AN558" s="380"/>
      <c r="AO558" s="380"/>
      <c r="AP558" s="380"/>
      <c r="AR558" s="380"/>
      <c r="AS558" s="380"/>
      <c r="AT558" s="380"/>
      <c r="AU558" s="380"/>
      <c r="AV558" s="380"/>
      <c r="AW558" s="380"/>
      <c r="AX558" s="380"/>
      <c r="AY558" s="380"/>
      <c r="AZ558" s="380"/>
      <c r="BA558" s="380"/>
      <c r="BB558" s="380"/>
      <c r="BC558" s="380"/>
      <c r="BD558" s="380"/>
      <c r="BE558" s="380"/>
      <c r="BF558" s="380"/>
      <c r="BG558" s="380"/>
      <c r="BH558" s="380"/>
      <c r="BI558" s="380"/>
      <c r="BJ558" s="380"/>
      <c r="BK558" s="380"/>
      <c r="BL558" s="380"/>
      <c r="BM558" s="380"/>
      <c r="BN558" s="380"/>
      <c r="BO558" s="380"/>
      <c r="BP558" s="380"/>
      <c r="BQ558" s="380"/>
      <c r="BR558" s="380"/>
      <c r="BS558" s="380"/>
      <c r="BT558" s="380"/>
      <c r="BU558" s="380"/>
      <c r="BV558" s="380"/>
      <c r="BW558" s="380"/>
      <c r="BX558" s="380"/>
      <c r="BY558" s="380"/>
    </row>
    <row r="559" spans="1:77" s="170" customFormat="1" x14ac:dyDescent="0.25">
      <c r="A559" s="53"/>
      <c r="B559" s="380"/>
      <c r="C559" s="54"/>
      <c r="D559" s="380"/>
      <c r="E559" s="380"/>
      <c r="F559" s="449"/>
      <c r="G559" s="380"/>
      <c r="H559" s="449"/>
      <c r="I559" s="449"/>
      <c r="J559" s="221"/>
      <c r="K559" s="221"/>
      <c r="L559" s="379"/>
      <c r="M559" s="379"/>
      <c r="N559" s="50"/>
      <c r="O559" s="50"/>
      <c r="P559" s="379"/>
      <c r="Q559" s="379"/>
      <c r="R559" s="379"/>
      <c r="S559" s="380"/>
      <c r="T559" s="54"/>
      <c r="U559" s="380"/>
      <c r="V559" s="379"/>
      <c r="W559" s="380"/>
      <c r="X559" s="380"/>
      <c r="Y559" s="380"/>
      <c r="Z559" s="380"/>
      <c r="AA559" s="379"/>
      <c r="AB559" s="221"/>
      <c r="AC559" s="379"/>
      <c r="AD559" s="379"/>
      <c r="AE559" s="50"/>
      <c r="AF559" s="50"/>
      <c r="AG559" s="156"/>
      <c r="AH559" s="379"/>
      <c r="AI559" s="60"/>
      <c r="AJ559" s="60"/>
      <c r="AK559" s="156"/>
      <c r="AL559" s="379"/>
      <c r="AM559" s="379"/>
      <c r="AN559" s="379"/>
      <c r="AO559" s="50"/>
      <c r="AP559" s="50"/>
      <c r="AR559" s="380"/>
      <c r="AS559" s="380"/>
      <c r="AT559" s="380"/>
      <c r="AU559" s="380"/>
      <c r="AV559" s="380"/>
      <c r="AW559" s="380"/>
      <c r="AX559" s="380"/>
      <c r="AY559" s="380"/>
      <c r="AZ559" s="380"/>
      <c r="BA559" s="380"/>
      <c r="BB559" s="380"/>
      <c r="BC559" s="380"/>
      <c r="BD559" s="380"/>
      <c r="BE559" s="380"/>
      <c r="BF559" s="380"/>
      <c r="BG559" s="380"/>
      <c r="BH559" s="380"/>
      <c r="BI559" s="380"/>
      <c r="BJ559" s="380"/>
      <c r="BK559" s="380"/>
      <c r="BL559" s="380"/>
      <c r="BM559" s="380"/>
      <c r="BN559" s="380"/>
      <c r="BO559" s="380"/>
      <c r="BP559" s="380"/>
      <c r="BQ559" s="380"/>
      <c r="BR559" s="380"/>
      <c r="BS559" s="380"/>
      <c r="BT559" s="380"/>
      <c r="BU559" s="380"/>
      <c r="BV559" s="380"/>
      <c r="BW559" s="380"/>
      <c r="BX559" s="380"/>
      <c r="BY559" s="380"/>
    </row>
    <row r="560" spans="1:77" s="170" customFormat="1" x14ac:dyDescent="0.25">
      <c r="A560" s="53"/>
      <c r="B560" s="380"/>
      <c r="C560" s="54"/>
      <c r="D560" s="380"/>
      <c r="E560" s="380"/>
      <c r="F560" s="449"/>
      <c r="G560" s="380"/>
      <c r="H560" s="449"/>
      <c r="I560" s="449"/>
      <c r="J560" s="221"/>
      <c r="K560" s="221"/>
      <c r="L560" s="379"/>
      <c r="M560" s="379"/>
      <c r="N560" s="50"/>
      <c r="O560" s="50"/>
      <c r="P560" s="379"/>
      <c r="Q560" s="379"/>
      <c r="R560" s="379"/>
      <c r="S560" s="380"/>
      <c r="T560" s="54"/>
      <c r="U560" s="380"/>
      <c r="V560" s="379"/>
      <c r="W560" s="380"/>
      <c r="X560" s="380"/>
      <c r="Y560" s="380"/>
      <c r="Z560" s="380"/>
      <c r="AA560" s="379"/>
      <c r="AB560" s="221"/>
      <c r="AC560" s="379"/>
      <c r="AD560" s="379"/>
      <c r="AE560" s="50"/>
      <c r="AF560" s="50"/>
      <c r="AG560" s="156"/>
      <c r="AH560" s="379"/>
      <c r="AI560" s="60"/>
      <c r="AJ560" s="60"/>
      <c r="AK560" s="156"/>
      <c r="AL560" s="379"/>
      <c r="AM560" s="379"/>
      <c r="AN560" s="379"/>
      <c r="AO560" s="50"/>
      <c r="AP560" s="50"/>
      <c r="AR560" s="380"/>
      <c r="AS560" s="380"/>
      <c r="AT560" s="380"/>
      <c r="AU560" s="380"/>
      <c r="AV560" s="380"/>
      <c r="AW560" s="380"/>
      <c r="AX560" s="380"/>
      <c r="AY560" s="380"/>
      <c r="AZ560" s="380"/>
      <c r="BA560" s="380"/>
      <c r="BB560" s="380"/>
      <c r="BC560" s="380"/>
      <c r="BD560" s="380"/>
      <c r="BE560" s="380"/>
      <c r="BF560" s="380"/>
      <c r="BG560" s="380"/>
      <c r="BH560" s="380"/>
      <c r="BI560" s="380"/>
      <c r="BJ560" s="380"/>
      <c r="BK560" s="380"/>
      <c r="BL560" s="380"/>
      <c r="BM560" s="380"/>
      <c r="BN560" s="380"/>
      <c r="BO560" s="380"/>
      <c r="BP560" s="380"/>
      <c r="BQ560" s="380"/>
      <c r="BR560" s="380"/>
      <c r="BS560" s="380"/>
      <c r="BT560" s="380"/>
      <c r="BU560" s="380"/>
      <c r="BV560" s="380"/>
      <c r="BW560" s="380"/>
      <c r="BX560" s="380"/>
      <c r="BY560" s="380"/>
    </row>
    <row r="561" spans="1:77" s="170" customFormat="1" x14ac:dyDescent="0.25">
      <c r="A561" s="53"/>
      <c r="B561" s="380"/>
      <c r="C561" s="54"/>
      <c r="D561" s="380"/>
      <c r="E561" s="380"/>
      <c r="F561" s="449"/>
      <c r="G561" s="380"/>
      <c r="H561" s="449"/>
      <c r="I561" s="449"/>
      <c r="J561" s="221"/>
      <c r="K561" s="221"/>
      <c r="L561" s="379"/>
      <c r="M561" s="379"/>
      <c r="N561" s="50"/>
      <c r="O561" s="50"/>
      <c r="P561" s="379"/>
      <c r="Q561" s="379"/>
      <c r="R561" s="379"/>
      <c r="S561" s="380"/>
      <c r="T561" s="54"/>
      <c r="U561" s="380"/>
      <c r="V561" s="379"/>
      <c r="W561" s="380"/>
      <c r="X561" s="380"/>
      <c r="Y561" s="380"/>
      <c r="Z561" s="380"/>
      <c r="AA561" s="379"/>
      <c r="AB561" s="221"/>
      <c r="AC561" s="379"/>
      <c r="AD561" s="379"/>
      <c r="AE561" s="50"/>
      <c r="AF561" s="50"/>
      <c r="AG561" s="156"/>
      <c r="AH561" s="379"/>
      <c r="AI561" s="60"/>
      <c r="AJ561" s="60"/>
      <c r="AK561" s="156"/>
      <c r="AL561" s="379"/>
      <c r="AM561" s="379"/>
      <c r="AN561" s="379"/>
      <c r="AO561" s="50"/>
      <c r="AP561" s="50"/>
      <c r="AR561" s="380"/>
      <c r="AS561" s="380"/>
      <c r="AT561" s="380"/>
      <c r="AU561" s="380"/>
      <c r="AV561" s="380"/>
      <c r="AW561" s="380"/>
      <c r="AX561" s="380"/>
      <c r="AY561" s="380"/>
      <c r="AZ561" s="380"/>
      <c r="BA561" s="380"/>
      <c r="BB561" s="380"/>
      <c r="BC561" s="380"/>
      <c r="BD561" s="380"/>
      <c r="BE561" s="380"/>
      <c r="BF561" s="380"/>
      <c r="BG561" s="380"/>
      <c r="BH561" s="380"/>
      <c r="BI561" s="380"/>
      <c r="BJ561" s="380"/>
      <c r="BK561" s="380"/>
      <c r="BL561" s="380"/>
      <c r="BM561" s="380"/>
      <c r="BN561" s="380"/>
      <c r="BO561" s="380"/>
      <c r="BP561" s="380"/>
      <c r="BQ561" s="380"/>
      <c r="BR561" s="380"/>
      <c r="BS561" s="380"/>
      <c r="BT561" s="380"/>
      <c r="BU561" s="380"/>
      <c r="BV561" s="380"/>
      <c r="BW561" s="380"/>
      <c r="BX561" s="380"/>
      <c r="BY561" s="380"/>
    </row>
    <row r="562" spans="1:77" s="170" customFormat="1" x14ac:dyDescent="0.25">
      <c r="A562" s="53"/>
      <c r="B562" s="380"/>
      <c r="C562" s="54"/>
      <c r="D562" s="380"/>
      <c r="E562" s="380"/>
      <c r="F562" s="380"/>
      <c r="G562" s="380"/>
      <c r="H562" s="380"/>
      <c r="I562" s="380"/>
      <c r="J562" s="65"/>
      <c r="K562" s="65"/>
      <c r="L562" s="380"/>
      <c r="M562" s="380"/>
      <c r="N562" s="380"/>
      <c r="O562" s="380"/>
      <c r="P562" s="380"/>
      <c r="Q562" s="380"/>
      <c r="R562" s="380"/>
      <c r="S562" s="380"/>
      <c r="T562" s="54"/>
      <c r="U562" s="380"/>
      <c r="V562" s="380"/>
      <c r="W562" s="380"/>
      <c r="X562" s="380"/>
      <c r="Y562" s="380"/>
      <c r="Z562" s="380"/>
      <c r="AA562" s="380"/>
      <c r="AB562" s="65"/>
      <c r="AC562" s="380"/>
      <c r="AD562" s="380"/>
      <c r="AE562" s="380"/>
      <c r="AF562" s="380"/>
      <c r="AG562" s="153"/>
      <c r="AH562" s="380"/>
      <c r="AI562" s="380"/>
      <c r="AJ562" s="380"/>
      <c r="AK562" s="153"/>
      <c r="AL562" s="380"/>
      <c r="AM562" s="380"/>
      <c r="AN562" s="380"/>
      <c r="AO562" s="380"/>
      <c r="AP562" s="380"/>
      <c r="AR562" s="380"/>
      <c r="AS562" s="380"/>
      <c r="AT562" s="380"/>
      <c r="AU562" s="380"/>
      <c r="AV562" s="380"/>
      <c r="AW562" s="380"/>
      <c r="AX562" s="380"/>
      <c r="AY562" s="380"/>
      <c r="AZ562" s="380"/>
      <c r="BA562" s="380"/>
      <c r="BB562" s="380"/>
      <c r="BC562" s="380"/>
      <c r="BD562" s="380"/>
      <c r="BE562" s="380"/>
      <c r="BF562" s="380"/>
      <c r="BG562" s="380"/>
      <c r="BH562" s="380"/>
      <c r="BI562" s="380"/>
      <c r="BJ562" s="380"/>
      <c r="BK562" s="380"/>
      <c r="BL562" s="380"/>
      <c r="BM562" s="380"/>
      <c r="BN562" s="380"/>
      <c r="BO562" s="380"/>
      <c r="BP562" s="380"/>
      <c r="BQ562" s="380"/>
      <c r="BR562" s="380"/>
      <c r="BS562" s="380"/>
      <c r="BT562" s="380"/>
      <c r="BU562" s="380"/>
      <c r="BV562" s="380"/>
      <c r="BW562" s="380"/>
      <c r="BX562" s="380"/>
      <c r="BY562" s="380"/>
    </row>
    <row r="563" spans="1:77" s="170" customFormat="1" x14ac:dyDescent="0.25">
      <c r="A563" s="53"/>
      <c r="B563" s="380"/>
      <c r="C563" s="54"/>
      <c r="D563" s="380"/>
      <c r="E563" s="380"/>
      <c r="F563" s="449"/>
      <c r="G563" s="380"/>
      <c r="H563" s="449"/>
      <c r="I563" s="449"/>
      <c r="J563" s="221"/>
      <c r="K563" s="221"/>
      <c r="L563" s="379"/>
      <c r="M563" s="379"/>
      <c r="N563" s="50"/>
      <c r="O563" s="50"/>
      <c r="P563" s="379"/>
      <c r="Q563" s="379"/>
      <c r="R563" s="379"/>
      <c r="S563" s="380"/>
      <c r="T563" s="54"/>
      <c r="U563" s="380"/>
      <c r="V563" s="379"/>
      <c r="W563" s="380"/>
      <c r="X563" s="380"/>
      <c r="Y563" s="380"/>
      <c r="Z563" s="380"/>
      <c r="AA563" s="379"/>
      <c r="AB563" s="221"/>
      <c r="AC563" s="379"/>
      <c r="AD563" s="379"/>
      <c r="AE563" s="50"/>
      <c r="AF563" s="50"/>
      <c r="AG563" s="156"/>
      <c r="AH563" s="379"/>
      <c r="AI563" s="60"/>
      <c r="AJ563" s="60"/>
      <c r="AK563" s="156"/>
      <c r="AL563" s="379"/>
      <c r="AM563" s="379"/>
      <c r="AN563" s="379"/>
      <c r="AO563" s="50"/>
      <c r="AP563" s="50"/>
      <c r="AR563" s="380"/>
      <c r="AS563" s="380"/>
      <c r="AT563" s="380"/>
      <c r="AU563" s="380"/>
      <c r="AV563" s="380"/>
      <c r="AW563" s="380"/>
      <c r="AX563" s="380"/>
      <c r="AY563" s="380"/>
      <c r="AZ563" s="380"/>
      <c r="BA563" s="380"/>
      <c r="BB563" s="380"/>
      <c r="BC563" s="380"/>
      <c r="BD563" s="380"/>
      <c r="BE563" s="380"/>
      <c r="BF563" s="380"/>
      <c r="BG563" s="380"/>
      <c r="BH563" s="380"/>
      <c r="BI563" s="380"/>
      <c r="BJ563" s="380"/>
      <c r="BK563" s="380"/>
      <c r="BL563" s="380"/>
      <c r="BM563" s="380"/>
      <c r="BN563" s="380"/>
      <c r="BO563" s="380"/>
      <c r="BP563" s="380"/>
      <c r="BQ563" s="380"/>
      <c r="BR563" s="380"/>
      <c r="BS563" s="380"/>
      <c r="BT563" s="380"/>
      <c r="BU563" s="380"/>
      <c r="BV563" s="380"/>
      <c r="BW563" s="380"/>
      <c r="BX563" s="380"/>
      <c r="BY563" s="380"/>
    </row>
    <row r="564" spans="1:77" s="170" customFormat="1" x14ac:dyDescent="0.25">
      <c r="A564" s="53"/>
      <c r="B564" s="380"/>
      <c r="C564" s="54"/>
      <c r="D564" s="380"/>
      <c r="E564" s="380"/>
      <c r="F564" s="449"/>
      <c r="G564" s="380"/>
      <c r="H564" s="449"/>
      <c r="I564" s="449"/>
      <c r="J564" s="221"/>
      <c r="K564" s="221"/>
      <c r="L564" s="379"/>
      <c r="M564" s="379"/>
      <c r="N564" s="50"/>
      <c r="O564" s="50"/>
      <c r="P564" s="379"/>
      <c r="Q564" s="379"/>
      <c r="R564" s="379"/>
      <c r="S564" s="380"/>
      <c r="T564" s="54"/>
      <c r="U564" s="380"/>
      <c r="V564" s="379"/>
      <c r="W564" s="380"/>
      <c r="X564" s="380"/>
      <c r="Y564" s="380"/>
      <c r="Z564" s="380"/>
      <c r="AA564" s="379"/>
      <c r="AB564" s="221"/>
      <c r="AC564" s="379"/>
      <c r="AD564" s="379"/>
      <c r="AE564" s="50"/>
      <c r="AF564" s="50"/>
      <c r="AG564" s="156"/>
      <c r="AH564" s="379"/>
      <c r="AI564" s="60"/>
      <c r="AJ564" s="60"/>
      <c r="AK564" s="156"/>
      <c r="AL564" s="379"/>
      <c r="AM564" s="379"/>
      <c r="AN564" s="379"/>
      <c r="AO564" s="50"/>
      <c r="AP564" s="50"/>
      <c r="AR564" s="380"/>
      <c r="AS564" s="380"/>
      <c r="AT564" s="380"/>
      <c r="AU564" s="380"/>
      <c r="AV564" s="380"/>
      <c r="AW564" s="380"/>
      <c r="AX564" s="380"/>
      <c r="AY564" s="380"/>
      <c r="AZ564" s="380"/>
      <c r="BA564" s="380"/>
      <c r="BB564" s="380"/>
      <c r="BC564" s="380"/>
      <c r="BD564" s="380"/>
      <c r="BE564" s="380"/>
      <c r="BF564" s="380"/>
      <c r="BG564" s="380"/>
      <c r="BH564" s="380"/>
      <c r="BI564" s="380"/>
      <c r="BJ564" s="380"/>
      <c r="BK564" s="380"/>
      <c r="BL564" s="380"/>
      <c r="BM564" s="380"/>
      <c r="BN564" s="380"/>
      <c r="BO564" s="380"/>
      <c r="BP564" s="380"/>
      <c r="BQ564" s="380"/>
      <c r="BR564" s="380"/>
      <c r="BS564" s="380"/>
      <c r="BT564" s="380"/>
      <c r="BU564" s="380"/>
      <c r="BV564" s="380"/>
      <c r="BW564" s="380"/>
      <c r="BX564" s="380"/>
      <c r="BY564" s="380"/>
    </row>
    <row r="565" spans="1:77" s="170" customFormat="1" x14ac:dyDescent="0.25">
      <c r="A565" s="53"/>
      <c r="B565" s="380"/>
      <c r="C565" s="54"/>
      <c r="D565" s="380"/>
      <c r="E565" s="380"/>
      <c r="F565" s="380"/>
      <c r="G565" s="380"/>
      <c r="H565" s="380"/>
      <c r="I565" s="380"/>
      <c r="J565" s="65"/>
      <c r="K565" s="65"/>
      <c r="L565" s="380"/>
      <c r="M565" s="380"/>
      <c r="N565" s="380"/>
      <c r="O565" s="380"/>
      <c r="P565" s="380"/>
      <c r="Q565" s="380"/>
      <c r="R565" s="380"/>
      <c r="S565" s="380"/>
      <c r="T565" s="54"/>
      <c r="U565" s="380"/>
      <c r="V565" s="380"/>
      <c r="W565" s="380"/>
      <c r="X565" s="380"/>
      <c r="Y565" s="380"/>
      <c r="Z565" s="380"/>
      <c r="AA565" s="380"/>
      <c r="AB565" s="65"/>
      <c r="AC565" s="380"/>
      <c r="AD565" s="380"/>
      <c r="AE565" s="380"/>
      <c r="AF565" s="380"/>
      <c r="AG565" s="153"/>
      <c r="AH565" s="380"/>
      <c r="AI565" s="380"/>
      <c r="AJ565" s="380"/>
      <c r="AK565" s="153"/>
      <c r="AL565" s="380"/>
      <c r="AM565" s="380"/>
      <c r="AN565" s="380"/>
      <c r="AO565" s="380"/>
      <c r="AP565" s="380"/>
      <c r="AR565" s="380"/>
      <c r="AS565" s="380"/>
      <c r="AT565" s="380"/>
      <c r="AU565" s="380"/>
      <c r="AV565" s="380"/>
      <c r="AW565" s="380"/>
      <c r="AX565" s="380"/>
      <c r="AY565" s="380"/>
      <c r="AZ565" s="380"/>
      <c r="BA565" s="380"/>
      <c r="BB565" s="380"/>
      <c r="BC565" s="380"/>
      <c r="BD565" s="380"/>
      <c r="BE565" s="380"/>
      <c r="BF565" s="380"/>
      <c r="BG565" s="380"/>
      <c r="BH565" s="380"/>
      <c r="BI565" s="380"/>
      <c r="BJ565" s="380"/>
      <c r="BK565" s="380"/>
      <c r="BL565" s="380"/>
      <c r="BM565" s="380"/>
      <c r="BN565" s="380"/>
      <c r="BO565" s="380"/>
      <c r="BP565" s="380"/>
      <c r="BQ565" s="380"/>
      <c r="BR565" s="380"/>
      <c r="BS565" s="380"/>
      <c r="BT565" s="380"/>
      <c r="BU565" s="380"/>
      <c r="BV565" s="380"/>
      <c r="BW565" s="380"/>
      <c r="BX565" s="380"/>
      <c r="BY565" s="380"/>
    </row>
    <row r="566" spans="1:77" s="170" customFormat="1" x14ac:dyDescent="0.25">
      <c r="A566" s="53"/>
      <c r="B566" s="380"/>
      <c r="C566" s="54"/>
      <c r="D566" s="380"/>
      <c r="E566" s="380"/>
      <c r="F566" s="449"/>
      <c r="G566" s="380"/>
      <c r="H566" s="449"/>
      <c r="I566" s="449"/>
      <c r="J566" s="221"/>
      <c r="K566" s="221"/>
      <c r="L566" s="379"/>
      <c r="M566" s="379"/>
      <c r="N566" s="50"/>
      <c r="O566" s="50"/>
      <c r="P566" s="379"/>
      <c r="Q566" s="379"/>
      <c r="R566" s="379"/>
      <c r="S566" s="380"/>
      <c r="T566" s="54"/>
      <c r="U566" s="380"/>
      <c r="V566" s="379"/>
      <c r="W566" s="380"/>
      <c r="X566" s="380"/>
      <c r="Y566" s="380"/>
      <c r="Z566" s="380"/>
      <c r="AA566" s="379"/>
      <c r="AB566" s="221"/>
      <c r="AC566" s="379"/>
      <c r="AD566" s="379"/>
      <c r="AE566" s="50"/>
      <c r="AF566" s="50"/>
      <c r="AG566" s="156"/>
      <c r="AH566" s="379"/>
      <c r="AI566" s="60"/>
      <c r="AJ566" s="60"/>
      <c r="AK566" s="156"/>
      <c r="AL566" s="379"/>
      <c r="AM566" s="379"/>
      <c r="AN566" s="379"/>
      <c r="AO566" s="50"/>
      <c r="AP566" s="50"/>
      <c r="AR566" s="380"/>
      <c r="AS566" s="380"/>
      <c r="AT566" s="380"/>
      <c r="AU566" s="380"/>
      <c r="AV566" s="380"/>
      <c r="AW566" s="380"/>
      <c r="AX566" s="380"/>
      <c r="AY566" s="380"/>
      <c r="AZ566" s="380"/>
      <c r="BA566" s="380"/>
      <c r="BB566" s="380"/>
      <c r="BC566" s="380"/>
      <c r="BD566" s="380"/>
      <c r="BE566" s="380"/>
      <c r="BF566" s="380"/>
      <c r="BG566" s="380"/>
      <c r="BH566" s="380"/>
      <c r="BI566" s="380"/>
      <c r="BJ566" s="380"/>
      <c r="BK566" s="380"/>
      <c r="BL566" s="380"/>
      <c r="BM566" s="380"/>
      <c r="BN566" s="380"/>
      <c r="BO566" s="380"/>
      <c r="BP566" s="380"/>
      <c r="BQ566" s="380"/>
      <c r="BR566" s="380"/>
      <c r="BS566" s="380"/>
      <c r="BT566" s="380"/>
      <c r="BU566" s="380"/>
      <c r="BV566" s="380"/>
      <c r="BW566" s="380"/>
      <c r="BX566" s="380"/>
      <c r="BY566" s="380"/>
    </row>
    <row r="567" spans="1:77" s="170" customFormat="1" x14ac:dyDescent="0.25">
      <c r="A567" s="53"/>
      <c r="B567" s="380"/>
      <c r="C567" s="54"/>
      <c r="D567" s="380"/>
      <c r="E567" s="380"/>
      <c r="F567" s="449"/>
      <c r="G567" s="380"/>
      <c r="H567" s="449"/>
      <c r="I567" s="449"/>
      <c r="J567" s="221"/>
      <c r="K567" s="221"/>
      <c r="L567" s="379"/>
      <c r="M567" s="379"/>
      <c r="N567" s="50"/>
      <c r="O567" s="50"/>
      <c r="P567" s="379"/>
      <c r="Q567" s="379"/>
      <c r="R567" s="379"/>
      <c r="S567" s="380"/>
      <c r="T567" s="54"/>
      <c r="U567" s="380"/>
      <c r="V567" s="379"/>
      <c r="W567" s="380"/>
      <c r="X567" s="380"/>
      <c r="Y567" s="380"/>
      <c r="Z567" s="380"/>
      <c r="AA567" s="379"/>
      <c r="AB567" s="221"/>
      <c r="AC567" s="379"/>
      <c r="AD567" s="379"/>
      <c r="AE567" s="50"/>
      <c r="AF567" s="50"/>
      <c r="AG567" s="156"/>
      <c r="AH567" s="379"/>
      <c r="AI567" s="60"/>
      <c r="AJ567" s="60"/>
      <c r="AK567" s="156"/>
      <c r="AL567" s="379"/>
      <c r="AM567" s="379"/>
      <c r="AN567" s="379"/>
      <c r="AO567" s="50"/>
      <c r="AP567" s="50"/>
      <c r="AR567" s="380"/>
      <c r="AS567" s="380"/>
      <c r="AT567" s="380"/>
      <c r="AU567" s="380"/>
      <c r="AV567" s="380"/>
      <c r="AW567" s="380"/>
      <c r="AX567" s="380"/>
      <c r="AY567" s="380"/>
      <c r="AZ567" s="380"/>
      <c r="BA567" s="380"/>
      <c r="BB567" s="380"/>
      <c r="BC567" s="380"/>
      <c r="BD567" s="380"/>
      <c r="BE567" s="380"/>
      <c r="BF567" s="380"/>
      <c r="BG567" s="380"/>
      <c r="BH567" s="380"/>
      <c r="BI567" s="380"/>
      <c r="BJ567" s="380"/>
      <c r="BK567" s="380"/>
      <c r="BL567" s="380"/>
      <c r="BM567" s="380"/>
      <c r="BN567" s="380"/>
      <c r="BO567" s="380"/>
      <c r="BP567" s="380"/>
      <c r="BQ567" s="380"/>
      <c r="BR567" s="380"/>
      <c r="BS567" s="380"/>
      <c r="BT567" s="380"/>
      <c r="BU567" s="380"/>
      <c r="BV567" s="380"/>
      <c r="BW567" s="380"/>
      <c r="BX567" s="380"/>
      <c r="BY567" s="380"/>
    </row>
    <row r="568" spans="1:77" s="170" customFormat="1" x14ac:dyDescent="0.25">
      <c r="A568" s="53"/>
      <c r="B568" s="380"/>
      <c r="C568" s="54"/>
      <c r="D568" s="380"/>
      <c r="E568" s="380"/>
      <c r="F568" s="449"/>
      <c r="G568" s="380"/>
      <c r="H568" s="449"/>
      <c r="I568" s="449"/>
      <c r="J568" s="221"/>
      <c r="K568" s="221"/>
      <c r="L568" s="379"/>
      <c r="M568" s="379"/>
      <c r="N568" s="50"/>
      <c r="O568" s="50"/>
      <c r="P568" s="379"/>
      <c r="Q568" s="379"/>
      <c r="R568" s="379"/>
      <c r="S568" s="380"/>
      <c r="T568" s="54"/>
      <c r="U568" s="380"/>
      <c r="V568" s="379"/>
      <c r="W568" s="380"/>
      <c r="X568" s="380"/>
      <c r="Y568" s="380"/>
      <c r="Z568" s="380"/>
      <c r="AA568" s="379"/>
      <c r="AB568" s="221"/>
      <c r="AC568" s="379"/>
      <c r="AD568" s="379"/>
      <c r="AE568" s="50"/>
      <c r="AF568" s="50"/>
      <c r="AG568" s="156"/>
      <c r="AH568" s="379"/>
      <c r="AI568" s="60"/>
      <c r="AJ568" s="60"/>
      <c r="AK568" s="156"/>
      <c r="AL568" s="379"/>
      <c r="AM568" s="379"/>
      <c r="AN568" s="379"/>
      <c r="AO568" s="50"/>
      <c r="AP568" s="50"/>
      <c r="AR568" s="380"/>
      <c r="AS568" s="380"/>
      <c r="AT568" s="380"/>
      <c r="AU568" s="380"/>
      <c r="AV568" s="380"/>
      <c r="AW568" s="380"/>
      <c r="AX568" s="380"/>
      <c r="AY568" s="380"/>
      <c r="AZ568" s="380"/>
      <c r="BA568" s="380"/>
      <c r="BB568" s="380"/>
      <c r="BC568" s="380"/>
      <c r="BD568" s="380"/>
      <c r="BE568" s="380"/>
      <c r="BF568" s="380"/>
      <c r="BG568" s="380"/>
      <c r="BH568" s="380"/>
      <c r="BI568" s="380"/>
      <c r="BJ568" s="380"/>
      <c r="BK568" s="380"/>
      <c r="BL568" s="380"/>
      <c r="BM568" s="380"/>
      <c r="BN568" s="380"/>
      <c r="BO568" s="380"/>
      <c r="BP568" s="380"/>
      <c r="BQ568" s="380"/>
      <c r="BR568" s="380"/>
      <c r="BS568" s="380"/>
      <c r="BT568" s="380"/>
      <c r="BU568" s="380"/>
      <c r="BV568" s="380"/>
      <c r="BW568" s="380"/>
      <c r="BX568" s="380"/>
      <c r="BY568" s="380"/>
    </row>
    <row r="569" spans="1:77" s="170" customFormat="1" x14ac:dyDescent="0.25">
      <c r="A569" s="380"/>
      <c r="B569" s="380"/>
      <c r="C569" s="380"/>
      <c r="D569" s="380"/>
      <c r="E569" s="380"/>
      <c r="F569" s="381"/>
      <c r="G569" s="380"/>
      <c r="H569" s="381"/>
      <c r="I569" s="381"/>
      <c r="J569" s="221"/>
      <c r="K569" s="221"/>
      <c r="L569" s="381"/>
      <c r="M569" s="381"/>
      <c r="N569" s="381"/>
      <c r="O569" s="381"/>
      <c r="P569" s="381"/>
      <c r="Q569" s="381"/>
      <c r="R569" s="381"/>
      <c r="S569" s="380"/>
      <c r="T569" s="380"/>
      <c r="U569" s="380"/>
      <c r="V569" s="381"/>
      <c r="W569" s="380"/>
      <c r="X569" s="380"/>
      <c r="Y569" s="380"/>
      <c r="Z569" s="380"/>
      <c r="AA569" s="381"/>
      <c r="AB569" s="221"/>
      <c r="AC569" s="381"/>
      <c r="AD569" s="381"/>
      <c r="AE569" s="381"/>
      <c r="AF569" s="381"/>
      <c r="AG569" s="162"/>
      <c r="AH569" s="381"/>
      <c r="AI569" s="380"/>
      <c r="AJ569" s="380"/>
      <c r="AK569" s="162"/>
      <c r="AL569" s="381"/>
      <c r="AM569" s="381"/>
      <c r="AN569" s="381"/>
      <c r="AO569" s="380"/>
      <c r="AP569" s="380"/>
      <c r="AR569" s="380"/>
      <c r="AS569" s="380"/>
      <c r="AT569" s="380"/>
      <c r="AU569" s="380"/>
      <c r="AV569" s="380"/>
      <c r="AW569" s="380"/>
      <c r="AX569" s="380"/>
      <c r="AY569" s="380"/>
      <c r="AZ569" s="380"/>
      <c r="BA569" s="380"/>
      <c r="BB569" s="380"/>
      <c r="BC569" s="380"/>
      <c r="BD569" s="380"/>
      <c r="BE569" s="380"/>
      <c r="BF569" s="380"/>
      <c r="BG569" s="380"/>
      <c r="BH569" s="380"/>
      <c r="BI569" s="380"/>
      <c r="BJ569" s="380"/>
      <c r="BK569" s="380"/>
      <c r="BL569" s="380"/>
      <c r="BM569" s="380"/>
      <c r="BN569" s="380"/>
      <c r="BO569" s="380"/>
      <c r="BP569" s="380"/>
      <c r="BQ569" s="380"/>
      <c r="BR569" s="380"/>
      <c r="BS569" s="380"/>
      <c r="BT569" s="380"/>
      <c r="BU569" s="380"/>
      <c r="BV569" s="380"/>
      <c r="BW569" s="380"/>
      <c r="BX569" s="380"/>
      <c r="BY569" s="380"/>
    </row>
    <row r="570" spans="1:77" s="170" customFormat="1" x14ac:dyDescent="0.25">
      <c r="A570" s="53"/>
      <c r="B570" s="380"/>
      <c r="C570" s="56"/>
      <c r="D570" s="380"/>
      <c r="E570" s="380"/>
      <c r="F570" s="379"/>
      <c r="G570" s="380"/>
      <c r="H570" s="379"/>
      <c r="I570" s="379"/>
      <c r="J570" s="65"/>
      <c r="K570" s="65"/>
      <c r="L570" s="379"/>
      <c r="M570" s="379"/>
      <c r="N570" s="60"/>
      <c r="O570" s="60"/>
      <c r="P570" s="379"/>
      <c r="Q570" s="379"/>
      <c r="R570" s="379"/>
      <c r="S570" s="380"/>
      <c r="T570" s="56"/>
      <c r="U570" s="380"/>
      <c r="V570" s="379"/>
      <c r="W570" s="380"/>
      <c r="X570" s="380"/>
      <c r="Y570" s="380"/>
      <c r="Z570" s="380"/>
      <c r="AA570" s="379"/>
      <c r="AB570" s="65"/>
      <c r="AC570" s="379"/>
      <c r="AD570" s="379"/>
      <c r="AE570" s="379"/>
      <c r="AF570" s="379"/>
      <c r="AG570" s="156"/>
      <c r="AH570" s="379"/>
      <c r="AI570" s="60"/>
      <c r="AJ570" s="60"/>
      <c r="AK570" s="156"/>
      <c r="AL570" s="379"/>
      <c r="AM570" s="379"/>
      <c r="AN570" s="379"/>
      <c r="AO570" s="50"/>
      <c r="AP570" s="50"/>
      <c r="AR570" s="380"/>
      <c r="AS570" s="380"/>
      <c r="AT570" s="380"/>
      <c r="AU570" s="380"/>
      <c r="AV570" s="380"/>
      <c r="AW570" s="380"/>
      <c r="AX570" s="380"/>
      <c r="AY570" s="380"/>
      <c r="AZ570" s="380"/>
      <c r="BA570" s="380"/>
      <c r="BB570" s="380"/>
      <c r="BC570" s="380"/>
      <c r="BD570" s="380"/>
      <c r="BE570" s="380"/>
      <c r="BF570" s="380"/>
      <c r="BG570" s="380"/>
      <c r="BH570" s="380"/>
      <c r="BI570" s="380"/>
      <c r="BJ570" s="380"/>
      <c r="BK570" s="380"/>
      <c r="BL570" s="380"/>
      <c r="BM570" s="380"/>
      <c r="BN570" s="380"/>
      <c r="BO570" s="380"/>
      <c r="BP570" s="380"/>
      <c r="BQ570" s="380"/>
      <c r="BR570" s="380"/>
      <c r="BS570" s="380"/>
      <c r="BT570" s="380"/>
      <c r="BU570" s="380"/>
      <c r="BV570" s="380"/>
      <c r="BW570" s="380"/>
      <c r="BX570" s="380"/>
      <c r="BY570" s="380"/>
    </row>
    <row r="571" spans="1:77" s="170" customFormat="1" x14ac:dyDescent="0.25">
      <c r="A571" s="380"/>
      <c r="B571" s="380"/>
      <c r="C571" s="380"/>
      <c r="D571" s="380"/>
      <c r="E571" s="380"/>
      <c r="F571" s="381"/>
      <c r="G571" s="380"/>
      <c r="H571" s="381"/>
      <c r="I571" s="381"/>
      <c r="J571" s="221"/>
      <c r="K571" s="221"/>
      <c r="L571" s="381"/>
      <c r="M571" s="381"/>
      <c r="N571" s="381"/>
      <c r="O571" s="381"/>
      <c r="P571" s="381"/>
      <c r="Q571" s="381"/>
      <c r="R571" s="381"/>
      <c r="S571" s="380"/>
      <c r="T571" s="380"/>
      <c r="U571" s="380"/>
      <c r="V571" s="381"/>
      <c r="W571" s="380"/>
      <c r="X571" s="380"/>
      <c r="Y571" s="380"/>
      <c r="Z571" s="380"/>
      <c r="AA571" s="381"/>
      <c r="AB571" s="221"/>
      <c r="AC571" s="381"/>
      <c r="AD571" s="381"/>
      <c r="AE571" s="381"/>
      <c r="AF571" s="381"/>
      <c r="AG571" s="162"/>
      <c r="AH571" s="381"/>
      <c r="AI571" s="380"/>
      <c r="AJ571" s="380"/>
      <c r="AK571" s="162"/>
      <c r="AL571" s="381"/>
      <c r="AM571" s="381"/>
      <c r="AN571" s="381"/>
      <c r="AO571" s="380"/>
      <c r="AP571" s="380"/>
      <c r="AR571" s="380"/>
      <c r="AS571" s="380"/>
      <c r="AT571" s="380"/>
      <c r="AU571" s="380"/>
      <c r="AV571" s="380"/>
      <c r="AW571" s="380"/>
      <c r="AX571" s="380"/>
      <c r="AY571" s="380"/>
      <c r="AZ571" s="380"/>
      <c r="BA571" s="380"/>
      <c r="BB571" s="380"/>
      <c r="BC571" s="380"/>
      <c r="BD571" s="380"/>
      <c r="BE571" s="380"/>
      <c r="BF571" s="380"/>
      <c r="BG571" s="380"/>
      <c r="BH571" s="380"/>
      <c r="BI571" s="380"/>
      <c r="BJ571" s="380"/>
      <c r="BK571" s="380"/>
      <c r="BL571" s="380"/>
      <c r="BM571" s="380"/>
      <c r="BN571" s="380"/>
      <c r="BO571" s="380"/>
      <c r="BP571" s="380"/>
      <c r="BQ571" s="380"/>
      <c r="BR571" s="380"/>
      <c r="BS571" s="380"/>
      <c r="BT571" s="380"/>
      <c r="BU571" s="380"/>
      <c r="BV571" s="380"/>
      <c r="BW571" s="380"/>
      <c r="BX571" s="380"/>
      <c r="BY571" s="380"/>
    </row>
    <row r="572" spans="1:77" s="170" customFormat="1" x14ac:dyDescent="0.25">
      <c r="A572" s="53"/>
      <c r="B572" s="380"/>
      <c r="C572" s="54"/>
      <c r="D572" s="380"/>
      <c r="E572" s="380"/>
      <c r="F572" s="380"/>
      <c r="G572" s="380"/>
      <c r="H572" s="380"/>
      <c r="I572" s="380"/>
      <c r="J572" s="65"/>
      <c r="K572" s="65"/>
      <c r="L572" s="380"/>
      <c r="M572" s="380"/>
      <c r="N572" s="380"/>
      <c r="O572" s="380"/>
      <c r="P572" s="380"/>
      <c r="Q572" s="380"/>
      <c r="R572" s="380"/>
      <c r="S572" s="380"/>
      <c r="T572" s="54"/>
      <c r="U572" s="380"/>
      <c r="V572" s="380"/>
      <c r="W572" s="380"/>
      <c r="X572" s="380"/>
      <c r="Y572" s="380"/>
      <c r="Z572" s="380"/>
      <c r="AA572" s="380"/>
      <c r="AB572" s="65"/>
      <c r="AC572" s="380"/>
      <c r="AD572" s="380"/>
      <c r="AE572" s="380"/>
      <c r="AF572" s="380"/>
      <c r="AG572" s="153"/>
      <c r="AH572" s="380"/>
      <c r="AI572" s="380"/>
      <c r="AJ572" s="380"/>
      <c r="AK572" s="153"/>
      <c r="AL572" s="380"/>
      <c r="AM572" s="380"/>
      <c r="AN572" s="380"/>
      <c r="AO572" s="380"/>
      <c r="AP572" s="380"/>
      <c r="AR572" s="380"/>
      <c r="AS572" s="380"/>
      <c r="AT572" s="380"/>
      <c r="AU572" s="380"/>
      <c r="AV572" s="380"/>
      <c r="AW572" s="380"/>
      <c r="AX572" s="380"/>
      <c r="AY572" s="380"/>
      <c r="AZ572" s="380"/>
      <c r="BA572" s="380"/>
      <c r="BB572" s="380"/>
      <c r="BC572" s="380"/>
      <c r="BD572" s="380"/>
      <c r="BE572" s="380"/>
      <c r="BF572" s="380"/>
      <c r="BG572" s="380"/>
      <c r="BH572" s="380"/>
      <c r="BI572" s="380"/>
      <c r="BJ572" s="380"/>
      <c r="BK572" s="380"/>
      <c r="BL572" s="380"/>
      <c r="BM572" s="380"/>
      <c r="BN572" s="380"/>
      <c r="BO572" s="380"/>
      <c r="BP572" s="380"/>
      <c r="BQ572" s="380"/>
      <c r="BR572" s="380"/>
      <c r="BS572" s="380"/>
      <c r="BT572" s="380"/>
      <c r="BU572" s="380"/>
      <c r="BV572" s="380"/>
      <c r="BW572" s="380"/>
      <c r="BX572" s="380"/>
      <c r="BY572" s="380"/>
    </row>
    <row r="573" spans="1:77" s="170" customFormat="1" x14ac:dyDescent="0.25">
      <c r="A573" s="53"/>
      <c r="B573" s="380"/>
      <c r="C573" s="54"/>
      <c r="D573" s="380"/>
      <c r="E573" s="380"/>
      <c r="F573" s="380"/>
      <c r="G573" s="380"/>
      <c r="H573" s="380"/>
      <c r="I573" s="380"/>
      <c r="J573" s="65"/>
      <c r="K573" s="65"/>
      <c r="L573" s="380"/>
      <c r="M573" s="380"/>
      <c r="N573" s="380"/>
      <c r="O573" s="380"/>
      <c r="P573" s="380"/>
      <c r="Q573" s="380"/>
      <c r="R573" s="380"/>
      <c r="S573" s="380"/>
      <c r="T573" s="54"/>
      <c r="U573" s="380"/>
      <c r="V573" s="380"/>
      <c r="W573" s="380"/>
      <c r="X573" s="380"/>
      <c r="Y573" s="380"/>
      <c r="Z573" s="380"/>
      <c r="AA573" s="380"/>
      <c r="AB573" s="65"/>
      <c r="AC573" s="380"/>
      <c r="AD573" s="380"/>
      <c r="AE573" s="380"/>
      <c r="AF573" s="380"/>
      <c r="AG573" s="153"/>
      <c r="AH573" s="380"/>
      <c r="AI573" s="380"/>
      <c r="AJ573" s="380"/>
      <c r="AK573" s="153"/>
      <c r="AL573" s="380"/>
      <c r="AM573" s="380"/>
      <c r="AN573" s="380"/>
      <c r="AO573" s="380"/>
      <c r="AP573" s="380"/>
      <c r="AR573" s="380"/>
      <c r="AS573" s="380"/>
      <c r="AT573" s="380"/>
      <c r="AU573" s="380"/>
      <c r="AV573" s="380"/>
      <c r="AW573" s="380"/>
      <c r="AX573" s="380"/>
      <c r="AY573" s="380"/>
      <c r="AZ573" s="380"/>
      <c r="BA573" s="380"/>
      <c r="BB573" s="380"/>
      <c r="BC573" s="380"/>
      <c r="BD573" s="380"/>
      <c r="BE573" s="380"/>
      <c r="BF573" s="380"/>
      <c r="BG573" s="380"/>
      <c r="BH573" s="380"/>
      <c r="BI573" s="380"/>
      <c r="BJ573" s="380"/>
      <c r="BK573" s="380"/>
      <c r="BL573" s="380"/>
      <c r="BM573" s="380"/>
      <c r="BN573" s="380"/>
      <c r="BO573" s="380"/>
      <c r="BP573" s="380"/>
      <c r="BQ573" s="380"/>
      <c r="BR573" s="380"/>
      <c r="BS573" s="380"/>
      <c r="BT573" s="380"/>
      <c r="BU573" s="380"/>
      <c r="BV573" s="380"/>
      <c r="BW573" s="380"/>
      <c r="BX573" s="380"/>
      <c r="BY573" s="380"/>
    </row>
    <row r="574" spans="1:77" s="170" customFormat="1" x14ac:dyDescent="0.25">
      <c r="A574" s="53"/>
      <c r="B574" s="380"/>
      <c r="C574" s="54"/>
      <c r="D574" s="380"/>
      <c r="E574" s="380"/>
      <c r="F574" s="449"/>
      <c r="G574" s="380"/>
      <c r="H574" s="449"/>
      <c r="I574" s="449"/>
      <c r="J574" s="221"/>
      <c r="K574" s="221"/>
      <c r="L574" s="379"/>
      <c r="M574" s="379"/>
      <c r="N574" s="50"/>
      <c r="O574" s="50"/>
      <c r="P574" s="379"/>
      <c r="Q574" s="379"/>
      <c r="R574" s="379"/>
      <c r="S574" s="380"/>
      <c r="T574" s="54"/>
      <c r="U574" s="380"/>
      <c r="V574" s="379"/>
      <c r="W574" s="380"/>
      <c r="X574" s="380"/>
      <c r="Y574" s="380"/>
      <c r="Z574" s="380"/>
      <c r="AA574" s="379"/>
      <c r="AB574" s="221"/>
      <c r="AC574" s="379"/>
      <c r="AD574" s="379"/>
      <c r="AE574" s="50"/>
      <c r="AF574" s="50"/>
      <c r="AG574" s="156"/>
      <c r="AH574" s="379"/>
      <c r="AI574" s="60"/>
      <c r="AJ574" s="60"/>
      <c r="AK574" s="156"/>
      <c r="AL574" s="379"/>
      <c r="AM574" s="379"/>
      <c r="AN574" s="379"/>
      <c r="AO574" s="50"/>
      <c r="AP574" s="50"/>
      <c r="AR574" s="380"/>
      <c r="AS574" s="380"/>
      <c r="AT574" s="380"/>
      <c r="AU574" s="380"/>
      <c r="AV574" s="380"/>
      <c r="AW574" s="380"/>
      <c r="AX574" s="380"/>
      <c r="AY574" s="380"/>
      <c r="AZ574" s="380"/>
      <c r="BA574" s="380"/>
      <c r="BB574" s="380"/>
      <c r="BC574" s="380"/>
      <c r="BD574" s="380"/>
      <c r="BE574" s="380"/>
      <c r="BF574" s="380"/>
      <c r="BG574" s="380"/>
      <c r="BH574" s="380"/>
      <c r="BI574" s="380"/>
      <c r="BJ574" s="380"/>
      <c r="BK574" s="380"/>
      <c r="BL574" s="380"/>
      <c r="BM574" s="380"/>
      <c r="BN574" s="380"/>
      <c r="BO574" s="380"/>
      <c r="BP574" s="380"/>
      <c r="BQ574" s="380"/>
      <c r="BR574" s="380"/>
      <c r="BS574" s="380"/>
      <c r="BT574" s="380"/>
      <c r="BU574" s="380"/>
      <c r="BV574" s="380"/>
      <c r="BW574" s="380"/>
      <c r="BX574" s="380"/>
      <c r="BY574" s="380"/>
    </row>
    <row r="575" spans="1:77" s="170" customFormat="1" x14ac:dyDescent="0.25">
      <c r="A575" s="53"/>
      <c r="B575" s="380"/>
      <c r="C575" s="54"/>
      <c r="D575" s="380"/>
      <c r="E575" s="380"/>
      <c r="F575" s="449"/>
      <c r="G575" s="380"/>
      <c r="H575" s="449"/>
      <c r="I575" s="449"/>
      <c r="J575" s="221"/>
      <c r="K575" s="221"/>
      <c r="L575" s="379"/>
      <c r="M575" s="379"/>
      <c r="N575" s="50"/>
      <c r="O575" s="50"/>
      <c r="P575" s="379"/>
      <c r="Q575" s="379"/>
      <c r="R575" s="379"/>
      <c r="S575" s="380"/>
      <c r="T575" s="54"/>
      <c r="U575" s="380"/>
      <c r="V575" s="379"/>
      <c r="W575" s="380"/>
      <c r="X575" s="380"/>
      <c r="Y575" s="380"/>
      <c r="Z575" s="380"/>
      <c r="AA575" s="379"/>
      <c r="AB575" s="221"/>
      <c r="AC575" s="379"/>
      <c r="AD575" s="379"/>
      <c r="AE575" s="50"/>
      <c r="AF575" s="50"/>
      <c r="AG575" s="156"/>
      <c r="AH575" s="379"/>
      <c r="AI575" s="60"/>
      <c r="AJ575" s="60"/>
      <c r="AK575" s="156"/>
      <c r="AL575" s="379"/>
      <c r="AM575" s="379"/>
      <c r="AN575" s="379"/>
      <c r="AO575" s="50"/>
      <c r="AP575" s="50"/>
      <c r="AR575" s="380"/>
      <c r="AS575" s="380"/>
      <c r="AT575" s="380"/>
      <c r="AU575" s="380"/>
      <c r="AV575" s="380"/>
      <c r="AW575" s="380"/>
      <c r="AX575" s="380"/>
      <c r="AY575" s="380"/>
      <c r="AZ575" s="380"/>
      <c r="BA575" s="380"/>
      <c r="BB575" s="380"/>
      <c r="BC575" s="380"/>
      <c r="BD575" s="380"/>
      <c r="BE575" s="380"/>
      <c r="BF575" s="380"/>
      <c r="BG575" s="380"/>
      <c r="BH575" s="380"/>
      <c r="BI575" s="380"/>
      <c r="BJ575" s="380"/>
      <c r="BK575" s="380"/>
      <c r="BL575" s="380"/>
      <c r="BM575" s="380"/>
      <c r="BN575" s="380"/>
      <c r="BO575" s="380"/>
      <c r="BP575" s="380"/>
      <c r="BQ575" s="380"/>
      <c r="BR575" s="380"/>
      <c r="BS575" s="380"/>
      <c r="BT575" s="380"/>
      <c r="BU575" s="380"/>
      <c r="BV575" s="380"/>
      <c r="BW575" s="380"/>
      <c r="BX575" s="380"/>
      <c r="BY575" s="380"/>
    </row>
    <row r="576" spans="1:77" s="170" customFormat="1" x14ac:dyDescent="0.25">
      <c r="A576" s="53"/>
      <c r="B576" s="380"/>
      <c r="C576" s="54"/>
      <c r="D576" s="380"/>
      <c r="E576" s="380"/>
      <c r="F576" s="449"/>
      <c r="G576" s="380"/>
      <c r="H576" s="449"/>
      <c r="I576" s="449"/>
      <c r="J576" s="221"/>
      <c r="K576" s="221"/>
      <c r="L576" s="379"/>
      <c r="M576" s="379"/>
      <c r="N576" s="50"/>
      <c r="O576" s="50"/>
      <c r="P576" s="379"/>
      <c r="Q576" s="379"/>
      <c r="R576" s="379"/>
      <c r="S576" s="380"/>
      <c r="T576" s="54"/>
      <c r="U576" s="380"/>
      <c r="V576" s="379"/>
      <c r="W576" s="380"/>
      <c r="X576" s="380"/>
      <c r="Y576" s="380"/>
      <c r="Z576" s="380"/>
      <c r="AA576" s="379"/>
      <c r="AB576" s="221"/>
      <c r="AC576" s="379"/>
      <c r="AD576" s="379"/>
      <c r="AE576" s="50"/>
      <c r="AF576" s="50"/>
      <c r="AG576" s="156"/>
      <c r="AH576" s="379"/>
      <c r="AI576" s="60"/>
      <c r="AJ576" s="60"/>
      <c r="AK576" s="156"/>
      <c r="AL576" s="379"/>
      <c r="AM576" s="379"/>
      <c r="AN576" s="379"/>
      <c r="AO576" s="50"/>
      <c r="AP576" s="50"/>
      <c r="AR576" s="380"/>
      <c r="AS576" s="380"/>
      <c r="AT576" s="380"/>
      <c r="AU576" s="380"/>
      <c r="AV576" s="380"/>
      <c r="AW576" s="380"/>
      <c r="AX576" s="380"/>
      <c r="AY576" s="380"/>
      <c r="AZ576" s="380"/>
      <c r="BA576" s="380"/>
      <c r="BB576" s="380"/>
      <c r="BC576" s="380"/>
      <c r="BD576" s="380"/>
      <c r="BE576" s="380"/>
      <c r="BF576" s="380"/>
      <c r="BG576" s="380"/>
      <c r="BH576" s="380"/>
      <c r="BI576" s="380"/>
      <c r="BJ576" s="380"/>
      <c r="BK576" s="380"/>
      <c r="BL576" s="380"/>
      <c r="BM576" s="380"/>
      <c r="BN576" s="380"/>
      <c r="BO576" s="380"/>
      <c r="BP576" s="380"/>
      <c r="BQ576" s="380"/>
      <c r="BR576" s="380"/>
      <c r="BS576" s="380"/>
      <c r="BT576" s="380"/>
      <c r="BU576" s="380"/>
      <c r="BV576" s="380"/>
      <c r="BW576" s="380"/>
      <c r="BX576" s="380"/>
      <c r="BY576" s="380"/>
    </row>
    <row r="577" spans="1:77" s="170" customFormat="1" x14ac:dyDescent="0.25">
      <c r="A577" s="53"/>
      <c r="B577" s="380"/>
      <c r="C577" s="54"/>
      <c r="D577" s="380"/>
      <c r="E577" s="380"/>
      <c r="F577" s="449"/>
      <c r="G577" s="380"/>
      <c r="H577" s="449"/>
      <c r="I577" s="449"/>
      <c r="J577" s="221"/>
      <c r="K577" s="221"/>
      <c r="L577" s="379"/>
      <c r="M577" s="379"/>
      <c r="N577" s="50"/>
      <c r="O577" s="50"/>
      <c r="P577" s="379"/>
      <c r="Q577" s="379"/>
      <c r="R577" s="379"/>
      <c r="S577" s="380"/>
      <c r="T577" s="54"/>
      <c r="U577" s="380"/>
      <c r="V577" s="379"/>
      <c r="W577" s="380"/>
      <c r="X577" s="380"/>
      <c r="Y577" s="380"/>
      <c r="Z577" s="380"/>
      <c r="AA577" s="379"/>
      <c r="AB577" s="221"/>
      <c r="AC577" s="379"/>
      <c r="AD577" s="379"/>
      <c r="AE577" s="50"/>
      <c r="AF577" s="50"/>
      <c r="AG577" s="156"/>
      <c r="AH577" s="379"/>
      <c r="AI577" s="60"/>
      <c r="AJ577" s="60"/>
      <c r="AK577" s="156"/>
      <c r="AL577" s="379"/>
      <c r="AM577" s="379"/>
      <c r="AN577" s="379"/>
      <c r="AO577" s="50"/>
      <c r="AP577" s="50"/>
      <c r="AR577" s="380"/>
      <c r="AS577" s="380"/>
      <c r="AT577" s="380"/>
      <c r="AU577" s="380"/>
      <c r="AV577" s="380"/>
      <c r="AW577" s="380"/>
      <c r="AX577" s="380"/>
      <c r="AY577" s="380"/>
      <c r="AZ577" s="380"/>
      <c r="BA577" s="380"/>
      <c r="BB577" s="380"/>
      <c r="BC577" s="380"/>
      <c r="BD577" s="380"/>
      <c r="BE577" s="380"/>
      <c r="BF577" s="380"/>
      <c r="BG577" s="380"/>
      <c r="BH577" s="380"/>
      <c r="BI577" s="380"/>
      <c r="BJ577" s="380"/>
      <c r="BK577" s="380"/>
      <c r="BL577" s="380"/>
      <c r="BM577" s="380"/>
      <c r="BN577" s="380"/>
      <c r="BO577" s="380"/>
      <c r="BP577" s="380"/>
      <c r="BQ577" s="380"/>
      <c r="BR577" s="380"/>
      <c r="BS577" s="380"/>
      <c r="BT577" s="380"/>
      <c r="BU577" s="380"/>
      <c r="BV577" s="380"/>
      <c r="BW577" s="380"/>
      <c r="BX577" s="380"/>
      <c r="BY577" s="380"/>
    </row>
    <row r="578" spans="1:77" s="170" customFormat="1" x14ac:dyDescent="0.25">
      <c r="A578" s="53"/>
      <c r="B578" s="380"/>
      <c r="C578" s="54"/>
      <c r="D578" s="380"/>
      <c r="E578" s="380"/>
      <c r="F578" s="449"/>
      <c r="G578" s="380"/>
      <c r="H578" s="449"/>
      <c r="I578" s="449"/>
      <c r="J578" s="221"/>
      <c r="K578" s="221"/>
      <c r="L578" s="379"/>
      <c r="M578" s="379"/>
      <c r="N578" s="50"/>
      <c r="O578" s="50"/>
      <c r="P578" s="379"/>
      <c r="Q578" s="379"/>
      <c r="R578" s="379"/>
      <c r="S578" s="380"/>
      <c r="T578" s="54"/>
      <c r="U578" s="380"/>
      <c r="V578" s="379"/>
      <c r="W578" s="380"/>
      <c r="X578" s="380"/>
      <c r="Y578" s="380"/>
      <c r="Z578" s="380"/>
      <c r="AA578" s="379"/>
      <c r="AB578" s="221"/>
      <c r="AC578" s="379"/>
      <c r="AD578" s="379"/>
      <c r="AE578" s="50"/>
      <c r="AF578" s="50"/>
      <c r="AG578" s="156"/>
      <c r="AH578" s="379"/>
      <c r="AI578" s="60"/>
      <c r="AJ578" s="60"/>
      <c r="AK578" s="156"/>
      <c r="AL578" s="379"/>
      <c r="AM578" s="379"/>
      <c r="AN578" s="379"/>
      <c r="AO578" s="50"/>
      <c r="AP578" s="50"/>
      <c r="AR578" s="380"/>
      <c r="AS578" s="380"/>
      <c r="AT578" s="380"/>
      <c r="AU578" s="380"/>
      <c r="AV578" s="380"/>
      <c r="AW578" s="380"/>
      <c r="AX578" s="380"/>
      <c r="AY578" s="380"/>
      <c r="AZ578" s="380"/>
      <c r="BA578" s="380"/>
      <c r="BB578" s="380"/>
      <c r="BC578" s="380"/>
      <c r="BD578" s="380"/>
      <c r="BE578" s="380"/>
      <c r="BF578" s="380"/>
      <c r="BG578" s="380"/>
      <c r="BH578" s="380"/>
      <c r="BI578" s="380"/>
      <c r="BJ578" s="380"/>
      <c r="BK578" s="380"/>
      <c r="BL578" s="380"/>
      <c r="BM578" s="380"/>
      <c r="BN578" s="380"/>
      <c r="BO578" s="380"/>
      <c r="BP578" s="380"/>
      <c r="BQ578" s="380"/>
      <c r="BR578" s="380"/>
      <c r="BS578" s="380"/>
      <c r="BT578" s="380"/>
      <c r="BU578" s="380"/>
      <c r="BV578" s="380"/>
      <c r="BW578" s="380"/>
      <c r="BX578" s="380"/>
      <c r="BY578" s="380"/>
    </row>
    <row r="579" spans="1:77" s="170" customFormat="1" x14ac:dyDescent="0.25">
      <c r="A579" s="53"/>
      <c r="B579" s="380"/>
      <c r="C579" s="54"/>
      <c r="D579" s="380"/>
      <c r="E579" s="380"/>
      <c r="F579" s="449"/>
      <c r="G579" s="380"/>
      <c r="H579" s="449"/>
      <c r="I579" s="449"/>
      <c r="J579" s="221"/>
      <c r="K579" s="221"/>
      <c r="L579" s="379"/>
      <c r="M579" s="379"/>
      <c r="N579" s="50"/>
      <c r="O579" s="50"/>
      <c r="P579" s="379"/>
      <c r="Q579" s="379"/>
      <c r="R579" s="379"/>
      <c r="S579" s="380"/>
      <c r="T579" s="54"/>
      <c r="U579" s="380"/>
      <c r="V579" s="379"/>
      <c r="W579" s="380"/>
      <c r="X579" s="380"/>
      <c r="Y579" s="380"/>
      <c r="Z579" s="380"/>
      <c r="AA579" s="379"/>
      <c r="AB579" s="221"/>
      <c r="AC579" s="379"/>
      <c r="AD579" s="379"/>
      <c r="AE579" s="50"/>
      <c r="AF579" s="50"/>
      <c r="AG579" s="156"/>
      <c r="AH579" s="379"/>
      <c r="AI579" s="60"/>
      <c r="AJ579" s="60"/>
      <c r="AK579" s="156"/>
      <c r="AL579" s="379"/>
      <c r="AM579" s="379"/>
      <c r="AN579" s="379"/>
      <c r="AO579" s="50"/>
      <c r="AP579" s="50"/>
      <c r="AR579" s="380"/>
      <c r="AS579" s="380"/>
      <c r="AT579" s="380"/>
      <c r="AU579" s="380"/>
      <c r="AV579" s="380"/>
      <c r="AW579" s="380"/>
      <c r="AX579" s="380"/>
      <c r="AY579" s="380"/>
      <c r="AZ579" s="380"/>
      <c r="BA579" s="380"/>
      <c r="BB579" s="380"/>
      <c r="BC579" s="380"/>
      <c r="BD579" s="380"/>
      <c r="BE579" s="380"/>
      <c r="BF579" s="380"/>
      <c r="BG579" s="380"/>
      <c r="BH579" s="380"/>
      <c r="BI579" s="380"/>
      <c r="BJ579" s="380"/>
      <c r="BK579" s="380"/>
      <c r="BL579" s="380"/>
      <c r="BM579" s="380"/>
      <c r="BN579" s="380"/>
      <c r="BO579" s="380"/>
      <c r="BP579" s="380"/>
      <c r="BQ579" s="380"/>
      <c r="BR579" s="380"/>
      <c r="BS579" s="380"/>
      <c r="BT579" s="380"/>
      <c r="BU579" s="380"/>
      <c r="BV579" s="380"/>
      <c r="BW579" s="380"/>
      <c r="BX579" s="380"/>
      <c r="BY579" s="380"/>
    </row>
    <row r="580" spans="1:77" s="170" customFormat="1" x14ac:dyDescent="0.25">
      <c r="A580" s="53"/>
      <c r="B580" s="380"/>
      <c r="C580" s="54"/>
      <c r="D580" s="380"/>
      <c r="E580" s="380"/>
      <c r="F580" s="449"/>
      <c r="G580" s="380"/>
      <c r="H580" s="449"/>
      <c r="I580" s="449"/>
      <c r="J580" s="221"/>
      <c r="K580" s="221"/>
      <c r="L580" s="379"/>
      <c r="M580" s="379"/>
      <c r="N580" s="50"/>
      <c r="O580" s="50"/>
      <c r="P580" s="379"/>
      <c r="Q580" s="379"/>
      <c r="R580" s="379"/>
      <c r="S580" s="380"/>
      <c r="T580" s="54"/>
      <c r="U580" s="380"/>
      <c r="V580" s="379"/>
      <c r="W580" s="380"/>
      <c r="X580" s="380"/>
      <c r="Y580" s="380"/>
      <c r="Z580" s="380"/>
      <c r="AA580" s="379"/>
      <c r="AB580" s="221"/>
      <c r="AC580" s="379"/>
      <c r="AD580" s="379"/>
      <c r="AE580" s="50"/>
      <c r="AF580" s="50"/>
      <c r="AG580" s="156"/>
      <c r="AH580" s="379"/>
      <c r="AI580" s="60"/>
      <c r="AJ580" s="60"/>
      <c r="AK580" s="156"/>
      <c r="AL580" s="379"/>
      <c r="AM580" s="379"/>
      <c r="AN580" s="379"/>
      <c r="AO580" s="50"/>
      <c r="AP580" s="50"/>
      <c r="AR580" s="380"/>
      <c r="AS580" s="380"/>
      <c r="AT580" s="380"/>
      <c r="AU580" s="380"/>
      <c r="AV580" s="380"/>
      <c r="AW580" s="380"/>
      <c r="AX580" s="380"/>
      <c r="AY580" s="380"/>
      <c r="AZ580" s="380"/>
      <c r="BA580" s="380"/>
      <c r="BB580" s="380"/>
      <c r="BC580" s="380"/>
      <c r="BD580" s="380"/>
      <c r="BE580" s="380"/>
      <c r="BF580" s="380"/>
      <c r="BG580" s="380"/>
      <c r="BH580" s="380"/>
      <c r="BI580" s="380"/>
      <c r="BJ580" s="380"/>
      <c r="BK580" s="380"/>
      <c r="BL580" s="380"/>
      <c r="BM580" s="380"/>
      <c r="BN580" s="380"/>
      <c r="BO580" s="380"/>
      <c r="BP580" s="380"/>
      <c r="BQ580" s="380"/>
      <c r="BR580" s="380"/>
      <c r="BS580" s="380"/>
      <c r="BT580" s="380"/>
      <c r="BU580" s="380"/>
      <c r="BV580" s="380"/>
      <c r="BW580" s="380"/>
      <c r="BX580" s="380"/>
      <c r="BY580" s="380"/>
    </row>
    <row r="581" spans="1:77" s="170" customFormat="1" x14ac:dyDescent="0.25">
      <c r="A581" s="53"/>
      <c r="B581" s="380"/>
      <c r="C581" s="54"/>
      <c r="D581" s="380"/>
      <c r="E581" s="380"/>
      <c r="F581" s="380"/>
      <c r="G581" s="380"/>
      <c r="H581" s="380"/>
      <c r="I581" s="380"/>
      <c r="J581" s="65"/>
      <c r="K581" s="65"/>
      <c r="L581" s="380"/>
      <c r="M581" s="380"/>
      <c r="N581" s="380"/>
      <c r="O581" s="380"/>
      <c r="P581" s="380"/>
      <c r="Q581" s="380"/>
      <c r="R581" s="380"/>
      <c r="S581" s="380"/>
      <c r="T581" s="54"/>
      <c r="U581" s="380"/>
      <c r="V581" s="380"/>
      <c r="W581" s="380"/>
      <c r="X581" s="380"/>
      <c r="Y581" s="380"/>
      <c r="Z581" s="380"/>
      <c r="AA581" s="380"/>
      <c r="AB581" s="65"/>
      <c r="AC581" s="380"/>
      <c r="AD581" s="380"/>
      <c r="AE581" s="380"/>
      <c r="AF581" s="380"/>
      <c r="AG581" s="153"/>
      <c r="AH581" s="380"/>
      <c r="AI581" s="380"/>
      <c r="AJ581" s="380"/>
      <c r="AK581" s="153"/>
      <c r="AL581" s="380"/>
      <c r="AM581" s="380"/>
      <c r="AN581" s="380"/>
      <c r="AO581" s="380"/>
      <c r="AP581" s="380"/>
      <c r="AR581" s="380"/>
      <c r="AS581" s="380"/>
      <c r="AT581" s="380"/>
      <c r="AU581" s="380"/>
      <c r="AV581" s="380"/>
      <c r="AW581" s="380"/>
      <c r="AX581" s="380"/>
      <c r="AY581" s="380"/>
      <c r="AZ581" s="380"/>
      <c r="BA581" s="380"/>
      <c r="BB581" s="380"/>
      <c r="BC581" s="380"/>
      <c r="BD581" s="380"/>
      <c r="BE581" s="380"/>
      <c r="BF581" s="380"/>
      <c r="BG581" s="380"/>
      <c r="BH581" s="380"/>
      <c r="BI581" s="380"/>
      <c r="BJ581" s="380"/>
      <c r="BK581" s="380"/>
      <c r="BL581" s="380"/>
      <c r="BM581" s="380"/>
      <c r="BN581" s="380"/>
      <c r="BO581" s="380"/>
      <c r="BP581" s="380"/>
      <c r="BQ581" s="380"/>
      <c r="BR581" s="380"/>
      <c r="BS581" s="380"/>
      <c r="BT581" s="380"/>
      <c r="BU581" s="380"/>
      <c r="BV581" s="380"/>
      <c r="BW581" s="380"/>
      <c r="BX581" s="380"/>
      <c r="BY581" s="380"/>
    </row>
    <row r="582" spans="1:77" s="170" customFormat="1" x14ac:dyDescent="0.25">
      <c r="A582" s="53"/>
      <c r="B582" s="380"/>
      <c r="C582" s="54"/>
      <c r="D582" s="380"/>
      <c r="E582" s="380"/>
      <c r="F582" s="449"/>
      <c r="G582" s="380"/>
      <c r="H582" s="449"/>
      <c r="I582" s="449"/>
      <c r="J582" s="221"/>
      <c r="K582" s="221"/>
      <c r="L582" s="379"/>
      <c r="M582" s="379"/>
      <c r="N582" s="50"/>
      <c r="O582" s="50"/>
      <c r="P582" s="379"/>
      <c r="Q582" s="379"/>
      <c r="R582" s="379"/>
      <c r="S582" s="380"/>
      <c r="T582" s="54"/>
      <c r="U582" s="380"/>
      <c r="V582" s="379"/>
      <c r="W582" s="380"/>
      <c r="X582" s="380"/>
      <c r="Y582" s="380"/>
      <c r="Z582" s="380"/>
      <c r="AA582" s="379"/>
      <c r="AB582" s="221"/>
      <c r="AC582" s="379"/>
      <c r="AD582" s="379"/>
      <c r="AE582" s="50"/>
      <c r="AF582" s="50"/>
      <c r="AG582" s="156"/>
      <c r="AH582" s="379"/>
      <c r="AI582" s="60"/>
      <c r="AJ582" s="60"/>
      <c r="AK582" s="156"/>
      <c r="AL582" s="379"/>
      <c r="AM582" s="379"/>
      <c r="AN582" s="379"/>
      <c r="AO582" s="50"/>
      <c r="AP582" s="50"/>
      <c r="AR582" s="380"/>
      <c r="AS582" s="380"/>
      <c r="AT582" s="380"/>
      <c r="AU582" s="380"/>
      <c r="AV582" s="380"/>
      <c r="AW582" s="380"/>
      <c r="AX582" s="380"/>
      <c r="AY582" s="380"/>
      <c r="AZ582" s="380"/>
      <c r="BA582" s="380"/>
      <c r="BB582" s="380"/>
      <c r="BC582" s="380"/>
      <c r="BD582" s="380"/>
      <c r="BE582" s="380"/>
      <c r="BF582" s="380"/>
      <c r="BG582" s="380"/>
      <c r="BH582" s="380"/>
      <c r="BI582" s="380"/>
      <c r="BJ582" s="380"/>
      <c r="BK582" s="380"/>
      <c r="BL582" s="380"/>
      <c r="BM582" s="380"/>
      <c r="BN582" s="380"/>
      <c r="BO582" s="380"/>
      <c r="BP582" s="380"/>
      <c r="BQ582" s="380"/>
      <c r="BR582" s="380"/>
      <c r="BS582" s="380"/>
      <c r="BT582" s="380"/>
      <c r="BU582" s="380"/>
      <c r="BV582" s="380"/>
      <c r="BW582" s="380"/>
      <c r="BX582" s="380"/>
      <c r="BY582" s="380"/>
    </row>
    <row r="583" spans="1:77" s="170" customFormat="1" x14ac:dyDescent="0.25">
      <c r="A583" s="53"/>
      <c r="B583" s="380"/>
      <c r="C583" s="54"/>
      <c r="D583" s="380"/>
      <c r="E583" s="380"/>
      <c r="F583" s="449"/>
      <c r="G583" s="380"/>
      <c r="H583" s="449"/>
      <c r="I583" s="449"/>
      <c r="J583" s="221"/>
      <c r="K583" s="221"/>
      <c r="L583" s="379"/>
      <c r="M583" s="379"/>
      <c r="N583" s="50"/>
      <c r="O583" s="50"/>
      <c r="P583" s="379"/>
      <c r="Q583" s="379"/>
      <c r="R583" s="379"/>
      <c r="S583" s="380"/>
      <c r="T583" s="54"/>
      <c r="U583" s="380"/>
      <c r="V583" s="379"/>
      <c r="W583" s="380"/>
      <c r="X583" s="380"/>
      <c r="Y583" s="380"/>
      <c r="Z583" s="380"/>
      <c r="AA583" s="379"/>
      <c r="AB583" s="221"/>
      <c r="AC583" s="379"/>
      <c r="AD583" s="379"/>
      <c r="AE583" s="50"/>
      <c r="AF583" s="50"/>
      <c r="AG583" s="156"/>
      <c r="AH583" s="379"/>
      <c r="AI583" s="60"/>
      <c r="AJ583" s="60"/>
      <c r="AK583" s="156"/>
      <c r="AL583" s="379"/>
      <c r="AM583" s="379"/>
      <c r="AN583" s="379"/>
      <c r="AO583" s="50"/>
      <c r="AP583" s="50"/>
      <c r="AR583" s="380"/>
      <c r="AS583" s="380"/>
      <c r="AT583" s="380"/>
      <c r="AU583" s="380"/>
      <c r="AV583" s="380"/>
      <c r="AW583" s="380"/>
      <c r="AX583" s="380"/>
      <c r="AY583" s="380"/>
      <c r="AZ583" s="380"/>
      <c r="BA583" s="380"/>
      <c r="BB583" s="380"/>
      <c r="BC583" s="380"/>
      <c r="BD583" s="380"/>
      <c r="BE583" s="380"/>
      <c r="BF583" s="380"/>
      <c r="BG583" s="380"/>
      <c r="BH583" s="380"/>
      <c r="BI583" s="380"/>
      <c r="BJ583" s="380"/>
      <c r="BK583" s="380"/>
      <c r="BL583" s="380"/>
      <c r="BM583" s="380"/>
      <c r="BN583" s="380"/>
      <c r="BO583" s="380"/>
      <c r="BP583" s="380"/>
      <c r="BQ583" s="380"/>
      <c r="BR583" s="380"/>
      <c r="BS583" s="380"/>
      <c r="BT583" s="380"/>
      <c r="BU583" s="380"/>
      <c r="BV583" s="380"/>
      <c r="BW583" s="380"/>
      <c r="BX583" s="380"/>
      <c r="BY583" s="380"/>
    </row>
    <row r="584" spans="1:77" s="170" customFormat="1" x14ac:dyDescent="0.25">
      <c r="A584" s="53"/>
      <c r="B584" s="380"/>
      <c r="C584" s="54"/>
      <c r="D584" s="380"/>
      <c r="E584" s="380"/>
      <c r="F584" s="449"/>
      <c r="G584" s="380"/>
      <c r="H584" s="449"/>
      <c r="I584" s="449"/>
      <c r="J584" s="221"/>
      <c r="K584" s="221"/>
      <c r="L584" s="379"/>
      <c r="M584" s="379"/>
      <c r="N584" s="50"/>
      <c r="O584" s="50"/>
      <c r="P584" s="379"/>
      <c r="Q584" s="379"/>
      <c r="R584" s="379"/>
      <c r="S584" s="380"/>
      <c r="T584" s="54"/>
      <c r="U584" s="380"/>
      <c r="V584" s="379"/>
      <c r="W584" s="380"/>
      <c r="X584" s="380"/>
      <c r="Y584" s="380"/>
      <c r="Z584" s="380"/>
      <c r="AA584" s="379"/>
      <c r="AB584" s="221"/>
      <c r="AC584" s="379"/>
      <c r="AD584" s="379"/>
      <c r="AE584" s="50"/>
      <c r="AF584" s="50"/>
      <c r="AG584" s="156"/>
      <c r="AH584" s="379"/>
      <c r="AI584" s="60"/>
      <c r="AJ584" s="60"/>
      <c r="AK584" s="156"/>
      <c r="AL584" s="379"/>
      <c r="AM584" s="379"/>
      <c r="AN584" s="379"/>
      <c r="AO584" s="50"/>
      <c r="AP584" s="50"/>
      <c r="AR584" s="380"/>
      <c r="AS584" s="380"/>
      <c r="AT584" s="380"/>
      <c r="AU584" s="380"/>
      <c r="AV584" s="380"/>
      <c r="AW584" s="380"/>
      <c r="AX584" s="380"/>
      <c r="AY584" s="380"/>
      <c r="AZ584" s="380"/>
      <c r="BA584" s="380"/>
      <c r="BB584" s="380"/>
      <c r="BC584" s="380"/>
      <c r="BD584" s="380"/>
      <c r="BE584" s="380"/>
      <c r="BF584" s="380"/>
      <c r="BG584" s="380"/>
      <c r="BH584" s="380"/>
      <c r="BI584" s="380"/>
      <c r="BJ584" s="380"/>
      <c r="BK584" s="380"/>
      <c r="BL584" s="380"/>
      <c r="BM584" s="380"/>
      <c r="BN584" s="380"/>
      <c r="BO584" s="380"/>
      <c r="BP584" s="380"/>
      <c r="BQ584" s="380"/>
      <c r="BR584" s="380"/>
      <c r="BS584" s="380"/>
      <c r="BT584" s="380"/>
      <c r="BU584" s="380"/>
      <c r="BV584" s="380"/>
      <c r="BW584" s="380"/>
      <c r="BX584" s="380"/>
      <c r="BY584" s="380"/>
    </row>
    <row r="585" spans="1:77" s="170" customFormat="1" x14ac:dyDescent="0.25">
      <c r="A585" s="53"/>
      <c r="B585" s="380"/>
      <c r="C585" s="54"/>
      <c r="D585" s="380"/>
      <c r="E585" s="380"/>
      <c r="F585" s="449"/>
      <c r="G585" s="380"/>
      <c r="H585" s="449"/>
      <c r="I585" s="449"/>
      <c r="J585" s="221"/>
      <c r="K585" s="221"/>
      <c r="L585" s="379"/>
      <c r="M585" s="379"/>
      <c r="N585" s="50"/>
      <c r="O585" s="50"/>
      <c r="P585" s="379"/>
      <c r="Q585" s="379"/>
      <c r="R585" s="379"/>
      <c r="S585" s="380"/>
      <c r="T585" s="54"/>
      <c r="U585" s="380"/>
      <c r="V585" s="379"/>
      <c r="W585" s="380"/>
      <c r="X585" s="380"/>
      <c r="Y585" s="380"/>
      <c r="Z585" s="380"/>
      <c r="AA585" s="379"/>
      <c r="AB585" s="221"/>
      <c r="AC585" s="379"/>
      <c r="AD585" s="379"/>
      <c r="AE585" s="50"/>
      <c r="AF585" s="50"/>
      <c r="AG585" s="156"/>
      <c r="AH585" s="379"/>
      <c r="AI585" s="60"/>
      <c r="AJ585" s="60"/>
      <c r="AK585" s="156"/>
      <c r="AL585" s="379"/>
      <c r="AM585" s="379"/>
      <c r="AN585" s="379"/>
      <c r="AO585" s="50"/>
      <c r="AP585" s="50"/>
      <c r="AR585" s="380"/>
      <c r="AS585" s="380"/>
      <c r="AT585" s="380"/>
      <c r="AU585" s="380"/>
      <c r="AV585" s="380"/>
      <c r="AW585" s="380"/>
      <c r="AX585" s="380"/>
      <c r="AY585" s="380"/>
      <c r="AZ585" s="380"/>
      <c r="BA585" s="380"/>
      <c r="BB585" s="380"/>
      <c r="BC585" s="380"/>
      <c r="BD585" s="380"/>
      <c r="BE585" s="380"/>
      <c r="BF585" s="380"/>
      <c r="BG585" s="380"/>
      <c r="BH585" s="380"/>
      <c r="BI585" s="380"/>
      <c r="BJ585" s="380"/>
      <c r="BK585" s="380"/>
      <c r="BL585" s="380"/>
      <c r="BM585" s="380"/>
      <c r="BN585" s="380"/>
      <c r="BO585" s="380"/>
      <c r="BP585" s="380"/>
      <c r="BQ585" s="380"/>
      <c r="BR585" s="380"/>
      <c r="BS585" s="380"/>
      <c r="BT585" s="380"/>
      <c r="BU585" s="380"/>
      <c r="BV585" s="380"/>
      <c r="BW585" s="380"/>
      <c r="BX585" s="380"/>
      <c r="BY585" s="380"/>
    </row>
    <row r="586" spans="1:77" s="170" customFormat="1" x14ac:dyDescent="0.25">
      <c r="A586" s="53"/>
      <c r="B586" s="380"/>
      <c r="C586" s="54"/>
      <c r="D586" s="380"/>
      <c r="E586" s="380"/>
      <c r="F586" s="380"/>
      <c r="G586" s="380"/>
      <c r="H586" s="380"/>
      <c r="I586" s="380"/>
      <c r="J586" s="65"/>
      <c r="K586" s="65"/>
      <c r="L586" s="380"/>
      <c r="M586" s="380"/>
      <c r="N586" s="380"/>
      <c r="O586" s="380"/>
      <c r="P586" s="380"/>
      <c r="Q586" s="380"/>
      <c r="R586" s="380"/>
      <c r="S586" s="380"/>
      <c r="T586" s="54"/>
      <c r="U586" s="380"/>
      <c r="V586" s="380"/>
      <c r="W586" s="380"/>
      <c r="X586" s="380"/>
      <c r="Y586" s="380"/>
      <c r="Z586" s="380"/>
      <c r="AA586" s="380"/>
      <c r="AB586" s="65"/>
      <c r="AC586" s="380"/>
      <c r="AD586" s="380"/>
      <c r="AE586" s="380"/>
      <c r="AF586" s="380"/>
      <c r="AG586" s="153"/>
      <c r="AH586" s="380"/>
      <c r="AI586" s="380"/>
      <c r="AJ586" s="380"/>
      <c r="AK586" s="153"/>
      <c r="AL586" s="380"/>
      <c r="AM586" s="380"/>
      <c r="AN586" s="380"/>
      <c r="AO586" s="380"/>
      <c r="AP586" s="380"/>
      <c r="AR586" s="380"/>
      <c r="AS586" s="380"/>
      <c r="AT586" s="380"/>
      <c r="AU586" s="380"/>
      <c r="AV586" s="380"/>
      <c r="AW586" s="380"/>
      <c r="AX586" s="380"/>
      <c r="AY586" s="380"/>
      <c r="AZ586" s="380"/>
      <c r="BA586" s="380"/>
      <c r="BB586" s="380"/>
      <c r="BC586" s="380"/>
      <c r="BD586" s="380"/>
      <c r="BE586" s="380"/>
      <c r="BF586" s="380"/>
      <c r="BG586" s="380"/>
      <c r="BH586" s="380"/>
      <c r="BI586" s="380"/>
      <c r="BJ586" s="380"/>
      <c r="BK586" s="380"/>
      <c r="BL586" s="380"/>
      <c r="BM586" s="380"/>
      <c r="BN586" s="380"/>
      <c r="BO586" s="380"/>
      <c r="BP586" s="380"/>
      <c r="BQ586" s="380"/>
      <c r="BR586" s="380"/>
      <c r="BS586" s="380"/>
      <c r="BT586" s="380"/>
      <c r="BU586" s="380"/>
      <c r="BV586" s="380"/>
      <c r="BW586" s="380"/>
      <c r="BX586" s="380"/>
      <c r="BY586" s="380"/>
    </row>
    <row r="587" spans="1:77" s="170" customFormat="1" x14ac:dyDescent="0.25">
      <c r="A587" s="53"/>
      <c r="B587" s="380"/>
      <c r="C587" s="54"/>
      <c r="D587" s="380"/>
      <c r="E587" s="380"/>
      <c r="F587" s="449"/>
      <c r="G587" s="380"/>
      <c r="H587" s="449"/>
      <c r="I587" s="449"/>
      <c r="J587" s="221"/>
      <c r="K587" s="221"/>
      <c r="L587" s="379"/>
      <c r="M587" s="379"/>
      <c r="N587" s="50"/>
      <c r="O587" s="50"/>
      <c r="P587" s="379"/>
      <c r="Q587" s="379"/>
      <c r="R587" s="379"/>
      <c r="S587" s="380"/>
      <c r="T587" s="54"/>
      <c r="U587" s="380"/>
      <c r="V587" s="379"/>
      <c r="W587" s="380"/>
      <c r="X587" s="380"/>
      <c r="Y587" s="380"/>
      <c r="Z587" s="380"/>
      <c r="AA587" s="379"/>
      <c r="AB587" s="221"/>
      <c r="AC587" s="379"/>
      <c r="AD587" s="379"/>
      <c r="AE587" s="50"/>
      <c r="AF587" s="50"/>
      <c r="AG587" s="156"/>
      <c r="AH587" s="379"/>
      <c r="AI587" s="60"/>
      <c r="AJ587" s="60"/>
      <c r="AK587" s="156"/>
      <c r="AL587" s="379"/>
      <c r="AM587" s="379"/>
      <c r="AN587" s="379"/>
      <c r="AO587" s="50"/>
      <c r="AP587" s="50"/>
      <c r="AR587" s="380"/>
      <c r="AS587" s="380"/>
      <c r="AT587" s="380"/>
      <c r="AU587" s="380"/>
      <c r="AV587" s="380"/>
      <c r="AW587" s="380"/>
      <c r="AX587" s="380"/>
      <c r="AY587" s="380"/>
      <c r="AZ587" s="380"/>
      <c r="BA587" s="380"/>
      <c r="BB587" s="380"/>
      <c r="BC587" s="380"/>
      <c r="BD587" s="380"/>
      <c r="BE587" s="380"/>
      <c r="BF587" s="380"/>
      <c r="BG587" s="380"/>
      <c r="BH587" s="380"/>
      <c r="BI587" s="380"/>
      <c r="BJ587" s="380"/>
      <c r="BK587" s="380"/>
      <c r="BL587" s="380"/>
      <c r="BM587" s="380"/>
      <c r="BN587" s="380"/>
      <c r="BO587" s="380"/>
      <c r="BP587" s="380"/>
      <c r="BQ587" s="380"/>
      <c r="BR587" s="380"/>
      <c r="BS587" s="380"/>
      <c r="BT587" s="380"/>
      <c r="BU587" s="380"/>
      <c r="BV587" s="380"/>
      <c r="BW587" s="380"/>
      <c r="BX587" s="380"/>
      <c r="BY587" s="380"/>
    </row>
    <row r="588" spans="1:77" s="170" customFormat="1" x14ac:dyDescent="0.25">
      <c r="A588" s="53"/>
      <c r="B588" s="380"/>
      <c r="C588" s="54"/>
      <c r="D588" s="380"/>
      <c r="E588" s="380"/>
      <c r="F588" s="449"/>
      <c r="G588" s="380"/>
      <c r="H588" s="449"/>
      <c r="I588" s="449"/>
      <c r="J588" s="221"/>
      <c r="K588" s="221"/>
      <c r="L588" s="379"/>
      <c r="M588" s="379"/>
      <c r="N588" s="50"/>
      <c r="O588" s="50"/>
      <c r="P588" s="379"/>
      <c r="Q588" s="379"/>
      <c r="R588" s="379"/>
      <c r="S588" s="380"/>
      <c r="T588" s="54"/>
      <c r="U588" s="380"/>
      <c r="V588" s="379"/>
      <c r="W588" s="380"/>
      <c r="X588" s="380"/>
      <c r="Y588" s="380"/>
      <c r="Z588" s="380"/>
      <c r="AA588" s="379"/>
      <c r="AB588" s="221"/>
      <c r="AC588" s="379"/>
      <c r="AD588" s="379"/>
      <c r="AE588" s="50"/>
      <c r="AF588" s="50"/>
      <c r="AG588" s="156"/>
      <c r="AH588" s="379"/>
      <c r="AI588" s="60"/>
      <c r="AJ588" s="60"/>
      <c r="AK588" s="156"/>
      <c r="AL588" s="379"/>
      <c r="AM588" s="379"/>
      <c r="AN588" s="379"/>
      <c r="AO588" s="50"/>
      <c r="AP588" s="50"/>
      <c r="AR588" s="380"/>
      <c r="AS588" s="380"/>
      <c r="AT588" s="380"/>
      <c r="AU588" s="380"/>
      <c r="AV588" s="380"/>
      <c r="AW588" s="380"/>
      <c r="AX588" s="380"/>
      <c r="AY588" s="380"/>
      <c r="AZ588" s="380"/>
      <c r="BA588" s="380"/>
      <c r="BB588" s="380"/>
      <c r="BC588" s="380"/>
      <c r="BD588" s="380"/>
      <c r="BE588" s="380"/>
      <c r="BF588" s="380"/>
      <c r="BG588" s="380"/>
      <c r="BH588" s="380"/>
      <c r="BI588" s="380"/>
      <c r="BJ588" s="380"/>
      <c r="BK588" s="380"/>
      <c r="BL588" s="380"/>
      <c r="BM588" s="380"/>
      <c r="BN588" s="380"/>
      <c r="BO588" s="380"/>
      <c r="BP588" s="380"/>
      <c r="BQ588" s="380"/>
      <c r="BR588" s="380"/>
      <c r="BS588" s="380"/>
      <c r="BT588" s="380"/>
      <c r="BU588" s="380"/>
      <c r="BV588" s="380"/>
      <c r="BW588" s="380"/>
      <c r="BX588" s="380"/>
      <c r="BY588" s="380"/>
    </row>
    <row r="589" spans="1:77" s="170" customFormat="1" x14ac:dyDescent="0.25">
      <c r="A589" s="53"/>
      <c r="B589" s="380"/>
      <c r="C589" s="54"/>
      <c r="D589" s="380"/>
      <c r="E589" s="380"/>
      <c r="F589" s="449"/>
      <c r="G589" s="380"/>
      <c r="H589" s="449"/>
      <c r="I589" s="449"/>
      <c r="J589" s="221"/>
      <c r="K589" s="221"/>
      <c r="L589" s="379"/>
      <c r="M589" s="379"/>
      <c r="N589" s="50"/>
      <c r="O589" s="50"/>
      <c r="P589" s="379"/>
      <c r="Q589" s="379"/>
      <c r="R589" s="379"/>
      <c r="S589" s="380"/>
      <c r="T589" s="54"/>
      <c r="U589" s="380"/>
      <c r="V589" s="379"/>
      <c r="W589" s="380"/>
      <c r="X589" s="380"/>
      <c r="Y589" s="380"/>
      <c r="Z589" s="380"/>
      <c r="AA589" s="379"/>
      <c r="AB589" s="221"/>
      <c r="AC589" s="379"/>
      <c r="AD589" s="379"/>
      <c r="AE589" s="50"/>
      <c r="AF589" s="50"/>
      <c r="AG589" s="156"/>
      <c r="AH589" s="379"/>
      <c r="AI589" s="60"/>
      <c r="AJ589" s="60"/>
      <c r="AK589" s="156"/>
      <c r="AL589" s="379"/>
      <c r="AM589" s="379"/>
      <c r="AN589" s="379"/>
      <c r="AO589" s="50"/>
      <c r="AP589" s="50"/>
      <c r="AR589" s="380"/>
      <c r="AS589" s="380"/>
      <c r="AT589" s="380"/>
      <c r="AU589" s="380"/>
      <c r="AV589" s="380"/>
      <c r="AW589" s="380"/>
      <c r="AX589" s="380"/>
      <c r="AY589" s="380"/>
      <c r="AZ589" s="380"/>
      <c r="BA589" s="380"/>
      <c r="BB589" s="380"/>
      <c r="BC589" s="380"/>
      <c r="BD589" s="380"/>
      <c r="BE589" s="380"/>
      <c r="BF589" s="380"/>
      <c r="BG589" s="380"/>
      <c r="BH589" s="380"/>
      <c r="BI589" s="380"/>
      <c r="BJ589" s="380"/>
      <c r="BK589" s="380"/>
      <c r="BL589" s="380"/>
      <c r="BM589" s="380"/>
      <c r="BN589" s="380"/>
      <c r="BO589" s="380"/>
      <c r="BP589" s="380"/>
      <c r="BQ589" s="380"/>
      <c r="BR589" s="380"/>
      <c r="BS589" s="380"/>
      <c r="BT589" s="380"/>
      <c r="BU589" s="380"/>
      <c r="BV589" s="380"/>
      <c r="BW589" s="380"/>
      <c r="BX589" s="380"/>
      <c r="BY589" s="380"/>
    </row>
    <row r="590" spans="1:77" s="170" customFormat="1" x14ac:dyDescent="0.25">
      <c r="A590" s="53"/>
      <c r="B590" s="380"/>
      <c r="C590" s="54"/>
      <c r="D590" s="380"/>
      <c r="E590" s="380"/>
      <c r="F590" s="449"/>
      <c r="G590" s="380"/>
      <c r="H590" s="449"/>
      <c r="I590" s="449"/>
      <c r="J590" s="221"/>
      <c r="K590" s="221"/>
      <c r="L590" s="379"/>
      <c r="M590" s="379"/>
      <c r="N590" s="50"/>
      <c r="O590" s="50"/>
      <c r="P590" s="379"/>
      <c r="Q590" s="379"/>
      <c r="R590" s="379"/>
      <c r="S590" s="380"/>
      <c r="T590" s="54"/>
      <c r="U590" s="380"/>
      <c r="V590" s="379"/>
      <c r="W590" s="380"/>
      <c r="X590" s="380"/>
      <c r="Y590" s="380"/>
      <c r="Z590" s="380"/>
      <c r="AA590" s="379"/>
      <c r="AB590" s="221"/>
      <c r="AC590" s="379"/>
      <c r="AD590" s="379"/>
      <c r="AE590" s="50"/>
      <c r="AF590" s="50"/>
      <c r="AG590" s="156"/>
      <c r="AH590" s="379"/>
      <c r="AI590" s="60"/>
      <c r="AJ590" s="60"/>
      <c r="AK590" s="156"/>
      <c r="AL590" s="379"/>
      <c r="AM590" s="379"/>
      <c r="AN590" s="379"/>
      <c r="AO590" s="50"/>
      <c r="AP590" s="50"/>
      <c r="AR590" s="380"/>
      <c r="AS590" s="380"/>
      <c r="AT590" s="380"/>
      <c r="AU590" s="380"/>
      <c r="AV590" s="380"/>
      <c r="AW590" s="380"/>
      <c r="AX590" s="380"/>
      <c r="AY590" s="380"/>
      <c r="AZ590" s="380"/>
      <c r="BA590" s="380"/>
      <c r="BB590" s="380"/>
      <c r="BC590" s="380"/>
      <c r="BD590" s="380"/>
      <c r="BE590" s="380"/>
      <c r="BF590" s="380"/>
      <c r="BG590" s="380"/>
      <c r="BH590" s="380"/>
      <c r="BI590" s="380"/>
      <c r="BJ590" s="380"/>
      <c r="BK590" s="380"/>
      <c r="BL590" s="380"/>
      <c r="BM590" s="380"/>
      <c r="BN590" s="380"/>
      <c r="BO590" s="380"/>
      <c r="BP590" s="380"/>
      <c r="BQ590" s="380"/>
      <c r="BR590" s="380"/>
      <c r="BS590" s="380"/>
      <c r="BT590" s="380"/>
      <c r="BU590" s="380"/>
      <c r="BV590" s="380"/>
      <c r="BW590" s="380"/>
      <c r="BX590" s="380"/>
      <c r="BY590" s="380"/>
    </row>
    <row r="591" spans="1:77" s="170" customFormat="1" x14ac:dyDescent="0.25">
      <c r="A591" s="53"/>
      <c r="B591" s="380"/>
      <c r="C591" s="54"/>
      <c r="D591" s="380"/>
      <c r="E591" s="380"/>
      <c r="F591" s="449"/>
      <c r="G591" s="380"/>
      <c r="H591" s="449"/>
      <c r="I591" s="449"/>
      <c r="J591" s="221"/>
      <c r="K591" s="221"/>
      <c r="L591" s="379"/>
      <c r="M591" s="379"/>
      <c r="N591" s="50"/>
      <c r="O591" s="50"/>
      <c r="P591" s="379"/>
      <c r="Q591" s="379"/>
      <c r="R591" s="379"/>
      <c r="S591" s="380"/>
      <c r="T591" s="54"/>
      <c r="U591" s="380"/>
      <c r="V591" s="379"/>
      <c r="W591" s="380"/>
      <c r="X591" s="380"/>
      <c r="Y591" s="380"/>
      <c r="Z591" s="380"/>
      <c r="AA591" s="379"/>
      <c r="AB591" s="221"/>
      <c r="AC591" s="379"/>
      <c r="AD591" s="379"/>
      <c r="AE591" s="50"/>
      <c r="AF591" s="50"/>
      <c r="AG591" s="156"/>
      <c r="AH591" s="379"/>
      <c r="AI591" s="60"/>
      <c r="AJ591" s="60"/>
      <c r="AK591" s="156"/>
      <c r="AL591" s="379"/>
      <c r="AM591" s="379"/>
      <c r="AN591" s="379"/>
      <c r="AO591" s="50"/>
      <c r="AP591" s="50"/>
      <c r="AR591" s="380"/>
      <c r="AS591" s="380"/>
      <c r="AT591" s="380"/>
      <c r="AU591" s="380"/>
      <c r="AV591" s="380"/>
      <c r="AW591" s="380"/>
      <c r="AX591" s="380"/>
      <c r="AY591" s="380"/>
      <c r="AZ591" s="380"/>
      <c r="BA591" s="380"/>
      <c r="BB591" s="380"/>
      <c r="BC591" s="380"/>
      <c r="BD591" s="380"/>
      <c r="BE591" s="380"/>
      <c r="BF591" s="380"/>
      <c r="BG591" s="380"/>
      <c r="BH591" s="380"/>
      <c r="BI591" s="380"/>
      <c r="BJ591" s="380"/>
      <c r="BK591" s="380"/>
      <c r="BL591" s="380"/>
      <c r="BM591" s="380"/>
      <c r="BN591" s="380"/>
      <c r="BO591" s="380"/>
      <c r="BP591" s="380"/>
      <c r="BQ591" s="380"/>
      <c r="BR591" s="380"/>
      <c r="BS591" s="380"/>
      <c r="BT591" s="380"/>
      <c r="BU591" s="380"/>
      <c r="BV591" s="380"/>
      <c r="BW591" s="380"/>
      <c r="BX591" s="380"/>
      <c r="BY591" s="380"/>
    </row>
    <row r="592" spans="1:77" s="170" customFormat="1" x14ac:dyDescent="0.25">
      <c r="A592" s="380"/>
      <c r="B592" s="380"/>
      <c r="C592" s="380"/>
      <c r="D592" s="380"/>
      <c r="E592" s="380"/>
      <c r="F592" s="381"/>
      <c r="G592" s="380"/>
      <c r="H592" s="381"/>
      <c r="I592" s="381"/>
      <c r="J592" s="464"/>
      <c r="K592" s="464"/>
      <c r="L592" s="381"/>
      <c r="M592" s="381"/>
      <c r="N592" s="381"/>
      <c r="O592" s="381"/>
      <c r="P592" s="381"/>
      <c r="Q592" s="381"/>
      <c r="R592" s="381"/>
      <c r="S592" s="380"/>
      <c r="T592" s="380"/>
      <c r="U592" s="380"/>
      <c r="V592" s="381"/>
      <c r="W592" s="380"/>
      <c r="X592" s="380"/>
      <c r="Y592" s="380"/>
      <c r="Z592" s="380"/>
      <c r="AA592" s="381"/>
      <c r="AB592" s="221"/>
      <c r="AC592" s="381"/>
      <c r="AD592" s="381"/>
      <c r="AE592" s="381"/>
      <c r="AF592" s="381"/>
      <c r="AG592" s="162"/>
      <c r="AH592" s="381"/>
      <c r="AI592" s="380"/>
      <c r="AJ592" s="380"/>
      <c r="AK592" s="162"/>
      <c r="AL592" s="381"/>
      <c r="AM592" s="381"/>
      <c r="AN592" s="381"/>
      <c r="AO592" s="380"/>
      <c r="AP592" s="380"/>
      <c r="AR592" s="380"/>
      <c r="AS592" s="380"/>
      <c r="AT592" s="380"/>
      <c r="AU592" s="380"/>
      <c r="AV592" s="380"/>
      <c r="AW592" s="380"/>
      <c r="AX592" s="380"/>
      <c r="AY592" s="380"/>
      <c r="AZ592" s="380"/>
      <c r="BA592" s="380"/>
      <c r="BB592" s="380"/>
      <c r="BC592" s="380"/>
      <c r="BD592" s="380"/>
      <c r="BE592" s="380"/>
      <c r="BF592" s="380"/>
      <c r="BG592" s="380"/>
      <c r="BH592" s="380"/>
      <c r="BI592" s="380"/>
      <c r="BJ592" s="380"/>
      <c r="BK592" s="380"/>
      <c r="BL592" s="380"/>
      <c r="BM592" s="380"/>
      <c r="BN592" s="380"/>
      <c r="BO592" s="380"/>
      <c r="BP592" s="380"/>
      <c r="BQ592" s="380"/>
      <c r="BR592" s="380"/>
      <c r="BS592" s="380"/>
      <c r="BT592" s="380"/>
      <c r="BU592" s="380"/>
      <c r="BV592" s="380"/>
      <c r="BW592" s="380"/>
      <c r="BX592" s="380"/>
      <c r="BY592" s="380"/>
    </row>
    <row r="593" spans="1:77" s="170" customFormat="1" x14ac:dyDescent="0.25">
      <c r="A593" s="53"/>
      <c r="B593" s="380"/>
      <c r="C593" s="54"/>
      <c r="D593" s="380"/>
      <c r="E593" s="380"/>
      <c r="F593" s="379"/>
      <c r="G593" s="380"/>
      <c r="H593" s="379"/>
      <c r="I593" s="379"/>
      <c r="J593" s="380"/>
      <c r="K593" s="380"/>
      <c r="L593" s="379"/>
      <c r="M593" s="379"/>
      <c r="N593" s="60"/>
      <c r="O593" s="60"/>
      <c r="P593" s="379"/>
      <c r="Q593" s="379"/>
      <c r="R593" s="379"/>
      <c r="S593" s="380"/>
      <c r="T593" s="54"/>
      <c r="U593" s="380"/>
      <c r="V593" s="379"/>
      <c r="W593" s="380"/>
      <c r="X593" s="380"/>
      <c r="Y593" s="380"/>
      <c r="Z593" s="380"/>
      <c r="AA593" s="379"/>
      <c r="AB593" s="380"/>
      <c r="AC593" s="379"/>
      <c r="AD593" s="379"/>
      <c r="AE593" s="50"/>
      <c r="AF593" s="50"/>
      <c r="AG593" s="156"/>
      <c r="AH593" s="379"/>
      <c r="AI593" s="60"/>
      <c r="AJ593" s="60"/>
      <c r="AK593" s="156"/>
      <c r="AL593" s="379"/>
      <c r="AM593" s="379"/>
      <c r="AN593" s="379"/>
      <c r="AO593" s="50"/>
      <c r="AP593" s="50"/>
      <c r="AR593" s="380"/>
      <c r="AS593" s="380"/>
      <c r="AT593" s="380"/>
      <c r="AU593" s="380"/>
      <c r="AV593" s="380"/>
      <c r="AW593" s="380"/>
      <c r="AX593" s="380"/>
      <c r="AY593" s="380"/>
      <c r="AZ593" s="380"/>
      <c r="BA593" s="380"/>
      <c r="BB593" s="380"/>
      <c r="BC593" s="380"/>
      <c r="BD593" s="380"/>
      <c r="BE593" s="380"/>
      <c r="BF593" s="380"/>
      <c r="BG593" s="380"/>
      <c r="BH593" s="380"/>
      <c r="BI593" s="380"/>
      <c r="BJ593" s="380"/>
      <c r="BK593" s="380"/>
      <c r="BL593" s="380"/>
      <c r="BM593" s="380"/>
      <c r="BN593" s="380"/>
      <c r="BO593" s="380"/>
      <c r="BP593" s="380"/>
      <c r="BQ593" s="380"/>
      <c r="BR593" s="380"/>
      <c r="BS593" s="380"/>
      <c r="BT593" s="380"/>
      <c r="BU593" s="380"/>
      <c r="BV593" s="380"/>
      <c r="BW593" s="380"/>
      <c r="BX593" s="380"/>
      <c r="BY593" s="380"/>
    </row>
    <row r="594" spans="1:77" s="170" customFormat="1" x14ac:dyDescent="0.25">
      <c r="A594" s="380"/>
      <c r="B594" s="380"/>
      <c r="C594" s="380"/>
      <c r="D594" s="380"/>
      <c r="E594" s="380"/>
      <c r="F594" s="381"/>
      <c r="G594" s="380"/>
      <c r="H594" s="381"/>
      <c r="I594" s="381"/>
      <c r="J594" s="464"/>
      <c r="K594" s="464"/>
      <c r="L594" s="381"/>
      <c r="M594" s="381"/>
      <c r="N594" s="381"/>
      <c r="O594" s="381"/>
      <c r="P594" s="381"/>
      <c r="Q594" s="381"/>
      <c r="R594" s="381"/>
      <c r="S594" s="380"/>
      <c r="T594" s="380"/>
      <c r="U594" s="380"/>
      <c r="V594" s="381"/>
      <c r="W594" s="380"/>
      <c r="X594" s="380"/>
      <c r="Y594" s="380"/>
      <c r="Z594" s="380"/>
      <c r="AA594" s="381"/>
      <c r="AB594" s="464"/>
      <c r="AC594" s="381"/>
      <c r="AD594" s="381"/>
      <c r="AE594" s="381"/>
      <c r="AF594" s="381"/>
      <c r="AG594" s="162"/>
      <c r="AH594" s="381"/>
      <c r="AI594" s="380"/>
      <c r="AJ594" s="380"/>
      <c r="AK594" s="162"/>
      <c r="AL594" s="381"/>
      <c r="AM594" s="381"/>
      <c r="AN594" s="381"/>
      <c r="AO594" s="380"/>
      <c r="AP594" s="380"/>
      <c r="AR594" s="380"/>
      <c r="AS594" s="380"/>
      <c r="AT594" s="380"/>
      <c r="AU594" s="380"/>
      <c r="AV594" s="380"/>
      <c r="AW594" s="380"/>
      <c r="AX594" s="380"/>
      <c r="AY594" s="380"/>
      <c r="AZ594" s="380"/>
      <c r="BA594" s="380"/>
      <c r="BB594" s="380"/>
      <c r="BC594" s="380"/>
      <c r="BD594" s="380"/>
      <c r="BE594" s="380"/>
      <c r="BF594" s="380"/>
      <c r="BG594" s="380"/>
      <c r="BH594" s="380"/>
      <c r="BI594" s="380"/>
      <c r="BJ594" s="380"/>
      <c r="BK594" s="380"/>
      <c r="BL594" s="380"/>
      <c r="BM594" s="380"/>
      <c r="BN594" s="380"/>
      <c r="BO594" s="380"/>
      <c r="BP594" s="380"/>
      <c r="BQ594" s="380"/>
      <c r="BR594" s="380"/>
      <c r="BS594" s="380"/>
      <c r="BT594" s="380"/>
      <c r="BU594" s="380"/>
      <c r="BV594" s="380"/>
      <c r="BW594" s="380"/>
      <c r="BX594" s="380"/>
      <c r="BY594" s="380"/>
    </row>
    <row r="595" spans="1:77" s="170" customFormat="1" x14ac:dyDescent="0.25">
      <c r="A595" s="53"/>
      <c r="B595" s="380"/>
      <c r="C595" s="54"/>
      <c r="D595" s="380"/>
      <c r="E595" s="380"/>
      <c r="F595" s="380"/>
      <c r="G595" s="380"/>
      <c r="H595" s="380"/>
      <c r="I595" s="380"/>
      <c r="J595" s="380"/>
      <c r="K595" s="380"/>
      <c r="L595" s="380"/>
      <c r="M595" s="380"/>
      <c r="N595" s="380"/>
      <c r="O595" s="380"/>
      <c r="P595" s="380"/>
      <c r="Q595" s="380"/>
      <c r="R595" s="380"/>
      <c r="S595" s="380"/>
      <c r="T595" s="54"/>
      <c r="U595" s="380"/>
      <c r="V595" s="380"/>
      <c r="W595" s="380"/>
      <c r="X595" s="380"/>
      <c r="Y595" s="380"/>
      <c r="Z595" s="380"/>
      <c r="AA595" s="380"/>
      <c r="AB595" s="380"/>
      <c r="AC595" s="380"/>
      <c r="AD595" s="380"/>
      <c r="AE595" s="380"/>
      <c r="AF595" s="380"/>
      <c r="AG595" s="153"/>
      <c r="AH595" s="380"/>
      <c r="AI595" s="380"/>
      <c r="AJ595" s="380"/>
      <c r="AK595" s="153"/>
      <c r="AL595" s="380"/>
      <c r="AM595" s="380"/>
      <c r="AN595" s="380"/>
      <c r="AO595" s="380"/>
      <c r="AP595" s="380"/>
      <c r="AR595" s="380"/>
      <c r="AS595" s="380"/>
      <c r="AT595" s="380"/>
      <c r="AU595" s="380"/>
      <c r="AV595" s="380"/>
      <c r="AW595" s="380"/>
      <c r="AX595" s="380"/>
      <c r="AY595" s="380"/>
      <c r="AZ595" s="380"/>
      <c r="BA595" s="380"/>
      <c r="BB595" s="380"/>
      <c r="BC595" s="380"/>
      <c r="BD595" s="380"/>
      <c r="BE595" s="380"/>
      <c r="BF595" s="380"/>
      <c r="BG595" s="380"/>
      <c r="BH595" s="380"/>
      <c r="BI595" s="380"/>
      <c r="BJ595" s="380"/>
      <c r="BK595" s="380"/>
      <c r="BL595" s="380"/>
      <c r="BM595" s="380"/>
      <c r="BN595" s="380"/>
      <c r="BO595" s="380"/>
      <c r="BP595" s="380"/>
      <c r="BQ595" s="380"/>
      <c r="BR595" s="380"/>
      <c r="BS595" s="380"/>
      <c r="BT595" s="380"/>
      <c r="BU595" s="380"/>
      <c r="BV595" s="380"/>
      <c r="BW595" s="380"/>
      <c r="BX595" s="380"/>
      <c r="BY595" s="380"/>
    </row>
    <row r="596" spans="1:77" s="170" customFormat="1" x14ac:dyDescent="0.25">
      <c r="A596" s="53"/>
      <c r="B596" s="380"/>
      <c r="C596" s="54"/>
      <c r="D596" s="380"/>
      <c r="E596" s="380"/>
      <c r="F596" s="449"/>
      <c r="G596" s="380"/>
      <c r="H596" s="449"/>
      <c r="I596" s="449"/>
      <c r="J596" s="461"/>
      <c r="K596" s="461"/>
      <c r="L596" s="379"/>
      <c r="M596" s="379"/>
      <c r="N596" s="50"/>
      <c r="O596" s="50"/>
      <c r="P596" s="379"/>
      <c r="Q596" s="379"/>
      <c r="R596" s="379"/>
      <c r="S596" s="380"/>
      <c r="T596" s="54"/>
      <c r="U596" s="380"/>
      <c r="V596" s="379"/>
      <c r="W596" s="380"/>
      <c r="X596" s="380"/>
      <c r="Y596" s="380"/>
      <c r="Z596" s="380"/>
      <c r="AA596" s="379"/>
      <c r="AB596" s="461"/>
      <c r="AC596" s="379"/>
      <c r="AD596" s="379"/>
      <c r="AE596" s="50"/>
      <c r="AF596" s="50"/>
      <c r="AG596" s="156"/>
      <c r="AH596" s="379"/>
      <c r="AI596" s="60"/>
      <c r="AJ596" s="60"/>
      <c r="AK596" s="156"/>
      <c r="AL596" s="379"/>
      <c r="AM596" s="379"/>
      <c r="AN596" s="379"/>
      <c r="AO596" s="50"/>
      <c r="AP596" s="50"/>
      <c r="AR596" s="380"/>
      <c r="AS596" s="380"/>
      <c r="AT596" s="380"/>
      <c r="AU596" s="380"/>
      <c r="AV596" s="380"/>
      <c r="AW596" s="380"/>
      <c r="AX596" s="380"/>
      <c r="AY596" s="380"/>
      <c r="AZ596" s="380"/>
      <c r="BA596" s="380"/>
      <c r="BB596" s="380"/>
      <c r="BC596" s="380"/>
      <c r="BD596" s="380"/>
      <c r="BE596" s="380"/>
      <c r="BF596" s="380"/>
      <c r="BG596" s="380"/>
      <c r="BH596" s="380"/>
      <c r="BI596" s="380"/>
      <c r="BJ596" s="380"/>
      <c r="BK596" s="380"/>
      <c r="BL596" s="380"/>
      <c r="BM596" s="380"/>
      <c r="BN596" s="380"/>
      <c r="BO596" s="380"/>
      <c r="BP596" s="380"/>
      <c r="BQ596" s="380"/>
      <c r="BR596" s="380"/>
      <c r="BS596" s="380"/>
      <c r="BT596" s="380"/>
      <c r="BU596" s="380"/>
      <c r="BV596" s="380"/>
      <c r="BW596" s="380"/>
      <c r="BX596" s="380"/>
      <c r="BY596" s="380"/>
    </row>
    <row r="597" spans="1:77" s="170" customFormat="1" x14ac:dyDescent="0.25">
      <c r="A597" s="53"/>
      <c r="B597" s="380"/>
      <c r="C597" s="54"/>
      <c r="D597" s="380"/>
      <c r="E597" s="380"/>
      <c r="F597" s="449"/>
      <c r="G597" s="380"/>
      <c r="H597" s="449"/>
      <c r="I597" s="449"/>
      <c r="J597" s="461"/>
      <c r="K597" s="461"/>
      <c r="L597" s="379"/>
      <c r="M597" s="379"/>
      <c r="N597" s="50"/>
      <c r="O597" s="50"/>
      <c r="P597" s="379"/>
      <c r="Q597" s="379"/>
      <c r="R597" s="379"/>
      <c r="S597" s="380"/>
      <c r="T597" s="54"/>
      <c r="U597" s="380"/>
      <c r="V597" s="379"/>
      <c r="W597" s="380"/>
      <c r="X597" s="380"/>
      <c r="Y597" s="380"/>
      <c r="Z597" s="380"/>
      <c r="AA597" s="379"/>
      <c r="AB597" s="461"/>
      <c r="AC597" s="379"/>
      <c r="AD597" s="379"/>
      <c r="AE597" s="50"/>
      <c r="AF597" s="50"/>
      <c r="AG597" s="156"/>
      <c r="AH597" s="379"/>
      <c r="AI597" s="60"/>
      <c r="AJ597" s="60"/>
      <c r="AK597" s="156"/>
      <c r="AL597" s="379"/>
      <c r="AM597" s="379"/>
      <c r="AN597" s="379"/>
      <c r="AO597" s="50"/>
      <c r="AP597" s="50"/>
      <c r="AR597" s="380"/>
      <c r="AS597" s="380"/>
      <c r="AT597" s="380"/>
      <c r="AU597" s="380"/>
      <c r="AV597" s="380"/>
      <c r="AW597" s="380"/>
      <c r="AX597" s="380"/>
      <c r="AY597" s="380"/>
      <c r="AZ597" s="380"/>
      <c r="BA597" s="380"/>
      <c r="BB597" s="380"/>
      <c r="BC597" s="380"/>
      <c r="BD597" s="380"/>
      <c r="BE597" s="380"/>
      <c r="BF597" s="380"/>
      <c r="BG597" s="380"/>
      <c r="BH597" s="380"/>
      <c r="BI597" s="380"/>
      <c r="BJ597" s="380"/>
      <c r="BK597" s="380"/>
      <c r="BL597" s="380"/>
      <c r="BM597" s="380"/>
      <c r="BN597" s="380"/>
      <c r="BO597" s="380"/>
      <c r="BP597" s="380"/>
      <c r="BQ597" s="380"/>
      <c r="BR597" s="380"/>
      <c r="BS597" s="380"/>
      <c r="BT597" s="380"/>
      <c r="BU597" s="380"/>
      <c r="BV597" s="380"/>
      <c r="BW597" s="380"/>
      <c r="BX597" s="380"/>
      <c r="BY597" s="380"/>
    </row>
    <row r="598" spans="1:77" s="170" customFormat="1" x14ac:dyDescent="0.25">
      <c r="A598" s="380"/>
      <c r="B598" s="380"/>
      <c r="C598" s="380"/>
      <c r="D598" s="380"/>
      <c r="E598" s="380"/>
      <c r="F598" s="381"/>
      <c r="G598" s="380"/>
      <c r="H598" s="379"/>
      <c r="I598" s="379"/>
      <c r="J598" s="464"/>
      <c r="K598" s="464"/>
      <c r="L598" s="381"/>
      <c r="M598" s="381"/>
      <c r="N598" s="381"/>
      <c r="O598" s="381"/>
      <c r="P598" s="381"/>
      <c r="Q598" s="381"/>
      <c r="R598" s="381"/>
      <c r="S598" s="380"/>
      <c r="T598" s="380"/>
      <c r="U598" s="380"/>
      <c r="V598" s="381"/>
      <c r="W598" s="380"/>
      <c r="X598" s="380"/>
      <c r="Y598" s="380"/>
      <c r="Z598" s="380"/>
      <c r="AA598" s="379"/>
      <c r="AB598" s="464"/>
      <c r="AC598" s="381"/>
      <c r="AD598" s="381"/>
      <c r="AE598" s="381"/>
      <c r="AF598" s="381"/>
      <c r="AG598" s="162"/>
      <c r="AH598" s="381"/>
      <c r="AI598" s="380"/>
      <c r="AJ598" s="380"/>
      <c r="AK598" s="162"/>
      <c r="AL598" s="381"/>
      <c r="AM598" s="381"/>
      <c r="AN598" s="381"/>
      <c r="AO598" s="380"/>
      <c r="AP598" s="380"/>
      <c r="AR598" s="380"/>
      <c r="AS598" s="380"/>
      <c r="AT598" s="380"/>
      <c r="AU598" s="380"/>
      <c r="AV598" s="380"/>
      <c r="AW598" s="380"/>
      <c r="AX598" s="380"/>
      <c r="AY598" s="380"/>
      <c r="AZ598" s="380"/>
      <c r="BA598" s="380"/>
      <c r="BB598" s="380"/>
      <c r="BC598" s="380"/>
      <c r="BD598" s="380"/>
      <c r="BE598" s="380"/>
      <c r="BF598" s="380"/>
      <c r="BG598" s="380"/>
      <c r="BH598" s="380"/>
      <c r="BI598" s="380"/>
      <c r="BJ598" s="380"/>
      <c r="BK598" s="380"/>
      <c r="BL598" s="380"/>
      <c r="BM598" s="380"/>
      <c r="BN598" s="380"/>
      <c r="BO598" s="380"/>
      <c r="BP598" s="380"/>
      <c r="BQ598" s="380"/>
      <c r="BR598" s="380"/>
      <c r="BS598" s="380"/>
      <c r="BT598" s="380"/>
      <c r="BU598" s="380"/>
      <c r="BV598" s="380"/>
      <c r="BW598" s="380"/>
      <c r="BX598" s="380"/>
      <c r="BY598" s="380"/>
    </row>
    <row r="599" spans="1:77" s="170" customFormat="1" x14ac:dyDescent="0.25">
      <c r="A599" s="380"/>
      <c r="B599" s="380"/>
      <c r="C599" s="380"/>
      <c r="D599" s="380"/>
      <c r="E599" s="380"/>
      <c r="F599" s="379"/>
      <c r="G599" s="380"/>
      <c r="H599" s="379"/>
      <c r="I599" s="379"/>
      <c r="J599" s="464"/>
      <c r="K599" s="464"/>
      <c r="L599" s="379"/>
      <c r="M599" s="379"/>
      <c r="N599" s="379"/>
      <c r="O599" s="379"/>
      <c r="P599" s="379"/>
      <c r="Q599" s="379"/>
      <c r="R599" s="379"/>
      <c r="S599" s="380"/>
      <c r="T599" s="380"/>
      <c r="U599" s="380"/>
      <c r="V599" s="379"/>
      <c r="W599" s="380"/>
      <c r="X599" s="380"/>
      <c r="Y599" s="380"/>
      <c r="Z599" s="380"/>
      <c r="AA599" s="379"/>
      <c r="AB599" s="464"/>
      <c r="AC599" s="379"/>
      <c r="AD599" s="379"/>
      <c r="AE599" s="379"/>
      <c r="AF599" s="379"/>
      <c r="AG599" s="156"/>
      <c r="AH599" s="379"/>
      <c r="AI599" s="380"/>
      <c r="AJ599" s="380"/>
      <c r="AK599" s="156"/>
      <c r="AL599" s="379"/>
      <c r="AM599" s="379"/>
      <c r="AN599" s="379"/>
      <c r="AO599" s="380"/>
      <c r="AP599" s="380"/>
      <c r="AR599" s="380"/>
      <c r="AS599" s="380"/>
      <c r="AT599" s="380"/>
      <c r="AU599" s="380"/>
      <c r="AV599" s="380"/>
      <c r="AW599" s="380"/>
      <c r="AX599" s="380"/>
      <c r="AY599" s="380"/>
      <c r="AZ599" s="380"/>
      <c r="BA599" s="380"/>
      <c r="BB599" s="380"/>
      <c r="BC599" s="380"/>
      <c r="BD599" s="380"/>
      <c r="BE599" s="380"/>
      <c r="BF599" s="380"/>
      <c r="BG599" s="380"/>
      <c r="BH599" s="380"/>
      <c r="BI599" s="380"/>
      <c r="BJ599" s="380"/>
      <c r="BK599" s="380"/>
      <c r="BL599" s="380"/>
      <c r="BM599" s="380"/>
      <c r="BN599" s="380"/>
      <c r="BO599" s="380"/>
      <c r="BP599" s="380"/>
      <c r="BQ599" s="380"/>
      <c r="BR599" s="380"/>
      <c r="BS599" s="380"/>
      <c r="BT599" s="380"/>
      <c r="BU599" s="380"/>
      <c r="BV599" s="380"/>
      <c r="BW599" s="380"/>
      <c r="BX599" s="380"/>
      <c r="BY599" s="380"/>
    </row>
    <row r="600" spans="1:77" s="170" customFormat="1" x14ac:dyDescent="0.25">
      <c r="A600" s="53"/>
      <c r="B600" s="380"/>
      <c r="C600" s="54"/>
      <c r="D600" s="380"/>
      <c r="E600" s="380"/>
      <c r="F600" s="379"/>
      <c r="G600" s="380"/>
      <c r="H600" s="379"/>
      <c r="I600" s="379"/>
      <c r="J600" s="380"/>
      <c r="K600" s="380"/>
      <c r="L600" s="379"/>
      <c r="M600" s="379"/>
      <c r="N600" s="50"/>
      <c r="O600" s="50"/>
      <c r="P600" s="379"/>
      <c r="Q600" s="379"/>
      <c r="R600" s="379"/>
      <c r="S600" s="380"/>
      <c r="T600" s="54"/>
      <c r="U600" s="380"/>
      <c r="V600" s="379"/>
      <c r="W600" s="380"/>
      <c r="X600" s="380"/>
      <c r="Y600" s="380"/>
      <c r="Z600" s="380"/>
      <c r="AA600" s="379"/>
      <c r="AB600" s="380"/>
      <c r="AC600" s="379"/>
      <c r="AD600" s="379"/>
      <c r="AE600" s="50"/>
      <c r="AF600" s="50"/>
      <c r="AG600" s="156"/>
      <c r="AH600" s="379"/>
      <c r="AI600" s="60"/>
      <c r="AJ600" s="60"/>
      <c r="AK600" s="474"/>
      <c r="AL600" s="449"/>
      <c r="AM600" s="379"/>
      <c r="AN600" s="379"/>
      <c r="AO600" s="50"/>
      <c r="AP600" s="50"/>
      <c r="AR600" s="380"/>
      <c r="AS600" s="380"/>
      <c r="AT600" s="380"/>
      <c r="AU600" s="380"/>
      <c r="AV600" s="380"/>
      <c r="AW600" s="380"/>
      <c r="AX600" s="380"/>
      <c r="AY600" s="380"/>
      <c r="AZ600" s="380"/>
      <c r="BA600" s="380"/>
      <c r="BB600" s="380"/>
      <c r="BC600" s="380"/>
      <c r="BD600" s="380"/>
      <c r="BE600" s="380"/>
      <c r="BF600" s="380"/>
      <c r="BG600" s="380"/>
      <c r="BH600" s="380"/>
      <c r="BI600" s="380"/>
      <c r="BJ600" s="380"/>
      <c r="BK600" s="380"/>
      <c r="BL600" s="380"/>
      <c r="BM600" s="380"/>
      <c r="BN600" s="380"/>
      <c r="BO600" s="380"/>
      <c r="BP600" s="380"/>
      <c r="BQ600" s="380"/>
      <c r="BR600" s="380"/>
      <c r="BS600" s="380"/>
      <c r="BT600" s="380"/>
      <c r="BU600" s="380"/>
      <c r="BV600" s="380"/>
      <c r="BW600" s="380"/>
      <c r="BX600" s="380"/>
      <c r="BY600" s="380"/>
    </row>
    <row r="601" spans="1:77" s="170" customFormat="1" x14ac:dyDescent="0.25">
      <c r="A601" s="380"/>
      <c r="B601" s="380"/>
      <c r="C601" s="380"/>
      <c r="D601" s="380"/>
      <c r="E601" s="380"/>
      <c r="F601" s="380"/>
      <c r="G601" s="380"/>
      <c r="H601" s="381"/>
      <c r="I601" s="381"/>
      <c r="J601" s="464"/>
      <c r="K601" s="464"/>
      <c r="L601" s="381"/>
      <c r="M601" s="381"/>
      <c r="N601" s="381"/>
      <c r="O601" s="381"/>
      <c r="P601" s="381"/>
      <c r="Q601" s="381"/>
      <c r="R601" s="381"/>
      <c r="S601" s="380"/>
      <c r="T601" s="380"/>
      <c r="U601" s="380"/>
      <c r="V601" s="381"/>
      <c r="W601" s="380"/>
      <c r="X601" s="380"/>
      <c r="Y601" s="380"/>
      <c r="Z601" s="380"/>
      <c r="AA601" s="381"/>
      <c r="AB601" s="464"/>
      <c r="AC601" s="381"/>
      <c r="AD601" s="381"/>
      <c r="AE601" s="381"/>
      <c r="AF601" s="381"/>
      <c r="AG601" s="162"/>
      <c r="AH601" s="381"/>
      <c r="AI601" s="380"/>
      <c r="AJ601" s="380"/>
      <c r="AK601" s="162"/>
      <c r="AL601" s="381"/>
      <c r="AM601" s="381"/>
      <c r="AN601" s="381"/>
      <c r="AO601" s="380"/>
      <c r="AP601" s="380"/>
      <c r="AR601" s="380"/>
      <c r="AS601" s="380"/>
      <c r="AT601" s="380"/>
      <c r="AU601" s="380"/>
      <c r="AV601" s="380"/>
      <c r="AW601" s="380"/>
      <c r="AX601" s="380"/>
      <c r="AY601" s="380"/>
      <c r="AZ601" s="380"/>
      <c r="BA601" s="380"/>
      <c r="BB601" s="380"/>
      <c r="BC601" s="380"/>
      <c r="BD601" s="380"/>
      <c r="BE601" s="380"/>
      <c r="BF601" s="380"/>
      <c r="BG601" s="380"/>
      <c r="BH601" s="380"/>
      <c r="BI601" s="380"/>
      <c r="BJ601" s="380"/>
      <c r="BK601" s="380"/>
      <c r="BL601" s="380"/>
      <c r="BM601" s="380"/>
      <c r="BN601" s="380"/>
      <c r="BO601" s="380"/>
      <c r="BP601" s="380"/>
      <c r="BQ601" s="380"/>
      <c r="BR601" s="380"/>
      <c r="BS601" s="380"/>
      <c r="BT601" s="380"/>
      <c r="BU601" s="380"/>
      <c r="BV601" s="380"/>
      <c r="BW601" s="380"/>
      <c r="BX601" s="380"/>
      <c r="BY601" s="380"/>
    </row>
    <row r="602" spans="1:77" s="170" customFormat="1" x14ac:dyDescent="0.25">
      <c r="A602" s="380"/>
      <c r="B602" s="380"/>
      <c r="C602" s="380"/>
      <c r="D602" s="380"/>
      <c r="E602" s="380"/>
      <c r="F602" s="381"/>
      <c r="G602" s="380"/>
      <c r="H602" s="380"/>
      <c r="I602" s="380"/>
      <c r="J602" s="380"/>
      <c r="K602" s="380"/>
      <c r="L602" s="380"/>
      <c r="M602" s="380"/>
      <c r="N602" s="380"/>
      <c r="O602" s="380"/>
      <c r="P602" s="380"/>
      <c r="Q602" s="380"/>
      <c r="R602" s="380"/>
      <c r="S602" s="380"/>
      <c r="T602" s="380"/>
      <c r="U602" s="380"/>
      <c r="V602" s="380"/>
      <c r="W602" s="380"/>
      <c r="X602" s="380"/>
      <c r="Y602" s="380"/>
      <c r="Z602" s="380"/>
      <c r="AA602" s="380"/>
      <c r="AB602" s="380"/>
      <c r="AC602" s="380"/>
      <c r="AD602" s="380"/>
      <c r="AE602" s="380"/>
      <c r="AF602" s="380"/>
      <c r="AG602" s="153"/>
      <c r="AH602" s="380"/>
      <c r="AI602" s="380"/>
      <c r="AJ602" s="380"/>
      <c r="AK602" s="153"/>
      <c r="AL602" s="380"/>
      <c r="AM602" s="380"/>
      <c r="AN602" s="380"/>
      <c r="AO602" s="380"/>
      <c r="AP602" s="380"/>
      <c r="AR602" s="380"/>
      <c r="AS602" s="380"/>
      <c r="AT602" s="380"/>
      <c r="AU602" s="380"/>
      <c r="AV602" s="380"/>
      <c r="AW602" s="380"/>
      <c r="AX602" s="380"/>
      <c r="AY602" s="380"/>
      <c r="AZ602" s="380"/>
      <c r="BA602" s="380"/>
      <c r="BB602" s="380"/>
      <c r="BC602" s="380"/>
      <c r="BD602" s="380"/>
      <c r="BE602" s="380"/>
      <c r="BF602" s="380"/>
      <c r="BG602" s="380"/>
      <c r="BH602" s="380"/>
      <c r="BI602" s="380"/>
      <c r="BJ602" s="380"/>
      <c r="BK602" s="380"/>
      <c r="BL602" s="380"/>
      <c r="BM602" s="380"/>
      <c r="BN602" s="380"/>
      <c r="BO602" s="380"/>
      <c r="BP602" s="380"/>
      <c r="BQ602" s="380"/>
      <c r="BR602" s="380"/>
      <c r="BS602" s="380"/>
      <c r="BT602" s="380"/>
      <c r="BU602" s="380"/>
      <c r="BV602" s="380"/>
      <c r="BW602" s="380"/>
      <c r="BX602" s="380"/>
      <c r="BY602" s="380"/>
    </row>
    <row r="603" spans="1:77" s="170" customFormat="1" x14ac:dyDescent="0.25">
      <c r="A603" s="54"/>
      <c r="B603" s="380"/>
      <c r="C603" s="380"/>
      <c r="D603" s="380"/>
      <c r="E603" s="380"/>
      <c r="F603" s="380"/>
      <c r="G603" s="380"/>
      <c r="H603" s="380"/>
      <c r="I603" s="380"/>
      <c r="J603" s="380"/>
      <c r="K603" s="380"/>
      <c r="L603" s="380"/>
      <c r="M603" s="380"/>
      <c r="N603" s="380"/>
      <c r="O603" s="380"/>
      <c r="P603" s="380"/>
      <c r="Q603" s="380"/>
      <c r="R603" s="380"/>
      <c r="S603" s="380"/>
      <c r="T603" s="54"/>
      <c r="U603" s="380"/>
      <c r="V603" s="380"/>
      <c r="W603" s="380"/>
      <c r="X603" s="380"/>
      <c r="Y603" s="380"/>
      <c r="Z603" s="380"/>
      <c r="AA603" s="380"/>
      <c r="AB603" s="380"/>
      <c r="AC603" s="380"/>
      <c r="AD603" s="380"/>
      <c r="AE603" s="380"/>
      <c r="AF603" s="380"/>
      <c r="AG603" s="153"/>
      <c r="AH603" s="380"/>
      <c r="AI603" s="380"/>
      <c r="AJ603" s="380"/>
      <c r="AK603" s="153"/>
      <c r="AL603" s="380"/>
      <c r="AM603" s="380"/>
      <c r="AN603" s="380"/>
      <c r="AO603" s="380"/>
      <c r="AP603" s="380"/>
      <c r="AR603" s="380"/>
      <c r="AS603" s="380"/>
      <c r="AT603" s="380"/>
      <c r="AU603" s="380"/>
      <c r="AV603" s="380"/>
      <c r="AW603" s="380"/>
      <c r="AX603" s="380"/>
      <c r="AY603" s="380"/>
      <c r="AZ603" s="380"/>
      <c r="BA603" s="380"/>
      <c r="BB603" s="380"/>
      <c r="BC603" s="380"/>
      <c r="BD603" s="380"/>
      <c r="BE603" s="380"/>
      <c r="BF603" s="380"/>
      <c r="BG603" s="380"/>
      <c r="BH603" s="380"/>
      <c r="BI603" s="380"/>
      <c r="BJ603" s="380"/>
      <c r="BK603" s="380"/>
      <c r="BL603" s="380"/>
      <c r="BM603" s="380"/>
      <c r="BN603" s="380"/>
      <c r="BO603" s="380"/>
      <c r="BP603" s="380"/>
      <c r="BQ603" s="380"/>
      <c r="BR603" s="380"/>
      <c r="BS603" s="380"/>
      <c r="BT603" s="380"/>
      <c r="BU603" s="380"/>
      <c r="BV603" s="380"/>
      <c r="BW603" s="380"/>
      <c r="BX603" s="380"/>
      <c r="BY603" s="380"/>
    </row>
    <row r="604" spans="1:77" s="170" customFormat="1" x14ac:dyDescent="0.25">
      <c r="A604" s="54"/>
      <c r="B604" s="380"/>
      <c r="C604" s="380"/>
      <c r="D604" s="380"/>
      <c r="E604" s="380"/>
      <c r="F604" s="380"/>
      <c r="G604" s="380"/>
      <c r="H604" s="380"/>
      <c r="I604" s="380"/>
      <c r="J604" s="380"/>
      <c r="K604" s="380"/>
      <c r="L604" s="380"/>
      <c r="M604" s="380"/>
      <c r="N604" s="380"/>
      <c r="O604" s="380"/>
      <c r="P604" s="380"/>
      <c r="Q604" s="380"/>
      <c r="R604" s="380"/>
      <c r="S604" s="380"/>
      <c r="T604" s="54"/>
      <c r="U604" s="380"/>
      <c r="V604" s="380"/>
      <c r="W604" s="380"/>
      <c r="X604" s="380"/>
      <c r="Y604" s="380"/>
      <c r="Z604" s="380"/>
      <c r="AA604" s="380"/>
      <c r="AB604" s="380"/>
      <c r="AC604" s="380"/>
      <c r="AD604" s="380"/>
      <c r="AE604" s="380"/>
      <c r="AF604" s="380"/>
      <c r="AG604" s="153"/>
      <c r="AH604" s="380"/>
      <c r="AI604" s="380"/>
      <c r="AJ604" s="380"/>
      <c r="AK604" s="153"/>
      <c r="AL604" s="380"/>
      <c r="AM604" s="380"/>
      <c r="AN604" s="380"/>
      <c r="AO604" s="380"/>
      <c r="AP604" s="380"/>
      <c r="AR604" s="380"/>
      <c r="AS604" s="380"/>
      <c r="AT604" s="380"/>
      <c r="AU604" s="380"/>
      <c r="AV604" s="380"/>
      <c r="AW604" s="380"/>
      <c r="AX604" s="380"/>
      <c r="AY604" s="380"/>
      <c r="AZ604" s="380"/>
      <c r="BA604" s="380"/>
      <c r="BB604" s="380"/>
      <c r="BC604" s="380"/>
      <c r="BD604" s="380"/>
      <c r="BE604" s="380"/>
      <c r="BF604" s="380"/>
      <c r="BG604" s="380"/>
      <c r="BH604" s="380"/>
      <c r="BI604" s="380"/>
      <c r="BJ604" s="380"/>
      <c r="BK604" s="380"/>
      <c r="BL604" s="380"/>
      <c r="BM604" s="380"/>
      <c r="BN604" s="380"/>
      <c r="BO604" s="380"/>
      <c r="BP604" s="380"/>
      <c r="BQ604" s="380"/>
      <c r="BR604" s="380"/>
      <c r="BS604" s="380"/>
      <c r="BT604" s="380"/>
      <c r="BU604" s="380"/>
      <c r="BV604" s="380"/>
      <c r="BW604" s="380"/>
      <c r="BX604" s="380"/>
      <c r="BY604" s="380"/>
    </row>
    <row r="605" spans="1:77" s="170" customFormat="1" x14ac:dyDescent="0.25">
      <c r="A605" s="54"/>
      <c r="B605" s="380"/>
      <c r="C605" s="380"/>
      <c r="D605" s="380"/>
      <c r="E605" s="380"/>
      <c r="F605" s="380"/>
      <c r="G605" s="380"/>
      <c r="H605" s="380"/>
      <c r="I605" s="380"/>
      <c r="J605" s="380"/>
      <c r="K605" s="380"/>
      <c r="L605" s="380"/>
      <c r="M605" s="380"/>
      <c r="N605" s="380"/>
      <c r="O605" s="380"/>
      <c r="P605" s="380"/>
      <c r="Q605" s="380"/>
      <c r="R605" s="380"/>
      <c r="S605" s="380"/>
      <c r="T605" s="54"/>
      <c r="U605" s="380"/>
      <c r="V605" s="380"/>
      <c r="W605" s="380"/>
      <c r="X605" s="380"/>
      <c r="Y605" s="380"/>
      <c r="Z605" s="380"/>
      <c r="AA605" s="380"/>
      <c r="AB605" s="380"/>
      <c r="AC605" s="380"/>
      <c r="AD605" s="380"/>
      <c r="AE605" s="380"/>
      <c r="AF605" s="380"/>
      <c r="AG605" s="153"/>
      <c r="AH605" s="380"/>
      <c r="AI605" s="380"/>
      <c r="AJ605" s="380"/>
      <c r="AK605" s="153"/>
      <c r="AL605" s="380"/>
      <c r="AM605" s="380"/>
      <c r="AN605" s="380"/>
      <c r="AO605" s="380"/>
      <c r="AP605" s="380"/>
      <c r="AR605" s="380"/>
      <c r="AS605" s="380"/>
      <c r="AT605" s="380"/>
      <c r="AU605" s="380"/>
      <c r="AV605" s="380"/>
      <c r="AW605" s="380"/>
      <c r="AX605" s="380"/>
      <c r="AY605" s="380"/>
      <c r="AZ605" s="380"/>
      <c r="BA605" s="380"/>
      <c r="BB605" s="380"/>
      <c r="BC605" s="380"/>
      <c r="BD605" s="380"/>
      <c r="BE605" s="380"/>
      <c r="BF605" s="380"/>
      <c r="BG605" s="380"/>
      <c r="BH605" s="380"/>
      <c r="BI605" s="380"/>
      <c r="BJ605" s="380"/>
      <c r="BK605" s="380"/>
      <c r="BL605" s="380"/>
      <c r="BM605" s="380"/>
      <c r="BN605" s="380"/>
      <c r="BO605" s="380"/>
      <c r="BP605" s="380"/>
      <c r="BQ605" s="380"/>
      <c r="BR605" s="380"/>
      <c r="BS605" s="380"/>
      <c r="BT605" s="380"/>
      <c r="BU605" s="380"/>
      <c r="BV605" s="380"/>
      <c r="BW605" s="380"/>
      <c r="BX605" s="380"/>
      <c r="BY605" s="380"/>
    </row>
    <row r="606" spans="1:77" s="170" customFormat="1" x14ac:dyDescent="0.25">
      <c r="A606" s="54"/>
      <c r="B606" s="380"/>
      <c r="C606" s="380"/>
      <c r="D606" s="380"/>
      <c r="E606" s="380"/>
      <c r="F606" s="380"/>
      <c r="G606" s="380"/>
      <c r="H606" s="380"/>
      <c r="I606" s="380"/>
      <c r="J606" s="380"/>
      <c r="K606" s="380"/>
      <c r="L606" s="380"/>
      <c r="M606" s="380"/>
      <c r="N606" s="380"/>
      <c r="O606" s="380"/>
      <c r="P606" s="380"/>
      <c r="Q606" s="380"/>
      <c r="R606" s="380"/>
      <c r="S606" s="380"/>
      <c r="T606" s="54"/>
      <c r="U606" s="380"/>
      <c r="V606" s="380"/>
      <c r="W606" s="380"/>
      <c r="X606" s="380"/>
      <c r="Y606" s="380"/>
      <c r="Z606" s="380"/>
      <c r="AA606" s="380"/>
      <c r="AB606" s="380"/>
      <c r="AC606" s="380"/>
      <c r="AD606" s="380"/>
      <c r="AE606" s="380"/>
      <c r="AF606" s="380"/>
      <c r="AG606" s="153"/>
      <c r="AH606" s="380"/>
      <c r="AI606" s="380"/>
      <c r="AJ606" s="380"/>
      <c r="AK606" s="153"/>
      <c r="AL606" s="380"/>
      <c r="AM606" s="380"/>
      <c r="AN606" s="380"/>
      <c r="AO606" s="380"/>
      <c r="AP606" s="380"/>
      <c r="AR606" s="380"/>
      <c r="AS606" s="380"/>
      <c r="AT606" s="380"/>
      <c r="AU606" s="380"/>
      <c r="AV606" s="380"/>
      <c r="AW606" s="380"/>
      <c r="AX606" s="380"/>
      <c r="AY606" s="380"/>
      <c r="AZ606" s="380"/>
      <c r="BA606" s="380"/>
      <c r="BB606" s="380"/>
      <c r="BC606" s="380"/>
      <c r="BD606" s="380"/>
      <c r="BE606" s="380"/>
      <c r="BF606" s="380"/>
      <c r="BG606" s="380"/>
      <c r="BH606" s="380"/>
      <c r="BI606" s="380"/>
      <c r="BJ606" s="380"/>
      <c r="BK606" s="380"/>
      <c r="BL606" s="380"/>
      <c r="BM606" s="380"/>
      <c r="BN606" s="380"/>
      <c r="BO606" s="380"/>
      <c r="BP606" s="380"/>
      <c r="BQ606" s="380"/>
      <c r="BR606" s="380"/>
      <c r="BS606" s="380"/>
      <c r="BT606" s="380"/>
      <c r="BU606" s="380"/>
      <c r="BV606" s="380"/>
      <c r="BW606" s="380"/>
      <c r="BX606" s="380"/>
      <c r="BY606" s="380"/>
    </row>
    <row r="607" spans="1:77" s="170" customFormat="1" x14ac:dyDescent="0.25">
      <c r="A607" s="54"/>
      <c r="B607" s="380"/>
      <c r="C607" s="380"/>
      <c r="D607" s="380"/>
      <c r="E607" s="380"/>
      <c r="F607" s="380"/>
      <c r="G607" s="380"/>
      <c r="H607" s="380"/>
      <c r="I607" s="380"/>
      <c r="J607" s="380"/>
      <c r="K607" s="380"/>
      <c r="L607" s="380"/>
      <c r="M607" s="380"/>
      <c r="N607" s="380"/>
      <c r="O607" s="380"/>
      <c r="P607" s="380"/>
      <c r="Q607" s="380"/>
      <c r="R607" s="380"/>
      <c r="S607" s="380"/>
      <c r="T607" s="54"/>
      <c r="U607" s="380"/>
      <c r="V607" s="380"/>
      <c r="W607" s="380"/>
      <c r="X607" s="380"/>
      <c r="Y607" s="380"/>
      <c r="Z607" s="380"/>
      <c r="AA607" s="380"/>
      <c r="AB607" s="380"/>
      <c r="AC607" s="380"/>
      <c r="AD607" s="380"/>
      <c r="AE607" s="380"/>
      <c r="AF607" s="380"/>
      <c r="AG607" s="153"/>
      <c r="AH607" s="380"/>
      <c r="AI607" s="380"/>
      <c r="AJ607" s="380"/>
      <c r="AK607" s="153"/>
      <c r="AL607" s="380"/>
      <c r="AM607" s="380"/>
      <c r="AN607" s="380"/>
      <c r="AO607" s="380"/>
      <c r="AP607" s="380"/>
      <c r="AR607" s="380"/>
      <c r="AS607" s="380"/>
      <c r="AT607" s="380"/>
      <c r="AU607" s="380"/>
      <c r="AV607" s="380"/>
      <c r="AW607" s="380"/>
      <c r="AX607" s="380"/>
      <c r="AY607" s="380"/>
      <c r="AZ607" s="380"/>
      <c r="BA607" s="380"/>
      <c r="BB607" s="380"/>
      <c r="BC607" s="380"/>
      <c r="BD607" s="380"/>
      <c r="BE607" s="380"/>
      <c r="BF607" s="380"/>
      <c r="BG607" s="380"/>
      <c r="BH607" s="380"/>
      <c r="BI607" s="380"/>
      <c r="BJ607" s="380"/>
      <c r="BK607" s="380"/>
      <c r="BL607" s="380"/>
      <c r="BM607" s="380"/>
      <c r="BN607" s="380"/>
      <c r="BO607" s="380"/>
      <c r="BP607" s="380"/>
      <c r="BQ607" s="380"/>
      <c r="BR607" s="380"/>
      <c r="BS607" s="380"/>
      <c r="BT607" s="380"/>
      <c r="BU607" s="380"/>
      <c r="BV607" s="380"/>
      <c r="BW607" s="380"/>
      <c r="BX607" s="380"/>
      <c r="BY607" s="380"/>
    </row>
    <row r="608" spans="1:77" s="170" customFormat="1" x14ac:dyDescent="0.25">
      <c r="A608" s="54"/>
      <c r="B608" s="380"/>
      <c r="C608" s="380"/>
      <c r="D608" s="380"/>
      <c r="E608" s="380"/>
      <c r="F608" s="380"/>
      <c r="G608" s="380"/>
      <c r="H608" s="380"/>
      <c r="I608" s="380"/>
      <c r="J608" s="380"/>
      <c r="K608" s="380"/>
      <c r="L608" s="380"/>
      <c r="M608" s="380"/>
      <c r="N608" s="380"/>
      <c r="O608" s="380"/>
      <c r="P608" s="380"/>
      <c r="Q608" s="380"/>
      <c r="R608" s="380"/>
      <c r="S608" s="380"/>
      <c r="T608" s="54"/>
      <c r="U608" s="380"/>
      <c r="V608" s="380"/>
      <c r="W608" s="380"/>
      <c r="X608" s="380"/>
      <c r="Y608" s="380"/>
      <c r="Z608" s="380"/>
      <c r="AA608" s="380"/>
      <c r="AB608" s="380"/>
      <c r="AC608" s="380"/>
      <c r="AD608" s="380"/>
      <c r="AE608" s="380"/>
      <c r="AF608" s="380"/>
      <c r="AG608" s="153"/>
      <c r="AH608" s="380"/>
      <c r="AI608" s="380"/>
      <c r="AJ608" s="380"/>
      <c r="AK608" s="153"/>
      <c r="AL608" s="380"/>
      <c r="AM608" s="380"/>
      <c r="AN608" s="380"/>
      <c r="AO608" s="380"/>
      <c r="AP608" s="380"/>
      <c r="AR608" s="380"/>
      <c r="AS608" s="380"/>
      <c r="AT608" s="380"/>
      <c r="AU608" s="380"/>
      <c r="AV608" s="380"/>
      <c r="AW608" s="380"/>
      <c r="AX608" s="380"/>
      <c r="AY608" s="380"/>
      <c r="AZ608" s="380"/>
      <c r="BA608" s="380"/>
      <c r="BB608" s="380"/>
      <c r="BC608" s="380"/>
      <c r="BD608" s="380"/>
      <c r="BE608" s="380"/>
      <c r="BF608" s="380"/>
      <c r="BG608" s="380"/>
      <c r="BH608" s="380"/>
      <c r="BI608" s="380"/>
      <c r="BJ608" s="380"/>
      <c r="BK608" s="380"/>
      <c r="BL608" s="380"/>
      <c r="BM608" s="380"/>
      <c r="BN608" s="380"/>
      <c r="BO608" s="380"/>
      <c r="BP608" s="380"/>
      <c r="BQ608" s="380"/>
      <c r="BR608" s="380"/>
      <c r="BS608" s="380"/>
      <c r="BT608" s="380"/>
      <c r="BU608" s="380"/>
      <c r="BV608" s="380"/>
      <c r="BW608" s="380"/>
      <c r="BX608" s="380"/>
      <c r="BY608" s="380"/>
    </row>
    <row r="609" spans="1:77" s="170" customFormat="1" x14ac:dyDescent="0.25">
      <c r="A609" s="54"/>
      <c r="B609" s="380"/>
      <c r="C609" s="380"/>
      <c r="D609" s="380"/>
      <c r="E609" s="380"/>
      <c r="F609" s="380"/>
      <c r="G609" s="380"/>
      <c r="H609" s="380"/>
      <c r="I609" s="380"/>
      <c r="J609" s="380"/>
      <c r="K609" s="380"/>
      <c r="L609" s="380"/>
      <c r="M609" s="380"/>
      <c r="N609" s="380"/>
      <c r="O609" s="380"/>
      <c r="P609" s="380"/>
      <c r="Q609" s="380"/>
      <c r="R609" s="380"/>
      <c r="S609" s="380"/>
      <c r="T609" s="54"/>
      <c r="U609" s="380"/>
      <c r="V609" s="380"/>
      <c r="W609" s="380"/>
      <c r="X609" s="380"/>
      <c r="Y609" s="380"/>
      <c r="Z609" s="380"/>
      <c r="AA609" s="380"/>
      <c r="AB609" s="380"/>
      <c r="AC609" s="380"/>
      <c r="AD609" s="380"/>
      <c r="AE609" s="380"/>
      <c r="AF609" s="380"/>
      <c r="AG609" s="153"/>
      <c r="AH609" s="380"/>
      <c r="AI609" s="380"/>
      <c r="AJ609" s="380"/>
      <c r="AK609" s="153"/>
      <c r="AL609" s="380"/>
      <c r="AM609" s="380"/>
      <c r="AN609" s="380"/>
      <c r="AO609" s="380"/>
      <c r="AP609" s="380"/>
      <c r="AR609" s="380"/>
      <c r="AS609" s="380"/>
      <c r="AT609" s="380"/>
      <c r="AU609" s="380"/>
      <c r="AV609" s="380"/>
      <c r="AW609" s="380"/>
      <c r="AX609" s="380"/>
      <c r="AY609" s="380"/>
      <c r="AZ609" s="380"/>
      <c r="BA609" s="380"/>
      <c r="BB609" s="380"/>
      <c r="BC609" s="380"/>
      <c r="BD609" s="380"/>
      <c r="BE609" s="380"/>
      <c r="BF609" s="380"/>
      <c r="BG609" s="380"/>
      <c r="BH609" s="380"/>
      <c r="BI609" s="380"/>
      <c r="BJ609" s="380"/>
      <c r="BK609" s="380"/>
      <c r="BL609" s="380"/>
      <c r="BM609" s="380"/>
      <c r="BN609" s="380"/>
      <c r="BO609" s="380"/>
      <c r="BP609" s="380"/>
      <c r="BQ609" s="380"/>
      <c r="BR609" s="380"/>
      <c r="BS609" s="380"/>
      <c r="BT609" s="380"/>
      <c r="BU609" s="380"/>
      <c r="BV609" s="380"/>
      <c r="BW609" s="380"/>
      <c r="BX609" s="380"/>
      <c r="BY609" s="380"/>
    </row>
    <row r="610" spans="1:77" s="170" customFormat="1" x14ac:dyDescent="0.25">
      <c r="A610" s="54"/>
      <c r="B610" s="380"/>
      <c r="C610" s="380"/>
      <c r="D610" s="380"/>
      <c r="E610" s="380"/>
      <c r="F610" s="380"/>
      <c r="G610" s="380"/>
      <c r="H610" s="380"/>
      <c r="I610" s="380"/>
      <c r="J610" s="380"/>
      <c r="K610" s="380"/>
      <c r="L610" s="380"/>
      <c r="M610" s="380"/>
      <c r="N610" s="380"/>
      <c r="O610" s="380"/>
      <c r="P610" s="380"/>
      <c r="Q610" s="380"/>
      <c r="R610" s="380"/>
      <c r="S610" s="380"/>
      <c r="T610" s="54"/>
      <c r="U610" s="380"/>
      <c r="V610" s="380"/>
      <c r="W610" s="380"/>
      <c r="X610" s="380"/>
      <c r="Y610" s="380"/>
      <c r="Z610" s="380"/>
      <c r="AA610" s="380"/>
      <c r="AB610" s="380"/>
      <c r="AC610" s="380"/>
      <c r="AD610" s="380"/>
      <c r="AE610" s="380"/>
      <c r="AF610" s="380"/>
      <c r="AG610" s="153"/>
      <c r="AH610" s="380"/>
      <c r="AI610" s="380"/>
      <c r="AJ610" s="380"/>
      <c r="AK610" s="153"/>
      <c r="AL610" s="380"/>
      <c r="AM610" s="380"/>
      <c r="AN610" s="380"/>
      <c r="AO610" s="380"/>
      <c r="AP610" s="380"/>
      <c r="AR610" s="380"/>
      <c r="AS610" s="380"/>
      <c r="AT610" s="380"/>
      <c r="AU610" s="380"/>
      <c r="AV610" s="380"/>
      <c r="AW610" s="380"/>
      <c r="AX610" s="380"/>
      <c r="AY610" s="380"/>
      <c r="AZ610" s="380"/>
      <c r="BA610" s="380"/>
      <c r="BB610" s="380"/>
      <c r="BC610" s="380"/>
      <c r="BD610" s="380"/>
      <c r="BE610" s="380"/>
      <c r="BF610" s="380"/>
      <c r="BG610" s="380"/>
      <c r="BH610" s="380"/>
      <c r="BI610" s="380"/>
      <c r="BJ610" s="380"/>
      <c r="BK610" s="380"/>
      <c r="BL610" s="380"/>
      <c r="BM610" s="380"/>
      <c r="BN610" s="380"/>
      <c r="BO610" s="380"/>
      <c r="BP610" s="380"/>
      <c r="BQ610" s="380"/>
      <c r="BR610" s="380"/>
      <c r="BS610" s="380"/>
      <c r="BT610" s="380"/>
      <c r="BU610" s="380"/>
      <c r="BV610" s="380"/>
      <c r="BW610" s="380"/>
      <c r="BX610" s="380"/>
      <c r="BY610" s="380"/>
    </row>
    <row r="611" spans="1:77" s="170" customFormat="1" x14ac:dyDescent="0.25">
      <c r="A611" s="54"/>
      <c r="B611" s="380"/>
      <c r="C611" s="380"/>
      <c r="D611" s="380"/>
      <c r="E611" s="380"/>
      <c r="F611" s="380"/>
      <c r="G611" s="380"/>
      <c r="H611" s="380"/>
      <c r="I611" s="380"/>
      <c r="J611" s="380"/>
      <c r="K611" s="380"/>
      <c r="L611" s="380"/>
      <c r="M611" s="380"/>
      <c r="N611" s="380"/>
      <c r="O611" s="380"/>
      <c r="P611" s="380"/>
      <c r="Q611" s="380"/>
      <c r="R611" s="380"/>
      <c r="S611" s="380"/>
      <c r="T611" s="54"/>
      <c r="U611" s="380"/>
      <c r="V611" s="380"/>
      <c r="W611" s="380"/>
      <c r="X611" s="380"/>
      <c r="Y611" s="380"/>
      <c r="Z611" s="380"/>
      <c r="AA611" s="380"/>
      <c r="AB611" s="380"/>
      <c r="AC611" s="380"/>
      <c r="AD611" s="380"/>
      <c r="AE611" s="380"/>
      <c r="AF611" s="380"/>
      <c r="AG611" s="153"/>
      <c r="AH611" s="380"/>
      <c r="AI611" s="380"/>
      <c r="AJ611" s="380"/>
      <c r="AK611" s="153"/>
      <c r="AL611" s="380"/>
      <c r="AM611" s="380"/>
      <c r="AN611" s="380"/>
      <c r="AO611" s="380"/>
      <c r="AP611" s="380"/>
      <c r="AR611" s="380"/>
      <c r="AS611" s="380"/>
      <c r="AT611" s="380"/>
      <c r="AU611" s="380"/>
      <c r="AV611" s="380"/>
      <c r="AW611" s="380"/>
      <c r="AX611" s="380"/>
      <c r="AY611" s="380"/>
      <c r="AZ611" s="380"/>
      <c r="BA611" s="380"/>
      <c r="BB611" s="380"/>
      <c r="BC611" s="380"/>
      <c r="BD611" s="380"/>
      <c r="BE611" s="380"/>
      <c r="BF611" s="380"/>
      <c r="BG611" s="380"/>
      <c r="BH611" s="380"/>
      <c r="BI611" s="380"/>
      <c r="BJ611" s="380"/>
      <c r="BK611" s="380"/>
      <c r="BL611" s="380"/>
      <c r="BM611" s="380"/>
      <c r="BN611" s="380"/>
      <c r="BO611" s="380"/>
      <c r="BP611" s="380"/>
      <c r="BQ611" s="380"/>
      <c r="BR611" s="380"/>
      <c r="BS611" s="380"/>
      <c r="BT611" s="380"/>
      <c r="BU611" s="380"/>
      <c r="BV611" s="380"/>
      <c r="BW611" s="380"/>
      <c r="BX611" s="380"/>
      <c r="BY611" s="380"/>
    </row>
    <row r="613" spans="1:77" s="170" customFormat="1" x14ac:dyDescent="0.25">
      <c r="A613" s="54"/>
      <c r="B613" s="380"/>
      <c r="C613" s="380"/>
      <c r="D613" s="380"/>
      <c r="E613" s="380"/>
      <c r="F613" s="380"/>
      <c r="G613" s="380"/>
      <c r="H613" s="380"/>
      <c r="I613" s="380"/>
      <c r="J613" s="380"/>
      <c r="K613" s="380"/>
      <c r="L613" s="380"/>
      <c r="M613" s="380"/>
      <c r="N613" s="380"/>
      <c r="O613" s="380"/>
      <c r="P613" s="380"/>
      <c r="Q613" s="380"/>
      <c r="R613" s="380"/>
      <c r="S613" s="380"/>
      <c r="T613" s="380"/>
      <c r="U613" s="380"/>
      <c r="V613" s="380"/>
      <c r="W613" s="380"/>
      <c r="X613" s="380"/>
      <c r="Y613" s="380"/>
      <c r="Z613" s="380"/>
      <c r="AA613" s="380"/>
      <c r="AB613" s="380"/>
      <c r="AC613" s="380"/>
      <c r="AD613" s="380"/>
      <c r="AE613" s="380"/>
      <c r="AF613" s="380"/>
      <c r="AG613" s="153"/>
      <c r="AH613" s="380"/>
      <c r="AI613" s="380"/>
      <c r="AJ613" s="380"/>
      <c r="AK613" s="153"/>
      <c r="AL613" s="380"/>
      <c r="AM613" s="380"/>
      <c r="AN613" s="380"/>
      <c r="AO613" s="380"/>
      <c r="AP613" s="380"/>
      <c r="AR613" s="380"/>
      <c r="AS613" s="380"/>
      <c r="AT613" s="380"/>
      <c r="AU613" s="380"/>
      <c r="AV613" s="380"/>
      <c r="AW613" s="380"/>
      <c r="AX613" s="380"/>
      <c r="AY613" s="380"/>
      <c r="AZ613" s="380"/>
      <c r="BA613" s="380"/>
      <c r="BB613" s="380"/>
      <c r="BC613" s="380"/>
      <c r="BD613" s="380"/>
      <c r="BE613" s="380"/>
      <c r="BF613" s="380"/>
      <c r="BG613" s="380"/>
      <c r="BH613" s="380"/>
      <c r="BI613" s="380"/>
      <c r="BJ613" s="380"/>
      <c r="BK613" s="380"/>
      <c r="BL613" s="380"/>
      <c r="BM613" s="380"/>
      <c r="BN613" s="380"/>
      <c r="BO613" s="380"/>
      <c r="BP613" s="380"/>
      <c r="BQ613" s="380"/>
      <c r="BR613" s="380"/>
      <c r="BS613" s="380"/>
      <c r="BT613" s="380"/>
      <c r="BU613" s="380"/>
      <c r="BV613" s="380"/>
      <c r="BW613" s="380"/>
      <c r="BX613" s="380"/>
      <c r="BY613" s="380"/>
    </row>
    <row r="614" spans="1:77" s="170" customFormat="1" x14ac:dyDescent="0.25">
      <c r="A614" s="380"/>
      <c r="B614" s="380"/>
      <c r="C614" s="380"/>
      <c r="D614" s="380"/>
      <c r="E614" s="380"/>
      <c r="F614" s="380"/>
      <c r="G614" s="380"/>
      <c r="H614" s="380"/>
      <c r="I614" s="380"/>
      <c r="J614" s="53"/>
      <c r="K614" s="53"/>
      <c r="L614" s="380"/>
      <c r="M614" s="380"/>
      <c r="N614" s="380"/>
      <c r="O614" s="380"/>
      <c r="P614" s="380"/>
      <c r="Q614" s="380"/>
      <c r="R614" s="380"/>
      <c r="S614" s="380"/>
      <c r="T614" s="380"/>
      <c r="U614" s="380"/>
      <c r="V614" s="380"/>
      <c r="W614" s="380"/>
      <c r="X614" s="380"/>
      <c r="Y614" s="380"/>
      <c r="Z614" s="380"/>
      <c r="AA614" s="380"/>
      <c r="AB614" s="53"/>
      <c r="AC614" s="380"/>
      <c r="AD614" s="380"/>
      <c r="AE614" s="380"/>
      <c r="AF614" s="380"/>
      <c r="AG614" s="153"/>
      <c r="AH614" s="380"/>
      <c r="AI614" s="380"/>
      <c r="AJ614" s="380"/>
      <c r="AK614" s="153"/>
      <c r="AL614" s="380"/>
      <c r="AM614" s="380"/>
      <c r="AN614" s="380"/>
      <c r="AO614" s="380"/>
      <c r="AP614" s="380"/>
      <c r="AR614" s="380"/>
      <c r="AS614" s="380"/>
      <c r="AT614" s="380"/>
      <c r="AU614" s="380"/>
      <c r="AV614" s="380"/>
      <c r="AW614" s="380"/>
      <c r="AX614" s="380"/>
      <c r="AY614" s="380"/>
      <c r="AZ614" s="380"/>
      <c r="BA614" s="380"/>
      <c r="BB614" s="380"/>
      <c r="BC614" s="380"/>
      <c r="BD614" s="380"/>
      <c r="BE614" s="380"/>
      <c r="BF614" s="380"/>
      <c r="BG614" s="380"/>
      <c r="BH614" s="380"/>
      <c r="BI614" s="380"/>
      <c r="BJ614" s="380"/>
      <c r="BK614" s="380"/>
      <c r="BL614" s="380"/>
      <c r="BM614" s="380"/>
      <c r="BN614" s="380"/>
      <c r="BO614" s="380"/>
      <c r="BP614" s="380"/>
      <c r="BQ614" s="380"/>
      <c r="BR614" s="380"/>
      <c r="BS614" s="380"/>
      <c r="BT614" s="380"/>
      <c r="BU614" s="380"/>
      <c r="BV614" s="380"/>
      <c r="BW614" s="380"/>
      <c r="BX614" s="380"/>
      <c r="BY614" s="380"/>
    </row>
    <row r="615" spans="1:77" s="170" customFormat="1" x14ac:dyDescent="0.25">
      <c r="A615" s="380"/>
      <c r="B615" s="380"/>
      <c r="C615" s="380"/>
      <c r="D615" s="380"/>
      <c r="E615" s="380"/>
      <c r="F615" s="380"/>
      <c r="G615" s="380"/>
      <c r="H615" s="54"/>
      <c r="I615" s="54"/>
      <c r="J615" s="380"/>
      <c r="K615" s="380"/>
      <c r="L615" s="380"/>
      <c r="M615" s="380"/>
      <c r="N615" s="380"/>
      <c r="O615" s="380"/>
      <c r="P615" s="380"/>
      <c r="Q615" s="380"/>
      <c r="R615" s="380"/>
      <c r="S615" s="380"/>
      <c r="T615" s="380"/>
      <c r="U615" s="380"/>
      <c r="V615" s="380"/>
      <c r="W615" s="380"/>
      <c r="X615" s="380"/>
      <c r="Y615" s="380"/>
      <c r="Z615" s="380"/>
      <c r="AA615" s="54"/>
      <c r="AB615" s="380"/>
      <c r="AC615" s="380"/>
      <c r="AD615" s="380"/>
      <c r="AE615" s="380"/>
      <c r="AF615" s="380"/>
      <c r="AG615" s="153"/>
      <c r="AH615" s="380"/>
      <c r="AI615" s="380"/>
      <c r="AJ615" s="380"/>
      <c r="AK615" s="153"/>
      <c r="AL615" s="380"/>
      <c r="AM615" s="380"/>
      <c r="AN615" s="380"/>
      <c r="AO615" s="380"/>
      <c r="AP615" s="380"/>
      <c r="AR615" s="380"/>
      <c r="AS615" s="380"/>
      <c r="AT615" s="380"/>
      <c r="AU615" s="380"/>
      <c r="AV615" s="380"/>
      <c r="AW615" s="380"/>
      <c r="AX615" s="380"/>
      <c r="AY615" s="380"/>
      <c r="AZ615" s="380"/>
      <c r="BA615" s="380"/>
      <c r="BB615" s="380"/>
      <c r="BC615" s="380"/>
      <c r="BD615" s="380"/>
      <c r="BE615" s="380"/>
      <c r="BF615" s="380"/>
      <c r="BG615" s="380"/>
      <c r="BH615" s="380"/>
      <c r="BI615" s="380"/>
      <c r="BJ615" s="380"/>
      <c r="BK615" s="380"/>
      <c r="BL615" s="380"/>
      <c r="BM615" s="380"/>
      <c r="BN615" s="380"/>
      <c r="BO615" s="380"/>
      <c r="BP615" s="380"/>
      <c r="BQ615" s="380"/>
      <c r="BR615" s="380"/>
      <c r="BS615" s="380"/>
      <c r="BT615" s="380"/>
      <c r="BU615" s="380"/>
      <c r="BV615" s="380"/>
      <c r="BW615" s="380"/>
      <c r="BX615" s="380"/>
      <c r="BY615" s="380"/>
    </row>
    <row r="616" spans="1:77" s="170" customFormat="1" x14ac:dyDescent="0.25">
      <c r="A616" s="380"/>
      <c r="B616" s="380"/>
      <c r="C616" s="380"/>
      <c r="D616" s="380"/>
      <c r="E616" s="380"/>
      <c r="F616" s="380"/>
      <c r="G616" s="380"/>
      <c r="H616" s="380"/>
      <c r="I616" s="380"/>
      <c r="J616" s="53"/>
      <c r="K616" s="53"/>
      <c r="L616" s="380"/>
      <c r="M616" s="380"/>
      <c r="N616" s="380"/>
      <c r="O616" s="380"/>
      <c r="P616" s="380"/>
      <c r="Q616" s="380"/>
      <c r="R616" s="380"/>
      <c r="S616" s="380"/>
      <c r="T616" s="380"/>
      <c r="U616" s="380"/>
      <c r="V616" s="380"/>
      <c r="W616" s="380"/>
      <c r="X616" s="380"/>
      <c r="Y616" s="380"/>
      <c r="Z616" s="380"/>
      <c r="AA616" s="380"/>
      <c r="AB616" s="53"/>
      <c r="AC616" s="380"/>
      <c r="AD616" s="380"/>
      <c r="AE616" s="380"/>
      <c r="AF616" s="380"/>
      <c r="AG616" s="153"/>
      <c r="AH616" s="380"/>
      <c r="AI616" s="380"/>
      <c r="AJ616" s="380"/>
      <c r="AK616" s="153"/>
      <c r="AL616" s="380"/>
      <c r="AM616" s="380"/>
      <c r="AN616" s="380"/>
      <c r="AO616" s="380"/>
      <c r="AP616" s="380"/>
      <c r="AR616" s="380"/>
      <c r="AS616" s="380"/>
      <c r="AT616" s="380"/>
      <c r="AU616" s="380"/>
      <c r="AV616" s="380"/>
      <c r="AW616" s="380"/>
      <c r="AX616" s="380"/>
      <c r="AY616" s="380"/>
      <c r="AZ616" s="380"/>
      <c r="BA616" s="380"/>
      <c r="BB616" s="380"/>
      <c r="BC616" s="380"/>
      <c r="BD616" s="380"/>
      <c r="BE616" s="380"/>
      <c r="BF616" s="380"/>
      <c r="BG616" s="380"/>
      <c r="BH616" s="380"/>
      <c r="BI616" s="380"/>
      <c r="BJ616" s="380"/>
      <c r="BK616" s="380"/>
      <c r="BL616" s="380"/>
      <c r="BM616" s="380"/>
      <c r="BN616" s="380"/>
      <c r="BO616" s="380"/>
      <c r="BP616" s="380"/>
      <c r="BQ616" s="380"/>
      <c r="BR616" s="380"/>
      <c r="BS616" s="380"/>
      <c r="BT616" s="380"/>
      <c r="BU616" s="380"/>
      <c r="BV616" s="380"/>
      <c r="BW616" s="380"/>
      <c r="BX616" s="380"/>
      <c r="BY616" s="380"/>
    </row>
    <row r="617" spans="1:77" s="170" customFormat="1" x14ac:dyDescent="0.25">
      <c r="A617" s="380"/>
      <c r="B617" s="380"/>
      <c r="C617" s="380"/>
      <c r="D617" s="380"/>
      <c r="E617" s="380"/>
      <c r="F617" s="380"/>
      <c r="G617" s="380"/>
      <c r="H617" s="380"/>
      <c r="I617" s="380"/>
      <c r="J617" s="380"/>
      <c r="K617" s="380"/>
      <c r="L617" s="54"/>
      <c r="M617" s="54"/>
      <c r="N617" s="380"/>
      <c r="O617" s="380"/>
      <c r="P617" s="380"/>
      <c r="Q617" s="380"/>
      <c r="R617" s="380"/>
      <c r="S617" s="380"/>
      <c r="T617" s="380"/>
      <c r="U617" s="380"/>
      <c r="V617" s="380"/>
      <c r="W617" s="380"/>
      <c r="X617" s="380"/>
      <c r="Y617" s="380"/>
      <c r="Z617" s="380"/>
      <c r="AA617" s="380"/>
      <c r="AB617" s="380"/>
      <c r="AC617" s="54"/>
      <c r="AD617" s="54"/>
      <c r="AE617" s="380"/>
      <c r="AF617" s="380"/>
      <c r="AG617" s="153"/>
      <c r="AH617" s="380"/>
      <c r="AI617" s="380"/>
      <c r="AJ617" s="380"/>
      <c r="AK617" s="153"/>
      <c r="AL617" s="380"/>
      <c r="AM617" s="380"/>
      <c r="AN617" s="380"/>
      <c r="AO617" s="380"/>
      <c r="AP617" s="380"/>
      <c r="AR617" s="380"/>
      <c r="AS617" s="380"/>
      <c r="AT617" s="380"/>
      <c r="AU617" s="380"/>
      <c r="AV617" s="380"/>
      <c r="AW617" s="380"/>
      <c r="AX617" s="380"/>
      <c r="AY617" s="380"/>
      <c r="AZ617" s="380"/>
      <c r="BA617" s="380"/>
      <c r="BB617" s="380"/>
      <c r="BC617" s="380"/>
      <c r="BD617" s="380"/>
      <c r="BE617" s="380"/>
      <c r="BF617" s="380"/>
      <c r="BG617" s="380"/>
      <c r="BH617" s="380"/>
      <c r="BI617" s="380"/>
      <c r="BJ617" s="380"/>
      <c r="BK617" s="380"/>
      <c r="BL617" s="380"/>
      <c r="BM617" s="380"/>
      <c r="BN617" s="380"/>
      <c r="BO617" s="380"/>
      <c r="BP617" s="380"/>
      <c r="BQ617" s="380"/>
      <c r="BR617" s="380"/>
      <c r="BS617" s="380"/>
      <c r="BT617" s="380"/>
      <c r="BU617" s="380"/>
      <c r="BV617" s="380"/>
      <c r="BW617" s="380"/>
      <c r="BX617" s="380"/>
      <c r="BY617" s="380"/>
    </row>
    <row r="618" spans="1:77" s="170" customFormat="1" x14ac:dyDescent="0.25">
      <c r="A618" s="53"/>
      <c r="B618" s="380"/>
      <c r="C618" s="380"/>
      <c r="D618" s="380"/>
      <c r="E618" s="380"/>
      <c r="F618" s="380"/>
      <c r="G618" s="380"/>
      <c r="H618" s="380"/>
      <c r="I618" s="380"/>
      <c r="J618" s="380"/>
      <c r="K618" s="380"/>
      <c r="L618" s="380"/>
      <c r="M618" s="380"/>
      <c r="N618" s="380"/>
      <c r="O618" s="380"/>
      <c r="P618" s="380"/>
      <c r="Q618" s="380"/>
      <c r="R618" s="54"/>
      <c r="S618" s="380"/>
      <c r="T618" s="380"/>
      <c r="U618" s="380"/>
      <c r="V618" s="380"/>
      <c r="W618" s="380"/>
      <c r="X618" s="380"/>
      <c r="Y618" s="380"/>
      <c r="Z618" s="380"/>
      <c r="AA618" s="380"/>
      <c r="AB618" s="380"/>
      <c r="AC618" s="380"/>
      <c r="AD618" s="380"/>
      <c r="AE618" s="380"/>
      <c r="AF618" s="380"/>
      <c r="AG618" s="153"/>
      <c r="AH618" s="380"/>
      <c r="AI618" s="380"/>
      <c r="AJ618" s="380"/>
      <c r="AK618" s="153"/>
      <c r="AL618" s="380"/>
      <c r="AM618" s="54"/>
      <c r="AN618" s="54"/>
      <c r="AO618" s="380"/>
      <c r="AP618" s="380"/>
      <c r="AR618" s="380"/>
      <c r="AS618" s="380"/>
      <c r="AT618" s="380"/>
      <c r="AU618" s="380"/>
      <c r="AV618" s="380"/>
      <c r="AW618" s="380"/>
      <c r="AX618" s="380"/>
      <c r="AY618" s="380"/>
      <c r="AZ618" s="380"/>
      <c r="BA618" s="380"/>
      <c r="BB618" s="380"/>
      <c r="BC618" s="380"/>
      <c r="BD618" s="380"/>
      <c r="BE618" s="380"/>
      <c r="BF618" s="380"/>
      <c r="BG618" s="380"/>
      <c r="BH618" s="380"/>
      <c r="BI618" s="380"/>
      <c r="BJ618" s="380"/>
      <c r="BK618" s="380"/>
      <c r="BL618" s="380"/>
      <c r="BM618" s="380"/>
      <c r="BN618" s="380"/>
      <c r="BO618" s="380"/>
      <c r="BP618" s="380"/>
      <c r="BQ618" s="380"/>
      <c r="BR618" s="380"/>
      <c r="BS618" s="380"/>
      <c r="BT618" s="380"/>
      <c r="BU618" s="380"/>
      <c r="BV618" s="380"/>
      <c r="BW618" s="380"/>
      <c r="BX618" s="380"/>
      <c r="BY618" s="380"/>
    </row>
    <row r="619" spans="1:77" s="170" customFormat="1" x14ac:dyDescent="0.25">
      <c r="A619" s="53"/>
      <c r="B619" s="380"/>
      <c r="C619" s="380"/>
      <c r="D619" s="380"/>
      <c r="E619" s="380"/>
      <c r="F619" s="380"/>
      <c r="G619" s="380"/>
      <c r="H619" s="380"/>
      <c r="I619" s="380"/>
      <c r="J619" s="380"/>
      <c r="K619" s="380"/>
      <c r="L619" s="380"/>
      <c r="M619" s="380"/>
      <c r="N619" s="380"/>
      <c r="O619" s="380"/>
      <c r="P619" s="380"/>
      <c r="Q619" s="380"/>
      <c r="R619" s="54"/>
      <c r="S619" s="380"/>
      <c r="T619" s="380"/>
      <c r="U619" s="380"/>
      <c r="V619" s="380"/>
      <c r="W619" s="380"/>
      <c r="X619" s="380"/>
      <c r="Y619" s="380"/>
      <c r="Z619" s="380"/>
      <c r="AA619" s="380"/>
      <c r="AB619" s="380"/>
      <c r="AC619" s="380"/>
      <c r="AD619" s="380"/>
      <c r="AE619" s="380"/>
      <c r="AF619" s="380"/>
      <c r="AG619" s="153"/>
      <c r="AH619" s="380"/>
      <c r="AI619" s="380"/>
      <c r="AJ619" s="380"/>
      <c r="AK619" s="153"/>
      <c r="AL619" s="380"/>
      <c r="AM619" s="54"/>
      <c r="AN619" s="54"/>
      <c r="AO619" s="380"/>
      <c r="AP619" s="380"/>
      <c r="AR619" s="380"/>
      <c r="AS619" s="380"/>
      <c r="AT619" s="380"/>
      <c r="AU619" s="380"/>
      <c r="AV619" s="380"/>
      <c r="AW619" s="380"/>
      <c r="AX619" s="380"/>
      <c r="AY619" s="380"/>
      <c r="AZ619" s="380"/>
      <c r="BA619" s="380"/>
      <c r="BB619" s="380"/>
      <c r="BC619" s="380"/>
      <c r="BD619" s="380"/>
      <c r="BE619" s="380"/>
      <c r="BF619" s="380"/>
      <c r="BG619" s="380"/>
      <c r="BH619" s="380"/>
      <c r="BI619" s="380"/>
      <c r="BJ619" s="380"/>
      <c r="BK619" s="380"/>
      <c r="BL619" s="380"/>
      <c r="BM619" s="380"/>
      <c r="BN619" s="380"/>
      <c r="BO619" s="380"/>
      <c r="BP619" s="380"/>
      <c r="BQ619" s="380"/>
      <c r="BR619" s="380"/>
      <c r="BS619" s="380"/>
      <c r="BT619" s="380"/>
      <c r="BU619" s="380"/>
      <c r="BV619" s="380"/>
      <c r="BW619" s="380"/>
      <c r="BX619" s="380"/>
      <c r="BY619" s="380"/>
    </row>
    <row r="620" spans="1:77" s="170" customFormat="1" x14ac:dyDescent="0.25">
      <c r="A620" s="54"/>
      <c r="B620" s="380"/>
      <c r="C620" s="380"/>
      <c r="D620" s="380"/>
      <c r="E620" s="380"/>
      <c r="F620" s="380"/>
      <c r="G620" s="380"/>
      <c r="H620" s="380"/>
      <c r="I620" s="380"/>
      <c r="J620" s="380"/>
      <c r="K620" s="380"/>
      <c r="L620" s="380"/>
      <c r="M620" s="380"/>
      <c r="N620" s="380"/>
      <c r="O620" s="380"/>
      <c r="P620" s="380"/>
      <c r="Q620" s="380"/>
      <c r="R620" s="54"/>
      <c r="S620" s="380"/>
      <c r="T620" s="380"/>
      <c r="U620" s="380"/>
      <c r="V620" s="380"/>
      <c r="W620" s="380"/>
      <c r="X620" s="380"/>
      <c r="Y620" s="380"/>
      <c r="Z620" s="380"/>
      <c r="AA620" s="380"/>
      <c r="AB620" s="380"/>
      <c r="AC620" s="380"/>
      <c r="AD620" s="380"/>
      <c r="AE620" s="380"/>
      <c r="AF620" s="380"/>
      <c r="AG620" s="153"/>
      <c r="AH620" s="380"/>
      <c r="AI620" s="380"/>
      <c r="AJ620" s="380"/>
      <c r="AK620" s="153"/>
      <c r="AL620" s="380"/>
      <c r="AM620" s="54"/>
      <c r="AN620" s="54"/>
      <c r="AO620" s="380"/>
      <c r="AP620" s="380"/>
      <c r="AR620" s="380"/>
      <c r="AS620" s="380"/>
      <c r="AT620" s="380"/>
      <c r="AU620" s="380"/>
      <c r="AV620" s="380"/>
      <c r="AW620" s="380"/>
      <c r="AX620" s="380"/>
      <c r="AY620" s="380"/>
      <c r="AZ620" s="380"/>
      <c r="BA620" s="380"/>
      <c r="BB620" s="380"/>
      <c r="BC620" s="380"/>
      <c r="BD620" s="380"/>
      <c r="BE620" s="380"/>
      <c r="BF620" s="380"/>
      <c r="BG620" s="380"/>
      <c r="BH620" s="380"/>
      <c r="BI620" s="380"/>
      <c r="BJ620" s="380"/>
      <c r="BK620" s="380"/>
      <c r="BL620" s="380"/>
      <c r="BM620" s="380"/>
      <c r="BN620" s="380"/>
      <c r="BO620" s="380"/>
      <c r="BP620" s="380"/>
      <c r="BQ620" s="380"/>
      <c r="BR620" s="380"/>
      <c r="BS620" s="380"/>
      <c r="BT620" s="380"/>
      <c r="BU620" s="380"/>
      <c r="BV620" s="380"/>
      <c r="BW620" s="380"/>
      <c r="BX620" s="380"/>
      <c r="BY620" s="380"/>
    </row>
    <row r="621" spans="1:77" s="170" customFormat="1" x14ac:dyDescent="0.25">
      <c r="A621" s="380"/>
      <c r="B621" s="380"/>
      <c r="C621" s="380"/>
      <c r="D621" s="380"/>
      <c r="E621" s="380"/>
      <c r="F621" s="380"/>
      <c r="G621" s="380"/>
      <c r="H621" s="380"/>
      <c r="I621" s="380"/>
      <c r="J621" s="380"/>
      <c r="K621" s="380"/>
      <c r="L621" s="54"/>
      <c r="M621" s="54"/>
      <c r="N621" s="380"/>
      <c r="O621" s="380"/>
      <c r="P621" s="380"/>
      <c r="Q621" s="380"/>
      <c r="R621" s="53"/>
      <c r="S621" s="380"/>
      <c r="T621" s="380"/>
      <c r="U621" s="380"/>
      <c r="V621" s="380"/>
      <c r="W621" s="380"/>
      <c r="X621" s="380"/>
      <c r="Y621" s="380"/>
      <c r="Z621" s="380"/>
      <c r="AA621" s="380"/>
      <c r="AB621" s="380"/>
      <c r="AC621" s="54"/>
      <c r="AD621" s="54"/>
      <c r="AE621" s="380"/>
      <c r="AF621" s="380"/>
      <c r="AG621" s="153"/>
      <c r="AH621" s="380"/>
      <c r="AI621" s="380"/>
      <c r="AJ621" s="380"/>
      <c r="AK621" s="153"/>
      <c r="AL621" s="380"/>
      <c r="AM621" s="53"/>
      <c r="AN621" s="53"/>
      <c r="AO621" s="380"/>
      <c r="AP621" s="380"/>
      <c r="AR621" s="380"/>
      <c r="AS621" s="380"/>
      <c r="AT621" s="380"/>
      <c r="AU621" s="380"/>
      <c r="AV621" s="380"/>
      <c r="AW621" s="380"/>
      <c r="AX621" s="380"/>
      <c r="AY621" s="380"/>
      <c r="AZ621" s="380"/>
      <c r="BA621" s="380"/>
      <c r="BB621" s="380"/>
      <c r="BC621" s="380"/>
      <c r="BD621" s="380"/>
      <c r="BE621" s="380"/>
      <c r="BF621" s="380"/>
      <c r="BG621" s="380"/>
      <c r="BH621" s="380"/>
      <c r="BI621" s="380"/>
      <c r="BJ621" s="380"/>
      <c r="BK621" s="380"/>
      <c r="BL621" s="380"/>
      <c r="BM621" s="380"/>
      <c r="BN621" s="380"/>
      <c r="BO621" s="380"/>
      <c r="BP621" s="380"/>
      <c r="BQ621" s="380"/>
      <c r="BR621" s="380"/>
      <c r="BS621" s="380"/>
      <c r="BT621" s="380"/>
      <c r="BU621" s="380"/>
      <c r="BV621" s="380"/>
      <c r="BW621" s="380"/>
      <c r="BX621" s="380"/>
      <c r="BY621" s="380"/>
    </row>
    <row r="622" spans="1:77" s="170" customFormat="1" x14ac:dyDescent="0.25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380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154"/>
      <c r="AH622" s="55"/>
      <c r="AI622" s="55"/>
      <c r="AJ622" s="55"/>
      <c r="AK622" s="154"/>
      <c r="AL622" s="55"/>
      <c r="AM622" s="55"/>
      <c r="AN622" s="55"/>
      <c r="AO622" s="55"/>
      <c r="AP622" s="55"/>
      <c r="AR622" s="380"/>
      <c r="AS622" s="380"/>
      <c r="AT622" s="380"/>
      <c r="AU622" s="380"/>
      <c r="AV622" s="380"/>
      <c r="AW622" s="380"/>
      <c r="AX622" s="380"/>
      <c r="AY622" s="380"/>
      <c r="AZ622" s="380"/>
      <c r="BA622" s="380"/>
      <c r="BB622" s="380"/>
      <c r="BC622" s="380"/>
      <c r="BD622" s="380"/>
      <c r="BE622" s="380"/>
      <c r="BF622" s="380"/>
      <c r="BG622" s="380"/>
      <c r="BH622" s="380"/>
      <c r="BI622" s="380"/>
      <c r="BJ622" s="380"/>
      <c r="BK622" s="380"/>
      <c r="BL622" s="380"/>
      <c r="BM622" s="380"/>
      <c r="BN622" s="380"/>
      <c r="BO622" s="380"/>
      <c r="BP622" s="380"/>
      <c r="BQ622" s="380"/>
      <c r="BR622" s="380"/>
      <c r="BS622" s="380"/>
      <c r="BT622" s="380"/>
      <c r="BU622" s="380"/>
      <c r="BV622" s="380"/>
      <c r="BW622" s="380"/>
      <c r="BX622" s="380"/>
      <c r="BY622" s="380"/>
    </row>
    <row r="623" spans="1:77" s="170" customFormat="1" x14ac:dyDescent="0.25">
      <c r="A623" s="380"/>
      <c r="B623" s="380"/>
      <c r="C623" s="380"/>
      <c r="D623" s="380"/>
      <c r="E623" s="380"/>
      <c r="F623" s="380"/>
      <c r="G623" s="380"/>
      <c r="H623" s="380"/>
      <c r="I623" s="380"/>
      <c r="J623" s="380"/>
      <c r="K623" s="380"/>
      <c r="L623" s="56"/>
      <c r="M623" s="56"/>
      <c r="N623" s="56"/>
      <c r="O623" s="56"/>
      <c r="P623" s="380"/>
      <c r="Q623" s="380"/>
      <c r="R623" s="56"/>
      <c r="S623" s="380"/>
      <c r="T623" s="380"/>
      <c r="U623" s="380"/>
      <c r="V623" s="380"/>
      <c r="W623" s="380"/>
      <c r="X623" s="380"/>
      <c r="Y623" s="380"/>
      <c r="Z623" s="380"/>
      <c r="AA623" s="380"/>
      <c r="AB623" s="380"/>
      <c r="AC623" s="56"/>
      <c r="AD623" s="56"/>
      <c r="AE623" s="56"/>
      <c r="AF623" s="56"/>
      <c r="AG623" s="155"/>
      <c r="AH623" s="56"/>
      <c r="AI623" s="56"/>
      <c r="AJ623" s="56"/>
      <c r="AK623" s="153"/>
      <c r="AL623" s="380"/>
      <c r="AM623" s="56"/>
      <c r="AN623" s="56"/>
      <c r="AO623" s="56"/>
      <c r="AP623" s="56"/>
      <c r="AR623" s="380"/>
      <c r="AS623" s="380"/>
      <c r="AT623" s="380"/>
      <c r="AU623" s="380"/>
      <c r="AV623" s="380"/>
      <c r="AW623" s="380"/>
      <c r="AX623" s="380"/>
      <c r="AY623" s="380"/>
      <c r="AZ623" s="380"/>
      <c r="BA623" s="380"/>
      <c r="BB623" s="380"/>
      <c r="BC623" s="380"/>
      <c r="BD623" s="380"/>
      <c r="BE623" s="380"/>
      <c r="BF623" s="380"/>
      <c r="BG623" s="380"/>
      <c r="BH623" s="380"/>
      <c r="BI623" s="380"/>
      <c r="BJ623" s="380"/>
      <c r="BK623" s="380"/>
      <c r="BL623" s="380"/>
      <c r="BM623" s="380"/>
      <c r="BN623" s="380"/>
      <c r="BO623" s="380"/>
      <c r="BP623" s="380"/>
      <c r="BQ623" s="380"/>
      <c r="BR623" s="380"/>
      <c r="BS623" s="380"/>
      <c r="BT623" s="380"/>
      <c r="BU623" s="380"/>
      <c r="BV623" s="380"/>
      <c r="BW623" s="380"/>
      <c r="BX623" s="380"/>
      <c r="BY623" s="380"/>
    </row>
    <row r="624" spans="1:77" s="170" customFormat="1" x14ac:dyDescent="0.25">
      <c r="A624" s="380"/>
      <c r="B624" s="380"/>
      <c r="C624" s="380"/>
      <c r="D624" s="380"/>
      <c r="E624" s="380"/>
      <c r="F624" s="380"/>
      <c r="G624" s="380"/>
      <c r="H624" s="380"/>
      <c r="I624" s="380"/>
      <c r="J624" s="380"/>
      <c r="K624" s="380"/>
      <c r="L624" s="56"/>
      <c r="M624" s="56"/>
      <c r="N624" s="56"/>
      <c r="O624" s="56"/>
      <c r="P624" s="380"/>
      <c r="Q624" s="380"/>
      <c r="R624" s="56"/>
      <c r="S624" s="380"/>
      <c r="T624" s="380"/>
      <c r="U624" s="380"/>
      <c r="V624" s="380"/>
      <c r="W624" s="380"/>
      <c r="X624" s="380"/>
      <c r="Y624" s="380"/>
      <c r="Z624" s="380"/>
      <c r="AA624" s="380"/>
      <c r="AB624" s="56"/>
      <c r="AC624" s="56"/>
      <c r="AD624" s="56"/>
      <c r="AE624" s="56"/>
      <c r="AF624" s="56"/>
      <c r="AG624" s="155"/>
      <c r="AH624" s="56"/>
      <c r="AI624" s="56"/>
      <c r="AJ624" s="56"/>
      <c r="AK624" s="153"/>
      <c r="AL624" s="380"/>
      <c r="AM624" s="56"/>
      <c r="AN624" s="56"/>
      <c r="AO624" s="56"/>
      <c r="AP624" s="56"/>
      <c r="AR624" s="380"/>
      <c r="AS624" s="380"/>
      <c r="AT624" s="380"/>
      <c r="AU624" s="380"/>
      <c r="AV624" s="380"/>
      <c r="AW624" s="380"/>
      <c r="AX624" s="380"/>
      <c r="AY624" s="380"/>
      <c r="AZ624" s="380"/>
      <c r="BA624" s="380"/>
      <c r="BB624" s="380"/>
      <c r="BC624" s="380"/>
      <c r="BD624" s="380"/>
      <c r="BE624" s="380"/>
      <c r="BF624" s="380"/>
      <c r="BG624" s="380"/>
      <c r="BH624" s="380"/>
      <c r="BI624" s="380"/>
      <c r="BJ624" s="380"/>
      <c r="BK624" s="380"/>
      <c r="BL624" s="380"/>
      <c r="BM624" s="380"/>
      <c r="BN624" s="380"/>
      <c r="BO624" s="380"/>
      <c r="BP624" s="380"/>
      <c r="BQ624" s="380"/>
      <c r="BR624" s="380"/>
      <c r="BS624" s="380"/>
      <c r="BT624" s="380"/>
      <c r="BU624" s="380"/>
      <c r="BV624" s="380"/>
      <c r="BW624" s="380"/>
      <c r="BX624" s="380"/>
      <c r="BY624" s="380"/>
    </row>
    <row r="625" spans="1:77" s="170" customFormat="1" x14ac:dyDescent="0.25">
      <c r="A625" s="56"/>
      <c r="B625" s="380"/>
      <c r="C625" s="56"/>
      <c r="D625" s="56"/>
      <c r="E625" s="56"/>
      <c r="F625" s="56"/>
      <c r="G625" s="380"/>
      <c r="H625" s="380"/>
      <c r="I625" s="380"/>
      <c r="J625" s="56"/>
      <c r="K625" s="56"/>
      <c r="L625" s="56"/>
      <c r="M625" s="56"/>
      <c r="N625" s="56"/>
      <c r="O625" s="56"/>
      <c r="P625" s="56"/>
      <c r="Q625" s="56"/>
      <c r="R625" s="56"/>
      <c r="S625" s="380"/>
      <c r="T625" s="56"/>
      <c r="U625" s="56"/>
      <c r="V625" s="56"/>
      <c r="W625" s="380"/>
      <c r="X625" s="380"/>
      <c r="Y625" s="380"/>
      <c r="Z625" s="380"/>
      <c r="AA625" s="380"/>
      <c r="AB625" s="56"/>
      <c r="AC625" s="56"/>
      <c r="AD625" s="56"/>
      <c r="AE625" s="56"/>
      <c r="AF625" s="56"/>
      <c r="AG625" s="155"/>
      <c r="AH625" s="56"/>
      <c r="AI625" s="56"/>
      <c r="AJ625" s="56"/>
      <c r="AK625" s="155"/>
      <c r="AL625" s="56"/>
      <c r="AM625" s="56"/>
      <c r="AN625" s="56"/>
      <c r="AO625" s="56"/>
      <c r="AP625" s="56"/>
      <c r="AR625" s="380"/>
      <c r="AS625" s="380"/>
      <c r="AT625" s="380"/>
      <c r="AU625" s="380"/>
      <c r="AV625" s="380"/>
      <c r="AW625" s="380"/>
      <c r="AX625" s="380"/>
      <c r="AY625" s="380"/>
      <c r="AZ625" s="380"/>
      <c r="BA625" s="380"/>
      <c r="BB625" s="380"/>
      <c r="BC625" s="380"/>
      <c r="BD625" s="380"/>
      <c r="BE625" s="380"/>
      <c r="BF625" s="380"/>
      <c r="BG625" s="380"/>
      <c r="BH625" s="380"/>
      <c r="BI625" s="380"/>
      <c r="BJ625" s="380"/>
      <c r="BK625" s="380"/>
      <c r="BL625" s="380"/>
      <c r="BM625" s="380"/>
      <c r="BN625" s="380"/>
      <c r="BO625" s="380"/>
      <c r="BP625" s="380"/>
      <c r="BQ625" s="380"/>
      <c r="BR625" s="380"/>
      <c r="BS625" s="380"/>
      <c r="BT625" s="380"/>
      <c r="BU625" s="380"/>
      <c r="BV625" s="380"/>
      <c r="BW625" s="380"/>
      <c r="BX625" s="380"/>
      <c r="BY625" s="380"/>
    </row>
    <row r="626" spans="1:77" s="170" customFormat="1" x14ac:dyDescent="0.25">
      <c r="A626" s="56"/>
      <c r="B626" s="380"/>
      <c r="C626" s="56"/>
      <c r="D626" s="56"/>
      <c r="E626" s="56"/>
      <c r="F626" s="56"/>
      <c r="G626" s="380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380"/>
      <c r="T626" s="56"/>
      <c r="U626" s="56"/>
      <c r="V626" s="56"/>
      <c r="W626" s="380"/>
      <c r="X626" s="380"/>
      <c r="Y626" s="380"/>
      <c r="Z626" s="380"/>
      <c r="AA626" s="56"/>
      <c r="AB626" s="56"/>
      <c r="AC626" s="56"/>
      <c r="AD626" s="56"/>
      <c r="AE626" s="56"/>
      <c r="AF626" s="56"/>
      <c r="AG626" s="155"/>
      <c r="AH626" s="56"/>
      <c r="AI626" s="56"/>
      <c r="AJ626" s="56"/>
      <c r="AK626" s="155"/>
      <c r="AL626" s="56"/>
      <c r="AM626" s="56"/>
      <c r="AN626" s="56"/>
      <c r="AO626" s="56"/>
      <c r="AP626" s="56"/>
      <c r="AR626" s="380"/>
      <c r="AS626" s="380"/>
      <c r="AT626" s="380"/>
      <c r="AU626" s="380"/>
      <c r="AV626" s="380"/>
      <c r="AW626" s="380"/>
      <c r="AX626" s="380"/>
      <c r="AY626" s="380"/>
      <c r="AZ626" s="380"/>
      <c r="BA626" s="380"/>
      <c r="BB626" s="380"/>
      <c r="BC626" s="380"/>
      <c r="BD626" s="380"/>
      <c r="BE626" s="380"/>
      <c r="BF626" s="380"/>
      <c r="BG626" s="380"/>
      <c r="BH626" s="380"/>
      <c r="BI626" s="380"/>
      <c r="BJ626" s="380"/>
      <c r="BK626" s="380"/>
      <c r="BL626" s="380"/>
      <c r="BM626" s="380"/>
      <c r="BN626" s="380"/>
      <c r="BO626" s="380"/>
      <c r="BP626" s="380"/>
      <c r="BQ626" s="380"/>
      <c r="BR626" s="380"/>
      <c r="BS626" s="380"/>
      <c r="BT626" s="380"/>
      <c r="BU626" s="380"/>
      <c r="BV626" s="380"/>
      <c r="BW626" s="380"/>
      <c r="BX626" s="380"/>
      <c r="BY626" s="380"/>
    </row>
    <row r="627" spans="1:77" s="170" customFormat="1" x14ac:dyDescent="0.25">
      <c r="A627" s="380"/>
      <c r="B627" s="380"/>
      <c r="C627" s="56"/>
      <c r="D627" s="56"/>
      <c r="E627" s="56"/>
      <c r="F627" s="56"/>
      <c r="G627" s="380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380"/>
      <c r="T627" s="56"/>
      <c r="U627" s="56"/>
      <c r="V627" s="56"/>
      <c r="W627" s="380"/>
      <c r="X627" s="380"/>
      <c r="Y627" s="380"/>
      <c r="Z627" s="380"/>
      <c r="AA627" s="56"/>
      <c r="AB627" s="56"/>
      <c r="AC627" s="56"/>
      <c r="AD627" s="56"/>
      <c r="AE627" s="56"/>
      <c r="AF627" s="56"/>
      <c r="AG627" s="155"/>
      <c r="AH627" s="56"/>
      <c r="AI627" s="56"/>
      <c r="AJ627" s="56"/>
      <c r="AK627" s="155"/>
      <c r="AL627" s="56"/>
      <c r="AM627" s="56"/>
      <c r="AN627" s="56"/>
      <c r="AO627" s="56"/>
      <c r="AP627" s="56"/>
      <c r="AR627" s="380"/>
      <c r="AS627" s="380"/>
      <c r="AT627" s="380"/>
      <c r="AU627" s="380"/>
      <c r="AV627" s="380"/>
      <c r="AW627" s="380"/>
      <c r="AX627" s="380"/>
      <c r="AY627" s="380"/>
      <c r="AZ627" s="380"/>
      <c r="BA627" s="380"/>
      <c r="BB627" s="380"/>
      <c r="BC627" s="380"/>
      <c r="BD627" s="380"/>
      <c r="BE627" s="380"/>
      <c r="BF627" s="380"/>
      <c r="BG627" s="380"/>
      <c r="BH627" s="380"/>
      <c r="BI627" s="380"/>
      <c r="BJ627" s="380"/>
      <c r="BK627" s="380"/>
      <c r="BL627" s="380"/>
      <c r="BM627" s="380"/>
      <c r="BN627" s="380"/>
      <c r="BO627" s="380"/>
      <c r="BP627" s="380"/>
      <c r="BQ627" s="380"/>
      <c r="BR627" s="380"/>
      <c r="BS627" s="380"/>
      <c r="BT627" s="380"/>
      <c r="BU627" s="380"/>
      <c r="BV627" s="380"/>
      <c r="BW627" s="380"/>
      <c r="BX627" s="380"/>
      <c r="BY627" s="380"/>
    </row>
    <row r="628" spans="1:77" s="170" customFormat="1" x14ac:dyDescent="0.25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380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154"/>
      <c r="AH628" s="55"/>
      <c r="AI628" s="55"/>
      <c r="AJ628" s="55"/>
      <c r="AK628" s="154"/>
      <c r="AL628" s="55"/>
      <c r="AM628" s="55"/>
      <c r="AN628" s="55"/>
      <c r="AO628" s="55"/>
      <c r="AP628" s="55"/>
      <c r="AR628" s="380"/>
      <c r="AS628" s="380"/>
      <c r="AT628" s="380"/>
      <c r="AU628" s="380"/>
      <c r="AV628" s="380"/>
      <c r="AW628" s="380"/>
      <c r="AX628" s="380"/>
      <c r="AY628" s="380"/>
      <c r="AZ628" s="380"/>
      <c r="BA628" s="380"/>
      <c r="BB628" s="380"/>
      <c r="BC628" s="380"/>
      <c r="BD628" s="380"/>
      <c r="BE628" s="380"/>
      <c r="BF628" s="380"/>
      <c r="BG628" s="380"/>
      <c r="BH628" s="380"/>
      <c r="BI628" s="380"/>
      <c r="BJ628" s="380"/>
      <c r="BK628" s="380"/>
      <c r="BL628" s="380"/>
      <c r="BM628" s="380"/>
      <c r="BN628" s="380"/>
      <c r="BO628" s="380"/>
      <c r="BP628" s="380"/>
      <c r="BQ628" s="380"/>
      <c r="BR628" s="380"/>
      <c r="BS628" s="380"/>
      <c r="BT628" s="380"/>
      <c r="BU628" s="380"/>
      <c r="BV628" s="380"/>
      <c r="BW628" s="380"/>
      <c r="BX628" s="380"/>
      <c r="BY628" s="380"/>
    </row>
    <row r="629" spans="1:77" s="170" customFormat="1" x14ac:dyDescent="0.25">
      <c r="A629" s="380"/>
      <c r="B629" s="380"/>
      <c r="C629" s="380"/>
      <c r="D629" s="380"/>
      <c r="E629" s="380"/>
      <c r="F629" s="380"/>
      <c r="G629" s="380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380"/>
      <c r="T629" s="380"/>
      <c r="U629" s="380"/>
      <c r="V629" s="380"/>
      <c r="W629" s="380"/>
      <c r="X629" s="380"/>
      <c r="Y629" s="380"/>
      <c r="Z629" s="380"/>
      <c r="AA629" s="56"/>
      <c r="AB629" s="56"/>
      <c r="AC629" s="56"/>
      <c r="AD629" s="56"/>
      <c r="AE629" s="56"/>
      <c r="AF629" s="56"/>
      <c r="AG629" s="155"/>
      <c r="AH629" s="56"/>
      <c r="AI629" s="56"/>
      <c r="AJ629" s="56"/>
      <c r="AK629" s="155"/>
      <c r="AL629" s="56"/>
      <c r="AM629" s="56"/>
      <c r="AN629" s="56"/>
      <c r="AO629" s="56"/>
      <c r="AP629" s="56"/>
      <c r="AR629" s="380"/>
      <c r="AS629" s="380"/>
      <c r="AT629" s="380"/>
      <c r="AU629" s="380"/>
      <c r="AV629" s="380"/>
      <c r="AW629" s="380"/>
      <c r="AX629" s="380"/>
      <c r="AY629" s="380"/>
      <c r="AZ629" s="380"/>
      <c r="BA629" s="380"/>
      <c r="BB629" s="380"/>
      <c r="BC629" s="380"/>
      <c r="BD629" s="380"/>
      <c r="BE629" s="380"/>
      <c r="BF629" s="380"/>
      <c r="BG629" s="380"/>
      <c r="BH629" s="380"/>
      <c r="BI629" s="380"/>
      <c r="BJ629" s="380"/>
      <c r="BK629" s="380"/>
      <c r="BL629" s="380"/>
      <c r="BM629" s="380"/>
      <c r="BN629" s="380"/>
      <c r="BO629" s="380"/>
      <c r="BP629" s="380"/>
      <c r="BQ629" s="380"/>
      <c r="BR629" s="380"/>
      <c r="BS629" s="380"/>
      <c r="BT629" s="380"/>
      <c r="BU629" s="380"/>
      <c r="BV629" s="380"/>
      <c r="BW629" s="380"/>
      <c r="BX629" s="380"/>
      <c r="BY629" s="380"/>
    </row>
    <row r="630" spans="1:77" s="170" customFormat="1" x14ac:dyDescent="0.25">
      <c r="A630" s="53"/>
      <c r="B630" s="380"/>
      <c r="C630" s="54"/>
      <c r="D630" s="54"/>
      <c r="E630" s="54"/>
      <c r="F630" s="380"/>
      <c r="G630" s="380"/>
      <c r="H630" s="380"/>
      <c r="I630" s="380"/>
      <c r="J630" s="380"/>
      <c r="K630" s="380"/>
      <c r="L630" s="380"/>
      <c r="M630" s="380"/>
      <c r="N630" s="380"/>
      <c r="O630" s="380"/>
      <c r="P630" s="380"/>
      <c r="Q630" s="380"/>
      <c r="R630" s="380"/>
      <c r="S630" s="380"/>
      <c r="T630" s="54"/>
      <c r="U630" s="54"/>
      <c r="V630" s="380"/>
      <c r="W630" s="380"/>
      <c r="X630" s="380"/>
      <c r="Y630" s="380"/>
      <c r="Z630" s="380"/>
      <c r="AA630" s="380"/>
      <c r="AB630" s="380"/>
      <c r="AC630" s="380"/>
      <c r="AD630" s="380"/>
      <c r="AE630" s="380"/>
      <c r="AF630" s="380"/>
      <c r="AG630" s="153"/>
      <c r="AH630" s="380"/>
      <c r="AI630" s="380"/>
      <c r="AJ630" s="380"/>
      <c r="AK630" s="153"/>
      <c r="AL630" s="380"/>
      <c r="AM630" s="380"/>
      <c r="AN630" s="380"/>
      <c r="AO630" s="380"/>
      <c r="AP630" s="380"/>
      <c r="AR630" s="380"/>
      <c r="AS630" s="380"/>
      <c r="AT630" s="380"/>
      <c r="AU630" s="380"/>
      <c r="AV630" s="380"/>
      <c r="AW630" s="380"/>
      <c r="AX630" s="380"/>
      <c r="AY630" s="380"/>
      <c r="AZ630" s="380"/>
      <c r="BA630" s="380"/>
      <c r="BB630" s="380"/>
      <c r="BC630" s="380"/>
      <c r="BD630" s="380"/>
      <c r="BE630" s="380"/>
      <c r="BF630" s="380"/>
      <c r="BG630" s="380"/>
      <c r="BH630" s="380"/>
      <c r="BI630" s="380"/>
      <c r="BJ630" s="380"/>
      <c r="BK630" s="380"/>
      <c r="BL630" s="380"/>
      <c r="BM630" s="380"/>
      <c r="BN630" s="380"/>
      <c r="BO630" s="380"/>
      <c r="BP630" s="380"/>
      <c r="BQ630" s="380"/>
      <c r="BR630" s="380"/>
      <c r="BS630" s="380"/>
      <c r="BT630" s="380"/>
      <c r="BU630" s="380"/>
      <c r="BV630" s="380"/>
      <c r="BW630" s="380"/>
      <c r="BX630" s="380"/>
      <c r="BY630" s="380"/>
    </row>
    <row r="631" spans="1:77" s="170" customFormat="1" x14ac:dyDescent="0.25">
      <c r="A631" s="53"/>
      <c r="B631" s="380"/>
      <c r="C631" s="380"/>
      <c r="D631" s="54"/>
      <c r="E631" s="54"/>
      <c r="F631" s="380"/>
      <c r="G631" s="380"/>
      <c r="H631" s="380"/>
      <c r="I631" s="380"/>
      <c r="J631" s="380"/>
      <c r="K631" s="380"/>
      <c r="L631" s="380"/>
      <c r="M631" s="380"/>
      <c r="N631" s="380"/>
      <c r="O631" s="380"/>
      <c r="P631" s="380"/>
      <c r="Q631" s="380"/>
      <c r="R631" s="380"/>
      <c r="S631" s="380"/>
      <c r="T631" s="380"/>
      <c r="U631" s="54"/>
      <c r="V631" s="380"/>
      <c r="W631" s="380"/>
      <c r="X631" s="380"/>
      <c r="Y631" s="380"/>
      <c r="Z631" s="380"/>
      <c r="AA631" s="380"/>
      <c r="AB631" s="380"/>
      <c r="AC631" s="380"/>
      <c r="AD631" s="380"/>
      <c r="AE631" s="380"/>
      <c r="AF631" s="380"/>
      <c r="AG631" s="153"/>
      <c r="AH631" s="380"/>
      <c r="AI631" s="380"/>
      <c r="AJ631" s="380"/>
      <c r="AK631" s="153"/>
      <c r="AL631" s="380"/>
      <c r="AM631" s="380"/>
      <c r="AN631" s="380"/>
      <c r="AO631" s="380"/>
      <c r="AP631" s="380"/>
      <c r="AR631" s="380"/>
      <c r="AS631" s="380"/>
      <c r="AT631" s="380"/>
      <c r="AU631" s="380"/>
      <c r="AV631" s="380"/>
      <c r="AW631" s="380"/>
      <c r="AX631" s="380"/>
      <c r="AY631" s="380"/>
      <c r="AZ631" s="380"/>
      <c r="BA631" s="380"/>
      <c r="BB631" s="380"/>
      <c r="BC631" s="380"/>
      <c r="BD631" s="380"/>
      <c r="BE631" s="380"/>
      <c r="BF631" s="380"/>
      <c r="BG631" s="380"/>
      <c r="BH631" s="380"/>
      <c r="BI631" s="380"/>
      <c r="BJ631" s="380"/>
      <c r="BK631" s="380"/>
      <c r="BL631" s="380"/>
      <c r="BM631" s="380"/>
      <c r="BN631" s="380"/>
      <c r="BO631" s="380"/>
      <c r="BP631" s="380"/>
      <c r="BQ631" s="380"/>
      <c r="BR631" s="380"/>
      <c r="BS631" s="380"/>
      <c r="BT631" s="380"/>
      <c r="BU631" s="380"/>
      <c r="BV631" s="380"/>
      <c r="BW631" s="380"/>
      <c r="BX631" s="380"/>
      <c r="BY631" s="380"/>
    </row>
    <row r="633" spans="1:77" s="170" customFormat="1" x14ac:dyDescent="0.25">
      <c r="A633" s="53"/>
      <c r="B633" s="380"/>
      <c r="C633" s="54"/>
      <c r="D633" s="380"/>
      <c r="E633" s="380"/>
      <c r="F633" s="379"/>
      <c r="G633" s="380"/>
      <c r="H633" s="380"/>
      <c r="I633" s="380"/>
      <c r="J633" s="62"/>
      <c r="K633" s="62"/>
      <c r="L633" s="379"/>
      <c r="M633" s="379"/>
      <c r="N633" s="380"/>
      <c r="O633" s="380"/>
      <c r="P633" s="380"/>
      <c r="Q633" s="380"/>
      <c r="R633" s="379"/>
      <c r="S633" s="380"/>
      <c r="T633" s="54"/>
      <c r="U633" s="380"/>
      <c r="V633" s="379"/>
      <c r="W633" s="380"/>
      <c r="X633" s="380"/>
      <c r="Y633" s="380"/>
      <c r="Z633" s="380"/>
      <c r="AA633" s="380"/>
      <c r="AB633" s="62"/>
      <c r="AC633" s="379"/>
      <c r="AD633" s="379"/>
      <c r="AE633" s="380"/>
      <c r="AF633" s="380"/>
      <c r="AG633" s="153"/>
      <c r="AH633" s="380"/>
      <c r="AI633" s="379"/>
      <c r="AJ633" s="379"/>
      <c r="AK633" s="153"/>
      <c r="AL633" s="380"/>
      <c r="AM633" s="379"/>
      <c r="AN633" s="379"/>
      <c r="AO633" s="380"/>
      <c r="AP633" s="380"/>
      <c r="AR633" s="380"/>
      <c r="AS633" s="380"/>
      <c r="AT633" s="380"/>
      <c r="AU633" s="380"/>
      <c r="AV633" s="380"/>
      <c r="AW633" s="380"/>
      <c r="AX633" s="380"/>
      <c r="AY633" s="380"/>
      <c r="AZ633" s="380"/>
      <c r="BA633" s="380"/>
      <c r="BB633" s="380"/>
      <c r="BC633" s="380"/>
      <c r="BD633" s="380"/>
      <c r="BE633" s="380"/>
      <c r="BF633" s="380"/>
      <c r="BG633" s="380"/>
      <c r="BH633" s="380"/>
      <c r="BI633" s="380"/>
      <c r="BJ633" s="380"/>
      <c r="BK633" s="380"/>
      <c r="BL633" s="380"/>
      <c r="BM633" s="380"/>
      <c r="BN633" s="380"/>
      <c r="BO633" s="380"/>
      <c r="BP633" s="380"/>
      <c r="BQ633" s="380"/>
      <c r="BR633" s="380"/>
      <c r="BS633" s="380"/>
      <c r="BT633" s="380"/>
      <c r="BU633" s="380"/>
      <c r="BV633" s="380"/>
      <c r="BW633" s="380"/>
      <c r="BX633" s="380"/>
      <c r="BY633" s="380"/>
    </row>
    <row r="634" spans="1:77" s="170" customFormat="1" x14ac:dyDescent="0.25">
      <c r="A634" s="53"/>
      <c r="B634" s="380"/>
      <c r="C634" s="54"/>
      <c r="D634" s="380"/>
      <c r="E634" s="380"/>
      <c r="F634" s="379"/>
      <c r="G634" s="380"/>
      <c r="H634" s="380"/>
      <c r="I634" s="380"/>
      <c r="J634" s="380"/>
      <c r="K634" s="380"/>
      <c r="L634" s="380"/>
      <c r="M634" s="380"/>
      <c r="N634" s="380"/>
      <c r="O634" s="380"/>
      <c r="P634" s="380"/>
      <c r="Q634" s="380"/>
      <c r="R634" s="379"/>
      <c r="S634" s="380"/>
      <c r="T634" s="54"/>
      <c r="U634" s="380"/>
      <c r="V634" s="379"/>
      <c r="W634" s="380"/>
      <c r="X634" s="380"/>
      <c r="Y634" s="380"/>
      <c r="Z634" s="380"/>
      <c r="AA634" s="380"/>
      <c r="AB634" s="380"/>
      <c r="AC634" s="380"/>
      <c r="AD634" s="380"/>
      <c r="AE634" s="380"/>
      <c r="AF634" s="380"/>
      <c r="AG634" s="153"/>
      <c r="AH634" s="380"/>
      <c r="AI634" s="379"/>
      <c r="AJ634" s="379"/>
      <c r="AK634" s="153"/>
      <c r="AL634" s="380"/>
      <c r="AM634" s="379"/>
      <c r="AN634" s="379"/>
      <c r="AO634" s="380"/>
      <c r="AP634" s="380"/>
      <c r="AR634" s="380"/>
      <c r="AS634" s="380"/>
      <c r="AT634" s="380"/>
      <c r="AU634" s="380"/>
      <c r="AV634" s="380"/>
      <c r="AW634" s="380"/>
      <c r="AX634" s="380"/>
      <c r="AY634" s="380"/>
      <c r="AZ634" s="380"/>
      <c r="BA634" s="380"/>
      <c r="BB634" s="380"/>
      <c r="BC634" s="380"/>
      <c r="BD634" s="380"/>
      <c r="BE634" s="380"/>
      <c r="BF634" s="380"/>
      <c r="BG634" s="380"/>
      <c r="BH634" s="380"/>
      <c r="BI634" s="380"/>
      <c r="BJ634" s="380"/>
      <c r="BK634" s="380"/>
      <c r="BL634" s="380"/>
      <c r="BM634" s="380"/>
      <c r="BN634" s="380"/>
      <c r="BO634" s="380"/>
      <c r="BP634" s="380"/>
      <c r="BQ634" s="380"/>
      <c r="BR634" s="380"/>
      <c r="BS634" s="380"/>
      <c r="BT634" s="380"/>
      <c r="BU634" s="380"/>
      <c r="BV634" s="380"/>
      <c r="BW634" s="380"/>
      <c r="BX634" s="380"/>
      <c r="BY634" s="380"/>
    </row>
    <row r="635" spans="1:77" s="170" customFormat="1" x14ac:dyDescent="0.25">
      <c r="A635" s="380"/>
      <c r="B635" s="380"/>
      <c r="C635" s="380"/>
      <c r="D635" s="380"/>
      <c r="E635" s="380"/>
      <c r="F635" s="380"/>
      <c r="G635" s="380"/>
      <c r="H635" s="380"/>
      <c r="I635" s="380"/>
      <c r="J635" s="380"/>
      <c r="K635" s="380"/>
      <c r="L635" s="380"/>
      <c r="M635" s="380"/>
      <c r="N635" s="380"/>
      <c r="O635" s="380"/>
      <c r="P635" s="380"/>
      <c r="Q635" s="380"/>
      <c r="R635" s="380"/>
      <c r="S635" s="380"/>
      <c r="T635" s="380"/>
      <c r="U635" s="380"/>
      <c r="V635" s="380"/>
      <c r="W635" s="380"/>
      <c r="X635" s="380"/>
      <c r="Y635" s="380"/>
      <c r="Z635" s="380"/>
      <c r="AA635" s="380"/>
      <c r="AB635" s="380"/>
      <c r="AC635" s="380"/>
      <c r="AD635" s="380"/>
      <c r="AE635" s="380"/>
      <c r="AF635" s="380"/>
      <c r="AG635" s="153"/>
      <c r="AH635" s="380"/>
      <c r="AI635" s="380"/>
      <c r="AJ635" s="380"/>
      <c r="AK635" s="156"/>
      <c r="AL635" s="379"/>
      <c r="AM635" s="379"/>
      <c r="AN635" s="379"/>
      <c r="AO635" s="50"/>
      <c r="AP635" s="50"/>
      <c r="AR635" s="380"/>
      <c r="AS635" s="380"/>
      <c r="AT635" s="380"/>
      <c r="AU635" s="380"/>
      <c r="AV635" s="380"/>
      <c r="AW635" s="380"/>
      <c r="AX635" s="380"/>
      <c r="AY635" s="380"/>
      <c r="AZ635" s="380"/>
      <c r="BA635" s="380"/>
      <c r="BB635" s="380"/>
      <c r="BC635" s="380"/>
      <c r="BD635" s="380"/>
      <c r="BE635" s="380"/>
      <c r="BF635" s="380"/>
      <c r="BG635" s="380"/>
      <c r="BH635" s="380"/>
      <c r="BI635" s="380"/>
      <c r="BJ635" s="380"/>
      <c r="BK635" s="380"/>
      <c r="BL635" s="380"/>
      <c r="BM635" s="380"/>
      <c r="BN635" s="380"/>
      <c r="BO635" s="380"/>
      <c r="BP635" s="380"/>
      <c r="BQ635" s="380"/>
      <c r="BR635" s="380"/>
      <c r="BS635" s="380"/>
      <c r="BT635" s="380"/>
      <c r="BU635" s="380"/>
      <c r="BV635" s="380"/>
      <c r="BW635" s="380"/>
      <c r="BX635" s="380"/>
      <c r="BY635" s="380"/>
    </row>
    <row r="636" spans="1:77" s="170" customFormat="1" x14ac:dyDescent="0.25">
      <c r="A636" s="53"/>
      <c r="B636" s="380"/>
      <c r="C636" s="54"/>
      <c r="D636" s="380"/>
      <c r="E636" s="380"/>
      <c r="F636" s="449"/>
      <c r="G636" s="380"/>
      <c r="H636" s="449"/>
      <c r="I636" s="449"/>
      <c r="J636" s="477"/>
      <c r="K636" s="477"/>
      <c r="L636" s="379"/>
      <c r="M636" s="379"/>
      <c r="N636" s="50"/>
      <c r="O636" s="50"/>
      <c r="P636" s="379"/>
      <c r="Q636" s="379"/>
      <c r="R636" s="379"/>
      <c r="S636" s="380"/>
      <c r="T636" s="54"/>
      <c r="U636" s="380"/>
      <c r="V636" s="379"/>
      <c r="W636" s="380"/>
      <c r="X636" s="380"/>
      <c r="Y636" s="380"/>
      <c r="Z636" s="380"/>
      <c r="AA636" s="379"/>
      <c r="AB636" s="477"/>
      <c r="AC636" s="379"/>
      <c r="AD636" s="379"/>
      <c r="AE636" s="50"/>
      <c r="AF636" s="50"/>
      <c r="AG636" s="156"/>
      <c r="AH636" s="379"/>
      <c r="AI636" s="60"/>
      <c r="AJ636" s="60"/>
      <c r="AK636" s="156"/>
      <c r="AL636" s="379"/>
      <c r="AM636" s="379"/>
      <c r="AN636" s="379"/>
      <c r="AO636" s="50"/>
      <c r="AP636" s="50"/>
      <c r="AR636" s="380"/>
      <c r="AS636" s="380"/>
      <c r="AT636" s="380"/>
      <c r="AU636" s="380"/>
      <c r="AV636" s="380"/>
      <c r="AW636" s="380"/>
      <c r="AX636" s="380"/>
      <c r="AY636" s="380"/>
      <c r="AZ636" s="380"/>
      <c r="BA636" s="380"/>
      <c r="BB636" s="380"/>
      <c r="BC636" s="380"/>
      <c r="BD636" s="380"/>
      <c r="BE636" s="380"/>
      <c r="BF636" s="380"/>
      <c r="BG636" s="380"/>
      <c r="BH636" s="380"/>
      <c r="BI636" s="380"/>
      <c r="BJ636" s="380"/>
      <c r="BK636" s="380"/>
      <c r="BL636" s="380"/>
      <c r="BM636" s="380"/>
      <c r="BN636" s="380"/>
      <c r="BO636" s="380"/>
      <c r="BP636" s="380"/>
      <c r="BQ636" s="380"/>
      <c r="BR636" s="380"/>
      <c r="BS636" s="380"/>
      <c r="BT636" s="380"/>
      <c r="BU636" s="380"/>
      <c r="BV636" s="380"/>
      <c r="BW636" s="380"/>
      <c r="BX636" s="380"/>
      <c r="BY636" s="380"/>
    </row>
    <row r="637" spans="1:77" s="170" customFormat="1" x14ac:dyDescent="0.25">
      <c r="A637" s="380"/>
      <c r="B637" s="380"/>
      <c r="C637" s="380"/>
      <c r="D637" s="380"/>
      <c r="E637" s="380"/>
      <c r="F637" s="379"/>
      <c r="G637" s="380"/>
      <c r="H637" s="379"/>
      <c r="I637" s="379"/>
      <c r="J637" s="59"/>
      <c r="K637" s="59"/>
      <c r="L637" s="379"/>
      <c r="M637" s="379"/>
      <c r="N637" s="380"/>
      <c r="O637" s="380"/>
      <c r="P637" s="379"/>
      <c r="Q637" s="379"/>
      <c r="R637" s="379"/>
      <c r="S637" s="380"/>
      <c r="T637" s="380"/>
      <c r="U637" s="380"/>
      <c r="V637" s="379"/>
      <c r="W637" s="380"/>
      <c r="X637" s="380"/>
      <c r="Y637" s="380"/>
      <c r="Z637" s="380"/>
      <c r="AA637" s="379"/>
      <c r="AB637" s="59"/>
      <c r="AC637" s="379"/>
      <c r="AD637" s="379"/>
      <c r="AE637" s="380"/>
      <c r="AF637" s="380"/>
      <c r="AG637" s="153"/>
      <c r="AH637" s="380"/>
      <c r="AI637" s="380"/>
      <c r="AJ637" s="380"/>
      <c r="AK637" s="156"/>
      <c r="AL637" s="379"/>
      <c r="AM637" s="379"/>
      <c r="AN637" s="379"/>
      <c r="AO637" s="50"/>
      <c r="AP637" s="50"/>
      <c r="AR637" s="380"/>
      <c r="AS637" s="380"/>
      <c r="AT637" s="380"/>
      <c r="AU637" s="380"/>
      <c r="AV637" s="380"/>
      <c r="AW637" s="380"/>
      <c r="AX637" s="380"/>
      <c r="AY637" s="380"/>
      <c r="AZ637" s="380"/>
      <c r="BA637" s="380"/>
      <c r="BB637" s="380"/>
      <c r="BC637" s="380"/>
      <c r="BD637" s="380"/>
      <c r="BE637" s="380"/>
      <c r="BF637" s="380"/>
      <c r="BG637" s="380"/>
      <c r="BH637" s="380"/>
      <c r="BI637" s="380"/>
      <c r="BJ637" s="380"/>
      <c r="BK637" s="380"/>
      <c r="BL637" s="380"/>
      <c r="BM637" s="380"/>
      <c r="BN637" s="380"/>
      <c r="BO637" s="380"/>
      <c r="BP637" s="380"/>
      <c r="BQ637" s="380"/>
      <c r="BR637" s="380"/>
      <c r="BS637" s="380"/>
      <c r="BT637" s="380"/>
      <c r="BU637" s="380"/>
      <c r="BV637" s="380"/>
      <c r="BW637" s="380"/>
      <c r="BX637" s="380"/>
      <c r="BY637" s="380"/>
    </row>
    <row r="638" spans="1:77" s="170" customFormat="1" x14ac:dyDescent="0.25">
      <c r="A638" s="380"/>
      <c r="B638" s="380"/>
      <c r="C638" s="380"/>
      <c r="D638" s="380"/>
      <c r="E638" s="380"/>
      <c r="F638" s="379"/>
      <c r="G638" s="380"/>
      <c r="H638" s="380"/>
      <c r="I638" s="380"/>
      <c r="J638" s="380"/>
      <c r="K638" s="380"/>
      <c r="L638" s="380"/>
      <c r="M638" s="380"/>
      <c r="N638" s="380"/>
      <c r="O638" s="380"/>
      <c r="P638" s="380"/>
      <c r="Q638" s="380"/>
      <c r="R638" s="379"/>
      <c r="S638" s="380"/>
      <c r="T638" s="380"/>
      <c r="U638" s="380"/>
      <c r="V638" s="379"/>
      <c r="W638" s="380"/>
      <c r="X638" s="380"/>
      <c r="Y638" s="380"/>
      <c r="Z638" s="380"/>
      <c r="AA638" s="380"/>
      <c r="AB638" s="380"/>
      <c r="AC638" s="380"/>
      <c r="AD638" s="380"/>
      <c r="AE638" s="380"/>
      <c r="AF638" s="380"/>
      <c r="AG638" s="153"/>
      <c r="AH638" s="380"/>
      <c r="AI638" s="380"/>
      <c r="AJ638" s="380"/>
      <c r="AK638" s="153"/>
      <c r="AL638" s="380"/>
      <c r="AM638" s="379"/>
      <c r="AN638" s="379"/>
      <c r="AO638" s="50"/>
      <c r="AP638" s="50"/>
      <c r="AR638" s="380"/>
      <c r="AS638" s="380"/>
      <c r="AT638" s="380"/>
      <c r="AU638" s="380"/>
      <c r="AV638" s="380"/>
      <c r="AW638" s="380"/>
      <c r="AX638" s="380"/>
      <c r="AY638" s="380"/>
      <c r="AZ638" s="380"/>
      <c r="BA638" s="380"/>
      <c r="BB638" s="380"/>
      <c r="BC638" s="380"/>
      <c r="BD638" s="380"/>
      <c r="BE638" s="380"/>
      <c r="BF638" s="380"/>
      <c r="BG638" s="380"/>
      <c r="BH638" s="380"/>
      <c r="BI638" s="380"/>
      <c r="BJ638" s="380"/>
      <c r="BK638" s="380"/>
      <c r="BL638" s="380"/>
      <c r="BM638" s="380"/>
      <c r="BN638" s="380"/>
      <c r="BO638" s="380"/>
      <c r="BP638" s="380"/>
      <c r="BQ638" s="380"/>
      <c r="BR638" s="380"/>
      <c r="BS638" s="380"/>
      <c r="BT638" s="380"/>
      <c r="BU638" s="380"/>
      <c r="BV638" s="380"/>
      <c r="BW638" s="380"/>
      <c r="BX638" s="380"/>
      <c r="BY638" s="380"/>
    </row>
    <row r="639" spans="1:77" s="170" customFormat="1" x14ac:dyDescent="0.25">
      <c r="A639" s="53"/>
      <c r="B639" s="380"/>
      <c r="C639" s="54"/>
      <c r="D639" s="380"/>
      <c r="E639" s="380"/>
      <c r="F639" s="379"/>
      <c r="G639" s="380"/>
      <c r="H639" s="380"/>
      <c r="I639" s="380"/>
      <c r="J639" s="62"/>
      <c r="K639" s="62"/>
      <c r="L639" s="379"/>
      <c r="M639" s="379"/>
      <c r="N639" s="50"/>
      <c r="O639" s="50"/>
      <c r="P639" s="380"/>
      <c r="Q639" s="380"/>
      <c r="R639" s="379"/>
      <c r="S639" s="380"/>
      <c r="T639" s="54"/>
      <c r="U639" s="380"/>
      <c r="V639" s="379"/>
      <c r="W639" s="380"/>
      <c r="X639" s="380"/>
      <c r="Y639" s="380"/>
      <c r="Z639" s="380"/>
      <c r="AA639" s="380"/>
      <c r="AB639" s="62"/>
      <c r="AC639" s="379"/>
      <c r="AD639" s="379"/>
      <c r="AE639" s="50"/>
      <c r="AF639" s="50"/>
      <c r="AG639" s="153"/>
      <c r="AH639" s="380"/>
      <c r="AI639" s="380"/>
      <c r="AJ639" s="380"/>
      <c r="AK639" s="153"/>
      <c r="AL639" s="380"/>
      <c r="AM639" s="379"/>
      <c r="AN639" s="379"/>
      <c r="AO639" s="50"/>
      <c r="AP639" s="50"/>
      <c r="AR639" s="380"/>
      <c r="AS639" s="380"/>
      <c r="AT639" s="380"/>
      <c r="AU639" s="380"/>
      <c r="AV639" s="380"/>
      <c r="AW639" s="380"/>
      <c r="AX639" s="380"/>
      <c r="AY639" s="380"/>
      <c r="AZ639" s="380"/>
      <c r="BA639" s="380"/>
      <c r="BB639" s="380"/>
      <c r="BC639" s="380"/>
      <c r="BD639" s="380"/>
      <c r="BE639" s="380"/>
      <c r="BF639" s="380"/>
      <c r="BG639" s="380"/>
      <c r="BH639" s="380"/>
      <c r="BI639" s="380"/>
      <c r="BJ639" s="380"/>
      <c r="BK639" s="380"/>
      <c r="BL639" s="380"/>
      <c r="BM639" s="380"/>
      <c r="BN639" s="380"/>
      <c r="BO639" s="380"/>
      <c r="BP639" s="380"/>
      <c r="BQ639" s="380"/>
      <c r="BR639" s="380"/>
      <c r="BS639" s="380"/>
      <c r="BT639" s="380"/>
      <c r="BU639" s="380"/>
      <c r="BV639" s="380"/>
      <c r="BW639" s="380"/>
      <c r="BX639" s="380"/>
      <c r="BY639" s="380"/>
    </row>
    <row r="640" spans="1:77" s="170" customFormat="1" x14ac:dyDescent="0.25">
      <c r="A640" s="53"/>
      <c r="B640" s="380"/>
      <c r="C640" s="54"/>
      <c r="D640" s="380"/>
      <c r="E640" s="380"/>
      <c r="F640" s="379"/>
      <c r="G640" s="380"/>
      <c r="H640" s="379"/>
      <c r="I640" s="379"/>
      <c r="J640" s="62"/>
      <c r="K640" s="62"/>
      <c r="L640" s="379"/>
      <c r="M640" s="379"/>
      <c r="N640" s="50"/>
      <c r="O640" s="50"/>
      <c r="P640" s="379"/>
      <c r="Q640" s="379"/>
      <c r="R640" s="379"/>
      <c r="S640" s="380"/>
      <c r="T640" s="54"/>
      <c r="U640" s="380"/>
      <c r="V640" s="379"/>
      <c r="W640" s="380"/>
      <c r="X640" s="380"/>
      <c r="Y640" s="380"/>
      <c r="Z640" s="380"/>
      <c r="AA640" s="379"/>
      <c r="AB640" s="62"/>
      <c r="AC640" s="379"/>
      <c r="AD640" s="379"/>
      <c r="AE640" s="50"/>
      <c r="AF640" s="50"/>
      <c r="AG640" s="153"/>
      <c r="AH640" s="380"/>
      <c r="AI640" s="380"/>
      <c r="AJ640" s="380"/>
      <c r="AK640" s="156"/>
      <c r="AL640" s="379"/>
      <c r="AM640" s="379"/>
      <c r="AN640" s="379"/>
      <c r="AO640" s="50"/>
      <c r="AP640" s="50"/>
      <c r="AR640" s="380"/>
      <c r="AS640" s="380"/>
      <c r="AT640" s="380"/>
      <c r="AU640" s="380"/>
      <c r="AV640" s="380"/>
      <c r="AW640" s="380"/>
      <c r="AX640" s="380"/>
      <c r="AY640" s="380"/>
      <c r="AZ640" s="380"/>
      <c r="BA640" s="380"/>
      <c r="BB640" s="380"/>
      <c r="BC640" s="380"/>
      <c r="BD640" s="380"/>
      <c r="BE640" s="380"/>
      <c r="BF640" s="380"/>
      <c r="BG640" s="380"/>
      <c r="BH640" s="380"/>
      <c r="BI640" s="380"/>
      <c r="BJ640" s="380"/>
      <c r="BK640" s="380"/>
      <c r="BL640" s="380"/>
      <c r="BM640" s="380"/>
      <c r="BN640" s="380"/>
      <c r="BO640" s="380"/>
      <c r="BP640" s="380"/>
      <c r="BQ640" s="380"/>
      <c r="BR640" s="380"/>
      <c r="BS640" s="380"/>
      <c r="BT640" s="380"/>
      <c r="BU640" s="380"/>
      <c r="BV640" s="380"/>
      <c r="BW640" s="380"/>
      <c r="BX640" s="380"/>
      <c r="BY640" s="380"/>
    </row>
    <row r="641" spans="1:77" s="170" customFormat="1" x14ac:dyDescent="0.25">
      <c r="A641" s="53"/>
      <c r="B641" s="380"/>
      <c r="C641" s="54"/>
      <c r="D641" s="380"/>
      <c r="E641" s="380"/>
      <c r="F641" s="380"/>
      <c r="G641" s="380"/>
      <c r="H641" s="380"/>
      <c r="I641" s="380"/>
      <c r="J641" s="380"/>
      <c r="K641" s="380"/>
      <c r="L641" s="380"/>
      <c r="M641" s="380"/>
      <c r="N641" s="380"/>
      <c r="O641" s="380"/>
      <c r="P641" s="380"/>
      <c r="Q641" s="380"/>
      <c r="R641" s="380"/>
      <c r="S641" s="380"/>
      <c r="T641" s="54"/>
      <c r="U641" s="380"/>
      <c r="V641" s="380"/>
      <c r="W641" s="380"/>
      <c r="X641" s="380"/>
      <c r="Y641" s="380"/>
      <c r="Z641" s="380"/>
      <c r="AA641" s="380"/>
      <c r="AB641" s="380"/>
      <c r="AC641" s="380"/>
      <c r="AD641" s="380"/>
      <c r="AE641" s="380"/>
      <c r="AF641" s="380"/>
      <c r="AG641" s="153"/>
      <c r="AH641" s="380"/>
      <c r="AI641" s="380"/>
      <c r="AJ641" s="380"/>
      <c r="AK641" s="153"/>
      <c r="AL641" s="380"/>
      <c r="AM641" s="380"/>
      <c r="AN641" s="380"/>
      <c r="AO641" s="50"/>
      <c r="AP641" s="50"/>
      <c r="AR641" s="380"/>
      <c r="AS641" s="380"/>
      <c r="AT641" s="380"/>
      <c r="AU641" s="380"/>
      <c r="AV641" s="380"/>
      <c r="AW641" s="380"/>
      <c r="AX641" s="380"/>
      <c r="AY641" s="380"/>
      <c r="AZ641" s="380"/>
      <c r="BA641" s="380"/>
      <c r="BB641" s="380"/>
      <c r="BC641" s="380"/>
      <c r="BD641" s="380"/>
      <c r="BE641" s="380"/>
      <c r="BF641" s="380"/>
      <c r="BG641" s="380"/>
      <c r="BH641" s="380"/>
      <c r="BI641" s="380"/>
      <c r="BJ641" s="380"/>
      <c r="BK641" s="380"/>
      <c r="BL641" s="380"/>
      <c r="BM641" s="380"/>
      <c r="BN641" s="380"/>
      <c r="BO641" s="380"/>
      <c r="BP641" s="380"/>
      <c r="BQ641" s="380"/>
      <c r="BR641" s="380"/>
      <c r="BS641" s="380"/>
      <c r="BT641" s="380"/>
      <c r="BU641" s="380"/>
      <c r="BV641" s="380"/>
      <c r="BW641" s="380"/>
      <c r="BX641" s="380"/>
      <c r="BY641" s="380"/>
    </row>
    <row r="642" spans="1:77" s="170" customFormat="1" x14ac:dyDescent="0.25">
      <c r="A642" s="53"/>
      <c r="B642" s="380"/>
      <c r="C642" s="54"/>
      <c r="D642" s="380"/>
      <c r="E642" s="380"/>
      <c r="F642" s="380"/>
      <c r="G642" s="380"/>
      <c r="H642" s="380"/>
      <c r="I642" s="380"/>
      <c r="J642" s="380"/>
      <c r="K642" s="380"/>
      <c r="L642" s="380"/>
      <c r="M642" s="380"/>
      <c r="N642" s="380"/>
      <c r="O642" s="380"/>
      <c r="P642" s="380"/>
      <c r="Q642" s="380"/>
      <c r="R642" s="380"/>
      <c r="S642" s="380"/>
      <c r="T642" s="54"/>
      <c r="U642" s="380"/>
      <c r="V642" s="380"/>
      <c r="W642" s="380"/>
      <c r="X642" s="380"/>
      <c r="Y642" s="380"/>
      <c r="Z642" s="380"/>
      <c r="AA642" s="380"/>
      <c r="AB642" s="380"/>
      <c r="AC642" s="380"/>
      <c r="AD642" s="380"/>
      <c r="AE642" s="380"/>
      <c r="AF642" s="380"/>
      <c r="AG642" s="153"/>
      <c r="AH642" s="380"/>
      <c r="AI642" s="380"/>
      <c r="AJ642" s="380"/>
      <c r="AK642" s="153"/>
      <c r="AL642" s="380"/>
      <c r="AM642" s="380"/>
      <c r="AN642" s="380"/>
      <c r="AO642" s="50"/>
      <c r="AP642" s="50"/>
      <c r="AR642" s="380"/>
      <c r="AS642" s="380"/>
      <c r="AT642" s="380"/>
      <c r="AU642" s="380"/>
      <c r="AV642" s="380"/>
      <c r="AW642" s="380"/>
      <c r="AX642" s="380"/>
      <c r="AY642" s="380"/>
      <c r="AZ642" s="380"/>
      <c r="BA642" s="380"/>
      <c r="BB642" s="380"/>
      <c r="BC642" s="380"/>
      <c r="BD642" s="380"/>
      <c r="BE642" s="380"/>
      <c r="BF642" s="380"/>
      <c r="BG642" s="380"/>
      <c r="BH642" s="380"/>
      <c r="BI642" s="380"/>
      <c r="BJ642" s="380"/>
      <c r="BK642" s="380"/>
      <c r="BL642" s="380"/>
      <c r="BM642" s="380"/>
      <c r="BN642" s="380"/>
      <c r="BO642" s="380"/>
      <c r="BP642" s="380"/>
      <c r="BQ642" s="380"/>
      <c r="BR642" s="380"/>
      <c r="BS642" s="380"/>
      <c r="BT642" s="380"/>
      <c r="BU642" s="380"/>
      <c r="BV642" s="380"/>
      <c r="BW642" s="380"/>
      <c r="BX642" s="380"/>
      <c r="BY642" s="380"/>
    </row>
    <row r="643" spans="1:77" s="170" customFormat="1" x14ac:dyDescent="0.25">
      <c r="A643" s="380"/>
      <c r="B643" s="380"/>
      <c r="C643" s="380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380"/>
      <c r="S643" s="380"/>
      <c r="T643" s="380"/>
      <c r="U643" s="380"/>
      <c r="V643" s="380"/>
      <c r="W643" s="380"/>
      <c r="X643" s="380"/>
      <c r="Y643" s="380"/>
      <c r="Z643" s="380"/>
      <c r="AA643" s="380"/>
      <c r="AB643" s="380"/>
      <c r="AC643" s="380"/>
      <c r="AD643" s="380"/>
      <c r="AE643" s="380"/>
      <c r="AF643" s="380"/>
      <c r="AG643" s="153"/>
      <c r="AH643" s="380"/>
      <c r="AI643" s="380"/>
      <c r="AJ643" s="380"/>
      <c r="AK643" s="153"/>
      <c r="AL643" s="380"/>
      <c r="AM643" s="380"/>
      <c r="AN643" s="380"/>
      <c r="AO643" s="50"/>
      <c r="AP643" s="50"/>
      <c r="AR643" s="380"/>
      <c r="AS643" s="380"/>
      <c r="AT643" s="380"/>
      <c r="AU643" s="380"/>
      <c r="AV643" s="380"/>
      <c r="AW643" s="380"/>
      <c r="AX643" s="380"/>
      <c r="AY643" s="380"/>
      <c r="AZ643" s="380"/>
      <c r="BA643" s="380"/>
      <c r="BB643" s="380"/>
      <c r="BC643" s="380"/>
      <c r="BD643" s="380"/>
      <c r="BE643" s="380"/>
      <c r="BF643" s="380"/>
      <c r="BG643" s="380"/>
      <c r="BH643" s="380"/>
      <c r="BI643" s="380"/>
      <c r="BJ643" s="380"/>
      <c r="BK643" s="380"/>
      <c r="BL643" s="380"/>
      <c r="BM643" s="380"/>
      <c r="BN643" s="380"/>
      <c r="BO643" s="380"/>
      <c r="BP643" s="380"/>
      <c r="BQ643" s="380"/>
      <c r="BR643" s="380"/>
      <c r="BS643" s="380"/>
      <c r="BT643" s="380"/>
      <c r="BU643" s="380"/>
      <c r="BV643" s="380"/>
      <c r="BW643" s="380"/>
      <c r="BX643" s="380"/>
      <c r="BY643" s="380"/>
    </row>
    <row r="644" spans="1:77" s="170" customFormat="1" x14ac:dyDescent="0.25">
      <c r="A644" s="53"/>
      <c r="B644" s="380"/>
      <c r="C644" s="54"/>
      <c r="D644" s="380"/>
      <c r="E644" s="380"/>
      <c r="F644" s="449"/>
      <c r="G644" s="380"/>
      <c r="H644" s="449"/>
      <c r="I644" s="449"/>
      <c r="J644" s="477"/>
      <c r="K644" s="477"/>
      <c r="L644" s="379"/>
      <c r="M644" s="379"/>
      <c r="N644" s="50"/>
      <c r="O644" s="50"/>
      <c r="P644" s="379"/>
      <c r="Q644" s="379"/>
      <c r="R644" s="379"/>
      <c r="S644" s="380"/>
      <c r="T644" s="54"/>
      <c r="U644" s="380"/>
      <c r="V644" s="379"/>
      <c r="W644" s="380"/>
      <c r="X644" s="380"/>
      <c r="Y644" s="380"/>
      <c r="Z644" s="380"/>
      <c r="AA644" s="379"/>
      <c r="AB644" s="477"/>
      <c r="AC644" s="379"/>
      <c r="AD644" s="379"/>
      <c r="AE644" s="50"/>
      <c r="AF644" s="50"/>
      <c r="AG644" s="156"/>
      <c r="AH644" s="379"/>
      <c r="AI644" s="60"/>
      <c r="AJ644" s="60"/>
      <c r="AK644" s="156"/>
      <c r="AL644" s="379"/>
      <c r="AM644" s="379"/>
      <c r="AN644" s="379"/>
      <c r="AO644" s="50"/>
      <c r="AP644" s="50"/>
      <c r="AR644" s="380"/>
      <c r="AS644" s="380"/>
      <c r="AT644" s="380"/>
      <c r="AU644" s="380"/>
      <c r="AV644" s="380"/>
      <c r="AW644" s="380"/>
      <c r="AX644" s="380"/>
      <c r="AY644" s="380"/>
      <c r="AZ644" s="380"/>
      <c r="BA644" s="380"/>
      <c r="BB644" s="380"/>
      <c r="BC644" s="380"/>
      <c r="BD644" s="380"/>
      <c r="BE644" s="380"/>
      <c r="BF644" s="380"/>
      <c r="BG644" s="380"/>
      <c r="BH644" s="380"/>
      <c r="BI644" s="380"/>
      <c r="BJ644" s="380"/>
      <c r="BK644" s="380"/>
      <c r="BL644" s="380"/>
      <c r="BM644" s="380"/>
      <c r="BN644" s="380"/>
      <c r="BO644" s="380"/>
      <c r="BP644" s="380"/>
      <c r="BQ644" s="380"/>
      <c r="BR644" s="380"/>
      <c r="BS644" s="380"/>
      <c r="BT644" s="380"/>
      <c r="BU644" s="380"/>
      <c r="BV644" s="380"/>
      <c r="BW644" s="380"/>
      <c r="BX644" s="380"/>
      <c r="BY644" s="380"/>
    </row>
    <row r="645" spans="1:77" s="170" customFormat="1" x14ac:dyDescent="0.25">
      <c r="A645" s="380"/>
      <c r="B645" s="380"/>
      <c r="C645" s="380"/>
      <c r="D645" s="380"/>
      <c r="E645" s="380"/>
      <c r="F645" s="381"/>
      <c r="G645" s="380"/>
      <c r="H645" s="381"/>
      <c r="I645" s="381"/>
      <c r="J645" s="464"/>
      <c r="K645" s="464"/>
      <c r="L645" s="381"/>
      <c r="M645" s="381"/>
      <c r="N645" s="381"/>
      <c r="O645" s="381"/>
      <c r="P645" s="381"/>
      <c r="Q645" s="381"/>
      <c r="R645" s="381"/>
      <c r="S645" s="380"/>
      <c r="T645" s="380"/>
      <c r="U645" s="380"/>
      <c r="V645" s="381"/>
      <c r="W645" s="380"/>
      <c r="X645" s="380"/>
      <c r="Y645" s="380"/>
      <c r="Z645" s="380"/>
      <c r="AA645" s="381"/>
      <c r="AB645" s="464"/>
      <c r="AC645" s="381"/>
      <c r="AD645" s="381"/>
      <c r="AE645" s="381"/>
      <c r="AF645" s="381"/>
      <c r="AG645" s="162"/>
      <c r="AH645" s="381"/>
      <c r="AI645" s="380"/>
      <c r="AJ645" s="380"/>
      <c r="AK645" s="162"/>
      <c r="AL645" s="381"/>
      <c r="AM645" s="381"/>
      <c r="AN645" s="381"/>
      <c r="AO645" s="50"/>
      <c r="AP645" s="50"/>
      <c r="AR645" s="380"/>
      <c r="AS645" s="380"/>
      <c r="AT645" s="380"/>
      <c r="AU645" s="380"/>
      <c r="AV645" s="380"/>
      <c r="AW645" s="380"/>
      <c r="AX645" s="380"/>
      <c r="AY645" s="380"/>
      <c r="AZ645" s="380"/>
      <c r="BA645" s="380"/>
      <c r="BB645" s="380"/>
      <c r="BC645" s="380"/>
      <c r="BD645" s="380"/>
      <c r="BE645" s="380"/>
      <c r="BF645" s="380"/>
      <c r="BG645" s="380"/>
      <c r="BH645" s="380"/>
      <c r="BI645" s="380"/>
      <c r="BJ645" s="380"/>
      <c r="BK645" s="380"/>
      <c r="BL645" s="380"/>
      <c r="BM645" s="380"/>
      <c r="BN645" s="380"/>
      <c r="BO645" s="380"/>
      <c r="BP645" s="380"/>
      <c r="BQ645" s="380"/>
      <c r="BR645" s="380"/>
      <c r="BS645" s="380"/>
      <c r="BT645" s="380"/>
      <c r="BU645" s="380"/>
      <c r="BV645" s="380"/>
      <c r="BW645" s="380"/>
      <c r="BX645" s="380"/>
      <c r="BY645" s="380"/>
    </row>
    <row r="646" spans="1:77" s="170" customFormat="1" x14ac:dyDescent="0.25">
      <c r="A646" s="380"/>
      <c r="B646" s="380"/>
      <c r="C646" s="380"/>
      <c r="D646" s="380"/>
      <c r="E646" s="380"/>
      <c r="F646" s="380"/>
      <c r="G646" s="380"/>
      <c r="H646" s="379"/>
      <c r="I646" s="379"/>
      <c r="J646" s="380"/>
      <c r="K646" s="380"/>
      <c r="L646" s="380"/>
      <c r="M646" s="380"/>
      <c r="N646" s="380"/>
      <c r="O646" s="380"/>
      <c r="P646" s="380"/>
      <c r="Q646" s="380"/>
      <c r="R646" s="380"/>
      <c r="S646" s="380"/>
      <c r="T646" s="380"/>
      <c r="U646" s="380"/>
      <c r="V646" s="380"/>
      <c r="W646" s="380"/>
      <c r="X646" s="380"/>
      <c r="Y646" s="380"/>
      <c r="Z646" s="380"/>
      <c r="AA646" s="379"/>
      <c r="AB646" s="380"/>
      <c r="AC646" s="380"/>
      <c r="AD646" s="380"/>
      <c r="AE646" s="380"/>
      <c r="AF646" s="380"/>
      <c r="AG646" s="153"/>
      <c r="AH646" s="380"/>
      <c r="AI646" s="380"/>
      <c r="AJ646" s="380"/>
      <c r="AK646" s="153"/>
      <c r="AL646" s="380"/>
      <c r="AM646" s="380"/>
      <c r="AN646" s="380"/>
      <c r="AO646" s="50"/>
      <c r="AP646" s="50"/>
      <c r="AR646" s="380"/>
      <c r="AS646" s="380"/>
      <c r="AT646" s="380"/>
      <c r="AU646" s="380"/>
      <c r="AV646" s="380"/>
      <c r="AW646" s="380"/>
      <c r="AX646" s="380"/>
      <c r="AY646" s="380"/>
      <c r="AZ646" s="380"/>
      <c r="BA646" s="380"/>
      <c r="BB646" s="380"/>
      <c r="BC646" s="380"/>
      <c r="BD646" s="380"/>
      <c r="BE646" s="380"/>
      <c r="BF646" s="380"/>
      <c r="BG646" s="380"/>
      <c r="BH646" s="380"/>
      <c r="BI646" s="380"/>
      <c r="BJ646" s="380"/>
      <c r="BK646" s="380"/>
      <c r="BL646" s="380"/>
      <c r="BM646" s="380"/>
      <c r="BN646" s="380"/>
      <c r="BO646" s="380"/>
      <c r="BP646" s="380"/>
      <c r="BQ646" s="380"/>
      <c r="BR646" s="380"/>
      <c r="BS646" s="380"/>
      <c r="BT646" s="380"/>
      <c r="BU646" s="380"/>
      <c r="BV646" s="380"/>
      <c r="BW646" s="380"/>
      <c r="BX646" s="380"/>
      <c r="BY646" s="380"/>
    </row>
    <row r="647" spans="1:77" s="170" customFormat="1" x14ac:dyDescent="0.25">
      <c r="A647" s="53"/>
      <c r="B647" s="380"/>
      <c r="C647" s="54"/>
      <c r="D647" s="380"/>
      <c r="E647" s="380"/>
      <c r="F647" s="379"/>
      <c r="G647" s="380"/>
      <c r="H647" s="379"/>
      <c r="I647" s="379"/>
      <c r="J647" s="380"/>
      <c r="K647" s="380"/>
      <c r="L647" s="379"/>
      <c r="M647" s="379"/>
      <c r="N647" s="50"/>
      <c r="O647" s="50"/>
      <c r="P647" s="449"/>
      <c r="Q647" s="449"/>
      <c r="R647" s="379"/>
      <c r="S647" s="380"/>
      <c r="T647" s="54"/>
      <c r="U647" s="380"/>
      <c r="V647" s="379"/>
      <c r="W647" s="380"/>
      <c r="X647" s="380"/>
      <c r="Y647" s="380"/>
      <c r="Z647" s="380"/>
      <c r="AA647" s="379"/>
      <c r="AB647" s="380"/>
      <c r="AC647" s="379"/>
      <c r="AD647" s="379"/>
      <c r="AE647" s="50"/>
      <c r="AF647" s="50"/>
      <c r="AG647" s="156"/>
      <c r="AH647" s="379"/>
      <c r="AI647" s="60"/>
      <c r="AJ647" s="60"/>
      <c r="AK647" s="474"/>
      <c r="AL647" s="449"/>
      <c r="AM647" s="379"/>
      <c r="AN647" s="379"/>
      <c r="AO647" s="50"/>
      <c r="AP647" s="50"/>
      <c r="AR647" s="380"/>
      <c r="AS647" s="380"/>
      <c r="AT647" s="380"/>
      <c r="AU647" s="380"/>
      <c r="AV647" s="380"/>
      <c r="AW647" s="380"/>
      <c r="AX647" s="380"/>
      <c r="AY647" s="380"/>
      <c r="AZ647" s="380"/>
      <c r="BA647" s="380"/>
      <c r="BB647" s="380"/>
      <c r="BC647" s="380"/>
      <c r="BD647" s="380"/>
      <c r="BE647" s="380"/>
      <c r="BF647" s="380"/>
      <c r="BG647" s="380"/>
      <c r="BH647" s="380"/>
      <c r="BI647" s="380"/>
      <c r="BJ647" s="380"/>
      <c r="BK647" s="380"/>
      <c r="BL647" s="380"/>
      <c r="BM647" s="380"/>
      <c r="BN647" s="380"/>
      <c r="BO647" s="380"/>
      <c r="BP647" s="380"/>
      <c r="BQ647" s="380"/>
      <c r="BR647" s="380"/>
      <c r="BS647" s="380"/>
      <c r="BT647" s="380"/>
      <c r="BU647" s="380"/>
      <c r="BV647" s="380"/>
      <c r="BW647" s="380"/>
      <c r="BX647" s="380"/>
      <c r="BY647" s="380"/>
    </row>
    <row r="648" spans="1:77" s="170" customFormat="1" x14ac:dyDescent="0.25">
      <c r="A648" s="380"/>
      <c r="B648" s="380"/>
      <c r="C648" s="380"/>
      <c r="D648" s="380"/>
      <c r="E648" s="380"/>
      <c r="F648" s="380"/>
      <c r="G648" s="380"/>
      <c r="H648" s="381"/>
      <c r="I648" s="381"/>
      <c r="J648" s="464"/>
      <c r="K648" s="464"/>
      <c r="L648" s="381"/>
      <c r="M648" s="381"/>
      <c r="N648" s="381"/>
      <c r="O648" s="381"/>
      <c r="P648" s="381"/>
      <c r="Q648" s="381"/>
      <c r="R648" s="381"/>
      <c r="S648" s="380"/>
      <c r="T648" s="380"/>
      <c r="U648" s="380"/>
      <c r="V648" s="381"/>
      <c r="W648" s="380"/>
      <c r="X648" s="380"/>
      <c r="Y648" s="380"/>
      <c r="Z648" s="380"/>
      <c r="AA648" s="381"/>
      <c r="AB648" s="464"/>
      <c r="AC648" s="381"/>
      <c r="AD648" s="381"/>
      <c r="AE648" s="381"/>
      <c r="AF648" s="381"/>
      <c r="AG648" s="162"/>
      <c r="AH648" s="381"/>
      <c r="AI648" s="380"/>
      <c r="AJ648" s="380"/>
      <c r="AK648" s="162"/>
      <c r="AL648" s="381"/>
      <c r="AM648" s="381"/>
      <c r="AN648" s="381"/>
      <c r="AO648" s="50"/>
      <c r="AP648" s="50"/>
      <c r="AR648" s="380"/>
      <c r="AS648" s="380"/>
      <c r="AT648" s="380"/>
      <c r="AU648" s="380"/>
      <c r="AV648" s="380"/>
      <c r="AW648" s="380"/>
      <c r="AX648" s="380"/>
      <c r="AY648" s="380"/>
      <c r="AZ648" s="380"/>
      <c r="BA648" s="380"/>
      <c r="BB648" s="380"/>
      <c r="BC648" s="380"/>
      <c r="BD648" s="380"/>
      <c r="BE648" s="380"/>
      <c r="BF648" s="380"/>
      <c r="BG648" s="380"/>
      <c r="BH648" s="380"/>
      <c r="BI648" s="380"/>
      <c r="BJ648" s="380"/>
      <c r="BK648" s="380"/>
      <c r="BL648" s="380"/>
      <c r="BM648" s="380"/>
      <c r="BN648" s="380"/>
      <c r="BO648" s="380"/>
      <c r="BP648" s="380"/>
      <c r="BQ648" s="380"/>
      <c r="BR648" s="380"/>
      <c r="BS648" s="380"/>
      <c r="BT648" s="380"/>
      <c r="BU648" s="380"/>
      <c r="BV648" s="380"/>
      <c r="BW648" s="380"/>
      <c r="BX648" s="380"/>
      <c r="BY648" s="380"/>
    </row>
    <row r="649" spans="1:77" s="170" customFormat="1" x14ac:dyDescent="0.25">
      <c r="A649" s="380"/>
      <c r="B649" s="380"/>
      <c r="C649" s="380"/>
      <c r="D649" s="380"/>
      <c r="E649" s="380"/>
      <c r="F649" s="381"/>
      <c r="G649" s="380"/>
      <c r="H649" s="380"/>
      <c r="I649" s="380"/>
      <c r="J649" s="380"/>
      <c r="K649" s="380"/>
      <c r="L649" s="380"/>
      <c r="M649" s="380"/>
      <c r="N649" s="380"/>
      <c r="O649" s="380"/>
      <c r="P649" s="380"/>
      <c r="Q649" s="380"/>
      <c r="R649" s="380"/>
      <c r="S649" s="380"/>
      <c r="T649" s="380"/>
      <c r="U649" s="380"/>
      <c r="V649" s="380"/>
      <c r="W649" s="380"/>
      <c r="X649" s="380"/>
      <c r="Y649" s="380"/>
      <c r="Z649" s="380"/>
      <c r="AA649" s="380"/>
      <c r="AB649" s="380"/>
      <c r="AC649" s="380"/>
      <c r="AD649" s="380"/>
      <c r="AE649" s="380"/>
      <c r="AF649" s="380"/>
      <c r="AG649" s="153"/>
      <c r="AH649" s="380"/>
      <c r="AI649" s="380"/>
      <c r="AJ649" s="380"/>
      <c r="AK649" s="153"/>
      <c r="AL649" s="380"/>
      <c r="AM649" s="380"/>
      <c r="AN649" s="380"/>
      <c r="AO649" s="380"/>
      <c r="AP649" s="380"/>
      <c r="AR649" s="380"/>
      <c r="AS649" s="380"/>
      <c r="AT649" s="380"/>
      <c r="AU649" s="380"/>
      <c r="AV649" s="380"/>
      <c r="AW649" s="380"/>
      <c r="AX649" s="380"/>
      <c r="AY649" s="380"/>
      <c r="AZ649" s="380"/>
      <c r="BA649" s="380"/>
      <c r="BB649" s="380"/>
      <c r="BC649" s="380"/>
      <c r="BD649" s="380"/>
      <c r="BE649" s="380"/>
      <c r="BF649" s="380"/>
      <c r="BG649" s="380"/>
      <c r="BH649" s="380"/>
      <c r="BI649" s="380"/>
      <c r="BJ649" s="380"/>
      <c r="BK649" s="380"/>
      <c r="BL649" s="380"/>
      <c r="BM649" s="380"/>
      <c r="BN649" s="380"/>
      <c r="BO649" s="380"/>
      <c r="BP649" s="380"/>
      <c r="BQ649" s="380"/>
      <c r="BR649" s="380"/>
      <c r="BS649" s="380"/>
      <c r="BT649" s="380"/>
      <c r="BU649" s="380"/>
      <c r="BV649" s="380"/>
      <c r="BW649" s="380"/>
      <c r="BX649" s="380"/>
      <c r="BY649" s="380"/>
    </row>
    <row r="650" spans="1:77" s="170" customFormat="1" x14ac:dyDescent="0.25">
      <c r="A650" s="380"/>
      <c r="B650" s="380"/>
      <c r="C650" s="380"/>
      <c r="D650" s="380"/>
      <c r="E650" s="380"/>
      <c r="F650" s="379"/>
      <c r="G650" s="380"/>
      <c r="H650" s="379"/>
      <c r="I650" s="379"/>
      <c r="J650" s="59"/>
      <c r="K650" s="59"/>
      <c r="L650" s="379"/>
      <c r="M650" s="379"/>
      <c r="N650" s="379"/>
      <c r="O650" s="379"/>
      <c r="P650" s="379"/>
      <c r="Q650" s="379"/>
      <c r="R650" s="379"/>
      <c r="S650" s="380"/>
      <c r="T650" s="380"/>
      <c r="U650" s="380"/>
      <c r="V650" s="379"/>
      <c r="W650" s="380"/>
      <c r="X650" s="380"/>
      <c r="Y650" s="380"/>
      <c r="Z650" s="380"/>
      <c r="AA650" s="379"/>
      <c r="AB650" s="59"/>
      <c r="AC650" s="379"/>
      <c r="AD650" s="379"/>
      <c r="AE650" s="379"/>
      <c r="AF650" s="379"/>
      <c r="AG650" s="156"/>
      <c r="AH650" s="379"/>
      <c r="AI650" s="379"/>
      <c r="AJ650" s="379"/>
      <c r="AK650" s="156"/>
      <c r="AL650" s="379"/>
      <c r="AM650" s="379"/>
      <c r="AN650" s="379"/>
      <c r="AO650" s="380"/>
      <c r="AP650" s="380"/>
      <c r="AR650" s="380"/>
      <c r="AS650" s="380"/>
      <c r="AT650" s="380"/>
      <c r="AU650" s="380"/>
      <c r="AV650" s="380"/>
      <c r="AW650" s="380"/>
      <c r="AX650" s="380"/>
      <c r="AY650" s="380"/>
      <c r="AZ650" s="380"/>
      <c r="BA650" s="380"/>
      <c r="BB650" s="380"/>
      <c r="BC650" s="380"/>
      <c r="BD650" s="380"/>
      <c r="BE650" s="380"/>
      <c r="BF650" s="380"/>
      <c r="BG650" s="380"/>
      <c r="BH650" s="380"/>
      <c r="BI650" s="380"/>
      <c r="BJ650" s="380"/>
      <c r="BK650" s="380"/>
      <c r="BL650" s="380"/>
      <c r="BM650" s="380"/>
      <c r="BN650" s="380"/>
      <c r="BO650" s="380"/>
      <c r="BP650" s="380"/>
      <c r="BQ650" s="380"/>
      <c r="BR650" s="380"/>
      <c r="BS650" s="380"/>
      <c r="BT650" s="380"/>
      <c r="BU650" s="380"/>
      <c r="BV650" s="380"/>
      <c r="BW650" s="380"/>
      <c r="BX650" s="380"/>
      <c r="BY650" s="380"/>
    </row>
    <row r="651" spans="1:77" s="170" customFormat="1" x14ac:dyDescent="0.25">
      <c r="A651" s="54"/>
      <c r="B651" s="380"/>
      <c r="C651" s="380"/>
      <c r="D651" s="380"/>
      <c r="E651" s="380"/>
      <c r="F651" s="380"/>
      <c r="G651" s="380"/>
      <c r="H651" s="380"/>
      <c r="I651" s="380"/>
      <c r="J651" s="380"/>
      <c r="K651" s="380"/>
      <c r="L651" s="380"/>
      <c r="M651" s="380"/>
      <c r="N651" s="380"/>
      <c r="O651" s="380"/>
      <c r="P651" s="380"/>
      <c r="Q651" s="380"/>
      <c r="R651" s="380"/>
      <c r="S651" s="380"/>
      <c r="T651" s="380"/>
      <c r="U651" s="380"/>
      <c r="V651" s="380"/>
      <c r="W651" s="380"/>
      <c r="X651" s="380"/>
      <c r="Y651" s="380"/>
      <c r="Z651" s="380"/>
      <c r="AA651" s="380"/>
      <c r="AB651" s="380"/>
      <c r="AC651" s="380"/>
      <c r="AD651" s="380"/>
      <c r="AE651" s="380"/>
      <c r="AF651" s="380"/>
      <c r="AG651" s="153"/>
      <c r="AH651" s="380"/>
      <c r="AI651" s="380"/>
      <c r="AJ651" s="380"/>
      <c r="AK651" s="153"/>
      <c r="AL651" s="380"/>
      <c r="AM651" s="380"/>
      <c r="AN651" s="380"/>
      <c r="AO651" s="380"/>
      <c r="AP651" s="380"/>
      <c r="AR651" s="380"/>
      <c r="AS651" s="380"/>
      <c r="AT651" s="380"/>
      <c r="AU651" s="380"/>
      <c r="AV651" s="380"/>
      <c r="AW651" s="380"/>
      <c r="AX651" s="380"/>
      <c r="AY651" s="380"/>
      <c r="AZ651" s="380"/>
      <c r="BA651" s="380"/>
      <c r="BB651" s="380"/>
      <c r="BC651" s="380"/>
      <c r="BD651" s="380"/>
      <c r="BE651" s="380"/>
      <c r="BF651" s="380"/>
      <c r="BG651" s="380"/>
      <c r="BH651" s="380"/>
      <c r="BI651" s="380"/>
      <c r="BJ651" s="380"/>
      <c r="BK651" s="380"/>
      <c r="BL651" s="380"/>
      <c r="BM651" s="380"/>
      <c r="BN651" s="380"/>
      <c r="BO651" s="380"/>
      <c r="BP651" s="380"/>
      <c r="BQ651" s="380"/>
      <c r="BR651" s="380"/>
      <c r="BS651" s="380"/>
      <c r="BT651" s="380"/>
      <c r="BU651" s="380"/>
      <c r="BV651" s="380"/>
      <c r="BW651" s="380"/>
      <c r="BX651" s="380"/>
      <c r="BY651" s="380"/>
    </row>
    <row r="652" spans="1:77" s="170" customFormat="1" x14ac:dyDescent="0.25">
      <c r="A652" s="380"/>
      <c r="B652" s="380"/>
      <c r="C652" s="380"/>
      <c r="D652" s="380"/>
      <c r="E652" s="380"/>
      <c r="F652" s="380"/>
      <c r="G652" s="380"/>
      <c r="H652" s="380"/>
      <c r="I652" s="380"/>
      <c r="J652" s="53"/>
      <c r="K652" s="53"/>
      <c r="L652" s="380"/>
      <c r="M652" s="380"/>
      <c r="N652" s="380"/>
      <c r="O652" s="380"/>
      <c r="P652" s="380"/>
      <c r="Q652" s="380"/>
      <c r="R652" s="380"/>
      <c r="S652" s="380"/>
      <c r="T652" s="380"/>
      <c r="U652" s="380"/>
      <c r="V652" s="380"/>
      <c r="W652" s="380"/>
      <c r="X652" s="380"/>
      <c r="Y652" s="380"/>
      <c r="Z652" s="380"/>
      <c r="AA652" s="380"/>
      <c r="AB652" s="53"/>
      <c r="AC652" s="380"/>
      <c r="AD652" s="380"/>
      <c r="AE652" s="380"/>
      <c r="AF652" s="380"/>
      <c r="AG652" s="153"/>
      <c r="AH652" s="380"/>
      <c r="AI652" s="380"/>
      <c r="AJ652" s="380"/>
      <c r="AK652" s="153"/>
      <c r="AL652" s="380"/>
      <c r="AM652" s="380"/>
      <c r="AN652" s="380"/>
      <c r="AO652" s="380"/>
      <c r="AP652" s="380"/>
      <c r="AR652" s="380"/>
      <c r="AS652" s="380"/>
      <c r="AT652" s="380"/>
      <c r="AU652" s="380"/>
      <c r="AV652" s="380"/>
      <c r="AW652" s="380"/>
      <c r="AX652" s="380"/>
      <c r="AY652" s="380"/>
      <c r="AZ652" s="380"/>
      <c r="BA652" s="380"/>
      <c r="BB652" s="380"/>
      <c r="BC652" s="380"/>
      <c r="BD652" s="380"/>
      <c r="BE652" s="380"/>
      <c r="BF652" s="380"/>
      <c r="BG652" s="380"/>
      <c r="BH652" s="380"/>
      <c r="BI652" s="380"/>
      <c r="BJ652" s="380"/>
      <c r="BK652" s="380"/>
      <c r="BL652" s="380"/>
      <c r="BM652" s="380"/>
      <c r="BN652" s="380"/>
      <c r="BO652" s="380"/>
      <c r="BP652" s="380"/>
      <c r="BQ652" s="380"/>
      <c r="BR652" s="380"/>
      <c r="BS652" s="380"/>
      <c r="BT652" s="380"/>
      <c r="BU652" s="380"/>
      <c r="BV652" s="380"/>
      <c r="BW652" s="380"/>
      <c r="BX652" s="380"/>
      <c r="BY652" s="380"/>
    </row>
    <row r="653" spans="1:77" s="170" customFormat="1" x14ac:dyDescent="0.25">
      <c r="A653" s="380"/>
      <c r="B653" s="380"/>
      <c r="C653" s="380"/>
      <c r="D653" s="380"/>
      <c r="E653" s="380"/>
      <c r="F653" s="380"/>
      <c r="G653" s="380"/>
      <c r="H653" s="54"/>
      <c r="I653" s="54"/>
      <c r="J653" s="380"/>
      <c r="K653" s="380"/>
      <c r="L653" s="380"/>
      <c r="M653" s="380"/>
      <c r="N653" s="380"/>
      <c r="O653" s="380"/>
      <c r="P653" s="380"/>
      <c r="Q653" s="380"/>
      <c r="R653" s="380"/>
      <c r="S653" s="380"/>
      <c r="T653" s="380"/>
      <c r="U653" s="380"/>
      <c r="V653" s="380"/>
      <c r="W653" s="380"/>
      <c r="X653" s="380"/>
      <c r="Y653" s="380"/>
      <c r="Z653" s="380"/>
      <c r="AA653" s="54"/>
      <c r="AB653" s="380"/>
      <c r="AC653" s="380"/>
      <c r="AD653" s="380"/>
      <c r="AE653" s="380"/>
      <c r="AF653" s="380"/>
      <c r="AG653" s="153"/>
      <c r="AH653" s="380"/>
      <c r="AI653" s="380"/>
      <c r="AJ653" s="380"/>
      <c r="AK653" s="153"/>
      <c r="AL653" s="380"/>
      <c r="AM653" s="380"/>
      <c r="AN653" s="380"/>
      <c r="AO653" s="380"/>
      <c r="AP653" s="380"/>
      <c r="AR653" s="380"/>
      <c r="AS653" s="380"/>
      <c r="AT653" s="380"/>
      <c r="AU653" s="380"/>
      <c r="AV653" s="380"/>
      <c r="AW653" s="380"/>
      <c r="AX653" s="380"/>
      <c r="AY653" s="380"/>
      <c r="AZ653" s="380"/>
      <c r="BA653" s="380"/>
      <c r="BB653" s="380"/>
      <c r="BC653" s="380"/>
      <c r="BD653" s="380"/>
      <c r="BE653" s="380"/>
      <c r="BF653" s="380"/>
      <c r="BG653" s="380"/>
      <c r="BH653" s="380"/>
      <c r="BI653" s="380"/>
      <c r="BJ653" s="380"/>
      <c r="BK653" s="380"/>
      <c r="BL653" s="380"/>
      <c r="BM653" s="380"/>
      <c r="BN653" s="380"/>
      <c r="BO653" s="380"/>
      <c r="BP653" s="380"/>
      <c r="BQ653" s="380"/>
      <c r="BR653" s="380"/>
      <c r="BS653" s="380"/>
      <c r="BT653" s="380"/>
      <c r="BU653" s="380"/>
      <c r="BV653" s="380"/>
      <c r="BW653" s="380"/>
      <c r="BX653" s="380"/>
      <c r="BY653" s="380"/>
    </row>
    <row r="654" spans="1:77" s="170" customFormat="1" x14ac:dyDescent="0.25">
      <c r="A654" s="380"/>
      <c r="B654" s="380"/>
      <c r="C654" s="380"/>
      <c r="D654" s="380"/>
      <c r="E654" s="380"/>
      <c r="F654" s="380"/>
      <c r="G654" s="380"/>
      <c r="H654" s="380"/>
      <c r="I654" s="380"/>
      <c r="J654" s="53"/>
      <c r="K654" s="53"/>
      <c r="L654" s="380"/>
      <c r="M654" s="380"/>
      <c r="N654" s="380"/>
      <c r="O654" s="380"/>
      <c r="P654" s="380"/>
      <c r="Q654" s="380"/>
      <c r="R654" s="380"/>
      <c r="S654" s="380"/>
      <c r="T654" s="380"/>
      <c r="U654" s="380"/>
      <c r="V654" s="380"/>
      <c r="W654" s="380"/>
      <c r="X654" s="380"/>
      <c r="Y654" s="380"/>
      <c r="Z654" s="380"/>
      <c r="AA654" s="380"/>
      <c r="AB654" s="53"/>
      <c r="AC654" s="380"/>
      <c r="AD654" s="380"/>
      <c r="AE654" s="380"/>
      <c r="AF654" s="380"/>
      <c r="AG654" s="153"/>
      <c r="AH654" s="380"/>
      <c r="AI654" s="380"/>
      <c r="AJ654" s="380"/>
      <c r="AK654" s="153"/>
      <c r="AL654" s="380"/>
      <c r="AM654" s="380"/>
      <c r="AN654" s="380"/>
      <c r="AO654" s="380"/>
      <c r="AP654" s="380"/>
      <c r="AR654" s="380"/>
      <c r="AS654" s="380"/>
      <c r="AT654" s="380"/>
      <c r="AU654" s="380"/>
      <c r="AV654" s="380"/>
      <c r="AW654" s="380"/>
      <c r="AX654" s="380"/>
      <c r="AY654" s="380"/>
      <c r="AZ654" s="380"/>
      <c r="BA654" s="380"/>
      <c r="BB654" s="380"/>
      <c r="BC654" s="380"/>
      <c r="BD654" s="380"/>
      <c r="BE654" s="380"/>
      <c r="BF654" s="380"/>
      <c r="BG654" s="380"/>
      <c r="BH654" s="380"/>
      <c r="BI654" s="380"/>
      <c r="BJ654" s="380"/>
      <c r="BK654" s="380"/>
      <c r="BL654" s="380"/>
      <c r="BM654" s="380"/>
      <c r="BN654" s="380"/>
      <c r="BO654" s="380"/>
      <c r="BP654" s="380"/>
      <c r="BQ654" s="380"/>
      <c r="BR654" s="380"/>
      <c r="BS654" s="380"/>
      <c r="BT654" s="380"/>
      <c r="BU654" s="380"/>
      <c r="BV654" s="380"/>
      <c r="BW654" s="380"/>
      <c r="BX654" s="380"/>
      <c r="BY654" s="380"/>
    </row>
    <row r="655" spans="1:77" s="170" customFormat="1" x14ac:dyDescent="0.25">
      <c r="A655" s="380"/>
      <c r="B655" s="380"/>
      <c r="C655" s="380"/>
      <c r="D655" s="380"/>
      <c r="E655" s="380"/>
      <c r="F655" s="380"/>
      <c r="G655" s="380"/>
      <c r="H655" s="380"/>
      <c r="I655" s="380"/>
      <c r="J655" s="380"/>
      <c r="K655" s="380"/>
      <c r="L655" s="54"/>
      <c r="M655" s="54"/>
      <c r="N655" s="380"/>
      <c r="O655" s="380"/>
      <c r="P655" s="380"/>
      <c r="Q655" s="380"/>
      <c r="R655" s="380"/>
      <c r="S655" s="380"/>
      <c r="T655" s="380"/>
      <c r="U655" s="380"/>
      <c r="V655" s="380"/>
      <c r="W655" s="380"/>
      <c r="X655" s="380"/>
      <c r="Y655" s="380"/>
      <c r="Z655" s="380"/>
      <c r="AA655" s="380"/>
      <c r="AB655" s="380"/>
      <c r="AC655" s="54"/>
      <c r="AD655" s="54"/>
      <c r="AE655" s="380"/>
      <c r="AF655" s="380"/>
      <c r="AG655" s="153"/>
      <c r="AH655" s="380"/>
      <c r="AI655" s="380"/>
      <c r="AJ655" s="380"/>
      <c r="AK655" s="153"/>
      <c r="AL655" s="380"/>
      <c r="AM655" s="380"/>
      <c r="AN655" s="380"/>
      <c r="AO655" s="380"/>
      <c r="AP655" s="380"/>
      <c r="AR655" s="380"/>
      <c r="AS655" s="380"/>
      <c r="AT655" s="380"/>
      <c r="AU655" s="380"/>
      <c r="AV655" s="380"/>
      <c r="AW655" s="380"/>
      <c r="AX655" s="380"/>
      <c r="AY655" s="380"/>
      <c r="AZ655" s="380"/>
      <c r="BA655" s="380"/>
      <c r="BB655" s="380"/>
      <c r="BC655" s="380"/>
      <c r="BD655" s="380"/>
      <c r="BE655" s="380"/>
      <c r="BF655" s="380"/>
      <c r="BG655" s="380"/>
      <c r="BH655" s="380"/>
      <c r="BI655" s="380"/>
      <c r="BJ655" s="380"/>
      <c r="BK655" s="380"/>
      <c r="BL655" s="380"/>
      <c r="BM655" s="380"/>
      <c r="BN655" s="380"/>
      <c r="BO655" s="380"/>
      <c r="BP655" s="380"/>
      <c r="BQ655" s="380"/>
      <c r="BR655" s="380"/>
      <c r="BS655" s="380"/>
      <c r="BT655" s="380"/>
      <c r="BU655" s="380"/>
      <c r="BV655" s="380"/>
      <c r="BW655" s="380"/>
      <c r="BX655" s="380"/>
      <c r="BY655" s="380"/>
    </row>
    <row r="656" spans="1:77" s="170" customFormat="1" x14ac:dyDescent="0.25">
      <c r="A656" s="53"/>
      <c r="B656" s="380"/>
      <c r="C656" s="380"/>
      <c r="D656" s="380"/>
      <c r="E656" s="380"/>
      <c r="F656" s="380"/>
      <c r="G656" s="380"/>
      <c r="H656" s="380"/>
      <c r="I656" s="380"/>
      <c r="J656" s="380"/>
      <c r="K656" s="380"/>
      <c r="L656" s="380"/>
      <c r="M656" s="380"/>
      <c r="N656" s="380"/>
      <c r="O656" s="380"/>
      <c r="P656" s="380"/>
      <c r="Q656" s="380"/>
      <c r="R656" s="54"/>
      <c r="S656" s="380"/>
      <c r="T656" s="380"/>
      <c r="U656" s="380"/>
      <c r="V656" s="380"/>
      <c r="W656" s="380"/>
      <c r="X656" s="380"/>
      <c r="Y656" s="380"/>
      <c r="Z656" s="380"/>
      <c r="AA656" s="380"/>
      <c r="AB656" s="380"/>
      <c r="AC656" s="380"/>
      <c r="AD656" s="380"/>
      <c r="AE656" s="380"/>
      <c r="AF656" s="380"/>
      <c r="AG656" s="153"/>
      <c r="AH656" s="380"/>
      <c r="AI656" s="380"/>
      <c r="AJ656" s="380"/>
      <c r="AK656" s="153"/>
      <c r="AL656" s="380"/>
      <c r="AM656" s="54"/>
      <c r="AN656" s="54"/>
      <c r="AO656" s="380"/>
      <c r="AP656" s="380"/>
      <c r="AR656" s="380"/>
      <c r="AS656" s="380"/>
      <c r="AT656" s="380"/>
      <c r="AU656" s="380"/>
      <c r="AV656" s="380"/>
      <c r="AW656" s="380"/>
      <c r="AX656" s="380"/>
      <c r="AY656" s="380"/>
      <c r="AZ656" s="380"/>
      <c r="BA656" s="380"/>
      <c r="BB656" s="380"/>
      <c r="BC656" s="380"/>
      <c r="BD656" s="380"/>
      <c r="BE656" s="380"/>
      <c r="BF656" s="380"/>
      <c r="BG656" s="380"/>
      <c r="BH656" s="380"/>
      <c r="BI656" s="380"/>
      <c r="BJ656" s="380"/>
      <c r="BK656" s="380"/>
      <c r="BL656" s="380"/>
      <c r="BM656" s="380"/>
      <c r="BN656" s="380"/>
      <c r="BO656" s="380"/>
      <c r="BP656" s="380"/>
      <c r="BQ656" s="380"/>
      <c r="BR656" s="380"/>
      <c r="BS656" s="380"/>
      <c r="BT656" s="380"/>
      <c r="BU656" s="380"/>
      <c r="BV656" s="380"/>
      <c r="BW656" s="380"/>
      <c r="BX656" s="380"/>
      <c r="BY656" s="380"/>
    </row>
    <row r="657" spans="1:77" s="170" customFormat="1" x14ac:dyDescent="0.25">
      <c r="A657" s="53"/>
      <c r="B657" s="380"/>
      <c r="C657" s="380"/>
      <c r="D657" s="380"/>
      <c r="E657" s="380"/>
      <c r="F657" s="380"/>
      <c r="G657" s="380"/>
      <c r="H657" s="380"/>
      <c r="I657" s="380"/>
      <c r="J657" s="380"/>
      <c r="K657" s="380"/>
      <c r="L657" s="380"/>
      <c r="M657" s="380"/>
      <c r="N657" s="380"/>
      <c r="O657" s="380"/>
      <c r="P657" s="380"/>
      <c r="Q657" s="380"/>
      <c r="R657" s="54"/>
      <c r="S657" s="380"/>
      <c r="T657" s="380"/>
      <c r="U657" s="380"/>
      <c r="V657" s="380"/>
      <c r="W657" s="380"/>
      <c r="X657" s="380"/>
      <c r="Y657" s="380"/>
      <c r="Z657" s="380"/>
      <c r="AA657" s="380"/>
      <c r="AB657" s="380"/>
      <c r="AC657" s="380"/>
      <c r="AD657" s="380"/>
      <c r="AE657" s="380"/>
      <c r="AF657" s="380"/>
      <c r="AG657" s="153"/>
      <c r="AH657" s="380"/>
      <c r="AI657" s="380"/>
      <c r="AJ657" s="380"/>
      <c r="AK657" s="153"/>
      <c r="AL657" s="380"/>
      <c r="AM657" s="54"/>
      <c r="AN657" s="54"/>
      <c r="AO657" s="380"/>
      <c r="AP657" s="380"/>
      <c r="AR657" s="380"/>
      <c r="AS657" s="380"/>
      <c r="AT657" s="380"/>
      <c r="AU657" s="380"/>
      <c r="AV657" s="380"/>
      <c r="AW657" s="380"/>
      <c r="AX657" s="380"/>
      <c r="AY657" s="380"/>
      <c r="AZ657" s="380"/>
      <c r="BA657" s="380"/>
      <c r="BB657" s="380"/>
      <c r="BC657" s="380"/>
      <c r="BD657" s="380"/>
      <c r="BE657" s="380"/>
      <c r="BF657" s="380"/>
      <c r="BG657" s="380"/>
      <c r="BH657" s="380"/>
      <c r="BI657" s="380"/>
      <c r="BJ657" s="380"/>
      <c r="BK657" s="380"/>
      <c r="BL657" s="380"/>
      <c r="BM657" s="380"/>
      <c r="BN657" s="380"/>
      <c r="BO657" s="380"/>
      <c r="BP657" s="380"/>
      <c r="BQ657" s="380"/>
      <c r="BR657" s="380"/>
      <c r="BS657" s="380"/>
      <c r="BT657" s="380"/>
      <c r="BU657" s="380"/>
      <c r="BV657" s="380"/>
      <c r="BW657" s="380"/>
      <c r="BX657" s="380"/>
      <c r="BY657" s="380"/>
    </row>
    <row r="658" spans="1:77" s="170" customFormat="1" x14ac:dyDescent="0.25">
      <c r="A658" s="54"/>
      <c r="B658" s="380"/>
      <c r="C658" s="380"/>
      <c r="D658" s="380"/>
      <c r="E658" s="380"/>
      <c r="F658" s="380"/>
      <c r="G658" s="380"/>
      <c r="H658" s="380"/>
      <c r="I658" s="380"/>
      <c r="J658" s="380"/>
      <c r="K658" s="380"/>
      <c r="L658" s="380"/>
      <c r="M658" s="380"/>
      <c r="N658" s="380"/>
      <c r="O658" s="380"/>
      <c r="P658" s="380"/>
      <c r="Q658" s="380"/>
      <c r="R658" s="54"/>
      <c r="S658" s="380"/>
      <c r="T658" s="380"/>
      <c r="U658" s="380"/>
      <c r="V658" s="380"/>
      <c r="W658" s="380"/>
      <c r="X658" s="380"/>
      <c r="Y658" s="380"/>
      <c r="Z658" s="380"/>
      <c r="AA658" s="380"/>
      <c r="AB658" s="380"/>
      <c r="AC658" s="380"/>
      <c r="AD658" s="380"/>
      <c r="AE658" s="380"/>
      <c r="AF658" s="380"/>
      <c r="AG658" s="153"/>
      <c r="AH658" s="380"/>
      <c r="AI658" s="380"/>
      <c r="AJ658" s="380"/>
      <c r="AK658" s="153"/>
      <c r="AL658" s="380"/>
      <c r="AM658" s="54"/>
      <c r="AN658" s="54"/>
      <c r="AO658" s="380"/>
      <c r="AP658" s="380"/>
      <c r="AR658" s="380"/>
      <c r="AS658" s="380"/>
      <c r="AT658" s="380"/>
      <c r="AU658" s="380"/>
      <c r="AV658" s="380"/>
      <c r="AW658" s="380"/>
      <c r="AX658" s="380"/>
      <c r="AY658" s="380"/>
      <c r="AZ658" s="380"/>
      <c r="BA658" s="380"/>
      <c r="BB658" s="380"/>
      <c r="BC658" s="380"/>
      <c r="BD658" s="380"/>
      <c r="BE658" s="380"/>
      <c r="BF658" s="380"/>
      <c r="BG658" s="380"/>
      <c r="BH658" s="380"/>
      <c r="BI658" s="380"/>
      <c r="BJ658" s="380"/>
      <c r="BK658" s="380"/>
      <c r="BL658" s="380"/>
      <c r="BM658" s="380"/>
      <c r="BN658" s="380"/>
      <c r="BO658" s="380"/>
      <c r="BP658" s="380"/>
      <c r="BQ658" s="380"/>
      <c r="BR658" s="380"/>
      <c r="BS658" s="380"/>
      <c r="BT658" s="380"/>
      <c r="BU658" s="380"/>
      <c r="BV658" s="380"/>
      <c r="BW658" s="380"/>
      <c r="BX658" s="380"/>
      <c r="BY658" s="380"/>
    </row>
    <row r="659" spans="1:77" s="170" customFormat="1" x14ac:dyDescent="0.25">
      <c r="A659" s="380"/>
      <c r="B659" s="380"/>
      <c r="C659" s="380"/>
      <c r="D659" s="380"/>
      <c r="E659" s="380"/>
      <c r="F659" s="380"/>
      <c r="G659" s="380"/>
      <c r="H659" s="380"/>
      <c r="I659" s="380"/>
      <c r="J659" s="380"/>
      <c r="K659" s="380"/>
      <c r="L659" s="54"/>
      <c r="M659" s="54"/>
      <c r="N659" s="380"/>
      <c r="O659" s="380"/>
      <c r="P659" s="380"/>
      <c r="Q659" s="380"/>
      <c r="R659" s="53"/>
      <c r="S659" s="380"/>
      <c r="T659" s="380"/>
      <c r="U659" s="380"/>
      <c r="V659" s="380"/>
      <c r="W659" s="380"/>
      <c r="X659" s="380"/>
      <c r="Y659" s="380"/>
      <c r="Z659" s="380"/>
      <c r="AA659" s="380"/>
      <c r="AB659" s="380"/>
      <c r="AC659" s="54"/>
      <c r="AD659" s="54"/>
      <c r="AE659" s="380"/>
      <c r="AF659" s="380"/>
      <c r="AG659" s="153"/>
      <c r="AH659" s="380"/>
      <c r="AI659" s="380"/>
      <c r="AJ659" s="380"/>
      <c r="AK659" s="153"/>
      <c r="AL659" s="380"/>
      <c r="AM659" s="53"/>
      <c r="AN659" s="53"/>
      <c r="AO659" s="380"/>
      <c r="AP659" s="380"/>
      <c r="AR659" s="380"/>
      <c r="AS659" s="380"/>
      <c r="AT659" s="380"/>
      <c r="AU659" s="380"/>
      <c r="AV659" s="380"/>
      <c r="AW659" s="380"/>
      <c r="AX659" s="380"/>
      <c r="AY659" s="380"/>
      <c r="AZ659" s="380"/>
      <c r="BA659" s="380"/>
      <c r="BB659" s="380"/>
      <c r="BC659" s="380"/>
      <c r="BD659" s="380"/>
      <c r="BE659" s="380"/>
      <c r="BF659" s="380"/>
      <c r="BG659" s="380"/>
      <c r="BH659" s="380"/>
      <c r="BI659" s="380"/>
      <c r="BJ659" s="380"/>
      <c r="BK659" s="380"/>
      <c r="BL659" s="380"/>
      <c r="BM659" s="380"/>
      <c r="BN659" s="380"/>
      <c r="BO659" s="380"/>
      <c r="BP659" s="380"/>
      <c r="BQ659" s="380"/>
      <c r="BR659" s="380"/>
      <c r="BS659" s="380"/>
      <c r="BT659" s="380"/>
      <c r="BU659" s="380"/>
      <c r="BV659" s="380"/>
      <c r="BW659" s="380"/>
      <c r="BX659" s="380"/>
      <c r="BY659" s="380"/>
    </row>
    <row r="660" spans="1:77" s="170" customFormat="1" x14ac:dyDescent="0.25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380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154"/>
      <c r="AH660" s="55"/>
      <c r="AI660" s="55"/>
      <c r="AJ660" s="55"/>
      <c r="AK660" s="154"/>
      <c r="AL660" s="55"/>
      <c r="AM660" s="55"/>
      <c r="AN660" s="55"/>
      <c r="AO660" s="55"/>
      <c r="AP660" s="55"/>
      <c r="AR660" s="380"/>
      <c r="AS660" s="380"/>
      <c r="AT660" s="380"/>
      <c r="AU660" s="380"/>
      <c r="AV660" s="380"/>
      <c r="AW660" s="380"/>
      <c r="AX660" s="380"/>
      <c r="AY660" s="380"/>
      <c r="AZ660" s="380"/>
      <c r="BA660" s="380"/>
      <c r="BB660" s="380"/>
      <c r="BC660" s="380"/>
      <c r="BD660" s="380"/>
      <c r="BE660" s="380"/>
      <c r="BF660" s="380"/>
      <c r="BG660" s="380"/>
      <c r="BH660" s="380"/>
      <c r="BI660" s="380"/>
      <c r="BJ660" s="380"/>
      <c r="BK660" s="380"/>
      <c r="BL660" s="380"/>
      <c r="BM660" s="380"/>
      <c r="BN660" s="380"/>
      <c r="BO660" s="380"/>
      <c r="BP660" s="380"/>
      <c r="BQ660" s="380"/>
      <c r="BR660" s="380"/>
      <c r="BS660" s="380"/>
      <c r="BT660" s="380"/>
      <c r="BU660" s="380"/>
      <c r="BV660" s="380"/>
      <c r="BW660" s="380"/>
      <c r="BX660" s="380"/>
      <c r="BY660" s="380"/>
    </row>
    <row r="661" spans="1:77" s="170" customFormat="1" x14ac:dyDescent="0.25">
      <c r="A661" s="380"/>
      <c r="B661" s="380"/>
      <c r="C661" s="380"/>
      <c r="D661" s="380"/>
      <c r="E661" s="380"/>
      <c r="F661" s="380"/>
      <c r="G661" s="380"/>
      <c r="H661" s="380"/>
      <c r="I661" s="380"/>
      <c r="J661" s="380"/>
      <c r="K661" s="380"/>
      <c r="L661" s="56"/>
      <c r="M661" s="56"/>
      <c r="N661" s="56"/>
      <c r="O661" s="56"/>
      <c r="P661" s="380"/>
      <c r="Q661" s="380"/>
      <c r="R661" s="56"/>
      <c r="S661" s="380"/>
      <c r="T661" s="380"/>
      <c r="U661" s="380"/>
      <c r="V661" s="380"/>
      <c r="W661" s="380"/>
      <c r="X661" s="380"/>
      <c r="Y661" s="380"/>
      <c r="Z661" s="380"/>
      <c r="AA661" s="380"/>
      <c r="AB661" s="380"/>
      <c r="AC661" s="56"/>
      <c r="AD661" s="56"/>
      <c r="AE661" s="56"/>
      <c r="AF661" s="56"/>
      <c r="AG661" s="155"/>
      <c r="AH661" s="56"/>
      <c r="AI661" s="56"/>
      <c r="AJ661" s="56"/>
      <c r="AK661" s="153"/>
      <c r="AL661" s="380"/>
      <c r="AM661" s="56"/>
      <c r="AN661" s="56"/>
      <c r="AO661" s="56"/>
      <c r="AP661" s="56"/>
      <c r="AR661" s="380"/>
      <c r="AS661" s="380"/>
      <c r="AT661" s="380"/>
      <c r="AU661" s="380"/>
      <c r="AV661" s="380"/>
      <c r="AW661" s="380"/>
      <c r="AX661" s="380"/>
      <c r="AY661" s="380"/>
      <c r="AZ661" s="380"/>
      <c r="BA661" s="380"/>
      <c r="BB661" s="380"/>
      <c r="BC661" s="380"/>
      <c r="BD661" s="380"/>
      <c r="BE661" s="380"/>
      <c r="BF661" s="380"/>
      <c r="BG661" s="380"/>
      <c r="BH661" s="380"/>
      <c r="BI661" s="380"/>
      <c r="BJ661" s="380"/>
      <c r="BK661" s="380"/>
      <c r="BL661" s="380"/>
      <c r="BM661" s="380"/>
      <c r="BN661" s="380"/>
      <c r="BO661" s="380"/>
      <c r="BP661" s="380"/>
      <c r="BQ661" s="380"/>
      <c r="BR661" s="380"/>
      <c r="BS661" s="380"/>
      <c r="BT661" s="380"/>
      <c r="BU661" s="380"/>
      <c r="BV661" s="380"/>
      <c r="BW661" s="380"/>
      <c r="BX661" s="380"/>
      <c r="BY661" s="380"/>
    </row>
    <row r="662" spans="1:77" s="170" customFormat="1" x14ac:dyDescent="0.25">
      <c r="A662" s="380"/>
      <c r="B662" s="380"/>
      <c r="C662" s="380"/>
      <c r="D662" s="380"/>
      <c r="E662" s="380"/>
      <c r="F662" s="380"/>
      <c r="G662" s="380"/>
      <c r="H662" s="380"/>
      <c r="I662" s="380"/>
      <c r="J662" s="380"/>
      <c r="K662" s="380"/>
      <c r="L662" s="56"/>
      <c r="M662" s="56"/>
      <c r="N662" s="56"/>
      <c r="O662" s="56"/>
      <c r="P662" s="380"/>
      <c r="Q662" s="380"/>
      <c r="R662" s="56"/>
      <c r="S662" s="380"/>
      <c r="T662" s="380"/>
      <c r="U662" s="380"/>
      <c r="V662" s="380"/>
      <c r="W662" s="380"/>
      <c r="X662" s="380"/>
      <c r="Y662" s="380"/>
      <c r="Z662" s="380"/>
      <c r="AA662" s="380"/>
      <c r="AB662" s="56"/>
      <c r="AC662" s="56"/>
      <c r="AD662" s="56"/>
      <c r="AE662" s="56"/>
      <c r="AF662" s="56"/>
      <c r="AG662" s="155"/>
      <c r="AH662" s="56"/>
      <c r="AI662" s="56"/>
      <c r="AJ662" s="56"/>
      <c r="AK662" s="153"/>
      <c r="AL662" s="380"/>
      <c r="AM662" s="56"/>
      <c r="AN662" s="56"/>
      <c r="AO662" s="56"/>
      <c r="AP662" s="56"/>
      <c r="AR662" s="380"/>
      <c r="AS662" s="380"/>
      <c r="AT662" s="380"/>
      <c r="AU662" s="380"/>
      <c r="AV662" s="380"/>
      <c r="AW662" s="380"/>
      <c r="AX662" s="380"/>
      <c r="AY662" s="380"/>
      <c r="AZ662" s="380"/>
      <c r="BA662" s="380"/>
      <c r="BB662" s="380"/>
      <c r="BC662" s="380"/>
      <c r="BD662" s="380"/>
      <c r="BE662" s="380"/>
      <c r="BF662" s="380"/>
      <c r="BG662" s="380"/>
      <c r="BH662" s="380"/>
      <c r="BI662" s="380"/>
      <c r="BJ662" s="380"/>
      <c r="BK662" s="380"/>
      <c r="BL662" s="380"/>
      <c r="BM662" s="380"/>
      <c r="BN662" s="380"/>
      <c r="BO662" s="380"/>
      <c r="BP662" s="380"/>
      <c r="BQ662" s="380"/>
      <c r="BR662" s="380"/>
      <c r="BS662" s="380"/>
      <c r="BT662" s="380"/>
      <c r="BU662" s="380"/>
      <c r="BV662" s="380"/>
      <c r="BW662" s="380"/>
      <c r="BX662" s="380"/>
      <c r="BY662" s="380"/>
    </row>
    <row r="663" spans="1:77" s="170" customFormat="1" x14ac:dyDescent="0.25">
      <c r="A663" s="56"/>
      <c r="B663" s="380"/>
      <c r="C663" s="56"/>
      <c r="D663" s="56"/>
      <c r="E663" s="56"/>
      <c r="F663" s="56"/>
      <c r="G663" s="380"/>
      <c r="H663" s="380"/>
      <c r="I663" s="380"/>
      <c r="J663" s="56"/>
      <c r="K663" s="56"/>
      <c r="L663" s="56"/>
      <c r="M663" s="56"/>
      <c r="N663" s="56"/>
      <c r="O663" s="56"/>
      <c r="P663" s="56"/>
      <c r="Q663" s="56"/>
      <c r="R663" s="56"/>
      <c r="S663" s="380"/>
      <c r="T663" s="56"/>
      <c r="U663" s="56"/>
      <c r="V663" s="56"/>
      <c r="W663" s="380"/>
      <c r="X663" s="380"/>
      <c r="Y663" s="380"/>
      <c r="Z663" s="380"/>
      <c r="AA663" s="380"/>
      <c r="AB663" s="56"/>
      <c r="AC663" s="56"/>
      <c r="AD663" s="56"/>
      <c r="AE663" s="56"/>
      <c r="AF663" s="56"/>
      <c r="AG663" s="155"/>
      <c r="AH663" s="56"/>
      <c r="AI663" s="56"/>
      <c r="AJ663" s="56"/>
      <c r="AK663" s="155"/>
      <c r="AL663" s="56"/>
      <c r="AM663" s="56"/>
      <c r="AN663" s="56"/>
      <c r="AO663" s="56"/>
      <c r="AP663" s="56"/>
      <c r="AR663" s="380"/>
      <c r="AS663" s="380"/>
      <c r="AT663" s="380"/>
      <c r="AU663" s="380"/>
      <c r="AV663" s="380"/>
      <c r="AW663" s="380"/>
      <c r="AX663" s="380"/>
      <c r="AY663" s="380"/>
      <c r="AZ663" s="380"/>
      <c r="BA663" s="380"/>
      <c r="BB663" s="380"/>
      <c r="BC663" s="380"/>
      <c r="BD663" s="380"/>
      <c r="BE663" s="380"/>
      <c r="BF663" s="380"/>
      <c r="BG663" s="380"/>
      <c r="BH663" s="380"/>
      <c r="BI663" s="380"/>
      <c r="BJ663" s="380"/>
      <c r="BK663" s="380"/>
      <c r="BL663" s="380"/>
      <c r="BM663" s="380"/>
      <c r="BN663" s="380"/>
      <c r="BO663" s="380"/>
      <c r="BP663" s="380"/>
      <c r="BQ663" s="380"/>
      <c r="BR663" s="380"/>
      <c r="BS663" s="380"/>
      <c r="BT663" s="380"/>
      <c r="BU663" s="380"/>
      <c r="BV663" s="380"/>
      <c r="BW663" s="380"/>
      <c r="BX663" s="380"/>
      <c r="BY663" s="380"/>
    </row>
    <row r="664" spans="1:77" s="170" customFormat="1" x14ac:dyDescent="0.25">
      <c r="A664" s="56"/>
      <c r="B664" s="380"/>
      <c r="C664" s="56"/>
      <c r="D664" s="56"/>
      <c r="E664" s="56"/>
      <c r="F664" s="56"/>
      <c r="G664" s="380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380"/>
      <c r="T664" s="56"/>
      <c r="U664" s="56"/>
      <c r="V664" s="56"/>
      <c r="W664" s="380"/>
      <c r="X664" s="380"/>
      <c r="Y664" s="380"/>
      <c r="Z664" s="380"/>
      <c r="AA664" s="56"/>
      <c r="AB664" s="56"/>
      <c r="AC664" s="56"/>
      <c r="AD664" s="56"/>
      <c r="AE664" s="56"/>
      <c r="AF664" s="56"/>
      <c r="AG664" s="155"/>
      <c r="AH664" s="56"/>
      <c r="AI664" s="56"/>
      <c r="AJ664" s="56"/>
      <c r="AK664" s="155"/>
      <c r="AL664" s="56"/>
      <c r="AM664" s="56"/>
      <c r="AN664" s="56"/>
      <c r="AO664" s="56"/>
      <c r="AP664" s="56"/>
      <c r="AR664" s="380"/>
      <c r="AS664" s="380"/>
      <c r="AT664" s="380"/>
      <c r="AU664" s="380"/>
      <c r="AV664" s="380"/>
      <c r="AW664" s="380"/>
      <c r="AX664" s="380"/>
      <c r="AY664" s="380"/>
      <c r="AZ664" s="380"/>
      <c r="BA664" s="380"/>
      <c r="BB664" s="380"/>
      <c r="BC664" s="380"/>
      <c r="BD664" s="380"/>
      <c r="BE664" s="380"/>
      <c r="BF664" s="380"/>
      <c r="BG664" s="380"/>
      <c r="BH664" s="380"/>
      <c r="BI664" s="380"/>
      <c r="BJ664" s="380"/>
      <c r="BK664" s="380"/>
      <c r="BL664" s="380"/>
      <c r="BM664" s="380"/>
      <c r="BN664" s="380"/>
      <c r="BO664" s="380"/>
      <c r="BP664" s="380"/>
      <c r="BQ664" s="380"/>
      <c r="BR664" s="380"/>
      <c r="BS664" s="380"/>
      <c r="BT664" s="380"/>
      <c r="BU664" s="380"/>
      <c r="BV664" s="380"/>
      <c r="BW664" s="380"/>
      <c r="BX664" s="380"/>
      <c r="BY664" s="380"/>
    </row>
    <row r="665" spans="1:77" s="170" customFormat="1" x14ac:dyDescent="0.25">
      <c r="A665" s="380"/>
      <c r="B665" s="380"/>
      <c r="C665" s="56"/>
      <c r="D665" s="56"/>
      <c r="E665" s="56"/>
      <c r="F665" s="56"/>
      <c r="G665" s="380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380"/>
      <c r="T665" s="56"/>
      <c r="U665" s="56"/>
      <c r="V665" s="56"/>
      <c r="W665" s="380"/>
      <c r="X665" s="380"/>
      <c r="Y665" s="380"/>
      <c r="Z665" s="380"/>
      <c r="AA665" s="56"/>
      <c r="AB665" s="56"/>
      <c r="AC665" s="56"/>
      <c r="AD665" s="56"/>
      <c r="AE665" s="56"/>
      <c r="AF665" s="56"/>
      <c r="AG665" s="155"/>
      <c r="AH665" s="56"/>
      <c r="AI665" s="56"/>
      <c r="AJ665" s="56"/>
      <c r="AK665" s="155"/>
      <c r="AL665" s="56"/>
      <c r="AM665" s="56"/>
      <c r="AN665" s="56"/>
      <c r="AO665" s="56"/>
      <c r="AP665" s="56"/>
      <c r="AR665" s="380"/>
      <c r="AS665" s="380"/>
      <c r="AT665" s="380"/>
      <c r="AU665" s="380"/>
      <c r="AV665" s="380"/>
      <c r="AW665" s="380"/>
      <c r="AX665" s="380"/>
      <c r="AY665" s="380"/>
      <c r="AZ665" s="380"/>
      <c r="BA665" s="380"/>
      <c r="BB665" s="380"/>
      <c r="BC665" s="380"/>
      <c r="BD665" s="380"/>
      <c r="BE665" s="380"/>
      <c r="BF665" s="380"/>
      <c r="BG665" s="380"/>
      <c r="BH665" s="380"/>
      <c r="BI665" s="380"/>
      <c r="BJ665" s="380"/>
      <c r="BK665" s="380"/>
      <c r="BL665" s="380"/>
      <c r="BM665" s="380"/>
      <c r="BN665" s="380"/>
      <c r="BO665" s="380"/>
      <c r="BP665" s="380"/>
      <c r="BQ665" s="380"/>
      <c r="BR665" s="380"/>
      <c r="BS665" s="380"/>
      <c r="BT665" s="380"/>
      <c r="BU665" s="380"/>
      <c r="BV665" s="380"/>
      <c r="BW665" s="380"/>
      <c r="BX665" s="380"/>
      <c r="BY665" s="380"/>
    </row>
    <row r="666" spans="1:77" s="170" customFormat="1" x14ac:dyDescent="0.25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380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154"/>
      <c r="AH666" s="55"/>
      <c r="AI666" s="55"/>
      <c r="AJ666" s="55"/>
      <c r="AK666" s="154"/>
      <c r="AL666" s="55"/>
      <c r="AM666" s="55"/>
      <c r="AN666" s="55"/>
      <c r="AO666" s="55"/>
      <c r="AP666" s="55"/>
      <c r="AR666" s="380"/>
      <c r="AS666" s="380"/>
      <c r="AT666" s="380"/>
      <c r="AU666" s="380"/>
      <c r="AV666" s="380"/>
      <c r="AW666" s="380"/>
      <c r="AX666" s="380"/>
      <c r="AY666" s="380"/>
      <c r="AZ666" s="380"/>
      <c r="BA666" s="380"/>
      <c r="BB666" s="380"/>
      <c r="BC666" s="380"/>
      <c r="BD666" s="380"/>
      <c r="BE666" s="380"/>
      <c r="BF666" s="380"/>
      <c r="BG666" s="380"/>
      <c r="BH666" s="380"/>
      <c r="BI666" s="380"/>
      <c r="BJ666" s="380"/>
      <c r="BK666" s="380"/>
      <c r="BL666" s="380"/>
      <c r="BM666" s="380"/>
      <c r="BN666" s="380"/>
      <c r="BO666" s="380"/>
      <c r="BP666" s="380"/>
      <c r="BQ666" s="380"/>
      <c r="BR666" s="380"/>
      <c r="BS666" s="380"/>
      <c r="BT666" s="380"/>
      <c r="BU666" s="380"/>
      <c r="BV666" s="380"/>
      <c r="BW666" s="380"/>
      <c r="BX666" s="380"/>
      <c r="BY666" s="380"/>
    </row>
    <row r="667" spans="1:77" s="170" customFormat="1" x14ac:dyDescent="0.25">
      <c r="A667" s="380"/>
      <c r="B667" s="380"/>
      <c r="C667" s="380"/>
      <c r="D667" s="380"/>
      <c r="E667" s="380"/>
      <c r="F667" s="380"/>
      <c r="G667" s="380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380"/>
      <c r="T667" s="380"/>
      <c r="U667" s="380"/>
      <c r="V667" s="380"/>
      <c r="W667" s="380"/>
      <c r="X667" s="380"/>
      <c r="Y667" s="380"/>
      <c r="Z667" s="380"/>
      <c r="AA667" s="56"/>
      <c r="AB667" s="56"/>
      <c r="AC667" s="56"/>
      <c r="AD667" s="56"/>
      <c r="AE667" s="56"/>
      <c r="AF667" s="56"/>
      <c r="AG667" s="155"/>
      <c r="AH667" s="56"/>
      <c r="AI667" s="56"/>
      <c r="AJ667" s="56"/>
      <c r="AK667" s="155"/>
      <c r="AL667" s="56"/>
      <c r="AM667" s="56"/>
      <c r="AN667" s="56"/>
      <c r="AO667" s="56"/>
      <c r="AP667" s="56"/>
      <c r="AR667" s="380"/>
      <c r="AS667" s="380"/>
      <c r="AT667" s="380"/>
      <c r="AU667" s="380"/>
      <c r="AV667" s="380"/>
      <c r="AW667" s="380"/>
      <c r="AX667" s="380"/>
      <c r="AY667" s="380"/>
      <c r="AZ667" s="380"/>
      <c r="BA667" s="380"/>
      <c r="BB667" s="380"/>
      <c r="BC667" s="380"/>
      <c r="BD667" s="380"/>
      <c r="BE667" s="380"/>
      <c r="BF667" s="380"/>
      <c r="BG667" s="380"/>
      <c r="BH667" s="380"/>
      <c r="BI667" s="380"/>
      <c r="BJ667" s="380"/>
      <c r="BK667" s="380"/>
      <c r="BL667" s="380"/>
      <c r="BM667" s="380"/>
      <c r="BN667" s="380"/>
      <c r="BO667" s="380"/>
      <c r="BP667" s="380"/>
      <c r="BQ667" s="380"/>
      <c r="BR667" s="380"/>
      <c r="BS667" s="380"/>
      <c r="BT667" s="380"/>
      <c r="BU667" s="380"/>
      <c r="BV667" s="380"/>
      <c r="BW667" s="380"/>
      <c r="BX667" s="380"/>
      <c r="BY667" s="380"/>
    </row>
    <row r="668" spans="1:77" s="170" customFormat="1" x14ac:dyDescent="0.25">
      <c r="A668" s="53"/>
      <c r="B668" s="380"/>
      <c r="C668" s="54"/>
      <c r="D668" s="54"/>
      <c r="E668" s="54"/>
      <c r="F668" s="380"/>
      <c r="G668" s="380"/>
      <c r="H668" s="380"/>
      <c r="I668" s="380"/>
      <c r="J668" s="380"/>
      <c r="K668" s="380"/>
      <c r="L668" s="380"/>
      <c r="M668" s="380"/>
      <c r="N668" s="380"/>
      <c r="O668" s="380"/>
      <c r="P668" s="380"/>
      <c r="Q668" s="380"/>
      <c r="R668" s="380"/>
      <c r="S668" s="380"/>
      <c r="T668" s="54"/>
      <c r="U668" s="54"/>
      <c r="V668" s="379"/>
      <c r="W668" s="379"/>
      <c r="X668" s="379"/>
      <c r="Y668" s="379"/>
      <c r="Z668" s="379"/>
      <c r="AA668" s="379"/>
      <c r="AB668" s="477"/>
      <c r="AC668" s="380"/>
      <c r="AD668" s="380"/>
      <c r="AE668" s="380"/>
      <c r="AF668" s="380"/>
      <c r="AG668" s="153"/>
      <c r="AH668" s="380"/>
      <c r="AI668" s="380"/>
      <c r="AJ668" s="380"/>
      <c r="AK668" s="153"/>
      <c r="AL668" s="380"/>
      <c r="AM668" s="380"/>
      <c r="AN668" s="380"/>
      <c r="AO668" s="380"/>
      <c r="AP668" s="380"/>
      <c r="AR668" s="380"/>
      <c r="AS668" s="380"/>
      <c r="AT668" s="380"/>
      <c r="AU668" s="380"/>
      <c r="AV668" s="380"/>
      <c r="AW668" s="380"/>
      <c r="AX668" s="380"/>
      <c r="AY668" s="380"/>
      <c r="AZ668" s="380"/>
      <c r="BA668" s="380"/>
      <c r="BB668" s="380"/>
      <c r="BC668" s="380"/>
      <c r="BD668" s="380"/>
      <c r="BE668" s="380"/>
      <c r="BF668" s="380"/>
      <c r="BG668" s="380"/>
      <c r="BH668" s="380"/>
      <c r="BI668" s="380"/>
      <c r="BJ668" s="380"/>
      <c r="BK668" s="380"/>
      <c r="BL668" s="380"/>
      <c r="BM668" s="380"/>
      <c r="BN668" s="380"/>
      <c r="BO668" s="380"/>
      <c r="BP668" s="380"/>
      <c r="BQ668" s="380"/>
      <c r="BR668" s="380"/>
      <c r="BS668" s="380"/>
      <c r="BT668" s="380"/>
      <c r="BU668" s="380"/>
      <c r="BV668" s="380"/>
      <c r="BW668" s="380"/>
      <c r="BX668" s="380"/>
      <c r="BY668" s="380"/>
    </row>
    <row r="670" spans="1:77" s="170" customFormat="1" x14ac:dyDescent="0.25">
      <c r="A670" s="53"/>
      <c r="B670" s="380"/>
      <c r="C670" s="54"/>
      <c r="D670" s="380"/>
      <c r="E670" s="380"/>
      <c r="F670" s="380"/>
      <c r="G670" s="380"/>
      <c r="H670" s="380"/>
      <c r="I670" s="380"/>
      <c r="J670" s="380"/>
      <c r="K670" s="380"/>
      <c r="L670" s="380"/>
      <c r="M670" s="380"/>
      <c r="N670" s="380"/>
      <c r="O670" s="380"/>
      <c r="P670" s="380"/>
      <c r="Q670" s="380"/>
      <c r="R670" s="380"/>
      <c r="S670" s="380"/>
      <c r="T670" s="54"/>
      <c r="U670" s="380"/>
      <c r="V670" s="379"/>
      <c r="W670" s="379"/>
      <c r="X670" s="379"/>
      <c r="Y670" s="379"/>
      <c r="Z670" s="379"/>
      <c r="AA670" s="379"/>
      <c r="AB670" s="477"/>
      <c r="AC670" s="380"/>
      <c r="AD670" s="380"/>
      <c r="AE670" s="380"/>
      <c r="AF670" s="380"/>
      <c r="AG670" s="153"/>
      <c r="AH670" s="380"/>
      <c r="AI670" s="380"/>
      <c r="AJ670" s="380"/>
      <c r="AK670" s="153"/>
      <c r="AL670" s="380"/>
      <c r="AM670" s="380"/>
      <c r="AN670" s="380"/>
      <c r="AO670" s="380"/>
      <c r="AP670" s="380"/>
      <c r="AR670" s="380"/>
      <c r="AS670" s="380"/>
      <c r="AT670" s="380"/>
      <c r="AU670" s="380"/>
      <c r="AV670" s="380"/>
      <c r="AW670" s="380"/>
      <c r="AX670" s="380"/>
      <c r="AY670" s="380"/>
      <c r="AZ670" s="380"/>
      <c r="BA670" s="380"/>
      <c r="BB670" s="380"/>
      <c r="BC670" s="380"/>
      <c r="BD670" s="380"/>
      <c r="BE670" s="380"/>
      <c r="BF670" s="380"/>
      <c r="BG670" s="380"/>
      <c r="BH670" s="380"/>
      <c r="BI670" s="380"/>
      <c r="BJ670" s="380"/>
      <c r="BK670" s="380"/>
      <c r="BL670" s="380"/>
      <c r="BM670" s="380"/>
      <c r="BN670" s="380"/>
      <c r="BO670" s="380"/>
      <c r="BP670" s="380"/>
      <c r="BQ670" s="380"/>
      <c r="BR670" s="380"/>
      <c r="BS670" s="380"/>
      <c r="BT670" s="380"/>
      <c r="BU670" s="380"/>
      <c r="BV670" s="380"/>
      <c r="BW670" s="380"/>
      <c r="BX670" s="380"/>
      <c r="BY670" s="380"/>
    </row>
    <row r="671" spans="1:77" s="170" customFormat="1" x14ac:dyDescent="0.25">
      <c r="A671" s="53"/>
      <c r="B671" s="380"/>
      <c r="C671" s="54"/>
      <c r="D671" s="380"/>
      <c r="E671" s="380"/>
      <c r="F671" s="449"/>
      <c r="G671" s="380"/>
      <c r="H671" s="449"/>
      <c r="I671" s="449"/>
      <c r="J671" s="221"/>
      <c r="K671" s="221"/>
      <c r="L671" s="379"/>
      <c r="M671" s="379"/>
      <c r="N671" s="50"/>
      <c r="O671" s="50"/>
      <c r="P671" s="379"/>
      <c r="Q671" s="379"/>
      <c r="R671" s="379"/>
      <c r="S671" s="380"/>
      <c r="T671" s="54"/>
      <c r="U671" s="380"/>
      <c r="V671" s="379"/>
      <c r="W671" s="379"/>
      <c r="X671" s="379"/>
      <c r="Y671" s="379"/>
      <c r="Z671" s="379"/>
      <c r="AA671" s="379"/>
      <c r="AB671" s="221"/>
      <c r="AC671" s="379"/>
      <c r="AD671" s="379"/>
      <c r="AE671" s="50"/>
      <c r="AF671" s="50"/>
      <c r="AG671" s="156"/>
      <c r="AH671" s="379"/>
      <c r="AI671" s="60"/>
      <c r="AJ671" s="60"/>
      <c r="AK671" s="156"/>
      <c r="AL671" s="379"/>
      <c r="AM671" s="379"/>
      <c r="AN671" s="379"/>
      <c r="AO671" s="50"/>
      <c r="AP671" s="50"/>
      <c r="AR671" s="380"/>
      <c r="AS671" s="380"/>
      <c r="AT671" s="380"/>
      <c r="AU671" s="380"/>
      <c r="AV671" s="380"/>
      <c r="AW671" s="380"/>
      <c r="AX671" s="380"/>
      <c r="AY671" s="380"/>
      <c r="AZ671" s="380"/>
      <c r="BA671" s="380"/>
      <c r="BB671" s="380"/>
      <c r="BC671" s="380"/>
      <c r="BD671" s="380"/>
      <c r="BE671" s="380"/>
      <c r="BF671" s="380"/>
      <c r="BG671" s="380"/>
      <c r="BH671" s="380"/>
      <c r="BI671" s="380"/>
      <c r="BJ671" s="380"/>
      <c r="BK671" s="380"/>
      <c r="BL671" s="380"/>
      <c r="BM671" s="380"/>
      <c r="BN671" s="380"/>
      <c r="BO671" s="380"/>
      <c r="BP671" s="380"/>
      <c r="BQ671" s="380"/>
      <c r="BR671" s="380"/>
      <c r="BS671" s="380"/>
      <c r="BT671" s="380"/>
      <c r="BU671" s="380"/>
      <c r="BV671" s="380"/>
      <c r="BW671" s="380"/>
      <c r="BX671" s="380"/>
      <c r="BY671" s="380"/>
    </row>
    <row r="672" spans="1:77" s="170" customFormat="1" x14ac:dyDescent="0.25">
      <c r="A672" s="53"/>
      <c r="B672" s="380"/>
      <c r="C672" s="54"/>
      <c r="D672" s="380"/>
      <c r="E672" s="380"/>
      <c r="F672" s="449"/>
      <c r="G672" s="380"/>
      <c r="H672" s="449"/>
      <c r="I672" s="449"/>
      <c r="J672" s="221"/>
      <c r="K672" s="221"/>
      <c r="L672" s="379"/>
      <c r="M672" s="379"/>
      <c r="N672" s="50"/>
      <c r="O672" s="50"/>
      <c r="P672" s="379"/>
      <c r="Q672" s="379"/>
      <c r="R672" s="379"/>
      <c r="S672" s="380"/>
      <c r="T672" s="54"/>
      <c r="U672" s="380"/>
      <c r="V672" s="379"/>
      <c r="W672" s="379"/>
      <c r="X672" s="379"/>
      <c r="Y672" s="379"/>
      <c r="Z672" s="379"/>
      <c r="AA672" s="379"/>
      <c r="AB672" s="221"/>
      <c r="AC672" s="379"/>
      <c r="AD672" s="379"/>
      <c r="AE672" s="50"/>
      <c r="AF672" s="50"/>
      <c r="AG672" s="156"/>
      <c r="AH672" s="379"/>
      <c r="AI672" s="60"/>
      <c r="AJ672" s="60"/>
      <c r="AK672" s="156"/>
      <c r="AL672" s="379"/>
      <c r="AM672" s="379"/>
      <c r="AN672" s="379"/>
      <c r="AO672" s="50"/>
      <c r="AP672" s="50"/>
      <c r="AR672" s="380"/>
      <c r="AS672" s="380"/>
      <c r="AT672" s="380"/>
      <c r="AU672" s="380"/>
      <c r="AV672" s="380"/>
      <c r="AW672" s="380"/>
      <c r="AX672" s="380"/>
      <c r="AY672" s="380"/>
      <c r="AZ672" s="380"/>
      <c r="BA672" s="380"/>
      <c r="BB672" s="380"/>
      <c r="BC672" s="380"/>
      <c r="BD672" s="380"/>
      <c r="BE672" s="380"/>
      <c r="BF672" s="380"/>
      <c r="BG672" s="380"/>
      <c r="BH672" s="380"/>
      <c r="BI672" s="380"/>
      <c r="BJ672" s="380"/>
      <c r="BK672" s="380"/>
      <c r="BL672" s="380"/>
      <c r="BM672" s="380"/>
      <c r="BN672" s="380"/>
      <c r="BO672" s="380"/>
      <c r="BP672" s="380"/>
      <c r="BQ672" s="380"/>
      <c r="BR672" s="380"/>
      <c r="BS672" s="380"/>
      <c r="BT672" s="380"/>
      <c r="BU672" s="380"/>
      <c r="BV672" s="380"/>
      <c r="BW672" s="380"/>
      <c r="BX672" s="380"/>
      <c r="BY672" s="380"/>
    </row>
    <row r="673" spans="1:77" s="170" customFormat="1" x14ac:dyDescent="0.25">
      <c r="A673" s="53"/>
      <c r="B673" s="380"/>
      <c r="C673" s="54"/>
      <c r="D673" s="380"/>
      <c r="E673" s="380"/>
      <c r="F673" s="449"/>
      <c r="G673" s="380"/>
      <c r="H673" s="449"/>
      <c r="I673" s="449"/>
      <c r="J673" s="221"/>
      <c r="K673" s="221"/>
      <c r="L673" s="379"/>
      <c r="M673" s="379"/>
      <c r="N673" s="50"/>
      <c r="O673" s="50"/>
      <c r="P673" s="379"/>
      <c r="Q673" s="379"/>
      <c r="R673" s="379"/>
      <c r="S673" s="380"/>
      <c r="T673" s="54"/>
      <c r="U673" s="380"/>
      <c r="V673" s="379"/>
      <c r="W673" s="379"/>
      <c r="X673" s="379"/>
      <c r="Y673" s="379"/>
      <c r="Z673" s="379"/>
      <c r="AA673" s="379"/>
      <c r="AB673" s="221"/>
      <c r="AC673" s="379"/>
      <c r="AD673" s="379"/>
      <c r="AE673" s="50"/>
      <c r="AF673" s="50"/>
      <c r="AG673" s="156"/>
      <c r="AH673" s="379"/>
      <c r="AI673" s="60"/>
      <c r="AJ673" s="60"/>
      <c r="AK673" s="156"/>
      <c r="AL673" s="379"/>
      <c r="AM673" s="379"/>
      <c r="AN673" s="379"/>
      <c r="AO673" s="50"/>
      <c r="AP673" s="50"/>
      <c r="AR673" s="380"/>
      <c r="AS673" s="380"/>
      <c r="AT673" s="380"/>
      <c r="AU673" s="380"/>
      <c r="AV673" s="380"/>
      <c r="AW673" s="380"/>
      <c r="AX673" s="380"/>
      <c r="AY673" s="380"/>
      <c r="AZ673" s="380"/>
      <c r="BA673" s="380"/>
      <c r="BB673" s="380"/>
      <c r="BC673" s="380"/>
      <c r="BD673" s="380"/>
      <c r="BE673" s="380"/>
      <c r="BF673" s="380"/>
      <c r="BG673" s="380"/>
      <c r="BH673" s="380"/>
      <c r="BI673" s="380"/>
      <c r="BJ673" s="380"/>
      <c r="BK673" s="380"/>
      <c r="BL673" s="380"/>
      <c r="BM673" s="380"/>
      <c r="BN673" s="380"/>
      <c r="BO673" s="380"/>
      <c r="BP673" s="380"/>
      <c r="BQ673" s="380"/>
      <c r="BR673" s="380"/>
      <c r="BS673" s="380"/>
      <c r="BT673" s="380"/>
      <c r="BU673" s="380"/>
      <c r="BV673" s="380"/>
      <c r="BW673" s="380"/>
      <c r="BX673" s="380"/>
      <c r="BY673" s="380"/>
    </row>
    <row r="674" spans="1:77" s="170" customFormat="1" x14ac:dyDescent="0.25">
      <c r="A674" s="53"/>
      <c r="B674" s="380"/>
      <c r="C674" s="54"/>
      <c r="D674" s="380"/>
      <c r="E674" s="380"/>
      <c r="F674" s="449"/>
      <c r="G674" s="380"/>
      <c r="H674" s="449"/>
      <c r="I674" s="449"/>
      <c r="J674" s="221"/>
      <c r="K674" s="221"/>
      <c r="L674" s="379"/>
      <c r="M674" s="379"/>
      <c r="N674" s="50"/>
      <c r="O674" s="50"/>
      <c r="P674" s="379"/>
      <c r="Q674" s="379"/>
      <c r="R674" s="379"/>
      <c r="S674" s="380"/>
      <c r="T674" s="54"/>
      <c r="U674" s="380"/>
      <c r="V674" s="379"/>
      <c r="W674" s="379"/>
      <c r="X674" s="379"/>
      <c r="Y674" s="379"/>
      <c r="Z674" s="379"/>
      <c r="AA674" s="379"/>
      <c r="AB674" s="221"/>
      <c r="AC674" s="379"/>
      <c r="AD674" s="379"/>
      <c r="AE674" s="50"/>
      <c r="AF674" s="50"/>
      <c r="AG674" s="156"/>
      <c r="AH674" s="379"/>
      <c r="AI674" s="60"/>
      <c r="AJ674" s="60"/>
      <c r="AK674" s="156"/>
      <c r="AL674" s="379"/>
      <c r="AM674" s="379"/>
      <c r="AN674" s="379"/>
      <c r="AO674" s="50"/>
      <c r="AP674" s="50"/>
      <c r="AR674" s="380"/>
      <c r="AS674" s="380"/>
      <c r="AT674" s="380"/>
      <c r="AU674" s="380"/>
      <c r="AV674" s="380"/>
      <c r="AW674" s="380"/>
      <c r="AX674" s="380"/>
      <c r="AY674" s="380"/>
      <c r="AZ674" s="380"/>
      <c r="BA674" s="380"/>
      <c r="BB674" s="380"/>
      <c r="BC674" s="380"/>
      <c r="BD674" s="380"/>
      <c r="BE674" s="380"/>
      <c r="BF674" s="380"/>
      <c r="BG674" s="380"/>
      <c r="BH674" s="380"/>
      <c r="BI674" s="380"/>
      <c r="BJ674" s="380"/>
      <c r="BK674" s="380"/>
      <c r="BL674" s="380"/>
      <c r="BM674" s="380"/>
      <c r="BN674" s="380"/>
      <c r="BO674" s="380"/>
      <c r="BP674" s="380"/>
      <c r="BQ674" s="380"/>
      <c r="BR674" s="380"/>
      <c r="BS674" s="380"/>
      <c r="BT674" s="380"/>
      <c r="BU674" s="380"/>
      <c r="BV674" s="380"/>
      <c r="BW674" s="380"/>
      <c r="BX674" s="380"/>
      <c r="BY674" s="380"/>
    </row>
    <row r="675" spans="1:77" s="170" customFormat="1" x14ac:dyDescent="0.25">
      <c r="A675" s="380"/>
      <c r="B675" s="380"/>
      <c r="C675" s="380"/>
      <c r="D675" s="380"/>
      <c r="E675" s="380"/>
      <c r="F675" s="380"/>
      <c r="G675" s="380"/>
      <c r="H675" s="380"/>
      <c r="I675" s="380"/>
      <c r="J675" s="65"/>
      <c r="K675" s="65"/>
      <c r="L675" s="380"/>
      <c r="M675" s="380"/>
      <c r="N675" s="380"/>
      <c r="O675" s="380"/>
      <c r="P675" s="380"/>
      <c r="Q675" s="380"/>
      <c r="R675" s="380"/>
      <c r="S675" s="380"/>
      <c r="T675" s="380"/>
      <c r="U675" s="380"/>
      <c r="V675" s="379"/>
      <c r="W675" s="379"/>
      <c r="X675" s="379"/>
      <c r="Y675" s="379"/>
      <c r="Z675" s="379"/>
      <c r="AA675" s="379"/>
      <c r="AB675" s="221"/>
      <c r="AC675" s="380"/>
      <c r="AD675" s="380"/>
      <c r="AE675" s="380"/>
      <c r="AF675" s="380"/>
      <c r="AG675" s="153"/>
      <c r="AH675" s="380"/>
      <c r="AI675" s="380"/>
      <c r="AJ675" s="380"/>
      <c r="AK675" s="153"/>
      <c r="AL675" s="380"/>
      <c r="AM675" s="380"/>
      <c r="AN675" s="380"/>
      <c r="AO675" s="380"/>
      <c r="AP675" s="380"/>
      <c r="AR675" s="380"/>
      <c r="AS675" s="380"/>
      <c r="AT675" s="380"/>
      <c r="AU675" s="380"/>
      <c r="AV675" s="380"/>
      <c r="AW675" s="380"/>
      <c r="AX675" s="380"/>
      <c r="AY675" s="380"/>
      <c r="AZ675" s="380"/>
      <c r="BA675" s="380"/>
      <c r="BB675" s="380"/>
      <c r="BC675" s="380"/>
      <c r="BD675" s="380"/>
      <c r="BE675" s="380"/>
      <c r="BF675" s="380"/>
      <c r="BG675" s="380"/>
      <c r="BH675" s="380"/>
      <c r="BI675" s="380"/>
      <c r="BJ675" s="380"/>
      <c r="BK675" s="380"/>
      <c r="BL675" s="380"/>
      <c r="BM675" s="380"/>
      <c r="BN675" s="380"/>
      <c r="BO675" s="380"/>
      <c r="BP675" s="380"/>
      <c r="BQ675" s="380"/>
      <c r="BR675" s="380"/>
      <c r="BS675" s="380"/>
      <c r="BT675" s="380"/>
      <c r="BU675" s="380"/>
      <c r="BV675" s="380"/>
      <c r="BW675" s="380"/>
      <c r="BX675" s="380"/>
      <c r="BY675" s="380"/>
    </row>
    <row r="676" spans="1:77" s="170" customFormat="1" x14ac:dyDescent="0.25">
      <c r="A676" s="53"/>
      <c r="B676" s="380"/>
      <c r="C676" s="54"/>
      <c r="D676" s="380"/>
      <c r="E676" s="380"/>
      <c r="F676" s="449"/>
      <c r="G676" s="380"/>
      <c r="H676" s="449"/>
      <c r="I676" s="449"/>
      <c r="J676" s="221"/>
      <c r="K676" s="221"/>
      <c r="L676" s="379"/>
      <c r="M676" s="379"/>
      <c r="N676" s="50"/>
      <c r="O676" s="50"/>
      <c r="P676" s="379"/>
      <c r="Q676" s="379"/>
      <c r="R676" s="379"/>
      <c r="S676" s="380"/>
      <c r="T676" s="54"/>
      <c r="U676" s="380"/>
      <c r="V676" s="379"/>
      <c r="W676" s="379"/>
      <c r="X676" s="379"/>
      <c r="Y676" s="379"/>
      <c r="Z676" s="379"/>
      <c r="AA676" s="379"/>
      <c r="AB676" s="221"/>
      <c r="AC676" s="379"/>
      <c r="AD676" s="379"/>
      <c r="AE676" s="50"/>
      <c r="AF676" s="50"/>
      <c r="AG676" s="156"/>
      <c r="AH676" s="379"/>
      <c r="AI676" s="60"/>
      <c r="AJ676" s="60"/>
      <c r="AK676" s="156"/>
      <c r="AL676" s="379"/>
      <c r="AM676" s="379"/>
      <c r="AN676" s="379"/>
      <c r="AO676" s="60"/>
      <c r="AP676" s="60"/>
      <c r="AR676" s="380"/>
      <c r="AS676" s="380"/>
      <c r="AT676" s="380"/>
      <c r="AU676" s="380"/>
      <c r="AV676" s="380"/>
      <c r="AW676" s="380"/>
      <c r="AX676" s="380"/>
      <c r="AY676" s="380"/>
      <c r="AZ676" s="380"/>
      <c r="BA676" s="380"/>
      <c r="BB676" s="380"/>
      <c r="BC676" s="380"/>
      <c r="BD676" s="380"/>
      <c r="BE676" s="380"/>
      <c r="BF676" s="380"/>
      <c r="BG676" s="380"/>
      <c r="BH676" s="380"/>
      <c r="BI676" s="380"/>
      <c r="BJ676" s="380"/>
      <c r="BK676" s="380"/>
      <c r="BL676" s="380"/>
      <c r="BM676" s="380"/>
      <c r="BN676" s="380"/>
      <c r="BO676" s="380"/>
      <c r="BP676" s="380"/>
      <c r="BQ676" s="380"/>
      <c r="BR676" s="380"/>
      <c r="BS676" s="380"/>
      <c r="BT676" s="380"/>
      <c r="BU676" s="380"/>
      <c r="BV676" s="380"/>
      <c r="BW676" s="380"/>
      <c r="BX676" s="380"/>
      <c r="BY676" s="380"/>
    </row>
    <row r="677" spans="1:77" s="170" customFormat="1" x14ac:dyDescent="0.25">
      <c r="A677" s="53"/>
      <c r="B677" s="380"/>
      <c r="C677" s="54"/>
      <c r="D677" s="380"/>
      <c r="E677" s="380"/>
      <c r="F677" s="380"/>
      <c r="G677" s="380"/>
      <c r="H677" s="380"/>
      <c r="I677" s="380"/>
      <c r="J677" s="65"/>
      <c r="K677" s="65"/>
      <c r="L677" s="380"/>
      <c r="M677" s="380"/>
      <c r="N677" s="380"/>
      <c r="O677" s="380"/>
      <c r="P677" s="380"/>
      <c r="Q677" s="380"/>
      <c r="R677" s="380"/>
      <c r="S677" s="380"/>
      <c r="T677" s="54"/>
      <c r="U677" s="380"/>
      <c r="V677" s="379"/>
      <c r="W677" s="379"/>
      <c r="X677" s="379"/>
      <c r="Y677" s="379"/>
      <c r="Z677" s="379"/>
      <c r="AA677" s="379"/>
      <c r="AB677" s="221"/>
      <c r="AC677" s="380"/>
      <c r="AD677" s="380"/>
      <c r="AE677" s="380"/>
      <c r="AF677" s="380"/>
      <c r="AG677" s="153"/>
      <c r="AH677" s="380"/>
      <c r="AI677" s="380"/>
      <c r="AJ677" s="380"/>
      <c r="AK677" s="153"/>
      <c r="AL677" s="380"/>
      <c r="AM677" s="380"/>
      <c r="AN677" s="380"/>
      <c r="AO677" s="380"/>
      <c r="AP677" s="380"/>
      <c r="AR677" s="380"/>
      <c r="AS677" s="380"/>
      <c r="AT677" s="380"/>
      <c r="AU677" s="380"/>
      <c r="AV677" s="380"/>
      <c r="AW677" s="380"/>
      <c r="AX677" s="380"/>
      <c r="AY677" s="380"/>
      <c r="AZ677" s="380"/>
      <c r="BA677" s="380"/>
      <c r="BB677" s="380"/>
      <c r="BC677" s="380"/>
      <c r="BD677" s="380"/>
      <c r="BE677" s="380"/>
      <c r="BF677" s="380"/>
      <c r="BG677" s="380"/>
      <c r="BH677" s="380"/>
      <c r="BI677" s="380"/>
      <c r="BJ677" s="380"/>
      <c r="BK677" s="380"/>
      <c r="BL677" s="380"/>
      <c r="BM677" s="380"/>
      <c r="BN677" s="380"/>
      <c r="BO677" s="380"/>
      <c r="BP677" s="380"/>
      <c r="BQ677" s="380"/>
      <c r="BR677" s="380"/>
      <c r="BS677" s="380"/>
      <c r="BT677" s="380"/>
      <c r="BU677" s="380"/>
      <c r="BV677" s="380"/>
      <c r="BW677" s="380"/>
      <c r="BX677" s="380"/>
      <c r="BY677" s="380"/>
    </row>
    <row r="678" spans="1:77" s="170" customFormat="1" x14ac:dyDescent="0.25">
      <c r="A678" s="53"/>
      <c r="B678" s="380"/>
      <c r="C678" s="54"/>
      <c r="D678" s="380"/>
      <c r="E678" s="380"/>
      <c r="F678" s="449"/>
      <c r="G678" s="380"/>
      <c r="H678" s="449"/>
      <c r="I678" s="449"/>
      <c r="J678" s="221"/>
      <c r="K678" s="221"/>
      <c r="L678" s="379"/>
      <c r="M678" s="379"/>
      <c r="N678" s="50"/>
      <c r="O678" s="50"/>
      <c r="P678" s="379"/>
      <c r="Q678" s="379"/>
      <c r="R678" s="379"/>
      <c r="S678" s="380"/>
      <c r="T678" s="54"/>
      <c r="U678" s="380"/>
      <c r="V678" s="379"/>
      <c r="W678" s="379"/>
      <c r="X678" s="379"/>
      <c r="Y678" s="379"/>
      <c r="Z678" s="379"/>
      <c r="AA678" s="379"/>
      <c r="AB678" s="221"/>
      <c r="AC678" s="379"/>
      <c r="AD678" s="379"/>
      <c r="AE678" s="50"/>
      <c r="AF678" s="50"/>
      <c r="AG678" s="156"/>
      <c r="AH678" s="379"/>
      <c r="AI678" s="60"/>
      <c r="AJ678" s="60"/>
      <c r="AK678" s="156"/>
      <c r="AL678" s="379"/>
      <c r="AM678" s="379"/>
      <c r="AN678" s="379"/>
      <c r="AO678" s="60"/>
      <c r="AP678" s="60"/>
      <c r="AR678" s="380"/>
      <c r="AS678" s="380"/>
      <c r="AT678" s="380"/>
      <c r="AU678" s="380"/>
      <c r="AV678" s="380"/>
      <c r="AW678" s="380"/>
      <c r="AX678" s="380"/>
      <c r="AY678" s="380"/>
      <c r="AZ678" s="380"/>
      <c r="BA678" s="380"/>
      <c r="BB678" s="380"/>
      <c r="BC678" s="380"/>
      <c r="BD678" s="380"/>
      <c r="BE678" s="380"/>
      <c r="BF678" s="380"/>
      <c r="BG678" s="380"/>
      <c r="BH678" s="380"/>
      <c r="BI678" s="380"/>
      <c r="BJ678" s="380"/>
      <c r="BK678" s="380"/>
      <c r="BL678" s="380"/>
      <c r="BM678" s="380"/>
      <c r="BN678" s="380"/>
      <c r="BO678" s="380"/>
      <c r="BP678" s="380"/>
      <c r="BQ678" s="380"/>
      <c r="BR678" s="380"/>
      <c r="BS678" s="380"/>
      <c r="BT678" s="380"/>
      <c r="BU678" s="380"/>
      <c r="BV678" s="380"/>
      <c r="BW678" s="380"/>
      <c r="BX678" s="380"/>
      <c r="BY678" s="380"/>
    </row>
    <row r="679" spans="1:77" s="170" customFormat="1" x14ac:dyDescent="0.25">
      <c r="A679" s="380"/>
      <c r="B679" s="380"/>
      <c r="C679" s="380"/>
      <c r="D679" s="380"/>
      <c r="E679" s="380"/>
      <c r="F679" s="380"/>
      <c r="G679" s="380"/>
      <c r="H679" s="380"/>
      <c r="I679" s="380"/>
      <c r="J679" s="65"/>
      <c r="K679" s="65"/>
      <c r="L679" s="380"/>
      <c r="M679" s="380"/>
      <c r="N679" s="380"/>
      <c r="O679" s="380"/>
      <c r="P679" s="380"/>
      <c r="Q679" s="380"/>
      <c r="R679" s="380"/>
      <c r="S679" s="380"/>
      <c r="T679" s="380"/>
      <c r="U679" s="380"/>
      <c r="V679" s="380"/>
      <c r="W679" s="380"/>
      <c r="X679" s="380"/>
      <c r="Y679" s="380"/>
      <c r="Z679" s="380"/>
      <c r="AA679" s="380"/>
      <c r="AB679" s="65"/>
      <c r="AC679" s="380"/>
      <c r="AD679" s="380"/>
      <c r="AE679" s="380"/>
      <c r="AF679" s="380"/>
      <c r="AG679" s="153"/>
      <c r="AH679" s="380"/>
      <c r="AI679" s="380"/>
      <c r="AJ679" s="380"/>
      <c r="AK679" s="153"/>
      <c r="AL679" s="380"/>
      <c r="AM679" s="380"/>
      <c r="AN679" s="380"/>
      <c r="AO679" s="380"/>
      <c r="AP679" s="380"/>
      <c r="AR679" s="380"/>
      <c r="AS679" s="380"/>
      <c r="AT679" s="380"/>
      <c r="AU679" s="380"/>
      <c r="AV679" s="380"/>
      <c r="AW679" s="380"/>
      <c r="AX679" s="380"/>
      <c r="AY679" s="380"/>
      <c r="AZ679" s="380"/>
      <c r="BA679" s="380"/>
      <c r="BB679" s="380"/>
      <c r="BC679" s="380"/>
      <c r="BD679" s="380"/>
      <c r="BE679" s="380"/>
      <c r="BF679" s="380"/>
      <c r="BG679" s="380"/>
      <c r="BH679" s="380"/>
      <c r="BI679" s="380"/>
      <c r="BJ679" s="380"/>
      <c r="BK679" s="380"/>
      <c r="BL679" s="380"/>
      <c r="BM679" s="380"/>
      <c r="BN679" s="380"/>
      <c r="BO679" s="380"/>
      <c r="BP679" s="380"/>
      <c r="BQ679" s="380"/>
      <c r="BR679" s="380"/>
      <c r="BS679" s="380"/>
      <c r="BT679" s="380"/>
      <c r="BU679" s="380"/>
      <c r="BV679" s="380"/>
      <c r="BW679" s="380"/>
      <c r="BX679" s="380"/>
      <c r="BY679" s="380"/>
    </row>
    <row r="680" spans="1:77" s="170" customFormat="1" x14ac:dyDescent="0.25">
      <c r="A680" s="53"/>
      <c r="B680" s="380"/>
      <c r="C680" s="54"/>
      <c r="D680" s="380"/>
      <c r="E680" s="380"/>
      <c r="F680" s="380"/>
      <c r="G680" s="380"/>
      <c r="H680" s="380"/>
      <c r="I680" s="380"/>
      <c r="J680" s="65"/>
      <c r="K680" s="65"/>
      <c r="L680" s="380"/>
      <c r="M680" s="380"/>
      <c r="N680" s="380"/>
      <c r="O680" s="380"/>
      <c r="P680" s="380"/>
      <c r="Q680" s="380"/>
      <c r="R680" s="380"/>
      <c r="S680" s="380"/>
      <c r="T680" s="54"/>
      <c r="U680" s="380"/>
      <c r="V680" s="379"/>
      <c r="W680" s="379"/>
      <c r="X680" s="379"/>
      <c r="Y680" s="379"/>
      <c r="Z680" s="379"/>
      <c r="AA680" s="379"/>
      <c r="AB680" s="221"/>
      <c r="AC680" s="380"/>
      <c r="AD680" s="380"/>
      <c r="AE680" s="380"/>
      <c r="AF680" s="380"/>
      <c r="AG680" s="153"/>
      <c r="AH680" s="380"/>
      <c r="AI680" s="380"/>
      <c r="AJ680" s="380"/>
      <c r="AK680" s="153"/>
      <c r="AL680" s="380"/>
      <c r="AM680" s="380"/>
      <c r="AN680" s="380"/>
      <c r="AO680" s="380"/>
      <c r="AP680" s="380"/>
      <c r="AR680" s="380"/>
      <c r="AS680" s="380"/>
      <c r="AT680" s="380"/>
      <c r="AU680" s="380"/>
      <c r="AV680" s="380"/>
      <c r="AW680" s="380"/>
      <c r="AX680" s="380"/>
      <c r="AY680" s="380"/>
      <c r="AZ680" s="380"/>
      <c r="BA680" s="380"/>
      <c r="BB680" s="380"/>
      <c r="BC680" s="380"/>
      <c r="BD680" s="380"/>
      <c r="BE680" s="380"/>
      <c r="BF680" s="380"/>
      <c r="BG680" s="380"/>
      <c r="BH680" s="380"/>
      <c r="BI680" s="380"/>
      <c r="BJ680" s="380"/>
      <c r="BK680" s="380"/>
      <c r="BL680" s="380"/>
      <c r="BM680" s="380"/>
      <c r="BN680" s="380"/>
      <c r="BO680" s="380"/>
      <c r="BP680" s="380"/>
      <c r="BQ680" s="380"/>
      <c r="BR680" s="380"/>
      <c r="BS680" s="380"/>
      <c r="BT680" s="380"/>
      <c r="BU680" s="380"/>
      <c r="BV680" s="380"/>
      <c r="BW680" s="380"/>
      <c r="BX680" s="380"/>
      <c r="BY680" s="380"/>
    </row>
    <row r="681" spans="1:77" s="170" customFormat="1" x14ac:dyDescent="0.25">
      <c r="A681" s="53"/>
      <c r="B681" s="380"/>
      <c r="C681" s="54"/>
      <c r="D681" s="380"/>
      <c r="E681" s="380"/>
      <c r="F681" s="449"/>
      <c r="G681" s="380"/>
      <c r="H681" s="449"/>
      <c r="I681" s="449"/>
      <c r="J681" s="221"/>
      <c r="K681" s="221"/>
      <c r="L681" s="379"/>
      <c r="M681" s="379"/>
      <c r="N681" s="50"/>
      <c r="O681" s="50"/>
      <c r="P681" s="379"/>
      <c r="Q681" s="379"/>
      <c r="R681" s="379"/>
      <c r="S681" s="380"/>
      <c r="T681" s="54"/>
      <c r="U681" s="380"/>
      <c r="V681" s="379"/>
      <c r="W681" s="379"/>
      <c r="X681" s="379"/>
      <c r="Y681" s="379"/>
      <c r="Z681" s="379"/>
      <c r="AA681" s="379"/>
      <c r="AB681" s="221"/>
      <c r="AC681" s="379"/>
      <c r="AD681" s="379"/>
      <c r="AE681" s="50"/>
      <c r="AF681" s="50"/>
      <c r="AG681" s="156"/>
      <c r="AH681" s="379"/>
      <c r="AI681" s="60"/>
      <c r="AJ681" s="60"/>
      <c r="AK681" s="156"/>
      <c r="AL681" s="379"/>
      <c r="AM681" s="379"/>
      <c r="AN681" s="379"/>
      <c r="AO681" s="60"/>
      <c r="AP681" s="60"/>
      <c r="AR681" s="380"/>
      <c r="AS681" s="380"/>
      <c r="AT681" s="380"/>
      <c r="AU681" s="380"/>
      <c r="AV681" s="380"/>
      <c r="AW681" s="380"/>
      <c r="AX681" s="380"/>
      <c r="AY681" s="380"/>
      <c r="AZ681" s="380"/>
      <c r="BA681" s="380"/>
      <c r="BB681" s="380"/>
      <c r="BC681" s="380"/>
      <c r="BD681" s="380"/>
      <c r="BE681" s="380"/>
      <c r="BF681" s="380"/>
      <c r="BG681" s="380"/>
      <c r="BH681" s="380"/>
      <c r="BI681" s="380"/>
      <c r="BJ681" s="380"/>
      <c r="BK681" s="380"/>
      <c r="BL681" s="380"/>
      <c r="BM681" s="380"/>
      <c r="BN681" s="380"/>
      <c r="BO681" s="380"/>
      <c r="BP681" s="380"/>
      <c r="BQ681" s="380"/>
      <c r="BR681" s="380"/>
      <c r="BS681" s="380"/>
      <c r="BT681" s="380"/>
      <c r="BU681" s="380"/>
      <c r="BV681" s="380"/>
      <c r="BW681" s="380"/>
      <c r="BX681" s="380"/>
      <c r="BY681" s="380"/>
    </row>
    <row r="682" spans="1:77" s="170" customFormat="1" x14ac:dyDescent="0.25">
      <c r="A682" s="53"/>
      <c r="B682" s="380"/>
      <c r="C682" s="54"/>
      <c r="D682" s="380"/>
      <c r="E682" s="380"/>
      <c r="F682" s="449"/>
      <c r="G682" s="380"/>
      <c r="H682" s="449"/>
      <c r="I682" s="449"/>
      <c r="J682" s="221"/>
      <c r="K682" s="221"/>
      <c r="L682" s="379"/>
      <c r="M682" s="379"/>
      <c r="N682" s="50"/>
      <c r="O682" s="50"/>
      <c r="P682" s="379"/>
      <c r="Q682" s="379"/>
      <c r="R682" s="379"/>
      <c r="S682" s="380"/>
      <c r="T682" s="54"/>
      <c r="U682" s="380"/>
      <c r="V682" s="379"/>
      <c r="W682" s="379"/>
      <c r="X682" s="379"/>
      <c r="Y682" s="379"/>
      <c r="Z682" s="379"/>
      <c r="AA682" s="379"/>
      <c r="AB682" s="221"/>
      <c r="AC682" s="379"/>
      <c r="AD682" s="379"/>
      <c r="AE682" s="50"/>
      <c r="AF682" s="50"/>
      <c r="AG682" s="156"/>
      <c r="AH682" s="379"/>
      <c r="AI682" s="60"/>
      <c r="AJ682" s="60"/>
      <c r="AK682" s="156"/>
      <c r="AL682" s="379"/>
      <c r="AM682" s="379"/>
      <c r="AN682" s="379"/>
      <c r="AO682" s="60"/>
      <c r="AP682" s="60"/>
      <c r="AR682" s="380"/>
      <c r="AS682" s="380"/>
      <c r="AT682" s="380"/>
      <c r="AU682" s="380"/>
      <c r="AV682" s="380"/>
      <c r="AW682" s="380"/>
      <c r="AX682" s="380"/>
      <c r="AY682" s="380"/>
      <c r="AZ682" s="380"/>
      <c r="BA682" s="380"/>
      <c r="BB682" s="380"/>
      <c r="BC682" s="380"/>
      <c r="BD682" s="380"/>
      <c r="BE682" s="380"/>
      <c r="BF682" s="380"/>
      <c r="BG682" s="380"/>
      <c r="BH682" s="380"/>
      <c r="BI682" s="380"/>
      <c r="BJ682" s="380"/>
      <c r="BK682" s="380"/>
      <c r="BL682" s="380"/>
      <c r="BM682" s="380"/>
      <c r="BN682" s="380"/>
      <c r="BO682" s="380"/>
      <c r="BP682" s="380"/>
      <c r="BQ682" s="380"/>
      <c r="BR682" s="380"/>
      <c r="BS682" s="380"/>
      <c r="BT682" s="380"/>
      <c r="BU682" s="380"/>
      <c r="BV682" s="380"/>
      <c r="BW682" s="380"/>
      <c r="BX682" s="380"/>
      <c r="BY682" s="380"/>
    </row>
    <row r="683" spans="1:77" s="170" customFormat="1" x14ac:dyDescent="0.25">
      <c r="A683" s="380"/>
      <c r="B683" s="380"/>
      <c r="C683" s="380"/>
      <c r="D683" s="380"/>
      <c r="E683" s="380"/>
      <c r="F683" s="381"/>
      <c r="G683" s="380"/>
      <c r="H683" s="381"/>
      <c r="I683" s="381"/>
      <c r="J683" s="221"/>
      <c r="K683" s="221"/>
      <c r="L683" s="381"/>
      <c r="M683" s="381"/>
      <c r="N683" s="381"/>
      <c r="O683" s="381"/>
      <c r="P683" s="381"/>
      <c r="Q683" s="381"/>
      <c r="R683" s="381"/>
      <c r="S683" s="380"/>
      <c r="T683" s="380"/>
      <c r="U683" s="380"/>
      <c r="V683" s="381"/>
      <c r="W683" s="380"/>
      <c r="X683" s="380"/>
      <c r="Y683" s="380"/>
      <c r="Z683" s="380"/>
      <c r="AA683" s="381"/>
      <c r="AB683" s="464"/>
      <c r="AC683" s="381"/>
      <c r="AD683" s="381"/>
      <c r="AE683" s="381"/>
      <c r="AF683" s="381"/>
      <c r="AG683" s="162"/>
      <c r="AH683" s="381"/>
      <c r="AI683" s="380"/>
      <c r="AJ683" s="380"/>
      <c r="AK683" s="162"/>
      <c r="AL683" s="381"/>
      <c r="AM683" s="381"/>
      <c r="AN683" s="381"/>
      <c r="AO683" s="380"/>
      <c r="AP683" s="380"/>
      <c r="AR683" s="380"/>
      <c r="AS683" s="380"/>
      <c r="AT683" s="380"/>
      <c r="AU683" s="380"/>
      <c r="AV683" s="380"/>
      <c r="AW683" s="380"/>
      <c r="AX683" s="380"/>
      <c r="AY683" s="380"/>
      <c r="AZ683" s="380"/>
      <c r="BA683" s="380"/>
      <c r="BB683" s="380"/>
      <c r="BC683" s="380"/>
      <c r="BD683" s="380"/>
      <c r="BE683" s="380"/>
      <c r="BF683" s="380"/>
      <c r="BG683" s="380"/>
      <c r="BH683" s="380"/>
      <c r="BI683" s="380"/>
      <c r="BJ683" s="380"/>
      <c r="BK683" s="380"/>
      <c r="BL683" s="380"/>
      <c r="BM683" s="380"/>
      <c r="BN683" s="380"/>
      <c r="BO683" s="380"/>
      <c r="BP683" s="380"/>
      <c r="BQ683" s="380"/>
      <c r="BR683" s="380"/>
      <c r="BS683" s="380"/>
      <c r="BT683" s="380"/>
      <c r="BU683" s="380"/>
      <c r="BV683" s="380"/>
      <c r="BW683" s="380"/>
      <c r="BX683" s="380"/>
      <c r="BY683" s="380"/>
    </row>
    <row r="684" spans="1:77" s="170" customFormat="1" x14ac:dyDescent="0.25">
      <c r="A684" s="53"/>
      <c r="B684" s="380"/>
      <c r="C684" s="54"/>
      <c r="D684" s="380"/>
      <c r="E684" s="380"/>
      <c r="F684" s="379"/>
      <c r="G684" s="380"/>
      <c r="H684" s="379"/>
      <c r="I684" s="379"/>
      <c r="J684" s="380"/>
      <c r="K684" s="380"/>
      <c r="L684" s="379"/>
      <c r="M684" s="379"/>
      <c r="N684" s="50"/>
      <c r="O684" s="50"/>
      <c r="P684" s="449"/>
      <c r="Q684" s="449"/>
      <c r="R684" s="379"/>
      <c r="S684" s="380"/>
      <c r="T684" s="54"/>
      <c r="U684" s="380"/>
      <c r="V684" s="379"/>
      <c r="W684" s="379"/>
      <c r="X684" s="379"/>
      <c r="Y684" s="379"/>
      <c r="Z684" s="379"/>
      <c r="AA684" s="379"/>
      <c r="AB684" s="477"/>
      <c r="AC684" s="379"/>
      <c r="AD684" s="379"/>
      <c r="AE684" s="50"/>
      <c r="AF684" s="50"/>
      <c r="AG684" s="156"/>
      <c r="AH684" s="379"/>
      <c r="AI684" s="60"/>
      <c r="AJ684" s="60"/>
      <c r="AK684" s="474"/>
      <c r="AL684" s="449"/>
      <c r="AM684" s="379"/>
      <c r="AN684" s="379"/>
      <c r="AO684" s="60"/>
      <c r="AP684" s="60"/>
      <c r="AR684" s="380"/>
      <c r="AS684" s="380"/>
      <c r="AT684" s="380"/>
      <c r="AU684" s="380"/>
      <c r="AV684" s="380"/>
      <c r="AW684" s="380"/>
      <c r="AX684" s="380"/>
      <c r="AY684" s="380"/>
      <c r="AZ684" s="380"/>
      <c r="BA684" s="380"/>
      <c r="BB684" s="380"/>
      <c r="BC684" s="380"/>
      <c r="BD684" s="380"/>
      <c r="BE684" s="380"/>
      <c r="BF684" s="380"/>
      <c r="BG684" s="380"/>
      <c r="BH684" s="380"/>
      <c r="BI684" s="380"/>
      <c r="BJ684" s="380"/>
      <c r="BK684" s="380"/>
      <c r="BL684" s="380"/>
      <c r="BM684" s="380"/>
      <c r="BN684" s="380"/>
      <c r="BO684" s="380"/>
      <c r="BP684" s="380"/>
      <c r="BQ684" s="380"/>
      <c r="BR684" s="380"/>
      <c r="BS684" s="380"/>
      <c r="BT684" s="380"/>
      <c r="BU684" s="380"/>
      <c r="BV684" s="380"/>
      <c r="BW684" s="380"/>
      <c r="BX684" s="380"/>
      <c r="BY684" s="380"/>
    </row>
    <row r="685" spans="1:77" s="170" customFormat="1" x14ac:dyDescent="0.25">
      <c r="A685" s="380"/>
      <c r="B685" s="380"/>
      <c r="C685" s="380"/>
      <c r="D685" s="380"/>
      <c r="E685" s="380"/>
      <c r="F685" s="380"/>
      <c r="G685" s="380"/>
      <c r="H685" s="381"/>
      <c r="I685" s="381"/>
      <c r="J685" s="464"/>
      <c r="K685" s="464"/>
      <c r="L685" s="381"/>
      <c r="M685" s="381"/>
      <c r="N685" s="381"/>
      <c r="O685" s="381"/>
      <c r="P685" s="381"/>
      <c r="Q685" s="381"/>
      <c r="R685" s="381"/>
      <c r="S685" s="380"/>
      <c r="T685" s="380"/>
      <c r="U685" s="380"/>
      <c r="V685" s="381"/>
      <c r="W685" s="380"/>
      <c r="X685" s="380"/>
      <c r="Y685" s="380"/>
      <c r="Z685" s="380"/>
      <c r="AA685" s="381"/>
      <c r="AB685" s="464"/>
      <c r="AC685" s="381"/>
      <c r="AD685" s="381"/>
      <c r="AE685" s="381"/>
      <c r="AF685" s="381"/>
      <c r="AG685" s="162"/>
      <c r="AH685" s="381"/>
      <c r="AI685" s="380"/>
      <c r="AJ685" s="380"/>
      <c r="AK685" s="162"/>
      <c r="AL685" s="381"/>
      <c r="AM685" s="381"/>
      <c r="AN685" s="381"/>
      <c r="AO685" s="380"/>
      <c r="AP685" s="380"/>
      <c r="AR685" s="380"/>
      <c r="AS685" s="380"/>
      <c r="AT685" s="380"/>
      <c r="AU685" s="380"/>
      <c r="AV685" s="380"/>
      <c r="AW685" s="380"/>
      <c r="AX685" s="380"/>
      <c r="AY685" s="380"/>
      <c r="AZ685" s="380"/>
      <c r="BA685" s="380"/>
      <c r="BB685" s="380"/>
      <c r="BC685" s="380"/>
      <c r="BD685" s="380"/>
      <c r="BE685" s="380"/>
      <c r="BF685" s="380"/>
      <c r="BG685" s="380"/>
      <c r="BH685" s="380"/>
      <c r="BI685" s="380"/>
      <c r="BJ685" s="380"/>
      <c r="BK685" s="380"/>
      <c r="BL685" s="380"/>
      <c r="BM685" s="380"/>
      <c r="BN685" s="380"/>
      <c r="BO685" s="380"/>
      <c r="BP685" s="380"/>
      <c r="BQ685" s="380"/>
      <c r="BR685" s="380"/>
      <c r="BS685" s="380"/>
      <c r="BT685" s="380"/>
      <c r="BU685" s="380"/>
      <c r="BV685" s="380"/>
      <c r="BW685" s="380"/>
      <c r="BX685" s="380"/>
      <c r="BY685" s="380"/>
    </row>
    <row r="686" spans="1:77" s="170" customFormat="1" x14ac:dyDescent="0.25">
      <c r="A686" s="380"/>
      <c r="B686" s="380"/>
      <c r="C686" s="380"/>
      <c r="D686" s="380"/>
      <c r="E686" s="380"/>
      <c r="F686" s="381"/>
      <c r="G686" s="380"/>
      <c r="H686" s="380"/>
      <c r="I686" s="380"/>
      <c r="J686" s="380"/>
      <c r="K686" s="380"/>
      <c r="L686" s="380"/>
      <c r="M686" s="380"/>
      <c r="N686" s="380"/>
      <c r="O686" s="380"/>
      <c r="P686" s="380"/>
      <c r="Q686" s="380"/>
      <c r="R686" s="380"/>
      <c r="S686" s="380"/>
      <c r="T686" s="380"/>
      <c r="U686" s="380"/>
      <c r="V686" s="380"/>
      <c r="W686" s="380"/>
      <c r="X686" s="380"/>
      <c r="Y686" s="380"/>
      <c r="Z686" s="380"/>
      <c r="AA686" s="380"/>
      <c r="AB686" s="380"/>
      <c r="AC686" s="380"/>
      <c r="AD686" s="380"/>
      <c r="AE686" s="380"/>
      <c r="AF686" s="380"/>
      <c r="AG686" s="153"/>
      <c r="AH686" s="380"/>
      <c r="AI686" s="380"/>
      <c r="AJ686" s="380"/>
      <c r="AK686" s="153"/>
      <c r="AL686" s="380"/>
      <c r="AM686" s="380"/>
      <c r="AN686" s="380"/>
      <c r="AO686" s="380"/>
      <c r="AP686" s="380"/>
      <c r="AR686" s="380"/>
      <c r="AS686" s="380"/>
      <c r="AT686" s="380"/>
      <c r="AU686" s="380"/>
      <c r="AV686" s="380"/>
      <c r="AW686" s="380"/>
      <c r="AX686" s="380"/>
      <c r="AY686" s="380"/>
      <c r="AZ686" s="380"/>
      <c r="BA686" s="380"/>
      <c r="BB686" s="380"/>
      <c r="BC686" s="380"/>
      <c r="BD686" s="380"/>
      <c r="BE686" s="380"/>
      <c r="BF686" s="380"/>
      <c r="BG686" s="380"/>
      <c r="BH686" s="380"/>
      <c r="BI686" s="380"/>
      <c r="BJ686" s="380"/>
      <c r="BK686" s="380"/>
      <c r="BL686" s="380"/>
      <c r="BM686" s="380"/>
      <c r="BN686" s="380"/>
      <c r="BO686" s="380"/>
      <c r="BP686" s="380"/>
      <c r="BQ686" s="380"/>
      <c r="BR686" s="380"/>
      <c r="BS686" s="380"/>
      <c r="BT686" s="380"/>
      <c r="BU686" s="380"/>
      <c r="BV686" s="380"/>
      <c r="BW686" s="380"/>
      <c r="BX686" s="380"/>
      <c r="BY686" s="380"/>
    </row>
    <row r="687" spans="1:77" s="170" customFormat="1" x14ac:dyDescent="0.25">
      <c r="A687" s="380"/>
      <c r="B687" s="380"/>
      <c r="C687" s="53"/>
      <c r="D687" s="380"/>
      <c r="E687" s="380"/>
      <c r="F687" s="380"/>
      <c r="G687" s="380"/>
      <c r="H687" s="380"/>
      <c r="I687" s="380"/>
      <c r="J687" s="380"/>
      <c r="K687" s="380"/>
      <c r="L687" s="380"/>
      <c r="M687" s="380"/>
      <c r="N687" s="380"/>
      <c r="O687" s="380"/>
      <c r="P687" s="380"/>
      <c r="Q687" s="380"/>
      <c r="R687" s="380"/>
      <c r="S687" s="380"/>
      <c r="T687" s="53"/>
      <c r="U687" s="380"/>
      <c r="V687" s="380"/>
      <c r="W687" s="380"/>
      <c r="X687" s="380"/>
      <c r="Y687" s="380"/>
      <c r="Z687" s="380"/>
      <c r="AA687" s="380"/>
      <c r="AB687" s="380"/>
      <c r="AC687" s="380"/>
      <c r="AD687" s="380"/>
      <c r="AE687" s="380"/>
      <c r="AF687" s="380"/>
      <c r="AG687" s="153"/>
      <c r="AH687" s="380"/>
      <c r="AI687" s="380"/>
      <c r="AJ687" s="380"/>
      <c r="AK687" s="153"/>
      <c r="AL687" s="380"/>
      <c r="AM687" s="380"/>
      <c r="AN687" s="380"/>
      <c r="AO687" s="380"/>
      <c r="AP687" s="380"/>
      <c r="AR687" s="380"/>
      <c r="AS687" s="380"/>
      <c r="AT687" s="380"/>
      <c r="AU687" s="380"/>
      <c r="AV687" s="380"/>
      <c r="AW687" s="380"/>
      <c r="AX687" s="380"/>
      <c r="AY687" s="380"/>
      <c r="AZ687" s="380"/>
      <c r="BA687" s="380"/>
      <c r="BB687" s="380"/>
      <c r="BC687" s="380"/>
      <c r="BD687" s="380"/>
      <c r="BE687" s="380"/>
      <c r="BF687" s="380"/>
      <c r="BG687" s="380"/>
      <c r="BH687" s="380"/>
      <c r="BI687" s="380"/>
      <c r="BJ687" s="380"/>
      <c r="BK687" s="380"/>
      <c r="BL687" s="380"/>
      <c r="BM687" s="380"/>
      <c r="BN687" s="380"/>
      <c r="BO687" s="380"/>
      <c r="BP687" s="380"/>
      <c r="BQ687" s="380"/>
      <c r="BR687" s="380"/>
      <c r="BS687" s="380"/>
      <c r="BT687" s="380"/>
      <c r="BU687" s="380"/>
      <c r="BV687" s="380"/>
      <c r="BW687" s="380"/>
      <c r="BX687" s="380"/>
      <c r="BY687" s="380"/>
    </row>
    <row r="688" spans="1:77" s="170" customFormat="1" x14ac:dyDescent="0.25">
      <c r="A688" s="54"/>
      <c r="B688" s="380"/>
      <c r="C688" s="380"/>
      <c r="D688" s="380"/>
      <c r="E688" s="380"/>
      <c r="F688" s="380"/>
      <c r="G688" s="380"/>
      <c r="H688" s="380"/>
      <c r="I688" s="380"/>
      <c r="J688" s="380"/>
      <c r="K688" s="380"/>
      <c r="L688" s="380"/>
      <c r="M688" s="380"/>
      <c r="N688" s="380"/>
      <c r="O688" s="380"/>
      <c r="P688" s="380"/>
      <c r="Q688" s="380"/>
      <c r="R688" s="380"/>
      <c r="S688" s="380"/>
      <c r="T688" s="380"/>
      <c r="U688" s="380"/>
      <c r="V688" s="380"/>
      <c r="W688" s="380"/>
      <c r="X688" s="380"/>
      <c r="Y688" s="380"/>
      <c r="Z688" s="380"/>
      <c r="AA688" s="380"/>
      <c r="AB688" s="380"/>
      <c r="AC688" s="380"/>
      <c r="AD688" s="380"/>
      <c r="AE688" s="380"/>
      <c r="AF688" s="380"/>
      <c r="AG688" s="153"/>
      <c r="AH688" s="380"/>
      <c r="AI688" s="380"/>
      <c r="AJ688" s="380"/>
      <c r="AK688" s="153"/>
      <c r="AL688" s="380"/>
      <c r="AM688" s="380"/>
      <c r="AN688" s="380"/>
      <c r="AO688" s="380"/>
      <c r="AP688" s="380"/>
      <c r="AR688" s="380"/>
      <c r="AS688" s="380"/>
      <c r="AT688" s="380"/>
      <c r="AU688" s="380"/>
      <c r="AV688" s="380"/>
      <c r="AW688" s="380"/>
      <c r="AX688" s="380"/>
      <c r="AY688" s="380"/>
      <c r="AZ688" s="380"/>
      <c r="BA688" s="380"/>
      <c r="BB688" s="380"/>
      <c r="BC688" s="380"/>
      <c r="BD688" s="380"/>
      <c r="BE688" s="380"/>
      <c r="BF688" s="380"/>
      <c r="BG688" s="380"/>
      <c r="BH688" s="380"/>
      <c r="BI688" s="380"/>
      <c r="BJ688" s="380"/>
      <c r="BK688" s="380"/>
      <c r="BL688" s="380"/>
      <c r="BM688" s="380"/>
      <c r="BN688" s="380"/>
      <c r="BO688" s="380"/>
      <c r="BP688" s="380"/>
      <c r="BQ688" s="380"/>
      <c r="BR688" s="380"/>
      <c r="BS688" s="380"/>
      <c r="BT688" s="380"/>
      <c r="BU688" s="380"/>
      <c r="BV688" s="380"/>
      <c r="BW688" s="380"/>
      <c r="BX688" s="380"/>
      <c r="BY688" s="380"/>
    </row>
    <row r="689" spans="1:77" s="170" customFormat="1" x14ac:dyDescent="0.25">
      <c r="A689" s="380"/>
      <c r="B689" s="380"/>
      <c r="C689" s="380"/>
      <c r="D689" s="380"/>
      <c r="E689" s="380"/>
      <c r="F689" s="380"/>
      <c r="G689" s="380"/>
      <c r="H689" s="380"/>
      <c r="I689" s="380"/>
      <c r="J689" s="53"/>
      <c r="K689" s="53"/>
      <c r="L689" s="380"/>
      <c r="M689" s="380"/>
      <c r="N689" s="380"/>
      <c r="O689" s="380"/>
      <c r="P689" s="380"/>
      <c r="Q689" s="380"/>
      <c r="R689" s="380"/>
      <c r="S689" s="380"/>
      <c r="T689" s="380"/>
      <c r="U689" s="380"/>
      <c r="V689" s="380"/>
      <c r="W689" s="380"/>
      <c r="X689" s="380"/>
      <c r="Y689" s="380"/>
      <c r="Z689" s="380"/>
      <c r="AA689" s="380"/>
      <c r="AB689" s="53"/>
      <c r="AC689" s="380"/>
      <c r="AD689" s="380"/>
      <c r="AE689" s="380"/>
      <c r="AF689" s="380"/>
      <c r="AG689" s="153"/>
      <c r="AH689" s="380"/>
      <c r="AI689" s="380"/>
      <c r="AJ689" s="380"/>
      <c r="AK689" s="153"/>
      <c r="AL689" s="380"/>
      <c r="AM689" s="380"/>
      <c r="AN689" s="380"/>
      <c r="AO689" s="380"/>
      <c r="AP689" s="380"/>
      <c r="AR689" s="380"/>
      <c r="AS689" s="380"/>
      <c r="AT689" s="380"/>
      <c r="AU689" s="380"/>
      <c r="AV689" s="380"/>
      <c r="AW689" s="380"/>
      <c r="AX689" s="380"/>
      <c r="AY689" s="380"/>
      <c r="AZ689" s="380"/>
      <c r="BA689" s="380"/>
      <c r="BB689" s="380"/>
      <c r="BC689" s="380"/>
      <c r="BD689" s="380"/>
      <c r="BE689" s="380"/>
      <c r="BF689" s="380"/>
      <c r="BG689" s="380"/>
      <c r="BH689" s="380"/>
      <c r="BI689" s="380"/>
      <c r="BJ689" s="380"/>
      <c r="BK689" s="380"/>
      <c r="BL689" s="380"/>
      <c r="BM689" s="380"/>
      <c r="BN689" s="380"/>
      <c r="BO689" s="380"/>
      <c r="BP689" s="380"/>
      <c r="BQ689" s="380"/>
      <c r="BR689" s="380"/>
      <c r="BS689" s="380"/>
      <c r="BT689" s="380"/>
      <c r="BU689" s="380"/>
      <c r="BV689" s="380"/>
      <c r="BW689" s="380"/>
      <c r="BX689" s="380"/>
      <c r="BY689" s="380"/>
    </row>
    <row r="690" spans="1:77" s="170" customFormat="1" x14ac:dyDescent="0.25">
      <c r="A690" s="380"/>
      <c r="B690" s="380"/>
      <c r="C690" s="380"/>
      <c r="D690" s="380"/>
      <c r="E690" s="380"/>
      <c r="F690" s="380"/>
      <c r="G690" s="380"/>
      <c r="H690" s="54"/>
      <c r="I690" s="54"/>
      <c r="J690" s="380"/>
      <c r="K690" s="380"/>
      <c r="L690" s="380"/>
      <c r="M690" s="380"/>
      <c r="N690" s="380"/>
      <c r="O690" s="380"/>
      <c r="P690" s="380"/>
      <c r="Q690" s="380"/>
      <c r="R690" s="380"/>
      <c r="S690" s="380"/>
      <c r="T690" s="380"/>
      <c r="U690" s="380"/>
      <c r="V690" s="380"/>
      <c r="W690" s="380"/>
      <c r="X690" s="380"/>
      <c r="Y690" s="380"/>
      <c r="Z690" s="380"/>
      <c r="AA690" s="54"/>
      <c r="AB690" s="380"/>
      <c r="AC690" s="380"/>
      <c r="AD690" s="380"/>
      <c r="AE690" s="380"/>
      <c r="AF690" s="380"/>
      <c r="AG690" s="153"/>
      <c r="AH690" s="380"/>
      <c r="AI690" s="380"/>
      <c r="AJ690" s="380"/>
      <c r="AK690" s="153"/>
      <c r="AL690" s="380"/>
      <c r="AM690" s="380"/>
      <c r="AN690" s="380"/>
      <c r="AO690" s="380"/>
      <c r="AP690" s="380"/>
      <c r="AR690" s="380"/>
      <c r="AS690" s="380"/>
      <c r="AT690" s="380"/>
      <c r="AU690" s="380"/>
      <c r="AV690" s="380"/>
      <c r="AW690" s="380"/>
      <c r="AX690" s="380"/>
      <c r="AY690" s="380"/>
      <c r="AZ690" s="380"/>
      <c r="BA690" s="380"/>
      <c r="BB690" s="380"/>
      <c r="BC690" s="380"/>
      <c r="BD690" s="380"/>
      <c r="BE690" s="380"/>
      <c r="BF690" s="380"/>
      <c r="BG690" s="380"/>
      <c r="BH690" s="380"/>
      <c r="BI690" s="380"/>
      <c r="BJ690" s="380"/>
      <c r="BK690" s="380"/>
      <c r="BL690" s="380"/>
      <c r="BM690" s="380"/>
      <c r="BN690" s="380"/>
      <c r="BO690" s="380"/>
      <c r="BP690" s="380"/>
      <c r="BQ690" s="380"/>
      <c r="BR690" s="380"/>
      <c r="BS690" s="380"/>
      <c r="BT690" s="380"/>
      <c r="BU690" s="380"/>
      <c r="BV690" s="380"/>
      <c r="BW690" s="380"/>
      <c r="BX690" s="380"/>
      <c r="BY690" s="380"/>
    </row>
    <row r="691" spans="1:77" s="170" customFormat="1" x14ac:dyDescent="0.25">
      <c r="A691" s="380"/>
      <c r="B691" s="380"/>
      <c r="C691" s="380"/>
      <c r="D691" s="380"/>
      <c r="E691" s="380"/>
      <c r="F691" s="380"/>
      <c r="G691" s="380"/>
      <c r="H691" s="380"/>
      <c r="I691" s="380"/>
      <c r="J691" s="53"/>
      <c r="K691" s="53"/>
      <c r="L691" s="380"/>
      <c r="M691" s="380"/>
      <c r="N691" s="380"/>
      <c r="O691" s="380"/>
      <c r="P691" s="380"/>
      <c r="Q691" s="380"/>
      <c r="R691" s="380"/>
      <c r="S691" s="380"/>
      <c r="T691" s="380"/>
      <c r="U691" s="380"/>
      <c r="V691" s="380"/>
      <c r="W691" s="380"/>
      <c r="X691" s="380"/>
      <c r="Y691" s="380"/>
      <c r="Z691" s="380"/>
      <c r="AA691" s="380"/>
      <c r="AB691" s="53"/>
      <c r="AC691" s="380"/>
      <c r="AD691" s="380"/>
      <c r="AE691" s="380"/>
      <c r="AF691" s="380"/>
      <c r="AG691" s="153"/>
      <c r="AH691" s="380"/>
      <c r="AI691" s="380"/>
      <c r="AJ691" s="380"/>
      <c r="AK691" s="153"/>
      <c r="AL691" s="380"/>
      <c r="AM691" s="380"/>
      <c r="AN691" s="380"/>
      <c r="AO691" s="380"/>
      <c r="AP691" s="380"/>
      <c r="AR691" s="380"/>
      <c r="AS691" s="380"/>
      <c r="AT691" s="380"/>
      <c r="AU691" s="380"/>
      <c r="AV691" s="380"/>
      <c r="AW691" s="380"/>
      <c r="AX691" s="380"/>
      <c r="AY691" s="380"/>
      <c r="AZ691" s="380"/>
      <c r="BA691" s="380"/>
      <c r="BB691" s="380"/>
      <c r="BC691" s="380"/>
      <c r="BD691" s="380"/>
      <c r="BE691" s="380"/>
      <c r="BF691" s="380"/>
      <c r="BG691" s="380"/>
      <c r="BH691" s="380"/>
      <c r="BI691" s="380"/>
      <c r="BJ691" s="380"/>
      <c r="BK691" s="380"/>
      <c r="BL691" s="380"/>
      <c r="BM691" s="380"/>
      <c r="BN691" s="380"/>
      <c r="BO691" s="380"/>
      <c r="BP691" s="380"/>
      <c r="BQ691" s="380"/>
      <c r="BR691" s="380"/>
      <c r="BS691" s="380"/>
      <c r="BT691" s="380"/>
      <c r="BU691" s="380"/>
      <c r="BV691" s="380"/>
      <c r="BW691" s="380"/>
      <c r="BX691" s="380"/>
      <c r="BY691" s="380"/>
    </row>
    <row r="692" spans="1:77" s="170" customFormat="1" x14ac:dyDescent="0.25">
      <c r="A692" s="380"/>
      <c r="B692" s="380"/>
      <c r="C692" s="380"/>
      <c r="D692" s="380"/>
      <c r="E692" s="380"/>
      <c r="F692" s="380"/>
      <c r="G692" s="380"/>
      <c r="H692" s="380"/>
      <c r="I692" s="380"/>
      <c r="J692" s="380"/>
      <c r="K692" s="380"/>
      <c r="L692" s="54"/>
      <c r="M692" s="54"/>
      <c r="N692" s="380"/>
      <c r="O692" s="380"/>
      <c r="P692" s="380"/>
      <c r="Q692" s="380"/>
      <c r="R692" s="380"/>
      <c r="S692" s="380"/>
      <c r="T692" s="380"/>
      <c r="U692" s="380"/>
      <c r="V692" s="380"/>
      <c r="W692" s="380"/>
      <c r="X692" s="380"/>
      <c r="Y692" s="380"/>
      <c r="Z692" s="380"/>
      <c r="AA692" s="380"/>
      <c r="AB692" s="380"/>
      <c r="AC692" s="54"/>
      <c r="AD692" s="54"/>
      <c r="AE692" s="380"/>
      <c r="AF692" s="380"/>
      <c r="AG692" s="153"/>
      <c r="AH692" s="380"/>
      <c r="AI692" s="380"/>
      <c r="AJ692" s="380"/>
      <c r="AK692" s="153"/>
      <c r="AL692" s="380"/>
      <c r="AM692" s="380"/>
      <c r="AN692" s="380"/>
      <c r="AO692" s="380"/>
      <c r="AP692" s="380"/>
      <c r="AR692" s="380"/>
      <c r="AS692" s="380"/>
      <c r="AT692" s="380"/>
      <c r="AU692" s="380"/>
      <c r="AV692" s="380"/>
      <c r="AW692" s="380"/>
      <c r="AX692" s="380"/>
      <c r="AY692" s="380"/>
      <c r="AZ692" s="380"/>
      <c r="BA692" s="380"/>
      <c r="BB692" s="380"/>
      <c r="BC692" s="380"/>
      <c r="BD692" s="380"/>
      <c r="BE692" s="380"/>
      <c r="BF692" s="380"/>
      <c r="BG692" s="380"/>
      <c r="BH692" s="380"/>
      <c r="BI692" s="380"/>
      <c r="BJ692" s="380"/>
      <c r="BK692" s="380"/>
      <c r="BL692" s="380"/>
      <c r="BM692" s="380"/>
      <c r="BN692" s="380"/>
      <c r="BO692" s="380"/>
      <c r="BP692" s="380"/>
      <c r="BQ692" s="380"/>
      <c r="BR692" s="380"/>
      <c r="BS692" s="380"/>
      <c r="BT692" s="380"/>
      <c r="BU692" s="380"/>
      <c r="BV692" s="380"/>
      <c r="BW692" s="380"/>
      <c r="BX692" s="380"/>
      <c r="BY692" s="380"/>
    </row>
    <row r="693" spans="1:77" s="170" customFormat="1" x14ac:dyDescent="0.25">
      <c r="A693" s="53"/>
      <c r="B693" s="380"/>
      <c r="C693" s="380"/>
      <c r="D693" s="380"/>
      <c r="E693" s="380"/>
      <c r="F693" s="380"/>
      <c r="G693" s="380"/>
      <c r="H693" s="380"/>
      <c r="I693" s="380"/>
      <c r="J693" s="380"/>
      <c r="K693" s="380"/>
      <c r="L693" s="380"/>
      <c r="M693" s="380"/>
      <c r="N693" s="380"/>
      <c r="O693" s="380"/>
      <c r="P693" s="380"/>
      <c r="Q693" s="380"/>
      <c r="R693" s="54"/>
      <c r="S693" s="380"/>
      <c r="T693" s="380"/>
      <c r="U693" s="380"/>
      <c r="V693" s="380"/>
      <c r="W693" s="380"/>
      <c r="X693" s="380"/>
      <c r="Y693" s="380"/>
      <c r="Z693" s="380"/>
      <c r="AA693" s="380"/>
      <c r="AB693" s="380"/>
      <c r="AC693" s="380"/>
      <c r="AD693" s="380"/>
      <c r="AE693" s="380"/>
      <c r="AF693" s="380"/>
      <c r="AG693" s="153"/>
      <c r="AH693" s="380"/>
      <c r="AI693" s="380"/>
      <c r="AJ693" s="380"/>
      <c r="AK693" s="153"/>
      <c r="AL693" s="380"/>
      <c r="AM693" s="54"/>
      <c r="AN693" s="54"/>
      <c r="AO693" s="380"/>
      <c r="AP693" s="380"/>
      <c r="AR693" s="380"/>
      <c r="AS693" s="380"/>
      <c r="AT693" s="380"/>
      <c r="AU693" s="380"/>
      <c r="AV693" s="380"/>
      <c r="AW693" s="380"/>
      <c r="AX693" s="380"/>
      <c r="AY693" s="380"/>
      <c r="AZ693" s="380"/>
      <c r="BA693" s="380"/>
      <c r="BB693" s="380"/>
      <c r="BC693" s="380"/>
      <c r="BD693" s="380"/>
      <c r="BE693" s="380"/>
      <c r="BF693" s="380"/>
      <c r="BG693" s="380"/>
      <c r="BH693" s="380"/>
      <c r="BI693" s="380"/>
      <c r="BJ693" s="380"/>
      <c r="BK693" s="380"/>
      <c r="BL693" s="380"/>
      <c r="BM693" s="380"/>
      <c r="BN693" s="380"/>
      <c r="BO693" s="380"/>
      <c r="BP693" s="380"/>
      <c r="BQ693" s="380"/>
      <c r="BR693" s="380"/>
      <c r="BS693" s="380"/>
      <c r="BT693" s="380"/>
      <c r="BU693" s="380"/>
      <c r="BV693" s="380"/>
      <c r="BW693" s="380"/>
      <c r="BX693" s="380"/>
      <c r="BY693" s="380"/>
    </row>
    <row r="694" spans="1:77" s="170" customFormat="1" x14ac:dyDescent="0.25">
      <c r="A694" s="53"/>
      <c r="B694" s="380"/>
      <c r="C694" s="380"/>
      <c r="D694" s="380"/>
      <c r="E694" s="380"/>
      <c r="F694" s="380"/>
      <c r="G694" s="380"/>
      <c r="H694" s="380"/>
      <c r="I694" s="380"/>
      <c r="J694" s="380"/>
      <c r="K694" s="380"/>
      <c r="L694" s="380"/>
      <c r="M694" s="380"/>
      <c r="N694" s="380"/>
      <c r="O694" s="380"/>
      <c r="P694" s="380"/>
      <c r="Q694" s="380"/>
      <c r="R694" s="54"/>
      <c r="S694" s="380"/>
      <c r="T694" s="380"/>
      <c r="U694" s="380"/>
      <c r="V694" s="380"/>
      <c r="W694" s="380"/>
      <c r="X694" s="380"/>
      <c r="Y694" s="380"/>
      <c r="Z694" s="380"/>
      <c r="AA694" s="380"/>
      <c r="AB694" s="380"/>
      <c r="AC694" s="380"/>
      <c r="AD694" s="380"/>
      <c r="AE694" s="380"/>
      <c r="AF694" s="380"/>
      <c r="AG694" s="153"/>
      <c r="AH694" s="380"/>
      <c r="AI694" s="380"/>
      <c r="AJ694" s="380"/>
      <c r="AK694" s="153"/>
      <c r="AL694" s="380"/>
      <c r="AM694" s="54"/>
      <c r="AN694" s="54"/>
      <c r="AO694" s="380"/>
      <c r="AP694" s="380"/>
      <c r="AR694" s="380"/>
      <c r="AS694" s="380"/>
      <c r="AT694" s="380"/>
      <c r="AU694" s="380"/>
      <c r="AV694" s="380"/>
      <c r="AW694" s="380"/>
      <c r="AX694" s="380"/>
      <c r="AY694" s="380"/>
      <c r="AZ694" s="380"/>
      <c r="BA694" s="380"/>
      <c r="BB694" s="380"/>
      <c r="BC694" s="380"/>
      <c r="BD694" s="380"/>
      <c r="BE694" s="380"/>
      <c r="BF694" s="380"/>
      <c r="BG694" s="380"/>
      <c r="BH694" s="380"/>
      <c r="BI694" s="380"/>
      <c r="BJ694" s="380"/>
      <c r="BK694" s="380"/>
      <c r="BL694" s="380"/>
      <c r="BM694" s="380"/>
      <c r="BN694" s="380"/>
      <c r="BO694" s="380"/>
      <c r="BP694" s="380"/>
      <c r="BQ694" s="380"/>
      <c r="BR694" s="380"/>
      <c r="BS694" s="380"/>
      <c r="BT694" s="380"/>
      <c r="BU694" s="380"/>
      <c r="BV694" s="380"/>
      <c r="BW694" s="380"/>
      <c r="BX694" s="380"/>
      <c r="BY694" s="380"/>
    </row>
    <row r="695" spans="1:77" s="170" customFormat="1" x14ac:dyDescent="0.25">
      <c r="A695" s="54"/>
      <c r="B695" s="380"/>
      <c r="C695" s="380"/>
      <c r="D695" s="380"/>
      <c r="E695" s="380"/>
      <c r="F695" s="380"/>
      <c r="G695" s="380"/>
      <c r="H695" s="380"/>
      <c r="I695" s="380"/>
      <c r="J695" s="380"/>
      <c r="K695" s="380"/>
      <c r="L695" s="380"/>
      <c r="M695" s="380"/>
      <c r="N695" s="380"/>
      <c r="O695" s="380"/>
      <c r="P695" s="380"/>
      <c r="Q695" s="380"/>
      <c r="R695" s="54"/>
      <c r="S695" s="380"/>
      <c r="T695" s="380"/>
      <c r="U695" s="380"/>
      <c r="V695" s="380"/>
      <c r="W695" s="380"/>
      <c r="X695" s="380"/>
      <c r="Y695" s="380"/>
      <c r="Z695" s="380"/>
      <c r="AA695" s="380"/>
      <c r="AB695" s="380"/>
      <c r="AC695" s="380"/>
      <c r="AD695" s="380"/>
      <c r="AE695" s="380"/>
      <c r="AF695" s="380"/>
      <c r="AG695" s="153"/>
      <c r="AH695" s="380"/>
      <c r="AI695" s="380"/>
      <c r="AJ695" s="380"/>
      <c r="AK695" s="153"/>
      <c r="AL695" s="380"/>
      <c r="AM695" s="54"/>
      <c r="AN695" s="54"/>
      <c r="AO695" s="380"/>
      <c r="AP695" s="380"/>
      <c r="AR695" s="380"/>
      <c r="AS695" s="380"/>
      <c r="AT695" s="380"/>
      <c r="AU695" s="380"/>
      <c r="AV695" s="380"/>
      <c r="AW695" s="380"/>
      <c r="AX695" s="380"/>
      <c r="AY695" s="380"/>
      <c r="AZ695" s="380"/>
      <c r="BA695" s="380"/>
      <c r="BB695" s="380"/>
      <c r="BC695" s="380"/>
      <c r="BD695" s="380"/>
      <c r="BE695" s="380"/>
      <c r="BF695" s="380"/>
      <c r="BG695" s="380"/>
      <c r="BH695" s="380"/>
      <c r="BI695" s="380"/>
      <c r="BJ695" s="380"/>
      <c r="BK695" s="380"/>
      <c r="BL695" s="380"/>
      <c r="BM695" s="380"/>
      <c r="BN695" s="380"/>
      <c r="BO695" s="380"/>
      <c r="BP695" s="380"/>
      <c r="BQ695" s="380"/>
      <c r="BR695" s="380"/>
      <c r="BS695" s="380"/>
      <c r="BT695" s="380"/>
      <c r="BU695" s="380"/>
      <c r="BV695" s="380"/>
      <c r="BW695" s="380"/>
      <c r="BX695" s="380"/>
      <c r="BY695" s="380"/>
    </row>
    <row r="696" spans="1:77" s="170" customFormat="1" x14ac:dyDescent="0.25">
      <c r="A696" s="380"/>
      <c r="B696" s="380"/>
      <c r="C696" s="380"/>
      <c r="D696" s="380"/>
      <c r="E696" s="380"/>
      <c r="F696" s="380"/>
      <c r="G696" s="380"/>
      <c r="H696" s="380"/>
      <c r="I696" s="380"/>
      <c r="J696" s="380"/>
      <c r="K696" s="380"/>
      <c r="L696" s="54"/>
      <c r="M696" s="54"/>
      <c r="N696" s="380"/>
      <c r="O696" s="380"/>
      <c r="P696" s="380"/>
      <c r="Q696" s="380"/>
      <c r="R696" s="53"/>
      <c r="S696" s="380"/>
      <c r="T696" s="380"/>
      <c r="U696" s="380"/>
      <c r="V696" s="380"/>
      <c r="W696" s="380"/>
      <c r="X696" s="380"/>
      <c r="Y696" s="380"/>
      <c r="Z696" s="380"/>
      <c r="AA696" s="380"/>
      <c r="AB696" s="380"/>
      <c r="AC696" s="54"/>
      <c r="AD696" s="54"/>
      <c r="AE696" s="380"/>
      <c r="AF696" s="380"/>
      <c r="AG696" s="153"/>
      <c r="AH696" s="380"/>
      <c r="AI696" s="380"/>
      <c r="AJ696" s="380"/>
      <c r="AK696" s="153"/>
      <c r="AL696" s="380"/>
      <c r="AM696" s="53"/>
      <c r="AN696" s="53"/>
      <c r="AO696" s="380"/>
      <c r="AP696" s="380"/>
      <c r="AR696" s="380"/>
      <c r="AS696" s="380"/>
      <c r="AT696" s="380"/>
      <c r="AU696" s="380"/>
      <c r="AV696" s="380"/>
      <c r="AW696" s="380"/>
      <c r="AX696" s="380"/>
      <c r="AY696" s="380"/>
      <c r="AZ696" s="380"/>
      <c r="BA696" s="380"/>
      <c r="BB696" s="380"/>
      <c r="BC696" s="380"/>
      <c r="BD696" s="380"/>
      <c r="BE696" s="380"/>
      <c r="BF696" s="380"/>
      <c r="BG696" s="380"/>
      <c r="BH696" s="380"/>
      <c r="BI696" s="380"/>
      <c r="BJ696" s="380"/>
      <c r="BK696" s="380"/>
      <c r="BL696" s="380"/>
      <c r="BM696" s="380"/>
      <c r="BN696" s="380"/>
      <c r="BO696" s="380"/>
      <c r="BP696" s="380"/>
      <c r="BQ696" s="380"/>
      <c r="BR696" s="380"/>
      <c r="BS696" s="380"/>
      <c r="BT696" s="380"/>
      <c r="BU696" s="380"/>
      <c r="BV696" s="380"/>
      <c r="BW696" s="380"/>
      <c r="BX696" s="380"/>
      <c r="BY696" s="380"/>
    </row>
    <row r="697" spans="1:77" s="170" customFormat="1" x14ac:dyDescent="0.25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380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154"/>
      <c r="AH697" s="55"/>
      <c r="AI697" s="55"/>
      <c r="AJ697" s="55"/>
      <c r="AK697" s="154"/>
      <c r="AL697" s="55"/>
      <c r="AM697" s="55"/>
      <c r="AN697" s="55"/>
      <c r="AO697" s="55"/>
      <c r="AP697" s="55"/>
      <c r="AR697" s="380"/>
      <c r="AS697" s="380"/>
      <c r="AT697" s="380"/>
      <c r="AU697" s="380"/>
      <c r="AV697" s="380"/>
      <c r="AW697" s="380"/>
      <c r="AX697" s="380"/>
      <c r="AY697" s="380"/>
      <c r="AZ697" s="380"/>
      <c r="BA697" s="380"/>
      <c r="BB697" s="380"/>
      <c r="BC697" s="380"/>
      <c r="BD697" s="380"/>
      <c r="BE697" s="380"/>
      <c r="BF697" s="380"/>
      <c r="BG697" s="380"/>
      <c r="BH697" s="380"/>
      <c r="BI697" s="380"/>
      <c r="BJ697" s="380"/>
      <c r="BK697" s="380"/>
      <c r="BL697" s="380"/>
      <c r="BM697" s="380"/>
      <c r="BN697" s="380"/>
      <c r="BO697" s="380"/>
      <c r="BP697" s="380"/>
      <c r="BQ697" s="380"/>
      <c r="BR697" s="380"/>
      <c r="BS697" s="380"/>
      <c r="BT697" s="380"/>
      <c r="BU697" s="380"/>
      <c r="BV697" s="380"/>
      <c r="BW697" s="380"/>
      <c r="BX697" s="380"/>
      <c r="BY697" s="380"/>
    </row>
    <row r="698" spans="1:77" s="170" customFormat="1" x14ac:dyDescent="0.25">
      <c r="A698" s="380"/>
      <c r="B698" s="380"/>
      <c r="C698" s="380"/>
      <c r="D698" s="380"/>
      <c r="E698" s="380"/>
      <c r="F698" s="380"/>
      <c r="G698" s="380"/>
      <c r="H698" s="380"/>
      <c r="I698" s="380"/>
      <c r="J698" s="380"/>
      <c r="K698" s="380"/>
      <c r="L698" s="56"/>
      <c r="M698" s="56"/>
      <c r="N698" s="56"/>
      <c r="O698" s="56"/>
      <c r="P698" s="380"/>
      <c r="Q698" s="380"/>
      <c r="R698" s="56"/>
      <c r="S698" s="380"/>
      <c r="T698" s="380"/>
      <c r="U698" s="380"/>
      <c r="V698" s="380"/>
      <c r="W698" s="380"/>
      <c r="X698" s="380"/>
      <c r="Y698" s="380"/>
      <c r="Z698" s="380"/>
      <c r="AA698" s="380"/>
      <c r="AB698" s="380"/>
      <c r="AC698" s="56"/>
      <c r="AD698" s="56"/>
      <c r="AE698" s="56"/>
      <c r="AF698" s="56"/>
      <c r="AG698" s="155"/>
      <c r="AH698" s="56"/>
      <c r="AI698" s="56"/>
      <c r="AJ698" s="56"/>
      <c r="AK698" s="153"/>
      <c r="AL698" s="380"/>
      <c r="AM698" s="56"/>
      <c r="AN698" s="56"/>
      <c r="AO698" s="56"/>
      <c r="AP698" s="56"/>
      <c r="AR698" s="380"/>
      <c r="AS698" s="380"/>
      <c r="AT698" s="380"/>
      <c r="AU698" s="380"/>
      <c r="AV698" s="380"/>
      <c r="AW698" s="380"/>
      <c r="AX698" s="380"/>
      <c r="AY698" s="380"/>
      <c r="AZ698" s="380"/>
      <c r="BA698" s="380"/>
      <c r="BB698" s="380"/>
      <c r="BC698" s="380"/>
      <c r="BD698" s="380"/>
      <c r="BE698" s="380"/>
      <c r="BF698" s="380"/>
      <c r="BG698" s="380"/>
      <c r="BH698" s="380"/>
      <c r="BI698" s="380"/>
      <c r="BJ698" s="380"/>
      <c r="BK698" s="380"/>
      <c r="BL698" s="380"/>
      <c r="BM698" s="380"/>
      <c r="BN698" s="380"/>
      <c r="BO698" s="380"/>
      <c r="BP698" s="380"/>
      <c r="BQ698" s="380"/>
      <c r="BR698" s="380"/>
      <c r="BS698" s="380"/>
      <c r="BT698" s="380"/>
      <c r="BU698" s="380"/>
      <c r="BV698" s="380"/>
      <c r="BW698" s="380"/>
      <c r="BX698" s="380"/>
      <c r="BY698" s="380"/>
    </row>
    <row r="699" spans="1:77" s="170" customFormat="1" x14ac:dyDescent="0.25">
      <c r="A699" s="380"/>
      <c r="B699" s="380"/>
      <c r="C699" s="380"/>
      <c r="D699" s="380"/>
      <c r="E699" s="380"/>
      <c r="F699" s="380"/>
      <c r="G699" s="380"/>
      <c r="H699" s="380"/>
      <c r="I699" s="380"/>
      <c r="J699" s="380"/>
      <c r="K699" s="380"/>
      <c r="L699" s="56"/>
      <c r="M699" s="56"/>
      <c r="N699" s="56"/>
      <c r="O699" s="56"/>
      <c r="P699" s="380"/>
      <c r="Q699" s="380"/>
      <c r="R699" s="56"/>
      <c r="S699" s="380"/>
      <c r="T699" s="380"/>
      <c r="U699" s="380"/>
      <c r="V699" s="380"/>
      <c r="W699" s="380"/>
      <c r="X699" s="380"/>
      <c r="Y699" s="380"/>
      <c r="Z699" s="380"/>
      <c r="AA699" s="380"/>
      <c r="AB699" s="56"/>
      <c r="AC699" s="56"/>
      <c r="AD699" s="56"/>
      <c r="AE699" s="56"/>
      <c r="AF699" s="56"/>
      <c r="AG699" s="155"/>
      <c r="AH699" s="56"/>
      <c r="AI699" s="56"/>
      <c r="AJ699" s="56"/>
      <c r="AK699" s="153"/>
      <c r="AL699" s="380"/>
      <c r="AM699" s="56"/>
      <c r="AN699" s="56"/>
      <c r="AO699" s="56"/>
      <c r="AP699" s="56"/>
      <c r="AR699" s="380"/>
      <c r="AS699" s="380"/>
      <c r="AT699" s="380"/>
      <c r="AU699" s="380"/>
      <c r="AV699" s="380"/>
      <c r="AW699" s="380"/>
      <c r="AX699" s="380"/>
      <c r="AY699" s="380"/>
      <c r="AZ699" s="380"/>
      <c r="BA699" s="380"/>
      <c r="BB699" s="380"/>
      <c r="BC699" s="380"/>
      <c r="BD699" s="380"/>
      <c r="BE699" s="380"/>
      <c r="BF699" s="380"/>
      <c r="BG699" s="380"/>
      <c r="BH699" s="380"/>
      <c r="BI699" s="380"/>
      <c r="BJ699" s="380"/>
      <c r="BK699" s="380"/>
      <c r="BL699" s="380"/>
      <c r="BM699" s="380"/>
      <c r="BN699" s="380"/>
      <c r="BO699" s="380"/>
      <c r="BP699" s="380"/>
      <c r="BQ699" s="380"/>
      <c r="BR699" s="380"/>
      <c r="BS699" s="380"/>
      <c r="BT699" s="380"/>
      <c r="BU699" s="380"/>
      <c r="BV699" s="380"/>
      <c r="BW699" s="380"/>
      <c r="BX699" s="380"/>
      <c r="BY699" s="380"/>
    </row>
    <row r="700" spans="1:77" s="170" customFormat="1" x14ac:dyDescent="0.25">
      <c r="A700" s="56"/>
      <c r="B700" s="380"/>
      <c r="C700" s="56"/>
      <c r="D700" s="56"/>
      <c r="E700" s="56"/>
      <c r="F700" s="56"/>
      <c r="G700" s="380"/>
      <c r="H700" s="380"/>
      <c r="I700" s="380"/>
      <c r="J700" s="56"/>
      <c r="K700" s="56"/>
      <c r="L700" s="56"/>
      <c r="M700" s="56"/>
      <c r="N700" s="56"/>
      <c r="O700" s="56"/>
      <c r="P700" s="56"/>
      <c r="Q700" s="56"/>
      <c r="R700" s="56"/>
      <c r="S700" s="380"/>
      <c r="T700" s="56"/>
      <c r="U700" s="56"/>
      <c r="V700" s="56"/>
      <c r="W700" s="380"/>
      <c r="X700" s="380"/>
      <c r="Y700" s="380"/>
      <c r="Z700" s="380"/>
      <c r="AA700" s="380"/>
      <c r="AB700" s="56"/>
      <c r="AC700" s="56"/>
      <c r="AD700" s="56"/>
      <c r="AE700" s="56"/>
      <c r="AF700" s="56"/>
      <c r="AG700" s="155"/>
      <c r="AH700" s="56"/>
      <c r="AI700" s="56"/>
      <c r="AJ700" s="56"/>
      <c r="AK700" s="155"/>
      <c r="AL700" s="56"/>
      <c r="AM700" s="56"/>
      <c r="AN700" s="56"/>
      <c r="AO700" s="56"/>
      <c r="AP700" s="56"/>
      <c r="AR700" s="380"/>
      <c r="AS700" s="380"/>
      <c r="AT700" s="380"/>
      <c r="AU700" s="380"/>
      <c r="AV700" s="380"/>
      <c r="AW700" s="380"/>
      <c r="AX700" s="380"/>
      <c r="AY700" s="380"/>
      <c r="AZ700" s="380"/>
      <c r="BA700" s="380"/>
      <c r="BB700" s="380"/>
      <c r="BC700" s="380"/>
      <c r="BD700" s="380"/>
      <c r="BE700" s="380"/>
      <c r="BF700" s="380"/>
      <c r="BG700" s="380"/>
      <c r="BH700" s="380"/>
      <c r="BI700" s="380"/>
      <c r="BJ700" s="380"/>
      <c r="BK700" s="380"/>
      <c r="BL700" s="380"/>
      <c r="BM700" s="380"/>
      <c r="BN700" s="380"/>
      <c r="BO700" s="380"/>
      <c r="BP700" s="380"/>
      <c r="BQ700" s="380"/>
      <c r="BR700" s="380"/>
      <c r="BS700" s="380"/>
      <c r="BT700" s="380"/>
      <c r="BU700" s="380"/>
      <c r="BV700" s="380"/>
      <c r="BW700" s="380"/>
      <c r="BX700" s="380"/>
      <c r="BY700" s="380"/>
    </row>
    <row r="701" spans="1:77" s="170" customFormat="1" x14ac:dyDescent="0.25">
      <c r="A701" s="56"/>
      <c r="B701" s="380"/>
      <c r="C701" s="56"/>
      <c r="D701" s="56"/>
      <c r="E701" s="56"/>
      <c r="F701" s="56"/>
      <c r="G701" s="380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380"/>
      <c r="T701" s="56"/>
      <c r="U701" s="56"/>
      <c r="V701" s="56"/>
      <c r="W701" s="380"/>
      <c r="X701" s="380"/>
      <c r="Y701" s="380"/>
      <c r="Z701" s="380"/>
      <c r="AA701" s="56"/>
      <c r="AB701" s="56"/>
      <c r="AC701" s="56"/>
      <c r="AD701" s="56"/>
      <c r="AE701" s="56"/>
      <c r="AF701" s="56"/>
      <c r="AG701" s="155"/>
      <c r="AH701" s="56"/>
      <c r="AI701" s="56"/>
      <c r="AJ701" s="56"/>
      <c r="AK701" s="155"/>
      <c r="AL701" s="56"/>
      <c r="AM701" s="56"/>
      <c r="AN701" s="56"/>
      <c r="AO701" s="56"/>
      <c r="AP701" s="56"/>
      <c r="AR701" s="380"/>
      <c r="AS701" s="380"/>
      <c r="AT701" s="380"/>
      <c r="AU701" s="380"/>
      <c r="AV701" s="380"/>
      <c r="AW701" s="380"/>
      <c r="AX701" s="380"/>
      <c r="AY701" s="380"/>
      <c r="AZ701" s="380"/>
      <c r="BA701" s="380"/>
      <c r="BB701" s="380"/>
      <c r="BC701" s="380"/>
      <c r="BD701" s="380"/>
      <c r="BE701" s="380"/>
      <c r="BF701" s="380"/>
      <c r="BG701" s="380"/>
      <c r="BH701" s="380"/>
      <c r="BI701" s="380"/>
      <c r="BJ701" s="380"/>
      <c r="BK701" s="380"/>
      <c r="BL701" s="380"/>
      <c r="BM701" s="380"/>
      <c r="BN701" s="380"/>
      <c r="BO701" s="380"/>
      <c r="BP701" s="380"/>
      <c r="BQ701" s="380"/>
      <c r="BR701" s="380"/>
      <c r="BS701" s="380"/>
      <c r="BT701" s="380"/>
      <c r="BU701" s="380"/>
      <c r="BV701" s="380"/>
      <c r="BW701" s="380"/>
      <c r="BX701" s="380"/>
      <c r="BY701" s="380"/>
    </row>
    <row r="702" spans="1:77" s="170" customFormat="1" x14ac:dyDescent="0.25">
      <c r="A702" s="380"/>
      <c r="B702" s="380"/>
      <c r="C702" s="56"/>
      <c r="D702" s="56"/>
      <c r="E702" s="56"/>
      <c r="F702" s="56"/>
      <c r="G702" s="380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380"/>
      <c r="T702" s="56"/>
      <c r="U702" s="56"/>
      <c r="V702" s="56"/>
      <c r="W702" s="380"/>
      <c r="X702" s="380"/>
      <c r="Y702" s="380"/>
      <c r="Z702" s="380"/>
      <c r="AA702" s="56"/>
      <c r="AB702" s="56"/>
      <c r="AC702" s="56"/>
      <c r="AD702" s="56"/>
      <c r="AE702" s="56"/>
      <c r="AF702" s="56"/>
      <c r="AG702" s="155"/>
      <c r="AH702" s="56"/>
      <c r="AI702" s="56"/>
      <c r="AJ702" s="56"/>
      <c r="AK702" s="155"/>
      <c r="AL702" s="56"/>
      <c r="AM702" s="56"/>
      <c r="AN702" s="56"/>
      <c r="AO702" s="56"/>
      <c r="AP702" s="56"/>
      <c r="AR702" s="380"/>
      <c r="AS702" s="380"/>
      <c r="AT702" s="380"/>
      <c r="AU702" s="380"/>
      <c r="AV702" s="380"/>
      <c r="AW702" s="380"/>
      <c r="AX702" s="380"/>
      <c r="AY702" s="380"/>
      <c r="AZ702" s="380"/>
      <c r="BA702" s="380"/>
      <c r="BB702" s="380"/>
      <c r="BC702" s="380"/>
      <c r="BD702" s="380"/>
      <c r="BE702" s="380"/>
      <c r="BF702" s="380"/>
      <c r="BG702" s="380"/>
      <c r="BH702" s="380"/>
      <c r="BI702" s="380"/>
      <c r="BJ702" s="380"/>
      <c r="BK702" s="380"/>
      <c r="BL702" s="380"/>
      <c r="BM702" s="380"/>
      <c r="BN702" s="380"/>
      <c r="BO702" s="380"/>
      <c r="BP702" s="380"/>
      <c r="BQ702" s="380"/>
      <c r="BR702" s="380"/>
      <c r="BS702" s="380"/>
      <c r="BT702" s="380"/>
      <c r="BU702" s="380"/>
      <c r="BV702" s="380"/>
      <c r="BW702" s="380"/>
      <c r="BX702" s="380"/>
      <c r="BY702" s="380"/>
    </row>
    <row r="703" spans="1:77" s="170" customFormat="1" x14ac:dyDescent="0.25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380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154"/>
      <c r="AH703" s="55"/>
      <c r="AI703" s="55"/>
      <c r="AJ703" s="55"/>
      <c r="AK703" s="154"/>
      <c r="AL703" s="55"/>
      <c r="AM703" s="55"/>
      <c r="AN703" s="55"/>
      <c r="AO703" s="55"/>
      <c r="AP703" s="55"/>
      <c r="AR703" s="380"/>
      <c r="AS703" s="380"/>
      <c r="AT703" s="380"/>
      <c r="AU703" s="380"/>
      <c r="AV703" s="380"/>
      <c r="AW703" s="380"/>
      <c r="AX703" s="380"/>
      <c r="AY703" s="380"/>
      <c r="AZ703" s="380"/>
      <c r="BA703" s="380"/>
      <c r="BB703" s="380"/>
      <c r="BC703" s="380"/>
      <c r="BD703" s="380"/>
      <c r="BE703" s="380"/>
      <c r="BF703" s="380"/>
      <c r="BG703" s="380"/>
      <c r="BH703" s="380"/>
      <c r="BI703" s="380"/>
      <c r="BJ703" s="380"/>
      <c r="BK703" s="380"/>
      <c r="BL703" s="380"/>
      <c r="BM703" s="380"/>
      <c r="BN703" s="380"/>
      <c r="BO703" s="380"/>
      <c r="BP703" s="380"/>
      <c r="BQ703" s="380"/>
      <c r="BR703" s="380"/>
      <c r="BS703" s="380"/>
      <c r="BT703" s="380"/>
      <c r="BU703" s="380"/>
      <c r="BV703" s="380"/>
      <c r="BW703" s="380"/>
      <c r="BX703" s="380"/>
      <c r="BY703" s="380"/>
    </row>
    <row r="704" spans="1:77" s="170" customFormat="1" x14ac:dyDescent="0.25">
      <c r="A704" s="380"/>
      <c r="B704" s="380"/>
      <c r="C704" s="380"/>
      <c r="D704" s="380"/>
      <c r="E704" s="380"/>
      <c r="F704" s="380"/>
      <c r="G704" s="380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380"/>
      <c r="T704" s="380"/>
      <c r="U704" s="380"/>
      <c r="V704" s="380"/>
      <c r="W704" s="380"/>
      <c r="X704" s="380"/>
      <c r="Y704" s="380"/>
      <c r="Z704" s="380"/>
      <c r="AA704" s="56"/>
      <c r="AB704" s="56"/>
      <c r="AC704" s="56"/>
      <c r="AD704" s="56"/>
      <c r="AE704" s="56"/>
      <c r="AF704" s="56"/>
      <c r="AG704" s="155"/>
      <c r="AH704" s="56"/>
      <c r="AI704" s="56"/>
      <c r="AJ704" s="56"/>
      <c r="AK704" s="155"/>
      <c r="AL704" s="56"/>
      <c r="AM704" s="56"/>
      <c r="AN704" s="56"/>
      <c r="AO704" s="56"/>
      <c r="AP704" s="56"/>
      <c r="AR704" s="380"/>
      <c r="AS704" s="380"/>
      <c r="AT704" s="380"/>
      <c r="AU704" s="380"/>
      <c r="AV704" s="380"/>
      <c r="AW704" s="380"/>
      <c r="AX704" s="380"/>
      <c r="AY704" s="380"/>
      <c r="AZ704" s="380"/>
      <c r="BA704" s="380"/>
      <c r="BB704" s="380"/>
      <c r="BC704" s="380"/>
      <c r="BD704" s="380"/>
      <c r="BE704" s="380"/>
      <c r="BF704" s="380"/>
      <c r="BG704" s="380"/>
      <c r="BH704" s="380"/>
      <c r="BI704" s="380"/>
      <c r="BJ704" s="380"/>
      <c r="BK704" s="380"/>
      <c r="BL704" s="380"/>
      <c r="BM704" s="380"/>
      <c r="BN704" s="380"/>
      <c r="BO704" s="380"/>
      <c r="BP704" s="380"/>
      <c r="BQ704" s="380"/>
      <c r="BR704" s="380"/>
      <c r="BS704" s="380"/>
      <c r="BT704" s="380"/>
      <c r="BU704" s="380"/>
      <c r="BV704" s="380"/>
      <c r="BW704" s="380"/>
      <c r="BX704" s="380"/>
      <c r="BY704" s="380"/>
    </row>
    <row r="705" spans="1:77" s="170" customFormat="1" x14ac:dyDescent="0.25">
      <c r="A705" s="53"/>
      <c r="B705" s="380"/>
      <c r="C705" s="54"/>
      <c r="D705" s="54"/>
      <c r="E705" s="54"/>
      <c r="F705" s="380"/>
      <c r="G705" s="380"/>
      <c r="H705" s="380"/>
      <c r="I705" s="380"/>
      <c r="J705" s="380"/>
      <c r="K705" s="380"/>
      <c r="L705" s="380"/>
      <c r="M705" s="380"/>
      <c r="N705" s="380"/>
      <c r="O705" s="380"/>
      <c r="P705" s="380"/>
      <c r="Q705" s="380"/>
      <c r="R705" s="380"/>
      <c r="S705" s="380"/>
      <c r="T705" s="54"/>
      <c r="U705" s="54"/>
      <c r="V705" s="380"/>
      <c r="W705" s="380"/>
      <c r="X705" s="380"/>
      <c r="Y705" s="380"/>
      <c r="Z705" s="380"/>
      <c r="AA705" s="380"/>
      <c r="AB705" s="380"/>
      <c r="AC705" s="380"/>
      <c r="AD705" s="380"/>
      <c r="AE705" s="380"/>
      <c r="AF705" s="380"/>
      <c r="AG705" s="153"/>
      <c r="AH705" s="380"/>
      <c r="AI705" s="380"/>
      <c r="AJ705" s="380"/>
      <c r="AK705" s="153"/>
      <c r="AL705" s="380"/>
      <c r="AM705" s="380"/>
      <c r="AN705" s="380"/>
      <c r="AO705" s="380"/>
      <c r="AP705" s="380"/>
      <c r="AR705" s="380"/>
      <c r="AS705" s="380"/>
      <c r="AT705" s="380"/>
      <c r="AU705" s="380"/>
      <c r="AV705" s="380"/>
      <c r="AW705" s="380"/>
      <c r="AX705" s="380"/>
      <c r="AY705" s="380"/>
      <c r="AZ705" s="380"/>
      <c r="BA705" s="380"/>
      <c r="BB705" s="380"/>
      <c r="BC705" s="380"/>
      <c r="BD705" s="380"/>
      <c r="BE705" s="380"/>
      <c r="BF705" s="380"/>
      <c r="BG705" s="380"/>
      <c r="BH705" s="380"/>
      <c r="BI705" s="380"/>
      <c r="BJ705" s="380"/>
      <c r="BK705" s="380"/>
      <c r="BL705" s="380"/>
      <c r="BM705" s="380"/>
      <c r="BN705" s="380"/>
      <c r="BO705" s="380"/>
      <c r="BP705" s="380"/>
      <c r="BQ705" s="380"/>
      <c r="BR705" s="380"/>
      <c r="BS705" s="380"/>
      <c r="BT705" s="380"/>
      <c r="BU705" s="380"/>
      <c r="BV705" s="380"/>
      <c r="BW705" s="380"/>
      <c r="BX705" s="380"/>
      <c r="BY705" s="380"/>
    </row>
    <row r="707" spans="1:77" s="170" customFormat="1" x14ac:dyDescent="0.25">
      <c r="A707" s="53"/>
      <c r="B707" s="380"/>
      <c r="C707" s="54"/>
      <c r="D707" s="380"/>
      <c r="E707" s="380"/>
      <c r="F707" s="380"/>
      <c r="G707" s="380"/>
      <c r="H707" s="380"/>
      <c r="I707" s="380"/>
      <c r="J707" s="380"/>
      <c r="K707" s="380"/>
      <c r="L707" s="380"/>
      <c r="M707" s="380"/>
      <c r="N707" s="380"/>
      <c r="O707" s="380"/>
      <c r="P707" s="380"/>
      <c r="Q707" s="380"/>
      <c r="R707" s="380"/>
      <c r="S707" s="380"/>
      <c r="T707" s="54"/>
      <c r="U707" s="380"/>
      <c r="V707" s="380"/>
      <c r="W707" s="380"/>
      <c r="X707" s="380"/>
      <c r="Y707" s="380"/>
      <c r="Z707" s="380"/>
      <c r="AA707" s="380"/>
      <c r="AB707" s="380"/>
      <c r="AC707" s="380"/>
      <c r="AD707" s="380"/>
      <c r="AE707" s="380"/>
      <c r="AF707" s="380"/>
      <c r="AG707" s="153"/>
      <c r="AH707" s="380"/>
      <c r="AI707" s="380"/>
      <c r="AJ707" s="380"/>
      <c r="AK707" s="153"/>
      <c r="AL707" s="380"/>
      <c r="AM707" s="380"/>
      <c r="AN707" s="380"/>
      <c r="AO707" s="380"/>
      <c r="AP707" s="380"/>
      <c r="AR707" s="380"/>
      <c r="AS707" s="380"/>
      <c r="AT707" s="380"/>
      <c r="AU707" s="380"/>
      <c r="AV707" s="380"/>
      <c r="AW707" s="380"/>
      <c r="AX707" s="380"/>
      <c r="AY707" s="380"/>
      <c r="AZ707" s="380"/>
      <c r="BA707" s="380"/>
      <c r="BB707" s="380"/>
      <c r="BC707" s="380"/>
      <c r="BD707" s="380"/>
      <c r="BE707" s="380"/>
      <c r="BF707" s="380"/>
      <c r="BG707" s="380"/>
      <c r="BH707" s="380"/>
      <c r="BI707" s="380"/>
      <c r="BJ707" s="380"/>
      <c r="BK707" s="380"/>
      <c r="BL707" s="380"/>
      <c r="BM707" s="380"/>
      <c r="BN707" s="380"/>
      <c r="BO707" s="380"/>
      <c r="BP707" s="380"/>
      <c r="BQ707" s="380"/>
      <c r="BR707" s="380"/>
      <c r="BS707" s="380"/>
      <c r="BT707" s="380"/>
      <c r="BU707" s="380"/>
      <c r="BV707" s="380"/>
      <c r="BW707" s="380"/>
      <c r="BX707" s="380"/>
      <c r="BY707" s="380"/>
    </row>
    <row r="708" spans="1:77" s="170" customFormat="1" x14ac:dyDescent="0.25">
      <c r="A708" s="53"/>
      <c r="B708" s="380"/>
      <c r="C708" s="54"/>
      <c r="D708" s="380"/>
      <c r="E708" s="380"/>
      <c r="F708" s="380"/>
      <c r="G708" s="380"/>
      <c r="H708" s="380"/>
      <c r="I708" s="380"/>
      <c r="J708" s="380"/>
      <c r="K708" s="380"/>
      <c r="L708" s="380"/>
      <c r="M708" s="380"/>
      <c r="N708" s="380"/>
      <c r="O708" s="380"/>
      <c r="P708" s="380"/>
      <c r="Q708" s="380"/>
      <c r="R708" s="380"/>
      <c r="S708" s="380"/>
      <c r="T708" s="54"/>
      <c r="U708" s="380"/>
      <c r="V708" s="380"/>
      <c r="W708" s="380"/>
      <c r="X708" s="380"/>
      <c r="Y708" s="380"/>
      <c r="Z708" s="380"/>
      <c r="AA708" s="380"/>
      <c r="AB708" s="380"/>
      <c r="AC708" s="380"/>
      <c r="AD708" s="380"/>
      <c r="AE708" s="380"/>
      <c r="AF708" s="380"/>
      <c r="AG708" s="153"/>
      <c r="AH708" s="380"/>
      <c r="AI708" s="380"/>
      <c r="AJ708" s="380"/>
      <c r="AK708" s="153"/>
      <c r="AL708" s="380"/>
      <c r="AM708" s="380"/>
      <c r="AN708" s="380"/>
      <c r="AO708" s="380"/>
      <c r="AP708" s="380"/>
      <c r="AR708" s="380"/>
      <c r="AS708" s="380"/>
      <c r="AT708" s="380"/>
      <c r="AU708" s="380"/>
      <c r="AV708" s="380"/>
      <c r="AW708" s="380"/>
      <c r="AX708" s="380"/>
      <c r="AY708" s="380"/>
      <c r="AZ708" s="380"/>
      <c r="BA708" s="380"/>
      <c r="BB708" s="380"/>
      <c r="BC708" s="380"/>
      <c r="BD708" s="380"/>
      <c r="BE708" s="380"/>
      <c r="BF708" s="380"/>
      <c r="BG708" s="380"/>
      <c r="BH708" s="380"/>
      <c r="BI708" s="380"/>
      <c r="BJ708" s="380"/>
      <c r="BK708" s="380"/>
      <c r="BL708" s="380"/>
      <c r="BM708" s="380"/>
      <c r="BN708" s="380"/>
      <c r="BO708" s="380"/>
      <c r="BP708" s="380"/>
      <c r="BQ708" s="380"/>
      <c r="BR708" s="380"/>
      <c r="BS708" s="380"/>
      <c r="BT708" s="380"/>
      <c r="BU708" s="380"/>
      <c r="BV708" s="380"/>
      <c r="BW708" s="380"/>
      <c r="BX708" s="380"/>
      <c r="BY708" s="380"/>
    </row>
    <row r="709" spans="1:77" s="170" customFormat="1" x14ac:dyDescent="0.25">
      <c r="A709" s="53"/>
      <c r="B709" s="380"/>
      <c r="C709" s="54"/>
      <c r="D709" s="380"/>
      <c r="E709" s="380"/>
      <c r="F709" s="449"/>
      <c r="G709" s="380"/>
      <c r="H709" s="449"/>
      <c r="I709" s="449"/>
      <c r="J709" s="221"/>
      <c r="K709" s="221"/>
      <c r="L709" s="379"/>
      <c r="M709" s="379"/>
      <c r="N709" s="50"/>
      <c r="O709" s="50"/>
      <c r="P709" s="379"/>
      <c r="Q709" s="379"/>
      <c r="R709" s="379"/>
      <c r="S709" s="380"/>
      <c r="T709" s="54"/>
      <c r="U709" s="380"/>
      <c r="V709" s="379"/>
      <c r="W709" s="379"/>
      <c r="X709" s="379"/>
      <c r="Y709" s="379"/>
      <c r="Z709" s="379"/>
      <c r="AA709" s="379"/>
      <c r="AB709" s="221"/>
      <c r="AC709" s="379"/>
      <c r="AD709" s="379"/>
      <c r="AE709" s="50"/>
      <c r="AF709" s="50"/>
      <c r="AG709" s="156"/>
      <c r="AH709" s="379"/>
      <c r="AI709" s="60"/>
      <c r="AJ709" s="60"/>
      <c r="AK709" s="156"/>
      <c r="AL709" s="379"/>
      <c r="AM709" s="379"/>
      <c r="AN709" s="379"/>
      <c r="AO709" s="60"/>
      <c r="AP709" s="60"/>
      <c r="AR709" s="380"/>
      <c r="AS709" s="380"/>
      <c r="AT709" s="380"/>
      <c r="AU709" s="380"/>
      <c r="AV709" s="380"/>
      <c r="AW709" s="380"/>
      <c r="AX709" s="380"/>
      <c r="AY709" s="380"/>
      <c r="AZ709" s="380"/>
      <c r="BA709" s="380"/>
      <c r="BB709" s="380"/>
      <c r="BC709" s="380"/>
      <c r="BD709" s="380"/>
      <c r="BE709" s="380"/>
      <c r="BF709" s="380"/>
      <c r="BG709" s="380"/>
      <c r="BH709" s="380"/>
      <c r="BI709" s="380"/>
      <c r="BJ709" s="380"/>
      <c r="BK709" s="380"/>
      <c r="BL709" s="380"/>
      <c r="BM709" s="380"/>
      <c r="BN709" s="380"/>
      <c r="BO709" s="380"/>
      <c r="BP709" s="380"/>
      <c r="BQ709" s="380"/>
      <c r="BR709" s="380"/>
      <c r="BS709" s="380"/>
      <c r="BT709" s="380"/>
      <c r="BU709" s="380"/>
      <c r="BV709" s="380"/>
      <c r="BW709" s="380"/>
      <c r="BX709" s="380"/>
      <c r="BY709" s="380"/>
    </row>
    <row r="710" spans="1:77" s="170" customFormat="1" x14ac:dyDescent="0.25">
      <c r="A710" s="53"/>
      <c r="B710" s="380"/>
      <c r="C710" s="54"/>
      <c r="D710" s="380"/>
      <c r="E710" s="380"/>
      <c r="F710" s="379"/>
      <c r="G710" s="380"/>
      <c r="H710" s="379"/>
      <c r="I710" s="379"/>
      <c r="J710" s="65"/>
      <c r="K710" s="65"/>
      <c r="L710" s="379"/>
      <c r="M710" s="379"/>
      <c r="N710" s="50"/>
      <c r="O710" s="50"/>
      <c r="P710" s="379"/>
      <c r="Q710" s="379"/>
      <c r="R710" s="379"/>
      <c r="S710" s="380"/>
      <c r="T710" s="54"/>
      <c r="U710" s="380"/>
      <c r="V710" s="379"/>
      <c r="W710" s="379"/>
      <c r="X710" s="379"/>
      <c r="Y710" s="379"/>
      <c r="Z710" s="379"/>
      <c r="AA710" s="379"/>
      <c r="AB710" s="65"/>
      <c r="AC710" s="379"/>
      <c r="AD710" s="379"/>
      <c r="AE710" s="50"/>
      <c r="AF710" s="50"/>
      <c r="AG710" s="156"/>
      <c r="AH710" s="379"/>
      <c r="AI710" s="60"/>
      <c r="AJ710" s="60"/>
      <c r="AK710" s="156"/>
      <c r="AL710" s="379"/>
      <c r="AM710" s="379"/>
      <c r="AN710" s="379"/>
      <c r="AO710" s="60"/>
      <c r="AP710" s="60"/>
      <c r="AR710" s="380"/>
      <c r="AS710" s="380"/>
      <c r="AT710" s="380"/>
      <c r="AU710" s="380"/>
      <c r="AV710" s="380"/>
      <c r="AW710" s="380"/>
      <c r="AX710" s="380"/>
      <c r="AY710" s="380"/>
      <c r="AZ710" s="380"/>
      <c r="BA710" s="380"/>
      <c r="BB710" s="380"/>
      <c r="BC710" s="380"/>
      <c r="BD710" s="380"/>
      <c r="BE710" s="380"/>
      <c r="BF710" s="380"/>
      <c r="BG710" s="380"/>
      <c r="BH710" s="380"/>
      <c r="BI710" s="380"/>
      <c r="BJ710" s="380"/>
      <c r="BK710" s="380"/>
      <c r="BL710" s="380"/>
      <c r="BM710" s="380"/>
      <c r="BN710" s="380"/>
      <c r="BO710" s="380"/>
      <c r="BP710" s="380"/>
      <c r="BQ710" s="380"/>
      <c r="BR710" s="380"/>
      <c r="BS710" s="380"/>
      <c r="BT710" s="380"/>
      <c r="BU710" s="380"/>
      <c r="BV710" s="380"/>
      <c r="BW710" s="380"/>
      <c r="BX710" s="380"/>
      <c r="BY710" s="380"/>
    </row>
    <row r="711" spans="1:77" s="170" customFormat="1" x14ac:dyDescent="0.25">
      <c r="A711" s="53"/>
      <c r="B711" s="380"/>
      <c r="C711" s="54"/>
      <c r="D711" s="380"/>
      <c r="E711" s="380"/>
      <c r="F711" s="379"/>
      <c r="G711" s="380"/>
      <c r="H711" s="379"/>
      <c r="I711" s="379"/>
      <c r="J711" s="65"/>
      <c r="K711" s="65"/>
      <c r="L711" s="379"/>
      <c r="M711" s="379"/>
      <c r="N711" s="50"/>
      <c r="O711" s="50"/>
      <c r="P711" s="379"/>
      <c r="Q711" s="379"/>
      <c r="R711" s="379"/>
      <c r="S711" s="380"/>
      <c r="T711" s="54"/>
      <c r="U711" s="380"/>
      <c r="V711" s="379"/>
      <c r="W711" s="379"/>
      <c r="X711" s="379"/>
      <c r="Y711" s="379"/>
      <c r="Z711" s="379"/>
      <c r="AA711" s="379"/>
      <c r="AB711" s="65"/>
      <c r="AC711" s="379"/>
      <c r="AD711" s="379"/>
      <c r="AE711" s="50"/>
      <c r="AF711" s="50"/>
      <c r="AG711" s="156"/>
      <c r="AH711" s="379"/>
      <c r="AI711" s="60"/>
      <c r="AJ711" s="60"/>
      <c r="AK711" s="156"/>
      <c r="AL711" s="379"/>
      <c r="AM711" s="379"/>
      <c r="AN711" s="379"/>
      <c r="AO711" s="60"/>
      <c r="AP711" s="60"/>
      <c r="AR711" s="380"/>
      <c r="AS711" s="380"/>
      <c r="AT711" s="380"/>
      <c r="AU711" s="380"/>
      <c r="AV711" s="380"/>
      <c r="AW711" s="380"/>
      <c r="AX711" s="380"/>
      <c r="AY711" s="380"/>
      <c r="AZ711" s="380"/>
      <c r="BA711" s="380"/>
      <c r="BB711" s="380"/>
      <c r="BC711" s="380"/>
      <c r="BD711" s="380"/>
      <c r="BE711" s="380"/>
      <c r="BF711" s="380"/>
      <c r="BG711" s="380"/>
      <c r="BH711" s="380"/>
      <c r="BI711" s="380"/>
      <c r="BJ711" s="380"/>
      <c r="BK711" s="380"/>
      <c r="BL711" s="380"/>
      <c r="BM711" s="380"/>
      <c r="BN711" s="380"/>
      <c r="BO711" s="380"/>
      <c r="BP711" s="380"/>
      <c r="BQ711" s="380"/>
      <c r="BR711" s="380"/>
      <c r="BS711" s="380"/>
      <c r="BT711" s="380"/>
      <c r="BU711" s="380"/>
      <c r="BV711" s="380"/>
      <c r="BW711" s="380"/>
      <c r="BX711" s="380"/>
      <c r="BY711" s="380"/>
    </row>
    <row r="712" spans="1:77" s="170" customFormat="1" x14ac:dyDescent="0.25">
      <c r="A712" s="53"/>
      <c r="B712" s="380"/>
      <c r="C712" s="54"/>
      <c r="D712" s="380"/>
      <c r="E712" s="380"/>
      <c r="F712" s="379"/>
      <c r="G712" s="380"/>
      <c r="H712" s="379"/>
      <c r="I712" s="379"/>
      <c r="J712" s="65"/>
      <c r="K712" s="65"/>
      <c r="L712" s="380"/>
      <c r="M712" s="380"/>
      <c r="N712" s="380"/>
      <c r="O712" s="380"/>
      <c r="P712" s="380"/>
      <c r="Q712" s="380"/>
      <c r="R712" s="380"/>
      <c r="S712" s="380"/>
      <c r="T712" s="54"/>
      <c r="U712" s="380"/>
      <c r="V712" s="379"/>
      <c r="W712" s="380"/>
      <c r="X712" s="380"/>
      <c r="Y712" s="380"/>
      <c r="Z712" s="380"/>
      <c r="AA712" s="380"/>
      <c r="AB712" s="65"/>
      <c r="AC712" s="380"/>
      <c r="AD712" s="380"/>
      <c r="AE712" s="380"/>
      <c r="AF712" s="380"/>
      <c r="AG712" s="153"/>
      <c r="AH712" s="380"/>
      <c r="AI712" s="380"/>
      <c r="AJ712" s="380"/>
      <c r="AK712" s="153"/>
      <c r="AL712" s="380"/>
      <c r="AM712" s="380"/>
      <c r="AN712" s="380"/>
      <c r="AO712" s="380"/>
      <c r="AP712" s="380"/>
      <c r="AR712" s="380"/>
      <c r="AS712" s="380"/>
      <c r="AT712" s="380"/>
      <c r="AU712" s="380"/>
      <c r="AV712" s="380"/>
      <c r="AW712" s="380"/>
      <c r="AX712" s="380"/>
      <c r="AY712" s="380"/>
      <c r="AZ712" s="380"/>
      <c r="BA712" s="380"/>
      <c r="BB712" s="380"/>
      <c r="BC712" s="380"/>
      <c r="BD712" s="380"/>
      <c r="BE712" s="380"/>
      <c r="BF712" s="380"/>
      <c r="BG712" s="380"/>
      <c r="BH712" s="380"/>
      <c r="BI712" s="380"/>
      <c r="BJ712" s="380"/>
      <c r="BK712" s="380"/>
      <c r="BL712" s="380"/>
      <c r="BM712" s="380"/>
      <c r="BN712" s="380"/>
      <c r="BO712" s="380"/>
      <c r="BP712" s="380"/>
      <c r="BQ712" s="380"/>
      <c r="BR712" s="380"/>
      <c r="BS712" s="380"/>
      <c r="BT712" s="380"/>
      <c r="BU712" s="380"/>
      <c r="BV712" s="380"/>
      <c r="BW712" s="380"/>
      <c r="BX712" s="380"/>
      <c r="BY712" s="380"/>
    </row>
    <row r="713" spans="1:77" s="170" customFormat="1" x14ac:dyDescent="0.25">
      <c r="A713" s="53"/>
      <c r="B713" s="380"/>
      <c r="C713" s="54"/>
      <c r="D713" s="380"/>
      <c r="E713" s="380"/>
      <c r="F713" s="449"/>
      <c r="G713" s="380"/>
      <c r="H713" s="449"/>
      <c r="I713" s="449"/>
      <c r="J713" s="221"/>
      <c r="K713" s="221"/>
      <c r="L713" s="379"/>
      <c r="M713" s="379"/>
      <c r="N713" s="50"/>
      <c r="O713" s="50"/>
      <c r="P713" s="379"/>
      <c r="Q713" s="379"/>
      <c r="R713" s="379"/>
      <c r="S713" s="380"/>
      <c r="T713" s="54"/>
      <c r="U713" s="380"/>
      <c r="V713" s="379"/>
      <c r="W713" s="379"/>
      <c r="X713" s="379"/>
      <c r="Y713" s="379"/>
      <c r="Z713" s="379"/>
      <c r="AA713" s="379"/>
      <c r="AB713" s="221"/>
      <c r="AC713" s="379"/>
      <c r="AD713" s="379"/>
      <c r="AE713" s="50"/>
      <c r="AF713" s="50"/>
      <c r="AG713" s="156"/>
      <c r="AH713" s="379"/>
      <c r="AI713" s="60"/>
      <c r="AJ713" s="60"/>
      <c r="AK713" s="156"/>
      <c r="AL713" s="379"/>
      <c r="AM713" s="379"/>
      <c r="AN713" s="379"/>
      <c r="AO713" s="60"/>
      <c r="AP713" s="60"/>
      <c r="AR713" s="380"/>
      <c r="AS713" s="380"/>
      <c r="AT713" s="380"/>
      <c r="AU713" s="380"/>
      <c r="AV713" s="380"/>
      <c r="AW713" s="380"/>
      <c r="AX713" s="380"/>
      <c r="AY713" s="380"/>
      <c r="AZ713" s="380"/>
      <c r="BA713" s="380"/>
      <c r="BB713" s="380"/>
      <c r="BC713" s="380"/>
      <c r="BD713" s="380"/>
      <c r="BE713" s="380"/>
      <c r="BF713" s="380"/>
      <c r="BG713" s="380"/>
      <c r="BH713" s="380"/>
      <c r="BI713" s="380"/>
      <c r="BJ713" s="380"/>
      <c r="BK713" s="380"/>
      <c r="BL713" s="380"/>
      <c r="BM713" s="380"/>
      <c r="BN713" s="380"/>
      <c r="BO713" s="380"/>
      <c r="BP713" s="380"/>
      <c r="BQ713" s="380"/>
      <c r="BR713" s="380"/>
      <c r="BS713" s="380"/>
      <c r="BT713" s="380"/>
      <c r="BU713" s="380"/>
      <c r="BV713" s="380"/>
      <c r="BW713" s="380"/>
      <c r="BX713" s="380"/>
      <c r="BY713" s="380"/>
    </row>
    <row r="714" spans="1:77" s="170" customFormat="1" x14ac:dyDescent="0.25">
      <c r="A714" s="53"/>
      <c r="B714" s="380"/>
      <c r="C714" s="54"/>
      <c r="D714" s="380"/>
      <c r="E714" s="380"/>
      <c r="F714" s="379"/>
      <c r="G714" s="380"/>
      <c r="H714" s="379"/>
      <c r="I714" s="379"/>
      <c r="J714" s="65"/>
      <c r="K714" s="65"/>
      <c r="L714" s="380"/>
      <c r="M714" s="380"/>
      <c r="N714" s="380"/>
      <c r="O714" s="380"/>
      <c r="P714" s="380"/>
      <c r="Q714" s="380"/>
      <c r="R714" s="380"/>
      <c r="S714" s="380"/>
      <c r="T714" s="54"/>
      <c r="U714" s="380"/>
      <c r="V714" s="379"/>
      <c r="W714" s="379"/>
      <c r="X714" s="379"/>
      <c r="Y714" s="379"/>
      <c r="Z714" s="379"/>
      <c r="AA714" s="379"/>
      <c r="AB714" s="65"/>
      <c r="AC714" s="380"/>
      <c r="AD714" s="380"/>
      <c r="AE714" s="50"/>
      <c r="AF714" s="50"/>
      <c r="AG714" s="156"/>
      <c r="AH714" s="379"/>
      <c r="AI714" s="60"/>
      <c r="AJ714" s="60"/>
      <c r="AK714" s="156"/>
      <c r="AL714" s="379"/>
      <c r="AM714" s="379"/>
      <c r="AN714" s="379"/>
      <c r="AO714" s="60"/>
      <c r="AP714" s="60"/>
      <c r="AR714" s="380"/>
      <c r="AS714" s="380"/>
      <c r="AT714" s="380"/>
      <c r="AU714" s="380"/>
      <c r="AV714" s="380"/>
      <c r="AW714" s="380"/>
      <c r="AX714" s="380"/>
      <c r="AY714" s="380"/>
      <c r="AZ714" s="380"/>
      <c r="BA714" s="380"/>
      <c r="BB714" s="380"/>
      <c r="BC714" s="380"/>
      <c r="BD714" s="380"/>
      <c r="BE714" s="380"/>
      <c r="BF714" s="380"/>
      <c r="BG714" s="380"/>
      <c r="BH714" s="380"/>
      <c r="BI714" s="380"/>
      <c r="BJ714" s="380"/>
      <c r="BK714" s="380"/>
      <c r="BL714" s="380"/>
      <c r="BM714" s="380"/>
      <c r="BN714" s="380"/>
      <c r="BO714" s="380"/>
      <c r="BP714" s="380"/>
      <c r="BQ714" s="380"/>
      <c r="BR714" s="380"/>
      <c r="BS714" s="380"/>
      <c r="BT714" s="380"/>
      <c r="BU714" s="380"/>
      <c r="BV714" s="380"/>
      <c r="BW714" s="380"/>
      <c r="BX714" s="380"/>
      <c r="BY714" s="380"/>
    </row>
    <row r="715" spans="1:77" s="170" customFormat="1" x14ac:dyDescent="0.25">
      <c r="A715" s="53"/>
      <c r="B715" s="380"/>
      <c r="C715" s="54"/>
      <c r="D715" s="380"/>
      <c r="E715" s="380"/>
      <c r="F715" s="449"/>
      <c r="G715" s="380"/>
      <c r="H715" s="449"/>
      <c r="I715" s="449"/>
      <c r="J715" s="221"/>
      <c r="K715" s="221"/>
      <c r="L715" s="379"/>
      <c r="M715" s="379"/>
      <c r="N715" s="50"/>
      <c r="O715" s="50"/>
      <c r="P715" s="379"/>
      <c r="Q715" s="379"/>
      <c r="R715" s="379"/>
      <c r="S715" s="380"/>
      <c r="T715" s="54"/>
      <c r="U715" s="380"/>
      <c r="V715" s="379"/>
      <c r="W715" s="379"/>
      <c r="X715" s="379"/>
      <c r="Y715" s="379"/>
      <c r="Z715" s="379"/>
      <c r="AA715" s="379"/>
      <c r="AB715" s="221"/>
      <c r="AC715" s="379"/>
      <c r="AD715" s="379"/>
      <c r="AE715" s="50"/>
      <c r="AF715" s="50"/>
      <c r="AG715" s="156"/>
      <c r="AH715" s="379"/>
      <c r="AI715" s="60"/>
      <c r="AJ715" s="60"/>
      <c r="AK715" s="156"/>
      <c r="AL715" s="379"/>
      <c r="AM715" s="379"/>
      <c r="AN715" s="379"/>
      <c r="AO715" s="60"/>
      <c r="AP715" s="60"/>
      <c r="AR715" s="380"/>
      <c r="AS715" s="380"/>
      <c r="AT715" s="380"/>
      <c r="AU715" s="380"/>
      <c r="AV715" s="380"/>
      <c r="AW715" s="380"/>
      <c r="AX715" s="380"/>
      <c r="AY715" s="380"/>
      <c r="AZ715" s="380"/>
      <c r="BA715" s="380"/>
      <c r="BB715" s="380"/>
      <c r="BC715" s="380"/>
      <c r="BD715" s="380"/>
      <c r="BE715" s="380"/>
      <c r="BF715" s="380"/>
      <c r="BG715" s="380"/>
      <c r="BH715" s="380"/>
      <c r="BI715" s="380"/>
      <c r="BJ715" s="380"/>
      <c r="BK715" s="380"/>
      <c r="BL715" s="380"/>
      <c r="BM715" s="380"/>
      <c r="BN715" s="380"/>
      <c r="BO715" s="380"/>
      <c r="BP715" s="380"/>
      <c r="BQ715" s="380"/>
      <c r="BR715" s="380"/>
      <c r="BS715" s="380"/>
      <c r="BT715" s="380"/>
      <c r="BU715" s="380"/>
      <c r="BV715" s="380"/>
      <c r="BW715" s="380"/>
      <c r="BX715" s="380"/>
      <c r="BY715" s="380"/>
    </row>
    <row r="716" spans="1:77" s="170" customFormat="1" x14ac:dyDescent="0.25">
      <c r="A716" s="53"/>
      <c r="B716" s="380"/>
      <c r="C716" s="54"/>
      <c r="D716" s="380"/>
      <c r="E716" s="380"/>
      <c r="F716" s="379"/>
      <c r="G716" s="380"/>
      <c r="H716" s="379"/>
      <c r="I716" s="379"/>
      <c r="J716" s="65"/>
      <c r="K716" s="65"/>
      <c r="L716" s="379"/>
      <c r="M716" s="379"/>
      <c r="N716" s="50"/>
      <c r="O716" s="50"/>
      <c r="P716" s="379"/>
      <c r="Q716" s="379"/>
      <c r="R716" s="379"/>
      <c r="S716" s="380"/>
      <c r="T716" s="54"/>
      <c r="U716" s="380"/>
      <c r="V716" s="379"/>
      <c r="W716" s="379"/>
      <c r="X716" s="379"/>
      <c r="Y716" s="379"/>
      <c r="Z716" s="379"/>
      <c r="AA716" s="379"/>
      <c r="AB716" s="65"/>
      <c r="AC716" s="379"/>
      <c r="AD716" s="379"/>
      <c r="AE716" s="50"/>
      <c r="AF716" s="50"/>
      <c r="AG716" s="156"/>
      <c r="AH716" s="379"/>
      <c r="AI716" s="60"/>
      <c r="AJ716" s="60"/>
      <c r="AK716" s="156"/>
      <c r="AL716" s="379"/>
      <c r="AM716" s="379"/>
      <c r="AN716" s="379"/>
      <c r="AO716" s="60"/>
      <c r="AP716" s="60"/>
      <c r="AR716" s="380"/>
      <c r="AS716" s="380"/>
      <c r="AT716" s="380"/>
      <c r="AU716" s="380"/>
      <c r="AV716" s="380"/>
      <c r="AW716" s="380"/>
      <c r="AX716" s="380"/>
      <c r="AY716" s="380"/>
      <c r="AZ716" s="380"/>
      <c r="BA716" s="380"/>
      <c r="BB716" s="380"/>
      <c r="BC716" s="380"/>
      <c r="BD716" s="380"/>
      <c r="BE716" s="380"/>
      <c r="BF716" s="380"/>
      <c r="BG716" s="380"/>
      <c r="BH716" s="380"/>
      <c r="BI716" s="380"/>
      <c r="BJ716" s="380"/>
      <c r="BK716" s="380"/>
      <c r="BL716" s="380"/>
      <c r="BM716" s="380"/>
      <c r="BN716" s="380"/>
      <c r="BO716" s="380"/>
      <c r="BP716" s="380"/>
      <c r="BQ716" s="380"/>
      <c r="BR716" s="380"/>
      <c r="BS716" s="380"/>
      <c r="BT716" s="380"/>
      <c r="BU716" s="380"/>
      <c r="BV716" s="380"/>
      <c r="BW716" s="380"/>
      <c r="BX716" s="380"/>
      <c r="BY716" s="380"/>
    </row>
    <row r="717" spans="1:77" s="170" customFormat="1" x14ac:dyDescent="0.25">
      <c r="A717" s="380"/>
      <c r="B717" s="380"/>
      <c r="C717" s="380"/>
      <c r="D717" s="380"/>
      <c r="E717" s="380"/>
      <c r="F717" s="379"/>
      <c r="G717" s="380"/>
      <c r="H717" s="379"/>
      <c r="I717" s="379"/>
      <c r="J717" s="65"/>
      <c r="K717" s="65"/>
      <c r="L717" s="380"/>
      <c r="M717" s="380"/>
      <c r="N717" s="380"/>
      <c r="O717" s="380"/>
      <c r="P717" s="380"/>
      <c r="Q717" s="380"/>
      <c r="R717" s="380"/>
      <c r="S717" s="380"/>
      <c r="T717" s="380"/>
      <c r="U717" s="380"/>
      <c r="V717" s="380"/>
      <c r="W717" s="380"/>
      <c r="X717" s="380"/>
      <c r="Y717" s="380"/>
      <c r="Z717" s="380"/>
      <c r="AA717" s="380"/>
      <c r="AB717" s="65"/>
      <c r="AC717" s="380"/>
      <c r="AD717" s="380"/>
      <c r="AE717" s="380"/>
      <c r="AF717" s="380"/>
      <c r="AG717" s="153"/>
      <c r="AH717" s="380"/>
      <c r="AI717" s="380"/>
      <c r="AJ717" s="380"/>
      <c r="AK717" s="153"/>
      <c r="AL717" s="380"/>
      <c r="AM717" s="380"/>
      <c r="AN717" s="380"/>
      <c r="AO717" s="380"/>
      <c r="AP717" s="380"/>
      <c r="AR717" s="380"/>
      <c r="AS717" s="380"/>
      <c r="AT717" s="380"/>
      <c r="AU717" s="380"/>
      <c r="AV717" s="380"/>
      <c r="AW717" s="380"/>
      <c r="AX717" s="380"/>
      <c r="AY717" s="380"/>
      <c r="AZ717" s="380"/>
      <c r="BA717" s="380"/>
      <c r="BB717" s="380"/>
      <c r="BC717" s="380"/>
      <c r="BD717" s="380"/>
      <c r="BE717" s="380"/>
      <c r="BF717" s="380"/>
      <c r="BG717" s="380"/>
      <c r="BH717" s="380"/>
      <c r="BI717" s="380"/>
      <c r="BJ717" s="380"/>
      <c r="BK717" s="380"/>
      <c r="BL717" s="380"/>
      <c r="BM717" s="380"/>
      <c r="BN717" s="380"/>
      <c r="BO717" s="380"/>
      <c r="BP717" s="380"/>
      <c r="BQ717" s="380"/>
      <c r="BR717" s="380"/>
      <c r="BS717" s="380"/>
      <c r="BT717" s="380"/>
      <c r="BU717" s="380"/>
      <c r="BV717" s="380"/>
      <c r="BW717" s="380"/>
      <c r="BX717" s="380"/>
      <c r="BY717" s="380"/>
    </row>
    <row r="718" spans="1:77" s="170" customFormat="1" x14ac:dyDescent="0.25">
      <c r="A718" s="53"/>
      <c r="B718" s="380"/>
      <c r="C718" s="54"/>
      <c r="D718" s="380"/>
      <c r="E718" s="380"/>
      <c r="F718" s="379"/>
      <c r="G718" s="380"/>
      <c r="H718" s="449"/>
      <c r="I718" s="449"/>
      <c r="J718" s="221"/>
      <c r="K718" s="221"/>
      <c r="L718" s="379"/>
      <c r="M718" s="379"/>
      <c r="N718" s="50"/>
      <c r="O718" s="50"/>
      <c r="P718" s="379"/>
      <c r="Q718" s="379"/>
      <c r="R718" s="379"/>
      <c r="S718" s="380"/>
      <c r="T718" s="54"/>
      <c r="U718" s="380"/>
      <c r="V718" s="379"/>
      <c r="W718" s="379"/>
      <c r="X718" s="379"/>
      <c r="Y718" s="379"/>
      <c r="Z718" s="379"/>
      <c r="AA718" s="379"/>
      <c r="AB718" s="221"/>
      <c r="AC718" s="379"/>
      <c r="AD718" s="379"/>
      <c r="AE718" s="50"/>
      <c r="AF718" s="50"/>
      <c r="AG718" s="156"/>
      <c r="AH718" s="379"/>
      <c r="AI718" s="60"/>
      <c r="AJ718" s="60"/>
      <c r="AK718" s="156"/>
      <c r="AL718" s="379"/>
      <c r="AM718" s="379"/>
      <c r="AN718" s="379"/>
      <c r="AO718" s="60"/>
      <c r="AP718" s="60"/>
      <c r="AR718" s="380"/>
      <c r="AS718" s="380"/>
      <c r="AT718" s="380"/>
      <c r="AU718" s="380"/>
      <c r="AV718" s="380"/>
      <c r="AW718" s="380"/>
      <c r="AX718" s="380"/>
      <c r="AY718" s="380"/>
      <c r="AZ718" s="380"/>
      <c r="BA718" s="380"/>
      <c r="BB718" s="380"/>
      <c r="BC718" s="380"/>
      <c r="BD718" s="380"/>
      <c r="BE718" s="380"/>
      <c r="BF718" s="380"/>
      <c r="BG718" s="380"/>
      <c r="BH718" s="380"/>
      <c r="BI718" s="380"/>
      <c r="BJ718" s="380"/>
      <c r="BK718" s="380"/>
      <c r="BL718" s="380"/>
      <c r="BM718" s="380"/>
      <c r="BN718" s="380"/>
      <c r="BO718" s="380"/>
      <c r="BP718" s="380"/>
      <c r="BQ718" s="380"/>
      <c r="BR718" s="380"/>
      <c r="BS718" s="380"/>
      <c r="BT718" s="380"/>
      <c r="BU718" s="380"/>
      <c r="BV718" s="380"/>
      <c r="BW718" s="380"/>
      <c r="BX718" s="380"/>
      <c r="BY718" s="380"/>
    </row>
    <row r="719" spans="1:77" s="170" customFormat="1" x14ac:dyDescent="0.25">
      <c r="A719" s="380"/>
      <c r="B719" s="380"/>
      <c r="C719" s="380"/>
      <c r="D719" s="380"/>
      <c r="E719" s="380"/>
      <c r="F719" s="381"/>
      <c r="G719" s="380"/>
      <c r="H719" s="381"/>
      <c r="I719" s="381"/>
      <c r="J719" s="221"/>
      <c r="K719" s="221"/>
      <c r="L719" s="381"/>
      <c r="M719" s="381"/>
      <c r="N719" s="381"/>
      <c r="O719" s="381"/>
      <c r="P719" s="381"/>
      <c r="Q719" s="381"/>
      <c r="R719" s="381"/>
      <c r="S719" s="380"/>
      <c r="T719" s="380"/>
      <c r="U719" s="380"/>
      <c r="V719" s="381"/>
      <c r="W719" s="380"/>
      <c r="X719" s="380"/>
      <c r="Y719" s="380"/>
      <c r="Z719" s="380"/>
      <c r="AA719" s="381"/>
      <c r="AB719" s="221"/>
      <c r="AC719" s="381"/>
      <c r="AD719" s="381"/>
      <c r="AE719" s="381"/>
      <c r="AF719" s="381"/>
      <c r="AG719" s="162"/>
      <c r="AH719" s="381"/>
      <c r="AI719" s="380"/>
      <c r="AJ719" s="380"/>
      <c r="AK719" s="162"/>
      <c r="AL719" s="381"/>
      <c r="AM719" s="381"/>
      <c r="AN719" s="381"/>
      <c r="AO719" s="380"/>
      <c r="AP719" s="380"/>
      <c r="AR719" s="380"/>
      <c r="AS719" s="380"/>
      <c r="AT719" s="380"/>
      <c r="AU719" s="380"/>
      <c r="AV719" s="380"/>
      <c r="AW719" s="380"/>
      <c r="AX719" s="380"/>
      <c r="AY719" s="380"/>
      <c r="AZ719" s="380"/>
      <c r="BA719" s="380"/>
      <c r="BB719" s="380"/>
      <c r="BC719" s="380"/>
      <c r="BD719" s="380"/>
      <c r="BE719" s="380"/>
      <c r="BF719" s="380"/>
      <c r="BG719" s="380"/>
      <c r="BH719" s="380"/>
      <c r="BI719" s="380"/>
      <c r="BJ719" s="380"/>
      <c r="BK719" s="380"/>
      <c r="BL719" s="380"/>
      <c r="BM719" s="380"/>
      <c r="BN719" s="380"/>
      <c r="BO719" s="380"/>
      <c r="BP719" s="380"/>
      <c r="BQ719" s="380"/>
      <c r="BR719" s="380"/>
      <c r="BS719" s="380"/>
      <c r="BT719" s="380"/>
      <c r="BU719" s="380"/>
      <c r="BV719" s="380"/>
      <c r="BW719" s="380"/>
      <c r="BX719" s="380"/>
      <c r="BY719" s="380"/>
    </row>
    <row r="720" spans="1:77" s="170" customFormat="1" x14ac:dyDescent="0.25">
      <c r="A720" s="53"/>
      <c r="B720" s="380"/>
      <c r="C720" s="54"/>
      <c r="D720" s="380"/>
      <c r="E720" s="380"/>
      <c r="F720" s="379"/>
      <c r="G720" s="380"/>
      <c r="H720" s="379"/>
      <c r="I720" s="379"/>
      <c r="J720" s="65"/>
      <c r="K720" s="65"/>
      <c r="L720" s="379"/>
      <c r="M720" s="379"/>
      <c r="N720" s="53"/>
      <c r="O720" s="53"/>
      <c r="P720" s="379"/>
      <c r="Q720" s="379"/>
      <c r="R720" s="379"/>
      <c r="S720" s="380"/>
      <c r="T720" s="54"/>
      <c r="U720" s="380"/>
      <c r="V720" s="379"/>
      <c r="W720" s="380"/>
      <c r="X720" s="380"/>
      <c r="Y720" s="380"/>
      <c r="Z720" s="380"/>
      <c r="AA720" s="379"/>
      <c r="AB720" s="65"/>
      <c r="AC720" s="379"/>
      <c r="AD720" s="379"/>
      <c r="AE720" s="60"/>
      <c r="AF720" s="60"/>
      <c r="AG720" s="156"/>
      <c r="AH720" s="379"/>
      <c r="AI720" s="60"/>
      <c r="AJ720" s="60"/>
      <c r="AK720" s="156"/>
      <c r="AL720" s="379"/>
      <c r="AM720" s="379"/>
      <c r="AN720" s="379"/>
      <c r="AO720" s="60"/>
      <c r="AP720" s="60"/>
      <c r="AR720" s="380"/>
      <c r="AS720" s="380"/>
      <c r="AT720" s="380"/>
      <c r="AU720" s="380"/>
      <c r="AV720" s="380"/>
      <c r="AW720" s="380"/>
      <c r="AX720" s="380"/>
      <c r="AY720" s="380"/>
      <c r="AZ720" s="380"/>
      <c r="BA720" s="380"/>
      <c r="BB720" s="380"/>
      <c r="BC720" s="380"/>
      <c r="BD720" s="380"/>
      <c r="BE720" s="380"/>
      <c r="BF720" s="380"/>
      <c r="BG720" s="380"/>
      <c r="BH720" s="380"/>
      <c r="BI720" s="380"/>
      <c r="BJ720" s="380"/>
      <c r="BK720" s="380"/>
      <c r="BL720" s="380"/>
      <c r="BM720" s="380"/>
      <c r="BN720" s="380"/>
      <c r="BO720" s="380"/>
      <c r="BP720" s="380"/>
      <c r="BQ720" s="380"/>
      <c r="BR720" s="380"/>
      <c r="BS720" s="380"/>
      <c r="BT720" s="380"/>
      <c r="BU720" s="380"/>
      <c r="BV720" s="380"/>
      <c r="BW720" s="380"/>
      <c r="BX720" s="380"/>
      <c r="BY720" s="380"/>
    </row>
    <row r="721" spans="1:77" s="170" customFormat="1" x14ac:dyDescent="0.25">
      <c r="A721" s="380"/>
      <c r="B721" s="380"/>
      <c r="C721" s="380"/>
      <c r="D721" s="380"/>
      <c r="E721" s="380"/>
      <c r="F721" s="381"/>
      <c r="G721" s="380"/>
      <c r="H721" s="381"/>
      <c r="I721" s="381"/>
      <c r="J721" s="221"/>
      <c r="K721" s="221"/>
      <c r="L721" s="381"/>
      <c r="M721" s="381"/>
      <c r="N721" s="381"/>
      <c r="O721" s="381"/>
      <c r="P721" s="381"/>
      <c r="Q721" s="381"/>
      <c r="R721" s="381"/>
      <c r="S721" s="380"/>
      <c r="T721" s="380"/>
      <c r="U721" s="380"/>
      <c r="V721" s="381"/>
      <c r="W721" s="380"/>
      <c r="X721" s="380"/>
      <c r="Y721" s="380"/>
      <c r="Z721" s="380"/>
      <c r="AA721" s="381"/>
      <c r="AB721" s="221"/>
      <c r="AC721" s="381"/>
      <c r="AD721" s="381"/>
      <c r="AE721" s="381"/>
      <c r="AF721" s="381"/>
      <c r="AG721" s="162"/>
      <c r="AH721" s="381"/>
      <c r="AI721" s="380"/>
      <c r="AJ721" s="380"/>
      <c r="AK721" s="162"/>
      <c r="AL721" s="381"/>
      <c r="AM721" s="381"/>
      <c r="AN721" s="381"/>
      <c r="AO721" s="380"/>
      <c r="AP721" s="380"/>
      <c r="AR721" s="380"/>
      <c r="AS721" s="380"/>
      <c r="AT721" s="380"/>
      <c r="AU721" s="380"/>
      <c r="AV721" s="380"/>
      <c r="AW721" s="380"/>
      <c r="AX721" s="380"/>
      <c r="AY721" s="380"/>
      <c r="AZ721" s="380"/>
      <c r="BA721" s="380"/>
      <c r="BB721" s="380"/>
      <c r="BC721" s="380"/>
      <c r="BD721" s="380"/>
      <c r="BE721" s="380"/>
      <c r="BF721" s="380"/>
      <c r="BG721" s="380"/>
      <c r="BH721" s="380"/>
      <c r="BI721" s="380"/>
      <c r="BJ721" s="380"/>
      <c r="BK721" s="380"/>
      <c r="BL721" s="380"/>
      <c r="BM721" s="380"/>
      <c r="BN721" s="380"/>
      <c r="BO721" s="380"/>
      <c r="BP721" s="380"/>
      <c r="BQ721" s="380"/>
      <c r="BR721" s="380"/>
      <c r="BS721" s="380"/>
      <c r="BT721" s="380"/>
      <c r="BU721" s="380"/>
      <c r="BV721" s="380"/>
      <c r="BW721" s="380"/>
      <c r="BX721" s="380"/>
      <c r="BY721" s="380"/>
    </row>
    <row r="722" spans="1:77" s="170" customFormat="1" x14ac:dyDescent="0.25">
      <c r="A722" s="380"/>
      <c r="B722" s="380"/>
      <c r="C722" s="380"/>
      <c r="D722" s="380"/>
      <c r="E722" s="380"/>
      <c r="F722" s="380"/>
      <c r="G722" s="380"/>
      <c r="H722" s="380"/>
      <c r="I722" s="380"/>
      <c r="J722" s="65"/>
      <c r="K722" s="65"/>
      <c r="L722" s="380"/>
      <c r="M722" s="380"/>
      <c r="N722" s="380"/>
      <c r="O722" s="380"/>
      <c r="P722" s="380"/>
      <c r="Q722" s="380"/>
      <c r="R722" s="380"/>
      <c r="S722" s="380"/>
      <c r="T722" s="380"/>
      <c r="U722" s="380"/>
      <c r="V722" s="380"/>
      <c r="W722" s="380"/>
      <c r="X722" s="380"/>
      <c r="Y722" s="380"/>
      <c r="Z722" s="380"/>
      <c r="AA722" s="380"/>
      <c r="AB722" s="65"/>
      <c r="AC722" s="380"/>
      <c r="AD722" s="380"/>
      <c r="AE722" s="380"/>
      <c r="AF722" s="380"/>
      <c r="AG722" s="153"/>
      <c r="AH722" s="380"/>
      <c r="AI722" s="380"/>
      <c r="AJ722" s="380"/>
      <c r="AK722" s="153"/>
      <c r="AL722" s="380"/>
      <c r="AM722" s="380"/>
      <c r="AN722" s="380"/>
      <c r="AO722" s="380"/>
      <c r="AP722" s="380"/>
      <c r="AR722" s="380"/>
      <c r="AS722" s="380"/>
      <c r="AT722" s="380"/>
      <c r="AU722" s="380"/>
      <c r="AV722" s="380"/>
      <c r="AW722" s="380"/>
      <c r="AX722" s="380"/>
      <c r="AY722" s="380"/>
      <c r="AZ722" s="380"/>
      <c r="BA722" s="380"/>
      <c r="BB722" s="380"/>
      <c r="BC722" s="380"/>
      <c r="BD722" s="380"/>
      <c r="BE722" s="380"/>
      <c r="BF722" s="380"/>
      <c r="BG722" s="380"/>
      <c r="BH722" s="380"/>
      <c r="BI722" s="380"/>
      <c r="BJ722" s="380"/>
      <c r="BK722" s="380"/>
      <c r="BL722" s="380"/>
      <c r="BM722" s="380"/>
      <c r="BN722" s="380"/>
      <c r="BO722" s="380"/>
      <c r="BP722" s="380"/>
      <c r="BQ722" s="380"/>
      <c r="BR722" s="380"/>
      <c r="BS722" s="380"/>
      <c r="BT722" s="380"/>
      <c r="BU722" s="380"/>
      <c r="BV722" s="380"/>
      <c r="BW722" s="380"/>
      <c r="BX722" s="380"/>
      <c r="BY722" s="380"/>
    </row>
    <row r="723" spans="1:77" s="170" customFormat="1" x14ac:dyDescent="0.25">
      <c r="A723" s="53"/>
      <c r="B723" s="380"/>
      <c r="C723" s="54"/>
      <c r="D723" s="380"/>
      <c r="E723" s="380"/>
      <c r="F723" s="380"/>
      <c r="G723" s="380"/>
      <c r="H723" s="380"/>
      <c r="I723" s="380"/>
      <c r="J723" s="65"/>
      <c r="K723" s="65"/>
      <c r="L723" s="380"/>
      <c r="M723" s="380"/>
      <c r="N723" s="380"/>
      <c r="O723" s="380"/>
      <c r="P723" s="380"/>
      <c r="Q723" s="380"/>
      <c r="R723" s="380"/>
      <c r="S723" s="380"/>
      <c r="T723" s="54"/>
      <c r="U723" s="380"/>
      <c r="V723" s="380"/>
      <c r="W723" s="380"/>
      <c r="X723" s="380"/>
      <c r="Y723" s="380"/>
      <c r="Z723" s="380"/>
      <c r="AA723" s="380"/>
      <c r="AB723" s="65"/>
      <c r="AC723" s="380"/>
      <c r="AD723" s="380"/>
      <c r="AE723" s="380"/>
      <c r="AF723" s="380"/>
      <c r="AG723" s="153"/>
      <c r="AH723" s="380"/>
      <c r="AI723" s="380"/>
      <c r="AJ723" s="380"/>
      <c r="AK723" s="153"/>
      <c r="AL723" s="380"/>
      <c r="AM723" s="380"/>
      <c r="AN723" s="380"/>
      <c r="AO723" s="380"/>
      <c r="AP723" s="380"/>
      <c r="AR723" s="380"/>
      <c r="AS723" s="380"/>
      <c r="AT723" s="380"/>
      <c r="AU723" s="380"/>
      <c r="AV723" s="380"/>
      <c r="AW723" s="380"/>
      <c r="AX723" s="380"/>
      <c r="AY723" s="380"/>
      <c r="AZ723" s="380"/>
      <c r="BA723" s="380"/>
      <c r="BB723" s="380"/>
      <c r="BC723" s="380"/>
      <c r="BD723" s="380"/>
      <c r="BE723" s="380"/>
      <c r="BF723" s="380"/>
      <c r="BG723" s="380"/>
      <c r="BH723" s="380"/>
      <c r="BI723" s="380"/>
      <c r="BJ723" s="380"/>
      <c r="BK723" s="380"/>
      <c r="BL723" s="380"/>
      <c r="BM723" s="380"/>
      <c r="BN723" s="380"/>
      <c r="BO723" s="380"/>
      <c r="BP723" s="380"/>
      <c r="BQ723" s="380"/>
      <c r="BR723" s="380"/>
      <c r="BS723" s="380"/>
      <c r="BT723" s="380"/>
      <c r="BU723" s="380"/>
      <c r="BV723" s="380"/>
      <c r="BW723" s="380"/>
      <c r="BX723" s="380"/>
      <c r="BY723" s="380"/>
    </row>
    <row r="724" spans="1:77" s="170" customFormat="1" x14ac:dyDescent="0.25">
      <c r="A724" s="53"/>
      <c r="B724" s="380"/>
      <c r="C724" s="54"/>
      <c r="D724" s="380"/>
      <c r="E724" s="380"/>
      <c r="F724" s="380"/>
      <c r="G724" s="380"/>
      <c r="H724" s="380"/>
      <c r="I724" s="380"/>
      <c r="J724" s="65"/>
      <c r="K724" s="65"/>
      <c r="L724" s="380"/>
      <c r="M724" s="380"/>
      <c r="N724" s="380"/>
      <c r="O724" s="380"/>
      <c r="P724" s="380"/>
      <c r="Q724" s="380"/>
      <c r="R724" s="380"/>
      <c r="S724" s="380"/>
      <c r="T724" s="54"/>
      <c r="U724" s="380"/>
      <c r="V724" s="380"/>
      <c r="W724" s="380"/>
      <c r="X724" s="380"/>
      <c r="Y724" s="380"/>
      <c r="Z724" s="380"/>
      <c r="AA724" s="380"/>
      <c r="AB724" s="65"/>
      <c r="AC724" s="380"/>
      <c r="AD724" s="380"/>
      <c r="AE724" s="380"/>
      <c r="AF724" s="380"/>
      <c r="AG724" s="153"/>
      <c r="AH724" s="380"/>
      <c r="AI724" s="380"/>
      <c r="AJ724" s="380"/>
      <c r="AK724" s="153"/>
      <c r="AL724" s="380"/>
      <c r="AM724" s="380"/>
      <c r="AN724" s="380"/>
      <c r="AO724" s="380"/>
      <c r="AP724" s="380"/>
      <c r="AR724" s="380"/>
      <c r="AS724" s="380"/>
      <c r="AT724" s="380"/>
      <c r="AU724" s="380"/>
      <c r="AV724" s="380"/>
      <c r="AW724" s="380"/>
      <c r="AX724" s="380"/>
      <c r="AY724" s="380"/>
      <c r="AZ724" s="380"/>
      <c r="BA724" s="380"/>
      <c r="BB724" s="380"/>
      <c r="BC724" s="380"/>
      <c r="BD724" s="380"/>
      <c r="BE724" s="380"/>
      <c r="BF724" s="380"/>
      <c r="BG724" s="380"/>
      <c r="BH724" s="380"/>
      <c r="BI724" s="380"/>
      <c r="BJ724" s="380"/>
      <c r="BK724" s="380"/>
      <c r="BL724" s="380"/>
      <c r="BM724" s="380"/>
      <c r="BN724" s="380"/>
      <c r="BO724" s="380"/>
      <c r="BP724" s="380"/>
      <c r="BQ724" s="380"/>
      <c r="BR724" s="380"/>
      <c r="BS724" s="380"/>
      <c r="BT724" s="380"/>
      <c r="BU724" s="380"/>
      <c r="BV724" s="380"/>
      <c r="BW724" s="380"/>
      <c r="BX724" s="380"/>
      <c r="BY724" s="380"/>
    </row>
    <row r="725" spans="1:77" s="170" customFormat="1" x14ac:dyDescent="0.25">
      <c r="A725" s="53"/>
      <c r="B725" s="380"/>
      <c r="C725" s="54"/>
      <c r="D725" s="380"/>
      <c r="E725" s="380"/>
      <c r="F725" s="449"/>
      <c r="G725" s="380"/>
      <c r="H725" s="449"/>
      <c r="I725" s="449"/>
      <c r="J725" s="221"/>
      <c r="K725" s="221"/>
      <c r="L725" s="379"/>
      <c r="M725" s="379"/>
      <c r="N725" s="50"/>
      <c r="O725" s="50"/>
      <c r="P725" s="379"/>
      <c r="Q725" s="379"/>
      <c r="R725" s="379"/>
      <c r="S725" s="380"/>
      <c r="T725" s="54"/>
      <c r="U725" s="380"/>
      <c r="V725" s="379"/>
      <c r="W725" s="379"/>
      <c r="X725" s="379"/>
      <c r="Y725" s="379"/>
      <c r="Z725" s="379"/>
      <c r="AA725" s="379"/>
      <c r="AB725" s="221"/>
      <c r="AC725" s="379"/>
      <c r="AD725" s="379"/>
      <c r="AE725" s="50"/>
      <c r="AF725" s="50"/>
      <c r="AG725" s="156"/>
      <c r="AH725" s="379"/>
      <c r="AI725" s="60"/>
      <c r="AJ725" s="60"/>
      <c r="AK725" s="156"/>
      <c r="AL725" s="379"/>
      <c r="AM725" s="379"/>
      <c r="AN725" s="379"/>
      <c r="AO725" s="60"/>
      <c r="AP725" s="60"/>
      <c r="AR725" s="380"/>
      <c r="AS725" s="380"/>
      <c r="AT725" s="380"/>
      <c r="AU725" s="380"/>
      <c r="AV725" s="380"/>
      <c r="AW725" s="380"/>
      <c r="AX725" s="380"/>
      <c r="AY725" s="380"/>
      <c r="AZ725" s="380"/>
      <c r="BA725" s="380"/>
      <c r="BB725" s="380"/>
      <c r="BC725" s="380"/>
      <c r="BD725" s="380"/>
      <c r="BE725" s="380"/>
      <c r="BF725" s="380"/>
      <c r="BG725" s="380"/>
      <c r="BH725" s="380"/>
      <c r="BI725" s="380"/>
      <c r="BJ725" s="380"/>
      <c r="BK725" s="380"/>
      <c r="BL725" s="380"/>
      <c r="BM725" s="380"/>
      <c r="BN725" s="380"/>
      <c r="BO725" s="380"/>
      <c r="BP725" s="380"/>
      <c r="BQ725" s="380"/>
      <c r="BR725" s="380"/>
      <c r="BS725" s="380"/>
      <c r="BT725" s="380"/>
      <c r="BU725" s="380"/>
      <c r="BV725" s="380"/>
      <c r="BW725" s="380"/>
      <c r="BX725" s="380"/>
      <c r="BY725" s="380"/>
    </row>
    <row r="726" spans="1:77" s="170" customFormat="1" x14ac:dyDescent="0.25">
      <c r="A726" s="53"/>
      <c r="B726" s="380"/>
      <c r="C726" s="54"/>
      <c r="D726" s="380"/>
      <c r="E726" s="380"/>
      <c r="F726" s="380"/>
      <c r="G726" s="380"/>
      <c r="H726" s="380"/>
      <c r="I726" s="380"/>
      <c r="J726" s="65"/>
      <c r="K726" s="65"/>
      <c r="L726" s="380"/>
      <c r="M726" s="380"/>
      <c r="N726" s="380"/>
      <c r="O726" s="380"/>
      <c r="P726" s="380"/>
      <c r="Q726" s="380"/>
      <c r="R726" s="380"/>
      <c r="S726" s="380"/>
      <c r="T726" s="54"/>
      <c r="U726" s="380"/>
      <c r="V726" s="380"/>
      <c r="W726" s="380"/>
      <c r="X726" s="380"/>
      <c r="Y726" s="380"/>
      <c r="Z726" s="380"/>
      <c r="AA726" s="380"/>
      <c r="AB726" s="65"/>
      <c r="AC726" s="380"/>
      <c r="AD726" s="380"/>
      <c r="AE726" s="380"/>
      <c r="AF726" s="380"/>
      <c r="AG726" s="153"/>
      <c r="AH726" s="380"/>
      <c r="AI726" s="380"/>
      <c r="AJ726" s="380"/>
      <c r="AK726" s="153"/>
      <c r="AL726" s="380"/>
      <c r="AM726" s="380"/>
      <c r="AN726" s="380"/>
      <c r="AO726" s="380"/>
      <c r="AP726" s="380"/>
      <c r="AR726" s="380"/>
      <c r="AS726" s="380"/>
      <c r="AT726" s="380"/>
      <c r="AU726" s="380"/>
      <c r="AV726" s="380"/>
      <c r="AW726" s="380"/>
      <c r="AX726" s="380"/>
      <c r="AY726" s="380"/>
      <c r="AZ726" s="380"/>
      <c r="BA726" s="380"/>
      <c r="BB726" s="380"/>
      <c r="BC726" s="380"/>
      <c r="BD726" s="380"/>
      <c r="BE726" s="380"/>
      <c r="BF726" s="380"/>
      <c r="BG726" s="380"/>
      <c r="BH726" s="380"/>
      <c r="BI726" s="380"/>
      <c r="BJ726" s="380"/>
      <c r="BK726" s="380"/>
      <c r="BL726" s="380"/>
      <c r="BM726" s="380"/>
      <c r="BN726" s="380"/>
      <c r="BO726" s="380"/>
      <c r="BP726" s="380"/>
      <c r="BQ726" s="380"/>
      <c r="BR726" s="380"/>
      <c r="BS726" s="380"/>
      <c r="BT726" s="380"/>
      <c r="BU726" s="380"/>
      <c r="BV726" s="380"/>
      <c r="BW726" s="380"/>
      <c r="BX726" s="380"/>
      <c r="BY726" s="380"/>
    </row>
    <row r="727" spans="1:77" s="170" customFormat="1" x14ac:dyDescent="0.25">
      <c r="A727" s="53"/>
      <c r="B727" s="380"/>
      <c r="C727" s="54"/>
      <c r="D727" s="380"/>
      <c r="E727" s="380"/>
      <c r="F727" s="449"/>
      <c r="G727" s="380"/>
      <c r="H727" s="449"/>
      <c r="I727" s="449"/>
      <c r="J727" s="221"/>
      <c r="K727" s="221"/>
      <c r="L727" s="379"/>
      <c r="M727" s="379"/>
      <c r="N727" s="50"/>
      <c r="O727" s="50"/>
      <c r="P727" s="379"/>
      <c r="Q727" s="379"/>
      <c r="R727" s="379"/>
      <c r="S727" s="380"/>
      <c r="T727" s="54"/>
      <c r="U727" s="380"/>
      <c r="V727" s="379"/>
      <c r="W727" s="379"/>
      <c r="X727" s="379"/>
      <c r="Y727" s="379"/>
      <c r="Z727" s="379"/>
      <c r="AA727" s="379"/>
      <c r="AB727" s="221"/>
      <c r="AC727" s="379"/>
      <c r="AD727" s="379"/>
      <c r="AE727" s="50"/>
      <c r="AF727" s="50"/>
      <c r="AG727" s="156"/>
      <c r="AH727" s="379"/>
      <c r="AI727" s="60"/>
      <c r="AJ727" s="60"/>
      <c r="AK727" s="156"/>
      <c r="AL727" s="379"/>
      <c r="AM727" s="379"/>
      <c r="AN727" s="379"/>
      <c r="AO727" s="60"/>
      <c r="AP727" s="60"/>
      <c r="AR727" s="380"/>
      <c r="AS727" s="380"/>
      <c r="AT727" s="380"/>
      <c r="AU727" s="380"/>
      <c r="AV727" s="380"/>
      <c r="AW727" s="380"/>
      <c r="AX727" s="380"/>
      <c r="AY727" s="380"/>
      <c r="AZ727" s="380"/>
      <c r="BA727" s="380"/>
      <c r="BB727" s="380"/>
      <c r="BC727" s="380"/>
      <c r="BD727" s="380"/>
      <c r="BE727" s="380"/>
      <c r="BF727" s="380"/>
      <c r="BG727" s="380"/>
      <c r="BH727" s="380"/>
      <c r="BI727" s="380"/>
      <c r="BJ727" s="380"/>
      <c r="BK727" s="380"/>
      <c r="BL727" s="380"/>
      <c r="BM727" s="380"/>
      <c r="BN727" s="380"/>
      <c r="BO727" s="380"/>
      <c r="BP727" s="380"/>
      <c r="BQ727" s="380"/>
      <c r="BR727" s="380"/>
      <c r="BS727" s="380"/>
      <c r="BT727" s="380"/>
      <c r="BU727" s="380"/>
      <c r="BV727" s="380"/>
      <c r="BW727" s="380"/>
      <c r="BX727" s="380"/>
      <c r="BY727" s="380"/>
    </row>
    <row r="728" spans="1:77" s="170" customFormat="1" x14ac:dyDescent="0.25">
      <c r="A728" s="380"/>
      <c r="B728" s="380"/>
      <c r="C728" s="380"/>
      <c r="D728" s="380"/>
      <c r="E728" s="380"/>
      <c r="F728" s="381"/>
      <c r="G728" s="380"/>
      <c r="H728" s="381"/>
      <c r="I728" s="381"/>
      <c r="J728" s="221"/>
      <c r="K728" s="221"/>
      <c r="L728" s="381"/>
      <c r="M728" s="381"/>
      <c r="N728" s="381"/>
      <c r="O728" s="381"/>
      <c r="P728" s="381"/>
      <c r="Q728" s="381"/>
      <c r="R728" s="381"/>
      <c r="S728" s="380"/>
      <c r="T728" s="380"/>
      <c r="U728" s="380"/>
      <c r="V728" s="381"/>
      <c r="W728" s="380"/>
      <c r="X728" s="380"/>
      <c r="Y728" s="380"/>
      <c r="Z728" s="380"/>
      <c r="AA728" s="381"/>
      <c r="AB728" s="221"/>
      <c r="AC728" s="381"/>
      <c r="AD728" s="381"/>
      <c r="AE728" s="381"/>
      <c r="AF728" s="381"/>
      <c r="AG728" s="162"/>
      <c r="AH728" s="381"/>
      <c r="AI728" s="380"/>
      <c r="AJ728" s="380"/>
      <c r="AK728" s="162"/>
      <c r="AL728" s="381"/>
      <c r="AM728" s="381"/>
      <c r="AN728" s="381"/>
      <c r="AO728" s="380"/>
      <c r="AP728" s="380"/>
      <c r="AR728" s="380"/>
      <c r="AS728" s="380"/>
      <c r="AT728" s="380"/>
      <c r="AU728" s="380"/>
      <c r="AV728" s="380"/>
      <c r="AW728" s="380"/>
      <c r="AX728" s="380"/>
      <c r="AY728" s="380"/>
      <c r="AZ728" s="380"/>
      <c r="BA728" s="380"/>
      <c r="BB728" s="380"/>
      <c r="BC728" s="380"/>
      <c r="BD728" s="380"/>
      <c r="BE728" s="380"/>
      <c r="BF728" s="380"/>
      <c r="BG728" s="380"/>
      <c r="BH728" s="380"/>
      <c r="BI728" s="380"/>
      <c r="BJ728" s="380"/>
      <c r="BK728" s="380"/>
      <c r="BL728" s="380"/>
      <c r="BM728" s="380"/>
      <c r="BN728" s="380"/>
      <c r="BO728" s="380"/>
      <c r="BP728" s="380"/>
      <c r="BQ728" s="380"/>
      <c r="BR728" s="380"/>
      <c r="BS728" s="380"/>
      <c r="BT728" s="380"/>
      <c r="BU728" s="380"/>
      <c r="BV728" s="380"/>
      <c r="BW728" s="380"/>
      <c r="BX728" s="380"/>
      <c r="BY728" s="380"/>
    </row>
    <row r="729" spans="1:77" s="170" customFormat="1" x14ac:dyDescent="0.25">
      <c r="A729" s="53"/>
      <c r="B729" s="380"/>
      <c r="C729" s="54"/>
      <c r="D729" s="380"/>
      <c r="E729" s="380"/>
      <c r="F729" s="379"/>
      <c r="G729" s="380"/>
      <c r="H729" s="379"/>
      <c r="I729" s="379"/>
      <c r="J729" s="65"/>
      <c r="K729" s="65"/>
      <c r="L729" s="379"/>
      <c r="M729" s="379"/>
      <c r="N729" s="60"/>
      <c r="O729" s="60"/>
      <c r="P729" s="379"/>
      <c r="Q729" s="379"/>
      <c r="R729" s="379"/>
      <c r="S729" s="380"/>
      <c r="T729" s="54"/>
      <c r="U729" s="380"/>
      <c r="V729" s="379"/>
      <c r="W729" s="380"/>
      <c r="X729" s="380"/>
      <c r="Y729" s="380"/>
      <c r="Z729" s="380"/>
      <c r="AA729" s="379"/>
      <c r="AB729" s="65"/>
      <c r="AC729" s="379"/>
      <c r="AD729" s="379"/>
      <c r="AE729" s="60"/>
      <c r="AF729" s="60"/>
      <c r="AG729" s="156"/>
      <c r="AH729" s="379"/>
      <c r="AI729" s="60"/>
      <c r="AJ729" s="60"/>
      <c r="AK729" s="156"/>
      <c r="AL729" s="379"/>
      <c r="AM729" s="379"/>
      <c r="AN729" s="379"/>
      <c r="AO729" s="60"/>
      <c r="AP729" s="60"/>
      <c r="AR729" s="380"/>
      <c r="AS729" s="380"/>
      <c r="AT729" s="380"/>
      <c r="AU729" s="380"/>
      <c r="AV729" s="380"/>
      <c r="AW729" s="380"/>
      <c r="AX729" s="380"/>
      <c r="AY729" s="380"/>
      <c r="AZ729" s="380"/>
      <c r="BA729" s="380"/>
      <c r="BB729" s="380"/>
      <c r="BC729" s="380"/>
      <c r="BD729" s="380"/>
      <c r="BE729" s="380"/>
      <c r="BF729" s="380"/>
      <c r="BG729" s="380"/>
      <c r="BH729" s="380"/>
      <c r="BI729" s="380"/>
      <c r="BJ729" s="380"/>
      <c r="BK729" s="380"/>
      <c r="BL729" s="380"/>
      <c r="BM729" s="380"/>
      <c r="BN729" s="380"/>
      <c r="BO729" s="380"/>
      <c r="BP729" s="380"/>
      <c r="BQ729" s="380"/>
      <c r="BR729" s="380"/>
      <c r="BS729" s="380"/>
      <c r="BT729" s="380"/>
      <c r="BU729" s="380"/>
      <c r="BV729" s="380"/>
      <c r="BW729" s="380"/>
      <c r="BX729" s="380"/>
      <c r="BY729" s="380"/>
    </row>
    <row r="730" spans="1:77" s="170" customFormat="1" x14ac:dyDescent="0.25">
      <c r="A730" s="380"/>
      <c r="B730" s="380"/>
      <c r="C730" s="380"/>
      <c r="D730" s="380"/>
      <c r="E730" s="380"/>
      <c r="F730" s="381"/>
      <c r="G730" s="380"/>
      <c r="H730" s="381"/>
      <c r="I730" s="381"/>
      <c r="J730" s="221"/>
      <c r="K730" s="221"/>
      <c r="L730" s="381"/>
      <c r="M730" s="381"/>
      <c r="N730" s="381"/>
      <c r="O730" s="381"/>
      <c r="P730" s="381"/>
      <c r="Q730" s="381"/>
      <c r="R730" s="381"/>
      <c r="S730" s="380"/>
      <c r="T730" s="380"/>
      <c r="U730" s="380"/>
      <c r="V730" s="381"/>
      <c r="W730" s="380"/>
      <c r="X730" s="380"/>
      <c r="Y730" s="380"/>
      <c r="Z730" s="380"/>
      <c r="AA730" s="381"/>
      <c r="AB730" s="464"/>
      <c r="AC730" s="381"/>
      <c r="AD730" s="381"/>
      <c r="AE730" s="381"/>
      <c r="AF730" s="381"/>
      <c r="AG730" s="162"/>
      <c r="AH730" s="381"/>
      <c r="AI730" s="380"/>
      <c r="AJ730" s="380"/>
      <c r="AK730" s="162"/>
      <c r="AL730" s="381"/>
      <c r="AM730" s="381"/>
      <c r="AN730" s="381"/>
      <c r="AO730" s="380"/>
      <c r="AP730" s="380"/>
      <c r="AR730" s="380"/>
      <c r="AS730" s="380"/>
      <c r="AT730" s="380"/>
      <c r="AU730" s="380"/>
      <c r="AV730" s="380"/>
      <c r="AW730" s="380"/>
      <c r="AX730" s="380"/>
      <c r="AY730" s="380"/>
      <c r="AZ730" s="380"/>
      <c r="BA730" s="380"/>
      <c r="BB730" s="380"/>
      <c r="BC730" s="380"/>
      <c r="BD730" s="380"/>
      <c r="BE730" s="380"/>
      <c r="BF730" s="380"/>
      <c r="BG730" s="380"/>
      <c r="BH730" s="380"/>
      <c r="BI730" s="380"/>
      <c r="BJ730" s="380"/>
      <c r="BK730" s="380"/>
      <c r="BL730" s="380"/>
      <c r="BM730" s="380"/>
      <c r="BN730" s="380"/>
      <c r="BO730" s="380"/>
      <c r="BP730" s="380"/>
      <c r="BQ730" s="380"/>
      <c r="BR730" s="380"/>
      <c r="BS730" s="380"/>
      <c r="BT730" s="380"/>
      <c r="BU730" s="380"/>
      <c r="BV730" s="380"/>
      <c r="BW730" s="380"/>
      <c r="BX730" s="380"/>
      <c r="BY730" s="380"/>
    </row>
    <row r="731" spans="1:77" s="170" customFormat="1" x14ac:dyDescent="0.25">
      <c r="A731" s="380"/>
      <c r="B731" s="380"/>
      <c r="C731" s="380"/>
      <c r="D731" s="380"/>
      <c r="E731" s="380"/>
      <c r="F731" s="380"/>
      <c r="G731" s="380"/>
      <c r="H731" s="380"/>
      <c r="I731" s="380"/>
      <c r="J731" s="65"/>
      <c r="K731" s="65"/>
      <c r="L731" s="380"/>
      <c r="M731" s="380"/>
      <c r="N731" s="380"/>
      <c r="O731" s="380"/>
      <c r="P731" s="380"/>
      <c r="Q731" s="380"/>
      <c r="R731" s="380"/>
      <c r="S731" s="380"/>
      <c r="T731" s="380"/>
      <c r="U731" s="380"/>
      <c r="V731" s="380"/>
      <c r="W731" s="380"/>
      <c r="X731" s="380"/>
      <c r="Y731" s="380"/>
      <c r="Z731" s="380"/>
      <c r="AA731" s="380"/>
      <c r="AB731" s="380"/>
      <c r="AC731" s="380"/>
      <c r="AD731" s="380"/>
      <c r="AE731" s="380"/>
      <c r="AF731" s="380"/>
      <c r="AG731" s="153"/>
      <c r="AH731" s="380"/>
      <c r="AI731" s="380"/>
      <c r="AJ731" s="380"/>
      <c r="AK731" s="153"/>
      <c r="AL731" s="380"/>
      <c r="AM731" s="380"/>
      <c r="AN731" s="380"/>
      <c r="AO731" s="380"/>
      <c r="AP731" s="380"/>
      <c r="AR731" s="380"/>
      <c r="AS731" s="380"/>
      <c r="AT731" s="380"/>
      <c r="AU731" s="380"/>
      <c r="AV731" s="380"/>
      <c r="AW731" s="380"/>
      <c r="AX731" s="380"/>
      <c r="AY731" s="380"/>
      <c r="AZ731" s="380"/>
      <c r="BA731" s="380"/>
      <c r="BB731" s="380"/>
      <c r="BC731" s="380"/>
      <c r="BD731" s="380"/>
      <c r="BE731" s="380"/>
      <c r="BF731" s="380"/>
      <c r="BG731" s="380"/>
      <c r="BH731" s="380"/>
      <c r="BI731" s="380"/>
      <c r="BJ731" s="380"/>
      <c r="BK731" s="380"/>
      <c r="BL731" s="380"/>
      <c r="BM731" s="380"/>
      <c r="BN731" s="380"/>
      <c r="BO731" s="380"/>
      <c r="BP731" s="380"/>
      <c r="BQ731" s="380"/>
      <c r="BR731" s="380"/>
      <c r="BS731" s="380"/>
      <c r="BT731" s="380"/>
      <c r="BU731" s="380"/>
      <c r="BV731" s="380"/>
      <c r="BW731" s="380"/>
      <c r="BX731" s="380"/>
      <c r="BY731" s="380"/>
    </row>
    <row r="732" spans="1:77" s="170" customFormat="1" x14ac:dyDescent="0.25">
      <c r="A732" s="53"/>
      <c r="B732" s="380"/>
      <c r="C732" s="54"/>
      <c r="D732" s="380"/>
      <c r="E732" s="380"/>
      <c r="F732" s="379"/>
      <c r="G732" s="380"/>
      <c r="H732" s="379"/>
      <c r="I732" s="379"/>
      <c r="J732" s="65"/>
      <c r="K732" s="65"/>
      <c r="L732" s="379"/>
      <c r="M732" s="379"/>
      <c r="N732" s="50"/>
      <c r="O732" s="50"/>
      <c r="P732" s="449"/>
      <c r="Q732" s="449"/>
      <c r="R732" s="379"/>
      <c r="S732" s="380"/>
      <c r="T732" s="54"/>
      <c r="U732" s="380"/>
      <c r="V732" s="379"/>
      <c r="W732" s="380"/>
      <c r="X732" s="380"/>
      <c r="Y732" s="380"/>
      <c r="Z732" s="380"/>
      <c r="AA732" s="379"/>
      <c r="AB732" s="380"/>
      <c r="AC732" s="379"/>
      <c r="AD732" s="379"/>
      <c r="AE732" s="60"/>
      <c r="AF732" s="60"/>
      <c r="AG732" s="156"/>
      <c r="AH732" s="379"/>
      <c r="AI732" s="60"/>
      <c r="AJ732" s="60"/>
      <c r="AK732" s="474"/>
      <c r="AL732" s="449"/>
      <c r="AM732" s="379"/>
      <c r="AN732" s="379"/>
      <c r="AO732" s="60"/>
      <c r="AP732" s="60"/>
      <c r="AR732" s="380"/>
      <c r="AS732" s="380"/>
      <c r="AT732" s="380"/>
      <c r="AU732" s="380"/>
      <c r="AV732" s="380"/>
      <c r="AW732" s="380"/>
      <c r="AX732" s="380"/>
      <c r="AY732" s="380"/>
      <c r="AZ732" s="380"/>
      <c r="BA732" s="380"/>
      <c r="BB732" s="380"/>
      <c r="BC732" s="380"/>
      <c r="BD732" s="380"/>
      <c r="BE732" s="380"/>
      <c r="BF732" s="380"/>
      <c r="BG732" s="380"/>
      <c r="BH732" s="380"/>
      <c r="BI732" s="380"/>
      <c r="BJ732" s="380"/>
      <c r="BK732" s="380"/>
      <c r="BL732" s="380"/>
      <c r="BM732" s="380"/>
      <c r="BN732" s="380"/>
      <c r="BO732" s="380"/>
      <c r="BP732" s="380"/>
      <c r="BQ732" s="380"/>
      <c r="BR732" s="380"/>
      <c r="BS732" s="380"/>
      <c r="BT732" s="380"/>
      <c r="BU732" s="380"/>
      <c r="BV732" s="380"/>
      <c r="BW732" s="380"/>
      <c r="BX732" s="380"/>
      <c r="BY732" s="380"/>
    </row>
    <row r="733" spans="1:77" s="170" customFormat="1" x14ac:dyDescent="0.25">
      <c r="A733" s="380"/>
      <c r="B733" s="380"/>
      <c r="C733" s="380"/>
      <c r="D733" s="380"/>
      <c r="E733" s="380"/>
      <c r="F733" s="380"/>
      <c r="G733" s="380"/>
      <c r="H733" s="381"/>
      <c r="I733" s="381"/>
      <c r="J733" s="221"/>
      <c r="K733" s="221"/>
      <c r="L733" s="381"/>
      <c r="M733" s="381"/>
      <c r="N733" s="381"/>
      <c r="O733" s="381"/>
      <c r="P733" s="381"/>
      <c r="Q733" s="381"/>
      <c r="R733" s="381"/>
      <c r="S733" s="380"/>
      <c r="T733" s="380"/>
      <c r="U733" s="380"/>
      <c r="V733" s="381"/>
      <c r="W733" s="380"/>
      <c r="X733" s="380"/>
      <c r="Y733" s="380"/>
      <c r="Z733" s="380"/>
      <c r="AA733" s="381"/>
      <c r="AB733" s="464"/>
      <c r="AC733" s="381"/>
      <c r="AD733" s="381"/>
      <c r="AE733" s="381"/>
      <c r="AF733" s="381"/>
      <c r="AG733" s="162"/>
      <c r="AH733" s="381"/>
      <c r="AI733" s="380"/>
      <c r="AJ733" s="380"/>
      <c r="AK733" s="162"/>
      <c r="AL733" s="381"/>
      <c r="AM733" s="381"/>
      <c r="AN733" s="381"/>
      <c r="AO733" s="380"/>
      <c r="AP733" s="380"/>
      <c r="AR733" s="380"/>
      <c r="AS733" s="380"/>
      <c r="AT733" s="380"/>
      <c r="AU733" s="380"/>
      <c r="AV733" s="380"/>
      <c r="AW733" s="380"/>
      <c r="AX733" s="380"/>
      <c r="AY733" s="380"/>
      <c r="AZ733" s="380"/>
      <c r="BA733" s="380"/>
      <c r="BB733" s="380"/>
      <c r="BC733" s="380"/>
      <c r="BD733" s="380"/>
      <c r="BE733" s="380"/>
      <c r="BF733" s="380"/>
      <c r="BG733" s="380"/>
      <c r="BH733" s="380"/>
      <c r="BI733" s="380"/>
      <c r="BJ733" s="380"/>
      <c r="BK733" s="380"/>
      <c r="BL733" s="380"/>
      <c r="BM733" s="380"/>
      <c r="BN733" s="380"/>
      <c r="BO733" s="380"/>
      <c r="BP733" s="380"/>
      <c r="BQ733" s="380"/>
      <c r="BR733" s="380"/>
      <c r="BS733" s="380"/>
      <c r="BT733" s="380"/>
      <c r="BU733" s="380"/>
      <c r="BV733" s="380"/>
      <c r="BW733" s="380"/>
      <c r="BX733" s="380"/>
      <c r="BY733" s="380"/>
    </row>
    <row r="734" spans="1:77" s="170" customFormat="1" x14ac:dyDescent="0.25">
      <c r="A734" s="380"/>
      <c r="B734" s="380"/>
      <c r="C734" s="380"/>
      <c r="D734" s="380"/>
      <c r="E734" s="380"/>
      <c r="F734" s="381"/>
      <c r="G734" s="380"/>
      <c r="H734" s="380"/>
      <c r="I734" s="380"/>
      <c r="J734" s="380"/>
      <c r="K734" s="380"/>
      <c r="L734" s="380"/>
      <c r="M734" s="380"/>
      <c r="N734" s="380"/>
      <c r="O734" s="380"/>
      <c r="P734" s="380"/>
      <c r="Q734" s="380"/>
      <c r="R734" s="380"/>
      <c r="S734" s="380"/>
      <c r="T734" s="380"/>
      <c r="U734" s="380"/>
      <c r="V734" s="380"/>
      <c r="W734" s="380"/>
      <c r="X734" s="380"/>
      <c r="Y734" s="380"/>
      <c r="Z734" s="380"/>
      <c r="AA734" s="380"/>
      <c r="AB734" s="380"/>
      <c r="AC734" s="380"/>
      <c r="AD734" s="380"/>
      <c r="AE734" s="380"/>
      <c r="AF734" s="380"/>
      <c r="AG734" s="153"/>
      <c r="AH734" s="380"/>
      <c r="AI734" s="380"/>
      <c r="AJ734" s="380"/>
      <c r="AK734" s="153"/>
      <c r="AL734" s="380"/>
      <c r="AM734" s="380"/>
      <c r="AN734" s="380"/>
      <c r="AO734" s="380"/>
      <c r="AP734" s="380"/>
      <c r="AR734" s="380"/>
      <c r="AS734" s="380"/>
      <c r="AT734" s="380"/>
      <c r="AU734" s="380"/>
      <c r="AV734" s="380"/>
      <c r="AW734" s="380"/>
      <c r="AX734" s="380"/>
      <c r="AY734" s="380"/>
      <c r="AZ734" s="380"/>
      <c r="BA734" s="380"/>
      <c r="BB734" s="380"/>
      <c r="BC734" s="380"/>
      <c r="BD734" s="380"/>
      <c r="BE734" s="380"/>
      <c r="BF734" s="380"/>
      <c r="BG734" s="380"/>
      <c r="BH734" s="380"/>
      <c r="BI734" s="380"/>
      <c r="BJ734" s="380"/>
      <c r="BK734" s="380"/>
      <c r="BL734" s="380"/>
      <c r="BM734" s="380"/>
      <c r="BN734" s="380"/>
      <c r="BO734" s="380"/>
      <c r="BP734" s="380"/>
      <c r="BQ734" s="380"/>
      <c r="BR734" s="380"/>
      <c r="BS734" s="380"/>
      <c r="BT734" s="380"/>
      <c r="BU734" s="380"/>
      <c r="BV734" s="380"/>
      <c r="BW734" s="380"/>
      <c r="BX734" s="380"/>
      <c r="BY734" s="380"/>
    </row>
    <row r="735" spans="1:77" s="170" customFormat="1" x14ac:dyDescent="0.25">
      <c r="A735" s="380"/>
      <c r="B735" s="380"/>
      <c r="C735" s="53"/>
      <c r="D735" s="380"/>
      <c r="E735" s="380"/>
      <c r="F735" s="380"/>
      <c r="G735" s="380"/>
      <c r="H735" s="380"/>
      <c r="I735" s="380"/>
      <c r="J735" s="380"/>
      <c r="K735" s="380"/>
      <c r="L735" s="380"/>
      <c r="M735" s="380"/>
      <c r="N735" s="380"/>
      <c r="O735" s="380"/>
      <c r="P735" s="380"/>
      <c r="Q735" s="380"/>
      <c r="R735" s="380"/>
      <c r="S735" s="380"/>
      <c r="T735" s="53"/>
      <c r="U735" s="380"/>
      <c r="V735" s="380"/>
      <c r="W735" s="380"/>
      <c r="X735" s="380"/>
      <c r="Y735" s="380"/>
      <c r="Z735" s="380"/>
      <c r="AA735" s="380"/>
      <c r="AB735" s="380"/>
      <c r="AC735" s="380"/>
      <c r="AD735" s="380"/>
      <c r="AE735" s="380"/>
      <c r="AF735" s="380"/>
      <c r="AG735" s="153"/>
      <c r="AH735" s="380"/>
      <c r="AI735" s="380"/>
      <c r="AJ735" s="380"/>
      <c r="AK735" s="153"/>
      <c r="AL735" s="380"/>
      <c r="AM735" s="380"/>
      <c r="AN735" s="380"/>
      <c r="AO735" s="380"/>
      <c r="AP735" s="380"/>
      <c r="AR735" s="380"/>
      <c r="AS735" s="380"/>
      <c r="AT735" s="380"/>
      <c r="AU735" s="380"/>
      <c r="AV735" s="380"/>
      <c r="AW735" s="380"/>
      <c r="AX735" s="380"/>
      <c r="AY735" s="380"/>
      <c r="AZ735" s="380"/>
      <c r="BA735" s="380"/>
      <c r="BB735" s="380"/>
      <c r="BC735" s="380"/>
      <c r="BD735" s="380"/>
      <c r="BE735" s="380"/>
      <c r="BF735" s="380"/>
      <c r="BG735" s="380"/>
      <c r="BH735" s="380"/>
      <c r="BI735" s="380"/>
      <c r="BJ735" s="380"/>
      <c r="BK735" s="380"/>
      <c r="BL735" s="380"/>
      <c r="BM735" s="380"/>
      <c r="BN735" s="380"/>
      <c r="BO735" s="380"/>
      <c r="BP735" s="380"/>
      <c r="BQ735" s="380"/>
      <c r="BR735" s="380"/>
      <c r="BS735" s="380"/>
      <c r="BT735" s="380"/>
      <c r="BU735" s="380"/>
      <c r="BV735" s="380"/>
      <c r="BW735" s="380"/>
      <c r="BX735" s="380"/>
      <c r="BY735" s="380"/>
    </row>
    <row r="736" spans="1:77" s="170" customFormat="1" x14ac:dyDescent="0.25">
      <c r="A736" s="54"/>
      <c r="B736" s="380"/>
      <c r="C736" s="380"/>
      <c r="D736" s="380"/>
      <c r="E736" s="380"/>
      <c r="F736" s="380"/>
      <c r="G736" s="380"/>
      <c r="H736" s="380"/>
      <c r="I736" s="380"/>
      <c r="J736" s="380"/>
      <c r="K736" s="380"/>
      <c r="L736" s="380"/>
      <c r="M736" s="380"/>
      <c r="N736" s="380"/>
      <c r="O736" s="380"/>
      <c r="P736" s="380"/>
      <c r="Q736" s="380"/>
      <c r="R736" s="380"/>
      <c r="S736" s="380"/>
      <c r="T736" s="380"/>
      <c r="U736" s="380"/>
      <c r="V736" s="380"/>
      <c r="W736" s="380"/>
      <c r="X736" s="380"/>
      <c r="Y736" s="380"/>
      <c r="Z736" s="380"/>
      <c r="AA736" s="380"/>
      <c r="AB736" s="380"/>
      <c r="AC736" s="380"/>
      <c r="AD736" s="380"/>
      <c r="AE736" s="380"/>
      <c r="AF736" s="380"/>
      <c r="AG736" s="153"/>
      <c r="AH736" s="380"/>
      <c r="AI736" s="380"/>
      <c r="AJ736" s="380"/>
      <c r="AK736" s="153"/>
      <c r="AL736" s="380"/>
      <c r="AM736" s="380"/>
      <c r="AN736" s="380"/>
      <c r="AO736" s="380"/>
      <c r="AP736" s="380"/>
      <c r="AR736" s="380"/>
      <c r="AS736" s="380"/>
      <c r="AT736" s="380"/>
      <c r="AU736" s="380"/>
      <c r="AV736" s="380"/>
      <c r="AW736" s="380"/>
      <c r="AX736" s="380"/>
      <c r="AY736" s="380"/>
      <c r="AZ736" s="380"/>
      <c r="BA736" s="380"/>
      <c r="BB736" s="380"/>
      <c r="BC736" s="380"/>
      <c r="BD736" s="380"/>
      <c r="BE736" s="380"/>
      <c r="BF736" s="380"/>
      <c r="BG736" s="380"/>
      <c r="BH736" s="380"/>
      <c r="BI736" s="380"/>
      <c r="BJ736" s="380"/>
      <c r="BK736" s="380"/>
      <c r="BL736" s="380"/>
      <c r="BM736" s="380"/>
      <c r="BN736" s="380"/>
      <c r="BO736" s="380"/>
      <c r="BP736" s="380"/>
      <c r="BQ736" s="380"/>
      <c r="BR736" s="380"/>
      <c r="BS736" s="380"/>
      <c r="BT736" s="380"/>
      <c r="BU736" s="380"/>
      <c r="BV736" s="380"/>
      <c r="BW736" s="380"/>
      <c r="BX736" s="380"/>
      <c r="BY736" s="380"/>
    </row>
    <row r="737" spans="1:77" s="170" customFormat="1" x14ac:dyDescent="0.25">
      <c r="A737" s="380"/>
      <c r="B737" s="380"/>
      <c r="C737" s="380"/>
      <c r="D737" s="380"/>
      <c r="E737" s="380"/>
      <c r="F737" s="380"/>
      <c r="G737" s="380"/>
      <c r="H737" s="380"/>
      <c r="I737" s="380"/>
      <c r="J737" s="53"/>
      <c r="K737" s="53"/>
      <c r="L737" s="380"/>
      <c r="M737" s="380"/>
      <c r="N737" s="380"/>
      <c r="O737" s="380"/>
      <c r="P737" s="380"/>
      <c r="Q737" s="380"/>
      <c r="R737" s="380"/>
      <c r="S737" s="380"/>
      <c r="T737" s="380"/>
      <c r="U737" s="380"/>
      <c r="V737" s="380"/>
      <c r="W737" s="380"/>
      <c r="X737" s="380"/>
      <c r="Y737" s="380"/>
      <c r="Z737" s="380"/>
      <c r="AA737" s="380"/>
      <c r="AB737" s="53"/>
      <c r="AC737" s="380"/>
      <c r="AD737" s="380"/>
      <c r="AE737" s="380"/>
      <c r="AF737" s="380"/>
      <c r="AG737" s="153"/>
      <c r="AH737" s="380"/>
      <c r="AI737" s="380"/>
      <c r="AJ737" s="380"/>
      <c r="AK737" s="153"/>
      <c r="AL737" s="380"/>
      <c r="AM737" s="380"/>
      <c r="AN737" s="380"/>
      <c r="AO737" s="380"/>
      <c r="AP737" s="380"/>
      <c r="AR737" s="380"/>
      <c r="AS737" s="380"/>
      <c r="AT737" s="380"/>
      <c r="AU737" s="380"/>
      <c r="AV737" s="380"/>
      <c r="AW737" s="380"/>
      <c r="AX737" s="380"/>
      <c r="AY737" s="380"/>
      <c r="AZ737" s="380"/>
      <c r="BA737" s="380"/>
      <c r="BB737" s="380"/>
      <c r="BC737" s="380"/>
      <c r="BD737" s="380"/>
      <c r="BE737" s="380"/>
      <c r="BF737" s="380"/>
      <c r="BG737" s="380"/>
      <c r="BH737" s="380"/>
      <c r="BI737" s="380"/>
      <c r="BJ737" s="380"/>
      <c r="BK737" s="380"/>
      <c r="BL737" s="380"/>
      <c r="BM737" s="380"/>
      <c r="BN737" s="380"/>
      <c r="BO737" s="380"/>
      <c r="BP737" s="380"/>
      <c r="BQ737" s="380"/>
      <c r="BR737" s="380"/>
      <c r="BS737" s="380"/>
      <c r="BT737" s="380"/>
      <c r="BU737" s="380"/>
      <c r="BV737" s="380"/>
      <c r="BW737" s="380"/>
      <c r="BX737" s="380"/>
      <c r="BY737" s="380"/>
    </row>
    <row r="738" spans="1:77" s="170" customFormat="1" x14ac:dyDescent="0.25">
      <c r="A738" s="380"/>
      <c r="B738" s="380"/>
      <c r="C738" s="380"/>
      <c r="D738" s="380"/>
      <c r="E738" s="380"/>
      <c r="F738" s="380"/>
      <c r="G738" s="380"/>
      <c r="H738" s="54"/>
      <c r="I738" s="54"/>
      <c r="J738" s="380"/>
      <c r="K738" s="380"/>
      <c r="L738" s="380"/>
      <c r="M738" s="380"/>
      <c r="N738" s="380"/>
      <c r="O738" s="380"/>
      <c r="P738" s="380"/>
      <c r="Q738" s="380"/>
      <c r="R738" s="380"/>
      <c r="S738" s="380"/>
      <c r="T738" s="380"/>
      <c r="U738" s="380"/>
      <c r="V738" s="380"/>
      <c r="W738" s="380"/>
      <c r="X738" s="380"/>
      <c r="Y738" s="380"/>
      <c r="Z738" s="380"/>
      <c r="AA738" s="54"/>
      <c r="AB738" s="380"/>
      <c r="AC738" s="380"/>
      <c r="AD738" s="380"/>
      <c r="AE738" s="380"/>
      <c r="AF738" s="380"/>
      <c r="AG738" s="153"/>
      <c r="AH738" s="380"/>
      <c r="AI738" s="380"/>
      <c r="AJ738" s="380"/>
      <c r="AK738" s="153"/>
      <c r="AL738" s="380"/>
      <c r="AM738" s="380"/>
      <c r="AN738" s="380"/>
      <c r="AO738" s="380"/>
      <c r="AP738" s="380"/>
      <c r="AR738" s="380"/>
      <c r="AS738" s="380"/>
      <c r="AT738" s="380"/>
      <c r="AU738" s="380"/>
      <c r="AV738" s="380"/>
      <c r="AW738" s="380"/>
      <c r="AX738" s="380"/>
      <c r="AY738" s="380"/>
      <c r="AZ738" s="380"/>
      <c r="BA738" s="380"/>
      <c r="BB738" s="380"/>
      <c r="BC738" s="380"/>
      <c r="BD738" s="380"/>
      <c r="BE738" s="380"/>
      <c r="BF738" s="380"/>
      <c r="BG738" s="380"/>
      <c r="BH738" s="380"/>
      <c r="BI738" s="380"/>
      <c r="BJ738" s="380"/>
      <c r="BK738" s="380"/>
      <c r="BL738" s="380"/>
      <c r="BM738" s="380"/>
      <c r="BN738" s="380"/>
      <c r="BO738" s="380"/>
      <c r="BP738" s="380"/>
      <c r="BQ738" s="380"/>
      <c r="BR738" s="380"/>
      <c r="BS738" s="380"/>
      <c r="BT738" s="380"/>
      <c r="BU738" s="380"/>
      <c r="BV738" s="380"/>
      <c r="BW738" s="380"/>
      <c r="BX738" s="380"/>
      <c r="BY738" s="380"/>
    </row>
    <row r="739" spans="1:77" s="170" customFormat="1" x14ac:dyDescent="0.25">
      <c r="A739" s="380"/>
      <c r="B739" s="380"/>
      <c r="C739" s="380"/>
      <c r="D739" s="380"/>
      <c r="E739" s="380"/>
      <c r="F739" s="380"/>
      <c r="G739" s="380"/>
      <c r="H739" s="380"/>
      <c r="I739" s="380"/>
      <c r="J739" s="53"/>
      <c r="K739" s="53"/>
      <c r="L739" s="380"/>
      <c r="M739" s="380"/>
      <c r="N739" s="380"/>
      <c r="O739" s="380"/>
      <c r="P739" s="380"/>
      <c r="Q739" s="380"/>
      <c r="R739" s="380"/>
      <c r="S739" s="380"/>
      <c r="T739" s="380"/>
      <c r="U739" s="380"/>
      <c r="V739" s="380"/>
      <c r="W739" s="380"/>
      <c r="X739" s="380"/>
      <c r="Y739" s="380"/>
      <c r="Z739" s="380"/>
      <c r="AA739" s="380"/>
      <c r="AB739" s="53"/>
      <c r="AC739" s="380"/>
      <c r="AD739" s="380"/>
      <c r="AE739" s="380"/>
      <c r="AF739" s="380"/>
      <c r="AG739" s="153"/>
      <c r="AH739" s="380"/>
      <c r="AI739" s="380"/>
      <c r="AJ739" s="380"/>
      <c r="AK739" s="153"/>
      <c r="AL739" s="380"/>
      <c r="AM739" s="380"/>
      <c r="AN739" s="380"/>
      <c r="AO739" s="380"/>
      <c r="AP739" s="380"/>
      <c r="AR739" s="380"/>
      <c r="AS739" s="380"/>
      <c r="AT739" s="380"/>
      <c r="AU739" s="380"/>
      <c r="AV739" s="380"/>
      <c r="AW739" s="380"/>
      <c r="AX739" s="380"/>
      <c r="AY739" s="380"/>
      <c r="AZ739" s="380"/>
      <c r="BA739" s="380"/>
      <c r="BB739" s="380"/>
      <c r="BC739" s="380"/>
      <c r="BD739" s="380"/>
      <c r="BE739" s="380"/>
      <c r="BF739" s="380"/>
      <c r="BG739" s="380"/>
      <c r="BH739" s="380"/>
      <c r="BI739" s="380"/>
      <c r="BJ739" s="380"/>
      <c r="BK739" s="380"/>
      <c r="BL739" s="380"/>
      <c r="BM739" s="380"/>
      <c r="BN739" s="380"/>
      <c r="BO739" s="380"/>
      <c r="BP739" s="380"/>
      <c r="BQ739" s="380"/>
      <c r="BR739" s="380"/>
      <c r="BS739" s="380"/>
      <c r="BT739" s="380"/>
      <c r="BU739" s="380"/>
      <c r="BV739" s="380"/>
      <c r="BW739" s="380"/>
      <c r="BX739" s="380"/>
      <c r="BY739" s="380"/>
    </row>
    <row r="740" spans="1:77" s="170" customFormat="1" x14ac:dyDescent="0.25">
      <c r="A740" s="380"/>
      <c r="B740" s="380"/>
      <c r="C740" s="380"/>
      <c r="D740" s="380"/>
      <c r="E740" s="380"/>
      <c r="F740" s="380"/>
      <c r="G740" s="380"/>
      <c r="H740" s="380"/>
      <c r="I740" s="380"/>
      <c r="J740" s="380"/>
      <c r="K740" s="380"/>
      <c r="L740" s="54"/>
      <c r="M740" s="54"/>
      <c r="N740" s="380"/>
      <c r="O740" s="380"/>
      <c r="P740" s="380"/>
      <c r="Q740" s="380"/>
      <c r="R740" s="380"/>
      <c r="S740" s="380"/>
      <c r="T740" s="380"/>
      <c r="U740" s="380"/>
      <c r="V740" s="380"/>
      <c r="W740" s="380"/>
      <c r="X740" s="380"/>
      <c r="Y740" s="380"/>
      <c r="Z740" s="380"/>
      <c r="AA740" s="380"/>
      <c r="AB740" s="380"/>
      <c r="AC740" s="54"/>
      <c r="AD740" s="54"/>
      <c r="AE740" s="380"/>
      <c r="AF740" s="380"/>
      <c r="AG740" s="153"/>
      <c r="AH740" s="380"/>
      <c r="AI740" s="380"/>
      <c r="AJ740" s="380"/>
      <c r="AK740" s="153"/>
      <c r="AL740" s="380"/>
      <c r="AM740" s="380"/>
      <c r="AN740" s="380"/>
      <c r="AO740" s="380"/>
      <c r="AP740" s="380"/>
      <c r="AR740" s="380"/>
      <c r="AS740" s="380"/>
      <c r="AT740" s="380"/>
      <c r="AU740" s="380"/>
      <c r="AV740" s="380"/>
      <c r="AW740" s="380"/>
      <c r="AX740" s="380"/>
      <c r="AY740" s="380"/>
      <c r="AZ740" s="380"/>
      <c r="BA740" s="380"/>
      <c r="BB740" s="380"/>
      <c r="BC740" s="380"/>
      <c r="BD740" s="380"/>
      <c r="BE740" s="380"/>
      <c r="BF740" s="380"/>
      <c r="BG740" s="380"/>
      <c r="BH740" s="380"/>
      <c r="BI740" s="380"/>
      <c r="BJ740" s="380"/>
      <c r="BK740" s="380"/>
      <c r="BL740" s="380"/>
      <c r="BM740" s="380"/>
      <c r="BN740" s="380"/>
      <c r="BO740" s="380"/>
      <c r="BP740" s="380"/>
      <c r="BQ740" s="380"/>
      <c r="BR740" s="380"/>
      <c r="BS740" s="380"/>
      <c r="BT740" s="380"/>
      <c r="BU740" s="380"/>
      <c r="BV740" s="380"/>
      <c r="BW740" s="380"/>
      <c r="BX740" s="380"/>
      <c r="BY740" s="380"/>
    </row>
    <row r="741" spans="1:77" s="170" customFormat="1" x14ac:dyDescent="0.25">
      <c r="A741" s="53"/>
      <c r="B741" s="380"/>
      <c r="C741" s="380"/>
      <c r="D741" s="380"/>
      <c r="E741" s="380"/>
      <c r="F741" s="380"/>
      <c r="G741" s="380"/>
      <c r="H741" s="380"/>
      <c r="I741" s="380"/>
      <c r="J741" s="380"/>
      <c r="K741" s="380"/>
      <c r="L741" s="380"/>
      <c r="M741" s="380"/>
      <c r="N741" s="380"/>
      <c r="O741" s="380"/>
      <c r="P741" s="380"/>
      <c r="Q741" s="380"/>
      <c r="R741" s="54"/>
      <c r="S741" s="380"/>
      <c r="T741" s="380"/>
      <c r="U741" s="380"/>
      <c r="V741" s="380"/>
      <c r="W741" s="380"/>
      <c r="X741" s="380"/>
      <c r="Y741" s="380"/>
      <c r="Z741" s="380"/>
      <c r="AA741" s="380"/>
      <c r="AB741" s="380"/>
      <c r="AC741" s="380"/>
      <c r="AD741" s="380"/>
      <c r="AE741" s="380"/>
      <c r="AF741" s="380"/>
      <c r="AG741" s="153"/>
      <c r="AH741" s="380"/>
      <c r="AI741" s="380"/>
      <c r="AJ741" s="380"/>
      <c r="AK741" s="153"/>
      <c r="AL741" s="380"/>
      <c r="AM741" s="54"/>
      <c r="AN741" s="54"/>
      <c r="AO741" s="380"/>
      <c r="AP741" s="380"/>
      <c r="AR741" s="380"/>
      <c r="AS741" s="380"/>
      <c r="AT741" s="380"/>
      <c r="AU741" s="380"/>
      <c r="AV741" s="380"/>
      <c r="AW741" s="380"/>
      <c r="AX741" s="380"/>
      <c r="AY741" s="380"/>
      <c r="AZ741" s="380"/>
      <c r="BA741" s="380"/>
      <c r="BB741" s="380"/>
      <c r="BC741" s="380"/>
      <c r="BD741" s="380"/>
      <c r="BE741" s="380"/>
      <c r="BF741" s="380"/>
      <c r="BG741" s="380"/>
      <c r="BH741" s="380"/>
      <c r="BI741" s="380"/>
      <c r="BJ741" s="380"/>
      <c r="BK741" s="380"/>
      <c r="BL741" s="380"/>
      <c r="BM741" s="380"/>
      <c r="BN741" s="380"/>
      <c r="BO741" s="380"/>
      <c r="BP741" s="380"/>
      <c r="BQ741" s="380"/>
      <c r="BR741" s="380"/>
      <c r="BS741" s="380"/>
      <c r="BT741" s="380"/>
      <c r="BU741" s="380"/>
      <c r="BV741" s="380"/>
      <c r="BW741" s="380"/>
      <c r="BX741" s="380"/>
      <c r="BY741" s="380"/>
    </row>
    <row r="742" spans="1:77" s="170" customFormat="1" x14ac:dyDescent="0.25">
      <c r="A742" s="53"/>
      <c r="B742" s="380"/>
      <c r="C742" s="380"/>
      <c r="D742" s="380"/>
      <c r="E742" s="380"/>
      <c r="F742" s="380"/>
      <c r="G742" s="380"/>
      <c r="H742" s="380"/>
      <c r="I742" s="380"/>
      <c r="J742" s="380"/>
      <c r="K742" s="380"/>
      <c r="L742" s="380"/>
      <c r="M742" s="380"/>
      <c r="N742" s="380"/>
      <c r="O742" s="380"/>
      <c r="P742" s="380"/>
      <c r="Q742" s="380"/>
      <c r="R742" s="54"/>
      <c r="S742" s="380"/>
      <c r="T742" s="380"/>
      <c r="U742" s="380"/>
      <c r="V742" s="380"/>
      <c r="W742" s="380"/>
      <c r="X742" s="380"/>
      <c r="Y742" s="380"/>
      <c r="Z742" s="380"/>
      <c r="AA742" s="380"/>
      <c r="AB742" s="380"/>
      <c r="AC742" s="380"/>
      <c r="AD742" s="380"/>
      <c r="AE742" s="380"/>
      <c r="AF742" s="380"/>
      <c r="AG742" s="153"/>
      <c r="AH742" s="380"/>
      <c r="AI742" s="380"/>
      <c r="AJ742" s="380"/>
      <c r="AK742" s="153"/>
      <c r="AL742" s="380"/>
      <c r="AM742" s="54"/>
      <c r="AN742" s="54"/>
      <c r="AO742" s="380"/>
      <c r="AP742" s="380"/>
      <c r="AR742" s="380"/>
      <c r="AS742" s="380"/>
      <c r="AT742" s="380"/>
      <c r="AU742" s="380"/>
      <c r="AV742" s="380"/>
      <c r="AW742" s="380"/>
      <c r="AX742" s="380"/>
      <c r="AY742" s="380"/>
      <c r="AZ742" s="380"/>
      <c r="BA742" s="380"/>
      <c r="BB742" s="380"/>
      <c r="BC742" s="380"/>
      <c r="BD742" s="380"/>
      <c r="BE742" s="380"/>
      <c r="BF742" s="380"/>
      <c r="BG742" s="380"/>
      <c r="BH742" s="380"/>
      <c r="BI742" s="380"/>
      <c r="BJ742" s="380"/>
      <c r="BK742" s="380"/>
      <c r="BL742" s="380"/>
      <c r="BM742" s="380"/>
      <c r="BN742" s="380"/>
      <c r="BO742" s="380"/>
      <c r="BP742" s="380"/>
      <c r="BQ742" s="380"/>
      <c r="BR742" s="380"/>
      <c r="BS742" s="380"/>
      <c r="BT742" s="380"/>
      <c r="BU742" s="380"/>
      <c r="BV742" s="380"/>
      <c r="BW742" s="380"/>
      <c r="BX742" s="380"/>
      <c r="BY742" s="380"/>
    </row>
    <row r="743" spans="1:77" s="170" customFormat="1" x14ac:dyDescent="0.25">
      <c r="A743" s="54"/>
      <c r="B743" s="380"/>
      <c r="C743" s="380"/>
      <c r="D743" s="380"/>
      <c r="E743" s="380"/>
      <c r="F743" s="380"/>
      <c r="G743" s="380"/>
      <c r="H743" s="380"/>
      <c r="I743" s="380"/>
      <c r="J743" s="380"/>
      <c r="K743" s="380"/>
      <c r="L743" s="380"/>
      <c r="M743" s="380"/>
      <c r="N743" s="380"/>
      <c r="O743" s="380"/>
      <c r="P743" s="380"/>
      <c r="Q743" s="380"/>
      <c r="R743" s="54"/>
      <c r="S743" s="380"/>
      <c r="T743" s="380"/>
      <c r="U743" s="380"/>
      <c r="V743" s="380"/>
      <c r="W743" s="380"/>
      <c r="X743" s="380"/>
      <c r="Y743" s="380"/>
      <c r="Z743" s="380"/>
      <c r="AA743" s="380"/>
      <c r="AB743" s="380"/>
      <c r="AC743" s="380"/>
      <c r="AD743" s="380"/>
      <c r="AE743" s="380"/>
      <c r="AF743" s="380"/>
      <c r="AG743" s="153"/>
      <c r="AH743" s="380"/>
      <c r="AI743" s="380"/>
      <c r="AJ743" s="380"/>
      <c r="AK743" s="153"/>
      <c r="AL743" s="380"/>
      <c r="AM743" s="54"/>
      <c r="AN743" s="54"/>
      <c r="AO743" s="380"/>
      <c r="AP743" s="380"/>
      <c r="AR743" s="380"/>
      <c r="AS743" s="380"/>
      <c r="AT743" s="380"/>
      <c r="AU743" s="380"/>
      <c r="AV743" s="380"/>
      <c r="AW743" s="380"/>
      <c r="AX743" s="380"/>
      <c r="AY743" s="380"/>
      <c r="AZ743" s="380"/>
      <c r="BA743" s="380"/>
      <c r="BB743" s="380"/>
      <c r="BC743" s="380"/>
      <c r="BD743" s="380"/>
      <c r="BE743" s="380"/>
      <c r="BF743" s="380"/>
      <c r="BG743" s="380"/>
      <c r="BH743" s="380"/>
      <c r="BI743" s="380"/>
      <c r="BJ743" s="380"/>
      <c r="BK743" s="380"/>
      <c r="BL743" s="380"/>
      <c r="BM743" s="380"/>
      <c r="BN743" s="380"/>
      <c r="BO743" s="380"/>
      <c r="BP743" s="380"/>
      <c r="BQ743" s="380"/>
      <c r="BR743" s="380"/>
      <c r="BS743" s="380"/>
      <c r="BT743" s="380"/>
      <c r="BU743" s="380"/>
      <c r="BV743" s="380"/>
      <c r="BW743" s="380"/>
      <c r="BX743" s="380"/>
      <c r="BY743" s="380"/>
    </row>
    <row r="744" spans="1:77" s="170" customFormat="1" x14ac:dyDescent="0.25">
      <c r="A744" s="380"/>
      <c r="B744" s="380"/>
      <c r="C744" s="380"/>
      <c r="D744" s="380"/>
      <c r="E744" s="380"/>
      <c r="F744" s="380"/>
      <c r="G744" s="380"/>
      <c r="H744" s="380"/>
      <c r="I744" s="380"/>
      <c r="J744" s="380"/>
      <c r="K744" s="380"/>
      <c r="L744" s="54"/>
      <c r="M744" s="54"/>
      <c r="N744" s="380"/>
      <c r="O744" s="380"/>
      <c r="P744" s="380"/>
      <c r="Q744" s="380"/>
      <c r="R744" s="53"/>
      <c r="S744" s="380"/>
      <c r="T744" s="380"/>
      <c r="U744" s="380"/>
      <c r="V744" s="380"/>
      <c r="W744" s="380"/>
      <c r="X744" s="380"/>
      <c r="Y744" s="380"/>
      <c r="Z744" s="380"/>
      <c r="AA744" s="380"/>
      <c r="AB744" s="380"/>
      <c r="AC744" s="54"/>
      <c r="AD744" s="54"/>
      <c r="AE744" s="380"/>
      <c r="AF744" s="380"/>
      <c r="AG744" s="153"/>
      <c r="AH744" s="380"/>
      <c r="AI744" s="380"/>
      <c r="AJ744" s="380"/>
      <c r="AK744" s="153"/>
      <c r="AL744" s="380"/>
      <c r="AM744" s="53"/>
      <c r="AN744" s="53"/>
      <c r="AO744" s="380"/>
      <c r="AP744" s="380"/>
      <c r="AR744" s="380"/>
      <c r="AS744" s="380"/>
      <c r="AT744" s="380"/>
      <c r="AU744" s="380"/>
      <c r="AV744" s="380"/>
      <c r="AW744" s="380"/>
      <c r="AX744" s="380"/>
      <c r="AY744" s="380"/>
      <c r="AZ744" s="380"/>
      <c r="BA744" s="380"/>
      <c r="BB744" s="380"/>
      <c r="BC744" s="380"/>
      <c r="BD744" s="380"/>
      <c r="BE744" s="380"/>
      <c r="BF744" s="380"/>
      <c r="BG744" s="380"/>
      <c r="BH744" s="380"/>
      <c r="BI744" s="380"/>
      <c r="BJ744" s="380"/>
      <c r="BK744" s="380"/>
      <c r="BL744" s="380"/>
      <c r="BM744" s="380"/>
      <c r="BN744" s="380"/>
      <c r="BO744" s="380"/>
      <c r="BP744" s="380"/>
      <c r="BQ744" s="380"/>
      <c r="BR744" s="380"/>
      <c r="BS744" s="380"/>
      <c r="BT744" s="380"/>
      <c r="BU744" s="380"/>
      <c r="BV744" s="380"/>
      <c r="BW744" s="380"/>
      <c r="BX744" s="380"/>
      <c r="BY744" s="380"/>
    </row>
    <row r="745" spans="1:77" s="170" customFormat="1" x14ac:dyDescent="0.25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380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154"/>
      <c r="AH745" s="55"/>
      <c r="AI745" s="55"/>
      <c r="AJ745" s="55"/>
      <c r="AK745" s="154"/>
      <c r="AL745" s="55"/>
      <c r="AM745" s="55"/>
      <c r="AN745" s="55"/>
      <c r="AO745" s="55"/>
      <c r="AP745" s="55"/>
      <c r="AR745" s="380"/>
      <c r="AS745" s="380"/>
      <c r="AT745" s="380"/>
      <c r="AU745" s="380"/>
      <c r="AV745" s="380"/>
      <c r="AW745" s="380"/>
      <c r="AX745" s="380"/>
      <c r="AY745" s="380"/>
      <c r="AZ745" s="380"/>
      <c r="BA745" s="380"/>
      <c r="BB745" s="380"/>
      <c r="BC745" s="380"/>
      <c r="BD745" s="380"/>
      <c r="BE745" s="380"/>
      <c r="BF745" s="380"/>
      <c r="BG745" s="380"/>
      <c r="BH745" s="380"/>
      <c r="BI745" s="380"/>
      <c r="BJ745" s="380"/>
      <c r="BK745" s="380"/>
      <c r="BL745" s="380"/>
      <c r="BM745" s="380"/>
      <c r="BN745" s="380"/>
      <c r="BO745" s="380"/>
      <c r="BP745" s="380"/>
      <c r="BQ745" s="380"/>
      <c r="BR745" s="380"/>
      <c r="BS745" s="380"/>
      <c r="BT745" s="380"/>
      <c r="BU745" s="380"/>
      <c r="BV745" s="380"/>
      <c r="BW745" s="380"/>
      <c r="BX745" s="380"/>
      <c r="BY745" s="380"/>
    </row>
    <row r="746" spans="1:77" s="170" customFormat="1" x14ac:dyDescent="0.25">
      <c r="A746" s="380"/>
      <c r="B746" s="380"/>
      <c r="C746" s="380"/>
      <c r="D746" s="380"/>
      <c r="E746" s="380"/>
      <c r="F746" s="380"/>
      <c r="G746" s="380"/>
      <c r="H746" s="380"/>
      <c r="I746" s="380"/>
      <c r="J746" s="380"/>
      <c r="K746" s="380"/>
      <c r="L746" s="56"/>
      <c r="M746" s="56"/>
      <c r="N746" s="56"/>
      <c r="O746" s="56"/>
      <c r="P746" s="380"/>
      <c r="Q746" s="380"/>
      <c r="R746" s="56"/>
      <c r="S746" s="380"/>
      <c r="T746" s="380"/>
      <c r="U746" s="380"/>
      <c r="V746" s="380"/>
      <c r="W746" s="380"/>
      <c r="X746" s="380"/>
      <c r="Y746" s="380"/>
      <c r="Z746" s="380"/>
      <c r="AA746" s="380"/>
      <c r="AB746" s="380"/>
      <c r="AC746" s="56"/>
      <c r="AD746" s="56"/>
      <c r="AE746" s="56"/>
      <c r="AF746" s="56"/>
      <c r="AG746" s="155"/>
      <c r="AH746" s="56"/>
      <c r="AI746" s="56"/>
      <c r="AJ746" s="56"/>
      <c r="AK746" s="153"/>
      <c r="AL746" s="380"/>
      <c r="AM746" s="56"/>
      <c r="AN746" s="56"/>
      <c r="AO746" s="56"/>
      <c r="AP746" s="56"/>
      <c r="AR746" s="380"/>
      <c r="AS746" s="380"/>
      <c r="AT746" s="380"/>
      <c r="AU746" s="380"/>
      <c r="AV746" s="380"/>
      <c r="AW746" s="380"/>
      <c r="AX746" s="380"/>
      <c r="AY746" s="380"/>
      <c r="AZ746" s="380"/>
      <c r="BA746" s="380"/>
      <c r="BB746" s="380"/>
      <c r="BC746" s="380"/>
      <c r="BD746" s="380"/>
      <c r="BE746" s="380"/>
      <c r="BF746" s="380"/>
      <c r="BG746" s="380"/>
      <c r="BH746" s="380"/>
      <c r="BI746" s="380"/>
      <c r="BJ746" s="380"/>
      <c r="BK746" s="380"/>
      <c r="BL746" s="380"/>
      <c r="BM746" s="380"/>
      <c r="BN746" s="380"/>
      <c r="BO746" s="380"/>
      <c r="BP746" s="380"/>
      <c r="BQ746" s="380"/>
      <c r="BR746" s="380"/>
      <c r="BS746" s="380"/>
      <c r="BT746" s="380"/>
      <c r="BU746" s="380"/>
      <c r="BV746" s="380"/>
      <c r="BW746" s="380"/>
      <c r="BX746" s="380"/>
      <c r="BY746" s="380"/>
    </row>
    <row r="747" spans="1:77" s="170" customFormat="1" x14ac:dyDescent="0.25">
      <c r="A747" s="380"/>
      <c r="B747" s="380"/>
      <c r="C747" s="380"/>
      <c r="D747" s="380"/>
      <c r="E747" s="380"/>
      <c r="F747" s="380"/>
      <c r="G747" s="380"/>
      <c r="H747" s="380"/>
      <c r="I747" s="380"/>
      <c r="J747" s="380"/>
      <c r="K747" s="380"/>
      <c r="L747" s="56"/>
      <c r="M747" s="56"/>
      <c r="N747" s="56"/>
      <c r="O747" s="56"/>
      <c r="P747" s="380"/>
      <c r="Q747" s="380"/>
      <c r="R747" s="56"/>
      <c r="S747" s="380"/>
      <c r="T747" s="380"/>
      <c r="U747" s="380"/>
      <c r="V747" s="380"/>
      <c r="W747" s="380"/>
      <c r="X747" s="380"/>
      <c r="Y747" s="380"/>
      <c r="Z747" s="380"/>
      <c r="AA747" s="380"/>
      <c r="AB747" s="56"/>
      <c r="AC747" s="56"/>
      <c r="AD747" s="56"/>
      <c r="AE747" s="56"/>
      <c r="AF747" s="56"/>
      <c r="AG747" s="155"/>
      <c r="AH747" s="56"/>
      <c r="AI747" s="56"/>
      <c r="AJ747" s="56"/>
      <c r="AK747" s="153"/>
      <c r="AL747" s="380"/>
      <c r="AM747" s="56"/>
      <c r="AN747" s="56"/>
      <c r="AO747" s="56"/>
      <c r="AP747" s="56"/>
      <c r="AR747" s="380"/>
      <c r="AS747" s="380"/>
      <c r="AT747" s="380"/>
      <c r="AU747" s="380"/>
      <c r="AV747" s="380"/>
      <c r="AW747" s="380"/>
      <c r="AX747" s="380"/>
      <c r="AY747" s="380"/>
      <c r="AZ747" s="380"/>
      <c r="BA747" s="380"/>
      <c r="BB747" s="380"/>
      <c r="BC747" s="380"/>
      <c r="BD747" s="380"/>
      <c r="BE747" s="380"/>
      <c r="BF747" s="380"/>
      <c r="BG747" s="380"/>
      <c r="BH747" s="380"/>
      <c r="BI747" s="380"/>
      <c r="BJ747" s="380"/>
      <c r="BK747" s="380"/>
      <c r="BL747" s="380"/>
      <c r="BM747" s="380"/>
      <c r="BN747" s="380"/>
      <c r="BO747" s="380"/>
      <c r="BP747" s="380"/>
      <c r="BQ747" s="380"/>
      <c r="BR747" s="380"/>
      <c r="BS747" s="380"/>
      <c r="BT747" s="380"/>
      <c r="BU747" s="380"/>
      <c r="BV747" s="380"/>
      <c r="BW747" s="380"/>
      <c r="BX747" s="380"/>
      <c r="BY747" s="380"/>
    </row>
    <row r="748" spans="1:77" s="170" customFormat="1" x14ac:dyDescent="0.25">
      <c r="A748" s="56"/>
      <c r="B748" s="380"/>
      <c r="C748" s="56"/>
      <c r="D748" s="56"/>
      <c r="E748" s="56"/>
      <c r="F748" s="56"/>
      <c r="G748" s="380"/>
      <c r="H748" s="380"/>
      <c r="I748" s="380"/>
      <c r="J748" s="56"/>
      <c r="K748" s="56"/>
      <c r="L748" s="56"/>
      <c r="M748" s="56"/>
      <c r="N748" s="56"/>
      <c r="O748" s="56"/>
      <c r="P748" s="56"/>
      <c r="Q748" s="56"/>
      <c r="R748" s="56"/>
      <c r="S748" s="380"/>
      <c r="T748" s="56"/>
      <c r="U748" s="56"/>
      <c r="V748" s="56"/>
      <c r="W748" s="380"/>
      <c r="X748" s="380"/>
      <c r="Y748" s="380"/>
      <c r="Z748" s="380"/>
      <c r="AA748" s="380"/>
      <c r="AB748" s="56"/>
      <c r="AC748" s="56"/>
      <c r="AD748" s="56"/>
      <c r="AE748" s="56"/>
      <c r="AF748" s="56"/>
      <c r="AG748" s="155"/>
      <c r="AH748" s="56"/>
      <c r="AI748" s="56"/>
      <c r="AJ748" s="56"/>
      <c r="AK748" s="155"/>
      <c r="AL748" s="56"/>
      <c r="AM748" s="56"/>
      <c r="AN748" s="56"/>
      <c r="AO748" s="56"/>
      <c r="AP748" s="56"/>
      <c r="AR748" s="380"/>
      <c r="AS748" s="380"/>
      <c r="AT748" s="380"/>
      <c r="AU748" s="380"/>
      <c r="AV748" s="380"/>
      <c r="AW748" s="380"/>
      <c r="AX748" s="380"/>
      <c r="AY748" s="380"/>
      <c r="AZ748" s="380"/>
      <c r="BA748" s="380"/>
      <c r="BB748" s="380"/>
      <c r="BC748" s="380"/>
      <c r="BD748" s="380"/>
      <c r="BE748" s="380"/>
      <c r="BF748" s="380"/>
      <c r="BG748" s="380"/>
      <c r="BH748" s="380"/>
      <c r="BI748" s="380"/>
      <c r="BJ748" s="380"/>
      <c r="BK748" s="380"/>
      <c r="BL748" s="380"/>
      <c r="BM748" s="380"/>
      <c r="BN748" s="380"/>
      <c r="BO748" s="380"/>
      <c r="BP748" s="380"/>
      <c r="BQ748" s="380"/>
      <c r="BR748" s="380"/>
      <c r="BS748" s="380"/>
      <c r="BT748" s="380"/>
      <c r="BU748" s="380"/>
      <c r="BV748" s="380"/>
      <c r="BW748" s="380"/>
      <c r="BX748" s="380"/>
      <c r="BY748" s="380"/>
    </row>
    <row r="749" spans="1:77" s="170" customFormat="1" x14ac:dyDescent="0.25">
      <c r="A749" s="56"/>
      <c r="B749" s="380"/>
      <c r="C749" s="56"/>
      <c r="D749" s="56"/>
      <c r="E749" s="56"/>
      <c r="F749" s="56"/>
      <c r="G749" s="380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380"/>
      <c r="T749" s="56"/>
      <c r="U749" s="56"/>
      <c r="V749" s="56"/>
      <c r="W749" s="380"/>
      <c r="X749" s="380"/>
      <c r="Y749" s="380"/>
      <c r="Z749" s="380"/>
      <c r="AA749" s="56"/>
      <c r="AB749" s="56"/>
      <c r="AC749" s="56"/>
      <c r="AD749" s="56"/>
      <c r="AE749" s="56"/>
      <c r="AF749" s="56"/>
      <c r="AG749" s="155"/>
      <c r="AH749" s="56"/>
      <c r="AI749" s="56"/>
      <c r="AJ749" s="56"/>
      <c r="AK749" s="155"/>
      <c r="AL749" s="56"/>
      <c r="AM749" s="56"/>
      <c r="AN749" s="56"/>
      <c r="AO749" s="56"/>
      <c r="AP749" s="56"/>
      <c r="AR749" s="380"/>
      <c r="AS749" s="380"/>
      <c r="AT749" s="380"/>
      <c r="AU749" s="380"/>
      <c r="AV749" s="380"/>
      <c r="AW749" s="380"/>
      <c r="AX749" s="380"/>
      <c r="AY749" s="380"/>
      <c r="AZ749" s="380"/>
      <c r="BA749" s="380"/>
      <c r="BB749" s="380"/>
      <c r="BC749" s="380"/>
      <c r="BD749" s="380"/>
      <c r="BE749" s="380"/>
      <c r="BF749" s="380"/>
      <c r="BG749" s="380"/>
      <c r="BH749" s="380"/>
      <c r="BI749" s="380"/>
      <c r="BJ749" s="380"/>
      <c r="BK749" s="380"/>
      <c r="BL749" s="380"/>
      <c r="BM749" s="380"/>
      <c r="BN749" s="380"/>
      <c r="BO749" s="380"/>
      <c r="BP749" s="380"/>
      <c r="BQ749" s="380"/>
      <c r="BR749" s="380"/>
      <c r="BS749" s="380"/>
      <c r="BT749" s="380"/>
      <c r="BU749" s="380"/>
      <c r="BV749" s="380"/>
      <c r="BW749" s="380"/>
      <c r="BX749" s="380"/>
      <c r="BY749" s="380"/>
    </row>
    <row r="750" spans="1:77" s="170" customFormat="1" x14ac:dyDescent="0.25">
      <c r="A750" s="380"/>
      <c r="B750" s="380"/>
      <c r="C750" s="56"/>
      <c r="D750" s="56"/>
      <c r="E750" s="56"/>
      <c r="F750" s="56"/>
      <c r="G750" s="380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380"/>
      <c r="T750" s="56"/>
      <c r="U750" s="56"/>
      <c r="V750" s="56"/>
      <c r="W750" s="380"/>
      <c r="X750" s="380"/>
      <c r="Y750" s="380"/>
      <c r="Z750" s="380"/>
      <c r="AA750" s="56"/>
      <c r="AB750" s="56"/>
      <c r="AC750" s="56"/>
      <c r="AD750" s="56"/>
      <c r="AE750" s="56"/>
      <c r="AF750" s="56"/>
      <c r="AG750" s="155"/>
      <c r="AH750" s="56"/>
      <c r="AI750" s="56"/>
      <c r="AJ750" s="56"/>
      <c r="AK750" s="155"/>
      <c r="AL750" s="56"/>
      <c r="AM750" s="56"/>
      <c r="AN750" s="56"/>
      <c r="AO750" s="56"/>
      <c r="AP750" s="56"/>
      <c r="AR750" s="380"/>
      <c r="AS750" s="380"/>
      <c r="AT750" s="380"/>
      <c r="AU750" s="380"/>
      <c r="AV750" s="380"/>
      <c r="AW750" s="380"/>
      <c r="AX750" s="380"/>
      <c r="AY750" s="380"/>
      <c r="AZ750" s="380"/>
      <c r="BA750" s="380"/>
      <c r="BB750" s="380"/>
      <c r="BC750" s="380"/>
      <c r="BD750" s="380"/>
      <c r="BE750" s="380"/>
      <c r="BF750" s="380"/>
      <c r="BG750" s="380"/>
      <c r="BH750" s="380"/>
      <c r="BI750" s="380"/>
      <c r="BJ750" s="380"/>
      <c r="BK750" s="380"/>
      <c r="BL750" s="380"/>
      <c r="BM750" s="380"/>
      <c r="BN750" s="380"/>
      <c r="BO750" s="380"/>
      <c r="BP750" s="380"/>
      <c r="BQ750" s="380"/>
      <c r="BR750" s="380"/>
      <c r="BS750" s="380"/>
      <c r="BT750" s="380"/>
      <c r="BU750" s="380"/>
      <c r="BV750" s="380"/>
      <c r="BW750" s="380"/>
      <c r="BX750" s="380"/>
      <c r="BY750" s="380"/>
    </row>
    <row r="751" spans="1:77" s="170" customFormat="1" x14ac:dyDescent="0.25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380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154"/>
      <c r="AH751" s="55"/>
      <c r="AI751" s="55"/>
      <c r="AJ751" s="55"/>
      <c r="AK751" s="154"/>
      <c r="AL751" s="55"/>
      <c r="AM751" s="55"/>
      <c r="AN751" s="55"/>
      <c r="AO751" s="55"/>
      <c r="AP751" s="55"/>
      <c r="AR751" s="380"/>
      <c r="AS751" s="380"/>
      <c r="AT751" s="380"/>
      <c r="AU751" s="380"/>
      <c r="AV751" s="380"/>
      <c r="AW751" s="380"/>
      <c r="AX751" s="380"/>
      <c r="AY751" s="380"/>
      <c r="AZ751" s="380"/>
      <c r="BA751" s="380"/>
      <c r="BB751" s="380"/>
      <c r="BC751" s="380"/>
      <c r="BD751" s="380"/>
      <c r="BE751" s="380"/>
      <c r="BF751" s="380"/>
      <c r="BG751" s="380"/>
      <c r="BH751" s="380"/>
      <c r="BI751" s="380"/>
      <c r="BJ751" s="380"/>
      <c r="BK751" s="380"/>
      <c r="BL751" s="380"/>
      <c r="BM751" s="380"/>
      <c r="BN751" s="380"/>
      <c r="BO751" s="380"/>
      <c r="BP751" s="380"/>
      <c r="BQ751" s="380"/>
      <c r="BR751" s="380"/>
      <c r="BS751" s="380"/>
      <c r="BT751" s="380"/>
      <c r="BU751" s="380"/>
      <c r="BV751" s="380"/>
      <c r="BW751" s="380"/>
      <c r="BX751" s="380"/>
      <c r="BY751" s="380"/>
    </row>
    <row r="752" spans="1:77" s="170" customFormat="1" x14ac:dyDescent="0.25">
      <c r="A752" s="380"/>
      <c r="B752" s="380"/>
      <c r="C752" s="380"/>
      <c r="D752" s="380"/>
      <c r="E752" s="380"/>
      <c r="F752" s="380"/>
      <c r="G752" s="380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380"/>
      <c r="T752" s="380"/>
      <c r="U752" s="380"/>
      <c r="V752" s="380"/>
      <c r="W752" s="380"/>
      <c r="X752" s="380"/>
      <c r="Y752" s="380"/>
      <c r="Z752" s="380"/>
      <c r="AA752" s="56"/>
      <c r="AB752" s="56"/>
      <c r="AC752" s="56"/>
      <c r="AD752" s="56"/>
      <c r="AE752" s="56"/>
      <c r="AF752" s="56"/>
      <c r="AG752" s="155"/>
      <c r="AH752" s="56"/>
      <c r="AI752" s="56"/>
      <c r="AJ752" s="56"/>
      <c r="AK752" s="155"/>
      <c r="AL752" s="56"/>
      <c r="AM752" s="56"/>
      <c r="AN752" s="56"/>
      <c r="AO752" s="56"/>
      <c r="AP752" s="56"/>
      <c r="AR752" s="380"/>
      <c r="AS752" s="380"/>
      <c r="AT752" s="380"/>
      <c r="AU752" s="380"/>
      <c r="AV752" s="380"/>
      <c r="AW752" s="380"/>
      <c r="AX752" s="380"/>
      <c r="AY752" s="380"/>
      <c r="AZ752" s="380"/>
      <c r="BA752" s="380"/>
      <c r="BB752" s="380"/>
      <c r="BC752" s="380"/>
      <c r="BD752" s="380"/>
      <c r="BE752" s="380"/>
      <c r="BF752" s="380"/>
      <c r="BG752" s="380"/>
      <c r="BH752" s="380"/>
      <c r="BI752" s="380"/>
      <c r="BJ752" s="380"/>
      <c r="BK752" s="380"/>
      <c r="BL752" s="380"/>
      <c r="BM752" s="380"/>
      <c r="BN752" s="380"/>
      <c r="BO752" s="380"/>
      <c r="BP752" s="380"/>
      <c r="BQ752" s="380"/>
      <c r="BR752" s="380"/>
      <c r="BS752" s="380"/>
      <c r="BT752" s="380"/>
      <c r="BU752" s="380"/>
      <c r="BV752" s="380"/>
      <c r="BW752" s="380"/>
      <c r="BX752" s="380"/>
      <c r="BY752" s="380"/>
    </row>
    <row r="753" spans="1:77" s="170" customFormat="1" x14ac:dyDescent="0.25">
      <c r="A753" s="53"/>
      <c r="B753" s="380"/>
      <c r="C753" s="54"/>
      <c r="D753" s="54"/>
      <c r="E753" s="54"/>
      <c r="F753" s="380"/>
      <c r="G753" s="380"/>
      <c r="H753" s="380"/>
      <c r="I753" s="380"/>
      <c r="J753" s="380"/>
      <c r="K753" s="380"/>
      <c r="L753" s="380"/>
      <c r="M753" s="380"/>
      <c r="N753" s="380"/>
      <c r="O753" s="380"/>
      <c r="P753" s="380"/>
      <c r="Q753" s="380"/>
      <c r="R753" s="380"/>
      <c r="S753" s="380"/>
      <c r="T753" s="54"/>
      <c r="U753" s="54"/>
      <c r="V753" s="380"/>
      <c r="W753" s="380"/>
      <c r="X753" s="380"/>
      <c r="Y753" s="380"/>
      <c r="Z753" s="380"/>
      <c r="AA753" s="380"/>
      <c r="AB753" s="380"/>
      <c r="AC753" s="380"/>
      <c r="AD753" s="380"/>
      <c r="AE753" s="380"/>
      <c r="AF753" s="380"/>
      <c r="AG753" s="153"/>
      <c r="AH753" s="380"/>
      <c r="AI753" s="380"/>
      <c r="AJ753" s="380"/>
      <c r="AK753" s="153"/>
      <c r="AL753" s="380"/>
      <c r="AM753" s="380"/>
      <c r="AN753" s="380"/>
      <c r="AO753" s="380"/>
      <c r="AP753" s="380"/>
      <c r="AR753" s="380"/>
      <c r="AS753" s="380"/>
      <c r="AT753" s="380"/>
      <c r="AU753" s="380"/>
      <c r="AV753" s="380"/>
      <c r="AW753" s="380"/>
      <c r="AX753" s="380"/>
      <c r="AY753" s="380"/>
      <c r="AZ753" s="380"/>
      <c r="BA753" s="380"/>
      <c r="BB753" s="380"/>
      <c r="BC753" s="380"/>
      <c r="BD753" s="380"/>
      <c r="BE753" s="380"/>
      <c r="BF753" s="380"/>
      <c r="BG753" s="380"/>
      <c r="BH753" s="380"/>
      <c r="BI753" s="380"/>
      <c r="BJ753" s="380"/>
      <c r="BK753" s="380"/>
      <c r="BL753" s="380"/>
      <c r="BM753" s="380"/>
      <c r="BN753" s="380"/>
      <c r="BO753" s="380"/>
      <c r="BP753" s="380"/>
      <c r="BQ753" s="380"/>
      <c r="BR753" s="380"/>
      <c r="BS753" s="380"/>
      <c r="BT753" s="380"/>
      <c r="BU753" s="380"/>
      <c r="BV753" s="380"/>
      <c r="BW753" s="380"/>
      <c r="BX753" s="380"/>
      <c r="BY753" s="380"/>
    </row>
    <row r="755" spans="1:77" s="170" customFormat="1" x14ac:dyDescent="0.25">
      <c r="A755" s="53"/>
      <c r="B755" s="380"/>
      <c r="C755" s="54"/>
      <c r="D755" s="54"/>
      <c r="E755" s="54"/>
      <c r="F755" s="380"/>
      <c r="G755" s="380"/>
      <c r="H755" s="380"/>
      <c r="I755" s="380"/>
      <c r="J755" s="380"/>
      <c r="K755" s="380"/>
      <c r="L755" s="380"/>
      <c r="M755" s="380"/>
      <c r="N755" s="380"/>
      <c r="O755" s="380"/>
      <c r="P755" s="380"/>
      <c r="Q755" s="380"/>
      <c r="R755" s="380"/>
      <c r="S755" s="380"/>
      <c r="T755" s="54"/>
      <c r="U755" s="54"/>
      <c r="V755" s="380"/>
      <c r="W755" s="380"/>
      <c r="X755" s="380"/>
      <c r="Y755" s="380"/>
      <c r="Z755" s="380"/>
      <c r="AA755" s="380"/>
      <c r="AB755" s="380"/>
      <c r="AC755" s="380"/>
      <c r="AD755" s="380"/>
      <c r="AE755" s="380"/>
      <c r="AF755" s="380"/>
      <c r="AG755" s="153"/>
      <c r="AH755" s="380"/>
      <c r="AI755" s="380"/>
      <c r="AJ755" s="380"/>
      <c r="AK755" s="153"/>
      <c r="AL755" s="380"/>
      <c r="AM755" s="380"/>
      <c r="AN755" s="380"/>
      <c r="AO755" s="380"/>
      <c r="AP755" s="380"/>
      <c r="AR755" s="380"/>
      <c r="AS755" s="380"/>
      <c r="AT755" s="380"/>
      <c r="AU755" s="380"/>
      <c r="AV755" s="380"/>
      <c r="AW755" s="380"/>
      <c r="AX755" s="380"/>
      <c r="AY755" s="380"/>
      <c r="AZ755" s="380"/>
      <c r="BA755" s="380"/>
      <c r="BB755" s="380"/>
      <c r="BC755" s="380"/>
      <c r="BD755" s="380"/>
      <c r="BE755" s="380"/>
      <c r="BF755" s="380"/>
      <c r="BG755" s="380"/>
      <c r="BH755" s="380"/>
      <c r="BI755" s="380"/>
      <c r="BJ755" s="380"/>
      <c r="BK755" s="380"/>
      <c r="BL755" s="380"/>
      <c r="BM755" s="380"/>
      <c r="BN755" s="380"/>
      <c r="BO755" s="380"/>
      <c r="BP755" s="380"/>
      <c r="BQ755" s="380"/>
      <c r="BR755" s="380"/>
      <c r="BS755" s="380"/>
      <c r="BT755" s="380"/>
      <c r="BU755" s="380"/>
      <c r="BV755" s="380"/>
      <c r="BW755" s="380"/>
      <c r="BX755" s="380"/>
      <c r="BY755" s="380"/>
    </row>
    <row r="756" spans="1:77" s="170" customFormat="1" x14ac:dyDescent="0.25">
      <c r="A756" s="53"/>
      <c r="B756" s="380"/>
      <c r="C756" s="54"/>
      <c r="D756" s="380"/>
      <c r="E756" s="380"/>
      <c r="F756" s="380"/>
      <c r="G756" s="380"/>
      <c r="H756" s="380"/>
      <c r="I756" s="380"/>
      <c r="J756" s="380"/>
      <c r="K756" s="380"/>
      <c r="L756" s="380"/>
      <c r="M756" s="380"/>
      <c r="N756" s="380"/>
      <c r="O756" s="380"/>
      <c r="P756" s="380"/>
      <c r="Q756" s="380"/>
      <c r="R756" s="380"/>
      <c r="S756" s="380"/>
      <c r="T756" s="54"/>
      <c r="U756" s="380"/>
      <c r="V756" s="380"/>
      <c r="W756" s="380"/>
      <c r="X756" s="380"/>
      <c r="Y756" s="380"/>
      <c r="Z756" s="380"/>
      <c r="AA756" s="380"/>
      <c r="AB756" s="380"/>
      <c r="AC756" s="380"/>
      <c r="AD756" s="380"/>
      <c r="AE756" s="380"/>
      <c r="AF756" s="380"/>
      <c r="AG756" s="153"/>
      <c r="AH756" s="380"/>
      <c r="AI756" s="380"/>
      <c r="AJ756" s="380"/>
      <c r="AK756" s="153"/>
      <c r="AL756" s="380"/>
      <c r="AM756" s="380"/>
      <c r="AN756" s="380"/>
      <c r="AO756" s="380"/>
      <c r="AP756" s="380"/>
      <c r="AR756" s="380"/>
      <c r="AS756" s="380"/>
      <c r="AT756" s="380"/>
      <c r="AU756" s="380"/>
      <c r="AV756" s="380"/>
      <c r="AW756" s="380"/>
      <c r="AX756" s="380"/>
      <c r="AY756" s="380"/>
      <c r="AZ756" s="380"/>
      <c r="BA756" s="380"/>
      <c r="BB756" s="380"/>
      <c r="BC756" s="380"/>
      <c r="BD756" s="380"/>
      <c r="BE756" s="380"/>
      <c r="BF756" s="380"/>
      <c r="BG756" s="380"/>
      <c r="BH756" s="380"/>
      <c r="BI756" s="380"/>
      <c r="BJ756" s="380"/>
      <c r="BK756" s="380"/>
      <c r="BL756" s="380"/>
      <c r="BM756" s="380"/>
      <c r="BN756" s="380"/>
      <c r="BO756" s="380"/>
      <c r="BP756" s="380"/>
      <c r="BQ756" s="380"/>
      <c r="BR756" s="380"/>
      <c r="BS756" s="380"/>
      <c r="BT756" s="380"/>
      <c r="BU756" s="380"/>
      <c r="BV756" s="380"/>
      <c r="BW756" s="380"/>
      <c r="BX756" s="380"/>
      <c r="BY756" s="380"/>
    </row>
    <row r="757" spans="1:77" s="170" customFormat="1" x14ac:dyDescent="0.25">
      <c r="A757" s="53"/>
      <c r="B757" s="380"/>
      <c r="C757" s="54"/>
      <c r="D757" s="380"/>
      <c r="E757" s="380"/>
      <c r="F757" s="380"/>
      <c r="G757" s="380"/>
      <c r="H757" s="380"/>
      <c r="I757" s="380"/>
      <c r="J757" s="380"/>
      <c r="K757" s="380"/>
      <c r="L757" s="380"/>
      <c r="M757" s="380"/>
      <c r="N757" s="380"/>
      <c r="O757" s="380"/>
      <c r="P757" s="380"/>
      <c r="Q757" s="380"/>
      <c r="R757" s="380"/>
      <c r="S757" s="380"/>
      <c r="T757" s="54"/>
      <c r="U757" s="380"/>
      <c r="V757" s="380"/>
      <c r="W757" s="380"/>
      <c r="X757" s="380"/>
      <c r="Y757" s="380"/>
      <c r="Z757" s="380"/>
      <c r="AA757" s="380"/>
      <c r="AB757" s="380"/>
      <c r="AC757" s="380"/>
      <c r="AD757" s="380"/>
      <c r="AE757" s="380"/>
      <c r="AF757" s="380"/>
      <c r="AG757" s="153"/>
      <c r="AH757" s="380"/>
      <c r="AI757" s="380"/>
      <c r="AJ757" s="380"/>
      <c r="AK757" s="153"/>
      <c r="AL757" s="380"/>
      <c r="AM757" s="380"/>
      <c r="AN757" s="380"/>
      <c r="AO757" s="380"/>
      <c r="AP757" s="380"/>
      <c r="AR757" s="380"/>
      <c r="AS757" s="380"/>
      <c r="AT757" s="380"/>
      <c r="AU757" s="380"/>
      <c r="AV757" s="380"/>
      <c r="AW757" s="380"/>
      <c r="AX757" s="380"/>
      <c r="AY757" s="380"/>
      <c r="AZ757" s="380"/>
      <c r="BA757" s="380"/>
      <c r="BB757" s="380"/>
      <c r="BC757" s="380"/>
      <c r="BD757" s="380"/>
      <c r="BE757" s="380"/>
      <c r="BF757" s="380"/>
      <c r="BG757" s="380"/>
      <c r="BH757" s="380"/>
      <c r="BI757" s="380"/>
      <c r="BJ757" s="380"/>
      <c r="BK757" s="380"/>
      <c r="BL757" s="380"/>
      <c r="BM757" s="380"/>
      <c r="BN757" s="380"/>
      <c r="BO757" s="380"/>
      <c r="BP757" s="380"/>
      <c r="BQ757" s="380"/>
      <c r="BR757" s="380"/>
      <c r="BS757" s="380"/>
      <c r="BT757" s="380"/>
      <c r="BU757" s="380"/>
      <c r="BV757" s="380"/>
      <c r="BW757" s="380"/>
      <c r="BX757" s="380"/>
      <c r="BY757" s="380"/>
    </row>
    <row r="758" spans="1:77" s="170" customFormat="1" x14ac:dyDescent="0.25">
      <c r="A758" s="53"/>
      <c r="B758" s="380"/>
      <c r="C758" s="54"/>
      <c r="D758" s="380"/>
      <c r="E758" s="380"/>
      <c r="F758" s="380"/>
      <c r="G758" s="380"/>
      <c r="H758" s="449"/>
      <c r="I758" s="449"/>
      <c r="J758" s="221"/>
      <c r="K758" s="221"/>
      <c r="L758" s="379"/>
      <c r="M758" s="379"/>
      <c r="N758" s="50"/>
      <c r="O758" s="50"/>
      <c r="P758" s="379"/>
      <c r="Q758" s="379"/>
      <c r="R758" s="379"/>
      <c r="S758" s="380"/>
      <c r="T758" s="54"/>
      <c r="U758" s="380"/>
      <c r="V758" s="379"/>
      <c r="W758" s="379"/>
      <c r="X758" s="379"/>
      <c r="Y758" s="379"/>
      <c r="Z758" s="379"/>
      <c r="AA758" s="379"/>
      <c r="AB758" s="221"/>
      <c r="AC758" s="379"/>
      <c r="AD758" s="379"/>
      <c r="AE758" s="50"/>
      <c r="AF758" s="50"/>
      <c r="AG758" s="156"/>
      <c r="AH758" s="379"/>
      <c r="AI758" s="60"/>
      <c r="AJ758" s="60"/>
      <c r="AK758" s="156"/>
      <c r="AL758" s="379"/>
      <c r="AM758" s="379"/>
      <c r="AN758" s="379"/>
      <c r="AO758" s="50"/>
      <c r="AP758" s="50"/>
      <c r="AR758" s="380"/>
      <c r="AS758" s="380"/>
      <c r="AT758" s="380"/>
      <c r="AU758" s="380"/>
      <c r="AV758" s="380"/>
      <c r="AW758" s="380"/>
      <c r="AX758" s="380"/>
      <c r="AY758" s="380"/>
      <c r="AZ758" s="380"/>
      <c r="BA758" s="380"/>
      <c r="BB758" s="380"/>
      <c r="BC758" s="380"/>
      <c r="BD758" s="380"/>
      <c r="BE758" s="380"/>
      <c r="BF758" s="380"/>
      <c r="BG758" s="380"/>
      <c r="BH758" s="380"/>
      <c r="BI758" s="380"/>
      <c r="BJ758" s="380"/>
      <c r="BK758" s="380"/>
      <c r="BL758" s="380"/>
      <c r="BM758" s="380"/>
      <c r="BN758" s="380"/>
      <c r="BO758" s="380"/>
      <c r="BP758" s="380"/>
      <c r="BQ758" s="380"/>
      <c r="BR758" s="380"/>
      <c r="BS758" s="380"/>
      <c r="BT758" s="380"/>
      <c r="BU758" s="380"/>
      <c r="BV758" s="380"/>
      <c r="BW758" s="380"/>
      <c r="BX758" s="380"/>
      <c r="BY758" s="380"/>
    </row>
    <row r="759" spans="1:77" s="170" customFormat="1" x14ac:dyDescent="0.25">
      <c r="A759" s="53"/>
      <c r="B759" s="380"/>
      <c r="C759" s="54"/>
      <c r="D759" s="380"/>
      <c r="E759" s="380"/>
      <c r="F759" s="449"/>
      <c r="G759" s="380"/>
      <c r="H759" s="380"/>
      <c r="I759" s="380"/>
      <c r="J759" s="65"/>
      <c r="K759" s="65"/>
      <c r="L759" s="380"/>
      <c r="M759" s="380"/>
      <c r="N759" s="380"/>
      <c r="O759" s="380"/>
      <c r="P759" s="380"/>
      <c r="Q759" s="380"/>
      <c r="R759" s="380"/>
      <c r="S759" s="380"/>
      <c r="T759" s="54"/>
      <c r="U759" s="380"/>
      <c r="V759" s="379"/>
      <c r="W759" s="379"/>
      <c r="X759" s="379"/>
      <c r="Y759" s="379"/>
      <c r="Z759" s="379"/>
      <c r="AA759" s="379"/>
      <c r="AB759" s="221"/>
      <c r="AC759" s="380"/>
      <c r="AD759" s="380"/>
      <c r="AE759" s="380"/>
      <c r="AF759" s="380"/>
      <c r="AG759" s="153"/>
      <c r="AH759" s="380"/>
      <c r="AI759" s="380"/>
      <c r="AJ759" s="380"/>
      <c r="AK759" s="153"/>
      <c r="AL759" s="380"/>
      <c r="AM759" s="380"/>
      <c r="AN759" s="380"/>
      <c r="AO759" s="380"/>
      <c r="AP759" s="380"/>
      <c r="AR759" s="380"/>
      <c r="AS759" s="380"/>
      <c r="AT759" s="380"/>
      <c r="AU759" s="380"/>
      <c r="AV759" s="380"/>
      <c r="AW759" s="380"/>
      <c r="AX759" s="380"/>
      <c r="AY759" s="380"/>
      <c r="AZ759" s="380"/>
      <c r="BA759" s="380"/>
      <c r="BB759" s="380"/>
      <c r="BC759" s="380"/>
      <c r="BD759" s="380"/>
      <c r="BE759" s="380"/>
      <c r="BF759" s="380"/>
      <c r="BG759" s="380"/>
      <c r="BH759" s="380"/>
      <c r="BI759" s="380"/>
      <c r="BJ759" s="380"/>
      <c r="BK759" s="380"/>
      <c r="BL759" s="380"/>
      <c r="BM759" s="380"/>
      <c r="BN759" s="380"/>
      <c r="BO759" s="380"/>
      <c r="BP759" s="380"/>
      <c r="BQ759" s="380"/>
      <c r="BR759" s="380"/>
      <c r="BS759" s="380"/>
      <c r="BT759" s="380"/>
      <c r="BU759" s="380"/>
      <c r="BV759" s="380"/>
      <c r="BW759" s="380"/>
      <c r="BX759" s="380"/>
      <c r="BY759" s="380"/>
    </row>
    <row r="760" spans="1:77" s="170" customFormat="1" x14ac:dyDescent="0.25">
      <c r="A760" s="53"/>
      <c r="B760" s="380"/>
      <c r="C760" s="54"/>
      <c r="D760" s="380"/>
      <c r="E760" s="380"/>
      <c r="F760" s="380"/>
      <c r="G760" s="380"/>
      <c r="H760" s="449"/>
      <c r="I760" s="449"/>
      <c r="J760" s="221"/>
      <c r="K760" s="221"/>
      <c r="L760" s="379"/>
      <c r="M760" s="379"/>
      <c r="N760" s="50"/>
      <c r="O760" s="50"/>
      <c r="P760" s="379"/>
      <c r="Q760" s="379"/>
      <c r="R760" s="379"/>
      <c r="S760" s="380"/>
      <c r="T760" s="54"/>
      <c r="U760" s="380"/>
      <c r="V760" s="379"/>
      <c r="W760" s="379"/>
      <c r="X760" s="379"/>
      <c r="Y760" s="379"/>
      <c r="Z760" s="379"/>
      <c r="AA760" s="379"/>
      <c r="AB760" s="221"/>
      <c r="AC760" s="379"/>
      <c r="AD760" s="379"/>
      <c r="AE760" s="50"/>
      <c r="AF760" s="50"/>
      <c r="AG760" s="156"/>
      <c r="AH760" s="379"/>
      <c r="AI760" s="60"/>
      <c r="AJ760" s="60"/>
      <c r="AK760" s="156"/>
      <c r="AL760" s="379"/>
      <c r="AM760" s="379"/>
      <c r="AN760" s="379"/>
      <c r="AO760" s="50"/>
      <c r="AP760" s="50"/>
      <c r="AR760" s="380"/>
      <c r="AS760" s="380"/>
      <c r="AT760" s="380"/>
      <c r="AU760" s="380"/>
      <c r="AV760" s="380"/>
      <c r="AW760" s="380"/>
      <c r="AX760" s="380"/>
      <c r="AY760" s="380"/>
      <c r="AZ760" s="380"/>
      <c r="BA760" s="380"/>
      <c r="BB760" s="380"/>
      <c r="BC760" s="380"/>
      <c r="BD760" s="380"/>
      <c r="BE760" s="380"/>
      <c r="BF760" s="380"/>
      <c r="BG760" s="380"/>
      <c r="BH760" s="380"/>
      <c r="BI760" s="380"/>
      <c r="BJ760" s="380"/>
      <c r="BK760" s="380"/>
      <c r="BL760" s="380"/>
      <c r="BM760" s="380"/>
      <c r="BN760" s="380"/>
      <c r="BO760" s="380"/>
      <c r="BP760" s="380"/>
      <c r="BQ760" s="380"/>
      <c r="BR760" s="380"/>
      <c r="BS760" s="380"/>
      <c r="BT760" s="380"/>
      <c r="BU760" s="380"/>
      <c r="BV760" s="380"/>
      <c r="BW760" s="380"/>
      <c r="BX760" s="380"/>
      <c r="BY760" s="380"/>
    </row>
    <row r="761" spans="1:77" s="170" customFormat="1" x14ac:dyDescent="0.25">
      <c r="A761" s="53"/>
      <c r="B761" s="380"/>
      <c r="C761" s="54"/>
      <c r="D761" s="380"/>
      <c r="E761" s="380"/>
      <c r="F761" s="449"/>
      <c r="G761" s="380"/>
      <c r="H761" s="380"/>
      <c r="I761" s="380"/>
      <c r="J761" s="65"/>
      <c r="K761" s="65"/>
      <c r="L761" s="380"/>
      <c r="M761" s="380"/>
      <c r="N761" s="380"/>
      <c r="O761" s="380"/>
      <c r="P761" s="380"/>
      <c r="Q761" s="380"/>
      <c r="R761" s="380"/>
      <c r="S761" s="380"/>
      <c r="T761" s="54"/>
      <c r="U761" s="380"/>
      <c r="V761" s="379"/>
      <c r="W761" s="379"/>
      <c r="X761" s="379"/>
      <c r="Y761" s="379"/>
      <c r="Z761" s="379"/>
      <c r="AA761" s="379"/>
      <c r="AB761" s="221"/>
      <c r="AC761" s="380"/>
      <c r="AD761" s="380"/>
      <c r="AE761" s="380"/>
      <c r="AF761" s="380"/>
      <c r="AG761" s="153"/>
      <c r="AH761" s="380"/>
      <c r="AI761" s="380"/>
      <c r="AJ761" s="380"/>
      <c r="AK761" s="153"/>
      <c r="AL761" s="380"/>
      <c r="AM761" s="380"/>
      <c r="AN761" s="380"/>
      <c r="AO761" s="380"/>
      <c r="AP761" s="380"/>
      <c r="AR761" s="380"/>
      <c r="AS761" s="380"/>
      <c r="AT761" s="380"/>
      <c r="AU761" s="380"/>
      <c r="AV761" s="380"/>
      <c r="AW761" s="380"/>
      <c r="AX761" s="380"/>
      <c r="AY761" s="380"/>
      <c r="AZ761" s="380"/>
      <c r="BA761" s="380"/>
      <c r="BB761" s="380"/>
      <c r="BC761" s="380"/>
      <c r="BD761" s="380"/>
      <c r="BE761" s="380"/>
      <c r="BF761" s="380"/>
      <c r="BG761" s="380"/>
      <c r="BH761" s="380"/>
      <c r="BI761" s="380"/>
      <c r="BJ761" s="380"/>
      <c r="BK761" s="380"/>
      <c r="BL761" s="380"/>
      <c r="BM761" s="380"/>
      <c r="BN761" s="380"/>
      <c r="BO761" s="380"/>
      <c r="BP761" s="380"/>
      <c r="BQ761" s="380"/>
      <c r="BR761" s="380"/>
      <c r="BS761" s="380"/>
      <c r="BT761" s="380"/>
      <c r="BU761" s="380"/>
      <c r="BV761" s="380"/>
      <c r="BW761" s="380"/>
      <c r="BX761" s="380"/>
      <c r="BY761" s="380"/>
    </row>
    <row r="762" spans="1:77" s="170" customFormat="1" x14ac:dyDescent="0.25">
      <c r="A762" s="53"/>
      <c r="B762" s="380"/>
      <c r="C762" s="54"/>
      <c r="D762" s="380"/>
      <c r="E762" s="380"/>
      <c r="F762" s="380"/>
      <c r="G762" s="380"/>
      <c r="H762" s="449"/>
      <c r="I762" s="449"/>
      <c r="J762" s="221"/>
      <c r="K762" s="221"/>
      <c r="L762" s="379"/>
      <c r="M762" s="379"/>
      <c r="N762" s="50"/>
      <c r="O762" s="50"/>
      <c r="P762" s="379"/>
      <c r="Q762" s="379"/>
      <c r="R762" s="379"/>
      <c r="S762" s="380"/>
      <c r="T762" s="54"/>
      <c r="U762" s="380"/>
      <c r="V762" s="379"/>
      <c r="W762" s="379"/>
      <c r="X762" s="379"/>
      <c r="Y762" s="379"/>
      <c r="Z762" s="379"/>
      <c r="AA762" s="379"/>
      <c r="AB762" s="221"/>
      <c r="AC762" s="379"/>
      <c r="AD762" s="379"/>
      <c r="AE762" s="50"/>
      <c r="AF762" s="50"/>
      <c r="AG762" s="156"/>
      <c r="AH762" s="379"/>
      <c r="AI762" s="60"/>
      <c r="AJ762" s="60"/>
      <c r="AK762" s="156"/>
      <c r="AL762" s="379"/>
      <c r="AM762" s="379"/>
      <c r="AN762" s="379"/>
      <c r="AO762" s="50"/>
      <c r="AP762" s="50"/>
      <c r="AR762" s="380"/>
      <c r="AS762" s="380"/>
      <c r="AT762" s="380"/>
      <c r="AU762" s="380"/>
      <c r="AV762" s="380"/>
      <c r="AW762" s="380"/>
      <c r="AX762" s="380"/>
      <c r="AY762" s="380"/>
      <c r="AZ762" s="380"/>
      <c r="BA762" s="380"/>
      <c r="BB762" s="380"/>
      <c r="BC762" s="380"/>
      <c r="BD762" s="380"/>
      <c r="BE762" s="380"/>
      <c r="BF762" s="380"/>
      <c r="BG762" s="380"/>
      <c r="BH762" s="380"/>
      <c r="BI762" s="380"/>
      <c r="BJ762" s="380"/>
      <c r="BK762" s="380"/>
      <c r="BL762" s="380"/>
      <c r="BM762" s="380"/>
      <c r="BN762" s="380"/>
      <c r="BO762" s="380"/>
      <c r="BP762" s="380"/>
      <c r="BQ762" s="380"/>
      <c r="BR762" s="380"/>
      <c r="BS762" s="380"/>
      <c r="BT762" s="380"/>
      <c r="BU762" s="380"/>
      <c r="BV762" s="380"/>
      <c r="BW762" s="380"/>
      <c r="BX762" s="380"/>
      <c r="BY762" s="380"/>
    </row>
    <row r="763" spans="1:77" s="170" customFormat="1" x14ac:dyDescent="0.25">
      <c r="A763" s="53"/>
      <c r="B763" s="380"/>
      <c r="C763" s="54"/>
      <c r="D763" s="380"/>
      <c r="E763" s="380"/>
      <c r="F763" s="449"/>
      <c r="G763" s="380"/>
      <c r="H763" s="380"/>
      <c r="I763" s="380"/>
      <c r="J763" s="65"/>
      <c r="K763" s="65"/>
      <c r="L763" s="380"/>
      <c r="M763" s="380"/>
      <c r="N763" s="380"/>
      <c r="O763" s="380"/>
      <c r="P763" s="380"/>
      <c r="Q763" s="380"/>
      <c r="R763" s="380"/>
      <c r="S763" s="380"/>
      <c r="T763" s="54"/>
      <c r="U763" s="380"/>
      <c r="V763" s="379"/>
      <c r="W763" s="379"/>
      <c r="X763" s="379"/>
      <c r="Y763" s="379"/>
      <c r="Z763" s="379"/>
      <c r="AA763" s="379"/>
      <c r="AB763" s="221"/>
      <c r="AC763" s="380"/>
      <c r="AD763" s="380"/>
      <c r="AE763" s="380"/>
      <c r="AF763" s="380"/>
      <c r="AG763" s="153"/>
      <c r="AH763" s="380"/>
      <c r="AI763" s="380"/>
      <c r="AJ763" s="380"/>
      <c r="AK763" s="153"/>
      <c r="AL763" s="380"/>
      <c r="AM763" s="380"/>
      <c r="AN763" s="380"/>
      <c r="AO763" s="380"/>
      <c r="AP763" s="380"/>
      <c r="AR763" s="380"/>
      <c r="AS763" s="380"/>
      <c r="AT763" s="380"/>
      <c r="AU763" s="380"/>
      <c r="AV763" s="380"/>
      <c r="AW763" s="380"/>
      <c r="AX763" s="380"/>
      <c r="AY763" s="380"/>
      <c r="AZ763" s="380"/>
      <c r="BA763" s="380"/>
      <c r="BB763" s="380"/>
      <c r="BC763" s="380"/>
      <c r="BD763" s="380"/>
      <c r="BE763" s="380"/>
      <c r="BF763" s="380"/>
      <c r="BG763" s="380"/>
      <c r="BH763" s="380"/>
      <c r="BI763" s="380"/>
      <c r="BJ763" s="380"/>
      <c r="BK763" s="380"/>
      <c r="BL763" s="380"/>
      <c r="BM763" s="380"/>
      <c r="BN763" s="380"/>
      <c r="BO763" s="380"/>
      <c r="BP763" s="380"/>
      <c r="BQ763" s="380"/>
      <c r="BR763" s="380"/>
      <c r="BS763" s="380"/>
      <c r="BT763" s="380"/>
      <c r="BU763" s="380"/>
      <c r="BV763" s="380"/>
      <c r="BW763" s="380"/>
      <c r="BX763" s="380"/>
      <c r="BY763" s="380"/>
    </row>
    <row r="764" spans="1:77" s="170" customFormat="1" x14ac:dyDescent="0.25">
      <c r="A764" s="53"/>
      <c r="B764" s="380"/>
      <c r="C764" s="54"/>
      <c r="D764" s="380"/>
      <c r="E764" s="380"/>
      <c r="F764" s="380"/>
      <c r="G764" s="380"/>
      <c r="H764" s="449"/>
      <c r="I764" s="449"/>
      <c r="J764" s="221"/>
      <c r="K764" s="221"/>
      <c r="L764" s="379"/>
      <c r="M764" s="379"/>
      <c r="N764" s="50"/>
      <c r="O764" s="50"/>
      <c r="P764" s="379"/>
      <c r="Q764" s="379"/>
      <c r="R764" s="379"/>
      <c r="S764" s="380"/>
      <c r="T764" s="54"/>
      <c r="U764" s="380"/>
      <c r="V764" s="379"/>
      <c r="W764" s="379"/>
      <c r="X764" s="379"/>
      <c r="Y764" s="379"/>
      <c r="Z764" s="379"/>
      <c r="AA764" s="379"/>
      <c r="AB764" s="221"/>
      <c r="AC764" s="379"/>
      <c r="AD764" s="379"/>
      <c r="AE764" s="50"/>
      <c r="AF764" s="50"/>
      <c r="AG764" s="156"/>
      <c r="AH764" s="379"/>
      <c r="AI764" s="60"/>
      <c r="AJ764" s="60"/>
      <c r="AK764" s="156"/>
      <c r="AL764" s="379"/>
      <c r="AM764" s="379"/>
      <c r="AN764" s="379"/>
      <c r="AO764" s="50"/>
      <c r="AP764" s="50"/>
      <c r="AR764" s="380"/>
      <c r="AS764" s="380"/>
      <c r="AT764" s="380"/>
      <c r="AU764" s="380"/>
      <c r="AV764" s="380"/>
      <c r="AW764" s="380"/>
      <c r="AX764" s="380"/>
      <c r="AY764" s="380"/>
      <c r="AZ764" s="380"/>
      <c r="BA764" s="380"/>
      <c r="BB764" s="380"/>
      <c r="BC764" s="380"/>
      <c r="BD764" s="380"/>
      <c r="BE764" s="380"/>
      <c r="BF764" s="380"/>
      <c r="BG764" s="380"/>
      <c r="BH764" s="380"/>
      <c r="BI764" s="380"/>
      <c r="BJ764" s="380"/>
      <c r="BK764" s="380"/>
      <c r="BL764" s="380"/>
      <c r="BM764" s="380"/>
      <c r="BN764" s="380"/>
      <c r="BO764" s="380"/>
      <c r="BP764" s="380"/>
      <c r="BQ764" s="380"/>
      <c r="BR764" s="380"/>
      <c r="BS764" s="380"/>
      <c r="BT764" s="380"/>
      <c r="BU764" s="380"/>
      <c r="BV764" s="380"/>
      <c r="BW764" s="380"/>
      <c r="BX764" s="380"/>
      <c r="BY764" s="380"/>
    </row>
    <row r="765" spans="1:77" s="170" customFormat="1" x14ac:dyDescent="0.25">
      <c r="A765" s="53"/>
      <c r="B765" s="380"/>
      <c r="C765" s="54"/>
      <c r="D765" s="380"/>
      <c r="E765" s="380"/>
      <c r="F765" s="449"/>
      <c r="G765" s="380"/>
      <c r="H765" s="380"/>
      <c r="I765" s="380"/>
      <c r="J765" s="65"/>
      <c r="K765" s="65"/>
      <c r="L765" s="380"/>
      <c r="M765" s="380"/>
      <c r="N765" s="380"/>
      <c r="O765" s="380"/>
      <c r="P765" s="380"/>
      <c r="Q765" s="380"/>
      <c r="R765" s="380"/>
      <c r="S765" s="380"/>
      <c r="T765" s="54"/>
      <c r="U765" s="380"/>
      <c r="V765" s="379"/>
      <c r="W765" s="379"/>
      <c r="X765" s="379"/>
      <c r="Y765" s="379"/>
      <c r="Z765" s="379"/>
      <c r="AA765" s="379"/>
      <c r="AB765" s="221"/>
      <c r="AC765" s="380"/>
      <c r="AD765" s="380"/>
      <c r="AE765" s="380"/>
      <c r="AF765" s="380"/>
      <c r="AG765" s="153"/>
      <c r="AH765" s="380"/>
      <c r="AI765" s="380"/>
      <c r="AJ765" s="380"/>
      <c r="AK765" s="153"/>
      <c r="AL765" s="380"/>
      <c r="AM765" s="380"/>
      <c r="AN765" s="380"/>
      <c r="AO765" s="380"/>
      <c r="AP765" s="380"/>
      <c r="AR765" s="380"/>
      <c r="AS765" s="380"/>
      <c r="AT765" s="380"/>
      <c r="AU765" s="380"/>
      <c r="AV765" s="380"/>
      <c r="AW765" s="380"/>
      <c r="AX765" s="380"/>
      <c r="AY765" s="380"/>
      <c r="AZ765" s="380"/>
      <c r="BA765" s="380"/>
      <c r="BB765" s="380"/>
      <c r="BC765" s="380"/>
      <c r="BD765" s="380"/>
      <c r="BE765" s="380"/>
      <c r="BF765" s="380"/>
      <c r="BG765" s="380"/>
      <c r="BH765" s="380"/>
      <c r="BI765" s="380"/>
      <c r="BJ765" s="380"/>
      <c r="BK765" s="380"/>
      <c r="BL765" s="380"/>
      <c r="BM765" s="380"/>
      <c r="BN765" s="380"/>
      <c r="BO765" s="380"/>
      <c r="BP765" s="380"/>
      <c r="BQ765" s="380"/>
      <c r="BR765" s="380"/>
      <c r="BS765" s="380"/>
      <c r="BT765" s="380"/>
      <c r="BU765" s="380"/>
      <c r="BV765" s="380"/>
      <c r="BW765" s="380"/>
      <c r="BX765" s="380"/>
      <c r="BY765" s="380"/>
    </row>
    <row r="766" spans="1:77" s="170" customFormat="1" x14ac:dyDescent="0.25">
      <c r="A766" s="53"/>
      <c r="B766" s="380"/>
      <c r="C766" s="54"/>
      <c r="D766" s="380"/>
      <c r="E766" s="380"/>
      <c r="F766" s="380"/>
      <c r="G766" s="380"/>
      <c r="H766" s="449"/>
      <c r="I766" s="449"/>
      <c r="J766" s="221"/>
      <c r="K766" s="221"/>
      <c r="L766" s="379"/>
      <c r="M766" s="379"/>
      <c r="N766" s="50"/>
      <c r="O766" s="50"/>
      <c r="P766" s="379"/>
      <c r="Q766" s="379"/>
      <c r="R766" s="379"/>
      <c r="S766" s="380"/>
      <c r="T766" s="54"/>
      <c r="U766" s="380"/>
      <c r="V766" s="379"/>
      <c r="W766" s="379"/>
      <c r="X766" s="379"/>
      <c r="Y766" s="379"/>
      <c r="Z766" s="379"/>
      <c r="AA766" s="379"/>
      <c r="AB766" s="221"/>
      <c r="AC766" s="379"/>
      <c r="AD766" s="379"/>
      <c r="AE766" s="50"/>
      <c r="AF766" s="50"/>
      <c r="AG766" s="156"/>
      <c r="AH766" s="379"/>
      <c r="AI766" s="60"/>
      <c r="AJ766" s="60"/>
      <c r="AK766" s="156"/>
      <c r="AL766" s="379"/>
      <c r="AM766" s="379"/>
      <c r="AN766" s="379"/>
      <c r="AO766" s="50"/>
      <c r="AP766" s="50"/>
      <c r="AR766" s="380"/>
      <c r="AS766" s="380"/>
      <c r="AT766" s="380"/>
      <c r="AU766" s="380"/>
      <c r="AV766" s="380"/>
      <c r="AW766" s="380"/>
      <c r="AX766" s="380"/>
      <c r="AY766" s="380"/>
      <c r="AZ766" s="380"/>
      <c r="BA766" s="380"/>
      <c r="BB766" s="380"/>
      <c r="BC766" s="380"/>
      <c r="BD766" s="380"/>
      <c r="BE766" s="380"/>
      <c r="BF766" s="380"/>
      <c r="BG766" s="380"/>
      <c r="BH766" s="380"/>
      <c r="BI766" s="380"/>
      <c r="BJ766" s="380"/>
      <c r="BK766" s="380"/>
      <c r="BL766" s="380"/>
      <c r="BM766" s="380"/>
      <c r="BN766" s="380"/>
      <c r="BO766" s="380"/>
      <c r="BP766" s="380"/>
      <c r="BQ766" s="380"/>
      <c r="BR766" s="380"/>
      <c r="BS766" s="380"/>
      <c r="BT766" s="380"/>
      <c r="BU766" s="380"/>
      <c r="BV766" s="380"/>
      <c r="BW766" s="380"/>
      <c r="BX766" s="380"/>
      <c r="BY766" s="380"/>
    </row>
    <row r="767" spans="1:77" s="170" customFormat="1" x14ac:dyDescent="0.25">
      <c r="A767" s="53"/>
      <c r="B767" s="380"/>
      <c r="C767" s="54"/>
      <c r="D767" s="380"/>
      <c r="E767" s="380"/>
      <c r="F767" s="449"/>
      <c r="G767" s="380"/>
      <c r="H767" s="380"/>
      <c r="I767" s="380"/>
      <c r="J767" s="65"/>
      <c r="K767" s="65"/>
      <c r="L767" s="380"/>
      <c r="M767" s="380"/>
      <c r="N767" s="380"/>
      <c r="O767" s="380"/>
      <c r="P767" s="380"/>
      <c r="Q767" s="380"/>
      <c r="R767" s="380"/>
      <c r="S767" s="380"/>
      <c r="T767" s="54"/>
      <c r="U767" s="380"/>
      <c r="V767" s="379"/>
      <c r="W767" s="379"/>
      <c r="X767" s="379"/>
      <c r="Y767" s="379"/>
      <c r="Z767" s="379"/>
      <c r="AA767" s="379"/>
      <c r="AB767" s="221"/>
      <c r="AC767" s="380"/>
      <c r="AD767" s="380"/>
      <c r="AE767" s="380"/>
      <c r="AF767" s="380"/>
      <c r="AG767" s="153"/>
      <c r="AH767" s="380"/>
      <c r="AI767" s="380"/>
      <c r="AJ767" s="380"/>
      <c r="AK767" s="153"/>
      <c r="AL767" s="380"/>
      <c r="AM767" s="380"/>
      <c r="AN767" s="380"/>
      <c r="AO767" s="380"/>
      <c r="AP767" s="380"/>
      <c r="AR767" s="380"/>
      <c r="AS767" s="380"/>
      <c r="AT767" s="380"/>
      <c r="AU767" s="380"/>
      <c r="AV767" s="380"/>
      <c r="AW767" s="380"/>
      <c r="AX767" s="380"/>
      <c r="AY767" s="380"/>
      <c r="AZ767" s="380"/>
      <c r="BA767" s="380"/>
      <c r="BB767" s="380"/>
      <c r="BC767" s="380"/>
      <c r="BD767" s="380"/>
      <c r="BE767" s="380"/>
      <c r="BF767" s="380"/>
      <c r="BG767" s="380"/>
      <c r="BH767" s="380"/>
      <c r="BI767" s="380"/>
      <c r="BJ767" s="380"/>
      <c r="BK767" s="380"/>
      <c r="BL767" s="380"/>
      <c r="BM767" s="380"/>
      <c r="BN767" s="380"/>
      <c r="BO767" s="380"/>
      <c r="BP767" s="380"/>
      <c r="BQ767" s="380"/>
      <c r="BR767" s="380"/>
      <c r="BS767" s="380"/>
      <c r="BT767" s="380"/>
      <c r="BU767" s="380"/>
      <c r="BV767" s="380"/>
      <c r="BW767" s="380"/>
      <c r="BX767" s="380"/>
      <c r="BY767" s="380"/>
    </row>
    <row r="768" spans="1:77" s="170" customFormat="1" x14ac:dyDescent="0.25">
      <c r="A768" s="53"/>
      <c r="B768" s="380"/>
      <c r="C768" s="54"/>
      <c r="D768" s="380"/>
      <c r="E768" s="380"/>
      <c r="F768" s="380"/>
      <c r="G768" s="380"/>
      <c r="H768" s="449"/>
      <c r="I768" s="449"/>
      <c r="J768" s="221"/>
      <c r="K768" s="221"/>
      <c r="L768" s="379"/>
      <c r="M768" s="379"/>
      <c r="N768" s="50"/>
      <c r="O768" s="50"/>
      <c r="P768" s="379"/>
      <c r="Q768" s="379"/>
      <c r="R768" s="379"/>
      <c r="S768" s="380"/>
      <c r="T768" s="54"/>
      <c r="U768" s="380"/>
      <c r="V768" s="379"/>
      <c r="W768" s="379"/>
      <c r="X768" s="379"/>
      <c r="Y768" s="379"/>
      <c r="Z768" s="379"/>
      <c r="AA768" s="379"/>
      <c r="AB768" s="221"/>
      <c r="AC768" s="379"/>
      <c r="AD768" s="379"/>
      <c r="AE768" s="50"/>
      <c r="AF768" s="50"/>
      <c r="AG768" s="156"/>
      <c r="AH768" s="379"/>
      <c r="AI768" s="60"/>
      <c r="AJ768" s="60"/>
      <c r="AK768" s="156"/>
      <c r="AL768" s="379"/>
      <c r="AM768" s="379"/>
      <c r="AN768" s="379"/>
      <c r="AO768" s="50"/>
      <c r="AP768" s="50"/>
      <c r="AR768" s="380"/>
      <c r="AS768" s="380"/>
      <c r="AT768" s="380"/>
      <c r="AU768" s="380"/>
      <c r="AV768" s="380"/>
      <c r="AW768" s="380"/>
      <c r="AX768" s="380"/>
      <c r="AY768" s="380"/>
      <c r="AZ768" s="380"/>
      <c r="BA768" s="380"/>
      <c r="BB768" s="380"/>
      <c r="BC768" s="380"/>
      <c r="BD768" s="380"/>
      <c r="BE768" s="380"/>
      <c r="BF768" s="380"/>
      <c r="BG768" s="380"/>
      <c r="BH768" s="380"/>
      <c r="BI768" s="380"/>
      <c r="BJ768" s="380"/>
      <c r="BK768" s="380"/>
      <c r="BL768" s="380"/>
      <c r="BM768" s="380"/>
      <c r="BN768" s="380"/>
      <c r="BO768" s="380"/>
      <c r="BP768" s="380"/>
      <c r="BQ768" s="380"/>
      <c r="BR768" s="380"/>
      <c r="BS768" s="380"/>
      <c r="BT768" s="380"/>
      <c r="BU768" s="380"/>
      <c r="BV768" s="380"/>
      <c r="BW768" s="380"/>
      <c r="BX768" s="380"/>
      <c r="BY768" s="380"/>
    </row>
    <row r="769" spans="1:77" s="170" customFormat="1" x14ac:dyDescent="0.25">
      <c r="A769" s="380"/>
      <c r="B769" s="380"/>
      <c r="C769" s="380"/>
      <c r="D769" s="380"/>
      <c r="E769" s="380"/>
      <c r="F769" s="449"/>
      <c r="G769" s="380"/>
      <c r="H769" s="381"/>
      <c r="I769" s="381"/>
      <c r="J769" s="221"/>
      <c r="K769" s="221"/>
      <c r="L769" s="381"/>
      <c r="M769" s="381"/>
      <c r="N769" s="381"/>
      <c r="O769" s="381"/>
      <c r="P769" s="381"/>
      <c r="Q769" s="381"/>
      <c r="R769" s="381"/>
      <c r="S769" s="380"/>
      <c r="T769" s="380"/>
      <c r="U769" s="380"/>
      <c r="V769" s="381"/>
      <c r="W769" s="380"/>
      <c r="X769" s="380"/>
      <c r="Y769" s="380"/>
      <c r="Z769" s="380"/>
      <c r="AA769" s="381"/>
      <c r="AB769" s="221"/>
      <c r="AC769" s="381"/>
      <c r="AD769" s="381"/>
      <c r="AE769" s="381"/>
      <c r="AF769" s="381"/>
      <c r="AG769" s="162"/>
      <c r="AH769" s="381"/>
      <c r="AI769" s="380"/>
      <c r="AJ769" s="380"/>
      <c r="AK769" s="162"/>
      <c r="AL769" s="381"/>
      <c r="AM769" s="381"/>
      <c r="AN769" s="381"/>
      <c r="AO769" s="50"/>
      <c r="AP769" s="50"/>
      <c r="AR769" s="380"/>
      <c r="AS769" s="380"/>
      <c r="AT769" s="380"/>
      <c r="AU769" s="380"/>
      <c r="AV769" s="380"/>
      <c r="AW769" s="380"/>
      <c r="AX769" s="380"/>
      <c r="AY769" s="380"/>
      <c r="AZ769" s="380"/>
      <c r="BA769" s="380"/>
      <c r="BB769" s="380"/>
      <c r="BC769" s="380"/>
      <c r="BD769" s="380"/>
      <c r="BE769" s="380"/>
      <c r="BF769" s="380"/>
      <c r="BG769" s="380"/>
      <c r="BH769" s="380"/>
      <c r="BI769" s="380"/>
      <c r="BJ769" s="380"/>
      <c r="BK769" s="380"/>
      <c r="BL769" s="380"/>
      <c r="BM769" s="380"/>
      <c r="BN769" s="380"/>
      <c r="BO769" s="380"/>
      <c r="BP769" s="380"/>
      <c r="BQ769" s="380"/>
      <c r="BR769" s="380"/>
      <c r="BS769" s="380"/>
      <c r="BT769" s="380"/>
      <c r="BU769" s="380"/>
      <c r="BV769" s="380"/>
      <c r="BW769" s="380"/>
      <c r="BX769" s="380"/>
      <c r="BY769" s="380"/>
    </row>
    <row r="770" spans="1:77" s="170" customFormat="1" x14ac:dyDescent="0.25">
      <c r="A770" s="53"/>
      <c r="B770" s="380"/>
      <c r="C770" s="54"/>
      <c r="D770" s="380"/>
      <c r="E770" s="380"/>
      <c r="F770" s="381"/>
      <c r="G770" s="380"/>
      <c r="H770" s="379"/>
      <c r="I770" s="379"/>
      <c r="J770" s="65"/>
      <c r="K770" s="65"/>
      <c r="L770" s="379"/>
      <c r="M770" s="379"/>
      <c r="N770" s="50"/>
      <c r="O770" s="50"/>
      <c r="P770" s="449"/>
      <c r="Q770" s="449"/>
      <c r="R770" s="379"/>
      <c r="S770" s="380"/>
      <c r="T770" s="54"/>
      <c r="U770" s="380"/>
      <c r="V770" s="379"/>
      <c r="W770" s="379"/>
      <c r="X770" s="379"/>
      <c r="Y770" s="379"/>
      <c r="Z770" s="379"/>
      <c r="AA770" s="379"/>
      <c r="AB770" s="221"/>
      <c r="AC770" s="379"/>
      <c r="AD770" s="379"/>
      <c r="AE770" s="50"/>
      <c r="AF770" s="50"/>
      <c r="AG770" s="156"/>
      <c r="AH770" s="379"/>
      <c r="AI770" s="60"/>
      <c r="AJ770" s="60"/>
      <c r="AK770" s="474"/>
      <c r="AL770" s="449"/>
      <c r="AM770" s="379"/>
      <c r="AN770" s="379"/>
      <c r="AO770" s="50"/>
      <c r="AP770" s="50"/>
      <c r="AR770" s="380"/>
      <c r="AS770" s="380"/>
      <c r="AT770" s="380"/>
      <c r="AU770" s="380"/>
      <c r="AV770" s="380"/>
      <c r="AW770" s="380"/>
      <c r="AX770" s="380"/>
      <c r="AY770" s="380"/>
      <c r="AZ770" s="380"/>
      <c r="BA770" s="380"/>
      <c r="BB770" s="380"/>
      <c r="BC770" s="380"/>
      <c r="BD770" s="380"/>
      <c r="BE770" s="380"/>
      <c r="BF770" s="380"/>
      <c r="BG770" s="380"/>
      <c r="BH770" s="380"/>
      <c r="BI770" s="380"/>
      <c r="BJ770" s="380"/>
      <c r="BK770" s="380"/>
      <c r="BL770" s="380"/>
      <c r="BM770" s="380"/>
      <c r="BN770" s="380"/>
      <c r="BO770" s="380"/>
      <c r="BP770" s="380"/>
      <c r="BQ770" s="380"/>
      <c r="BR770" s="380"/>
      <c r="BS770" s="380"/>
      <c r="BT770" s="380"/>
      <c r="BU770" s="380"/>
      <c r="BV770" s="380"/>
      <c r="BW770" s="380"/>
      <c r="BX770" s="380"/>
      <c r="BY770" s="380"/>
    </row>
    <row r="771" spans="1:77" s="170" customFormat="1" x14ac:dyDescent="0.25">
      <c r="A771" s="380"/>
      <c r="B771" s="380"/>
      <c r="C771" s="380"/>
      <c r="D771" s="380"/>
      <c r="E771" s="380"/>
      <c r="F771" s="379"/>
      <c r="G771" s="380"/>
      <c r="H771" s="381"/>
      <c r="I771" s="381"/>
      <c r="J771" s="221"/>
      <c r="K771" s="221"/>
      <c r="L771" s="381"/>
      <c r="M771" s="381"/>
      <c r="N771" s="381"/>
      <c r="O771" s="381"/>
      <c r="P771" s="381"/>
      <c r="Q771" s="381"/>
      <c r="R771" s="381"/>
      <c r="S771" s="380"/>
      <c r="T771" s="380"/>
      <c r="U771" s="380"/>
      <c r="V771" s="381"/>
      <c r="W771" s="380"/>
      <c r="X771" s="380"/>
      <c r="Y771" s="380"/>
      <c r="Z771" s="380"/>
      <c r="AA771" s="381"/>
      <c r="AB771" s="221"/>
      <c r="AC771" s="381"/>
      <c r="AD771" s="381"/>
      <c r="AE771" s="381"/>
      <c r="AF771" s="381"/>
      <c r="AG771" s="162"/>
      <c r="AH771" s="381"/>
      <c r="AI771" s="380"/>
      <c r="AJ771" s="380"/>
      <c r="AK771" s="162"/>
      <c r="AL771" s="381"/>
      <c r="AM771" s="381"/>
      <c r="AN771" s="381"/>
      <c r="AO771" s="380"/>
      <c r="AP771" s="380"/>
      <c r="AR771" s="380"/>
      <c r="AS771" s="380"/>
      <c r="AT771" s="380"/>
      <c r="AU771" s="380"/>
      <c r="AV771" s="380"/>
      <c r="AW771" s="380"/>
      <c r="AX771" s="380"/>
      <c r="AY771" s="380"/>
      <c r="AZ771" s="380"/>
      <c r="BA771" s="380"/>
      <c r="BB771" s="380"/>
      <c r="BC771" s="380"/>
      <c r="BD771" s="380"/>
      <c r="BE771" s="380"/>
      <c r="BF771" s="380"/>
      <c r="BG771" s="380"/>
      <c r="BH771" s="380"/>
      <c r="BI771" s="380"/>
      <c r="BJ771" s="380"/>
      <c r="BK771" s="380"/>
      <c r="BL771" s="380"/>
      <c r="BM771" s="380"/>
      <c r="BN771" s="380"/>
      <c r="BO771" s="380"/>
      <c r="BP771" s="380"/>
      <c r="BQ771" s="380"/>
      <c r="BR771" s="380"/>
      <c r="BS771" s="380"/>
      <c r="BT771" s="380"/>
      <c r="BU771" s="380"/>
      <c r="BV771" s="380"/>
      <c r="BW771" s="380"/>
      <c r="BX771" s="380"/>
      <c r="BY771" s="380"/>
    </row>
    <row r="772" spans="1:77" s="170" customFormat="1" x14ac:dyDescent="0.25">
      <c r="A772" s="53"/>
      <c r="B772" s="380"/>
      <c r="C772" s="54"/>
      <c r="D772" s="54"/>
      <c r="E772" s="54"/>
      <c r="F772" s="381"/>
      <c r="G772" s="380"/>
      <c r="H772" s="380"/>
      <c r="I772" s="380"/>
      <c r="J772" s="65"/>
      <c r="K772" s="65"/>
      <c r="L772" s="380"/>
      <c r="M772" s="380"/>
      <c r="N772" s="380"/>
      <c r="O772" s="380"/>
      <c r="P772" s="380"/>
      <c r="Q772" s="380"/>
      <c r="R772" s="380"/>
      <c r="S772" s="380"/>
      <c r="T772" s="54"/>
      <c r="U772" s="54"/>
      <c r="V772" s="379"/>
      <c r="W772" s="379"/>
      <c r="X772" s="379"/>
      <c r="Y772" s="379"/>
      <c r="Z772" s="379"/>
      <c r="AA772" s="379"/>
      <c r="AB772" s="221"/>
      <c r="AC772" s="380"/>
      <c r="AD772" s="380"/>
      <c r="AE772" s="380"/>
      <c r="AF772" s="380"/>
      <c r="AG772" s="153"/>
      <c r="AH772" s="380"/>
      <c r="AI772" s="380"/>
      <c r="AJ772" s="380"/>
      <c r="AK772" s="153"/>
      <c r="AL772" s="380"/>
      <c r="AM772" s="380"/>
      <c r="AN772" s="380"/>
      <c r="AO772" s="380"/>
      <c r="AP772" s="380"/>
      <c r="AR772" s="380"/>
      <c r="AS772" s="380"/>
      <c r="AT772" s="380"/>
      <c r="AU772" s="380"/>
      <c r="AV772" s="380"/>
      <c r="AW772" s="380"/>
      <c r="AX772" s="380"/>
      <c r="AY772" s="380"/>
      <c r="AZ772" s="380"/>
      <c r="BA772" s="380"/>
      <c r="BB772" s="380"/>
      <c r="BC772" s="380"/>
      <c r="BD772" s="380"/>
      <c r="BE772" s="380"/>
      <c r="BF772" s="380"/>
      <c r="BG772" s="380"/>
      <c r="BH772" s="380"/>
      <c r="BI772" s="380"/>
      <c r="BJ772" s="380"/>
      <c r="BK772" s="380"/>
      <c r="BL772" s="380"/>
      <c r="BM772" s="380"/>
      <c r="BN772" s="380"/>
      <c r="BO772" s="380"/>
      <c r="BP772" s="380"/>
      <c r="BQ772" s="380"/>
      <c r="BR772" s="380"/>
      <c r="BS772" s="380"/>
      <c r="BT772" s="380"/>
      <c r="BU772" s="380"/>
      <c r="BV772" s="380"/>
      <c r="BW772" s="380"/>
      <c r="BX772" s="380"/>
      <c r="BY772" s="380"/>
    </row>
    <row r="773" spans="1:77" s="170" customFormat="1" x14ac:dyDescent="0.25">
      <c r="A773" s="53"/>
      <c r="B773" s="380"/>
      <c r="C773" s="54"/>
      <c r="D773" s="380"/>
      <c r="E773" s="380"/>
      <c r="F773" s="380"/>
      <c r="G773" s="380"/>
      <c r="H773" s="380"/>
      <c r="I773" s="380"/>
      <c r="J773" s="65"/>
      <c r="K773" s="65"/>
      <c r="L773" s="380"/>
      <c r="M773" s="380"/>
      <c r="N773" s="380"/>
      <c r="O773" s="380"/>
      <c r="P773" s="380"/>
      <c r="Q773" s="380"/>
      <c r="R773" s="380"/>
      <c r="S773" s="380"/>
      <c r="T773" s="54"/>
      <c r="U773" s="380"/>
      <c r="V773" s="379"/>
      <c r="W773" s="379"/>
      <c r="X773" s="379"/>
      <c r="Y773" s="379"/>
      <c r="Z773" s="379"/>
      <c r="AA773" s="379"/>
      <c r="AB773" s="221"/>
      <c r="AC773" s="380"/>
      <c r="AD773" s="380"/>
      <c r="AE773" s="380"/>
      <c r="AF773" s="380"/>
      <c r="AG773" s="153"/>
      <c r="AH773" s="380"/>
      <c r="AI773" s="380"/>
      <c r="AJ773" s="380"/>
      <c r="AK773" s="153"/>
      <c r="AL773" s="380"/>
      <c r="AM773" s="380"/>
      <c r="AN773" s="380"/>
      <c r="AO773" s="380"/>
      <c r="AP773" s="380"/>
      <c r="AR773" s="380"/>
      <c r="AS773" s="380"/>
      <c r="AT773" s="380"/>
      <c r="AU773" s="380"/>
      <c r="AV773" s="380"/>
      <c r="AW773" s="380"/>
      <c r="AX773" s="380"/>
      <c r="AY773" s="380"/>
      <c r="AZ773" s="380"/>
      <c r="BA773" s="380"/>
      <c r="BB773" s="380"/>
      <c r="BC773" s="380"/>
      <c r="BD773" s="380"/>
      <c r="BE773" s="380"/>
      <c r="BF773" s="380"/>
      <c r="BG773" s="380"/>
      <c r="BH773" s="380"/>
      <c r="BI773" s="380"/>
      <c r="BJ773" s="380"/>
      <c r="BK773" s="380"/>
      <c r="BL773" s="380"/>
      <c r="BM773" s="380"/>
      <c r="BN773" s="380"/>
      <c r="BO773" s="380"/>
      <c r="BP773" s="380"/>
      <c r="BQ773" s="380"/>
      <c r="BR773" s="380"/>
      <c r="BS773" s="380"/>
      <c r="BT773" s="380"/>
      <c r="BU773" s="380"/>
      <c r="BV773" s="380"/>
      <c r="BW773" s="380"/>
      <c r="BX773" s="380"/>
      <c r="BY773" s="380"/>
    </row>
    <row r="774" spans="1:77" s="170" customFormat="1" x14ac:dyDescent="0.25">
      <c r="A774" s="53"/>
      <c r="B774" s="380"/>
      <c r="C774" s="54"/>
      <c r="D774" s="380"/>
      <c r="E774" s="380"/>
      <c r="F774" s="380"/>
      <c r="G774" s="380"/>
      <c r="H774" s="380"/>
      <c r="I774" s="380"/>
      <c r="J774" s="65"/>
      <c r="K774" s="65"/>
      <c r="L774" s="380"/>
      <c r="M774" s="380"/>
      <c r="N774" s="380"/>
      <c r="O774" s="380"/>
      <c r="P774" s="380"/>
      <c r="Q774" s="380"/>
      <c r="R774" s="380"/>
      <c r="S774" s="380"/>
      <c r="T774" s="54"/>
      <c r="U774" s="380"/>
      <c r="V774" s="379"/>
      <c r="W774" s="379"/>
      <c r="X774" s="379"/>
      <c r="Y774" s="379"/>
      <c r="Z774" s="379"/>
      <c r="AA774" s="379"/>
      <c r="AB774" s="221"/>
      <c r="AC774" s="380"/>
      <c r="AD774" s="380"/>
      <c r="AE774" s="380"/>
      <c r="AF774" s="380"/>
      <c r="AG774" s="153"/>
      <c r="AH774" s="380"/>
      <c r="AI774" s="380"/>
      <c r="AJ774" s="380"/>
      <c r="AK774" s="153"/>
      <c r="AL774" s="380"/>
      <c r="AM774" s="380"/>
      <c r="AN774" s="380"/>
      <c r="AO774" s="380"/>
      <c r="AP774" s="380"/>
      <c r="AR774" s="380"/>
      <c r="AS774" s="380"/>
      <c r="AT774" s="380"/>
      <c r="AU774" s="380"/>
      <c r="AV774" s="380"/>
      <c r="AW774" s="380"/>
      <c r="AX774" s="380"/>
      <c r="AY774" s="380"/>
      <c r="AZ774" s="380"/>
      <c r="BA774" s="380"/>
      <c r="BB774" s="380"/>
      <c r="BC774" s="380"/>
      <c r="BD774" s="380"/>
      <c r="BE774" s="380"/>
      <c r="BF774" s="380"/>
      <c r="BG774" s="380"/>
      <c r="BH774" s="380"/>
      <c r="BI774" s="380"/>
      <c r="BJ774" s="380"/>
      <c r="BK774" s="380"/>
      <c r="BL774" s="380"/>
      <c r="BM774" s="380"/>
      <c r="BN774" s="380"/>
      <c r="BO774" s="380"/>
      <c r="BP774" s="380"/>
      <c r="BQ774" s="380"/>
      <c r="BR774" s="380"/>
      <c r="BS774" s="380"/>
      <c r="BT774" s="380"/>
      <c r="BU774" s="380"/>
      <c r="BV774" s="380"/>
      <c r="BW774" s="380"/>
      <c r="BX774" s="380"/>
      <c r="BY774" s="380"/>
    </row>
    <row r="775" spans="1:77" s="170" customFormat="1" x14ac:dyDescent="0.25">
      <c r="A775" s="53"/>
      <c r="B775" s="380"/>
      <c r="C775" s="54"/>
      <c r="D775" s="380"/>
      <c r="E775" s="380"/>
      <c r="F775" s="380"/>
      <c r="G775" s="380"/>
      <c r="H775" s="449"/>
      <c r="I775" s="449"/>
      <c r="J775" s="221"/>
      <c r="K775" s="221"/>
      <c r="L775" s="379"/>
      <c r="M775" s="379"/>
      <c r="N775" s="50"/>
      <c r="O775" s="50"/>
      <c r="P775" s="379"/>
      <c r="Q775" s="379"/>
      <c r="R775" s="379"/>
      <c r="S775" s="380"/>
      <c r="T775" s="54"/>
      <c r="U775" s="380"/>
      <c r="V775" s="379"/>
      <c r="W775" s="379"/>
      <c r="X775" s="379"/>
      <c r="Y775" s="379"/>
      <c r="Z775" s="379"/>
      <c r="AA775" s="379"/>
      <c r="AB775" s="221"/>
      <c r="AC775" s="379"/>
      <c r="AD775" s="379"/>
      <c r="AE775" s="50"/>
      <c r="AF775" s="50"/>
      <c r="AG775" s="156"/>
      <c r="AH775" s="379"/>
      <c r="AI775" s="60"/>
      <c r="AJ775" s="60"/>
      <c r="AK775" s="156"/>
      <c r="AL775" s="379"/>
      <c r="AM775" s="379"/>
      <c r="AN775" s="379"/>
      <c r="AO775" s="50"/>
      <c r="AP775" s="50"/>
      <c r="AR775" s="380"/>
      <c r="AS775" s="380"/>
      <c r="AT775" s="380"/>
      <c r="AU775" s="380"/>
      <c r="AV775" s="380"/>
      <c r="AW775" s="380"/>
      <c r="AX775" s="380"/>
      <c r="AY775" s="380"/>
      <c r="AZ775" s="380"/>
      <c r="BA775" s="380"/>
      <c r="BB775" s="380"/>
      <c r="BC775" s="380"/>
      <c r="BD775" s="380"/>
      <c r="BE775" s="380"/>
      <c r="BF775" s="380"/>
      <c r="BG775" s="380"/>
      <c r="BH775" s="380"/>
      <c r="BI775" s="380"/>
      <c r="BJ775" s="380"/>
      <c r="BK775" s="380"/>
      <c r="BL775" s="380"/>
      <c r="BM775" s="380"/>
      <c r="BN775" s="380"/>
      <c r="BO775" s="380"/>
      <c r="BP775" s="380"/>
      <c r="BQ775" s="380"/>
      <c r="BR775" s="380"/>
      <c r="BS775" s="380"/>
      <c r="BT775" s="380"/>
      <c r="BU775" s="380"/>
      <c r="BV775" s="380"/>
      <c r="BW775" s="380"/>
      <c r="BX775" s="380"/>
      <c r="BY775" s="380"/>
    </row>
    <row r="776" spans="1:77" s="170" customFormat="1" x14ac:dyDescent="0.25">
      <c r="A776" s="53"/>
      <c r="B776" s="380"/>
      <c r="C776" s="54"/>
      <c r="D776" s="380"/>
      <c r="E776" s="380"/>
      <c r="F776" s="449"/>
      <c r="G776" s="380"/>
      <c r="H776" s="380"/>
      <c r="I776" s="380"/>
      <c r="J776" s="65"/>
      <c r="K776" s="65"/>
      <c r="L776" s="380"/>
      <c r="M776" s="380"/>
      <c r="N776" s="380"/>
      <c r="O776" s="380"/>
      <c r="P776" s="380"/>
      <c r="Q776" s="380"/>
      <c r="R776" s="380"/>
      <c r="S776" s="380"/>
      <c r="T776" s="54"/>
      <c r="U776" s="380"/>
      <c r="V776" s="379"/>
      <c r="W776" s="379"/>
      <c r="X776" s="379"/>
      <c r="Y776" s="379"/>
      <c r="Z776" s="379"/>
      <c r="AA776" s="379"/>
      <c r="AB776" s="221"/>
      <c r="AC776" s="380"/>
      <c r="AD776" s="380"/>
      <c r="AE776" s="380"/>
      <c r="AF776" s="380"/>
      <c r="AG776" s="153"/>
      <c r="AH776" s="380"/>
      <c r="AI776" s="380"/>
      <c r="AJ776" s="380"/>
      <c r="AK776" s="153"/>
      <c r="AL776" s="380"/>
      <c r="AM776" s="380"/>
      <c r="AN776" s="380"/>
      <c r="AO776" s="380"/>
      <c r="AP776" s="380"/>
      <c r="AR776" s="380"/>
      <c r="AS776" s="380"/>
      <c r="AT776" s="380"/>
      <c r="AU776" s="380"/>
      <c r="AV776" s="380"/>
      <c r="AW776" s="380"/>
      <c r="AX776" s="380"/>
      <c r="AY776" s="380"/>
      <c r="AZ776" s="380"/>
      <c r="BA776" s="380"/>
      <c r="BB776" s="380"/>
      <c r="BC776" s="380"/>
      <c r="BD776" s="380"/>
      <c r="BE776" s="380"/>
      <c r="BF776" s="380"/>
      <c r="BG776" s="380"/>
      <c r="BH776" s="380"/>
      <c r="BI776" s="380"/>
      <c r="BJ776" s="380"/>
      <c r="BK776" s="380"/>
      <c r="BL776" s="380"/>
      <c r="BM776" s="380"/>
      <c r="BN776" s="380"/>
      <c r="BO776" s="380"/>
      <c r="BP776" s="380"/>
      <c r="BQ776" s="380"/>
      <c r="BR776" s="380"/>
      <c r="BS776" s="380"/>
      <c r="BT776" s="380"/>
      <c r="BU776" s="380"/>
      <c r="BV776" s="380"/>
      <c r="BW776" s="380"/>
      <c r="BX776" s="380"/>
      <c r="BY776" s="380"/>
    </row>
    <row r="777" spans="1:77" s="170" customFormat="1" x14ac:dyDescent="0.25">
      <c r="A777" s="53"/>
      <c r="B777" s="380"/>
      <c r="C777" s="54"/>
      <c r="D777" s="380"/>
      <c r="E777" s="380"/>
      <c r="F777" s="380"/>
      <c r="G777" s="380"/>
      <c r="H777" s="449"/>
      <c r="I777" s="449"/>
      <c r="J777" s="221"/>
      <c r="K777" s="221"/>
      <c r="L777" s="379"/>
      <c r="M777" s="379"/>
      <c r="N777" s="50"/>
      <c r="O777" s="50"/>
      <c r="P777" s="379"/>
      <c r="Q777" s="379"/>
      <c r="R777" s="379"/>
      <c r="S777" s="380"/>
      <c r="T777" s="54"/>
      <c r="U777" s="380"/>
      <c r="V777" s="379"/>
      <c r="W777" s="379"/>
      <c r="X777" s="379"/>
      <c r="Y777" s="379"/>
      <c r="Z777" s="379"/>
      <c r="AA777" s="379"/>
      <c r="AB777" s="221"/>
      <c r="AC777" s="379"/>
      <c r="AD777" s="379"/>
      <c r="AE777" s="50"/>
      <c r="AF777" s="50"/>
      <c r="AG777" s="156"/>
      <c r="AH777" s="379"/>
      <c r="AI777" s="60"/>
      <c r="AJ777" s="60"/>
      <c r="AK777" s="156"/>
      <c r="AL777" s="379"/>
      <c r="AM777" s="379"/>
      <c r="AN777" s="379"/>
      <c r="AO777" s="50"/>
      <c r="AP777" s="50"/>
      <c r="AR777" s="380"/>
      <c r="AS777" s="380"/>
      <c r="AT777" s="380"/>
      <c r="AU777" s="380"/>
      <c r="AV777" s="380"/>
      <c r="AW777" s="380"/>
      <c r="AX777" s="380"/>
      <c r="AY777" s="380"/>
      <c r="AZ777" s="380"/>
      <c r="BA777" s="380"/>
      <c r="BB777" s="380"/>
      <c r="BC777" s="380"/>
      <c r="BD777" s="380"/>
      <c r="BE777" s="380"/>
      <c r="BF777" s="380"/>
      <c r="BG777" s="380"/>
      <c r="BH777" s="380"/>
      <c r="BI777" s="380"/>
      <c r="BJ777" s="380"/>
      <c r="BK777" s="380"/>
      <c r="BL777" s="380"/>
      <c r="BM777" s="380"/>
      <c r="BN777" s="380"/>
      <c r="BO777" s="380"/>
      <c r="BP777" s="380"/>
      <c r="BQ777" s="380"/>
      <c r="BR777" s="380"/>
      <c r="BS777" s="380"/>
      <c r="BT777" s="380"/>
      <c r="BU777" s="380"/>
      <c r="BV777" s="380"/>
      <c r="BW777" s="380"/>
      <c r="BX777" s="380"/>
      <c r="BY777" s="380"/>
    </row>
    <row r="778" spans="1:77" s="170" customFormat="1" x14ac:dyDescent="0.25">
      <c r="A778" s="380"/>
      <c r="B778" s="380"/>
      <c r="C778" s="380"/>
      <c r="D778" s="380"/>
      <c r="E778" s="380"/>
      <c r="F778" s="449"/>
      <c r="G778" s="380"/>
      <c r="H778" s="381"/>
      <c r="I778" s="381"/>
      <c r="J778" s="221"/>
      <c r="K778" s="221"/>
      <c r="L778" s="381"/>
      <c r="M778" s="381"/>
      <c r="N778" s="381"/>
      <c r="O778" s="381"/>
      <c r="P778" s="381"/>
      <c r="Q778" s="381"/>
      <c r="R778" s="381"/>
      <c r="S778" s="380"/>
      <c r="T778" s="380"/>
      <c r="U778" s="380"/>
      <c r="V778" s="381"/>
      <c r="W778" s="380"/>
      <c r="X778" s="380"/>
      <c r="Y778" s="380"/>
      <c r="Z778" s="380"/>
      <c r="AA778" s="381"/>
      <c r="AB778" s="464"/>
      <c r="AC778" s="381"/>
      <c r="AD778" s="381"/>
      <c r="AE778" s="381"/>
      <c r="AF778" s="381"/>
      <c r="AG778" s="162"/>
      <c r="AH778" s="381"/>
      <c r="AI778" s="380"/>
      <c r="AJ778" s="380"/>
      <c r="AK778" s="162"/>
      <c r="AL778" s="381"/>
      <c r="AM778" s="381"/>
      <c r="AN778" s="381"/>
      <c r="AO778" s="380"/>
      <c r="AP778" s="380"/>
      <c r="AR778" s="380"/>
      <c r="AS778" s="380"/>
      <c r="AT778" s="380"/>
      <c r="AU778" s="380"/>
      <c r="AV778" s="380"/>
      <c r="AW778" s="380"/>
      <c r="AX778" s="380"/>
      <c r="AY778" s="380"/>
      <c r="AZ778" s="380"/>
      <c r="BA778" s="380"/>
      <c r="BB778" s="380"/>
      <c r="BC778" s="380"/>
      <c r="BD778" s="380"/>
      <c r="BE778" s="380"/>
      <c r="BF778" s="380"/>
      <c r="BG778" s="380"/>
      <c r="BH778" s="380"/>
      <c r="BI778" s="380"/>
      <c r="BJ778" s="380"/>
      <c r="BK778" s="380"/>
      <c r="BL778" s="380"/>
      <c r="BM778" s="380"/>
      <c r="BN778" s="380"/>
      <c r="BO778" s="380"/>
      <c r="BP778" s="380"/>
      <c r="BQ778" s="380"/>
      <c r="BR778" s="380"/>
      <c r="BS778" s="380"/>
      <c r="BT778" s="380"/>
      <c r="BU778" s="380"/>
      <c r="BV778" s="380"/>
      <c r="BW778" s="380"/>
      <c r="BX778" s="380"/>
      <c r="BY778" s="380"/>
    </row>
    <row r="779" spans="1:77" s="170" customFormat="1" x14ac:dyDescent="0.25">
      <c r="A779" s="53"/>
      <c r="B779" s="380"/>
      <c r="C779" s="54"/>
      <c r="D779" s="380"/>
      <c r="E779" s="380"/>
      <c r="F779" s="381"/>
      <c r="G779" s="380"/>
      <c r="H779" s="379"/>
      <c r="I779" s="379"/>
      <c r="J779" s="380"/>
      <c r="K779" s="380"/>
      <c r="L779" s="379"/>
      <c r="M779" s="379"/>
      <c r="N779" s="50"/>
      <c r="O779" s="50"/>
      <c r="P779" s="449"/>
      <c r="Q779" s="449"/>
      <c r="R779" s="379"/>
      <c r="S779" s="380"/>
      <c r="T779" s="54"/>
      <c r="U779" s="380"/>
      <c r="V779" s="379"/>
      <c r="W779" s="379"/>
      <c r="X779" s="379"/>
      <c r="Y779" s="379"/>
      <c r="Z779" s="379"/>
      <c r="AA779" s="379"/>
      <c r="AB779" s="477"/>
      <c r="AC779" s="379"/>
      <c r="AD779" s="379"/>
      <c r="AE779" s="50"/>
      <c r="AF779" s="50"/>
      <c r="AG779" s="156"/>
      <c r="AH779" s="379"/>
      <c r="AI779" s="60"/>
      <c r="AJ779" s="60"/>
      <c r="AK779" s="474"/>
      <c r="AL779" s="449"/>
      <c r="AM779" s="379"/>
      <c r="AN779" s="379"/>
      <c r="AO779" s="50"/>
      <c r="AP779" s="50"/>
      <c r="AR779" s="380"/>
      <c r="AS779" s="380"/>
      <c r="AT779" s="380"/>
      <c r="AU779" s="380"/>
      <c r="AV779" s="380"/>
      <c r="AW779" s="380"/>
      <c r="AX779" s="380"/>
      <c r="AY779" s="380"/>
      <c r="AZ779" s="380"/>
      <c r="BA779" s="380"/>
      <c r="BB779" s="380"/>
      <c r="BC779" s="380"/>
      <c r="BD779" s="380"/>
      <c r="BE779" s="380"/>
      <c r="BF779" s="380"/>
      <c r="BG779" s="380"/>
      <c r="BH779" s="380"/>
      <c r="BI779" s="380"/>
      <c r="BJ779" s="380"/>
      <c r="BK779" s="380"/>
      <c r="BL779" s="380"/>
      <c r="BM779" s="380"/>
      <c r="BN779" s="380"/>
      <c r="BO779" s="380"/>
      <c r="BP779" s="380"/>
      <c r="BQ779" s="380"/>
      <c r="BR779" s="380"/>
      <c r="BS779" s="380"/>
      <c r="BT779" s="380"/>
      <c r="BU779" s="380"/>
      <c r="BV779" s="380"/>
      <c r="BW779" s="380"/>
      <c r="BX779" s="380"/>
      <c r="BY779" s="380"/>
    </row>
    <row r="780" spans="1:77" s="170" customFormat="1" x14ac:dyDescent="0.25">
      <c r="A780" s="380"/>
      <c r="B780" s="380"/>
      <c r="C780" s="380"/>
      <c r="D780" s="380"/>
      <c r="E780" s="380"/>
      <c r="F780" s="379"/>
      <c r="G780" s="380"/>
      <c r="H780" s="381"/>
      <c r="I780" s="381"/>
      <c r="J780" s="464"/>
      <c r="K780" s="464"/>
      <c r="L780" s="381"/>
      <c r="M780" s="381"/>
      <c r="N780" s="381"/>
      <c r="O780" s="381"/>
      <c r="P780" s="381"/>
      <c r="Q780" s="381"/>
      <c r="R780" s="381"/>
      <c r="S780" s="380"/>
      <c r="T780" s="380"/>
      <c r="U780" s="380"/>
      <c r="V780" s="381"/>
      <c r="W780" s="380"/>
      <c r="X780" s="380"/>
      <c r="Y780" s="380"/>
      <c r="Z780" s="380"/>
      <c r="AA780" s="381"/>
      <c r="AB780" s="464"/>
      <c r="AC780" s="381"/>
      <c r="AD780" s="381"/>
      <c r="AE780" s="381"/>
      <c r="AF780" s="381"/>
      <c r="AG780" s="162"/>
      <c r="AH780" s="381"/>
      <c r="AI780" s="380"/>
      <c r="AJ780" s="380"/>
      <c r="AK780" s="162"/>
      <c r="AL780" s="381"/>
      <c r="AM780" s="381"/>
      <c r="AN780" s="381"/>
      <c r="AO780" s="380"/>
      <c r="AP780" s="380"/>
      <c r="AR780" s="380"/>
      <c r="AS780" s="380"/>
      <c r="AT780" s="380"/>
      <c r="AU780" s="380"/>
      <c r="AV780" s="380"/>
      <c r="AW780" s="380"/>
      <c r="AX780" s="380"/>
      <c r="AY780" s="380"/>
      <c r="AZ780" s="380"/>
      <c r="BA780" s="380"/>
      <c r="BB780" s="380"/>
      <c r="BC780" s="380"/>
      <c r="BD780" s="380"/>
      <c r="BE780" s="380"/>
      <c r="BF780" s="380"/>
      <c r="BG780" s="380"/>
      <c r="BH780" s="380"/>
      <c r="BI780" s="380"/>
      <c r="BJ780" s="380"/>
      <c r="BK780" s="380"/>
      <c r="BL780" s="380"/>
      <c r="BM780" s="380"/>
      <c r="BN780" s="380"/>
      <c r="BO780" s="380"/>
      <c r="BP780" s="380"/>
      <c r="BQ780" s="380"/>
      <c r="BR780" s="380"/>
      <c r="BS780" s="380"/>
      <c r="BT780" s="380"/>
      <c r="BU780" s="380"/>
      <c r="BV780" s="380"/>
      <c r="BW780" s="380"/>
      <c r="BX780" s="380"/>
      <c r="BY780" s="380"/>
    </row>
    <row r="781" spans="1:77" s="170" customFormat="1" x14ac:dyDescent="0.25">
      <c r="A781" s="53"/>
      <c r="B781" s="380"/>
      <c r="C781" s="54"/>
      <c r="D781" s="54"/>
      <c r="E781" s="54"/>
      <c r="F781" s="381"/>
      <c r="G781" s="380"/>
      <c r="H781" s="380"/>
      <c r="I781" s="380"/>
      <c r="J781" s="380"/>
      <c r="K781" s="380"/>
      <c r="L781" s="380"/>
      <c r="M781" s="380"/>
      <c r="N781" s="380"/>
      <c r="O781" s="380"/>
      <c r="P781" s="380"/>
      <c r="Q781" s="380"/>
      <c r="R781" s="380"/>
      <c r="S781" s="380"/>
      <c r="T781" s="54"/>
      <c r="U781" s="54"/>
      <c r="V781" s="379"/>
      <c r="W781" s="379"/>
      <c r="X781" s="379"/>
      <c r="Y781" s="379"/>
      <c r="Z781" s="379"/>
      <c r="AA781" s="379"/>
      <c r="AB781" s="477"/>
      <c r="AC781" s="380"/>
      <c r="AD781" s="380"/>
      <c r="AE781" s="380"/>
      <c r="AF781" s="380"/>
      <c r="AG781" s="153"/>
      <c r="AH781" s="380"/>
      <c r="AI781" s="380"/>
      <c r="AJ781" s="380"/>
      <c r="AK781" s="153"/>
      <c r="AL781" s="380"/>
      <c r="AM781" s="380"/>
      <c r="AN781" s="380"/>
      <c r="AO781" s="380"/>
      <c r="AP781" s="380"/>
      <c r="AR781" s="380"/>
      <c r="AS781" s="380"/>
      <c r="AT781" s="380"/>
      <c r="AU781" s="380"/>
      <c r="AV781" s="380"/>
      <c r="AW781" s="380"/>
      <c r="AX781" s="380"/>
      <c r="AY781" s="380"/>
      <c r="AZ781" s="380"/>
      <c r="BA781" s="380"/>
      <c r="BB781" s="380"/>
      <c r="BC781" s="380"/>
      <c r="BD781" s="380"/>
      <c r="BE781" s="380"/>
      <c r="BF781" s="380"/>
      <c r="BG781" s="380"/>
      <c r="BH781" s="380"/>
      <c r="BI781" s="380"/>
      <c r="BJ781" s="380"/>
      <c r="BK781" s="380"/>
      <c r="BL781" s="380"/>
      <c r="BM781" s="380"/>
      <c r="BN781" s="380"/>
      <c r="BO781" s="380"/>
      <c r="BP781" s="380"/>
      <c r="BQ781" s="380"/>
      <c r="BR781" s="380"/>
      <c r="BS781" s="380"/>
      <c r="BT781" s="380"/>
      <c r="BU781" s="380"/>
      <c r="BV781" s="380"/>
      <c r="BW781" s="380"/>
      <c r="BX781" s="380"/>
      <c r="BY781" s="380"/>
    </row>
    <row r="782" spans="1:77" s="170" customFormat="1" x14ac:dyDescent="0.25">
      <c r="A782" s="53"/>
      <c r="B782" s="380"/>
      <c r="C782" s="54"/>
      <c r="D782" s="380"/>
      <c r="E782" s="380"/>
      <c r="F782" s="380"/>
      <c r="G782" s="380"/>
      <c r="H782" s="380"/>
      <c r="I782" s="380"/>
      <c r="J782" s="380"/>
      <c r="K782" s="380"/>
      <c r="L782" s="380"/>
      <c r="M782" s="380"/>
      <c r="N782" s="380"/>
      <c r="O782" s="380"/>
      <c r="P782" s="380"/>
      <c r="Q782" s="380"/>
      <c r="R782" s="380"/>
      <c r="S782" s="380"/>
      <c r="T782" s="54"/>
      <c r="U782" s="380"/>
      <c r="V782" s="379"/>
      <c r="W782" s="379"/>
      <c r="X782" s="379"/>
      <c r="Y782" s="379"/>
      <c r="Z782" s="379"/>
      <c r="AA782" s="379"/>
      <c r="AB782" s="477"/>
      <c r="AC782" s="380"/>
      <c r="AD782" s="380"/>
      <c r="AE782" s="380"/>
      <c r="AF782" s="380"/>
      <c r="AG782" s="153"/>
      <c r="AH782" s="380"/>
      <c r="AI782" s="380"/>
      <c r="AJ782" s="380"/>
      <c r="AK782" s="153"/>
      <c r="AL782" s="380"/>
      <c r="AM782" s="380"/>
      <c r="AN782" s="380"/>
      <c r="AO782" s="380"/>
      <c r="AP782" s="380"/>
      <c r="AR782" s="380"/>
      <c r="AS782" s="380"/>
      <c r="AT782" s="380"/>
      <c r="AU782" s="380"/>
      <c r="AV782" s="380"/>
      <c r="AW782" s="380"/>
      <c r="AX782" s="380"/>
      <c r="AY782" s="380"/>
      <c r="AZ782" s="380"/>
      <c r="BA782" s="380"/>
      <c r="BB782" s="380"/>
      <c r="BC782" s="380"/>
      <c r="BD782" s="380"/>
      <c r="BE782" s="380"/>
      <c r="BF782" s="380"/>
      <c r="BG782" s="380"/>
      <c r="BH782" s="380"/>
      <c r="BI782" s="380"/>
      <c r="BJ782" s="380"/>
      <c r="BK782" s="380"/>
      <c r="BL782" s="380"/>
      <c r="BM782" s="380"/>
      <c r="BN782" s="380"/>
      <c r="BO782" s="380"/>
      <c r="BP782" s="380"/>
      <c r="BQ782" s="380"/>
      <c r="BR782" s="380"/>
      <c r="BS782" s="380"/>
      <c r="BT782" s="380"/>
      <c r="BU782" s="380"/>
      <c r="BV782" s="380"/>
      <c r="BW782" s="380"/>
      <c r="BX782" s="380"/>
      <c r="BY782" s="380"/>
    </row>
    <row r="783" spans="1:77" s="170" customFormat="1" x14ac:dyDescent="0.25">
      <c r="A783" s="53"/>
      <c r="B783" s="380"/>
      <c r="C783" s="54"/>
      <c r="D783" s="380"/>
      <c r="E783" s="380"/>
      <c r="F783" s="380"/>
      <c r="G783" s="380"/>
      <c r="H783" s="449"/>
      <c r="I783" s="449"/>
      <c r="J783" s="477"/>
      <c r="K783" s="477"/>
      <c r="L783" s="379"/>
      <c r="M783" s="379"/>
      <c r="N783" s="50"/>
      <c r="O783" s="50"/>
      <c r="P783" s="379"/>
      <c r="Q783" s="379"/>
      <c r="R783" s="379"/>
      <c r="S783" s="380"/>
      <c r="T783" s="54"/>
      <c r="U783" s="380"/>
      <c r="V783" s="379"/>
      <c r="W783" s="379"/>
      <c r="X783" s="379"/>
      <c r="Y783" s="379"/>
      <c r="Z783" s="379"/>
      <c r="AA783" s="379"/>
      <c r="AB783" s="477"/>
      <c r="AC783" s="379"/>
      <c r="AD783" s="379"/>
      <c r="AE783" s="50"/>
      <c r="AF783" s="50"/>
      <c r="AG783" s="156"/>
      <c r="AH783" s="379"/>
      <c r="AI783" s="60"/>
      <c r="AJ783" s="60"/>
      <c r="AK783" s="156"/>
      <c r="AL783" s="379"/>
      <c r="AM783" s="379"/>
      <c r="AN783" s="379"/>
      <c r="AO783" s="50"/>
      <c r="AP783" s="50"/>
      <c r="AR783" s="380"/>
      <c r="AS783" s="380"/>
      <c r="AT783" s="380"/>
      <c r="AU783" s="380"/>
      <c r="AV783" s="380"/>
      <c r="AW783" s="380"/>
      <c r="AX783" s="380"/>
      <c r="AY783" s="380"/>
      <c r="AZ783" s="380"/>
      <c r="BA783" s="380"/>
      <c r="BB783" s="380"/>
      <c r="BC783" s="380"/>
      <c r="BD783" s="380"/>
      <c r="BE783" s="380"/>
      <c r="BF783" s="380"/>
      <c r="BG783" s="380"/>
      <c r="BH783" s="380"/>
      <c r="BI783" s="380"/>
      <c r="BJ783" s="380"/>
      <c r="BK783" s="380"/>
      <c r="BL783" s="380"/>
      <c r="BM783" s="380"/>
      <c r="BN783" s="380"/>
      <c r="BO783" s="380"/>
      <c r="BP783" s="380"/>
      <c r="BQ783" s="380"/>
      <c r="BR783" s="380"/>
      <c r="BS783" s="380"/>
      <c r="BT783" s="380"/>
      <c r="BU783" s="380"/>
      <c r="BV783" s="380"/>
      <c r="BW783" s="380"/>
      <c r="BX783" s="380"/>
      <c r="BY783" s="380"/>
    </row>
    <row r="784" spans="1:77" s="170" customFormat="1" x14ac:dyDescent="0.25">
      <c r="A784" s="53"/>
      <c r="B784" s="380"/>
      <c r="C784" s="54"/>
      <c r="D784" s="380"/>
      <c r="E784" s="380"/>
      <c r="F784" s="449"/>
      <c r="G784" s="380"/>
      <c r="H784" s="380"/>
      <c r="I784" s="380"/>
      <c r="J784" s="380"/>
      <c r="K784" s="380"/>
      <c r="L784" s="380"/>
      <c r="M784" s="380"/>
      <c r="N784" s="380"/>
      <c r="O784" s="380"/>
      <c r="P784" s="380"/>
      <c r="Q784" s="380"/>
      <c r="R784" s="380"/>
      <c r="S784" s="380"/>
      <c r="T784" s="54"/>
      <c r="U784" s="380"/>
      <c r="V784" s="379"/>
      <c r="W784" s="379"/>
      <c r="X784" s="379"/>
      <c r="Y784" s="379"/>
      <c r="Z784" s="379"/>
      <c r="AA784" s="379"/>
      <c r="AB784" s="477"/>
      <c r="AC784" s="380"/>
      <c r="AD784" s="380"/>
      <c r="AE784" s="380"/>
      <c r="AF784" s="380"/>
      <c r="AG784" s="153"/>
      <c r="AH784" s="380"/>
      <c r="AI784" s="380"/>
      <c r="AJ784" s="380"/>
      <c r="AK784" s="153"/>
      <c r="AL784" s="380"/>
      <c r="AM784" s="380"/>
      <c r="AN784" s="380"/>
      <c r="AO784" s="380"/>
      <c r="AP784" s="380"/>
      <c r="AR784" s="380"/>
      <c r="AS784" s="380"/>
      <c r="AT784" s="380"/>
      <c r="AU784" s="380"/>
      <c r="AV784" s="380"/>
      <c r="AW784" s="380"/>
      <c r="AX784" s="380"/>
      <c r="AY784" s="380"/>
      <c r="AZ784" s="380"/>
      <c r="BA784" s="380"/>
      <c r="BB784" s="380"/>
      <c r="BC784" s="380"/>
      <c r="BD784" s="380"/>
      <c r="BE784" s="380"/>
      <c r="BF784" s="380"/>
      <c r="BG784" s="380"/>
      <c r="BH784" s="380"/>
      <c r="BI784" s="380"/>
      <c r="BJ784" s="380"/>
      <c r="BK784" s="380"/>
      <c r="BL784" s="380"/>
      <c r="BM784" s="380"/>
      <c r="BN784" s="380"/>
      <c r="BO784" s="380"/>
      <c r="BP784" s="380"/>
      <c r="BQ784" s="380"/>
      <c r="BR784" s="380"/>
      <c r="BS784" s="380"/>
      <c r="BT784" s="380"/>
      <c r="BU784" s="380"/>
      <c r="BV784" s="380"/>
      <c r="BW784" s="380"/>
      <c r="BX784" s="380"/>
      <c r="BY784" s="380"/>
    </row>
    <row r="785" spans="1:77" s="170" customFormat="1" x14ac:dyDescent="0.25">
      <c r="A785" s="53"/>
      <c r="B785" s="380"/>
      <c r="C785" s="54"/>
      <c r="D785" s="380"/>
      <c r="E785" s="380"/>
      <c r="F785" s="380"/>
      <c r="G785" s="380"/>
      <c r="H785" s="449"/>
      <c r="I785" s="449"/>
      <c r="J785" s="477"/>
      <c r="K785" s="477"/>
      <c r="L785" s="379"/>
      <c r="M785" s="379"/>
      <c r="N785" s="50"/>
      <c r="O785" s="50"/>
      <c r="P785" s="379"/>
      <c r="Q785" s="379"/>
      <c r="R785" s="379"/>
      <c r="S785" s="380"/>
      <c r="T785" s="54"/>
      <c r="U785" s="380"/>
      <c r="V785" s="379"/>
      <c r="W785" s="379"/>
      <c r="X785" s="379"/>
      <c r="Y785" s="379"/>
      <c r="Z785" s="379"/>
      <c r="AA785" s="379"/>
      <c r="AB785" s="477"/>
      <c r="AC785" s="379"/>
      <c r="AD785" s="379"/>
      <c r="AE785" s="50"/>
      <c r="AF785" s="50"/>
      <c r="AG785" s="156"/>
      <c r="AH785" s="379"/>
      <c r="AI785" s="60"/>
      <c r="AJ785" s="60"/>
      <c r="AK785" s="156"/>
      <c r="AL785" s="379"/>
      <c r="AM785" s="379"/>
      <c r="AN785" s="379"/>
      <c r="AO785" s="50"/>
      <c r="AP785" s="50"/>
      <c r="AR785" s="380"/>
      <c r="AS785" s="380"/>
      <c r="AT785" s="380"/>
      <c r="AU785" s="380"/>
      <c r="AV785" s="380"/>
      <c r="AW785" s="380"/>
      <c r="AX785" s="380"/>
      <c r="AY785" s="380"/>
      <c r="AZ785" s="380"/>
      <c r="BA785" s="380"/>
      <c r="BB785" s="380"/>
      <c r="BC785" s="380"/>
      <c r="BD785" s="380"/>
      <c r="BE785" s="380"/>
      <c r="BF785" s="380"/>
      <c r="BG785" s="380"/>
      <c r="BH785" s="380"/>
      <c r="BI785" s="380"/>
      <c r="BJ785" s="380"/>
      <c r="BK785" s="380"/>
      <c r="BL785" s="380"/>
      <c r="BM785" s="380"/>
      <c r="BN785" s="380"/>
      <c r="BO785" s="380"/>
      <c r="BP785" s="380"/>
      <c r="BQ785" s="380"/>
      <c r="BR785" s="380"/>
      <c r="BS785" s="380"/>
      <c r="BT785" s="380"/>
      <c r="BU785" s="380"/>
      <c r="BV785" s="380"/>
      <c r="BW785" s="380"/>
      <c r="BX785" s="380"/>
      <c r="BY785" s="380"/>
    </row>
    <row r="786" spans="1:77" s="170" customFormat="1" x14ac:dyDescent="0.25">
      <c r="A786" s="53"/>
      <c r="B786" s="380"/>
      <c r="C786" s="54"/>
      <c r="D786" s="380"/>
      <c r="E786" s="380"/>
      <c r="F786" s="449"/>
      <c r="G786" s="380"/>
      <c r="H786" s="380"/>
      <c r="I786" s="380"/>
      <c r="J786" s="380"/>
      <c r="K786" s="380"/>
      <c r="L786" s="380"/>
      <c r="M786" s="380"/>
      <c r="N786" s="380"/>
      <c r="O786" s="380"/>
      <c r="P786" s="380"/>
      <c r="Q786" s="380"/>
      <c r="R786" s="380"/>
      <c r="S786" s="380"/>
      <c r="T786" s="54"/>
      <c r="U786" s="380"/>
      <c r="V786" s="379"/>
      <c r="W786" s="379"/>
      <c r="X786" s="379"/>
      <c r="Y786" s="379"/>
      <c r="Z786" s="379"/>
      <c r="AA786" s="379"/>
      <c r="AB786" s="477"/>
      <c r="AC786" s="380"/>
      <c r="AD786" s="380"/>
      <c r="AE786" s="380"/>
      <c r="AF786" s="380"/>
      <c r="AG786" s="153"/>
      <c r="AH786" s="380"/>
      <c r="AI786" s="380"/>
      <c r="AJ786" s="380"/>
      <c r="AK786" s="153"/>
      <c r="AL786" s="380"/>
      <c r="AM786" s="380"/>
      <c r="AN786" s="380"/>
      <c r="AO786" s="380"/>
      <c r="AP786" s="380"/>
      <c r="AR786" s="380"/>
      <c r="AS786" s="380"/>
      <c r="AT786" s="380"/>
      <c r="AU786" s="380"/>
      <c r="AV786" s="380"/>
      <c r="AW786" s="380"/>
      <c r="AX786" s="380"/>
      <c r="AY786" s="380"/>
      <c r="AZ786" s="380"/>
      <c r="BA786" s="380"/>
      <c r="BB786" s="380"/>
      <c r="BC786" s="380"/>
      <c r="BD786" s="380"/>
      <c r="BE786" s="380"/>
      <c r="BF786" s="380"/>
      <c r="BG786" s="380"/>
      <c r="BH786" s="380"/>
      <c r="BI786" s="380"/>
      <c r="BJ786" s="380"/>
      <c r="BK786" s="380"/>
      <c r="BL786" s="380"/>
      <c r="BM786" s="380"/>
      <c r="BN786" s="380"/>
      <c r="BO786" s="380"/>
      <c r="BP786" s="380"/>
      <c r="BQ786" s="380"/>
      <c r="BR786" s="380"/>
      <c r="BS786" s="380"/>
      <c r="BT786" s="380"/>
      <c r="BU786" s="380"/>
      <c r="BV786" s="380"/>
      <c r="BW786" s="380"/>
      <c r="BX786" s="380"/>
      <c r="BY786" s="380"/>
    </row>
    <row r="787" spans="1:77" s="170" customFormat="1" x14ac:dyDescent="0.25">
      <c r="A787" s="53"/>
      <c r="B787" s="380"/>
      <c r="C787" s="54"/>
      <c r="D787" s="380"/>
      <c r="E787" s="380"/>
      <c r="F787" s="380"/>
      <c r="G787" s="380"/>
      <c r="H787" s="449"/>
      <c r="I787" s="449"/>
      <c r="J787" s="477"/>
      <c r="K787" s="477"/>
      <c r="L787" s="379"/>
      <c r="M787" s="379"/>
      <c r="N787" s="50"/>
      <c r="O787" s="50"/>
      <c r="P787" s="379"/>
      <c r="Q787" s="379"/>
      <c r="R787" s="379"/>
      <c r="S787" s="380"/>
      <c r="T787" s="54"/>
      <c r="U787" s="380"/>
      <c r="V787" s="379"/>
      <c r="W787" s="379"/>
      <c r="X787" s="379"/>
      <c r="Y787" s="379"/>
      <c r="Z787" s="379"/>
      <c r="AA787" s="379"/>
      <c r="AB787" s="477"/>
      <c r="AC787" s="379"/>
      <c r="AD787" s="379"/>
      <c r="AE787" s="50"/>
      <c r="AF787" s="50"/>
      <c r="AG787" s="156"/>
      <c r="AH787" s="379"/>
      <c r="AI787" s="60"/>
      <c r="AJ787" s="60"/>
      <c r="AK787" s="156"/>
      <c r="AL787" s="379"/>
      <c r="AM787" s="379"/>
      <c r="AN787" s="379"/>
      <c r="AO787" s="50"/>
      <c r="AP787" s="50"/>
      <c r="AR787" s="380"/>
      <c r="AS787" s="380"/>
      <c r="AT787" s="380"/>
      <c r="AU787" s="380"/>
      <c r="AV787" s="380"/>
      <c r="AW787" s="380"/>
      <c r="AX787" s="380"/>
      <c r="AY787" s="380"/>
      <c r="AZ787" s="380"/>
      <c r="BA787" s="380"/>
      <c r="BB787" s="380"/>
      <c r="BC787" s="380"/>
      <c r="BD787" s="380"/>
      <c r="BE787" s="380"/>
      <c r="BF787" s="380"/>
      <c r="BG787" s="380"/>
      <c r="BH787" s="380"/>
      <c r="BI787" s="380"/>
      <c r="BJ787" s="380"/>
      <c r="BK787" s="380"/>
      <c r="BL787" s="380"/>
      <c r="BM787" s="380"/>
      <c r="BN787" s="380"/>
      <c r="BO787" s="380"/>
      <c r="BP787" s="380"/>
      <c r="BQ787" s="380"/>
      <c r="BR787" s="380"/>
      <c r="BS787" s="380"/>
      <c r="BT787" s="380"/>
      <c r="BU787" s="380"/>
      <c r="BV787" s="380"/>
      <c r="BW787" s="380"/>
      <c r="BX787" s="380"/>
      <c r="BY787" s="380"/>
    </row>
    <row r="788" spans="1:77" s="170" customFormat="1" x14ac:dyDescent="0.25">
      <c r="A788" s="53"/>
      <c r="B788" s="380"/>
      <c r="C788" s="54"/>
      <c r="D788" s="380"/>
      <c r="E788" s="380"/>
      <c r="F788" s="449"/>
      <c r="G788" s="380"/>
      <c r="H788" s="380"/>
      <c r="I788" s="380"/>
      <c r="J788" s="380"/>
      <c r="K788" s="380"/>
      <c r="L788" s="380"/>
      <c r="M788" s="380"/>
      <c r="N788" s="380"/>
      <c r="O788" s="380"/>
      <c r="P788" s="380"/>
      <c r="Q788" s="380"/>
      <c r="R788" s="380"/>
      <c r="S788" s="380"/>
      <c r="T788" s="54"/>
      <c r="U788" s="380"/>
      <c r="V788" s="379"/>
      <c r="W788" s="379"/>
      <c r="X788" s="379"/>
      <c r="Y788" s="379"/>
      <c r="Z788" s="379"/>
      <c r="AA788" s="379"/>
      <c r="AB788" s="477"/>
      <c r="AC788" s="380"/>
      <c r="AD788" s="380"/>
      <c r="AE788" s="380"/>
      <c r="AF788" s="380"/>
      <c r="AG788" s="153"/>
      <c r="AH788" s="380"/>
      <c r="AI788" s="380"/>
      <c r="AJ788" s="380"/>
      <c r="AK788" s="153"/>
      <c r="AL788" s="380"/>
      <c r="AM788" s="380"/>
      <c r="AN788" s="380"/>
      <c r="AO788" s="380"/>
      <c r="AP788" s="380"/>
      <c r="AR788" s="380"/>
      <c r="AS788" s="380"/>
      <c r="AT788" s="380"/>
      <c r="AU788" s="380"/>
      <c r="AV788" s="380"/>
      <c r="AW788" s="380"/>
      <c r="AX788" s="380"/>
      <c r="AY788" s="380"/>
      <c r="AZ788" s="380"/>
      <c r="BA788" s="380"/>
      <c r="BB788" s="380"/>
      <c r="BC788" s="380"/>
      <c r="BD788" s="380"/>
      <c r="BE788" s="380"/>
      <c r="BF788" s="380"/>
      <c r="BG788" s="380"/>
      <c r="BH788" s="380"/>
      <c r="BI788" s="380"/>
      <c r="BJ788" s="380"/>
      <c r="BK788" s="380"/>
      <c r="BL788" s="380"/>
      <c r="BM788" s="380"/>
      <c r="BN788" s="380"/>
      <c r="BO788" s="380"/>
      <c r="BP788" s="380"/>
      <c r="BQ788" s="380"/>
      <c r="BR788" s="380"/>
      <c r="BS788" s="380"/>
      <c r="BT788" s="380"/>
      <c r="BU788" s="380"/>
      <c r="BV788" s="380"/>
      <c r="BW788" s="380"/>
      <c r="BX788" s="380"/>
      <c r="BY788" s="380"/>
    </row>
    <row r="789" spans="1:77" s="170" customFormat="1" x14ac:dyDescent="0.25">
      <c r="A789" s="53"/>
      <c r="B789" s="380"/>
      <c r="C789" s="54"/>
      <c r="D789" s="380"/>
      <c r="E789" s="380"/>
      <c r="F789" s="380"/>
      <c r="G789" s="380"/>
      <c r="H789" s="449"/>
      <c r="I789" s="449"/>
      <c r="J789" s="477"/>
      <c r="K789" s="477"/>
      <c r="L789" s="379"/>
      <c r="M789" s="379"/>
      <c r="N789" s="50"/>
      <c r="O789" s="50"/>
      <c r="P789" s="379"/>
      <c r="Q789" s="379"/>
      <c r="R789" s="379"/>
      <c r="S789" s="380"/>
      <c r="T789" s="54"/>
      <c r="U789" s="380"/>
      <c r="V789" s="379"/>
      <c r="W789" s="379"/>
      <c r="X789" s="379"/>
      <c r="Y789" s="379"/>
      <c r="Z789" s="379"/>
      <c r="AA789" s="379"/>
      <c r="AB789" s="477"/>
      <c r="AC789" s="379"/>
      <c r="AD789" s="379"/>
      <c r="AE789" s="50"/>
      <c r="AF789" s="50"/>
      <c r="AG789" s="156"/>
      <c r="AH789" s="379"/>
      <c r="AI789" s="60"/>
      <c r="AJ789" s="60"/>
      <c r="AK789" s="156"/>
      <c r="AL789" s="379"/>
      <c r="AM789" s="379"/>
      <c r="AN789" s="379"/>
      <c r="AO789" s="50"/>
      <c r="AP789" s="50"/>
      <c r="AR789" s="380"/>
      <c r="AS789" s="380"/>
      <c r="AT789" s="380"/>
      <c r="AU789" s="380"/>
      <c r="AV789" s="380"/>
      <c r="AW789" s="380"/>
      <c r="AX789" s="380"/>
      <c r="AY789" s="380"/>
      <c r="AZ789" s="380"/>
      <c r="BA789" s="380"/>
      <c r="BB789" s="380"/>
      <c r="BC789" s="380"/>
      <c r="BD789" s="380"/>
      <c r="BE789" s="380"/>
      <c r="BF789" s="380"/>
      <c r="BG789" s="380"/>
      <c r="BH789" s="380"/>
      <c r="BI789" s="380"/>
      <c r="BJ789" s="380"/>
      <c r="BK789" s="380"/>
      <c r="BL789" s="380"/>
      <c r="BM789" s="380"/>
      <c r="BN789" s="380"/>
      <c r="BO789" s="380"/>
      <c r="BP789" s="380"/>
      <c r="BQ789" s="380"/>
      <c r="BR789" s="380"/>
      <c r="BS789" s="380"/>
      <c r="BT789" s="380"/>
      <c r="BU789" s="380"/>
      <c r="BV789" s="380"/>
      <c r="BW789" s="380"/>
      <c r="BX789" s="380"/>
      <c r="BY789" s="380"/>
    </row>
    <row r="790" spans="1:77" s="170" customFormat="1" x14ac:dyDescent="0.25">
      <c r="A790" s="380"/>
      <c r="B790" s="380"/>
      <c r="C790" s="380"/>
      <c r="D790" s="380"/>
      <c r="E790" s="380"/>
      <c r="F790" s="449"/>
      <c r="G790" s="380"/>
      <c r="H790" s="381"/>
      <c r="I790" s="381"/>
      <c r="J790" s="464"/>
      <c r="K790" s="464"/>
      <c r="L790" s="381"/>
      <c r="M790" s="381"/>
      <c r="N790" s="381"/>
      <c r="O790" s="381"/>
      <c r="P790" s="381"/>
      <c r="Q790" s="381"/>
      <c r="R790" s="381"/>
      <c r="S790" s="380"/>
      <c r="T790" s="380"/>
      <c r="U790" s="380"/>
      <c r="V790" s="381"/>
      <c r="W790" s="380"/>
      <c r="X790" s="380"/>
      <c r="Y790" s="380"/>
      <c r="Z790" s="380"/>
      <c r="AA790" s="381"/>
      <c r="AB790" s="464"/>
      <c r="AC790" s="381"/>
      <c r="AD790" s="381"/>
      <c r="AE790" s="381"/>
      <c r="AF790" s="381"/>
      <c r="AG790" s="162"/>
      <c r="AH790" s="381"/>
      <c r="AI790" s="380"/>
      <c r="AJ790" s="380"/>
      <c r="AK790" s="162"/>
      <c r="AL790" s="381"/>
      <c r="AM790" s="381"/>
      <c r="AN790" s="381"/>
      <c r="AO790" s="380"/>
      <c r="AP790" s="380"/>
      <c r="AR790" s="380"/>
      <c r="AS790" s="380"/>
      <c r="AT790" s="380"/>
      <c r="AU790" s="380"/>
      <c r="AV790" s="380"/>
      <c r="AW790" s="380"/>
      <c r="AX790" s="380"/>
      <c r="AY790" s="380"/>
      <c r="AZ790" s="380"/>
      <c r="BA790" s="380"/>
      <c r="BB790" s="380"/>
      <c r="BC790" s="380"/>
      <c r="BD790" s="380"/>
      <c r="BE790" s="380"/>
      <c r="BF790" s="380"/>
      <c r="BG790" s="380"/>
      <c r="BH790" s="380"/>
      <c r="BI790" s="380"/>
      <c r="BJ790" s="380"/>
      <c r="BK790" s="380"/>
      <c r="BL790" s="380"/>
      <c r="BM790" s="380"/>
      <c r="BN790" s="380"/>
      <c r="BO790" s="380"/>
      <c r="BP790" s="380"/>
      <c r="BQ790" s="380"/>
      <c r="BR790" s="380"/>
      <c r="BS790" s="380"/>
      <c r="BT790" s="380"/>
      <c r="BU790" s="380"/>
      <c r="BV790" s="380"/>
      <c r="BW790" s="380"/>
      <c r="BX790" s="380"/>
      <c r="BY790" s="380"/>
    </row>
    <row r="791" spans="1:77" s="170" customFormat="1" x14ac:dyDescent="0.25">
      <c r="A791" s="53"/>
      <c r="B791" s="380"/>
      <c r="C791" s="54"/>
      <c r="D791" s="380"/>
      <c r="E791" s="380"/>
      <c r="F791" s="381"/>
      <c r="G791" s="380"/>
      <c r="H791" s="379"/>
      <c r="I791" s="379"/>
      <c r="J791" s="380"/>
      <c r="K791" s="380"/>
      <c r="L791" s="379"/>
      <c r="M791" s="379"/>
      <c r="N791" s="50"/>
      <c r="O791" s="50"/>
      <c r="P791" s="449"/>
      <c r="Q791" s="449"/>
      <c r="R791" s="379"/>
      <c r="S791" s="380"/>
      <c r="T791" s="54"/>
      <c r="U791" s="380"/>
      <c r="V791" s="379"/>
      <c r="W791" s="379"/>
      <c r="X791" s="379"/>
      <c r="Y791" s="379"/>
      <c r="Z791" s="379"/>
      <c r="AA791" s="379"/>
      <c r="AB791" s="477"/>
      <c r="AC791" s="379"/>
      <c r="AD791" s="379"/>
      <c r="AE791" s="50"/>
      <c r="AF791" s="50"/>
      <c r="AG791" s="156"/>
      <c r="AH791" s="379"/>
      <c r="AI791" s="60"/>
      <c r="AJ791" s="60"/>
      <c r="AK791" s="474"/>
      <c r="AL791" s="449"/>
      <c r="AM791" s="379"/>
      <c r="AN791" s="379"/>
      <c r="AO791" s="50"/>
      <c r="AP791" s="50"/>
      <c r="AR791" s="380"/>
      <c r="AS791" s="380"/>
      <c r="AT791" s="380"/>
      <c r="AU791" s="380"/>
      <c r="AV791" s="380"/>
      <c r="AW791" s="380"/>
      <c r="AX791" s="380"/>
      <c r="AY791" s="380"/>
      <c r="AZ791" s="380"/>
      <c r="BA791" s="380"/>
      <c r="BB791" s="380"/>
      <c r="BC791" s="380"/>
      <c r="BD791" s="380"/>
      <c r="BE791" s="380"/>
      <c r="BF791" s="380"/>
      <c r="BG791" s="380"/>
      <c r="BH791" s="380"/>
      <c r="BI791" s="380"/>
      <c r="BJ791" s="380"/>
      <c r="BK791" s="380"/>
      <c r="BL791" s="380"/>
      <c r="BM791" s="380"/>
      <c r="BN791" s="380"/>
      <c r="BO791" s="380"/>
      <c r="BP791" s="380"/>
      <c r="BQ791" s="380"/>
      <c r="BR791" s="380"/>
      <c r="BS791" s="380"/>
      <c r="BT791" s="380"/>
      <c r="BU791" s="380"/>
      <c r="BV791" s="380"/>
      <c r="BW791" s="380"/>
      <c r="BX791" s="380"/>
      <c r="BY791" s="380"/>
    </row>
    <row r="792" spans="1:77" s="170" customFormat="1" x14ac:dyDescent="0.25">
      <c r="A792" s="380"/>
      <c r="B792" s="380"/>
      <c r="C792" s="380"/>
      <c r="D792" s="380"/>
      <c r="E792" s="380"/>
      <c r="F792" s="379"/>
      <c r="G792" s="380"/>
      <c r="H792" s="381"/>
      <c r="I792" s="381"/>
      <c r="J792" s="464"/>
      <c r="K792" s="464"/>
      <c r="L792" s="381"/>
      <c r="M792" s="381"/>
      <c r="N792" s="381"/>
      <c r="O792" s="381"/>
      <c r="P792" s="381"/>
      <c r="Q792" s="381"/>
      <c r="R792" s="381"/>
      <c r="S792" s="380"/>
      <c r="T792" s="380"/>
      <c r="U792" s="380"/>
      <c r="V792" s="381"/>
      <c r="W792" s="380"/>
      <c r="X792" s="380"/>
      <c r="Y792" s="380"/>
      <c r="Z792" s="380"/>
      <c r="AA792" s="381"/>
      <c r="AB792" s="464"/>
      <c r="AC792" s="381"/>
      <c r="AD792" s="381"/>
      <c r="AE792" s="381"/>
      <c r="AF792" s="381"/>
      <c r="AG792" s="162"/>
      <c r="AH792" s="381"/>
      <c r="AI792" s="380"/>
      <c r="AJ792" s="380"/>
      <c r="AK792" s="162"/>
      <c r="AL792" s="381"/>
      <c r="AM792" s="381"/>
      <c r="AN792" s="381"/>
      <c r="AO792" s="380"/>
      <c r="AP792" s="380"/>
      <c r="AR792" s="380"/>
      <c r="AS792" s="380"/>
      <c r="AT792" s="380"/>
      <c r="AU792" s="380"/>
      <c r="AV792" s="380"/>
      <c r="AW792" s="380"/>
      <c r="AX792" s="380"/>
      <c r="AY792" s="380"/>
      <c r="AZ792" s="380"/>
      <c r="BA792" s="380"/>
      <c r="BB792" s="380"/>
      <c r="BC792" s="380"/>
      <c r="BD792" s="380"/>
      <c r="BE792" s="380"/>
      <c r="BF792" s="380"/>
      <c r="BG792" s="380"/>
      <c r="BH792" s="380"/>
      <c r="BI792" s="380"/>
      <c r="BJ792" s="380"/>
      <c r="BK792" s="380"/>
      <c r="BL792" s="380"/>
      <c r="BM792" s="380"/>
      <c r="BN792" s="380"/>
      <c r="BO792" s="380"/>
      <c r="BP792" s="380"/>
      <c r="BQ792" s="380"/>
      <c r="BR792" s="380"/>
      <c r="BS792" s="380"/>
      <c r="BT792" s="380"/>
      <c r="BU792" s="380"/>
      <c r="BV792" s="380"/>
      <c r="BW792" s="380"/>
      <c r="BX792" s="380"/>
      <c r="BY792" s="380"/>
    </row>
    <row r="793" spans="1:77" s="170" customFormat="1" x14ac:dyDescent="0.25">
      <c r="A793" s="53"/>
      <c r="B793" s="380"/>
      <c r="C793" s="54"/>
      <c r="D793" s="380"/>
      <c r="E793" s="380"/>
      <c r="F793" s="381"/>
      <c r="G793" s="380"/>
      <c r="H793" s="379"/>
      <c r="I793" s="379"/>
      <c r="J793" s="380"/>
      <c r="K793" s="380"/>
      <c r="L793" s="379"/>
      <c r="M793" s="379"/>
      <c r="N793" s="50"/>
      <c r="O793" s="50"/>
      <c r="P793" s="379"/>
      <c r="Q793" s="379"/>
      <c r="R793" s="379"/>
      <c r="S793" s="380"/>
      <c r="T793" s="54"/>
      <c r="U793" s="380"/>
      <c r="V793" s="379"/>
      <c r="W793" s="379"/>
      <c r="X793" s="379"/>
      <c r="Y793" s="379"/>
      <c r="Z793" s="379"/>
      <c r="AA793" s="379"/>
      <c r="AB793" s="380"/>
      <c r="AC793" s="379"/>
      <c r="AD793" s="379"/>
      <c r="AE793" s="50"/>
      <c r="AF793" s="50"/>
      <c r="AG793" s="156"/>
      <c r="AH793" s="379"/>
      <c r="AI793" s="60"/>
      <c r="AJ793" s="60"/>
      <c r="AK793" s="156"/>
      <c r="AL793" s="379"/>
      <c r="AM793" s="379"/>
      <c r="AN793" s="379"/>
      <c r="AO793" s="60"/>
      <c r="AP793" s="60"/>
      <c r="AR793" s="380"/>
      <c r="AS793" s="380"/>
      <c r="AT793" s="380"/>
      <c r="AU793" s="380"/>
      <c r="AV793" s="380"/>
      <c r="AW793" s="380"/>
      <c r="AX793" s="380"/>
      <c r="AY793" s="380"/>
      <c r="AZ793" s="380"/>
      <c r="BA793" s="380"/>
      <c r="BB793" s="380"/>
      <c r="BC793" s="380"/>
      <c r="BD793" s="380"/>
      <c r="BE793" s="380"/>
      <c r="BF793" s="380"/>
      <c r="BG793" s="380"/>
      <c r="BH793" s="380"/>
      <c r="BI793" s="380"/>
      <c r="BJ793" s="380"/>
      <c r="BK793" s="380"/>
      <c r="BL793" s="380"/>
      <c r="BM793" s="380"/>
      <c r="BN793" s="380"/>
      <c r="BO793" s="380"/>
      <c r="BP793" s="380"/>
      <c r="BQ793" s="380"/>
      <c r="BR793" s="380"/>
      <c r="BS793" s="380"/>
      <c r="BT793" s="380"/>
      <c r="BU793" s="380"/>
      <c r="BV793" s="380"/>
      <c r="BW793" s="380"/>
      <c r="BX793" s="380"/>
      <c r="BY793" s="380"/>
    </row>
    <row r="794" spans="1:77" s="170" customFormat="1" x14ac:dyDescent="0.25">
      <c r="A794" s="380"/>
      <c r="B794" s="380"/>
      <c r="C794" s="380"/>
      <c r="D794" s="380"/>
      <c r="E794" s="380"/>
      <c r="F794" s="379"/>
      <c r="G794" s="380"/>
      <c r="H794" s="381"/>
      <c r="I794" s="381"/>
      <c r="J794" s="464"/>
      <c r="K794" s="464"/>
      <c r="L794" s="381"/>
      <c r="M794" s="381"/>
      <c r="N794" s="381"/>
      <c r="O794" s="381"/>
      <c r="P794" s="381"/>
      <c r="Q794" s="381"/>
      <c r="R794" s="381"/>
      <c r="S794" s="380"/>
      <c r="T794" s="380"/>
      <c r="U794" s="380"/>
      <c r="V794" s="381"/>
      <c r="W794" s="380"/>
      <c r="X794" s="380"/>
      <c r="Y794" s="380"/>
      <c r="Z794" s="380"/>
      <c r="AA794" s="381"/>
      <c r="AB794" s="464"/>
      <c r="AC794" s="381"/>
      <c r="AD794" s="381"/>
      <c r="AE794" s="381"/>
      <c r="AF794" s="381"/>
      <c r="AG794" s="162"/>
      <c r="AH794" s="381"/>
      <c r="AI794" s="380"/>
      <c r="AJ794" s="380"/>
      <c r="AK794" s="162"/>
      <c r="AL794" s="381"/>
      <c r="AM794" s="381"/>
      <c r="AN794" s="381"/>
      <c r="AO794" s="380"/>
      <c r="AP794" s="380"/>
      <c r="AR794" s="380"/>
      <c r="AS794" s="380"/>
      <c r="AT794" s="380"/>
      <c r="AU794" s="380"/>
      <c r="AV794" s="380"/>
      <c r="AW794" s="380"/>
      <c r="AX794" s="380"/>
      <c r="AY794" s="380"/>
      <c r="AZ794" s="380"/>
      <c r="BA794" s="380"/>
      <c r="BB794" s="380"/>
      <c r="BC794" s="380"/>
      <c r="BD794" s="380"/>
      <c r="BE794" s="380"/>
      <c r="BF794" s="380"/>
      <c r="BG794" s="380"/>
      <c r="BH794" s="380"/>
      <c r="BI794" s="380"/>
      <c r="BJ794" s="380"/>
      <c r="BK794" s="380"/>
      <c r="BL794" s="380"/>
      <c r="BM794" s="380"/>
      <c r="BN794" s="380"/>
      <c r="BO794" s="380"/>
      <c r="BP794" s="380"/>
      <c r="BQ794" s="380"/>
      <c r="BR794" s="380"/>
      <c r="BS794" s="380"/>
      <c r="BT794" s="380"/>
      <c r="BU794" s="380"/>
      <c r="BV794" s="380"/>
      <c r="BW794" s="380"/>
      <c r="BX794" s="380"/>
      <c r="BY794" s="380"/>
    </row>
    <row r="796" spans="1:77" s="170" customFormat="1" x14ac:dyDescent="0.25">
      <c r="A796" s="380"/>
      <c r="B796" s="380"/>
      <c r="C796" s="53"/>
      <c r="D796" s="380"/>
      <c r="E796" s="380"/>
      <c r="F796" s="381"/>
      <c r="G796" s="380"/>
      <c r="H796" s="380"/>
      <c r="I796" s="380"/>
      <c r="J796" s="380"/>
      <c r="K796" s="380"/>
      <c r="L796" s="380"/>
      <c r="M796" s="380"/>
      <c r="N796" s="380"/>
      <c r="O796" s="380"/>
      <c r="P796" s="380"/>
      <c r="Q796" s="380"/>
      <c r="R796" s="380"/>
      <c r="S796" s="380"/>
      <c r="T796" s="53"/>
      <c r="U796" s="380"/>
      <c r="V796" s="380"/>
      <c r="W796" s="380"/>
      <c r="X796" s="380"/>
      <c r="Y796" s="380"/>
      <c r="Z796" s="380"/>
      <c r="AA796" s="380"/>
      <c r="AB796" s="380"/>
      <c r="AC796" s="380"/>
      <c r="AD796" s="380"/>
      <c r="AE796" s="380"/>
      <c r="AF796" s="380"/>
      <c r="AG796" s="153"/>
      <c r="AH796" s="380"/>
      <c r="AI796" s="380"/>
      <c r="AJ796" s="380"/>
      <c r="AK796" s="153"/>
      <c r="AL796" s="380"/>
      <c r="AM796" s="380"/>
      <c r="AN796" s="380"/>
      <c r="AO796" s="380"/>
      <c r="AP796" s="380"/>
      <c r="AR796" s="380"/>
      <c r="AS796" s="380"/>
      <c r="AT796" s="380"/>
      <c r="AU796" s="380"/>
      <c r="AV796" s="380"/>
      <c r="AW796" s="380"/>
      <c r="AX796" s="380"/>
      <c r="AY796" s="380"/>
      <c r="AZ796" s="380"/>
      <c r="BA796" s="380"/>
      <c r="BB796" s="380"/>
      <c r="BC796" s="380"/>
      <c r="BD796" s="380"/>
      <c r="BE796" s="380"/>
      <c r="BF796" s="380"/>
      <c r="BG796" s="380"/>
      <c r="BH796" s="380"/>
      <c r="BI796" s="380"/>
      <c r="BJ796" s="380"/>
      <c r="BK796" s="380"/>
      <c r="BL796" s="380"/>
      <c r="BM796" s="380"/>
      <c r="BN796" s="380"/>
      <c r="BO796" s="380"/>
      <c r="BP796" s="380"/>
      <c r="BQ796" s="380"/>
      <c r="BR796" s="380"/>
      <c r="BS796" s="380"/>
      <c r="BT796" s="380"/>
      <c r="BU796" s="380"/>
      <c r="BV796" s="380"/>
      <c r="BW796" s="380"/>
      <c r="BX796" s="380"/>
      <c r="BY796" s="380"/>
    </row>
    <row r="797" spans="1:77" s="170" customFormat="1" x14ac:dyDescent="0.25">
      <c r="A797" s="54"/>
      <c r="B797" s="380"/>
      <c r="C797" s="380"/>
      <c r="D797" s="380"/>
      <c r="E797" s="380"/>
      <c r="F797" s="380"/>
      <c r="G797" s="380"/>
      <c r="H797" s="380"/>
      <c r="I797" s="380"/>
      <c r="J797" s="380"/>
      <c r="K797" s="380"/>
      <c r="L797" s="380"/>
      <c r="M797" s="380"/>
      <c r="N797" s="380"/>
      <c r="O797" s="380"/>
      <c r="P797" s="380"/>
      <c r="Q797" s="380"/>
      <c r="R797" s="380"/>
      <c r="S797" s="380"/>
      <c r="T797" s="380"/>
      <c r="U797" s="380"/>
      <c r="V797" s="380"/>
      <c r="W797" s="380"/>
      <c r="X797" s="380"/>
      <c r="Y797" s="380"/>
      <c r="Z797" s="380"/>
      <c r="AA797" s="380"/>
      <c r="AB797" s="380"/>
      <c r="AC797" s="380"/>
      <c r="AD797" s="380"/>
      <c r="AE797" s="380"/>
      <c r="AF797" s="380"/>
      <c r="AG797" s="153"/>
      <c r="AH797" s="380"/>
      <c r="AI797" s="380"/>
      <c r="AJ797" s="380"/>
      <c r="AK797" s="153"/>
      <c r="AL797" s="380"/>
      <c r="AM797" s="380"/>
      <c r="AN797" s="380"/>
      <c r="AO797" s="380"/>
      <c r="AP797" s="380"/>
      <c r="AR797" s="380"/>
      <c r="AS797" s="380"/>
      <c r="AT797" s="380"/>
      <c r="AU797" s="380"/>
      <c r="AV797" s="380"/>
      <c r="AW797" s="380"/>
      <c r="AX797" s="380"/>
      <c r="AY797" s="380"/>
      <c r="AZ797" s="380"/>
      <c r="BA797" s="380"/>
      <c r="BB797" s="380"/>
      <c r="BC797" s="380"/>
      <c r="BD797" s="380"/>
      <c r="BE797" s="380"/>
      <c r="BF797" s="380"/>
      <c r="BG797" s="380"/>
      <c r="BH797" s="380"/>
      <c r="BI797" s="380"/>
      <c r="BJ797" s="380"/>
      <c r="BK797" s="380"/>
      <c r="BL797" s="380"/>
      <c r="BM797" s="380"/>
      <c r="BN797" s="380"/>
      <c r="BO797" s="380"/>
      <c r="BP797" s="380"/>
      <c r="BQ797" s="380"/>
      <c r="BR797" s="380"/>
      <c r="BS797" s="380"/>
      <c r="BT797" s="380"/>
      <c r="BU797" s="380"/>
      <c r="BV797" s="380"/>
      <c r="BW797" s="380"/>
      <c r="BX797" s="380"/>
      <c r="BY797" s="380"/>
    </row>
    <row r="798" spans="1:77" s="170" customFormat="1" x14ac:dyDescent="0.25">
      <c r="A798" s="380"/>
      <c r="B798" s="380"/>
      <c r="C798" s="380"/>
      <c r="D798" s="380"/>
      <c r="E798" s="380"/>
      <c r="F798" s="380"/>
      <c r="G798" s="380"/>
      <c r="H798" s="380"/>
      <c r="I798" s="380"/>
      <c r="J798" s="53"/>
      <c r="K798" s="53"/>
      <c r="L798" s="380"/>
      <c r="M798" s="380"/>
      <c r="N798" s="380"/>
      <c r="O798" s="380"/>
      <c r="P798" s="380"/>
      <c r="Q798" s="380"/>
      <c r="R798" s="380"/>
      <c r="S798" s="380"/>
      <c r="T798" s="380"/>
      <c r="U798" s="380"/>
      <c r="V798" s="380"/>
      <c r="W798" s="380"/>
      <c r="X798" s="380"/>
      <c r="Y798" s="380"/>
      <c r="Z798" s="380"/>
      <c r="AA798" s="380"/>
      <c r="AB798" s="53"/>
      <c r="AC798" s="380"/>
      <c r="AD798" s="380"/>
      <c r="AE798" s="380"/>
      <c r="AF798" s="380"/>
      <c r="AG798" s="153"/>
      <c r="AH798" s="380"/>
      <c r="AI798" s="380"/>
      <c r="AJ798" s="380"/>
      <c r="AK798" s="153"/>
      <c r="AL798" s="380"/>
      <c r="AM798" s="380"/>
      <c r="AN798" s="380"/>
      <c r="AO798" s="380"/>
      <c r="AP798" s="380"/>
      <c r="AR798" s="380"/>
      <c r="AS798" s="380"/>
      <c r="AT798" s="380"/>
      <c r="AU798" s="380"/>
      <c r="AV798" s="380"/>
      <c r="AW798" s="380"/>
      <c r="AX798" s="380"/>
      <c r="AY798" s="380"/>
      <c r="AZ798" s="380"/>
      <c r="BA798" s="380"/>
      <c r="BB798" s="380"/>
      <c r="BC798" s="380"/>
      <c r="BD798" s="380"/>
      <c r="BE798" s="380"/>
      <c r="BF798" s="380"/>
      <c r="BG798" s="380"/>
      <c r="BH798" s="380"/>
      <c r="BI798" s="380"/>
      <c r="BJ798" s="380"/>
      <c r="BK798" s="380"/>
      <c r="BL798" s="380"/>
      <c r="BM798" s="380"/>
      <c r="BN798" s="380"/>
      <c r="BO798" s="380"/>
      <c r="BP798" s="380"/>
      <c r="BQ798" s="380"/>
      <c r="BR798" s="380"/>
      <c r="BS798" s="380"/>
      <c r="BT798" s="380"/>
      <c r="BU798" s="380"/>
      <c r="BV798" s="380"/>
      <c r="BW798" s="380"/>
      <c r="BX798" s="380"/>
      <c r="BY798" s="380"/>
    </row>
    <row r="799" spans="1:77" s="170" customFormat="1" x14ac:dyDescent="0.25">
      <c r="A799" s="380"/>
      <c r="B799" s="380"/>
      <c r="C799" s="380"/>
      <c r="D799" s="380"/>
      <c r="E799" s="380"/>
      <c r="F799" s="380"/>
      <c r="G799" s="380"/>
      <c r="H799" s="54"/>
      <c r="I799" s="54"/>
      <c r="J799" s="380"/>
      <c r="K799" s="380"/>
      <c r="L799" s="380"/>
      <c r="M799" s="380"/>
      <c r="N799" s="380"/>
      <c r="O799" s="380"/>
      <c r="P799" s="380"/>
      <c r="Q799" s="380"/>
      <c r="R799" s="380"/>
      <c r="S799" s="380"/>
      <c r="T799" s="380"/>
      <c r="U799" s="380"/>
      <c r="V799" s="380"/>
      <c r="W799" s="380"/>
      <c r="X799" s="380"/>
      <c r="Y799" s="380"/>
      <c r="Z799" s="380"/>
      <c r="AA799" s="54"/>
      <c r="AB799" s="380"/>
      <c r="AC799" s="380"/>
      <c r="AD799" s="380"/>
      <c r="AE799" s="380"/>
      <c r="AF799" s="380"/>
      <c r="AG799" s="153"/>
      <c r="AH799" s="380"/>
      <c r="AI799" s="380"/>
      <c r="AJ799" s="380"/>
      <c r="AK799" s="153"/>
      <c r="AL799" s="380"/>
      <c r="AM799" s="380"/>
      <c r="AN799" s="380"/>
      <c r="AO799" s="380"/>
      <c r="AP799" s="380"/>
      <c r="AR799" s="380"/>
      <c r="AS799" s="380"/>
      <c r="AT799" s="380"/>
      <c r="AU799" s="380"/>
      <c r="AV799" s="380"/>
      <c r="AW799" s="380"/>
      <c r="AX799" s="380"/>
      <c r="AY799" s="380"/>
      <c r="AZ799" s="380"/>
      <c r="BA799" s="380"/>
      <c r="BB799" s="380"/>
      <c r="BC799" s="380"/>
      <c r="BD799" s="380"/>
      <c r="BE799" s="380"/>
      <c r="BF799" s="380"/>
      <c r="BG799" s="380"/>
      <c r="BH799" s="380"/>
      <c r="BI799" s="380"/>
      <c r="BJ799" s="380"/>
      <c r="BK799" s="380"/>
      <c r="BL799" s="380"/>
      <c r="BM799" s="380"/>
      <c r="BN799" s="380"/>
      <c r="BO799" s="380"/>
      <c r="BP799" s="380"/>
      <c r="BQ799" s="380"/>
      <c r="BR799" s="380"/>
      <c r="BS799" s="380"/>
      <c r="BT799" s="380"/>
      <c r="BU799" s="380"/>
      <c r="BV799" s="380"/>
      <c r="BW799" s="380"/>
      <c r="BX799" s="380"/>
      <c r="BY799" s="380"/>
    </row>
    <row r="800" spans="1:77" s="170" customFormat="1" x14ac:dyDescent="0.25">
      <c r="A800" s="380"/>
      <c r="B800" s="380"/>
      <c r="C800" s="380"/>
      <c r="D800" s="380"/>
      <c r="E800" s="380"/>
      <c r="F800" s="380"/>
      <c r="G800" s="380"/>
      <c r="H800" s="380"/>
      <c r="I800" s="380"/>
      <c r="J800" s="53"/>
      <c r="K800" s="53"/>
      <c r="L800" s="380"/>
      <c r="M800" s="380"/>
      <c r="N800" s="380"/>
      <c r="O800" s="380"/>
      <c r="P800" s="380"/>
      <c r="Q800" s="380"/>
      <c r="R800" s="380"/>
      <c r="S800" s="380"/>
      <c r="T800" s="380"/>
      <c r="U800" s="380"/>
      <c r="V800" s="380"/>
      <c r="W800" s="380"/>
      <c r="X800" s="380"/>
      <c r="Y800" s="380"/>
      <c r="Z800" s="380"/>
      <c r="AA800" s="380"/>
      <c r="AB800" s="53"/>
      <c r="AC800" s="380"/>
      <c r="AD800" s="380"/>
      <c r="AE800" s="380"/>
      <c r="AF800" s="380"/>
      <c r="AG800" s="153"/>
      <c r="AH800" s="380"/>
      <c r="AI800" s="380"/>
      <c r="AJ800" s="380"/>
      <c r="AK800" s="153"/>
      <c r="AL800" s="380"/>
      <c r="AM800" s="380"/>
      <c r="AN800" s="380"/>
      <c r="AO800" s="380"/>
      <c r="AP800" s="380"/>
      <c r="AR800" s="380"/>
      <c r="AS800" s="380"/>
      <c r="AT800" s="380"/>
      <c r="AU800" s="380"/>
      <c r="AV800" s="380"/>
      <c r="AW800" s="380"/>
      <c r="AX800" s="380"/>
      <c r="AY800" s="380"/>
      <c r="AZ800" s="380"/>
      <c r="BA800" s="380"/>
      <c r="BB800" s="380"/>
      <c r="BC800" s="380"/>
      <c r="BD800" s="380"/>
      <c r="BE800" s="380"/>
      <c r="BF800" s="380"/>
      <c r="BG800" s="380"/>
      <c r="BH800" s="380"/>
      <c r="BI800" s="380"/>
      <c r="BJ800" s="380"/>
      <c r="BK800" s="380"/>
      <c r="BL800" s="380"/>
      <c r="BM800" s="380"/>
      <c r="BN800" s="380"/>
      <c r="BO800" s="380"/>
      <c r="BP800" s="380"/>
      <c r="BQ800" s="380"/>
      <c r="BR800" s="380"/>
      <c r="BS800" s="380"/>
      <c r="BT800" s="380"/>
      <c r="BU800" s="380"/>
      <c r="BV800" s="380"/>
      <c r="BW800" s="380"/>
      <c r="BX800" s="380"/>
      <c r="BY800" s="380"/>
    </row>
    <row r="801" spans="1:77" s="170" customFormat="1" x14ac:dyDescent="0.25">
      <c r="A801" s="380"/>
      <c r="B801" s="380"/>
      <c r="C801" s="380"/>
      <c r="D801" s="380"/>
      <c r="E801" s="380"/>
      <c r="F801" s="380"/>
      <c r="G801" s="380"/>
      <c r="H801" s="380"/>
      <c r="I801" s="380"/>
      <c r="J801" s="380"/>
      <c r="K801" s="380"/>
      <c r="L801" s="54"/>
      <c r="M801" s="54"/>
      <c r="N801" s="380"/>
      <c r="O801" s="380"/>
      <c r="P801" s="380"/>
      <c r="Q801" s="380"/>
      <c r="R801" s="380"/>
      <c r="S801" s="380"/>
      <c r="T801" s="380"/>
      <c r="U801" s="380"/>
      <c r="V801" s="380"/>
      <c r="W801" s="380"/>
      <c r="X801" s="380"/>
      <c r="Y801" s="380"/>
      <c r="Z801" s="380"/>
      <c r="AA801" s="380"/>
      <c r="AB801" s="380"/>
      <c r="AC801" s="54"/>
      <c r="AD801" s="54"/>
      <c r="AE801" s="380"/>
      <c r="AF801" s="380"/>
      <c r="AG801" s="153"/>
      <c r="AH801" s="380"/>
      <c r="AI801" s="380"/>
      <c r="AJ801" s="380"/>
      <c r="AK801" s="153"/>
      <c r="AL801" s="380"/>
      <c r="AM801" s="380"/>
      <c r="AN801" s="380"/>
      <c r="AO801" s="380"/>
      <c r="AP801" s="380"/>
      <c r="AR801" s="380"/>
      <c r="AS801" s="380"/>
      <c r="AT801" s="380"/>
      <c r="AU801" s="380"/>
      <c r="AV801" s="380"/>
      <c r="AW801" s="380"/>
      <c r="AX801" s="380"/>
      <c r="AY801" s="380"/>
      <c r="AZ801" s="380"/>
      <c r="BA801" s="380"/>
      <c r="BB801" s="380"/>
      <c r="BC801" s="380"/>
      <c r="BD801" s="380"/>
      <c r="BE801" s="380"/>
      <c r="BF801" s="380"/>
      <c r="BG801" s="380"/>
      <c r="BH801" s="380"/>
      <c r="BI801" s="380"/>
      <c r="BJ801" s="380"/>
      <c r="BK801" s="380"/>
      <c r="BL801" s="380"/>
      <c r="BM801" s="380"/>
      <c r="BN801" s="380"/>
      <c r="BO801" s="380"/>
      <c r="BP801" s="380"/>
      <c r="BQ801" s="380"/>
      <c r="BR801" s="380"/>
      <c r="BS801" s="380"/>
      <c r="BT801" s="380"/>
      <c r="BU801" s="380"/>
      <c r="BV801" s="380"/>
      <c r="BW801" s="380"/>
      <c r="BX801" s="380"/>
      <c r="BY801" s="380"/>
    </row>
    <row r="802" spans="1:77" s="170" customFormat="1" x14ac:dyDescent="0.25">
      <c r="A802" s="53"/>
      <c r="B802" s="380"/>
      <c r="C802" s="380"/>
      <c r="D802" s="380"/>
      <c r="E802" s="380"/>
      <c r="F802" s="380"/>
      <c r="G802" s="380"/>
      <c r="H802" s="380"/>
      <c r="I802" s="380"/>
      <c r="J802" s="380"/>
      <c r="K802" s="380"/>
      <c r="L802" s="380"/>
      <c r="M802" s="380"/>
      <c r="N802" s="380"/>
      <c r="O802" s="380"/>
      <c r="P802" s="380"/>
      <c r="Q802" s="380"/>
      <c r="R802" s="54"/>
      <c r="S802" s="380"/>
      <c r="T802" s="380"/>
      <c r="U802" s="380"/>
      <c r="V802" s="380"/>
      <c r="W802" s="380"/>
      <c r="X802" s="380"/>
      <c r="Y802" s="380"/>
      <c r="Z802" s="380"/>
      <c r="AA802" s="380"/>
      <c r="AB802" s="380"/>
      <c r="AC802" s="380"/>
      <c r="AD802" s="380"/>
      <c r="AE802" s="380"/>
      <c r="AF802" s="380"/>
      <c r="AG802" s="153"/>
      <c r="AH802" s="380"/>
      <c r="AI802" s="380"/>
      <c r="AJ802" s="380"/>
      <c r="AK802" s="153"/>
      <c r="AL802" s="380"/>
      <c r="AM802" s="54"/>
      <c r="AN802" s="54"/>
      <c r="AO802" s="380"/>
      <c r="AP802" s="380"/>
      <c r="AR802" s="380"/>
      <c r="AS802" s="380"/>
      <c r="AT802" s="380"/>
      <c r="AU802" s="380"/>
      <c r="AV802" s="380"/>
      <c r="AW802" s="380"/>
      <c r="AX802" s="380"/>
      <c r="AY802" s="380"/>
      <c r="AZ802" s="380"/>
      <c r="BA802" s="380"/>
      <c r="BB802" s="380"/>
      <c r="BC802" s="380"/>
      <c r="BD802" s="380"/>
      <c r="BE802" s="380"/>
      <c r="BF802" s="380"/>
      <c r="BG802" s="380"/>
      <c r="BH802" s="380"/>
      <c r="BI802" s="380"/>
      <c r="BJ802" s="380"/>
      <c r="BK802" s="380"/>
      <c r="BL802" s="380"/>
      <c r="BM802" s="380"/>
      <c r="BN802" s="380"/>
      <c r="BO802" s="380"/>
      <c r="BP802" s="380"/>
      <c r="BQ802" s="380"/>
      <c r="BR802" s="380"/>
      <c r="BS802" s="380"/>
      <c r="BT802" s="380"/>
      <c r="BU802" s="380"/>
      <c r="BV802" s="380"/>
      <c r="BW802" s="380"/>
      <c r="BX802" s="380"/>
      <c r="BY802" s="380"/>
    </row>
    <row r="803" spans="1:77" s="170" customFormat="1" x14ac:dyDescent="0.25">
      <c r="A803" s="53"/>
      <c r="B803" s="380"/>
      <c r="C803" s="380"/>
      <c r="D803" s="380"/>
      <c r="E803" s="380"/>
      <c r="F803" s="380"/>
      <c r="G803" s="380"/>
      <c r="H803" s="380"/>
      <c r="I803" s="380"/>
      <c r="J803" s="380"/>
      <c r="K803" s="380"/>
      <c r="L803" s="380"/>
      <c r="M803" s="380"/>
      <c r="N803" s="380"/>
      <c r="O803" s="380"/>
      <c r="P803" s="380"/>
      <c r="Q803" s="380"/>
      <c r="R803" s="54"/>
      <c r="S803" s="380"/>
      <c r="T803" s="380"/>
      <c r="U803" s="380"/>
      <c r="V803" s="380"/>
      <c r="W803" s="380"/>
      <c r="X803" s="380"/>
      <c r="Y803" s="380"/>
      <c r="Z803" s="380"/>
      <c r="AA803" s="380"/>
      <c r="AB803" s="380"/>
      <c r="AC803" s="380"/>
      <c r="AD803" s="380"/>
      <c r="AE803" s="380"/>
      <c r="AF803" s="380"/>
      <c r="AG803" s="153"/>
      <c r="AH803" s="380"/>
      <c r="AI803" s="380"/>
      <c r="AJ803" s="380"/>
      <c r="AK803" s="153"/>
      <c r="AL803" s="380"/>
      <c r="AM803" s="54"/>
      <c r="AN803" s="54"/>
      <c r="AO803" s="380"/>
      <c r="AP803" s="380"/>
      <c r="AR803" s="380"/>
      <c r="AS803" s="380"/>
      <c r="AT803" s="380"/>
      <c r="AU803" s="380"/>
      <c r="AV803" s="380"/>
      <c r="AW803" s="380"/>
      <c r="AX803" s="380"/>
      <c r="AY803" s="380"/>
      <c r="AZ803" s="380"/>
      <c r="BA803" s="380"/>
      <c r="BB803" s="380"/>
      <c r="BC803" s="380"/>
      <c r="BD803" s="380"/>
      <c r="BE803" s="380"/>
      <c r="BF803" s="380"/>
      <c r="BG803" s="380"/>
      <c r="BH803" s="380"/>
      <c r="BI803" s="380"/>
      <c r="BJ803" s="380"/>
      <c r="BK803" s="380"/>
      <c r="BL803" s="380"/>
      <c r="BM803" s="380"/>
      <c r="BN803" s="380"/>
      <c r="BO803" s="380"/>
      <c r="BP803" s="380"/>
      <c r="BQ803" s="380"/>
      <c r="BR803" s="380"/>
      <c r="BS803" s="380"/>
      <c r="BT803" s="380"/>
      <c r="BU803" s="380"/>
      <c r="BV803" s="380"/>
      <c r="BW803" s="380"/>
      <c r="BX803" s="380"/>
      <c r="BY803" s="380"/>
    </row>
    <row r="804" spans="1:77" s="170" customFormat="1" x14ac:dyDescent="0.25">
      <c r="A804" s="54"/>
      <c r="B804" s="380"/>
      <c r="C804" s="380"/>
      <c r="D804" s="380"/>
      <c r="E804" s="380"/>
      <c r="F804" s="380"/>
      <c r="G804" s="380"/>
      <c r="H804" s="380"/>
      <c r="I804" s="380"/>
      <c r="J804" s="380"/>
      <c r="K804" s="380"/>
      <c r="L804" s="380"/>
      <c r="M804" s="380"/>
      <c r="N804" s="380"/>
      <c r="O804" s="380"/>
      <c r="P804" s="380"/>
      <c r="Q804" s="380"/>
      <c r="R804" s="54"/>
      <c r="S804" s="380"/>
      <c r="T804" s="380"/>
      <c r="U804" s="380"/>
      <c r="V804" s="380"/>
      <c r="W804" s="380"/>
      <c r="X804" s="380"/>
      <c r="Y804" s="380"/>
      <c r="Z804" s="380"/>
      <c r="AA804" s="380"/>
      <c r="AB804" s="380"/>
      <c r="AC804" s="380"/>
      <c r="AD804" s="380"/>
      <c r="AE804" s="380"/>
      <c r="AF804" s="380"/>
      <c r="AG804" s="153"/>
      <c r="AH804" s="380"/>
      <c r="AI804" s="380"/>
      <c r="AJ804" s="380"/>
      <c r="AK804" s="153"/>
      <c r="AL804" s="380"/>
      <c r="AM804" s="54"/>
      <c r="AN804" s="54"/>
      <c r="AO804" s="380"/>
      <c r="AP804" s="380"/>
      <c r="AR804" s="380"/>
      <c r="AS804" s="380"/>
      <c r="AT804" s="380"/>
      <c r="AU804" s="380"/>
      <c r="AV804" s="380"/>
      <c r="AW804" s="380"/>
      <c r="AX804" s="380"/>
      <c r="AY804" s="380"/>
      <c r="AZ804" s="380"/>
      <c r="BA804" s="380"/>
      <c r="BB804" s="380"/>
      <c r="BC804" s="380"/>
      <c r="BD804" s="380"/>
      <c r="BE804" s="380"/>
      <c r="BF804" s="380"/>
      <c r="BG804" s="380"/>
      <c r="BH804" s="380"/>
      <c r="BI804" s="380"/>
      <c r="BJ804" s="380"/>
      <c r="BK804" s="380"/>
      <c r="BL804" s="380"/>
      <c r="BM804" s="380"/>
      <c r="BN804" s="380"/>
      <c r="BO804" s="380"/>
      <c r="BP804" s="380"/>
      <c r="BQ804" s="380"/>
      <c r="BR804" s="380"/>
      <c r="BS804" s="380"/>
      <c r="BT804" s="380"/>
      <c r="BU804" s="380"/>
      <c r="BV804" s="380"/>
      <c r="BW804" s="380"/>
      <c r="BX804" s="380"/>
      <c r="BY804" s="380"/>
    </row>
    <row r="805" spans="1:77" s="170" customFormat="1" x14ac:dyDescent="0.25">
      <c r="A805" s="380"/>
      <c r="B805" s="380"/>
      <c r="C805" s="380"/>
      <c r="D805" s="380"/>
      <c r="E805" s="380"/>
      <c r="F805" s="380"/>
      <c r="G805" s="380"/>
      <c r="H805" s="380"/>
      <c r="I805" s="380"/>
      <c r="J805" s="380"/>
      <c r="K805" s="380"/>
      <c r="L805" s="54"/>
      <c r="M805" s="54"/>
      <c r="N805" s="380"/>
      <c r="O805" s="380"/>
      <c r="P805" s="380"/>
      <c r="Q805" s="380"/>
      <c r="R805" s="53"/>
      <c r="S805" s="380"/>
      <c r="T805" s="380"/>
      <c r="U805" s="380"/>
      <c r="V805" s="380"/>
      <c r="W805" s="380"/>
      <c r="X805" s="380"/>
      <c r="Y805" s="380"/>
      <c r="Z805" s="380"/>
      <c r="AA805" s="380"/>
      <c r="AB805" s="380"/>
      <c r="AC805" s="54"/>
      <c r="AD805" s="54"/>
      <c r="AE805" s="380"/>
      <c r="AF805" s="380"/>
      <c r="AG805" s="153"/>
      <c r="AH805" s="380"/>
      <c r="AI805" s="380"/>
      <c r="AJ805" s="380"/>
      <c r="AK805" s="153"/>
      <c r="AL805" s="380"/>
      <c r="AM805" s="53"/>
      <c r="AN805" s="53"/>
      <c r="AO805" s="380"/>
      <c r="AP805" s="380"/>
      <c r="AR805" s="380"/>
      <c r="AS805" s="380"/>
      <c r="AT805" s="380"/>
      <c r="AU805" s="380"/>
      <c r="AV805" s="380"/>
      <c r="AW805" s="380"/>
      <c r="AX805" s="380"/>
      <c r="AY805" s="380"/>
      <c r="AZ805" s="380"/>
      <c r="BA805" s="380"/>
      <c r="BB805" s="380"/>
      <c r="BC805" s="380"/>
      <c r="BD805" s="380"/>
      <c r="BE805" s="380"/>
      <c r="BF805" s="380"/>
      <c r="BG805" s="380"/>
      <c r="BH805" s="380"/>
      <c r="BI805" s="380"/>
      <c r="BJ805" s="380"/>
      <c r="BK805" s="380"/>
      <c r="BL805" s="380"/>
      <c r="BM805" s="380"/>
      <c r="BN805" s="380"/>
      <c r="BO805" s="380"/>
      <c r="BP805" s="380"/>
      <c r="BQ805" s="380"/>
      <c r="BR805" s="380"/>
      <c r="BS805" s="380"/>
      <c r="BT805" s="380"/>
      <c r="BU805" s="380"/>
      <c r="BV805" s="380"/>
      <c r="BW805" s="380"/>
      <c r="BX805" s="380"/>
      <c r="BY805" s="380"/>
    </row>
    <row r="806" spans="1:77" s="170" customFormat="1" x14ac:dyDescent="0.25">
      <c r="A806" s="55"/>
      <c r="B806" s="55"/>
      <c r="C806" s="55"/>
      <c r="D806" s="55"/>
      <c r="E806" s="55"/>
      <c r="F806" s="380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380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154"/>
      <c r="AH806" s="55"/>
      <c r="AI806" s="55"/>
      <c r="AJ806" s="55"/>
      <c r="AK806" s="154"/>
      <c r="AL806" s="55"/>
      <c r="AM806" s="55"/>
      <c r="AN806" s="55"/>
      <c r="AO806" s="55"/>
      <c r="AP806" s="55"/>
      <c r="AR806" s="380"/>
      <c r="AS806" s="380"/>
      <c r="AT806" s="380"/>
      <c r="AU806" s="380"/>
      <c r="AV806" s="380"/>
      <c r="AW806" s="380"/>
      <c r="AX806" s="380"/>
      <c r="AY806" s="380"/>
      <c r="AZ806" s="380"/>
      <c r="BA806" s="380"/>
      <c r="BB806" s="380"/>
      <c r="BC806" s="380"/>
      <c r="BD806" s="380"/>
      <c r="BE806" s="380"/>
      <c r="BF806" s="380"/>
      <c r="BG806" s="380"/>
      <c r="BH806" s="380"/>
      <c r="BI806" s="380"/>
      <c r="BJ806" s="380"/>
      <c r="BK806" s="380"/>
      <c r="BL806" s="380"/>
      <c r="BM806" s="380"/>
      <c r="BN806" s="380"/>
      <c r="BO806" s="380"/>
      <c r="BP806" s="380"/>
      <c r="BQ806" s="380"/>
      <c r="BR806" s="380"/>
      <c r="BS806" s="380"/>
      <c r="BT806" s="380"/>
      <c r="BU806" s="380"/>
      <c r="BV806" s="380"/>
      <c r="BW806" s="380"/>
      <c r="BX806" s="380"/>
      <c r="BY806" s="380"/>
    </row>
    <row r="807" spans="1:77" s="170" customFormat="1" x14ac:dyDescent="0.25">
      <c r="A807" s="380"/>
      <c r="B807" s="380"/>
      <c r="C807" s="380"/>
      <c r="D807" s="380"/>
      <c r="E807" s="380"/>
      <c r="F807" s="55"/>
      <c r="G807" s="380"/>
      <c r="H807" s="380"/>
      <c r="I807" s="380"/>
      <c r="J807" s="380"/>
      <c r="K807" s="380"/>
      <c r="L807" s="56"/>
      <c r="M807" s="56"/>
      <c r="N807" s="56"/>
      <c r="O807" s="56"/>
      <c r="P807" s="380"/>
      <c r="Q807" s="380"/>
      <c r="R807" s="56"/>
      <c r="S807" s="380"/>
      <c r="T807" s="380"/>
      <c r="U807" s="380"/>
      <c r="V807" s="380"/>
      <c r="W807" s="380"/>
      <c r="X807" s="380"/>
      <c r="Y807" s="380"/>
      <c r="Z807" s="380"/>
      <c r="AA807" s="380"/>
      <c r="AB807" s="380"/>
      <c r="AC807" s="56"/>
      <c r="AD807" s="56"/>
      <c r="AE807" s="56"/>
      <c r="AF807" s="56"/>
      <c r="AG807" s="155"/>
      <c r="AH807" s="56"/>
      <c r="AI807" s="56"/>
      <c r="AJ807" s="56"/>
      <c r="AK807" s="153"/>
      <c r="AL807" s="380"/>
      <c r="AM807" s="56"/>
      <c r="AN807" s="56"/>
      <c r="AO807" s="56"/>
      <c r="AP807" s="56"/>
      <c r="AR807" s="380"/>
      <c r="AS807" s="380"/>
      <c r="AT807" s="380"/>
      <c r="AU807" s="380"/>
      <c r="AV807" s="380"/>
      <c r="AW807" s="380"/>
      <c r="AX807" s="380"/>
      <c r="AY807" s="380"/>
      <c r="AZ807" s="380"/>
      <c r="BA807" s="380"/>
      <c r="BB807" s="380"/>
      <c r="BC807" s="380"/>
      <c r="BD807" s="380"/>
      <c r="BE807" s="380"/>
      <c r="BF807" s="380"/>
      <c r="BG807" s="380"/>
      <c r="BH807" s="380"/>
      <c r="BI807" s="380"/>
      <c r="BJ807" s="380"/>
      <c r="BK807" s="380"/>
      <c r="BL807" s="380"/>
      <c r="BM807" s="380"/>
      <c r="BN807" s="380"/>
      <c r="BO807" s="380"/>
      <c r="BP807" s="380"/>
      <c r="BQ807" s="380"/>
      <c r="BR807" s="380"/>
      <c r="BS807" s="380"/>
      <c r="BT807" s="380"/>
      <c r="BU807" s="380"/>
      <c r="BV807" s="380"/>
      <c r="BW807" s="380"/>
      <c r="BX807" s="380"/>
      <c r="BY807" s="380"/>
    </row>
    <row r="808" spans="1:77" s="170" customFormat="1" x14ac:dyDescent="0.25">
      <c r="A808" s="380"/>
      <c r="B808" s="380"/>
      <c r="C808" s="380"/>
      <c r="D808" s="380"/>
      <c r="E808" s="380"/>
      <c r="F808" s="380"/>
      <c r="G808" s="380"/>
      <c r="H808" s="380"/>
      <c r="I808" s="380"/>
      <c r="J808" s="380"/>
      <c r="K808" s="380"/>
      <c r="L808" s="56"/>
      <c r="M808" s="56"/>
      <c r="N808" s="56"/>
      <c r="O808" s="56"/>
      <c r="P808" s="380"/>
      <c r="Q808" s="380"/>
      <c r="R808" s="56"/>
      <c r="S808" s="380"/>
      <c r="T808" s="380"/>
      <c r="U808" s="380"/>
      <c r="V808" s="380"/>
      <c r="W808" s="380"/>
      <c r="X808" s="380"/>
      <c r="Y808" s="380"/>
      <c r="Z808" s="380"/>
      <c r="AA808" s="380"/>
      <c r="AB808" s="56"/>
      <c r="AC808" s="56"/>
      <c r="AD808" s="56"/>
      <c r="AE808" s="56"/>
      <c r="AF808" s="56"/>
      <c r="AG808" s="155"/>
      <c r="AH808" s="56"/>
      <c r="AI808" s="56"/>
      <c r="AJ808" s="56"/>
      <c r="AK808" s="153"/>
      <c r="AL808" s="380"/>
      <c r="AM808" s="56"/>
      <c r="AN808" s="56"/>
      <c r="AO808" s="56"/>
      <c r="AP808" s="56"/>
      <c r="AR808" s="380"/>
      <c r="AS808" s="380"/>
      <c r="AT808" s="380"/>
      <c r="AU808" s="380"/>
      <c r="AV808" s="380"/>
      <c r="AW808" s="380"/>
      <c r="AX808" s="380"/>
      <c r="AY808" s="380"/>
      <c r="AZ808" s="380"/>
      <c r="BA808" s="380"/>
      <c r="BB808" s="380"/>
      <c r="BC808" s="380"/>
      <c r="BD808" s="380"/>
      <c r="BE808" s="380"/>
      <c r="BF808" s="380"/>
      <c r="BG808" s="380"/>
      <c r="BH808" s="380"/>
      <c r="BI808" s="380"/>
      <c r="BJ808" s="380"/>
      <c r="BK808" s="380"/>
      <c r="BL808" s="380"/>
      <c r="BM808" s="380"/>
      <c r="BN808" s="380"/>
      <c r="BO808" s="380"/>
      <c r="BP808" s="380"/>
      <c r="BQ808" s="380"/>
      <c r="BR808" s="380"/>
      <c r="BS808" s="380"/>
      <c r="BT808" s="380"/>
      <c r="BU808" s="380"/>
      <c r="BV808" s="380"/>
      <c r="BW808" s="380"/>
      <c r="BX808" s="380"/>
      <c r="BY808" s="380"/>
    </row>
    <row r="809" spans="1:77" s="170" customFormat="1" x14ac:dyDescent="0.25">
      <c r="A809" s="56"/>
      <c r="B809" s="380"/>
      <c r="C809" s="56"/>
      <c r="D809" s="56"/>
      <c r="E809" s="56"/>
      <c r="F809" s="380"/>
      <c r="G809" s="380"/>
      <c r="H809" s="380"/>
      <c r="I809" s="380"/>
      <c r="J809" s="56"/>
      <c r="K809" s="56"/>
      <c r="L809" s="56"/>
      <c r="M809" s="56"/>
      <c r="N809" s="56"/>
      <c r="O809" s="56"/>
      <c r="P809" s="56"/>
      <c r="Q809" s="56"/>
      <c r="R809" s="56"/>
      <c r="S809" s="380"/>
      <c r="T809" s="56"/>
      <c r="U809" s="56"/>
      <c r="V809" s="56"/>
      <c r="W809" s="380"/>
      <c r="X809" s="380"/>
      <c r="Y809" s="380"/>
      <c r="Z809" s="380"/>
      <c r="AA809" s="380"/>
      <c r="AB809" s="56"/>
      <c r="AC809" s="56"/>
      <c r="AD809" s="56"/>
      <c r="AE809" s="56"/>
      <c r="AF809" s="56"/>
      <c r="AG809" s="155"/>
      <c r="AH809" s="56"/>
      <c r="AI809" s="56"/>
      <c r="AJ809" s="56"/>
      <c r="AK809" s="155"/>
      <c r="AL809" s="56"/>
      <c r="AM809" s="56"/>
      <c r="AN809" s="56"/>
      <c r="AO809" s="56"/>
      <c r="AP809" s="56"/>
      <c r="AR809" s="380"/>
      <c r="AS809" s="380"/>
      <c r="AT809" s="380"/>
      <c r="AU809" s="380"/>
      <c r="AV809" s="380"/>
      <c r="AW809" s="380"/>
      <c r="AX809" s="380"/>
      <c r="AY809" s="380"/>
      <c r="AZ809" s="380"/>
      <c r="BA809" s="380"/>
      <c r="BB809" s="380"/>
      <c r="BC809" s="380"/>
      <c r="BD809" s="380"/>
      <c r="BE809" s="380"/>
      <c r="BF809" s="380"/>
      <c r="BG809" s="380"/>
      <c r="BH809" s="380"/>
      <c r="BI809" s="380"/>
      <c r="BJ809" s="380"/>
      <c r="BK809" s="380"/>
      <c r="BL809" s="380"/>
      <c r="BM809" s="380"/>
      <c r="BN809" s="380"/>
      <c r="BO809" s="380"/>
      <c r="BP809" s="380"/>
      <c r="BQ809" s="380"/>
      <c r="BR809" s="380"/>
      <c r="BS809" s="380"/>
      <c r="BT809" s="380"/>
      <c r="BU809" s="380"/>
      <c r="BV809" s="380"/>
      <c r="BW809" s="380"/>
      <c r="BX809" s="380"/>
      <c r="BY809" s="380"/>
    </row>
    <row r="810" spans="1:77" s="170" customFormat="1" x14ac:dyDescent="0.25">
      <c r="A810" s="56"/>
      <c r="B810" s="380"/>
      <c r="C810" s="56"/>
      <c r="D810" s="56"/>
      <c r="E810" s="56"/>
      <c r="F810" s="56"/>
      <c r="G810" s="380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380"/>
      <c r="T810" s="56"/>
      <c r="U810" s="56"/>
      <c r="V810" s="56"/>
      <c r="W810" s="380"/>
      <c r="X810" s="380"/>
      <c r="Y810" s="380"/>
      <c r="Z810" s="380"/>
      <c r="AA810" s="56"/>
      <c r="AB810" s="56"/>
      <c r="AC810" s="56"/>
      <c r="AD810" s="56"/>
      <c r="AE810" s="56"/>
      <c r="AF810" s="56"/>
      <c r="AG810" s="155"/>
      <c r="AH810" s="56"/>
      <c r="AI810" s="56"/>
      <c r="AJ810" s="56"/>
      <c r="AK810" s="155"/>
      <c r="AL810" s="56"/>
      <c r="AM810" s="56"/>
      <c r="AN810" s="56"/>
      <c r="AO810" s="56"/>
      <c r="AP810" s="56"/>
      <c r="AR810" s="380"/>
      <c r="AS810" s="380"/>
      <c r="AT810" s="380"/>
      <c r="AU810" s="380"/>
      <c r="AV810" s="380"/>
      <c r="AW810" s="380"/>
      <c r="AX810" s="380"/>
      <c r="AY810" s="380"/>
      <c r="AZ810" s="380"/>
      <c r="BA810" s="380"/>
      <c r="BB810" s="380"/>
      <c r="BC810" s="380"/>
      <c r="BD810" s="380"/>
      <c r="BE810" s="380"/>
      <c r="BF810" s="380"/>
      <c r="BG810" s="380"/>
      <c r="BH810" s="380"/>
      <c r="BI810" s="380"/>
      <c r="BJ810" s="380"/>
      <c r="BK810" s="380"/>
      <c r="BL810" s="380"/>
      <c r="BM810" s="380"/>
      <c r="BN810" s="380"/>
      <c r="BO810" s="380"/>
      <c r="BP810" s="380"/>
      <c r="BQ810" s="380"/>
      <c r="BR810" s="380"/>
      <c r="BS810" s="380"/>
      <c r="BT810" s="380"/>
      <c r="BU810" s="380"/>
      <c r="BV810" s="380"/>
      <c r="BW810" s="380"/>
      <c r="BX810" s="380"/>
      <c r="BY810" s="380"/>
    </row>
    <row r="811" spans="1:77" s="170" customFormat="1" x14ac:dyDescent="0.25">
      <c r="A811" s="380"/>
      <c r="B811" s="380"/>
      <c r="C811" s="56"/>
      <c r="D811" s="56"/>
      <c r="E811" s="56"/>
      <c r="F811" s="56"/>
      <c r="G811" s="380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380"/>
      <c r="T811" s="56"/>
      <c r="U811" s="56"/>
      <c r="V811" s="56"/>
      <c r="W811" s="380"/>
      <c r="X811" s="380"/>
      <c r="Y811" s="380"/>
      <c r="Z811" s="380"/>
      <c r="AA811" s="56"/>
      <c r="AB811" s="56"/>
      <c r="AC811" s="56"/>
      <c r="AD811" s="56"/>
      <c r="AE811" s="56"/>
      <c r="AF811" s="56"/>
      <c r="AG811" s="155"/>
      <c r="AH811" s="56"/>
      <c r="AI811" s="56"/>
      <c r="AJ811" s="56"/>
      <c r="AK811" s="155"/>
      <c r="AL811" s="56"/>
      <c r="AM811" s="56"/>
      <c r="AN811" s="56"/>
      <c r="AO811" s="56"/>
      <c r="AP811" s="56"/>
      <c r="AR811" s="380"/>
      <c r="AS811" s="380"/>
      <c r="AT811" s="380"/>
      <c r="AU811" s="380"/>
      <c r="AV811" s="380"/>
      <c r="AW811" s="380"/>
      <c r="AX811" s="380"/>
      <c r="AY811" s="380"/>
      <c r="AZ811" s="380"/>
      <c r="BA811" s="380"/>
      <c r="BB811" s="380"/>
      <c r="BC811" s="380"/>
      <c r="BD811" s="380"/>
      <c r="BE811" s="380"/>
      <c r="BF811" s="380"/>
      <c r="BG811" s="380"/>
      <c r="BH811" s="380"/>
      <c r="BI811" s="380"/>
      <c r="BJ811" s="380"/>
      <c r="BK811" s="380"/>
      <c r="BL811" s="380"/>
      <c r="BM811" s="380"/>
      <c r="BN811" s="380"/>
      <c r="BO811" s="380"/>
      <c r="BP811" s="380"/>
      <c r="BQ811" s="380"/>
      <c r="BR811" s="380"/>
      <c r="BS811" s="380"/>
      <c r="BT811" s="380"/>
      <c r="BU811" s="380"/>
      <c r="BV811" s="380"/>
      <c r="BW811" s="380"/>
      <c r="BX811" s="380"/>
      <c r="BY811" s="380"/>
    </row>
    <row r="812" spans="1:77" s="170" customFormat="1" x14ac:dyDescent="0.25">
      <c r="A812" s="55"/>
      <c r="B812" s="55"/>
      <c r="C812" s="55"/>
      <c r="D812" s="55"/>
      <c r="E812" s="55"/>
      <c r="F812" s="56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380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154"/>
      <c r="AH812" s="55"/>
      <c r="AI812" s="55"/>
      <c r="AJ812" s="55"/>
      <c r="AK812" s="154"/>
      <c r="AL812" s="55"/>
      <c r="AM812" s="55"/>
      <c r="AN812" s="55"/>
      <c r="AO812" s="55"/>
      <c r="AP812" s="55"/>
      <c r="AR812" s="380"/>
      <c r="AS812" s="380"/>
      <c r="AT812" s="380"/>
      <c r="AU812" s="380"/>
      <c r="AV812" s="380"/>
      <c r="AW812" s="380"/>
      <c r="AX812" s="380"/>
      <c r="AY812" s="380"/>
      <c r="AZ812" s="380"/>
      <c r="BA812" s="380"/>
      <c r="BB812" s="380"/>
      <c r="BC812" s="380"/>
      <c r="BD812" s="380"/>
      <c r="BE812" s="380"/>
      <c r="BF812" s="380"/>
      <c r="BG812" s="380"/>
      <c r="BH812" s="380"/>
      <c r="BI812" s="380"/>
      <c r="BJ812" s="380"/>
      <c r="BK812" s="380"/>
      <c r="BL812" s="380"/>
      <c r="BM812" s="380"/>
      <c r="BN812" s="380"/>
      <c r="BO812" s="380"/>
      <c r="BP812" s="380"/>
      <c r="BQ812" s="380"/>
      <c r="BR812" s="380"/>
      <c r="BS812" s="380"/>
      <c r="BT812" s="380"/>
      <c r="BU812" s="380"/>
      <c r="BV812" s="380"/>
      <c r="BW812" s="380"/>
      <c r="BX812" s="380"/>
      <c r="BY812" s="380"/>
    </row>
    <row r="813" spans="1:77" s="170" customFormat="1" x14ac:dyDescent="0.25">
      <c r="A813" s="380"/>
      <c r="B813" s="380"/>
      <c r="C813" s="380"/>
      <c r="D813" s="380"/>
      <c r="E813" s="380"/>
      <c r="F813" s="55"/>
      <c r="G813" s="380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380"/>
      <c r="T813" s="380"/>
      <c r="U813" s="380"/>
      <c r="V813" s="380"/>
      <c r="W813" s="380"/>
      <c r="X813" s="380"/>
      <c r="Y813" s="380"/>
      <c r="Z813" s="380"/>
      <c r="AA813" s="56"/>
      <c r="AB813" s="56"/>
      <c r="AC813" s="56"/>
      <c r="AD813" s="56"/>
      <c r="AE813" s="56"/>
      <c r="AF813" s="56"/>
      <c r="AG813" s="155"/>
      <c r="AH813" s="56"/>
      <c r="AI813" s="56"/>
      <c r="AJ813" s="56"/>
      <c r="AK813" s="155"/>
      <c r="AL813" s="56"/>
      <c r="AM813" s="56"/>
      <c r="AN813" s="56"/>
      <c r="AO813" s="56"/>
      <c r="AP813" s="56"/>
      <c r="AR813" s="380"/>
      <c r="AS813" s="380"/>
      <c r="AT813" s="380"/>
      <c r="AU813" s="380"/>
      <c r="AV813" s="380"/>
      <c r="AW813" s="380"/>
      <c r="AX813" s="380"/>
      <c r="AY813" s="380"/>
      <c r="AZ813" s="380"/>
      <c r="BA813" s="380"/>
      <c r="BB813" s="380"/>
      <c r="BC813" s="380"/>
      <c r="BD813" s="380"/>
      <c r="BE813" s="380"/>
      <c r="BF813" s="380"/>
      <c r="BG813" s="380"/>
      <c r="BH813" s="380"/>
      <c r="BI813" s="380"/>
      <c r="BJ813" s="380"/>
      <c r="BK813" s="380"/>
      <c r="BL813" s="380"/>
      <c r="BM813" s="380"/>
      <c r="BN813" s="380"/>
      <c r="BO813" s="380"/>
      <c r="BP813" s="380"/>
      <c r="BQ813" s="380"/>
      <c r="BR813" s="380"/>
      <c r="BS813" s="380"/>
      <c r="BT813" s="380"/>
      <c r="BU813" s="380"/>
      <c r="BV813" s="380"/>
      <c r="BW813" s="380"/>
      <c r="BX813" s="380"/>
      <c r="BY813" s="380"/>
    </row>
    <row r="814" spans="1:77" s="170" customFormat="1" x14ac:dyDescent="0.25">
      <c r="A814" s="53"/>
      <c r="B814" s="380"/>
      <c r="C814" s="54"/>
      <c r="D814" s="54"/>
      <c r="E814" s="54"/>
      <c r="F814" s="380"/>
      <c r="G814" s="380"/>
      <c r="H814" s="379"/>
      <c r="I814" s="379"/>
      <c r="J814" s="59"/>
      <c r="K814" s="59"/>
      <c r="L814" s="379"/>
      <c r="M814" s="379"/>
      <c r="N814" s="59"/>
      <c r="O814" s="59"/>
      <c r="P814" s="379"/>
      <c r="Q814" s="379"/>
      <c r="R814" s="379"/>
      <c r="S814" s="380"/>
      <c r="T814" s="54"/>
      <c r="U814" s="54"/>
      <c r="V814" s="379"/>
      <c r="W814" s="380"/>
      <c r="X814" s="380"/>
      <c r="Y814" s="380"/>
      <c r="Z814" s="380"/>
      <c r="AA814" s="379"/>
      <c r="AB814" s="59"/>
      <c r="AC814" s="379"/>
      <c r="AD814" s="379"/>
      <c r="AE814" s="59"/>
      <c r="AF814" s="59"/>
      <c r="AG814" s="156"/>
      <c r="AH814" s="379"/>
      <c r="AI814" s="60"/>
      <c r="AJ814" s="60"/>
      <c r="AK814" s="156"/>
      <c r="AL814" s="379"/>
      <c r="AM814" s="379"/>
      <c r="AN814" s="379"/>
      <c r="AO814" s="50"/>
      <c r="AP814" s="50"/>
      <c r="AR814" s="380"/>
      <c r="AS814" s="380"/>
      <c r="AT814" s="380"/>
      <c r="AU814" s="380"/>
      <c r="AV814" s="380"/>
      <c r="AW814" s="380"/>
      <c r="AX814" s="380"/>
      <c r="AY814" s="380"/>
      <c r="AZ814" s="380"/>
      <c r="BA814" s="380"/>
      <c r="BB814" s="380"/>
      <c r="BC814" s="380"/>
      <c r="BD814" s="380"/>
      <c r="BE814" s="380"/>
      <c r="BF814" s="380"/>
      <c r="BG814" s="380"/>
      <c r="BH814" s="380"/>
      <c r="BI814" s="380"/>
      <c r="BJ814" s="380"/>
      <c r="BK814" s="380"/>
      <c r="BL814" s="380"/>
      <c r="BM814" s="380"/>
      <c r="BN814" s="380"/>
      <c r="BO814" s="380"/>
      <c r="BP814" s="380"/>
      <c r="BQ814" s="380"/>
      <c r="BR814" s="380"/>
      <c r="BS814" s="380"/>
      <c r="BT814" s="380"/>
      <c r="BU814" s="380"/>
      <c r="BV814" s="380"/>
      <c r="BW814" s="380"/>
      <c r="BX814" s="380"/>
      <c r="BY814" s="380"/>
    </row>
    <row r="815" spans="1:77" s="170" customFormat="1" x14ac:dyDescent="0.25">
      <c r="A815" s="380"/>
      <c r="B815" s="380"/>
      <c r="C815" s="380"/>
      <c r="D815" s="380"/>
      <c r="E815" s="380"/>
      <c r="F815" s="379"/>
      <c r="G815" s="380"/>
      <c r="H815" s="381"/>
      <c r="I815" s="381"/>
      <c r="J815" s="464"/>
      <c r="K815" s="464"/>
      <c r="L815" s="381"/>
      <c r="M815" s="381"/>
      <c r="N815" s="381"/>
      <c r="O815" s="381"/>
      <c r="P815" s="381"/>
      <c r="Q815" s="381"/>
      <c r="R815" s="381"/>
      <c r="S815" s="380"/>
      <c r="T815" s="380"/>
      <c r="U815" s="380"/>
      <c r="V815" s="381"/>
      <c r="W815" s="380"/>
      <c r="X815" s="380"/>
      <c r="Y815" s="380"/>
      <c r="Z815" s="380"/>
      <c r="AA815" s="381"/>
      <c r="AB815" s="464"/>
      <c r="AC815" s="381"/>
      <c r="AD815" s="381"/>
      <c r="AE815" s="381"/>
      <c r="AF815" s="381"/>
      <c r="AG815" s="162"/>
      <c r="AH815" s="381"/>
      <c r="AI815" s="380"/>
      <c r="AJ815" s="380"/>
      <c r="AK815" s="162"/>
      <c r="AL815" s="381"/>
      <c r="AM815" s="381"/>
      <c r="AN815" s="381"/>
      <c r="AO815" s="50"/>
      <c r="AP815" s="50"/>
      <c r="AR815" s="380"/>
      <c r="AS815" s="380"/>
      <c r="AT815" s="380"/>
      <c r="AU815" s="380"/>
      <c r="AV815" s="380"/>
      <c r="AW815" s="380"/>
      <c r="AX815" s="380"/>
      <c r="AY815" s="380"/>
      <c r="AZ815" s="380"/>
      <c r="BA815" s="380"/>
      <c r="BB815" s="380"/>
      <c r="BC815" s="380"/>
      <c r="BD815" s="380"/>
      <c r="BE815" s="380"/>
      <c r="BF815" s="380"/>
      <c r="BG815" s="380"/>
      <c r="BH815" s="380"/>
      <c r="BI815" s="380"/>
      <c r="BJ815" s="380"/>
      <c r="BK815" s="380"/>
      <c r="BL815" s="380"/>
      <c r="BM815" s="380"/>
      <c r="BN815" s="380"/>
      <c r="BO815" s="380"/>
      <c r="BP815" s="380"/>
      <c r="BQ815" s="380"/>
      <c r="BR815" s="380"/>
      <c r="BS815" s="380"/>
      <c r="BT815" s="380"/>
      <c r="BU815" s="380"/>
      <c r="BV815" s="380"/>
      <c r="BW815" s="380"/>
      <c r="BX815" s="380"/>
      <c r="BY815" s="380"/>
    </row>
    <row r="816" spans="1:77" s="170" customFormat="1" x14ac:dyDescent="0.25">
      <c r="A816" s="53"/>
      <c r="B816" s="380"/>
      <c r="C816" s="54"/>
      <c r="D816" s="380"/>
      <c r="E816" s="380"/>
      <c r="F816" s="381"/>
      <c r="G816" s="380"/>
      <c r="H816" s="379"/>
      <c r="I816" s="379"/>
      <c r="J816" s="59"/>
      <c r="K816" s="59"/>
      <c r="L816" s="379"/>
      <c r="M816" s="379"/>
      <c r="N816" s="59"/>
      <c r="O816" s="59"/>
      <c r="P816" s="379"/>
      <c r="Q816" s="379"/>
      <c r="R816" s="379"/>
      <c r="S816" s="380"/>
      <c r="T816" s="54"/>
      <c r="U816" s="380"/>
      <c r="V816" s="379"/>
      <c r="W816" s="380"/>
      <c r="X816" s="380"/>
      <c r="Y816" s="380"/>
      <c r="Z816" s="380"/>
      <c r="AA816" s="379"/>
      <c r="AB816" s="59"/>
      <c r="AC816" s="379"/>
      <c r="AD816" s="379"/>
      <c r="AE816" s="59"/>
      <c r="AF816" s="59"/>
      <c r="AG816" s="156"/>
      <c r="AH816" s="379"/>
      <c r="AI816" s="60"/>
      <c r="AJ816" s="60"/>
      <c r="AK816" s="156"/>
      <c r="AL816" s="379"/>
      <c r="AM816" s="379"/>
      <c r="AN816" s="379"/>
      <c r="AO816" s="50"/>
      <c r="AP816" s="50"/>
      <c r="AR816" s="380"/>
      <c r="AS816" s="380"/>
      <c r="AT816" s="380"/>
      <c r="AU816" s="380"/>
      <c r="AV816" s="380"/>
      <c r="AW816" s="380"/>
      <c r="AX816" s="380"/>
      <c r="AY816" s="380"/>
      <c r="AZ816" s="380"/>
      <c r="BA816" s="380"/>
      <c r="BB816" s="380"/>
      <c r="BC816" s="380"/>
      <c r="BD816" s="380"/>
      <c r="BE816" s="380"/>
      <c r="BF816" s="380"/>
      <c r="BG816" s="380"/>
      <c r="BH816" s="380"/>
      <c r="BI816" s="380"/>
      <c r="BJ816" s="380"/>
      <c r="BK816" s="380"/>
      <c r="BL816" s="380"/>
      <c r="BM816" s="380"/>
      <c r="BN816" s="380"/>
      <c r="BO816" s="380"/>
      <c r="BP816" s="380"/>
      <c r="BQ816" s="380"/>
      <c r="BR816" s="380"/>
      <c r="BS816" s="380"/>
      <c r="BT816" s="380"/>
      <c r="BU816" s="380"/>
      <c r="BV816" s="380"/>
      <c r="BW816" s="380"/>
      <c r="BX816" s="380"/>
      <c r="BY816" s="380"/>
    </row>
    <row r="817" spans="1:77" s="170" customFormat="1" x14ac:dyDescent="0.25">
      <c r="A817" s="380"/>
      <c r="B817" s="380"/>
      <c r="C817" s="380"/>
      <c r="D817" s="380"/>
      <c r="E817" s="380"/>
      <c r="F817" s="379"/>
      <c r="G817" s="380"/>
      <c r="H817" s="379"/>
      <c r="I817" s="379"/>
      <c r="J817" s="59"/>
      <c r="K817" s="59"/>
      <c r="L817" s="379"/>
      <c r="M817" s="379"/>
      <c r="N817" s="59"/>
      <c r="O817" s="59"/>
      <c r="P817" s="379"/>
      <c r="Q817" s="379"/>
      <c r="R817" s="379"/>
      <c r="S817" s="380"/>
      <c r="T817" s="380"/>
      <c r="U817" s="380"/>
      <c r="V817" s="379"/>
      <c r="W817" s="380"/>
      <c r="X817" s="380"/>
      <c r="Y817" s="380"/>
      <c r="Z817" s="380"/>
      <c r="AA817" s="379"/>
      <c r="AB817" s="59"/>
      <c r="AC817" s="379"/>
      <c r="AD817" s="379"/>
      <c r="AE817" s="59"/>
      <c r="AF817" s="59"/>
      <c r="AG817" s="153"/>
      <c r="AH817" s="380"/>
      <c r="AI817" s="60"/>
      <c r="AJ817" s="60"/>
      <c r="AK817" s="156"/>
      <c r="AL817" s="379"/>
      <c r="AM817" s="379"/>
      <c r="AN817" s="379"/>
      <c r="AO817" s="50"/>
      <c r="AP817" s="50"/>
      <c r="AR817" s="380"/>
      <c r="AS817" s="380"/>
      <c r="AT817" s="380"/>
      <c r="AU817" s="380"/>
      <c r="AV817" s="380"/>
      <c r="AW817" s="380"/>
      <c r="AX817" s="380"/>
      <c r="AY817" s="380"/>
      <c r="AZ817" s="380"/>
      <c r="BA817" s="380"/>
      <c r="BB817" s="380"/>
      <c r="BC817" s="380"/>
      <c r="BD817" s="380"/>
      <c r="BE817" s="380"/>
      <c r="BF817" s="380"/>
      <c r="BG817" s="380"/>
      <c r="BH817" s="380"/>
      <c r="BI817" s="380"/>
      <c r="BJ817" s="380"/>
      <c r="BK817" s="380"/>
      <c r="BL817" s="380"/>
      <c r="BM817" s="380"/>
      <c r="BN817" s="380"/>
      <c r="BO817" s="380"/>
      <c r="BP817" s="380"/>
      <c r="BQ817" s="380"/>
      <c r="BR817" s="380"/>
      <c r="BS817" s="380"/>
      <c r="BT817" s="380"/>
      <c r="BU817" s="380"/>
      <c r="BV817" s="380"/>
      <c r="BW817" s="380"/>
      <c r="BX817" s="380"/>
      <c r="BY817" s="380"/>
    </row>
    <row r="818" spans="1:77" s="170" customFormat="1" x14ac:dyDescent="0.25">
      <c r="A818" s="53"/>
      <c r="B818" s="380"/>
      <c r="C818" s="54"/>
      <c r="D818" s="54"/>
      <c r="E818" s="54"/>
      <c r="F818" s="379"/>
      <c r="G818" s="380"/>
      <c r="H818" s="379"/>
      <c r="I818" s="379"/>
      <c r="J818" s="59"/>
      <c r="K818" s="59"/>
      <c r="L818" s="379"/>
      <c r="M818" s="379"/>
      <c r="N818" s="59"/>
      <c r="O818" s="59"/>
      <c r="P818" s="379"/>
      <c r="Q818" s="379"/>
      <c r="R818" s="379"/>
      <c r="S818" s="380"/>
      <c r="T818" s="54"/>
      <c r="U818" s="54"/>
      <c r="V818" s="379"/>
      <c r="W818" s="380"/>
      <c r="X818" s="380"/>
      <c r="Y818" s="380"/>
      <c r="Z818" s="380"/>
      <c r="AA818" s="379"/>
      <c r="AB818" s="59"/>
      <c r="AC818" s="379"/>
      <c r="AD818" s="379"/>
      <c r="AE818" s="59"/>
      <c r="AF818" s="59"/>
      <c r="AG818" s="156"/>
      <c r="AH818" s="379"/>
      <c r="AI818" s="60"/>
      <c r="AJ818" s="60"/>
      <c r="AK818" s="156"/>
      <c r="AL818" s="379"/>
      <c r="AM818" s="379"/>
      <c r="AN818" s="379"/>
      <c r="AO818" s="50"/>
      <c r="AP818" s="50"/>
      <c r="AR818" s="380"/>
      <c r="AS818" s="380"/>
      <c r="AT818" s="380"/>
      <c r="AU818" s="380"/>
      <c r="AV818" s="380"/>
      <c r="AW818" s="380"/>
      <c r="AX818" s="380"/>
      <c r="AY818" s="380"/>
      <c r="AZ818" s="380"/>
      <c r="BA818" s="380"/>
      <c r="BB818" s="380"/>
      <c r="BC818" s="380"/>
      <c r="BD818" s="380"/>
      <c r="BE818" s="380"/>
      <c r="BF818" s="380"/>
      <c r="BG818" s="380"/>
      <c r="BH818" s="380"/>
      <c r="BI818" s="380"/>
      <c r="BJ818" s="380"/>
      <c r="BK818" s="380"/>
      <c r="BL818" s="380"/>
      <c r="BM818" s="380"/>
      <c r="BN818" s="380"/>
      <c r="BO818" s="380"/>
      <c r="BP818" s="380"/>
      <c r="BQ818" s="380"/>
      <c r="BR818" s="380"/>
      <c r="BS818" s="380"/>
      <c r="BT818" s="380"/>
      <c r="BU818" s="380"/>
      <c r="BV818" s="380"/>
      <c r="BW818" s="380"/>
      <c r="BX818" s="380"/>
      <c r="BY818" s="380"/>
    </row>
    <row r="819" spans="1:77" s="170" customFormat="1" x14ac:dyDescent="0.25">
      <c r="A819" s="53"/>
      <c r="B819" s="380"/>
      <c r="C819" s="54"/>
      <c r="D819" s="54"/>
      <c r="E819" s="54"/>
      <c r="F819" s="379"/>
      <c r="G819" s="380"/>
      <c r="H819" s="379"/>
      <c r="I819" s="379"/>
      <c r="J819" s="59"/>
      <c r="K819" s="59"/>
      <c r="L819" s="379"/>
      <c r="M819" s="379"/>
      <c r="N819" s="59"/>
      <c r="O819" s="59"/>
      <c r="P819" s="379"/>
      <c r="Q819" s="379"/>
      <c r="R819" s="379"/>
      <c r="S819" s="380"/>
      <c r="T819" s="54"/>
      <c r="U819" s="54"/>
      <c r="V819" s="379"/>
      <c r="W819" s="380"/>
      <c r="X819" s="380"/>
      <c r="Y819" s="380"/>
      <c r="Z819" s="380"/>
      <c r="AA819" s="379"/>
      <c r="AB819" s="59"/>
      <c r="AC819" s="379"/>
      <c r="AD819" s="379"/>
      <c r="AE819" s="59"/>
      <c r="AF819" s="59"/>
      <c r="AG819" s="156"/>
      <c r="AH819" s="379"/>
      <c r="AI819" s="60"/>
      <c r="AJ819" s="60"/>
      <c r="AK819" s="156"/>
      <c r="AL819" s="379"/>
      <c r="AM819" s="379"/>
      <c r="AN819" s="379"/>
      <c r="AO819" s="50"/>
      <c r="AP819" s="50"/>
      <c r="AR819" s="380"/>
      <c r="AS819" s="380"/>
      <c r="AT819" s="380"/>
      <c r="AU819" s="380"/>
      <c r="AV819" s="380"/>
      <c r="AW819" s="380"/>
      <c r="AX819" s="380"/>
      <c r="AY819" s="380"/>
      <c r="AZ819" s="380"/>
      <c r="BA819" s="380"/>
      <c r="BB819" s="380"/>
      <c r="BC819" s="380"/>
      <c r="BD819" s="380"/>
      <c r="BE819" s="380"/>
      <c r="BF819" s="380"/>
      <c r="BG819" s="380"/>
      <c r="BH819" s="380"/>
      <c r="BI819" s="380"/>
      <c r="BJ819" s="380"/>
      <c r="BK819" s="380"/>
      <c r="BL819" s="380"/>
      <c r="BM819" s="380"/>
      <c r="BN819" s="380"/>
      <c r="BO819" s="380"/>
      <c r="BP819" s="380"/>
      <c r="BQ819" s="380"/>
      <c r="BR819" s="380"/>
      <c r="BS819" s="380"/>
      <c r="BT819" s="380"/>
      <c r="BU819" s="380"/>
      <c r="BV819" s="380"/>
      <c r="BW819" s="380"/>
      <c r="BX819" s="380"/>
      <c r="BY819" s="380"/>
    </row>
    <row r="820" spans="1:77" s="170" customFormat="1" x14ac:dyDescent="0.25">
      <c r="A820" s="53"/>
      <c r="B820" s="380"/>
      <c r="C820" s="54"/>
      <c r="D820" s="54"/>
      <c r="E820" s="54"/>
      <c r="F820" s="379"/>
      <c r="G820" s="380"/>
      <c r="H820" s="379"/>
      <c r="I820" s="379"/>
      <c r="J820" s="59"/>
      <c r="K820" s="59"/>
      <c r="L820" s="379"/>
      <c r="M820" s="379"/>
      <c r="N820" s="59"/>
      <c r="O820" s="59"/>
      <c r="P820" s="379"/>
      <c r="Q820" s="379"/>
      <c r="R820" s="379"/>
      <c r="S820" s="380"/>
      <c r="T820" s="54"/>
      <c r="U820" s="54"/>
      <c r="V820" s="379"/>
      <c r="W820" s="380"/>
      <c r="X820" s="380"/>
      <c r="Y820" s="380"/>
      <c r="Z820" s="380"/>
      <c r="AA820" s="379"/>
      <c r="AB820" s="59"/>
      <c r="AC820" s="379"/>
      <c r="AD820" s="379"/>
      <c r="AE820" s="59"/>
      <c r="AF820" s="59"/>
      <c r="AG820" s="156"/>
      <c r="AH820" s="379"/>
      <c r="AI820" s="60"/>
      <c r="AJ820" s="60"/>
      <c r="AK820" s="156"/>
      <c r="AL820" s="379"/>
      <c r="AM820" s="379"/>
      <c r="AN820" s="379"/>
      <c r="AO820" s="50"/>
      <c r="AP820" s="50"/>
      <c r="AR820" s="380"/>
      <c r="AS820" s="380"/>
      <c r="AT820" s="380"/>
      <c r="AU820" s="380"/>
      <c r="AV820" s="380"/>
      <c r="AW820" s="380"/>
      <c r="AX820" s="380"/>
      <c r="AY820" s="380"/>
      <c r="AZ820" s="380"/>
      <c r="BA820" s="380"/>
      <c r="BB820" s="380"/>
      <c r="BC820" s="380"/>
      <c r="BD820" s="380"/>
      <c r="BE820" s="380"/>
      <c r="BF820" s="380"/>
      <c r="BG820" s="380"/>
      <c r="BH820" s="380"/>
      <c r="BI820" s="380"/>
      <c r="BJ820" s="380"/>
      <c r="BK820" s="380"/>
      <c r="BL820" s="380"/>
      <c r="BM820" s="380"/>
      <c r="BN820" s="380"/>
      <c r="BO820" s="380"/>
      <c r="BP820" s="380"/>
      <c r="BQ820" s="380"/>
      <c r="BR820" s="380"/>
      <c r="BS820" s="380"/>
      <c r="BT820" s="380"/>
      <c r="BU820" s="380"/>
      <c r="BV820" s="380"/>
      <c r="BW820" s="380"/>
      <c r="BX820" s="380"/>
      <c r="BY820" s="380"/>
    </row>
    <row r="821" spans="1:77" s="170" customFormat="1" x14ac:dyDescent="0.25">
      <c r="A821" s="53"/>
      <c r="B821" s="380"/>
      <c r="C821" s="54"/>
      <c r="D821" s="54"/>
      <c r="E821" s="54"/>
      <c r="F821" s="379"/>
      <c r="G821" s="380"/>
      <c r="H821" s="379"/>
      <c r="I821" s="379"/>
      <c r="J821" s="59"/>
      <c r="K821" s="59"/>
      <c r="L821" s="379"/>
      <c r="M821" s="379"/>
      <c r="N821" s="59"/>
      <c r="O821" s="59"/>
      <c r="P821" s="379"/>
      <c r="Q821" s="379"/>
      <c r="R821" s="379"/>
      <c r="S821" s="380"/>
      <c r="T821" s="54"/>
      <c r="U821" s="54"/>
      <c r="V821" s="379"/>
      <c r="W821" s="380"/>
      <c r="X821" s="380"/>
      <c r="Y821" s="380"/>
      <c r="Z821" s="380"/>
      <c r="AA821" s="379"/>
      <c r="AB821" s="59"/>
      <c r="AC821" s="379"/>
      <c r="AD821" s="379"/>
      <c r="AE821" s="59"/>
      <c r="AF821" s="59"/>
      <c r="AG821" s="156"/>
      <c r="AH821" s="379"/>
      <c r="AI821" s="60"/>
      <c r="AJ821" s="60"/>
      <c r="AK821" s="156"/>
      <c r="AL821" s="379"/>
      <c r="AM821" s="379"/>
      <c r="AN821" s="379"/>
      <c r="AO821" s="50"/>
      <c r="AP821" s="50"/>
      <c r="AR821" s="380"/>
      <c r="AS821" s="380"/>
      <c r="AT821" s="380"/>
      <c r="AU821" s="380"/>
      <c r="AV821" s="380"/>
      <c r="AW821" s="380"/>
      <c r="AX821" s="380"/>
      <c r="AY821" s="380"/>
      <c r="AZ821" s="380"/>
      <c r="BA821" s="380"/>
      <c r="BB821" s="380"/>
      <c r="BC821" s="380"/>
      <c r="BD821" s="380"/>
      <c r="BE821" s="380"/>
      <c r="BF821" s="380"/>
      <c r="BG821" s="380"/>
      <c r="BH821" s="380"/>
      <c r="BI821" s="380"/>
      <c r="BJ821" s="380"/>
      <c r="BK821" s="380"/>
      <c r="BL821" s="380"/>
      <c r="BM821" s="380"/>
      <c r="BN821" s="380"/>
      <c r="BO821" s="380"/>
      <c r="BP821" s="380"/>
      <c r="BQ821" s="380"/>
      <c r="BR821" s="380"/>
      <c r="BS821" s="380"/>
      <c r="BT821" s="380"/>
      <c r="BU821" s="380"/>
      <c r="BV821" s="380"/>
      <c r="BW821" s="380"/>
      <c r="BX821" s="380"/>
      <c r="BY821" s="380"/>
    </row>
    <row r="822" spans="1:77" s="170" customFormat="1" x14ac:dyDescent="0.25">
      <c r="A822" s="53"/>
      <c r="B822" s="380"/>
      <c r="C822" s="54"/>
      <c r="D822" s="54"/>
      <c r="E822" s="54"/>
      <c r="F822" s="379"/>
      <c r="G822" s="380"/>
      <c r="H822" s="379"/>
      <c r="I822" s="379"/>
      <c r="J822" s="59"/>
      <c r="K822" s="59"/>
      <c r="L822" s="379"/>
      <c r="M822" s="379"/>
      <c r="N822" s="59"/>
      <c r="O822" s="59"/>
      <c r="P822" s="379"/>
      <c r="Q822" s="379"/>
      <c r="R822" s="379"/>
      <c r="S822" s="380"/>
      <c r="T822" s="54"/>
      <c r="U822" s="54"/>
      <c r="V822" s="379"/>
      <c r="W822" s="380"/>
      <c r="X822" s="380"/>
      <c r="Y822" s="380"/>
      <c r="Z822" s="380"/>
      <c r="AA822" s="379"/>
      <c r="AB822" s="59"/>
      <c r="AC822" s="379"/>
      <c r="AD822" s="379"/>
      <c r="AE822" s="59"/>
      <c r="AF822" s="59"/>
      <c r="AG822" s="156"/>
      <c r="AH822" s="379"/>
      <c r="AI822" s="60"/>
      <c r="AJ822" s="60"/>
      <c r="AK822" s="156"/>
      <c r="AL822" s="379"/>
      <c r="AM822" s="379"/>
      <c r="AN822" s="379"/>
      <c r="AO822" s="50"/>
      <c r="AP822" s="50"/>
      <c r="AR822" s="380"/>
      <c r="AS822" s="380"/>
      <c r="AT822" s="380"/>
      <c r="AU822" s="380"/>
      <c r="AV822" s="380"/>
      <c r="AW822" s="380"/>
      <c r="AX822" s="380"/>
      <c r="AY822" s="380"/>
      <c r="AZ822" s="380"/>
      <c r="BA822" s="380"/>
      <c r="BB822" s="380"/>
      <c r="BC822" s="380"/>
      <c r="BD822" s="380"/>
      <c r="BE822" s="380"/>
      <c r="BF822" s="380"/>
      <c r="BG822" s="380"/>
      <c r="BH822" s="380"/>
      <c r="BI822" s="380"/>
      <c r="BJ822" s="380"/>
      <c r="BK822" s="380"/>
      <c r="BL822" s="380"/>
      <c r="BM822" s="380"/>
      <c r="BN822" s="380"/>
      <c r="BO822" s="380"/>
      <c r="BP822" s="380"/>
      <c r="BQ822" s="380"/>
      <c r="BR822" s="380"/>
      <c r="BS822" s="380"/>
      <c r="BT822" s="380"/>
      <c r="BU822" s="380"/>
      <c r="BV822" s="380"/>
      <c r="BW822" s="380"/>
      <c r="BX822" s="380"/>
      <c r="BY822" s="380"/>
    </row>
    <row r="823" spans="1:77" s="170" customFormat="1" x14ac:dyDescent="0.25">
      <c r="A823" s="53"/>
      <c r="B823" s="380"/>
      <c r="C823" s="54"/>
      <c r="D823" s="54"/>
      <c r="E823" s="54"/>
      <c r="F823" s="379"/>
      <c r="G823" s="380"/>
      <c r="H823" s="379"/>
      <c r="I823" s="379"/>
      <c r="J823" s="59"/>
      <c r="K823" s="59"/>
      <c r="L823" s="379"/>
      <c r="M823" s="379"/>
      <c r="N823" s="59"/>
      <c r="O823" s="59"/>
      <c r="P823" s="379"/>
      <c r="Q823" s="379"/>
      <c r="R823" s="379"/>
      <c r="S823" s="380"/>
      <c r="T823" s="54"/>
      <c r="U823" s="54"/>
      <c r="V823" s="379"/>
      <c r="W823" s="380"/>
      <c r="X823" s="380"/>
      <c r="Y823" s="380"/>
      <c r="Z823" s="380"/>
      <c r="AA823" s="379"/>
      <c r="AB823" s="59"/>
      <c r="AC823" s="379"/>
      <c r="AD823" s="379"/>
      <c r="AE823" s="59"/>
      <c r="AF823" s="59"/>
      <c r="AG823" s="156"/>
      <c r="AH823" s="379"/>
      <c r="AI823" s="60"/>
      <c r="AJ823" s="60"/>
      <c r="AK823" s="156"/>
      <c r="AL823" s="379"/>
      <c r="AM823" s="379"/>
      <c r="AN823" s="379"/>
      <c r="AO823" s="50"/>
      <c r="AP823" s="50"/>
      <c r="AR823" s="380"/>
      <c r="AS823" s="380"/>
      <c r="AT823" s="380"/>
      <c r="AU823" s="380"/>
      <c r="AV823" s="380"/>
      <c r="AW823" s="380"/>
      <c r="AX823" s="380"/>
      <c r="AY823" s="380"/>
      <c r="AZ823" s="380"/>
      <c r="BA823" s="380"/>
      <c r="BB823" s="380"/>
      <c r="BC823" s="380"/>
      <c r="BD823" s="380"/>
      <c r="BE823" s="380"/>
      <c r="BF823" s="380"/>
      <c r="BG823" s="380"/>
      <c r="BH823" s="380"/>
      <c r="BI823" s="380"/>
      <c r="BJ823" s="380"/>
      <c r="BK823" s="380"/>
      <c r="BL823" s="380"/>
      <c r="BM823" s="380"/>
      <c r="BN823" s="380"/>
      <c r="BO823" s="380"/>
      <c r="BP823" s="380"/>
      <c r="BQ823" s="380"/>
      <c r="BR823" s="380"/>
      <c r="BS823" s="380"/>
      <c r="BT823" s="380"/>
      <c r="BU823" s="380"/>
      <c r="BV823" s="380"/>
      <c r="BW823" s="380"/>
      <c r="BX823" s="380"/>
      <c r="BY823" s="380"/>
    </row>
    <row r="824" spans="1:77" s="170" customFormat="1" x14ac:dyDescent="0.25">
      <c r="A824" s="380"/>
      <c r="B824" s="380"/>
      <c r="C824" s="380"/>
      <c r="D824" s="380"/>
      <c r="E824" s="380"/>
      <c r="F824" s="379"/>
      <c r="G824" s="380"/>
      <c r="H824" s="381"/>
      <c r="I824" s="381"/>
      <c r="J824" s="464"/>
      <c r="K824" s="464"/>
      <c r="L824" s="381"/>
      <c r="M824" s="381"/>
      <c r="N824" s="381"/>
      <c r="O824" s="381"/>
      <c r="P824" s="381"/>
      <c r="Q824" s="381"/>
      <c r="R824" s="381"/>
      <c r="S824" s="380"/>
      <c r="T824" s="380"/>
      <c r="U824" s="380"/>
      <c r="V824" s="381"/>
      <c r="W824" s="380"/>
      <c r="X824" s="380"/>
      <c r="Y824" s="380"/>
      <c r="Z824" s="380"/>
      <c r="AA824" s="381"/>
      <c r="AB824" s="464"/>
      <c r="AC824" s="381"/>
      <c r="AD824" s="381"/>
      <c r="AE824" s="381"/>
      <c r="AF824" s="381"/>
      <c r="AG824" s="162"/>
      <c r="AH824" s="381"/>
      <c r="AI824" s="380"/>
      <c r="AJ824" s="380"/>
      <c r="AK824" s="162"/>
      <c r="AL824" s="381"/>
      <c r="AM824" s="381"/>
      <c r="AN824" s="381"/>
      <c r="AO824" s="50"/>
      <c r="AP824" s="50"/>
      <c r="AR824" s="380"/>
      <c r="AS824" s="380"/>
      <c r="AT824" s="380"/>
      <c r="AU824" s="380"/>
      <c r="AV824" s="380"/>
      <c r="AW824" s="380"/>
      <c r="AX824" s="380"/>
      <c r="AY824" s="380"/>
      <c r="AZ824" s="380"/>
      <c r="BA824" s="380"/>
      <c r="BB824" s="380"/>
      <c r="BC824" s="380"/>
      <c r="BD824" s="380"/>
      <c r="BE824" s="380"/>
      <c r="BF824" s="380"/>
      <c r="BG824" s="380"/>
      <c r="BH824" s="380"/>
      <c r="BI824" s="380"/>
      <c r="BJ824" s="380"/>
      <c r="BK824" s="380"/>
      <c r="BL824" s="380"/>
      <c r="BM824" s="380"/>
      <c r="BN824" s="380"/>
      <c r="BO824" s="380"/>
      <c r="BP824" s="380"/>
      <c r="BQ824" s="380"/>
      <c r="BR824" s="380"/>
      <c r="BS824" s="380"/>
      <c r="BT824" s="380"/>
      <c r="BU824" s="380"/>
      <c r="BV824" s="380"/>
      <c r="BW824" s="380"/>
      <c r="BX824" s="380"/>
      <c r="BY824" s="380"/>
    </row>
    <row r="825" spans="1:77" s="170" customFormat="1" x14ac:dyDescent="0.25">
      <c r="A825" s="53"/>
      <c r="B825" s="380"/>
      <c r="C825" s="54"/>
      <c r="D825" s="380"/>
      <c r="E825" s="380"/>
      <c r="F825" s="381"/>
      <c r="G825" s="380"/>
      <c r="H825" s="379"/>
      <c r="I825" s="379"/>
      <c r="J825" s="59"/>
      <c r="K825" s="59"/>
      <c r="L825" s="379"/>
      <c r="M825" s="379"/>
      <c r="N825" s="59"/>
      <c r="O825" s="59"/>
      <c r="P825" s="379"/>
      <c r="Q825" s="379"/>
      <c r="R825" s="379"/>
      <c r="S825" s="380"/>
      <c r="T825" s="54"/>
      <c r="U825" s="380"/>
      <c r="V825" s="379"/>
      <c r="W825" s="380"/>
      <c r="X825" s="380"/>
      <c r="Y825" s="380"/>
      <c r="Z825" s="380"/>
      <c r="AA825" s="379"/>
      <c r="AB825" s="59"/>
      <c r="AC825" s="379"/>
      <c r="AD825" s="379"/>
      <c r="AE825" s="59"/>
      <c r="AF825" s="59"/>
      <c r="AG825" s="156"/>
      <c r="AH825" s="379"/>
      <c r="AI825" s="60"/>
      <c r="AJ825" s="60"/>
      <c r="AK825" s="156"/>
      <c r="AL825" s="379"/>
      <c r="AM825" s="379"/>
      <c r="AN825" s="379"/>
      <c r="AO825" s="50"/>
      <c r="AP825" s="50"/>
      <c r="AR825" s="380"/>
      <c r="AS825" s="380"/>
      <c r="AT825" s="380"/>
      <c r="AU825" s="380"/>
      <c r="AV825" s="380"/>
      <c r="AW825" s="380"/>
      <c r="AX825" s="380"/>
      <c r="AY825" s="380"/>
      <c r="AZ825" s="380"/>
      <c r="BA825" s="380"/>
      <c r="BB825" s="380"/>
      <c r="BC825" s="380"/>
      <c r="BD825" s="380"/>
      <c r="BE825" s="380"/>
      <c r="BF825" s="380"/>
      <c r="BG825" s="380"/>
      <c r="BH825" s="380"/>
      <c r="BI825" s="380"/>
      <c r="BJ825" s="380"/>
      <c r="BK825" s="380"/>
      <c r="BL825" s="380"/>
      <c r="BM825" s="380"/>
      <c r="BN825" s="380"/>
      <c r="BO825" s="380"/>
      <c r="BP825" s="380"/>
      <c r="BQ825" s="380"/>
      <c r="BR825" s="380"/>
      <c r="BS825" s="380"/>
      <c r="BT825" s="380"/>
      <c r="BU825" s="380"/>
      <c r="BV825" s="380"/>
      <c r="BW825" s="380"/>
      <c r="BX825" s="380"/>
      <c r="BY825" s="380"/>
    </row>
    <row r="826" spans="1:77" s="170" customFormat="1" x14ac:dyDescent="0.25">
      <c r="A826" s="380"/>
      <c r="B826" s="380"/>
      <c r="C826" s="380"/>
      <c r="D826" s="380"/>
      <c r="E826" s="380"/>
      <c r="F826" s="379"/>
      <c r="G826" s="380"/>
      <c r="H826" s="379"/>
      <c r="I826" s="379"/>
      <c r="J826" s="59"/>
      <c r="K826" s="59"/>
      <c r="L826" s="379"/>
      <c r="M826" s="379"/>
      <c r="N826" s="59"/>
      <c r="O826" s="59"/>
      <c r="P826" s="379"/>
      <c r="Q826" s="379"/>
      <c r="R826" s="379"/>
      <c r="S826" s="380"/>
      <c r="T826" s="380"/>
      <c r="U826" s="380"/>
      <c r="V826" s="379"/>
      <c r="W826" s="380"/>
      <c r="X826" s="380"/>
      <c r="Y826" s="380"/>
      <c r="Z826" s="380"/>
      <c r="AA826" s="379"/>
      <c r="AB826" s="59"/>
      <c r="AC826" s="379"/>
      <c r="AD826" s="379"/>
      <c r="AE826" s="59"/>
      <c r="AF826" s="59"/>
      <c r="AG826" s="153"/>
      <c r="AH826" s="380"/>
      <c r="AI826" s="60"/>
      <c r="AJ826" s="60"/>
      <c r="AK826" s="156"/>
      <c r="AL826" s="379"/>
      <c r="AM826" s="379"/>
      <c r="AN826" s="379"/>
      <c r="AO826" s="50"/>
      <c r="AP826" s="50"/>
      <c r="AR826" s="380"/>
      <c r="AS826" s="380"/>
      <c r="AT826" s="380"/>
      <c r="AU826" s="380"/>
      <c r="AV826" s="380"/>
      <c r="AW826" s="380"/>
      <c r="AX826" s="380"/>
      <c r="AY826" s="380"/>
      <c r="AZ826" s="380"/>
      <c r="BA826" s="380"/>
      <c r="BB826" s="380"/>
      <c r="BC826" s="380"/>
      <c r="BD826" s="380"/>
      <c r="BE826" s="380"/>
      <c r="BF826" s="380"/>
      <c r="BG826" s="380"/>
      <c r="BH826" s="380"/>
      <c r="BI826" s="380"/>
      <c r="BJ826" s="380"/>
      <c r="BK826" s="380"/>
      <c r="BL826" s="380"/>
      <c r="BM826" s="380"/>
      <c r="BN826" s="380"/>
      <c r="BO826" s="380"/>
      <c r="BP826" s="380"/>
      <c r="BQ826" s="380"/>
      <c r="BR826" s="380"/>
      <c r="BS826" s="380"/>
      <c r="BT826" s="380"/>
      <c r="BU826" s="380"/>
      <c r="BV826" s="380"/>
      <c r="BW826" s="380"/>
      <c r="BX826" s="380"/>
      <c r="BY826" s="380"/>
    </row>
    <row r="827" spans="1:77" s="170" customFormat="1" x14ac:dyDescent="0.25">
      <c r="A827" s="53"/>
      <c r="B827" s="380"/>
      <c r="C827" s="54"/>
      <c r="D827" s="54"/>
      <c r="E827" s="54"/>
      <c r="F827" s="379"/>
      <c r="G827" s="380"/>
      <c r="H827" s="379"/>
      <c r="I827" s="379"/>
      <c r="J827" s="59"/>
      <c r="K827" s="59"/>
      <c r="L827" s="379"/>
      <c r="M827" s="379"/>
      <c r="N827" s="59"/>
      <c r="O827" s="59"/>
      <c r="P827" s="379"/>
      <c r="Q827" s="379"/>
      <c r="R827" s="379"/>
      <c r="S827" s="380"/>
      <c r="T827" s="54"/>
      <c r="U827" s="54"/>
      <c r="V827" s="379"/>
      <c r="W827" s="380"/>
      <c r="X827" s="380"/>
      <c r="Y827" s="380"/>
      <c r="Z827" s="380"/>
      <c r="AA827" s="379"/>
      <c r="AB827" s="59"/>
      <c r="AC827" s="379"/>
      <c r="AD827" s="379"/>
      <c r="AE827" s="59"/>
      <c r="AF827" s="59"/>
      <c r="AG827" s="156"/>
      <c r="AH827" s="379"/>
      <c r="AI827" s="60"/>
      <c r="AJ827" s="60"/>
      <c r="AK827" s="156"/>
      <c r="AL827" s="379"/>
      <c r="AM827" s="379"/>
      <c r="AN827" s="379"/>
      <c r="AO827" s="50"/>
      <c r="AP827" s="50"/>
      <c r="AR827" s="380"/>
      <c r="AS827" s="380"/>
      <c r="AT827" s="380"/>
      <c r="AU827" s="380"/>
      <c r="AV827" s="380"/>
      <c r="AW827" s="380"/>
      <c r="AX827" s="380"/>
      <c r="AY827" s="380"/>
      <c r="AZ827" s="380"/>
      <c r="BA827" s="380"/>
      <c r="BB827" s="380"/>
      <c r="BC827" s="380"/>
      <c r="BD827" s="380"/>
      <c r="BE827" s="380"/>
      <c r="BF827" s="380"/>
      <c r="BG827" s="380"/>
      <c r="BH827" s="380"/>
      <c r="BI827" s="380"/>
      <c r="BJ827" s="380"/>
      <c r="BK827" s="380"/>
      <c r="BL827" s="380"/>
      <c r="BM827" s="380"/>
      <c r="BN827" s="380"/>
      <c r="BO827" s="380"/>
      <c r="BP827" s="380"/>
      <c r="BQ827" s="380"/>
      <c r="BR827" s="380"/>
      <c r="BS827" s="380"/>
      <c r="BT827" s="380"/>
      <c r="BU827" s="380"/>
      <c r="BV827" s="380"/>
      <c r="BW827" s="380"/>
      <c r="BX827" s="380"/>
      <c r="BY827" s="380"/>
    </row>
    <row r="828" spans="1:77" s="170" customFormat="1" x14ac:dyDescent="0.25">
      <c r="A828" s="380"/>
      <c r="B828" s="380"/>
      <c r="C828" s="380"/>
      <c r="D828" s="380"/>
      <c r="E828" s="380"/>
      <c r="F828" s="379"/>
      <c r="G828" s="380"/>
      <c r="H828" s="381"/>
      <c r="I828" s="381"/>
      <c r="J828" s="464"/>
      <c r="K828" s="464"/>
      <c r="L828" s="381"/>
      <c r="M828" s="381"/>
      <c r="N828" s="381"/>
      <c r="O828" s="381"/>
      <c r="P828" s="381"/>
      <c r="Q828" s="381"/>
      <c r="R828" s="381"/>
      <c r="S828" s="380"/>
      <c r="T828" s="380"/>
      <c r="U828" s="380"/>
      <c r="V828" s="381"/>
      <c r="W828" s="380"/>
      <c r="X828" s="380"/>
      <c r="Y828" s="380"/>
      <c r="Z828" s="380"/>
      <c r="AA828" s="381"/>
      <c r="AB828" s="464"/>
      <c r="AC828" s="381"/>
      <c r="AD828" s="381"/>
      <c r="AE828" s="381"/>
      <c r="AF828" s="381"/>
      <c r="AG828" s="162"/>
      <c r="AH828" s="381"/>
      <c r="AI828" s="380"/>
      <c r="AJ828" s="380"/>
      <c r="AK828" s="162"/>
      <c r="AL828" s="381"/>
      <c r="AM828" s="381"/>
      <c r="AN828" s="381"/>
      <c r="AO828" s="50"/>
      <c r="AP828" s="50"/>
      <c r="AR828" s="380"/>
      <c r="AS828" s="380"/>
      <c r="AT828" s="380"/>
      <c r="AU828" s="380"/>
      <c r="AV828" s="380"/>
      <c r="AW828" s="380"/>
      <c r="AX828" s="380"/>
      <c r="AY828" s="380"/>
      <c r="AZ828" s="380"/>
      <c r="BA828" s="380"/>
      <c r="BB828" s="380"/>
      <c r="BC828" s="380"/>
      <c r="BD828" s="380"/>
      <c r="BE828" s="380"/>
      <c r="BF828" s="380"/>
      <c r="BG828" s="380"/>
      <c r="BH828" s="380"/>
      <c r="BI828" s="380"/>
      <c r="BJ828" s="380"/>
      <c r="BK828" s="380"/>
      <c r="BL828" s="380"/>
      <c r="BM828" s="380"/>
      <c r="BN828" s="380"/>
      <c r="BO828" s="380"/>
      <c r="BP828" s="380"/>
      <c r="BQ828" s="380"/>
      <c r="BR828" s="380"/>
      <c r="BS828" s="380"/>
      <c r="BT828" s="380"/>
      <c r="BU828" s="380"/>
      <c r="BV828" s="380"/>
      <c r="BW828" s="380"/>
      <c r="BX828" s="380"/>
      <c r="BY828" s="380"/>
    </row>
    <row r="829" spans="1:77" s="170" customFormat="1" x14ac:dyDescent="0.25">
      <c r="A829" s="53"/>
      <c r="B829" s="380"/>
      <c r="C829" s="54"/>
      <c r="D829" s="380"/>
      <c r="E829" s="380"/>
      <c r="F829" s="381"/>
      <c r="G829" s="380"/>
      <c r="H829" s="379"/>
      <c r="I829" s="379"/>
      <c r="J829" s="59"/>
      <c r="K829" s="59"/>
      <c r="L829" s="379"/>
      <c r="M829" s="379"/>
      <c r="N829" s="59"/>
      <c r="O829" s="59"/>
      <c r="P829" s="379"/>
      <c r="Q829" s="379"/>
      <c r="R829" s="379"/>
      <c r="S829" s="380"/>
      <c r="T829" s="54"/>
      <c r="U829" s="380"/>
      <c r="V829" s="379"/>
      <c r="W829" s="380"/>
      <c r="X829" s="380"/>
      <c r="Y829" s="380"/>
      <c r="Z829" s="380"/>
      <c r="AA829" s="379"/>
      <c r="AB829" s="59"/>
      <c r="AC829" s="379"/>
      <c r="AD829" s="379"/>
      <c r="AE829" s="59"/>
      <c r="AF829" s="59"/>
      <c r="AG829" s="156"/>
      <c r="AH829" s="379"/>
      <c r="AI829" s="60"/>
      <c r="AJ829" s="60"/>
      <c r="AK829" s="156"/>
      <c r="AL829" s="379"/>
      <c r="AM829" s="379"/>
      <c r="AN829" s="379"/>
      <c r="AO829" s="50"/>
      <c r="AP829" s="50"/>
      <c r="AR829" s="380"/>
      <c r="AS829" s="380"/>
      <c r="AT829" s="380"/>
      <c r="AU829" s="380"/>
      <c r="AV829" s="380"/>
      <c r="AW829" s="380"/>
      <c r="AX829" s="380"/>
      <c r="AY829" s="380"/>
      <c r="AZ829" s="380"/>
      <c r="BA829" s="380"/>
      <c r="BB829" s="380"/>
      <c r="BC829" s="380"/>
      <c r="BD829" s="380"/>
      <c r="BE829" s="380"/>
      <c r="BF829" s="380"/>
      <c r="BG829" s="380"/>
      <c r="BH829" s="380"/>
      <c r="BI829" s="380"/>
      <c r="BJ829" s="380"/>
      <c r="BK829" s="380"/>
      <c r="BL829" s="380"/>
      <c r="BM829" s="380"/>
      <c r="BN829" s="380"/>
      <c r="BO829" s="380"/>
      <c r="BP829" s="380"/>
      <c r="BQ829" s="380"/>
      <c r="BR829" s="380"/>
      <c r="BS829" s="380"/>
      <c r="BT829" s="380"/>
      <c r="BU829" s="380"/>
      <c r="BV829" s="380"/>
      <c r="BW829" s="380"/>
      <c r="BX829" s="380"/>
      <c r="BY829" s="380"/>
    </row>
    <row r="830" spans="1:77" s="170" customFormat="1" x14ac:dyDescent="0.25">
      <c r="A830" s="380"/>
      <c r="B830" s="380"/>
      <c r="C830" s="380"/>
      <c r="D830" s="380"/>
      <c r="E830" s="380"/>
      <c r="F830" s="379"/>
      <c r="G830" s="380"/>
      <c r="H830" s="379"/>
      <c r="I830" s="379"/>
      <c r="J830" s="59"/>
      <c r="K830" s="59"/>
      <c r="L830" s="379"/>
      <c r="M830" s="379"/>
      <c r="N830" s="59"/>
      <c r="O830" s="59"/>
      <c r="P830" s="379"/>
      <c r="Q830" s="379"/>
      <c r="R830" s="379"/>
      <c r="S830" s="380"/>
      <c r="T830" s="380"/>
      <c r="U830" s="380"/>
      <c r="V830" s="379"/>
      <c r="W830" s="380"/>
      <c r="X830" s="380"/>
      <c r="Y830" s="380"/>
      <c r="Z830" s="380"/>
      <c r="AA830" s="379"/>
      <c r="AB830" s="59"/>
      <c r="AC830" s="379"/>
      <c r="AD830" s="379"/>
      <c r="AE830" s="59"/>
      <c r="AF830" s="59"/>
      <c r="AG830" s="153"/>
      <c r="AH830" s="380"/>
      <c r="AI830" s="60"/>
      <c r="AJ830" s="60"/>
      <c r="AK830" s="156"/>
      <c r="AL830" s="379"/>
      <c r="AM830" s="379"/>
      <c r="AN830" s="379"/>
      <c r="AO830" s="50"/>
      <c r="AP830" s="50"/>
      <c r="AR830" s="380"/>
      <c r="AS830" s="380"/>
      <c r="AT830" s="380"/>
      <c r="AU830" s="380"/>
      <c r="AV830" s="380"/>
      <c r="AW830" s="380"/>
      <c r="AX830" s="380"/>
      <c r="AY830" s="380"/>
      <c r="AZ830" s="380"/>
      <c r="BA830" s="380"/>
      <c r="BB830" s="380"/>
      <c r="BC830" s="380"/>
      <c r="BD830" s="380"/>
      <c r="BE830" s="380"/>
      <c r="BF830" s="380"/>
      <c r="BG830" s="380"/>
      <c r="BH830" s="380"/>
      <c r="BI830" s="380"/>
      <c r="BJ830" s="380"/>
      <c r="BK830" s="380"/>
      <c r="BL830" s="380"/>
      <c r="BM830" s="380"/>
      <c r="BN830" s="380"/>
      <c r="BO830" s="380"/>
      <c r="BP830" s="380"/>
      <c r="BQ830" s="380"/>
      <c r="BR830" s="380"/>
      <c r="BS830" s="380"/>
      <c r="BT830" s="380"/>
      <c r="BU830" s="380"/>
      <c r="BV830" s="380"/>
      <c r="BW830" s="380"/>
      <c r="BX830" s="380"/>
      <c r="BY830" s="380"/>
    </row>
    <row r="831" spans="1:77" s="170" customFormat="1" x14ac:dyDescent="0.25">
      <c r="A831" s="53"/>
      <c r="B831" s="380"/>
      <c r="C831" s="54"/>
      <c r="D831" s="54"/>
      <c r="E831" s="54"/>
      <c r="F831" s="379"/>
      <c r="G831" s="380"/>
      <c r="H831" s="379"/>
      <c r="I831" s="379"/>
      <c r="J831" s="59"/>
      <c r="K831" s="59"/>
      <c r="L831" s="379"/>
      <c r="M831" s="379"/>
      <c r="N831" s="59"/>
      <c r="O831" s="59"/>
      <c r="P831" s="379"/>
      <c r="Q831" s="379"/>
      <c r="R831" s="379"/>
      <c r="S831" s="380"/>
      <c r="T831" s="54"/>
      <c r="U831" s="54"/>
      <c r="V831" s="379"/>
      <c r="W831" s="380"/>
      <c r="X831" s="380"/>
      <c r="Y831" s="380"/>
      <c r="Z831" s="380"/>
      <c r="AA831" s="379"/>
      <c r="AB831" s="59"/>
      <c r="AC831" s="379"/>
      <c r="AD831" s="379"/>
      <c r="AE831" s="59"/>
      <c r="AF831" s="59"/>
      <c r="AG831" s="156"/>
      <c r="AH831" s="379"/>
      <c r="AI831" s="60"/>
      <c r="AJ831" s="60"/>
      <c r="AK831" s="156"/>
      <c r="AL831" s="379"/>
      <c r="AM831" s="379"/>
      <c r="AN831" s="379"/>
      <c r="AO831" s="50"/>
      <c r="AP831" s="50"/>
      <c r="AR831" s="380"/>
      <c r="AS831" s="380"/>
      <c r="AT831" s="380"/>
      <c r="AU831" s="380"/>
      <c r="AV831" s="380"/>
      <c r="AW831" s="380"/>
      <c r="AX831" s="380"/>
      <c r="AY831" s="380"/>
      <c r="AZ831" s="380"/>
      <c r="BA831" s="380"/>
      <c r="BB831" s="380"/>
      <c r="BC831" s="380"/>
      <c r="BD831" s="380"/>
      <c r="BE831" s="380"/>
      <c r="BF831" s="380"/>
      <c r="BG831" s="380"/>
      <c r="BH831" s="380"/>
      <c r="BI831" s="380"/>
      <c r="BJ831" s="380"/>
      <c r="BK831" s="380"/>
      <c r="BL831" s="380"/>
      <c r="BM831" s="380"/>
      <c r="BN831" s="380"/>
      <c r="BO831" s="380"/>
      <c r="BP831" s="380"/>
      <c r="BQ831" s="380"/>
      <c r="BR831" s="380"/>
      <c r="BS831" s="380"/>
      <c r="BT831" s="380"/>
      <c r="BU831" s="380"/>
      <c r="BV831" s="380"/>
      <c r="BW831" s="380"/>
      <c r="BX831" s="380"/>
      <c r="BY831" s="380"/>
    </row>
    <row r="832" spans="1:77" s="170" customFormat="1" x14ac:dyDescent="0.25">
      <c r="A832" s="53"/>
      <c r="B832" s="380"/>
      <c r="C832" s="54"/>
      <c r="D832" s="54"/>
      <c r="E832" s="54"/>
      <c r="F832" s="379"/>
      <c r="G832" s="379"/>
      <c r="H832" s="379"/>
      <c r="I832" s="379"/>
      <c r="J832" s="59"/>
      <c r="K832" s="59"/>
      <c r="L832" s="379"/>
      <c r="M832" s="379"/>
      <c r="N832" s="59"/>
      <c r="O832" s="59"/>
      <c r="P832" s="379"/>
      <c r="Q832" s="379"/>
      <c r="R832" s="379"/>
      <c r="S832" s="380"/>
      <c r="T832" s="54"/>
      <c r="U832" s="54"/>
      <c r="V832" s="379"/>
      <c r="W832" s="379"/>
      <c r="X832" s="379"/>
      <c r="Y832" s="379"/>
      <c r="Z832" s="379"/>
      <c r="AA832" s="379"/>
      <c r="AB832" s="59"/>
      <c r="AC832" s="379"/>
      <c r="AD832" s="379"/>
      <c r="AE832" s="59"/>
      <c r="AF832" s="59"/>
      <c r="AG832" s="156"/>
      <c r="AH832" s="379"/>
      <c r="AI832" s="60"/>
      <c r="AJ832" s="60"/>
      <c r="AK832" s="156"/>
      <c r="AL832" s="379"/>
      <c r="AM832" s="379"/>
      <c r="AN832" s="379"/>
      <c r="AO832" s="50"/>
      <c r="AP832" s="50"/>
      <c r="AR832" s="380"/>
      <c r="AS832" s="380"/>
      <c r="AT832" s="380"/>
      <c r="AU832" s="380"/>
      <c r="AV832" s="380"/>
      <c r="AW832" s="380"/>
      <c r="AX832" s="380"/>
      <c r="AY832" s="380"/>
      <c r="AZ832" s="380"/>
      <c r="BA832" s="380"/>
      <c r="BB832" s="380"/>
      <c r="BC832" s="380"/>
      <c r="BD832" s="380"/>
      <c r="BE832" s="380"/>
      <c r="BF832" s="380"/>
      <c r="BG832" s="380"/>
      <c r="BH832" s="380"/>
      <c r="BI832" s="380"/>
      <c r="BJ832" s="380"/>
      <c r="BK832" s="380"/>
      <c r="BL832" s="380"/>
      <c r="BM832" s="380"/>
      <c r="BN832" s="380"/>
      <c r="BO832" s="380"/>
      <c r="BP832" s="380"/>
      <c r="BQ832" s="380"/>
      <c r="BR832" s="380"/>
      <c r="BS832" s="380"/>
      <c r="BT832" s="380"/>
      <c r="BU832" s="380"/>
      <c r="BV832" s="380"/>
      <c r="BW832" s="380"/>
      <c r="BX832" s="380"/>
      <c r="BY832" s="380"/>
    </row>
    <row r="833" spans="1:77" s="170" customFormat="1" x14ac:dyDescent="0.25">
      <c r="A833" s="53"/>
      <c r="B833" s="380"/>
      <c r="C833" s="54"/>
      <c r="D833" s="54"/>
      <c r="E833" s="54"/>
      <c r="F833" s="379"/>
      <c r="G833" s="379"/>
      <c r="H833" s="379"/>
      <c r="I833" s="379"/>
      <c r="J833" s="59"/>
      <c r="K833" s="59"/>
      <c r="L833" s="379"/>
      <c r="M833" s="379"/>
      <c r="N833" s="59"/>
      <c r="O833" s="59"/>
      <c r="P833" s="379"/>
      <c r="Q833" s="379"/>
      <c r="R833" s="379"/>
      <c r="S833" s="380"/>
      <c r="T833" s="54"/>
      <c r="U833" s="54"/>
      <c r="V833" s="379"/>
      <c r="W833" s="379"/>
      <c r="X833" s="379"/>
      <c r="Y833" s="379"/>
      <c r="Z833" s="379"/>
      <c r="AA833" s="379"/>
      <c r="AB833" s="59"/>
      <c r="AC833" s="379"/>
      <c r="AD833" s="379"/>
      <c r="AE833" s="59"/>
      <c r="AF833" s="59"/>
      <c r="AG833" s="156"/>
      <c r="AH833" s="379"/>
      <c r="AI833" s="60"/>
      <c r="AJ833" s="60"/>
      <c r="AK833" s="156"/>
      <c r="AL833" s="379"/>
      <c r="AM833" s="379"/>
      <c r="AN833" s="379"/>
      <c r="AO833" s="50"/>
      <c r="AP833" s="50"/>
      <c r="AR833" s="380"/>
      <c r="AS833" s="380"/>
      <c r="AT833" s="380"/>
      <c r="AU833" s="380"/>
      <c r="AV833" s="380"/>
      <c r="AW833" s="380"/>
      <c r="AX833" s="380"/>
      <c r="AY833" s="380"/>
      <c r="AZ833" s="380"/>
      <c r="BA833" s="380"/>
      <c r="BB833" s="380"/>
      <c r="BC833" s="380"/>
      <c r="BD833" s="380"/>
      <c r="BE833" s="380"/>
      <c r="BF833" s="380"/>
      <c r="BG833" s="380"/>
      <c r="BH833" s="380"/>
      <c r="BI833" s="380"/>
      <c r="BJ833" s="380"/>
      <c r="BK833" s="380"/>
      <c r="BL833" s="380"/>
      <c r="BM833" s="380"/>
      <c r="BN833" s="380"/>
      <c r="BO833" s="380"/>
      <c r="BP833" s="380"/>
      <c r="BQ833" s="380"/>
      <c r="BR833" s="380"/>
      <c r="BS833" s="380"/>
      <c r="BT833" s="380"/>
      <c r="BU833" s="380"/>
      <c r="BV833" s="380"/>
      <c r="BW833" s="380"/>
      <c r="BX833" s="380"/>
      <c r="BY833" s="380"/>
    </row>
    <row r="834" spans="1:77" s="170" customFormat="1" x14ac:dyDescent="0.25">
      <c r="A834" s="53"/>
      <c r="B834" s="380"/>
      <c r="C834" s="54"/>
      <c r="D834" s="54"/>
      <c r="E834" s="54"/>
      <c r="F834" s="379"/>
      <c r="G834" s="380"/>
      <c r="H834" s="379"/>
      <c r="I834" s="379"/>
      <c r="J834" s="59"/>
      <c r="K834" s="59"/>
      <c r="L834" s="379"/>
      <c r="M834" s="379"/>
      <c r="N834" s="59"/>
      <c r="O834" s="59"/>
      <c r="P834" s="379"/>
      <c r="Q834" s="379"/>
      <c r="R834" s="379"/>
      <c r="S834" s="380"/>
      <c r="T834" s="54"/>
      <c r="U834" s="54"/>
      <c r="V834" s="379"/>
      <c r="W834" s="380"/>
      <c r="X834" s="380"/>
      <c r="Y834" s="380"/>
      <c r="Z834" s="380"/>
      <c r="AA834" s="379"/>
      <c r="AB834" s="59"/>
      <c r="AC834" s="379"/>
      <c r="AD834" s="379"/>
      <c r="AE834" s="59"/>
      <c r="AF834" s="59"/>
      <c r="AG834" s="156"/>
      <c r="AH834" s="379"/>
      <c r="AI834" s="60"/>
      <c r="AJ834" s="60"/>
      <c r="AK834" s="156"/>
      <c r="AL834" s="379"/>
      <c r="AM834" s="379"/>
      <c r="AN834" s="379"/>
      <c r="AO834" s="50"/>
      <c r="AP834" s="50"/>
      <c r="AR834" s="380"/>
      <c r="AS834" s="380"/>
      <c r="AT834" s="380"/>
      <c r="AU834" s="380"/>
      <c r="AV834" s="380"/>
      <c r="AW834" s="380"/>
      <c r="AX834" s="380"/>
      <c r="AY834" s="380"/>
      <c r="AZ834" s="380"/>
      <c r="BA834" s="380"/>
      <c r="BB834" s="380"/>
      <c r="BC834" s="380"/>
      <c r="BD834" s="380"/>
      <c r="BE834" s="380"/>
      <c r="BF834" s="380"/>
      <c r="BG834" s="380"/>
      <c r="BH834" s="380"/>
      <c r="BI834" s="380"/>
      <c r="BJ834" s="380"/>
      <c r="BK834" s="380"/>
      <c r="BL834" s="380"/>
      <c r="BM834" s="380"/>
      <c r="BN834" s="380"/>
      <c r="BO834" s="380"/>
      <c r="BP834" s="380"/>
      <c r="BQ834" s="380"/>
      <c r="BR834" s="380"/>
      <c r="BS834" s="380"/>
      <c r="BT834" s="380"/>
      <c r="BU834" s="380"/>
      <c r="BV834" s="380"/>
      <c r="BW834" s="380"/>
      <c r="BX834" s="380"/>
      <c r="BY834" s="380"/>
    </row>
    <row r="835" spans="1:77" s="170" customFormat="1" x14ac:dyDescent="0.25">
      <c r="A835" s="53"/>
      <c r="B835" s="380"/>
      <c r="C835" s="54"/>
      <c r="D835" s="54"/>
      <c r="E835" s="54"/>
      <c r="F835" s="379"/>
      <c r="G835" s="380"/>
      <c r="H835" s="379"/>
      <c r="I835" s="379"/>
      <c r="J835" s="59"/>
      <c r="K835" s="59"/>
      <c r="L835" s="379"/>
      <c r="M835" s="379"/>
      <c r="N835" s="59"/>
      <c r="O835" s="59"/>
      <c r="P835" s="379"/>
      <c r="Q835" s="379"/>
      <c r="R835" s="379"/>
      <c r="S835" s="380"/>
      <c r="T835" s="54"/>
      <c r="U835" s="54"/>
      <c r="V835" s="379"/>
      <c r="W835" s="380"/>
      <c r="X835" s="380"/>
      <c r="Y835" s="380"/>
      <c r="Z835" s="380"/>
      <c r="AA835" s="379"/>
      <c r="AB835" s="59"/>
      <c r="AC835" s="379"/>
      <c r="AD835" s="379"/>
      <c r="AE835" s="59"/>
      <c r="AF835" s="59"/>
      <c r="AG835" s="156"/>
      <c r="AH835" s="379"/>
      <c r="AI835" s="60"/>
      <c r="AJ835" s="60"/>
      <c r="AK835" s="156"/>
      <c r="AL835" s="379"/>
      <c r="AM835" s="379"/>
      <c r="AN835" s="379"/>
      <c r="AO835" s="50"/>
      <c r="AP835" s="50"/>
      <c r="AR835" s="380"/>
      <c r="AS835" s="380"/>
      <c r="AT835" s="380"/>
      <c r="AU835" s="380"/>
      <c r="AV835" s="380"/>
      <c r="AW835" s="380"/>
      <c r="AX835" s="380"/>
      <c r="AY835" s="380"/>
      <c r="AZ835" s="380"/>
      <c r="BA835" s="380"/>
      <c r="BB835" s="380"/>
      <c r="BC835" s="380"/>
      <c r="BD835" s="380"/>
      <c r="BE835" s="380"/>
      <c r="BF835" s="380"/>
      <c r="BG835" s="380"/>
      <c r="BH835" s="380"/>
      <c r="BI835" s="380"/>
      <c r="BJ835" s="380"/>
      <c r="BK835" s="380"/>
      <c r="BL835" s="380"/>
      <c r="BM835" s="380"/>
      <c r="BN835" s="380"/>
      <c r="BO835" s="380"/>
      <c r="BP835" s="380"/>
      <c r="BQ835" s="380"/>
      <c r="BR835" s="380"/>
      <c r="BS835" s="380"/>
      <c r="BT835" s="380"/>
      <c r="BU835" s="380"/>
      <c r="BV835" s="380"/>
      <c r="BW835" s="380"/>
      <c r="BX835" s="380"/>
      <c r="BY835" s="380"/>
    </row>
    <row r="836" spans="1:77" s="170" customFormat="1" x14ac:dyDescent="0.25">
      <c r="A836" s="53"/>
      <c r="B836" s="380"/>
      <c r="C836" s="54"/>
      <c r="D836" s="54"/>
      <c r="E836" s="54"/>
      <c r="F836" s="379"/>
      <c r="G836" s="380"/>
      <c r="H836" s="379"/>
      <c r="I836" s="379"/>
      <c r="J836" s="59"/>
      <c r="K836" s="59"/>
      <c r="L836" s="379"/>
      <c r="M836" s="379"/>
      <c r="N836" s="59"/>
      <c r="O836" s="59"/>
      <c r="P836" s="379"/>
      <c r="Q836" s="379"/>
      <c r="R836" s="379"/>
      <c r="S836" s="380"/>
      <c r="T836" s="54"/>
      <c r="U836" s="54"/>
      <c r="V836" s="379"/>
      <c r="W836" s="380"/>
      <c r="X836" s="380"/>
      <c r="Y836" s="380"/>
      <c r="Z836" s="380"/>
      <c r="AA836" s="379"/>
      <c r="AB836" s="59"/>
      <c r="AC836" s="379"/>
      <c r="AD836" s="379"/>
      <c r="AE836" s="59"/>
      <c r="AF836" s="59"/>
      <c r="AG836" s="156"/>
      <c r="AH836" s="379"/>
      <c r="AI836" s="60"/>
      <c r="AJ836" s="60"/>
      <c r="AK836" s="156"/>
      <c r="AL836" s="379"/>
      <c r="AM836" s="379"/>
      <c r="AN836" s="379"/>
      <c r="AO836" s="50"/>
      <c r="AP836" s="50"/>
      <c r="AR836" s="380"/>
      <c r="AS836" s="380"/>
      <c r="AT836" s="380"/>
      <c r="AU836" s="380"/>
      <c r="AV836" s="380"/>
      <c r="AW836" s="380"/>
      <c r="AX836" s="380"/>
      <c r="AY836" s="380"/>
      <c r="AZ836" s="380"/>
      <c r="BA836" s="380"/>
      <c r="BB836" s="380"/>
      <c r="BC836" s="380"/>
      <c r="BD836" s="380"/>
      <c r="BE836" s="380"/>
      <c r="BF836" s="380"/>
      <c r="BG836" s="380"/>
      <c r="BH836" s="380"/>
      <c r="BI836" s="380"/>
      <c r="BJ836" s="380"/>
      <c r="BK836" s="380"/>
      <c r="BL836" s="380"/>
      <c r="BM836" s="380"/>
      <c r="BN836" s="380"/>
      <c r="BO836" s="380"/>
      <c r="BP836" s="380"/>
      <c r="BQ836" s="380"/>
      <c r="BR836" s="380"/>
      <c r="BS836" s="380"/>
      <c r="BT836" s="380"/>
      <c r="BU836" s="380"/>
      <c r="BV836" s="380"/>
      <c r="BW836" s="380"/>
      <c r="BX836" s="380"/>
      <c r="BY836" s="380"/>
    </row>
    <row r="837" spans="1:77" s="170" customFormat="1" x14ac:dyDescent="0.25">
      <c r="A837" s="53"/>
      <c r="B837" s="380"/>
      <c r="C837" s="54"/>
      <c r="D837" s="54"/>
      <c r="E837" s="54"/>
      <c r="F837" s="379"/>
      <c r="G837" s="380"/>
      <c r="H837" s="379"/>
      <c r="I837" s="379"/>
      <c r="J837" s="59"/>
      <c r="K837" s="59"/>
      <c r="L837" s="379"/>
      <c r="M837" s="379"/>
      <c r="N837" s="59"/>
      <c r="O837" s="59"/>
      <c r="P837" s="379"/>
      <c r="Q837" s="379"/>
      <c r="R837" s="379"/>
      <c r="S837" s="380"/>
      <c r="T837" s="54"/>
      <c r="U837" s="54"/>
      <c r="V837" s="379"/>
      <c r="W837" s="380"/>
      <c r="X837" s="380"/>
      <c r="Y837" s="380"/>
      <c r="Z837" s="380"/>
      <c r="AA837" s="379"/>
      <c r="AB837" s="59"/>
      <c r="AC837" s="379"/>
      <c r="AD837" s="379"/>
      <c r="AE837" s="59"/>
      <c r="AF837" s="59"/>
      <c r="AG837" s="156"/>
      <c r="AH837" s="379"/>
      <c r="AI837" s="60"/>
      <c r="AJ837" s="60"/>
      <c r="AK837" s="156"/>
      <c r="AL837" s="379"/>
      <c r="AM837" s="379"/>
      <c r="AN837" s="379"/>
      <c r="AO837" s="50"/>
      <c r="AP837" s="50"/>
      <c r="AR837" s="380"/>
      <c r="AS837" s="380"/>
      <c r="AT837" s="380"/>
      <c r="AU837" s="380"/>
      <c r="AV837" s="380"/>
      <c r="AW837" s="380"/>
      <c r="AX837" s="380"/>
      <c r="AY837" s="380"/>
      <c r="AZ837" s="380"/>
      <c r="BA837" s="380"/>
      <c r="BB837" s="380"/>
      <c r="BC837" s="380"/>
      <c r="BD837" s="380"/>
      <c r="BE837" s="380"/>
      <c r="BF837" s="380"/>
      <c r="BG837" s="380"/>
      <c r="BH837" s="380"/>
      <c r="BI837" s="380"/>
      <c r="BJ837" s="380"/>
      <c r="BK837" s="380"/>
      <c r="BL837" s="380"/>
      <c r="BM837" s="380"/>
      <c r="BN837" s="380"/>
      <c r="BO837" s="380"/>
      <c r="BP837" s="380"/>
      <c r="BQ837" s="380"/>
      <c r="BR837" s="380"/>
      <c r="BS837" s="380"/>
      <c r="BT837" s="380"/>
      <c r="BU837" s="380"/>
      <c r="BV837" s="380"/>
      <c r="BW837" s="380"/>
      <c r="BX837" s="380"/>
      <c r="BY837" s="380"/>
    </row>
    <row r="838" spans="1:77" s="170" customFormat="1" x14ac:dyDescent="0.25">
      <c r="A838" s="380"/>
      <c r="B838" s="380"/>
      <c r="C838" s="380"/>
      <c r="D838" s="380"/>
      <c r="E838" s="380"/>
      <c r="F838" s="379"/>
      <c r="G838" s="380"/>
      <c r="H838" s="381"/>
      <c r="I838" s="381"/>
      <c r="J838" s="464"/>
      <c r="K838" s="464"/>
      <c r="L838" s="381"/>
      <c r="M838" s="381"/>
      <c r="N838" s="381"/>
      <c r="O838" s="381"/>
      <c r="P838" s="381"/>
      <c r="Q838" s="381"/>
      <c r="R838" s="381"/>
      <c r="S838" s="380"/>
      <c r="T838" s="380"/>
      <c r="U838" s="380"/>
      <c r="V838" s="381"/>
      <c r="W838" s="380"/>
      <c r="X838" s="380"/>
      <c r="Y838" s="380"/>
      <c r="Z838" s="380"/>
      <c r="AA838" s="381"/>
      <c r="AB838" s="464"/>
      <c r="AC838" s="381"/>
      <c r="AD838" s="381"/>
      <c r="AE838" s="381"/>
      <c r="AF838" s="381"/>
      <c r="AG838" s="162"/>
      <c r="AH838" s="381"/>
      <c r="AI838" s="380"/>
      <c r="AJ838" s="380"/>
      <c r="AK838" s="162"/>
      <c r="AL838" s="381"/>
      <c r="AM838" s="381"/>
      <c r="AN838" s="381"/>
      <c r="AO838" s="50"/>
      <c r="AP838" s="50"/>
      <c r="AR838" s="380"/>
      <c r="AS838" s="380"/>
      <c r="AT838" s="380"/>
      <c r="AU838" s="380"/>
      <c r="AV838" s="380"/>
      <c r="AW838" s="380"/>
      <c r="AX838" s="380"/>
      <c r="AY838" s="380"/>
      <c r="AZ838" s="380"/>
      <c r="BA838" s="380"/>
      <c r="BB838" s="380"/>
      <c r="BC838" s="380"/>
      <c r="BD838" s="380"/>
      <c r="BE838" s="380"/>
      <c r="BF838" s="380"/>
      <c r="BG838" s="380"/>
      <c r="BH838" s="380"/>
      <c r="BI838" s="380"/>
      <c r="BJ838" s="380"/>
      <c r="BK838" s="380"/>
      <c r="BL838" s="380"/>
      <c r="BM838" s="380"/>
      <c r="BN838" s="380"/>
      <c r="BO838" s="380"/>
      <c r="BP838" s="380"/>
      <c r="BQ838" s="380"/>
      <c r="BR838" s="380"/>
      <c r="BS838" s="380"/>
      <c r="BT838" s="380"/>
      <c r="BU838" s="380"/>
      <c r="BV838" s="380"/>
      <c r="BW838" s="380"/>
      <c r="BX838" s="380"/>
      <c r="BY838" s="380"/>
    </row>
    <row r="839" spans="1:77" s="170" customFormat="1" x14ac:dyDescent="0.25">
      <c r="A839" s="53"/>
      <c r="B839" s="380"/>
      <c r="C839" s="54"/>
      <c r="D839" s="380"/>
      <c r="E839" s="380"/>
      <c r="F839" s="381"/>
      <c r="G839" s="380"/>
      <c r="H839" s="379"/>
      <c r="I839" s="379"/>
      <c r="J839" s="59"/>
      <c r="K839" s="59"/>
      <c r="L839" s="379"/>
      <c r="M839" s="379"/>
      <c r="N839" s="59"/>
      <c r="O839" s="59"/>
      <c r="P839" s="379"/>
      <c r="Q839" s="379"/>
      <c r="R839" s="379"/>
      <c r="S839" s="380"/>
      <c r="T839" s="54"/>
      <c r="U839" s="380"/>
      <c r="V839" s="379"/>
      <c r="W839" s="380"/>
      <c r="X839" s="380"/>
      <c r="Y839" s="380"/>
      <c r="Z839" s="380"/>
      <c r="AA839" s="379"/>
      <c r="AB839" s="59"/>
      <c r="AC839" s="379"/>
      <c r="AD839" s="379"/>
      <c r="AE839" s="59"/>
      <c r="AF839" s="59"/>
      <c r="AG839" s="156"/>
      <c r="AH839" s="379"/>
      <c r="AI839" s="60"/>
      <c r="AJ839" s="60"/>
      <c r="AK839" s="156"/>
      <c r="AL839" s="379"/>
      <c r="AM839" s="379"/>
      <c r="AN839" s="379"/>
      <c r="AO839" s="50"/>
      <c r="AP839" s="50"/>
      <c r="AR839" s="380"/>
      <c r="AS839" s="380"/>
      <c r="AT839" s="380"/>
      <c r="AU839" s="380"/>
      <c r="AV839" s="380"/>
      <c r="AW839" s="380"/>
      <c r="AX839" s="380"/>
      <c r="AY839" s="380"/>
      <c r="AZ839" s="380"/>
      <c r="BA839" s="380"/>
      <c r="BB839" s="380"/>
      <c r="BC839" s="380"/>
      <c r="BD839" s="380"/>
      <c r="BE839" s="380"/>
      <c r="BF839" s="380"/>
      <c r="BG839" s="380"/>
      <c r="BH839" s="380"/>
      <c r="BI839" s="380"/>
      <c r="BJ839" s="380"/>
      <c r="BK839" s="380"/>
      <c r="BL839" s="380"/>
      <c r="BM839" s="380"/>
      <c r="BN839" s="380"/>
      <c r="BO839" s="380"/>
      <c r="BP839" s="380"/>
      <c r="BQ839" s="380"/>
      <c r="BR839" s="380"/>
      <c r="BS839" s="380"/>
      <c r="BT839" s="380"/>
      <c r="BU839" s="380"/>
      <c r="BV839" s="380"/>
      <c r="BW839" s="380"/>
      <c r="BX839" s="380"/>
      <c r="BY839" s="380"/>
    </row>
    <row r="840" spans="1:77" s="170" customFormat="1" x14ac:dyDescent="0.25">
      <c r="A840" s="380"/>
      <c r="B840" s="380"/>
      <c r="C840" s="380"/>
      <c r="D840" s="380"/>
      <c r="E840" s="380"/>
      <c r="F840" s="379"/>
      <c r="G840" s="380"/>
      <c r="H840" s="380"/>
      <c r="I840" s="380"/>
      <c r="J840" s="380"/>
      <c r="K840" s="380"/>
      <c r="L840" s="380"/>
      <c r="M840" s="380"/>
      <c r="N840" s="380"/>
      <c r="O840" s="380"/>
      <c r="P840" s="380"/>
      <c r="Q840" s="380"/>
      <c r="R840" s="380"/>
      <c r="S840" s="380"/>
      <c r="T840" s="380"/>
      <c r="U840" s="380"/>
      <c r="V840" s="379"/>
      <c r="W840" s="380"/>
      <c r="X840" s="380"/>
      <c r="Y840" s="380"/>
      <c r="Z840" s="380"/>
      <c r="AA840" s="379"/>
      <c r="AB840" s="464"/>
      <c r="AC840" s="379"/>
      <c r="AD840" s="379"/>
      <c r="AE840" s="379"/>
      <c r="AF840" s="379"/>
      <c r="AG840" s="156"/>
      <c r="AH840" s="379"/>
      <c r="AI840" s="380"/>
      <c r="AJ840" s="380"/>
      <c r="AK840" s="156"/>
      <c r="AL840" s="379"/>
      <c r="AM840" s="379"/>
      <c r="AN840" s="379"/>
      <c r="AO840" s="50"/>
      <c r="AP840" s="50"/>
      <c r="AR840" s="380"/>
      <c r="AS840" s="380"/>
      <c r="AT840" s="380"/>
      <c r="AU840" s="380"/>
      <c r="AV840" s="380"/>
      <c r="AW840" s="380"/>
      <c r="AX840" s="380"/>
      <c r="AY840" s="380"/>
      <c r="AZ840" s="380"/>
      <c r="BA840" s="380"/>
      <c r="BB840" s="380"/>
      <c r="BC840" s="380"/>
      <c r="BD840" s="380"/>
      <c r="BE840" s="380"/>
      <c r="BF840" s="380"/>
      <c r="BG840" s="380"/>
      <c r="BH840" s="380"/>
      <c r="BI840" s="380"/>
      <c r="BJ840" s="380"/>
      <c r="BK840" s="380"/>
      <c r="BL840" s="380"/>
      <c r="BM840" s="380"/>
      <c r="BN840" s="380"/>
      <c r="BO840" s="380"/>
      <c r="BP840" s="380"/>
      <c r="BQ840" s="380"/>
      <c r="BR840" s="380"/>
      <c r="BS840" s="380"/>
      <c r="BT840" s="380"/>
      <c r="BU840" s="380"/>
      <c r="BV840" s="380"/>
      <c r="BW840" s="380"/>
      <c r="BX840" s="380"/>
      <c r="BY840" s="380"/>
    </row>
    <row r="841" spans="1:77" s="170" customFormat="1" x14ac:dyDescent="0.25">
      <c r="A841" s="53"/>
      <c r="B841" s="380"/>
      <c r="C841" s="54"/>
      <c r="D841" s="54"/>
      <c r="E841" s="54"/>
      <c r="F841" s="380"/>
      <c r="G841" s="380"/>
      <c r="H841" s="380"/>
      <c r="I841" s="380"/>
      <c r="J841" s="380"/>
      <c r="K841" s="380"/>
      <c r="L841" s="379"/>
      <c r="M841" s="379"/>
      <c r="N841" s="59"/>
      <c r="O841" s="59"/>
      <c r="P841" s="53"/>
      <c r="Q841" s="53"/>
      <c r="R841" s="379"/>
      <c r="S841" s="380"/>
      <c r="T841" s="54"/>
      <c r="U841" s="54"/>
      <c r="V841" s="380"/>
      <c r="W841" s="380"/>
      <c r="X841" s="380"/>
      <c r="Y841" s="380"/>
      <c r="Z841" s="380"/>
      <c r="AA841" s="380"/>
      <c r="AB841" s="380"/>
      <c r="AC841" s="379"/>
      <c r="AD841" s="379"/>
      <c r="AE841" s="59"/>
      <c r="AF841" s="59"/>
      <c r="AG841" s="156"/>
      <c r="AH841" s="379"/>
      <c r="AI841" s="60"/>
      <c r="AJ841" s="60"/>
      <c r="AK841" s="156"/>
      <c r="AL841" s="53"/>
      <c r="AM841" s="379"/>
      <c r="AN841" s="379"/>
      <c r="AO841" s="50"/>
      <c r="AP841" s="50"/>
      <c r="AR841" s="380"/>
      <c r="AS841" s="380"/>
      <c r="AT841" s="380"/>
      <c r="AU841" s="380"/>
      <c r="AV841" s="380"/>
      <c r="AW841" s="380"/>
      <c r="AX841" s="380"/>
      <c r="AY841" s="380"/>
      <c r="AZ841" s="380"/>
      <c r="BA841" s="380"/>
      <c r="BB841" s="380"/>
      <c r="BC841" s="380"/>
      <c r="BD841" s="380"/>
      <c r="BE841" s="380"/>
      <c r="BF841" s="380"/>
      <c r="BG841" s="380"/>
      <c r="BH841" s="380"/>
      <c r="BI841" s="380"/>
      <c r="BJ841" s="380"/>
      <c r="BK841" s="380"/>
      <c r="BL841" s="380"/>
      <c r="BM841" s="380"/>
      <c r="BN841" s="380"/>
      <c r="BO841" s="380"/>
      <c r="BP841" s="380"/>
      <c r="BQ841" s="380"/>
      <c r="BR841" s="380"/>
      <c r="BS841" s="380"/>
      <c r="BT841" s="380"/>
      <c r="BU841" s="380"/>
      <c r="BV841" s="380"/>
      <c r="BW841" s="380"/>
      <c r="BX841" s="380"/>
      <c r="BY841" s="380"/>
    </row>
    <row r="842" spans="1:77" s="170" customFormat="1" x14ac:dyDescent="0.25">
      <c r="A842" s="53"/>
      <c r="B842" s="380"/>
      <c r="C842" s="380"/>
      <c r="D842" s="54"/>
      <c r="E842" s="54"/>
      <c r="F842" s="380"/>
      <c r="G842" s="380"/>
      <c r="H842" s="449"/>
      <c r="I842" s="449"/>
      <c r="J842" s="59"/>
      <c r="K842" s="59"/>
      <c r="L842" s="379"/>
      <c r="M842" s="379"/>
      <c r="N842" s="59"/>
      <c r="O842" s="59"/>
      <c r="P842" s="449"/>
      <c r="Q842" s="449"/>
      <c r="R842" s="379"/>
      <c r="S842" s="380"/>
      <c r="T842" s="380"/>
      <c r="U842" s="54"/>
      <c r="V842" s="379"/>
      <c r="W842" s="380"/>
      <c r="X842" s="380"/>
      <c r="Y842" s="380"/>
      <c r="Z842" s="380"/>
      <c r="AA842" s="379"/>
      <c r="AB842" s="59"/>
      <c r="AC842" s="379"/>
      <c r="AD842" s="379"/>
      <c r="AE842" s="59"/>
      <c r="AF842" s="59"/>
      <c r="AG842" s="156"/>
      <c r="AH842" s="379"/>
      <c r="AI842" s="60"/>
      <c r="AJ842" s="60"/>
      <c r="AK842" s="156"/>
      <c r="AL842" s="379"/>
      <c r="AM842" s="379"/>
      <c r="AN842" s="379"/>
      <c r="AO842" s="50"/>
      <c r="AP842" s="50"/>
      <c r="AR842" s="380"/>
      <c r="AS842" s="380"/>
      <c r="AT842" s="380"/>
      <c r="AU842" s="380"/>
      <c r="AV842" s="380"/>
      <c r="AW842" s="380"/>
      <c r="AX842" s="380"/>
      <c r="AY842" s="380"/>
      <c r="AZ842" s="380"/>
      <c r="BA842" s="380"/>
      <c r="BB842" s="380"/>
      <c r="BC842" s="380"/>
      <c r="BD842" s="380"/>
      <c r="BE842" s="380"/>
      <c r="BF842" s="380"/>
      <c r="BG842" s="380"/>
      <c r="BH842" s="380"/>
      <c r="BI842" s="380"/>
      <c r="BJ842" s="380"/>
      <c r="BK842" s="380"/>
      <c r="BL842" s="380"/>
      <c r="BM842" s="380"/>
      <c r="BN842" s="380"/>
      <c r="BO842" s="380"/>
      <c r="BP842" s="380"/>
      <c r="BQ842" s="380"/>
      <c r="BR842" s="380"/>
      <c r="BS842" s="380"/>
      <c r="BT842" s="380"/>
      <c r="BU842" s="380"/>
      <c r="BV842" s="380"/>
      <c r="BW842" s="380"/>
      <c r="BX842" s="380"/>
      <c r="BY842" s="380"/>
    </row>
    <row r="843" spans="1:77" s="170" customFormat="1" x14ac:dyDescent="0.25">
      <c r="A843" s="380"/>
      <c r="B843" s="380"/>
      <c r="C843" s="380"/>
      <c r="D843" s="380"/>
      <c r="E843" s="380"/>
      <c r="F843" s="449"/>
      <c r="G843" s="380"/>
      <c r="H843" s="381"/>
      <c r="I843" s="381"/>
      <c r="J843" s="464"/>
      <c r="K843" s="464"/>
      <c r="L843" s="381"/>
      <c r="M843" s="381"/>
      <c r="N843" s="381"/>
      <c r="O843" s="381"/>
      <c r="P843" s="381"/>
      <c r="Q843" s="381"/>
      <c r="R843" s="381"/>
      <c r="S843" s="380"/>
      <c r="T843" s="380"/>
      <c r="U843" s="380"/>
      <c r="V843" s="381"/>
      <c r="W843" s="380"/>
      <c r="X843" s="380"/>
      <c r="Y843" s="380"/>
      <c r="Z843" s="380"/>
      <c r="AA843" s="381"/>
      <c r="AB843" s="464"/>
      <c r="AC843" s="381"/>
      <c r="AD843" s="381"/>
      <c r="AE843" s="381"/>
      <c r="AF843" s="381"/>
      <c r="AG843" s="162"/>
      <c r="AH843" s="381"/>
      <c r="AI843" s="380"/>
      <c r="AJ843" s="380"/>
      <c r="AK843" s="162"/>
      <c r="AL843" s="381"/>
      <c r="AM843" s="381"/>
      <c r="AN843" s="381"/>
      <c r="AO843" s="50"/>
      <c r="AP843" s="50"/>
      <c r="AR843" s="380"/>
      <c r="AS843" s="380"/>
      <c r="AT843" s="380"/>
      <c r="AU843" s="380"/>
      <c r="AV843" s="380"/>
      <c r="AW843" s="380"/>
      <c r="AX843" s="380"/>
      <c r="AY843" s="380"/>
      <c r="AZ843" s="380"/>
      <c r="BA843" s="380"/>
      <c r="BB843" s="380"/>
      <c r="BC843" s="380"/>
      <c r="BD843" s="380"/>
      <c r="BE843" s="380"/>
      <c r="BF843" s="380"/>
      <c r="BG843" s="380"/>
      <c r="BH843" s="380"/>
      <c r="BI843" s="380"/>
      <c r="BJ843" s="380"/>
      <c r="BK843" s="380"/>
      <c r="BL843" s="380"/>
      <c r="BM843" s="380"/>
      <c r="BN843" s="380"/>
      <c r="BO843" s="380"/>
      <c r="BP843" s="380"/>
      <c r="BQ843" s="380"/>
      <c r="BR843" s="380"/>
      <c r="BS843" s="380"/>
      <c r="BT843" s="380"/>
      <c r="BU843" s="380"/>
      <c r="BV843" s="380"/>
      <c r="BW843" s="380"/>
      <c r="BX843" s="380"/>
      <c r="BY843" s="380"/>
    </row>
    <row r="844" spans="1:77" s="170" customFormat="1" x14ac:dyDescent="0.25">
      <c r="A844" s="53"/>
      <c r="B844" s="380"/>
      <c r="C844" s="54"/>
      <c r="D844" s="380"/>
      <c r="E844" s="380"/>
      <c r="F844" s="381"/>
      <c r="G844" s="380"/>
      <c r="H844" s="379"/>
      <c r="I844" s="379"/>
      <c r="J844" s="59"/>
      <c r="K844" s="59"/>
      <c r="L844" s="379"/>
      <c r="M844" s="379"/>
      <c r="N844" s="59"/>
      <c r="O844" s="59"/>
      <c r="P844" s="379"/>
      <c r="Q844" s="379"/>
      <c r="R844" s="379"/>
      <c r="S844" s="380"/>
      <c r="T844" s="54"/>
      <c r="U844" s="380"/>
      <c r="V844" s="379"/>
      <c r="W844" s="380"/>
      <c r="X844" s="380"/>
      <c r="Y844" s="380"/>
      <c r="Z844" s="380"/>
      <c r="AA844" s="379"/>
      <c r="AB844" s="59"/>
      <c r="AC844" s="379"/>
      <c r="AD844" s="379"/>
      <c r="AE844" s="59"/>
      <c r="AF844" s="59"/>
      <c r="AG844" s="156"/>
      <c r="AH844" s="379"/>
      <c r="AI844" s="60"/>
      <c r="AJ844" s="60"/>
      <c r="AK844" s="156"/>
      <c r="AL844" s="379"/>
      <c r="AM844" s="379"/>
      <c r="AN844" s="379"/>
      <c r="AO844" s="50"/>
      <c r="AP844" s="50"/>
      <c r="AR844" s="380"/>
      <c r="AS844" s="380"/>
      <c r="AT844" s="380"/>
      <c r="AU844" s="380"/>
      <c r="AV844" s="380"/>
      <c r="AW844" s="380"/>
      <c r="AX844" s="380"/>
      <c r="AY844" s="380"/>
      <c r="AZ844" s="380"/>
      <c r="BA844" s="380"/>
      <c r="BB844" s="380"/>
      <c r="BC844" s="380"/>
      <c r="BD844" s="380"/>
      <c r="BE844" s="380"/>
      <c r="BF844" s="380"/>
      <c r="BG844" s="380"/>
      <c r="BH844" s="380"/>
      <c r="BI844" s="380"/>
      <c r="BJ844" s="380"/>
      <c r="BK844" s="380"/>
      <c r="BL844" s="380"/>
      <c r="BM844" s="380"/>
      <c r="BN844" s="380"/>
      <c r="BO844" s="380"/>
      <c r="BP844" s="380"/>
      <c r="BQ844" s="380"/>
      <c r="BR844" s="380"/>
      <c r="BS844" s="380"/>
      <c r="BT844" s="380"/>
      <c r="BU844" s="380"/>
      <c r="BV844" s="380"/>
      <c r="BW844" s="380"/>
      <c r="BX844" s="380"/>
      <c r="BY844" s="380"/>
    </row>
    <row r="845" spans="1:77" s="170" customFormat="1" x14ac:dyDescent="0.25">
      <c r="A845" s="380"/>
      <c r="B845" s="380"/>
      <c r="C845" s="380"/>
      <c r="D845" s="380"/>
      <c r="E845" s="380"/>
      <c r="F845" s="379"/>
      <c r="G845" s="380"/>
      <c r="H845" s="379"/>
      <c r="I845" s="379"/>
      <c r="J845" s="59"/>
      <c r="K845" s="59"/>
      <c r="L845" s="379"/>
      <c r="M845" s="379"/>
      <c r="N845" s="59"/>
      <c r="O845" s="59"/>
      <c r="P845" s="379"/>
      <c r="Q845" s="379"/>
      <c r="R845" s="379"/>
      <c r="S845" s="380"/>
      <c r="T845" s="380"/>
      <c r="U845" s="380"/>
      <c r="V845" s="379"/>
      <c r="W845" s="380"/>
      <c r="X845" s="380"/>
      <c r="Y845" s="380"/>
      <c r="Z845" s="380"/>
      <c r="AA845" s="379"/>
      <c r="AB845" s="59"/>
      <c r="AC845" s="379"/>
      <c r="AD845" s="379"/>
      <c r="AE845" s="59"/>
      <c r="AF845" s="59"/>
      <c r="AG845" s="153"/>
      <c r="AH845" s="380"/>
      <c r="AI845" s="60"/>
      <c r="AJ845" s="60"/>
      <c r="AK845" s="156"/>
      <c r="AL845" s="379"/>
      <c r="AM845" s="379"/>
      <c r="AN845" s="379"/>
      <c r="AO845" s="50"/>
      <c r="AP845" s="50"/>
      <c r="AR845" s="380"/>
      <c r="AS845" s="380"/>
      <c r="AT845" s="380"/>
      <c r="AU845" s="380"/>
      <c r="AV845" s="380"/>
      <c r="AW845" s="380"/>
      <c r="AX845" s="380"/>
      <c r="AY845" s="380"/>
      <c r="AZ845" s="380"/>
      <c r="BA845" s="380"/>
      <c r="BB845" s="380"/>
      <c r="BC845" s="380"/>
      <c r="BD845" s="380"/>
      <c r="BE845" s="380"/>
      <c r="BF845" s="380"/>
      <c r="BG845" s="380"/>
      <c r="BH845" s="380"/>
      <c r="BI845" s="380"/>
      <c r="BJ845" s="380"/>
      <c r="BK845" s="380"/>
      <c r="BL845" s="380"/>
      <c r="BM845" s="380"/>
      <c r="BN845" s="380"/>
      <c r="BO845" s="380"/>
      <c r="BP845" s="380"/>
      <c r="BQ845" s="380"/>
      <c r="BR845" s="380"/>
      <c r="BS845" s="380"/>
      <c r="BT845" s="380"/>
      <c r="BU845" s="380"/>
      <c r="BV845" s="380"/>
      <c r="BW845" s="380"/>
      <c r="BX845" s="380"/>
      <c r="BY845" s="380"/>
    </row>
    <row r="846" spans="1:77" s="170" customFormat="1" x14ac:dyDescent="0.25">
      <c r="A846" s="53"/>
      <c r="B846" s="380"/>
      <c r="C846" s="380"/>
      <c r="D846" s="54"/>
      <c r="E846" s="54"/>
      <c r="F846" s="379"/>
      <c r="G846" s="380"/>
      <c r="H846" s="379"/>
      <c r="I846" s="379"/>
      <c r="J846" s="59"/>
      <c r="K846" s="59"/>
      <c r="L846" s="449"/>
      <c r="M846" s="449"/>
      <c r="N846" s="59"/>
      <c r="O846" s="59"/>
      <c r="P846" s="379"/>
      <c r="Q846" s="379"/>
      <c r="R846" s="379"/>
      <c r="S846" s="380"/>
      <c r="T846" s="380"/>
      <c r="U846" s="54"/>
      <c r="V846" s="379"/>
      <c r="W846" s="380"/>
      <c r="X846" s="380"/>
      <c r="Y846" s="380"/>
      <c r="Z846" s="380"/>
      <c r="AA846" s="379"/>
      <c r="AB846" s="59"/>
      <c r="AC846" s="449"/>
      <c r="AD846" s="449"/>
      <c r="AE846" s="59"/>
      <c r="AF846" s="59"/>
      <c r="AG846" s="156"/>
      <c r="AH846" s="379"/>
      <c r="AI846" s="60"/>
      <c r="AJ846" s="60"/>
      <c r="AK846" s="156"/>
      <c r="AL846" s="379"/>
      <c r="AM846" s="379"/>
      <c r="AN846" s="379"/>
      <c r="AO846" s="50"/>
      <c r="AP846" s="50"/>
      <c r="AR846" s="380"/>
      <c r="AS846" s="380"/>
      <c r="AT846" s="380"/>
      <c r="AU846" s="380"/>
      <c r="AV846" s="380"/>
      <c r="AW846" s="380"/>
      <c r="AX846" s="380"/>
      <c r="AY846" s="380"/>
      <c r="AZ846" s="380"/>
      <c r="BA846" s="380"/>
      <c r="BB846" s="380"/>
      <c r="BC846" s="380"/>
      <c r="BD846" s="380"/>
      <c r="BE846" s="380"/>
      <c r="BF846" s="380"/>
      <c r="BG846" s="380"/>
      <c r="BH846" s="380"/>
      <c r="BI846" s="380"/>
      <c r="BJ846" s="380"/>
      <c r="BK846" s="380"/>
      <c r="BL846" s="380"/>
      <c r="BM846" s="380"/>
      <c r="BN846" s="380"/>
      <c r="BO846" s="380"/>
      <c r="BP846" s="380"/>
      <c r="BQ846" s="380"/>
      <c r="BR846" s="380"/>
      <c r="BS846" s="380"/>
      <c r="BT846" s="380"/>
      <c r="BU846" s="380"/>
      <c r="BV846" s="380"/>
      <c r="BW846" s="380"/>
      <c r="BX846" s="380"/>
      <c r="BY846" s="380"/>
    </row>
    <row r="847" spans="1:77" s="170" customFormat="1" x14ac:dyDescent="0.25">
      <c r="A847" s="53"/>
      <c r="B847" s="380"/>
      <c r="C847" s="380"/>
      <c r="D847" s="54"/>
      <c r="E847" s="54"/>
      <c r="F847" s="379"/>
      <c r="G847" s="380"/>
      <c r="H847" s="379"/>
      <c r="I847" s="379"/>
      <c r="J847" s="59"/>
      <c r="K847" s="59"/>
      <c r="L847" s="449"/>
      <c r="M847" s="449"/>
      <c r="N847" s="59"/>
      <c r="O847" s="59"/>
      <c r="P847" s="379"/>
      <c r="Q847" s="379"/>
      <c r="R847" s="379"/>
      <c r="S847" s="380"/>
      <c r="T847" s="380"/>
      <c r="U847" s="54"/>
      <c r="V847" s="379"/>
      <c r="W847" s="380"/>
      <c r="X847" s="380"/>
      <c r="Y847" s="380"/>
      <c r="Z847" s="380"/>
      <c r="AA847" s="379"/>
      <c r="AB847" s="59"/>
      <c r="AC847" s="449"/>
      <c r="AD847" s="449"/>
      <c r="AE847" s="59"/>
      <c r="AF847" s="59"/>
      <c r="AG847" s="156"/>
      <c r="AH847" s="379"/>
      <c r="AI847" s="60"/>
      <c r="AJ847" s="60"/>
      <c r="AK847" s="156"/>
      <c r="AL847" s="379"/>
      <c r="AM847" s="379"/>
      <c r="AN847" s="379"/>
      <c r="AO847" s="50"/>
      <c r="AP847" s="50"/>
      <c r="AR847" s="380"/>
      <c r="AS847" s="380"/>
      <c r="AT847" s="380"/>
      <c r="AU847" s="380"/>
      <c r="AV847" s="380"/>
      <c r="AW847" s="380"/>
      <c r="AX847" s="380"/>
      <c r="AY847" s="380"/>
      <c r="AZ847" s="380"/>
      <c r="BA847" s="380"/>
      <c r="BB847" s="380"/>
      <c r="BC847" s="380"/>
      <c r="BD847" s="380"/>
      <c r="BE847" s="380"/>
      <c r="BF847" s="380"/>
      <c r="BG847" s="380"/>
      <c r="BH847" s="380"/>
      <c r="BI847" s="380"/>
      <c r="BJ847" s="380"/>
      <c r="BK847" s="380"/>
      <c r="BL847" s="380"/>
      <c r="BM847" s="380"/>
      <c r="BN847" s="380"/>
      <c r="BO847" s="380"/>
      <c r="BP847" s="380"/>
      <c r="BQ847" s="380"/>
      <c r="BR847" s="380"/>
      <c r="BS847" s="380"/>
      <c r="BT847" s="380"/>
      <c r="BU847" s="380"/>
      <c r="BV847" s="380"/>
      <c r="BW847" s="380"/>
      <c r="BX847" s="380"/>
      <c r="BY847" s="380"/>
    </row>
    <row r="848" spans="1:77" s="170" customFormat="1" x14ac:dyDescent="0.25">
      <c r="A848" s="53"/>
      <c r="B848" s="380"/>
      <c r="C848" s="380"/>
      <c r="D848" s="54"/>
      <c r="E848" s="54"/>
      <c r="F848" s="379"/>
      <c r="G848" s="380"/>
      <c r="H848" s="379"/>
      <c r="I848" s="379"/>
      <c r="J848" s="59"/>
      <c r="K848" s="59"/>
      <c r="L848" s="449"/>
      <c r="M848" s="449"/>
      <c r="N848" s="59"/>
      <c r="O848" s="59"/>
      <c r="P848" s="379"/>
      <c r="Q848" s="379"/>
      <c r="R848" s="379"/>
      <c r="S848" s="380"/>
      <c r="T848" s="380"/>
      <c r="U848" s="54"/>
      <c r="V848" s="379"/>
      <c r="W848" s="380"/>
      <c r="X848" s="380"/>
      <c r="Y848" s="380"/>
      <c r="Z848" s="380"/>
      <c r="AA848" s="379"/>
      <c r="AB848" s="59"/>
      <c r="AC848" s="449"/>
      <c r="AD848" s="449"/>
      <c r="AE848" s="59"/>
      <c r="AF848" s="59"/>
      <c r="AG848" s="156"/>
      <c r="AH848" s="379"/>
      <c r="AI848" s="60"/>
      <c r="AJ848" s="60"/>
      <c r="AK848" s="156"/>
      <c r="AL848" s="379"/>
      <c r="AM848" s="379"/>
      <c r="AN848" s="379"/>
      <c r="AO848" s="50"/>
      <c r="AP848" s="50"/>
      <c r="AR848" s="380"/>
      <c r="AS848" s="380"/>
      <c r="AT848" s="380"/>
      <c r="AU848" s="380"/>
      <c r="AV848" s="380"/>
      <c r="AW848" s="380"/>
      <c r="AX848" s="380"/>
      <c r="AY848" s="380"/>
      <c r="AZ848" s="380"/>
      <c r="BA848" s="380"/>
      <c r="BB848" s="380"/>
      <c r="BC848" s="380"/>
      <c r="BD848" s="380"/>
      <c r="BE848" s="380"/>
      <c r="BF848" s="380"/>
      <c r="BG848" s="380"/>
      <c r="BH848" s="380"/>
      <c r="BI848" s="380"/>
      <c r="BJ848" s="380"/>
      <c r="BK848" s="380"/>
      <c r="BL848" s="380"/>
      <c r="BM848" s="380"/>
      <c r="BN848" s="380"/>
      <c r="BO848" s="380"/>
      <c r="BP848" s="380"/>
      <c r="BQ848" s="380"/>
      <c r="BR848" s="380"/>
      <c r="BS848" s="380"/>
      <c r="BT848" s="380"/>
      <c r="BU848" s="380"/>
      <c r="BV848" s="380"/>
      <c r="BW848" s="380"/>
      <c r="BX848" s="380"/>
      <c r="BY848" s="380"/>
    </row>
    <row r="849" spans="1:77" s="170" customFormat="1" x14ac:dyDescent="0.25">
      <c r="A849" s="380"/>
      <c r="B849" s="380"/>
      <c r="C849" s="380"/>
      <c r="D849" s="380"/>
      <c r="E849" s="380"/>
      <c r="F849" s="379"/>
      <c r="G849" s="380"/>
      <c r="H849" s="381"/>
      <c r="I849" s="381"/>
      <c r="J849" s="464"/>
      <c r="K849" s="464"/>
      <c r="L849" s="381"/>
      <c r="M849" s="381"/>
      <c r="N849" s="381"/>
      <c r="O849" s="381"/>
      <c r="P849" s="381"/>
      <c r="Q849" s="381"/>
      <c r="R849" s="381"/>
      <c r="S849" s="380"/>
      <c r="T849" s="380"/>
      <c r="U849" s="380"/>
      <c r="V849" s="381"/>
      <c r="W849" s="380"/>
      <c r="X849" s="380"/>
      <c r="Y849" s="380"/>
      <c r="Z849" s="380"/>
      <c r="AA849" s="381"/>
      <c r="AB849" s="464"/>
      <c r="AC849" s="381"/>
      <c r="AD849" s="381"/>
      <c r="AE849" s="381"/>
      <c r="AF849" s="381"/>
      <c r="AG849" s="162"/>
      <c r="AH849" s="381"/>
      <c r="AI849" s="380"/>
      <c r="AJ849" s="380"/>
      <c r="AK849" s="162"/>
      <c r="AL849" s="381"/>
      <c r="AM849" s="381"/>
      <c r="AN849" s="381"/>
      <c r="AO849" s="50"/>
      <c r="AP849" s="50"/>
      <c r="AR849" s="380"/>
      <c r="AS849" s="380"/>
      <c r="AT849" s="380"/>
      <c r="AU849" s="380"/>
      <c r="AV849" s="380"/>
      <c r="AW849" s="380"/>
      <c r="AX849" s="380"/>
      <c r="AY849" s="380"/>
      <c r="AZ849" s="380"/>
      <c r="BA849" s="380"/>
      <c r="BB849" s="380"/>
      <c r="BC849" s="380"/>
      <c r="BD849" s="380"/>
      <c r="BE849" s="380"/>
      <c r="BF849" s="380"/>
      <c r="BG849" s="380"/>
      <c r="BH849" s="380"/>
      <c r="BI849" s="380"/>
      <c r="BJ849" s="380"/>
      <c r="BK849" s="380"/>
      <c r="BL849" s="380"/>
      <c r="BM849" s="380"/>
      <c r="BN849" s="380"/>
      <c r="BO849" s="380"/>
      <c r="BP849" s="380"/>
      <c r="BQ849" s="380"/>
      <c r="BR849" s="380"/>
      <c r="BS849" s="380"/>
      <c r="BT849" s="380"/>
      <c r="BU849" s="380"/>
      <c r="BV849" s="380"/>
      <c r="BW849" s="380"/>
      <c r="BX849" s="380"/>
      <c r="BY849" s="380"/>
    </row>
    <row r="850" spans="1:77" s="170" customFormat="1" x14ac:dyDescent="0.25">
      <c r="A850" s="53"/>
      <c r="B850" s="380"/>
      <c r="C850" s="54"/>
      <c r="D850" s="380"/>
      <c r="E850" s="380"/>
      <c r="F850" s="381"/>
      <c r="G850" s="380"/>
      <c r="H850" s="379"/>
      <c r="I850" s="379"/>
      <c r="J850" s="59"/>
      <c r="K850" s="59"/>
      <c r="L850" s="379"/>
      <c r="M850" s="379"/>
      <c r="N850" s="59"/>
      <c r="O850" s="59"/>
      <c r="P850" s="379"/>
      <c r="Q850" s="379"/>
      <c r="R850" s="379"/>
      <c r="S850" s="380"/>
      <c r="T850" s="54"/>
      <c r="U850" s="380"/>
      <c r="V850" s="379"/>
      <c r="W850" s="380"/>
      <c r="X850" s="380"/>
      <c r="Y850" s="380"/>
      <c r="Z850" s="380"/>
      <c r="AA850" s="379"/>
      <c r="AB850" s="59"/>
      <c r="AC850" s="379"/>
      <c r="AD850" s="379"/>
      <c r="AE850" s="59"/>
      <c r="AF850" s="59"/>
      <c r="AG850" s="156"/>
      <c r="AH850" s="379"/>
      <c r="AI850" s="60"/>
      <c r="AJ850" s="60"/>
      <c r="AK850" s="156"/>
      <c r="AL850" s="379"/>
      <c r="AM850" s="379"/>
      <c r="AN850" s="379"/>
      <c r="AO850" s="50"/>
      <c r="AP850" s="50"/>
      <c r="AR850" s="380"/>
      <c r="AS850" s="380"/>
      <c r="AT850" s="380"/>
      <c r="AU850" s="380"/>
      <c r="AV850" s="380"/>
      <c r="AW850" s="380"/>
      <c r="AX850" s="380"/>
      <c r="AY850" s="380"/>
      <c r="AZ850" s="380"/>
      <c r="BA850" s="380"/>
      <c r="BB850" s="380"/>
      <c r="BC850" s="380"/>
      <c r="BD850" s="380"/>
      <c r="BE850" s="380"/>
      <c r="BF850" s="380"/>
      <c r="BG850" s="380"/>
      <c r="BH850" s="380"/>
      <c r="BI850" s="380"/>
      <c r="BJ850" s="380"/>
      <c r="BK850" s="380"/>
      <c r="BL850" s="380"/>
      <c r="BM850" s="380"/>
      <c r="BN850" s="380"/>
      <c r="BO850" s="380"/>
      <c r="BP850" s="380"/>
      <c r="BQ850" s="380"/>
      <c r="BR850" s="380"/>
      <c r="BS850" s="380"/>
      <c r="BT850" s="380"/>
      <c r="BU850" s="380"/>
      <c r="BV850" s="380"/>
      <c r="BW850" s="380"/>
      <c r="BX850" s="380"/>
      <c r="BY850" s="380"/>
    </row>
    <row r="851" spans="1:77" s="170" customFormat="1" x14ac:dyDescent="0.25">
      <c r="A851" s="380"/>
      <c r="B851" s="380"/>
      <c r="C851" s="380"/>
      <c r="D851" s="380"/>
      <c r="E851" s="380"/>
      <c r="F851" s="379"/>
      <c r="G851" s="380"/>
      <c r="H851" s="379"/>
      <c r="I851" s="379"/>
      <c r="J851" s="59"/>
      <c r="K851" s="59"/>
      <c r="L851" s="379"/>
      <c r="M851" s="379"/>
      <c r="N851" s="59"/>
      <c r="O851" s="59"/>
      <c r="P851" s="379"/>
      <c r="Q851" s="379"/>
      <c r="R851" s="379"/>
      <c r="S851" s="380"/>
      <c r="T851" s="380"/>
      <c r="U851" s="380"/>
      <c r="V851" s="379"/>
      <c r="W851" s="380"/>
      <c r="X851" s="380"/>
      <c r="Y851" s="380"/>
      <c r="Z851" s="380"/>
      <c r="AA851" s="379"/>
      <c r="AB851" s="59"/>
      <c r="AC851" s="379"/>
      <c r="AD851" s="379"/>
      <c r="AE851" s="59"/>
      <c r="AF851" s="59"/>
      <c r="AG851" s="153"/>
      <c r="AH851" s="380"/>
      <c r="AI851" s="60"/>
      <c r="AJ851" s="60"/>
      <c r="AK851" s="156"/>
      <c r="AL851" s="379"/>
      <c r="AM851" s="379"/>
      <c r="AN851" s="379"/>
      <c r="AO851" s="50"/>
      <c r="AP851" s="50"/>
      <c r="AR851" s="380"/>
      <c r="AS851" s="380"/>
      <c r="AT851" s="380"/>
      <c r="AU851" s="380"/>
      <c r="AV851" s="380"/>
      <c r="AW851" s="380"/>
      <c r="AX851" s="380"/>
      <c r="AY851" s="380"/>
      <c r="AZ851" s="380"/>
      <c r="BA851" s="380"/>
      <c r="BB851" s="380"/>
      <c r="BC851" s="380"/>
      <c r="BD851" s="380"/>
      <c r="BE851" s="380"/>
      <c r="BF851" s="380"/>
      <c r="BG851" s="380"/>
      <c r="BH851" s="380"/>
      <c r="BI851" s="380"/>
      <c r="BJ851" s="380"/>
      <c r="BK851" s="380"/>
      <c r="BL851" s="380"/>
      <c r="BM851" s="380"/>
      <c r="BN851" s="380"/>
      <c r="BO851" s="380"/>
      <c r="BP851" s="380"/>
      <c r="BQ851" s="380"/>
      <c r="BR851" s="380"/>
      <c r="BS851" s="380"/>
      <c r="BT851" s="380"/>
      <c r="BU851" s="380"/>
      <c r="BV851" s="380"/>
      <c r="BW851" s="380"/>
      <c r="BX851" s="380"/>
      <c r="BY851" s="380"/>
    </row>
    <row r="852" spans="1:77" s="170" customFormat="1" x14ac:dyDescent="0.25">
      <c r="A852" s="53"/>
      <c r="B852" s="380"/>
      <c r="C852" s="54"/>
      <c r="D852" s="380"/>
      <c r="E852" s="380"/>
      <c r="F852" s="379"/>
      <c r="G852" s="380"/>
      <c r="H852" s="379"/>
      <c r="I852" s="379"/>
      <c r="J852" s="59"/>
      <c r="K852" s="59"/>
      <c r="L852" s="379"/>
      <c r="M852" s="379"/>
      <c r="N852" s="59"/>
      <c r="O852" s="59"/>
      <c r="P852" s="379"/>
      <c r="Q852" s="379"/>
      <c r="R852" s="379"/>
      <c r="S852" s="380"/>
      <c r="T852" s="54"/>
      <c r="U852" s="380"/>
      <c r="V852" s="379"/>
      <c r="W852" s="380"/>
      <c r="X852" s="380"/>
      <c r="Y852" s="380"/>
      <c r="Z852" s="380"/>
      <c r="AA852" s="379"/>
      <c r="AB852" s="59"/>
      <c r="AC852" s="379"/>
      <c r="AD852" s="379"/>
      <c r="AE852" s="59"/>
      <c r="AF852" s="59"/>
      <c r="AG852" s="156"/>
      <c r="AH852" s="379"/>
      <c r="AI852" s="60"/>
      <c r="AJ852" s="60"/>
      <c r="AK852" s="156"/>
      <c r="AL852" s="379"/>
      <c r="AM852" s="379"/>
      <c r="AN852" s="379"/>
      <c r="AO852" s="50"/>
      <c r="AP852" s="50"/>
      <c r="AR852" s="380"/>
      <c r="AS852" s="380"/>
      <c r="AT852" s="380"/>
      <c r="AU852" s="380"/>
      <c r="AV852" s="380"/>
      <c r="AW852" s="380"/>
      <c r="AX852" s="380"/>
      <c r="AY852" s="380"/>
      <c r="AZ852" s="380"/>
      <c r="BA852" s="380"/>
      <c r="BB852" s="380"/>
      <c r="BC852" s="380"/>
      <c r="BD852" s="380"/>
      <c r="BE852" s="380"/>
      <c r="BF852" s="380"/>
      <c r="BG852" s="380"/>
      <c r="BH852" s="380"/>
      <c r="BI852" s="380"/>
      <c r="BJ852" s="380"/>
      <c r="BK852" s="380"/>
      <c r="BL852" s="380"/>
      <c r="BM852" s="380"/>
      <c r="BN852" s="380"/>
      <c r="BO852" s="380"/>
      <c r="BP852" s="380"/>
      <c r="BQ852" s="380"/>
      <c r="BR852" s="380"/>
      <c r="BS852" s="380"/>
      <c r="BT852" s="380"/>
      <c r="BU852" s="380"/>
      <c r="BV852" s="380"/>
      <c r="BW852" s="380"/>
      <c r="BX852" s="380"/>
      <c r="BY852" s="380"/>
    </row>
    <row r="853" spans="1:77" s="170" customFormat="1" x14ac:dyDescent="0.25">
      <c r="A853" s="380"/>
      <c r="B853" s="380"/>
      <c r="C853" s="380"/>
      <c r="D853" s="380"/>
      <c r="E853" s="380"/>
      <c r="F853" s="379"/>
      <c r="G853" s="380"/>
      <c r="H853" s="381"/>
      <c r="I853" s="381"/>
      <c r="J853" s="464"/>
      <c r="K853" s="464"/>
      <c r="L853" s="381"/>
      <c r="M853" s="381"/>
      <c r="N853" s="381"/>
      <c r="O853" s="381"/>
      <c r="P853" s="381"/>
      <c r="Q853" s="381"/>
      <c r="R853" s="381"/>
      <c r="S853" s="380"/>
      <c r="T853" s="380"/>
      <c r="U853" s="380"/>
      <c r="V853" s="381"/>
      <c r="W853" s="380"/>
      <c r="X853" s="380"/>
      <c r="Y853" s="380"/>
      <c r="Z853" s="380"/>
      <c r="AA853" s="381"/>
      <c r="AB853" s="464"/>
      <c r="AC853" s="381"/>
      <c r="AD853" s="381"/>
      <c r="AE853" s="381"/>
      <c r="AF853" s="381"/>
      <c r="AG853" s="162"/>
      <c r="AH853" s="381"/>
      <c r="AI853" s="380"/>
      <c r="AJ853" s="380"/>
      <c r="AK853" s="162"/>
      <c r="AL853" s="381"/>
      <c r="AM853" s="381"/>
      <c r="AN853" s="381"/>
      <c r="AO853" s="380"/>
      <c r="AP853" s="380"/>
      <c r="AR853" s="380"/>
      <c r="AS853" s="380"/>
      <c r="AT853" s="380"/>
      <c r="AU853" s="380"/>
      <c r="AV853" s="380"/>
      <c r="AW853" s="380"/>
      <c r="AX853" s="380"/>
      <c r="AY853" s="380"/>
      <c r="AZ853" s="380"/>
      <c r="BA853" s="380"/>
      <c r="BB853" s="380"/>
      <c r="BC853" s="380"/>
      <c r="BD853" s="380"/>
      <c r="BE853" s="380"/>
      <c r="BF853" s="380"/>
      <c r="BG853" s="380"/>
      <c r="BH853" s="380"/>
      <c r="BI853" s="380"/>
      <c r="BJ853" s="380"/>
      <c r="BK853" s="380"/>
      <c r="BL853" s="380"/>
      <c r="BM853" s="380"/>
      <c r="BN853" s="380"/>
      <c r="BO853" s="380"/>
      <c r="BP853" s="380"/>
      <c r="BQ853" s="380"/>
      <c r="BR853" s="380"/>
      <c r="BS853" s="380"/>
      <c r="BT853" s="380"/>
      <c r="BU853" s="380"/>
      <c r="BV853" s="380"/>
      <c r="BW853" s="380"/>
      <c r="BX853" s="380"/>
      <c r="BY853" s="380"/>
    </row>
    <row r="855" spans="1:77" x14ac:dyDescent="0.25">
      <c r="C855" s="54"/>
      <c r="F855" s="381"/>
      <c r="L855" s="379"/>
      <c r="M855" s="379"/>
      <c r="P855" s="379"/>
      <c r="Q855" s="379"/>
      <c r="R855" s="379"/>
      <c r="T855" s="54"/>
    </row>
    <row r="856" spans="1:77" x14ac:dyDescent="0.25">
      <c r="A856" s="54"/>
      <c r="L856" s="379"/>
      <c r="M856" s="379"/>
      <c r="P856" s="379"/>
      <c r="Q856" s="379"/>
      <c r="R856" s="379"/>
    </row>
    <row r="857" spans="1:77" x14ac:dyDescent="0.25">
      <c r="L857" s="379"/>
      <c r="M857" s="379"/>
      <c r="P857" s="379"/>
      <c r="Q857" s="379"/>
      <c r="R857" s="379"/>
    </row>
    <row r="858" spans="1:77" x14ac:dyDescent="0.25">
      <c r="L858" s="379"/>
      <c r="M858" s="379"/>
      <c r="P858" s="379"/>
      <c r="Q858" s="379"/>
      <c r="R858" s="379"/>
    </row>
    <row r="859" spans="1:77" x14ac:dyDescent="0.25">
      <c r="L859" s="379"/>
      <c r="M859" s="379"/>
      <c r="P859" s="379"/>
      <c r="Q859" s="379"/>
      <c r="R859" s="379"/>
    </row>
    <row r="860" spans="1:77" x14ac:dyDescent="0.25">
      <c r="L860" s="379"/>
      <c r="M860" s="379"/>
      <c r="P860" s="379"/>
      <c r="Q860" s="379"/>
      <c r="R860" s="379"/>
    </row>
    <row r="861" spans="1:77" x14ac:dyDescent="0.25">
      <c r="L861" s="379"/>
      <c r="M861" s="379"/>
      <c r="P861" s="379"/>
      <c r="Q861" s="379"/>
      <c r="R861" s="379"/>
    </row>
    <row r="894" spans="51:51" x14ac:dyDescent="0.25">
      <c r="AY894" s="379"/>
    </row>
    <row r="895" spans="51:51" x14ac:dyDescent="0.25">
      <c r="AY895" s="379"/>
    </row>
    <row r="896" spans="51:51" x14ac:dyDescent="0.25">
      <c r="AY896" s="379"/>
    </row>
    <row r="897" spans="51:51" x14ac:dyDescent="0.25">
      <c r="AY897" s="379"/>
    </row>
    <row r="898" spans="51:51" x14ac:dyDescent="0.25">
      <c r="AY898" s="379"/>
    </row>
    <row r="899" spans="51:51" x14ac:dyDescent="0.25">
      <c r="AY899" s="379"/>
    </row>
    <row r="902" spans="51:51" x14ac:dyDescent="0.25">
      <c r="AY902" s="379"/>
    </row>
    <row r="903" spans="51:51" x14ac:dyDescent="0.25">
      <c r="AY903" s="379"/>
    </row>
    <row r="904" spans="51:51" x14ac:dyDescent="0.25">
      <c r="AY904" s="379"/>
    </row>
    <row r="905" spans="51:51" x14ac:dyDescent="0.25">
      <c r="AY905" s="379"/>
    </row>
    <row r="906" spans="51:51" x14ac:dyDescent="0.25">
      <c r="AY906" s="379"/>
    </row>
    <row r="907" spans="51:51" x14ac:dyDescent="0.25">
      <c r="AY907" s="379"/>
    </row>
    <row r="908" spans="51:51" x14ac:dyDescent="0.25">
      <c r="AY908" s="379"/>
    </row>
    <row r="909" spans="51:51" x14ac:dyDescent="0.25">
      <c r="AY909" s="379"/>
    </row>
    <row r="912" spans="51:51" x14ac:dyDescent="0.25">
      <c r="AY912" s="379"/>
    </row>
    <row r="913" spans="51:53" x14ac:dyDescent="0.25">
      <c r="AY913" s="379"/>
    </row>
    <row r="916" spans="51:53" x14ac:dyDescent="0.25">
      <c r="AY916" s="379"/>
    </row>
    <row r="917" spans="51:53" x14ac:dyDescent="0.25">
      <c r="AY917" s="379"/>
    </row>
    <row r="918" spans="51:53" x14ac:dyDescent="0.25">
      <c r="AY918" s="379"/>
    </row>
    <row r="919" spans="51:53" x14ac:dyDescent="0.25">
      <c r="AY919" s="379"/>
    </row>
    <row r="925" spans="51:53" x14ac:dyDescent="0.25">
      <c r="BA925" s="53"/>
    </row>
    <row r="926" spans="51:53" x14ac:dyDescent="0.25">
      <c r="BA926" s="53"/>
    </row>
    <row r="927" spans="51:53" x14ac:dyDescent="0.25">
      <c r="BA927" s="54"/>
    </row>
    <row r="928" spans="51:53" x14ac:dyDescent="0.25">
      <c r="BA928" s="54"/>
    </row>
    <row r="929" spans="47:71" x14ac:dyDescent="0.25">
      <c r="AU929" s="53"/>
      <c r="BF929" s="54"/>
    </row>
    <row r="930" spans="47:71" x14ac:dyDescent="0.25">
      <c r="AU930" s="53"/>
      <c r="BF930" s="54"/>
    </row>
    <row r="931" spans="47:71" x14ac:dyDescent="0.25">
      <c r="AU931" s="54"/>
      <c r="BF931" s="54"/>
    </row>
    <row r="932" spans="47:71" x14ac:dyDescent="0.25">
      <c r="BF932" s="53"/>
    </row>
    <row r="933" spans="47:71" x14ac:dyDescent="0.25"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</row>
    <row r="934" spans="47:71" x14ac:dyDescent="0.25">
      <c r="AZ934" s="54"/>
    </row>
    <row r="935" spans="47:71" x14ac:dyDescent="0.25">
      <c r="AZ935" s="55"/>
      <c r="BA935" s="55"/>
      <c r="BB935" s="55"/>
      <c r="BC935" s="55"/>
      <c r="BE935" s="56"/>
      <c r="BF935" s="56"/>
    </row>
    <row r="936" spans="47:71" x14ac:dyDescent="0.25">
      <c r="AX936" s="56"/>
      <c r="AY936" s="56"/>
      <c r="BB936" s="56"/>
      <c r="BC936" s="56"/>
      <c r="BE936" s="56"/>
      <c r="BF936" s="56"/>
      <c r="BG936" s="56"/>
      <c r="BI936" s="55"/>
      <c r="BJ936" s="54"/>
      <c r="BM936" s="55"/>
      <c r="BO936" s="55"/>
      <c r="BP936" s="54"/>
      <c r="BS936" s="55"/>
    </row>
    <row r="937" spans="47:71" x14ac:dyDescent="0.25"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J937" s="56"/>
      <c r="BK937" s="56"/>
      <c r="BL937" s="56"/>
      <c r="BP937" s="56"/>
      <c r="BQ937" s="56"/>
      <c r="BR937" s="56"/>
    </row>
    <row r="938" spans="47:71" x14ac:dyDescent="0.25">
      <c r="AU938" s="56"/>
      <c r="AW938" s="54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I938" s="56"/>
      <c r="BJ938" s="56"/>
      <c r="BK938" s="56"/>
      <c r="BL938" s="56"/>
      <c r="BM938" s="56"/>
      <c r="BO938" s="56"/>
      <c r="BP938" s="56"/>
      <c r="BQ938" s="56"/>
      <c r="BR938" s="56"/>
      <c r="BS938" s="56"/>
    </row>
    <row r="939" spans="47:71" x14ac:dyDescent="0.25">
      <c r="AU939" s="56"/>
      <c r="AW939" s="54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I939" s="56"/>
      <c r="BJ939" s="56"/>
      <c r="BK939" s="56"/>
      <c r="BL939" s="56"/>
      <c r="BM939" s="56"/>
      <c r="BO939" s="56"/>
      <c r="BP939" s="56"/>
      <c r="BQ939" s="56"/>
      <c r="BR939" s="56"/>
      <c r="BS939" s="56"/>
    </row>
    <row r="940" spans="47:71" x14ac:dyDescent="0.25"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I940" s="55"/>
      <c r="BJ940" s="55"/>
      <c r="BK940" s="55"/>
      <c r="BL940" s="55"/>
      <c r="BM940" s="55"/>
      <c r="BO940" s="55"/>
      <c r="BP940" s="55"/>
      <c r="BQ940" s="55"/>
      <c r="BR940" s="55"/>
      <c r="BS940" s="55"/>
    </row>
    <row r="941" spans="47:71" x14ac:dyDescent="0.25"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</row>
    <row r="942" spans="47:71" x14ac:dyDescent="0.25">
      <c r="AU942" s="53"/>
      <c r="AW942" s="54"/>
      <c r="AX942" s="56"/>
      <c r="BA942" s="59"/>
    </row>
    <row r="943" spans="47:71" x14ac:dyDescent="0.25">
      <c r="AU943" s="53"/>
      <c r="AX943" s="56"/>
      <c r="AY943" s="379"/>
      <c r="AZ943" s="65"/>
      <c r="BA943" s="65"/>
      <c r="BB943" s="65"/>
      <c r="BC943" s="50"/>
      <c r="BD943" s="65"/>
      <c r="BE943" s="59"/>
      <c r="BF943" s="59"/>
      <c r="BG943" s="50"/>
      <c r="BI943" s="65"/>
      <c r="BJ943" s="65"/>
      <c r="BK943" s="65"/>
      <c r="BL943" s="65"/>
      <c r="BM943" s="65"/>
      <c r="BO943" s="65"/>
      <c r="BP943" s="65"/>
      <c r="BQ943" s="65"/>
      <c r="BR943" s="65"/>
      <c r="BS943" s="65"/>
    </row>
    <row r="944" spans="47:71" x14ac:dyDescent="0.25">
      <c r="AU944" s="53"/>
      <c r="AX944" s="56"/>
      <c r="AY944" s="379"/>
      <c r="AZ944" s="65"/>
      <c r="BA944" s="65"/>
      <c r="BB944" s="65"/>
      <c r="BC944" s="50"/>
      <c r="BD944" s="65"/>
      <c r="BE944" s="59"/>
      <c r="BF944" s="59"/>
      <c r="BG944" s="50"/>
      <c r="BI944" s="65"/>
      <c r="BJ944" s="65"/>
      <c r="BK944" s="65"/>
      <c r="BL944" s="65"/>
      <c r="BM944" s="65"/>
      <c r="BO944" s="65"/>
      <c r="BP944" s="65"/>
      <c r="BQ944" s="65"/>
      <c r="BR944" s="65"/>
      <c r="BS944" s="65"/>
    </row>
    <row r="945" spans="47:71" x14ac:dyDescent="0.25">
      <c r="AU945" s="53"/>
      <c r="AX945" s="56"/>
      <c r="AY945" s="379"/>
      <c r="AZ945" s="65"/>
      <c r="BA945" s="65"/>
      <c r="BB945" s="65"/>
      <c r="BC945" s="50"/>
      <c r="BD945" s="65"/>
      <c r="BE945" s="59"/>
      <c r="BF945" s="59"/>
      <c r="BG945" s="50"/>
      <c r="BI945" s="65"/>
      <c r="BJ945" s="65"/>
      <c r="BK945" s="65"/>
      <c r="BL945" s="65"/>
      <c r="BM945" s="65"/>
      <c r="BO945" s="65"/>
      <c r="BP945" s="65"/>
      <c r="BQ945" s="65"/>
      <c r="BR945" s="65"/>
      <c r="BS945" s="65"/>
    </row>
    <row r="946" spans="47:71" x14ac:dyDescent="0.25">
      <c r="AU946" s="53"/>
      <c r="AX946" s="56"/>
      <c r="AY946" s="379"/>
      <c r="AZ946" s="65"/>
      <c r="BA946" s="65"/>
      <c r="BB946" s="65"/>
      <c r="BC946" s="50"/>
      <c r="BD946" s="65"/>
      <c r="BE946" s="59"/>
      <c r="BF946" s="59"/>
      <c r="BG946" s="50"/>
      <c r="BI946" s="65"/>
      <c r="BJ946" s="65"/>
      <c r="BK946" s="65"/>
      <c r="BL946" s="65"/>
      <c r="BM946" s="65"/>
      <c r="BO946" s="65"/>
      <c r="BP946" s="65"/>
      <c r="BQ946" s="65"/>
      <c r="BR946" s="65"/>
      <c r="BS946" s="65"/>
    </row>
    <row r="947" spans="47:71" x14ac:dyDescent="0.25">
      <c r="AU947" s="53"/>
      <c r="AX947" s="56"/>
      <c r="AY947" s="379"/>
      <c r="AZ947" s="65"/>
      <c r="BA947" s="65"/>
      <c r="BB947" s="65"/>
      <c r="BC947" s="50"/>
      <c r="BD947" s="65"/>
      <c r="BE947" s="59"/>
      <c r="BF947" s="59"/>
      <c r="BG947" s="50"/>
      <c r="BI947" s="65"/>
      <c r="BJ947" s="65"/>
      <c r="BK947" s="65"/>
      <c r="BL947" s="65"/>
      <c r="BM947" s="65"/>
      <c r="BO947" s="65"/>
      <c r="BP947" s="65"/>
      <c r="BQ947" s="65"/>
      <c r="BR947" s="65"/>
      <c r="BS947" s="65"/>
    </row>
    <row r="948" spans="47:71" x14ac:dyDescent="0.25">
      <c r="AU948" s="53"/>
      <c r="AX948" s="56"/>
      <c r="AY948" s="379"/>
      <c r="AZ948" s="65"/>
      <c r="BA948" s="65"/>
      <c r="BB948" s="65"/>
      <c r="BC948" s="50"/>
      <c r="BD948" s="65"/>
      <c r="BE948" s="59"/>
      <c r="BF948" s="59"/>
      <c r="BG948" s="50"/>
      <c r="BI948" s="65"/>
      <c r="BJ948" s="65"/>
      <c r="BK948" s="65"/>
      <c r="BL948" s="65"/>
      <c r="BM948" s="65"/>
      <c r="BO948" s="65"/>
      <c r="BP948" s="65"/>
      <c r="BQ948" s="65"/>
      <c r="BR948" s="65"/>
      <c r="BS948" s="65"/>
    </row>
    <row r="949" spans="47:71" x14ac:dyDescent="0.25">
      <c r="AU949" s="53"/>
      <c r="AX949" s="56"/>
      <c r="AY949" s="379"/>
      <c r="AZ949" s="65"/>
      <c r="BA949" s="65"/>
      <c r="BB949" s="65"/>
      <c r="BC949" s="50"/>
      <c r="BD949" s="65"/>
      <c r="BE949" s="59"/>
      <c r="BF949" s="59"/>
      <c r="BG949" s="50"/>
      <c r="BI949" s="65"/>
      <c r="BJ949" s="65"/>
      <c r="BK949" s="65"/>
      <c r="BL949" s="65"/>
      <c r="BM949" s="65"/>
      <c r="BO949" s="65"/>
      <c r="BP949" s="65"/>
      <c r="BQ949" s="65"/>
      <c r="BR949" s="65"/>
      <c r="BS949" s="65"/>
    </row>
    <row r="950" spans="47:71" x14ac:dyDescent="0.25">
      <c r="BA950" s="59"/>
      <c r="BB950" s="65"/>
      <c r="BC950" s="50"/>
      <c r="BD950" s="65"/>
      <c r="BE950" s="59"/>
      <c r="BF950" s="59"/>
      <c r="BG950" s="50"/>
      <c r="BM950" s="65"/>
      <c r="BS950" s="65"/>
    </row>
    <row r="951" spans="47:71" x14ac:dyDescent="0.25">
      <c r="AU951" s="53"/>
      <c r="AX951" s="56"/>
      <c r="BA951" s="59"/>
      <c r="BB951" s="65"/>
      <c r="BC951" s="50"/>
      <c r="BD951" s="65"/>
      <c r="BE951" s="59"/>
      <c r="BF951" s="59"/>
      <c r="BG951" s="50"/>
      <c r="BM951" s="65"/>
      <c r="BS951" s="65"/>
    </row>
    <row r="952" spans="47:71" x14ac:dyDescent="0.25">
      <c r="AU952" s="53"/>
      <c r="AX952" s="56"/>
      <c r="AY952" s="379"/>
      <c r="AZ952" s="65"/>
      <c r="BA952" s="65"/>
      <c r="BB952" s="65"/>
      <c r="BC952" s="50"/>
      <c r="BD952" s="65"/>
      <c r="BE952" s="59"/>
      <c r="BF952" s="59"/>
      <c r="BG952" s="50"/>
      <c r="BI952" s="65"/>
      <c r="BJ952" s="65"/>
      <c r="BK952" s="65"/>
      <c r="BL952" s="65"/>
      <c r="BM952" s="65"/>
      <c r="BO952" s="65"/>
      <c r="BP952" s="65"/>
      <c r="BQ952" s="65"/>
      <c r="BR952" s="65"/>
      <c r="BS952" s="65"/>
    </row>
    <row r="953" spans="47:71" x14ac:dyDescent="0.25">
      <c r="AU953" s="53"/>
      <c r="AX953" s="56"/>
      <c r="AY953" s="379"/>
      <c r="AZ953" s="65"/>
      <c r="BA953" s="65"/>
      <c r="BB953" s="65"/>
      <c r="BC953" s="50"/>
      <c r="BD953" s="65"/>
      <c r="BE953" s="59"/>
      <c r="BF953" s="59"/>
      <c r="BG953" s="50"/>
      <c r="BI953" s="65"/>
      <c r="BJ953" s="65"/>
      <c r="BK953" s="65"/>
      <c r="BL953" s="65"/>
      <c r="BM953" s="65"/>
      <c r="BO953" s="65"/>
      <c r="BP953" s="65"/>
      <c r="BQ953" s="65"/>
      <c r="BR953" s="65"/>
      <c r="BS953" s="65"/>
    </row>
    <row r="954" spans="47:71" x14ac:dyDescent="0.25">
      <c r="AU954" s="53"/>
      <c r="AX954" s="56"/>
      <c r="AY954" s="379"/>
      <c r="AZ954" s="65"/>
      <c r="BA954" s="65"/>
      <c r="BB954" s="65"/>
      <c r="BC954" s="50"/>
      <c r="BD954" s="65"/>
      <c r="BE954" s="59"/>
      <c r="BF954" s="59"/>
      <c r="BG954" s="50"/>
      <c r="BI954" s="65"/>
      <c r="BJ954" s="65"/>
      <c r="BK954" s="65"/>
      <c r="BL954" s="65"/>
      <c r="BM954" s="65"/>
      <c r="BO954" s="65"/>
      <c r="BP954" s="65"/>
      <c r="BQ954" s="65"/>
      <c r="BR954" s="65"/>
      <c r="BS954" s="65"/>
    </row>
    <row r="955" spans="47:71" x14ac:dyDescent="0.25">
      <c r="AU955" s="53"/>
      <c r="AX955" s="56"/>
      <c r="AY955" s="379"/>
      <c r="AZ955" s="65"/>
      <c r="BA955" s="65"/>
      <c r="BB955" s="65"/>
      <c r="BC955" s="50"/>
      <c r="BD955" s="65"/>
      <c r="BE955" s="59"/>
      <c r="BF955" s="59"/>
      <c r="BG955" s="50"/>
      <c r="BI955" s="65"/>
      <c r="BJ955" s="65"/>
      <c r="BK955" s="65"/>
      <c r="BL955" s="65"/>
      <c r="BM955" s="65"/>
      <c r="BO955" s="65"/>
      <c r="BP955" s="65"/>
      <c r="BQ955" s="65"/>
      <c r="BR955" s="65"/>
      <c r="BS955" s="65"/>
    </row>
    <row r="956" spans="47:71" x14ac:dyDescent="0.25">
      <c r="AU956" s="53"/>
      <c r="AX956" s="56"/>
      <c r="AY956" s="379"/>
      <c r="AZ956" s="65"/>
      <c r="BA956" s="65"/>
      <c r="BB956" s="65"/>
      <c r="BC956" s="50"/>
      <c r="BD956" s="65"/>
      <c r="BE956" s="59"/>
      <c r="BF956" s="59"/>
      <c r="BG956" s="50"/>
      <c r="BI956" s="65"/>
      <c r="BJ956" s="65"/>
      <c r="BK956" s="65"/>
      <c r="BL956" s="65"/>
      <c r="BM956" s="65"/>
      <c r="BO956" s="65"/>
      <c r="BP956" s="65"/>
      <c r="BQ956" s="65"/>
      <c r="BR956" s="65"/>
      <c r="BS956" s="65"/>
    </row>
    <row r="957" spans="47:71" x14ac:dyDescent="0.25">
      <c r="AU957" s="53"/>
      <c r="AX957" s="56"/>
      <c r="AY957" s="379"/>
      <c r="AZ957" s="65"/>
      <c r="BA957" s="65"/>
      <c r="BB957" s="65"/>
      <c r="BC957" s="50"/>
      <c r="BD957" s="65"/>
      <c r="BE957" s="59"/>
      <c r="BF957" s="59"/>
      <c r="BG957" s="50"/>
      <c r="BI957" s="65"/>
      <c r="BJ957" s="65"/>
      <c r="BK957" s="65"/>
      <c r="BL957" s="65"/>
      <c r="BM957" s="65"/>
      <c r="BO957" s="65"/>
      <c r="BP957" s="65"/>
      <c r="BQ957" s="65"/>
      <c r="BR957" s="65"/>
      <c r="BS957" s="65"/>
    </row>
    <row r="958" spans="47:71" x14ac:dyDescent="0.25">
      <c r="AU958" s="53"/>
      <c r="AX958" s="56"/>
      <c r="AY958" s="379"/>
      <c r="AZ958" s="65"/>
      <c r="BA958" s="65"/>
      <c r="BB958" s="65"/>
      <c r="BC958" s="50"/>
      <c r="BD958" s="65"/>
      <c r="BE958" s="59"/>
      <c r="BF958" s="59"/>
      <c r="BG958" s="50"/>
      <c r="BI958" s="65"/>
      <c r="BJ958" s="65"/>
      <c r="BK958" s="65"/>
      <c r="BL958" s="65"/>
      <c r="BM958" s="65"/>
      <c r="BO958" s="65"/>
      <c r="BP958" s="65"/>
      <c r="BQ958" s="65"/>
      <c r="BR958" s="65"/>
      <c r="BS958" s="65"/>
    </row>
    <row r="959" spans="47:71" x14ac:dyDescent="0.25">
      <c r="AU959" s="53"/>
      <c r="AX959" s="56"/>
      <c r="AY959" s="379"/>
      <c r="AZ959" s="65"/>
      <c r="BA959" s="65"/>
      <c r="BB959" s="65"/>
      <c r="BC959" s="50"/>
      <c r="BD959" s="65"/>
      <c r="BE959" s="59"/>
      <c r="BF959" s="59"/>
      <c r="BG959" s="50"/>
      <c r="BI959" s="65"/>
      <c r="BJ959" s="65"/>
      <c r="BK959" s="65"/>
      <c r="BL959" s="65"/>
      <c r="BM959" s="65"/>
      <c r="BO959" s="65"/>
      <c r="BP959" s="65"/>
      <c r="BQ959" s="65"/>
      <c r="BR959" s="65"/>
      <c r="BS959" s="65"/>
    </row>
    <row r="960" spans="47:71" x14ac:dyDescent="0.25">
      <c r="BA960" s="59"/>
      <c r="BB960" s="65"/>
      <c r="BC960" s="50"/>
      <c r="BD960" s="65"/>
      <c r="BE960" s="59"/>
      <c r="BF960" s="59"/>
      <c r="BG960" s="50"/>
      <c r="BM960" s="65"/>
      <c r="BS960" s="65"/>
    </row>
    <row r="961" spans="47:77" x14ac:dyDescent="0.25">
      <c r="AW961" s="54"/>
      <c r="BB961" s="65"/>
      <c r="BD961" s="65"/>
      <c r="BI961" s="65"/>
      <c r="BJ961" s="65"/>
      <c r="BL961" s="65"/>
      <c r="BM961" s="65"/>
    </row>
    <row r="962" spans="47:77" x14ac:dyDescent="0.25">
      <c r="BB962" s="65"/>
      <c r="BD962" s="65"/>
    </row>
    <row r="963" spans="47:77" x14ac:dyDescent="0.25">
      <c r="AU963" s="54"/>
      <c r="BB963" s="65"/>
      <c r="BD963" s="65"/>
      <c r="BK963" s="65"/>
    </row>
    <row r="964" spans="47:77" x14ac:dyDescent="0.25">
      <c r="BA964" s="53"/>
      <c r="BB964" s="65"/>
      <c r="BD964" s="65"/>
    </row>
    <row r="965" spans="47:77" x14ac:dyDescent="0.25">
      <c r="BA965" s="65"/>
      <c r="BD965" s="65"/>
    </row>
    <row r="966" spans="47:77" x14ac:dyDescent="0.25">
      <c r="BA966" s="54"/>
      <c r="BB966" s="65"/>
      <c r="BD966" s="65"/>
    </row>
    <row r="967" spans="47:77" x14ac:dyDescent="0.25">
      <c r="BA967" s="54"/>
      <c r="BB967" s="65"/>
      <c r="BD967" s="65"/>
    </row>
    <row r="968" spans="47:77" x14ac:dyDescent="0.25">
      <c r="AU968" s="53"/>
      <c r="BB968" s="65"/>
      <c r="BD968" s="65"/>
      <c r="BF968" s="54"/>
    </row>
    <row r="969" spans="47:77" x14ac:dyDescent="0.25">
      <c r="AU969" s="53"/>
      <c r="BB969" s="65"/>
      <c r="BD969" s="65"/>
      <c r="BF969" s="54"/>
    </row>
    <row r="970" spans="47:77" x14ac:dyDescent="0.25">
      <c r="AU970" s="54"/>
      <c r="BB970" s="65"/>
      <c r="BD970" s="65"/>
      <c r="BF970" s="54"/>
    </row>
    <row r="971" spans="47:77" x14ac:dyDescent="0.25">
      <c r="BB971" s="65"/>
      <c r="BD971" s="65"/>
      <c r="BF971" s="53"/>
    </row>
    <row r="972" spans="47:77" x14ac:dyDescent="0.25">
      <c r="AU972" s="55"/>
      <c r="AV972" s="55"/>
      <c r="AW972" s="55"/>
      <c r="AX972" s="55"/>
      <c r="AY972" s="55"/>
      <c r="AZ972" s="55"/>
      <c r="BA972" s="55"/>
      <c r="BB972" s="66"/>
      <c r="BC972" s="55"/>
      <c r="BD972" s="66"/>
      <c r="BE972" s="55"/>
      <c r="BF972" s="55"/>
      <c r="BG972" s="55"/>
    </row>
    <row r="973" spans="47:77" x14ac:dyDescent="0.25">
      <c r="AZ973" s="54"/>
      <c r="BB973" s="65"/>
      <c r="BD973" s="65"/>
    </row>
    <row r="974" spans="47:77" x14ac:dyDescent="0.25">
      <c r="AZ974" s="55"/>
      <c r="BA974" s="55"/>
      <c r="BB974" s="66"/>
      <c r="BC974" s="55"/>
      <c r="BD974" s="65"/>
      <c r="BE974" s="56"/>
      <c r="BF974" s="56"/>
    </row>
    <row r="975" spans="47:77" x14ac:dyDescent="0.25">
      <c r="AX975" s="56"/>
      <c r="AY975" s="56"/>
      <c r="BB975" s="67"/>
      <c r="BC975" s="56"/>
      <c r="BD975" s="65"/>
      <c r="BE975" s="56"/>
      <c r="BF975" s="56"/>
      <c r="BG975" s="56"/>
      <c r="BI975" s="55"/>
      <c r="BJ975" s="55"/>
      <c r="BK975" s="54"/>
      <c r="BO975" s="55"/>
      <c r="BP975" s="55"/>
      <c r="BR975" s="55"/>
      <c r="BS975" s="55"/>
      <c r="BT975" s="54"/>
      <c r="BX975" s="55"/>
      <c r="BY975" s="55"/>
    </row>
    <row r="976" spans="47:77" x14ac:dyDescent="0.25">
      <c r="AX976" s="56"/>
      <c r="AY976" s="56"/>
      <c r="AZ976" s="56"/>
      <c r="BA976" s="56"/>
      <c r="BB976" s="67"/>
      <c r="BC976" s="56"/>
      <c r="BD976" s="67"/>
      <c r="BE976" s="56"/>
      <c r="BF976" s="56"/>
      <c r="BG976" s="56"/>
      <c r="BJ976" s="56"/>
      <c r="BK976" s="56"/>
      <c r="BL976" s="56"/>
      <c r="BM976" s="56"/>
      <c r="BN976" s="56"/>
      <c r="BO976" s="56"/>
      <c r="BS976" s="56"/>
      <c r="BT976" s="56"/>
      <c r="BU976" s="56"/>
      <c r="BV976" s="56"/>
      <c r="BW976" s="56"/>
      <c r="BX976" s="56"/>
    </row>
    <row r="977" spans="47:77" x14ac:dyDescent="0.25">
      <c r="AU977" s="56"/>
      <c r="AW977" s="54"/>
      <c r="AX977" s="56"/>
      <c r="AY977" s="56"/>
      <c r="AZ977" s="56"/>
      <c r="BA977" s="56"/>
      <c r="BB977" s="67"/>
      <c r="BC977" s="56"/>
      <c r="BD977" s="67"/>
      <c r="BE977" s="56"/>
      <c r="BF977" s="56"/>
      <c r="BG977" s="56"/>
      <c r="BI977" s="56"/>
      <c r="BJ977" s="56"/>
      <c r="BK977" s="56"/>
      <c r="BL977" s="56"/>
      <c r="BM977" s="56"/>
      <c r="BN977" s="56"/>
      <c r="BO977" s="56"/>
      <c r="BP977" s="56"/>
      <c r="BR977" s="56"/>
      <c r="BS977" s="56"/>
      <c r="BT977" s="56"/>
      <c r="BU977" s="56"/>
      <c r="BV977" s="56"/>
      <c r="BW977" s="56"/>
      <c r="BX977" s="56"/>
      <c r="BY977" s="56"/>
    </row>
    <row r="978" spans="47:77" x14ac:dyDescent="0.25">
      <c r="AU978" s="56"/>
      <c r="AW978" s="54"/>
      <c r="AX978" s="56"/>
      <c r="AY978" s="56"/>
      <c r="AZ978" s="56"/>
      <c r="BA978" s="56"/>
      <c r="BB978" s="67"/>
      <c r="BC978" s="56"/>
      <c r="BD978" s="67"/>
      <c r="BE978" s="56"/>
      <c r="BF978" s="56"/>
      <c r="BG978" s="56"/>
      <c r="BI978" s="56"/>
      <c r="BJ978" s="56"/>
      <c r="BK978" s="56"/>
      <c r="BL978" s="56"/>
      <c r="BM978" s="56"/>
      <c r="BN978" s="56"/>
      <c r="BO978" s="56"/>
      <c r="BP978" s="56"/>
      <c r="BR978" s="56"/>
      <c r="BS978" s="56"/>
      <c r="BT978" s="56"/>
      <c r="BU978" s="56"/>
      <c r="BV978" s="56"/>
      <c r="BW978" s="56"/>
      <c r="BX978" s="56"/>
      <c r="BY978" s="56"/>
    </row>
    <row r="979" spans="47:77" x14ac:dyDescent="0.25">
      <c r="AU979" s="55"/>
      <c r="AV979" s="55"/>
      <c r="AW979" s="55"/>
      <c r="AX979" s="55"/>
      <c r="AY979" s="55"/>
      <c r="AZ979" s="55"/>
      <c r="BA979" s="55"/>
      <c r="BB979" s="66"/>
      <c r="BC979" s="55"/>
      <c r="BD979" s="66"/>
      <c r="BE979" s="55"/>
      <c r="BF979" s="55"/>
      <c r="BG979" s="55"/>
      <c r="BI979" s="55"/>
      <c r="BJ979" s="55"/>
      <c r="BK979" s="55"/>
      <c r="BL979" s="55"/>
      <c r="BM979" s="55"/>
      <c r="BN979" s="55"/>
      <c r="BO979" s="55"/>
      <c r="BP979" s="55"/>
      <c r="BR979" s="55"/>
      <c r="BS979" s="55"/>
      <c r="BT979" s="55"/>
      <c r="BU979" s="55"/>
      <c r="BV979" s="55"/>
      <c r="BW979" s="55"/>
      <c r="BX979" s="55"/>
      <c r="BY979" s="55"/>
    </row>
    <row r="980" spans="47:77" x14ac:dyDescent="0.25">
      <c r="AX980" s="56"/>
      <c r="AY980" s="56"/>
      <c r="AZ980" s="56"/>
      <c r="BA980" s="56"/>
      <c r="BB980" s="67"/>
      <c r="BC980" s="56"/>
      <c r="BD980" s="67"/>
      <c r="BE980" s="56"/>
      <c r="BF980" s="56"/>
      <c r="BG980" s="56"/>
      <c r="BI980" s="65"/>
      <c r="BJ980" s="65"/>
      <c r="BK980" s="65"/>
      <c r="BL980" s="65"/>
      <c r="BM980" s="65"/>
      <c r="BN980" s="65"/>
      <c r="BO980" s="65"/>
      <c r="BP980" s="65"/>
      <c r="BQ980" s="65"/>
      <c r="BR980" s="65"/>
      <c r="BS980" s="65"/>
      <c r="BT980" s="65"/>
      <c r="BU980" s="65"/>
      <c r="BV980" s="65"/>
      <c r="BW980" s="65"/>
      <c r="BX980" s="65"/>
      <c r="BY980" s="65"/>
    </row>
    <row r="981" spans="47:77" x14ac:dyDescent="0.25">
      <c r="AU981" s="53"/>
      <c r="AW981" s="54"/>
      <c r="AX981" s="53"/>
      <c r="AY981" s="379"/>
      <c r="AZ981" s="65"/>
      <c r="BA981" s="65"/>
      <c r="BB981" s="65"/>
      <c r="BC981" s="60"/>
      <c r="BD981" s="65"/>
      <c r="BE981" s="65"/>
      <c r="BF981" s="65"/>
      <c r="BG981" s="60"/>
      <c r="BI981" s="65"/>
      <c r="BJ981" s="65"/>
      <c r="BK981" s="65"/>
      <c r="BL981" s="65"/>
      <c r="BM981" s="65"/>
      <c r="BN981" s="65"/>
      <c r="BO981" s="65"/>
      <c r="BP981" s="65"/>
      <c r="BQ981" s="65"/>
      <c r="BR981" s="65"/>
      <c r="BS981" s="65"/>
      <c r="BT981" s="65"/>
      <c r="BU981" s="65"/>
      <c r="BV981" s="65"/>
      <c r="BW981" s="65"/>
      <c r="BX981" s="65"/>
      <c r="BY981" s="65"/>
    </row>
    <row r="982" spans="47:77" x14ac:dyDescent="0.25">
      <c r="AU982" s="53"/>
      <c r="AX982" s="53"/>
      <c r="AY982" s="379"/>
      <c r="AZ982" s="65"/>
      <c r="BA982" s="65"/>
      <c r="BB982" s="65"/>
      <c r="BC982" s="60"/>
      <c r="BD982" s="65"/>
      <c r="BE982" s="65"/>
      <c r="BF982" s="65"/>
      <c r="BG982" s="60"/>
      <c r="BI982" s="65"/>
      <c r="BJ982" s="65"/>
      <c r="BK982" s="65"/>
      <c r="BL982" s="65"/>
      <c r="BM982" s="65"/>
      <c r="BN982" s="65"/>
      <c r="BO982" s="65"/>
      <c r="BP982" s="65"/>
      <c r="BQ982" s="65"/>
      <c r="BR982" s="65"/>
      <c r="BS982" s="65"/>
      <c r="BT982" s="65"/>
      <c r="BU982" s="65"/>
      <c r="BV982" s="65"/>
      <c r="BW982" s="65"/>
      <c r="BX982" s="65"/>
      <c r="BY982" s="65"/>
    </row>
    <row r="983" spans="47:77" x14ac:dyDescent="0.25">
      <c r="AU983" s="53"/>
      <c r="AX983" s="53"/>
      <c r="AY983" s="379"/>
      <c r="AZ983" s="65"/>
      <c r="BA983" s="65"/>
      <c r="BB983" s="65"/>
      <c r="BC983" s="60"/>
      <c r="BD983" s="65"/>
      <c r="BE983" s="65"/>
      <c r="BF983" s="65"/>
      <c r="BG983" s="60"/>
      <c r="BI983" s="65"/>
      <c r="BJ983" s="65"/>
      <c r="BK983" s="65"/>
      <c r="BL983" s="65"/>
      <c r="BM983" s="65"/>
      <c r="BN983" s="65"/>
      <c r="BO983" s="65"/>
      <c r="BP983" s="65"/>
      <c r="BQ983" s="65"/>
      <c r="BR983" s="65"/>
      <c r="BS983" s="65"/>
      <c r="BT983" s="65"/>
      <c r="BU983" s="65"/>
      <c r="BV983" s="65"/>
      <c r="BW983" s="65"/>
      <c r="BX983" s="65"/>
      <c r="BY983" s="65"/>
    </row>
    <row r="984" spans="47:77" x14ac:dyDescent="0.25">
      <c r="AU984" s="53"/>
      <c r="AX984" s="53"/>
      <c r="AY984" s="379"/>
      <c r="AZ984" s="65"/>
      <c r="BA984" s="65"/>
      <c r="BB984" s="65"/>
      <c r="BC984" s="60"/>
      <c r="BD984" s="65"/>
      <c r="BE984" s="65"/>
      <c r="BF984" s="65"/>
      <c r="BG984" s="60"/>
      <c r="BI984" s="65"/>
      <c r="BJ984" s="65"/>
      <c r="BK984" s="65"/>
      <c r="BL984" s="65"/>
      <c r="BM984" s="65"/>
      <c r="BN984" s="65"/>
      <c r="BO984" s="65"/>
      <c r="BP984" s="65"/>
      <c r="BQ984" s="65"/>
      <c r="BR984" s="65"/>
      <c r="BS984" s="65"/>
      <c r="BT984" s="65"/>
      <c r="BU984" s="65"/>
      <c r="BV984" s="65"/>
      <c r="BW984" s="65"/>
      <c r="BX984" s="65"/>
      <c r="BY984" s="65"/>
    </row>
    <row r="985" spans="47:77" x14ac:dyDescent="0.25">
      <c r="AU985" s="53"/>
      <c r="AX985" s="53"/>
      <c r="AY985" s="379"/>
      <c r="AZ985" s="65"/>
      <c r="BA985" s="65"/>
      <c r="BB985" s="65"/>
      <c r="BC985" s="60"/>
      <c r="BD985" s="65"/>
      <c r="BE985" s="65"/>
      <c r="BF985" s="65"/>
      <c r="BG985" s="60"/>
      <c r="BI985" s="65"/>
      <c r="BJ985" s="65"/>
      <c r="BK985" s="65"/>
      <c r="BL985" s="65"/>
      <c r="BM985" s="65"/>
      <c r="BN985" s="65"/>
      <c r="BO985" s="65"/>
      <c r="BP985" s="65"/>
      <c r="BQ985" s="65"/>
      <c r="BR985" s="65"/>
      <c r="BS985" s="65"/>
      <c r="BT985" s="65"/>
      <c r="BU985" s="65"/>
      <c r="BV985" s="65"/>
      <c r="BW985" s="65"/>
      <c r="BX985" s="65"/>
      <c r="BY985" s="65"/>
    </row>
    <row r="986" spans="47:77" x14ac:dyDescent="0.25">
      <c r="AU986" s="53"/>
      <c r="AX986" s="53"/>
      <c r="AY986" s="379"/>
      <c r="AZ986" s="65"/>
      <c r="BA986" s="65"/>
      <c r="BB986" s="65"/>
      <c r="BC986" s="60"/>
      <c r="BD986" s="65"/>
      <c r="BE986" s="65"/>
      <c r="BF986" s="65"/>
      <c r="BG986" s="60"/>
      <c r="BI986" s="65"/>
      <c r="BJ986" s="65"/>
      <c r="BK986" s="65"/>
      <c r="BL986" s="65"/>
      <c r="BM986" s="65"/>
      <c r="BN986" s="65"/>
      <c r="BO986" s="65"/>
      <c r="BP986" s="65"/>
      <c r="BQ986" s="65"/>
      <c r="BR986" s="65"/>
      <c r="BS986" s="65"/>
      <c r="BT986" s="65"/>
      <c r="BU986" s="65"/>
      <c r="BV986" s="65"/>
      <c r="BW986" s="65"/>
      <c r="BX986" s="65"/>
      <c r="BY986" s="65"/>
    </row>
    <row r="987" spans="47:77" x14ac:dyDescent="0.25">
      <c r="AU987" s="53"/>
      <c r="AX987" s="53"/>
      <c r="AY987" s="379"/>
      <c r="AZ987" s="65"/>
      <c r="BA987" s="65"/>
      <c r="BB987" s="65"/>
      <c r="BC987" s="60"/>
      <c r="BD987" s="65"/>
      <c r="BE987" s="65"/>
      <c r="BF987" s="65"/>
      <c r="BG987" s="60"/>
      <c r="BI987" s="65"/>
      <c r="BJ987" s="65"/>
      <c r="BK987" s="65"/>
      <c r="BL987" s="65"/>
      <c r="BM987" s="65"/>
      <c r="BN987" s="65"/>
      <c r="BO987" s="65"/>
      <c r="BP987" s="65"/>
      <c r="BQ987" s="65"/>
      <c r="BR987" s="65"/>
      <c r="BS987" s="65"/>
      <c r="BT987" s="65"/>
      <c r="BU987" s="65"/>
      <c r="BV987" s="65"/>
      <c r="BW987" s="65"/>
      <c r="BX987" s="65"/>
      <c r="BY987" s="65"/>
    </row>
    <row r="988" spans="47:77" x14ac:dyDescent="0.25">
      <c r="AU988" s="53"/>
      <c r="AX988" s="53"/>
      <c r="AY988" s="379"/>
      <c r="AZ988" s="65"/>
      <c r="BA988" s="65"/>
      <c r="BB988" s="65"/>
      <c r="BC988" s="60"/>
      <c r="BD988" s="65"/>
      <c r="BE988" s="65"/>
      <c r="BF988" s="65"/>
      <c r="BG988" s="60"/>
      <c r="BI988" s="65"/>
      <c r="BJ988" s="65"/>
      <c r="BK988" s="65"/>
      <c r="BL988" s="65"/>
      <c r="BM988" s="65"/>
      <c r="BN988" s="65"/>
      <c r="BO988" s="65"/>
      <c r="BP988" s="65"/>
      <c r="BQ988" s="65"/>
      <c r="BR988" s="65"/>
      <c r="BS988" s="65"/>
      <c r="BT988" s="65"/>
      <c r="BU988" s="65"/>
      <c r="BV988" s="65"/>
      <c r="BW988" s="65"/>
      <c r="BX988" s="65"/>
      <c r="BY988" s="65"/>
    </row>
    <row r="989" spans="47:77" x14ac:dyDescent="0.25">
      <c r="AU989" s="53"/>
      <c r="AX989" s="53"/>
      <c r="AY989" s="379"/>
      <c r="AZ989" s="65"/>
      <c r="BA989" s="65"/>
      <c r="BB989" s="65"/>
      <c r="BC989" s="60"/>
      <c r="BD989" s="65"/>
      <c r="BE989" s="65"/>
      <c r="BF989" s="65"/>
      <c r="BG989" s="60"/>
      <c r="BI989" s="65"/>
      <c r="BJ989" s="65"/>
      <c r="BK989" s="65"/>
      <c r="BL989" s="65"/>
      <c r="BM989" s="65"/>
      <c r="BN989" s="65"/>
      <c r="BO989" s="65"/>
      <c r="BP989" s="65"/>
      <c r="BQ989" s="65"/>
      <c r="BR989" s="65"/>
      <c r="BS989" s="65"/>
      <c r="BT989" s="65"/>
      <c r="BU989" s="65"/>
      <c r="BV989" s="65"/>
      <c r="BW989" s="65"/>
      <c r="BX989" s="65"/>
      <c r="BY989" s="65"/>
    </row>
    <row r="990" spans="47:77" x14ac:dyDescent="0.25">
      <c r="AU990" s="53"/>
      <c r="AX990" s="53"/>
      <c r="AY990" s="379"/>
      <c r="AZ990" s="65"/>
      <c r="BA990" s="65"/>
      <c r="BB990" s="65"/>
      <c r="BC990" s="60"/>
      <c r="BD990" s="65"/>
      <c r="BE990" s="65"/>
      <c r="BF990" s="65"/>
      <c r="BG990" s="60"/>
      <c r="BI990" s="65"/>
      <c r="BJ990" s="65"/>
      <c r="BK990" s="65"/>
      <c r="BL990" s="65"/>
      <c r="BM990" s="65"/>
      <c r="BN990" s="65"/>
      <c r="BO990" s="65"/>
      <c r="BP990" s="65"/>
      <c r="BQ990" s="65"/>
      <c r="BR990" s="65"/>
      <c r="BS990" s="65"/>
      <c r="BT990" s="65"/>
      <c r="BU990" s="65"/>
      <c r="BV990" s="65"/>
      <c r="BW990" s="65"/>
      <c r="BX990" s="65"/>
      <c r="BY990" s="65"/>
    </row>
    <row r="991" spans="47:77" x14ac:dyDescent="0.25">
      <c r="AU991" s="53"/>
      <c r="AX991" s="53"/>
      <c r="AY991" s="379"/>
      <c r="AZ991" s="65"/>
      <c r="BA991" s="65"/>
      <c r="BB991" s="65"/>
      <c r="BC991" s="60"/>
      <c r="BD991" s="65"/>
      <c r="BE991" s="65"/>
      <c r="BF991" s="65"/>
      <c r="BG991" s="60"/>
      <c r="BI991" s="65"/>
      <c r="BJ991" s="65"/>
      <c r="BK991" s="65"/>
      <c r="BL991" s="65"/>
      <c r="BM991" s="65"/>
      <c r="BN991" s="65"/>
      <c r="BO991" s="65"/>
      <c r="BP991" s="65"/>
      <c r="BQ991" s="65"/>
      <c r="BR991" s="65"/>
      <c r="BS991" s="65"/>
      <c r="BT991" s="65"/>
      <c r="BU991" s="65"/>
      <c r="BV991" s="65"/>
      <c r="BW991" s="65"/>
      <c r="BX991" s="65"/>
      <c r="BY991" s="65"/>
    </row>
    <row r="992" spans="47:77" x14ac:dyDescent="0.25">
      <c r="AU992" s="53"/>
      <c r="AX992" s="53"/>
      <c r="AY992" s="379"/>
      <c r="AZ992" s="65"/>
      <c r="BA992" s="65"/>
      <c r="BB992" s="65"/>
      <c r="BC992" s="60"/>
      <c r="BD992" s="65"/>
      <c r="BE992" s="65"/>
      <c r="BF992" s="65"/>
      <c r="BG992" s="60"/>
      <c r="BI992" s="65"/>
      <c r="BJ992" s="65"/>
      <c r="BK992" s="65"/>
      <c r="BL992" s="65"/>
      <c r="BM992" s="65"/>
      <c r="BN992" s="65"/>
      <c r="BO992" s="65"/>
      <c r="BP992" s="65"/>
      <c r="BQ992" s="65"/>
      <c r="BR992" s="65"/>
      <c r="BS992" s="65"/>
      <c r="BT992" s="65"/>
      <c r="BU992" s="65"/>
      <c r="BV992" s="65"/>
      <c r="BW992" s="65"/>
      <c r="BX992" s="65"/>
      <c r="BY992" s="65"/>
    </row>
    <row r="993" spans="47:77" x14ac:dyDescent="0.25">
      <c r="AU993" s="53"/>
      <c r="AX993" s="53"/>
      <c r="AY993" s="379"/>
      <c r="AZ993" s="65"/>
      <c r="BA993" s="65"/>
      <c r="BB993" s="65"/>
      <c r="BC993" s="60"/>
      <c r="BD993" s="65"/>
      <c r="BE993" s="65"/>
      <c r="BF993" s="65"/>
      <c r="BG993" s="60"/>
      <c r="BI993" s="65"/>
      <c r="BJ993" s="65"/>
      <c r="BK993" s="65"/>
      <c r="BL993" s="65"/>
      <c r="BM993" s="65"/>
      <c r="BN993" s="65"/>
      <c r="BO993" s="65"/>
      <c r="BP993" s="65"/>
      <c r="BQ993" s="65"/>
      <c r="BR993" s="65"/>
      <c r="BS993" s="65"/>
      <c r="BT993" s="65"/>
      <c r="BU993" s="65"/>
      <c r="BV993" s="65"/>
      <c r="BW993" s="65"/>
      <c r="BX993" s="65"/>
      <c r="BY993" s="65"/>
    </row>
    <row r="994" spans="47:77" x14ac:dyDescent="0.25">
      <c r="AU994" s="53"/>
      <c r="AX994" s="53"/>
      <c r="AY994" s="379"/>
      <c r="AZ994" s="65"/>
      <c r="BA994" s="65"/>
      <c r="BB994" s="65"/>
      <c r="BC994" s="60"/>
      <c r="BD994" s="65"/>
      <c r="BE994" s="65"/>
      <c r="BF994" s="65"/>
      <c r="BG994" s="60"/>
      <c r="BI994" s="65"/>
      <c r="BJ994" s="65"/>
      <c r="BK994" s="65"/>
      <c r="BL994" s="65"/>
      <c r="BM994" s="65"/>
      <c r="BN994" s="65"/>
      <c r="BO994" s="65"/>
      <c r="BP994" s="65"/>
      <c r="BQ994" s="65"/>
      <c r="BR994" s="65"/>
      <c r="BS994" s="65"/>
      <c r="BT994" s="65"/>
      <c r="BU994" s="65"/>
      <c r="BV994" s="65"/>
      <c r="BW994" s="65"/>
      <c r="BX994" s="65"/>
      <c r="BY994" s="65"/>
    </row>
    <row r="995" spans="47:77" x14ac:dyDescent="0.25">
      <c r="AU995" s="53"/>
      <c r="AX995" s="53"/>
      <c r="AY995" s="379"/>
      <c r="AZ995" s="65"/>
      <c r="BA995" s="65"/>
      <c r="BB995" s="65"/>
      <c r="BC995" s="60"/>
      <c r="BD995" s="65"/>
      <c r="BE995" s="65"/>
      <c r="BF995" s="65"/>
      <c r="BG995" s="60"/>
      <c r="BI995" s="65"/>
      <c r="BJ995" s="65"/>
      <c r="BK995" s="65"/>
      <c r="BL995" s="65"/>
      <c r="BM995" s="65"/>
      <c r="BN995" s="65"/>
      <c r="BO995" s="65"/>
      <c r="BP995" s="65"/>
      <c r="BQ995" s="65"/>
      <c r="BR995" s="65"/>
      <c r="BS995" s="65"/>
      <c r="BT995" s="65"/>
      <c r="BU995" s="65"/>
      <c r="BV995" s="65"/>
      <c r="BW995" s="65"/>
      <c r="BX995" s="65"/>
      <c r="BY995" s="65"/>
    </row>
    <row r="996" spans="47:77" x14ac:dyDescent="0.25">
      <c r="AU996" s="53"/>
      <c r="AX996" s="53"/>
      <c r="AY996" s="379"/>
      <c r="AZ996" s="65"/>
      <c r="BA996" s="65"/>
      <c r="BB996" s="65"/>
      <c r="BC996" s="60"/>
      <c r="BD996" s="65"/>
      <c r="BE996" s="65"/>
      <c r="BF996" s="65"/>
      <c r="BG996" s="60"/>
      <c r="BI996" s="65"/>
      <c r="BJ996" s="65"/>
      <c r="BK996" s="65"/>
      <c r="BL996" s="65"/>
      <c r="BM996" s="65"/>
      <c r="BN996" s="65"/>
      <c r="BO996" s="65"/>
      <c r="BP996" s="65"/>
      <c r="BQ996" s="65"/>
      <c r="BR996" s="65"/>
      <c r="BS996" s="65"/>
      <c r="BT996" s="65"/>
      <c r="BU996" s="65"/>
      <c r="BV996" s="65"/>
      <c r="BW996" s="65"/>
      <c r="BX996" s="65"/>
      <c r="BY996" s="65"/>
    </row>
    <row r="997" spans="47:77" x14ac:dyDescent="0.25">
      <c r="AU997" s="53"/>
      <c r="AX997" s="53"/>
      <c r="AY997" s="379"/>
      <c r="AZ997" s="65"/>
      <c r="BA997" s="65"/>
      <c r="BB997" s="65"/>
      <c r="BC997" s="60"/>
      <c r="BD997" s="65"/>
      <c r="BE997" s="65"/>
      <c r="BF997" s="65"/>
      <c r="BG997" s="60"/>
      <c r="BI997" s="65"/>
      <c r="BJ997" s="65"/>
      <c r="BK997" s="65"/>
      <c r="BL997" s="65"/>
      <c r="BM997" s="65"/>
      <c r="BN997" s="65"/>
      <c r="BO997" s="65"/>
      <c r="BP997" s="65"/>
      <c r="BQ997" s="65"/>
      <c r="BR997" s="65"/>
      <c r="BS997" s="65"/>
      <c r="BT997" s="65"/>
      <c r="BU997" s="65"/>
      <c r="BV997" s="65"/>
      <c r="BW997" s="65"/>
      <c r="BX997" s="65"/>
      <c r="BY997" s="65"/>
    </row>
    <row r="998" spans="47:77" x14ac:dyDescent="0.25">
      <c r="AU998" s="53"/>
      <c r="AX998" s="53"/>
      <c r="AY998" s="379"/>
      <c r="AZ998" s="65"/>
      <c r="BA998" s="65"/>
      <c r="BB998" s="65"/>
      <c r="BC998" s="60"/>
      <c r="BD998" s="65"/>
      <c r="BE998" s="65"/>
      <c r="BF998" s="65"/>
      <c r="BG998" s="60"/>
      <c r="BI998" s="65"/>
      <c r="BJ998" s="65"/>
      <c r="BK998" s="65"/>
      <c r="BL998" s="65"/>
      <c r="BM998" s="65"/>
      <c r="BN998" s="65"/>
      <c r="BO998" s="65"/>
      <c r="BP998" s="65"/>
      <c r="BQ998" s="65"/>
      <c r="BR998" s="65"/>
      <c r="BS998" s="65"/>
      <c r="BT998" s="65"/>
      <c r="BU998" s="65"/>
      <c r="BV998" s="65"/>
      <c r="BW998" s="65"/>
      <c r="BX998" s="65"/>
      <c r="BY998" s="65"/>
    </row>
    <row r="999" spans="47:77" x14ac:dyDescent="0.25">
      <c r="AU999" s="53"/>
      <c r="AX999" s="53"/>
      <c r="AY999" s="379"/>
      <c r="AZ999" s="65"/>
      <c r="BA999" s="65"/>
      <c r="BB999" s="65"/>
      <c r="BC999" s="60"/>
      <c r="BD999" s="65"/>
      <c r="BE999" s="65"/>
      <c r="BF999" s="65"/>
      <c r="BG999" s="60"/>
      <c r="BI999" s="65"/>
      <c r="BJ999" s="65"/>
      <c r="BK999" s="65"/>
      <c r="BL999" s="65"/>
      <c r="BM999" s="65"/>
      <c r="BN999" s="65"/>
      <c r="BO999" s="65"/>
      <c r="BP999" s="65"/>
      <c r="BQ999" s="65"/>
      <c r="BR999" s="65"/>
      <c r="BS999" s="65"/>
      <c r="BT999" s="65"/>
      <c r="BU999" s="65"/>
      <c r="BV999" s="65"/>
      <c r="BW999" s="65"/>
      <c r="BX999" s="65"/>
      <c r="BY999" s="65"/>
    </row>
    <row r="1000" spans="47:77" x14ac:dyDescent="0.25">
      <c r="AU1000" s="53"/>
      <c r="AX1000" s="53"/>
      <c r="AY1000" s="379"/>
      <c r="AZ1000" s="65"/>
      <c r="BA1000" s="65"/>
      <c r="BB1000" s="65"/>
      <c r="BC1000" s="60"/>
      <c r="BD1000" s="65"/>
      <c r="BE1000" s="65"/>
      <c r="BF1000" s="65"/>
      <c r="BG1000" s="60"/>
      <c r="BI1000" s="65"/>
      <c r="BJ1000" s="65"/>
      <c r="BK1000" s="65"/>
      <c r="BL1000" s="65"/>
      <c r="BM1000" s="65"/>
      <c r="BN1000" s="65"/>
      <c r="BO1000" s="65"/>
      <c r="BP1000" s="65"/>
      <c r="BQ1000" s="65"/>
      <c r="BR1000" s="65"/>
      <c r="BS1000" s="65"/>
      <c r="BT1000" s="65"/>
      <c r="BU1000" s="65"/>
      <c r="BV1000" s="65"/>
      <c r="BW1000" s="65"/>
      <c r="BX1000" s="65"/>
      <c r="BY1000" s="65"/>
    </row>
    <row r="1001" spans="47:77" x14ac:dyDescent="0.25">
      <c r="AU1001" s="53"/>
      <c r="AX1001" s="53"/>
      <c r="AY1001" s="379"/>
      <c r="AZ1001" s="65"/>
      <c r="BA1001" s="65"/>
      <c r="BB1001" s="65"/>
      <c r="BC1001" s="60"/>
      <c r="BD1001" s="65"/>
      <c r="BE1001" s="65"/>
      <c r="BF1001" s="65"/>
      <c r="BG1001" s="60"/>
      <c r="BI1001" s="65"/>
      <c r="BJ1001" s="65"/>
      <c r="BK1001" s="65"/>
      <c r="BL1001" s="65"/>
      <c r="BM1001" s="65"/>
      <c r="BN1001" s="65"/>
      <c r="BO1001" s="65"/>
      <c r="BP1001" s="65"/>
      <c r="BQ1001" s="65"/>
      <c r="BR1001" s="65"/>
      <c r="BS1001" s="65"/>
      <c r="BT1001" s="65"/>
      <c r="BU1001" s="65"/>
      <c r="BV1001" s="65"/>
      <c r="BW1001" s="65"/>
      <c r="BX1001" s="65"/>
      <c r="BY1001" s="65"/>
    </row>
    <row r="1002" spans="47:77" x14ac:dyDescent="0.25">
      <c r="AY1002" s="379"/>
      <c r="AZ1002" s="65"/>
      <c r="BA1002" s="65"/>
      <c r="BB1002" s="65"/>
      <c r="BC1002" s="60"/>
      <c r="BD1002" s="65"/>
      <c r="BE1002" s="65"/>
      <c r="BF1002" s="65"/>
      <c r="BG1002" s="60"/>
      <c r="BI1002" s="55"/>
      <c r="BJ1002" s="55"/>
      <c r="BK1002" s="54"/>
      <c r="BO1002" s="55"/>
      <c r="BP1002" s="55"/>
      <c r="BQ1002" s="65"/>
      <c r="BR1002" s="55"/>
      <c r="BS1002" s="55"/>
      <c r="BT1002" s="54"/>
      <c r="BX1002" s="55"/>
      <c r="BY1002" s="55"/>
    </row>
    <row r="1003" spans="47:77" x14ac:dyDescent="0.25">
      <c r="AU1003" s="53"/>
      <c r="AW1003" s="54"/>
      <c r="AX1003" s="56"/>
      <c r="AY1003" s="379"/>
      <c r="AZ1003" s="65"/>
      <c r="BA1003" s="65"/>
      <c r="BB1003" s="65"/>
      <c r="BC1003" s="60"/>
      <c r="BD1003" s="65"/>
      <c r="BE1003" s="65"/>
      <c r="BF1003" s="65"/>
      <c r="BG1003" s="60"/>
      <c r="BI1003" s="67"/>
      <c r="BJ1003" s="65"/>
      <c r="BK1003" s="65"/>
      <c r="BL1003" s="65"/>
      <c r="BM1003" s="67"/>
      <c r="BN1003" s="68"/>
      <c r="BO1003" s="65"/>
      <c r="BP1003" s="67"/>
      <c r="BQ1003" s="65"/>
      <c r="BR1003" s="67"/>
      <c r="BS1003" s="65"/>
      <c r="BT1003" s="65"/>
      <c r="BU1003" s="65"/>
      <c r="BV1003" s="67"/>
      <c r="BW1003" s="68"/>
      <c r="BX1003" s="65"/>
      <c r="BY1003" s="67"/>
    </row>
    <row r="1004" spans="47:77" x14ac:dyDescent="0.25">
      <c r="AU1004" s="53"/>
      <c r="AX1004" s="56"/>
      <c r="AY1004" s="379"/>
      <c r="AZ1004" s="65"/>
      <c r="BA1004" s="65"/>
      <c r="BB1004" s="65"/>
      <c r="BC1004" s="60"/>
      <c r="BD1004" s="65"/>
      <c r="BE1004" s="65"/>
      <c r="BF1004" s="65"/>
      <c r="BG1004" s="60"/>
      <c r="BI1004" s="65"/>
      <c r="BJ1004" s="65"/>
      <c r="BK1004" s="65"/>
      <c r="BL1004" s="65"/>
      <c r="BM1004" s="65"/>
      <c r="BN1004" s="68"/>
      <c r="BO1004" s="65"/>
      <c r="BP1004" s="65"/>
      <c r="BQ1004" s="65"/>
      <c r="BR1004" s="65"/>
      <c r="BS1004" s="65"/>
      <c r="BT1004" s="65"/>
      <c r="BU1004" s="65"/>
      <c r="BV1004" s="65"/>
      <c r="BW1004" s="68"/>
      <c r="BX1004" s="65"/>
      <c r="BY1004" s="65"/>
    </row>
    <row r="1005" spans="47:77" x14ac:dyDescent="0.25">
      <c r="AU1005" s="53"/>
      <c r="AX1005" s="56"/>
      <c r="AY1005" s="379"/>
      <c r="AZ1005" s="65"/>
      <c r="BA1005" s="65"/>
      <c r="BB1005" s="65"/>
      <c r="BC1005" s="60"/>
      <c r="BD1005" s="65"/>
      <c r="BE1005" s="65"/>
      <c r="BF1005" s="65"/>
      <c r="BG1005" s="60"/>
      <c r="BI1005" s="65"/>
      <c r="BJ1005" s="65"/>
      <c r="BK1005" s="65"/>
      <c r="BL1005" s="65"/>
      <c r="BM1005" s="65"/>
      <c r="BN1005" s="68"/>
      <c r="BO1005" s="65"/>
      <c r="BP1005" s="65"/>
      <c r="BQ1005" s="65"/>
      <c r="BR1005" s="65"/>
      <c r="BS1005" s="65"/>
      <c r="BT1005" s="65"/>
      <c r="BU1005" s="65"/>
      <c r="BV1005" s="65"/>
      <c r="BW1005" s="68"/>
      <c r="BX1005" s="65"/>
      <c r="BY1005" s="65"/>
    </row>
    <row r="1006" spans="47:77" x14ac:dyDescent="0.25">
      <c r="AU1006" s="53"/>
      <c r="AX1006" s="56"/>
      <c r="AY1006" s="379"/>
      <c r="AZ1006" s="65"/>
      <c r="BA1006" s="65"/>
      <c r="BB1006" s="65"/>
      <c r="BC1006" s="60"/>
      <c r="BD1006" s="65"/>
      <c r="BE1006" s="65"/>
      <c r="BF1006" s="65"/>
      <c r="BG1006" s="60"/>
      <c r="BI1006" s="65"/>
      <c r="BJ1006" s="65"/>
      <c r="BK1006" s="65"/>
      <c r="BL1006" s="65"/>
      <c r="BM1006" s="65"/>
      <c r="BN1006" s="68"/>
      <c r="BO1006" s="65"/>
      <c r="BP1006" s="65"/>
      <c r="BQ1006" s="65"/>
      <c r="BR1006" s="65"/>
      <c r="BS1006" s="65"/>
      <c r="BT1006" s="65"/>
      <c r="BU1006" s="65"/>
      <c r="BV1006" s="65"/>
      <c r="BW1006" s="68"/>
      <c r="BX1006" s="65"/>
      <c r="BY1006" s="65"/>
    </row>
    <row r="1007" spans="47:77" x14ac:dyDescent="0.25">
      <c r="AZ1007" s="65"/>
      <c r="BA1007" s="65"/>
      <c r="BB1007" s="65"/>
      <c r="BC1007" s="60"/>
      <c r="BD1007" s="65"/>
      <c r="BE1007" s="65"/>
      <c r="BF1007" s="65"/>
      <c r="BG1007" s="60"/>
      <c r="BI1007" s="65"/>
      <c r="BJ1007" s="65"/>
      <c r="BK1007" s="65"/>
      <c r="BL1007" s="65"/>
      <c r="BM1007" s="65"/>
      <c r="BN1007" s="65"/>
      <c r="BO1007" s="65"/>
      <c r="BP1007" s="65"/>
      <c r="BQ1007" s="65"/>
      <c r="BR1007" s="65"/>
      <c r="BS1007" s="65"/>
      <c r="BT1007" s="65"/>
      <c r="BU1007" s="65"/>
      <c r="BV1007" s="65"/>
      <c r="BW1007" s="65"/>
      <c r="BX1007" s="65"/>
    </row>
    <row r="1008" spans="47:77" x14ac:dyDescent="0.25">
      <c r="AW1008" s="54"/>
    </row>
    <row r="1009" spans="47:76" x14ac:dyDescent="0.25">
      <c r="AW1009" s="54"/>
      <c r="BB1009" s="65"/>
      <c r="BC1009" s="60"/>
      <c r="BD1009" s="65"/>
      <c r="BE1009" s="65"/>
      <c r="BF1009" s="65"/>
      <c r="BG1009" s="60"/>
      <c r="BI1009" s="65"/>
      <c r="BJ1009" s="65"/>
      <c r="BK1009" s="65"/>
      <c r="BL1009" s="65"/>
      <c r="BM1009" s="65"/>
      <c r="BN1009" s="65"/>
      <c r="BO1009" s="65"/>
      <c r="BP1009" s="65"/>
      <c r="BQ1009" s="65"/>
      <c r="BR1009" s="65"/>
      <c r="BS1009" s="65"/>
      <c r="BT1009" s="65"/>
      <c r="BU1009" s="65"/>
      <c r="BV1009" s="65"/>
      <c r="BW1009" s="65"/>
      <c r="BX1009" s="65"/>
    </row>
    <row r="1010" spans="47:76" x14ac:dyDescent="0.25">
      <c r="AU1010" s="54"/>
      <c r="BB1010" s="65"/>
      <c r="BD1010" s="65"/>
    </row>
    <row r="1011" spans="47:76" x14ac:dyDescent="0.25">
      <c r="BA1011" s="53"/>
      <c r="BB1011" s="65"/>
      <c r="BD1011" s="65"/>
      <c r="BQ1011" s="65"/>
      <c r="BR1011" s="65"/>
      <c r="BS1011" s="65"/>
      <c r="BT1011" s="65"/>
      <c r="BU1011" s="65"/>
      <c r="BV1011" s="65"/>
      <c r="BW1011" s="65"/>
      <c r="BX1011" s="65"/>
    </row>
    <row r="1012" spans="47:76" x14ac:dyDescent="0.25">
      <c r="BA1012" s="65"/>
      <c r="BB1012" s="65"/>
      <c r="BD1012" s="65"/>
      <c r="BQ1012" s="65"/>
      <c r="BR1012" s="65"/>
      <c r="BS1012" s="65"/>
      <c r="BT1012" s="65"/>
      <c r="BU1012" s="65"/>
      <c r="BV1012" s="65"/>
      <c r="BW1012" s="65"/>
      <c r="BX1012" s="65"/>
    </row>
    <row r="1013" spans="47:76" x14ac:dyDescent="0.25">
      <c r="BA1013" s="54"/>
      <c r="BB1013" s="65"/>
      <c r="BD1013" s="65"/>
      <c r="BQ1013" s="65"/>
      <c r="BR1013" s="65"/>
      <c r="BS1013" s="65"/>
      <c r="BT1013" s="65"/>
      <c r="BU1013" s="65"/>
      <c r="BV1013" s="65"/>
      <c r="BW1013" s="65"/>
      <c r="BX1013" s="65"/>
    </row>
    <row r="1014" spans="47:76" x14ac:dyDescent="0.25">
      <c r="BA1014" s="54"/>
      <c r="BB1014" s="65"/>
      <c r="BD1014" s="65"/>
      <c r="BQ1014" s="65"/>
      <c r="BR1014" s="65"/>
      <c r="BS1014" s="65"/>
      <c r="BT1014" s="65"/>
      <c r="BU1014" s="65"/>
      <c r="BV1014" s="65"/>
      <c r="BW1014" s="65"/>
      <c r="BX1014" s="65"/>
    </row>
    <row r="1015" spans="47:76" x14ac:dyDescent="0.25">
      <c r="AU1015" s="53"/>
      <c r="BB1015" s="65"/>
      <c r="BD1015" s="65"/>
      <c r="BF1015" s="54"/>
      <c r="BQ1015" s="65"/>
      <c r="BR1015" s="65"/>
      <c r="BS1015" s="65"/>
      <c r="BT1015" s="65"/>
      <c r="BU1015" s="65"/>
      <c r="BV1015" s="65"/>
      <c r="BW1015" s="65"/>
      <c r="BX1015" s="65"/>
    </row>
    <row r="1016" spans="47:76" x14ac:dyDescent="0.25">
      <c r="AU1016" s="53"/>
      <c r="BB1016" s="65"/>
      <c r="BD1016" s="65"/>
      <c r="BF1016" s="54"/>
      <c r="BQ1016" s="65"/>
      <c r="BR1016" s="65"/>
      <c r="BS1016" s="65"/>
      <c r="BT1016" s="65"/>
      <c r="BU1016" s="65"/>
      <c r="BV1016" s="65"/>
      <c r="BW1016" s="65"/>
      <c r="BX1016" s="65"/>
    </row>
    <row r="1017" spans="47:76" x14ac:dyDescent="0.25">
      <c r="AU1017" s="54"/>
      <c r="BB1017" s="65"/>
      <c r="BD1017" s="65"/>
      <c r="BF1017" s="54"/>
      <c r="BQ1017" s="65"/>
      <c r="BR1017" s="65"/>
      <c r="BS1017" s="65"/>
      <c r="BT1017" s="65"/>
      <c r="BU1017" s="65"/>
      <c r="BV1017" s="65"/>
      <c r="BW1017" s="65"/>
      <c r="BX1017" s="65"/>
    </row>
    <row r="1018" spans="47:76" x14ac:dyDescent="0.25">
      <c r="BB1018" s="65"/>
      <c r="BD1018" s="65"/>
      <c r="BF1018" s="53"/>
      <c r="BQ1018" s="65"/>
      <c r="BR1018" s="65"/>
      <c r="BS1018" s="65"/>
      <c r="BT1018" s="65"/>
      <c r="BU1018" s="65"/>
      <c r="BV1018" s="65"/>
      <c r="BW1018" s="65"/>
      <c r="BX1018" s="65"/>
    </row>
    <row r="1019" spans="47:76" x14ac:dyDescent="0.25">
      <c r="AU1019" s="55"/>
      <c r="AV1019" s="55"/>
      <c r="AW1019" s="55"/>
      <c r="AX1019" s="55"/>
      <c r="AY1019" s="55"/>
      <c r="AZ1019" s="55"/>
      <c r="BA1019" s="55"/>
      <c r="BB1019" s="66"/>
      <c r="BC1019" s="55"/>
      <c r="BD1019" s="66"/>
      <c r="BE1019" s="55"/>
      <c r="BF1019" s="55"/>
      <c r="BG1019" s="55"/>
      <c r="BQ1019" s="65"/>
      <c r="BR1019" s="65"/>
      <c r="BS1019" s="65"/>
      <c r="BT1019" s="65"/>
      <c r="BU1019" s="65"/>
      <c r="BV1019" s="65"/>
      <c r="BW1019" s="65"/>
      <c r="BX1019" s="65"/>
    </row>
    <row r="1020" spans="47:76" x14ac:dyDescent="0.25">
      <c r="AZ1020" s="54"/>
      <c r="BB1020" s="65"/>
      <c r="BD1020" s="65"/>
      <c r="BQ1020" s="65"/>
      <c r="BR1020" s="65"/>
      <c r="BS1020" s="65"/>
      <c r="BT1020" s="65"/>
      <c r="BU1020" s="65"/>
      <c r="BV1020" s="65"/>
      <c r="BW1020" s="65"/>
      <c r="BX1020" s="65"/>
    </row>
    <row r="1021" spans="47:76" x14ac:dyDescent="0.25">
      <c r="AZ1021" s="55"/>
      <c r="BA1021" s="55"/>
      <c r="BB1021" s="66"/>
      <c r="BC1021" s="55"/>
      <c r="BD1021" s="65"/>
      <c r="BE1021" s="56"/>
      <c r="BF1021" s="56"/>
      <c r="BQ1021" s="65"/>
      <c r="BR1021" s="65"/>
      <c r="BS1021" s="65"/>
      <c r="BT1021" s="65"/>
      <c r="BU1021" s="65"/>
      <c r="BV1021" s="65"/>
      <c r="BW1021" s="65"/>
      <c r="BX1021" s="65"/>
    </row>
    <row r="1022" spans="47:76" x14ac:dyDescent="0.25">
      <c r="AX1022" s="56"/>
      <c r="AY1022" s="56"/>
      <c r="BB1022" s="67"/>
      <c r="BC1022" s="56"/>
      <c r="BD1022" s="65"/>
      <c r="BE1022" s="56"/>
      <c r="BF1022" s="56"/>
      <c r="BG1022" s="56"/>
      <c r="BI1022" s="55"/>
      <c r="BJ1022" s="54"/>
      <c r="BM1022" s="55"/>
      <c r="BO1022" s="55"/>
      <c r="BP1022" s="54"/>
      <c r="BS1022" s="55"/>
    </row>
    <row r="1023" spans="47:76" x14ac:dyDescent="0.25">
      <c r="AX1023" s="56"/>
      <c r="AY1023" s="56"/>
      <c r="AZ1023" s="56"/>
      <c r="BA1023" s="56"/>
      <c r="BB1023" s="67"/>
      <c r="BC1023" s="56"/>
      <c r="BD1023" s="67"/>
      <c r="BE1023" s="56"/>
      <c r="BF1023" s="56"/>
      <c r="BG1023" s="56"/>
      <c r="BJ1023" s="56"/>
      <c r="BK1023" s="56"/>
      <c r="BP1023" s="56"/>
      <c r="BQ1023" s="56"/>
    </row>
    <row r="1024" spans="47:76" x14ac:dyDescent="0.25">
      <c r="AU1024" s="56"/>
      <c r="AW1024" s="54"/>
      <c r="AX1024" s="56"/>
      <c r="AY1024" s="56"/>
      <c r="AZ1024" s="56"/>
      <c r="BA1024" s="56"/>
      <c r="BB1024" s="67"/>
      <c r="BC1024" s="56"/>
      <c r="BD1024" s="67"/>
      <c r="BE1024" s="56"/>
      <c r="BF1024" s="56"/>
      <c r="BG1024" s="56"/>
      <c r="BI1024" s="56"/>
      <c r="BJ1024" s="56"/>
      <c r="BK1024" s="56"/>
      <c r="BL1024" s="56"/>
      <c r="BM1024" s="56"/>
      <c r="BO1024" s="56"/>
      <c r="BP1024" s="56"/>
      <c r="BQ1024" s="56"/>
      <c r="BR1024" s="56"/>
      <c r="BS1024" s="56"/>
    </row>
    <row r="1025" spans="47:73" x14ac:dyDescent="0.25">
      <c r="AU1025" s="56"/>
      <c r="AW1025" s="54"/>
      <c r="AX1025" s="56"/>
      <c r="AY1025" s="56"/>
      <c r="AZ1025" s="56"/>
      <c r="BA1025" s="56"/>
      <c r="BB1025" s="67"/>
      <c r="BC1025" s="56"/>
      <c r="BD1025" s="67"/>
      <c r="BE1025" s="56"/>
      <c r="BF1025" s="56"/>
      <c r="BG1025" s="56"/>
      <c r="BI1025" s="56"/>
      <c r="BJ1025" s="56"/>
      <c r="BK1025" s="56"/>
      <c r="BL1025" s="56"/>
      <c r="BM1025" s="56"/>
      <c r="BO1025" s="56"/>
      <c r="BP1025" s="56"/>
      <c r="BQ1025" s="56"/>
      <c r="BR1025" s="56"/>
      <c r="BS1025" s="56"/>
    </row>
    <row r="1026" spans="47:73" x14ac:dyDescent="0.25">
      <c r="AU1026" s="55"/>
      <c r="AV1026" s="55"/>
      <c r="AW1026" s="55"/>
      <c r="AX1026" s="55"/>
      <c r="AY1026" s="55"/>
      <c r="AZ1026" s="55"/>
      <c r="BA1026" s="55"/>
      <c r="BB1026" s="66"/>
      <c r="BC1026" s="55"/>
      <c r="BD1026" s="66"/>
      <c r="BE1026" s="55"/>
      <c r="BF1026" s="55"/>
      <c r="BG1026" s="55"/>
      <c r="BI1026" s="55"/>
      <c r="BJ1026" s="55"/>
      <c r="BK1026" s="55"/>
      <c r="BL1026" s="55"/>
      <c r="BM1026" s="55"/>
      <c r="BO1026" s="55"/>
      <c r="BP1026" s="55"/>
      <c r="BQ1026" s="55"/>
      <c r="BR1026" s="55"/>
      <c r="BS1026" s="55"/>
    </row>
    <row r="1027" spans="47:73" x14ac:dyDescent="0.25">
      <c r="AX1027" s="56"/>
      <c r="AY1027" s="56"/>
      <c r="AZ1027" s="56"/>
      <c r="BA1027" s="56"/>
      <c r="BB1027" s="67"/>
      <c r="BC1027" s="56"/>
      <c r="BD1027" s="67"/>
      <c r="BE1027" s="56"/>
      <c r="BF1027" s="56"/>
      <c r="BG1027" s="56"/>
      <c r="BI1027" s="65"/>
      <c r="BJ1027" s="65"/>
      <c r="BK1027" s="65"/>
      <c r="BL1027" s="65"/>
      <c r="BM1027" s="65"/>
      <c r="BN1027" s="65"/>
      <c r="BO1027" s="65"/>
      <c r="BP1027" s="65"/>
      <c r="BQ1027" s="65"/>
      <c r="BR1027" s="65"/>
      <c r="BS1027" s="65"/>
    </row>
    <row r="1028" spans="47:73" x14ac:dyDescent="0.25">
      <c r="AU1028" s="53"/>
      <c r="AV1028" s="54"/>
      <c r="AX1028" s="379"/>
      <c r="AY1028" s="379"/>
      <c r="AZ1028" s="65"/>
      <c r="BA1028" s="65"/>
      <c r="BB1028" s="65"/>
      <c r="BC1028" s="60"/>
      <c r="BD1028" s="65"/>
      <c r="BE1028" s="65"/>
      <c r="BF1028" s="65"/>
      <c r="BG1028" s="60"/>
      <c r="BI1028" s="65"/>
      <c r="BJ1028" s="65"/>
      <c r="BK1028" s="65"/>
      <c r="BL1028" s="65"/>
      <c r="BM1028" s="65"/>
      <c r="BN1028" s="65"/>
      <c r="BO1028" s="65"/>
      <c r="BP1028" s="65"/>
      <c r="BQ1028" s="65"/>
      <c r="BR1028" s="65"/>
      <c r="BS1028" s="65"/>
      <c r="BT1028" s="65"/>
      <c r="BU1028" s="65"/>
    </row>
    <row r="1029" spans="47:73" x14ac:dyDescent="0.25">
      <c r="AU1029" s="53"/>
      <c r="AX1029" s="379"/>
      <c r="AY1029" s="379"/>
      <c r="AZ1029" s="65"/>
      <c r="BA1029" s="65"/>
      <c r="BB1029" s="65"/>
      <c r="BC1029" s="60"/>
      <c r="BD1029" s="65"/>
      <c r="BE1029" s="65"/>
      <c r="BF1029" s="65"/>
      <c r="BG1029" s="60"/>
      <c r="BI1029" s="65"/>
      <c r="BJ1029" s="65"/>
      <c r="BK1029" s="65"/>
      <c r="BL1029" s="65"/>
      <c r="BM1029" s="65"/>
      <c r="BN1029" s="65"/>
      <c r="BO1029" s="65"/>
      <c r="BP1029" s="65"/>
      <c r="BQ1029" s="65"/>
      <c r="BR1029" s="65"/>
      <c r="BS1029" s="65"/>
      <c r="BT1029" s="65"/>
      <c r="BU1029" s="65"/>
    </row>
    <row r="1030" spans="47:73" x14ac:dyDescent="0.25">
      <c r="AU1030" s="53"/>
      <c r="AX1030" s="379"/>
      <c r="AY1030" s="379"/>
      <c r="AZ1030" s="65"/>
      <c r="BA1030" s="65"/>
      <c r="BB1030" s="65"/>
      <c r="BC1030" s="60"/>
      <c r="BD1030" s="65"/>
      <c r="BE1030" s="65"/>
      <c r="BF1030" s="65"/>
      <c r="BG1030" s="60"/>
      <c r="BI1030" s="65"/>
      <c r="BJ1030" s="65"/>
      <c r="BK1030" s="65"/>
      <c r="BL1030" s="65"/>
      <c r="BM1030" s="65"/>
      <c r="BN1030" s="65"/>
      <c r="BO1030" s="65"/>
      <c r="BP1030" s="65"/>
      <c r="BQ1030" s="65"/>
      <c r="BR1030" s="65"/>
      <c r="BS1030" s="65"/>
      <c r="BT1030" s="65"/>
      <c r="BU1030" s="65"/>
    </row>
    <row r="1031" spans="47:73" x14ac:dyDescent="0.25">
      <c r="AU1031" s="53"/>
      <c r="AX1031" s="379"/>
      <c r="AY1031" s="379"/>
      <c r="AZ1031" s="65"/>
      <c r="BA1031" s="65"/>
      <c r="BB1031" s="65"/>
      <c r="BC1031" s="60"/>
      <c r="BD1031" s="65"/>
      <c r="BE1031" s="65"/>
      <c r="BF1031" s="65"/>
      <c r="BG1031" s="60"/>
      <c r="BI1031" s="65"/>
      <c r="BJ1031" s="65"/>
      <c r="BK1031" s="65"/>
      <c r="BL1031" s="65"/>
      <c r="BM1031" s="65"/>
      <c r="BN1031" s="65"/>
      <c r="BO1031" s="65"/>
      <c r="BP1031" s="65"/>
      <c r="BQ1031" s="65"/>
      <c r="BR1031" s="65"/>
      <c r="BS1031" s="65"/>
      <c r="BT1031" s="65"/>
      <c r="BU1031" s="65"/>
    </row>
    <row r="1032" spans="47:73" x14ac:dyDescent="0.25">
      <c r="AU1032" s="53"/>
      <c r="AX1032" s="379"/>
      <c r="AY1032" s="379"/>
      <c r="AZ1032" s="65"/>
      <c r="BA1032" s="65"/>
      <c r="BB1032" s="65"/>
      <c r="BC1032" s="60"/>
      <c r="BD1032" s="65"/>
      <c r="BE1032" s="65"/>
      <c r="BF1032" s="65"/>
      <c r="BG1032" s="60"/>
      <c r="BI1032" s="65"/>
      <c r="BJ1032" s="65"/>
      <c r="BK1032" s="65"/>
      <c r="BL1032" s="65"/>
      <c r="BM1032" s="65"/>
      <c r="BN1032" s="65"/>
      <c r="BO1032" s="65"/>
      <c r="BP1032" s="65"/>
      <c r="BQ1032" s="65"/>
      <c r="BR1032" s="65"/>
      <c r="BS1032" s="65"/>
      <c r="BT1032" s="65"/>
      <c r="BU1032" s="65"/>
    </row>
    <row r="1033" spans="47:73" x14ac:dyDescent="0.25">
      <c r="AU1033" s="53"/>
      <c r="AX1033" s="379"/>
      <c r="AY1033" s="379"/>
      <c r="AZ1033" s="65"/>
      <c r="BA1033" s="65"/>
      <c r="BB1033" s="65"/>
      <c r="BC1033" s="60"/>
      <c r="BD1033" s="65"/>
      <c r="BE1033" s="65"/>
      <c r="BF1033" s="65"/>
      <c r="BG1033" s="60"/>
      <c r="BI1033" s="65"/>
      <c r="BJ1033" s="65"/>
      <c r="BK1033" s="65"/>
      <c r="BL1033" s="65"/>
      <c r="BM1033" s="65"/>
      <c r="BN1033" s="65"/>
      <c r="BO1033" s="65"/>
      <c r="BP1033" s="65"/>
      <c r="BQ1033" s="65"/>
      <c r="BR1033" s="65"/>
      <c r="BS1033" s="65"/>
      <c r="BT1033" s="65"/>
      <c r="BU1033" s="65"/>
    </row>
    <row r="1034" spans="47:73" x14ac:dyDescent="0.25">
      <c r="AU1034" s="53"/>
      <c r="AX1034" s="379"/>
      <c r="AY1034" s="379"/>
      <c r="AZ1034" s="65"/>
      <c r="BA1034" s="65"/>
      <c r="BB1034" s="65"/>
      <c r="BC1034" s="60"/>
      <c r="BD1034" s="65"/>
      <c r="BE1034" s="65"/>
      <c r="BF1034" s="65"/>
      <c r="BG1034" s="60"/>
      <c r="BI1034" s="65"/>
      <c r="BJ1034" s="65"/>
      <c r="BK1034" s="65"/>
      <c r="BL1034" s="65"/>
      <c r="BM1034" s="65"/>
      <c r="BN1034" s="65"/>
      <c r="BO1034" s="65"/>
      <c r="BP1034" s="65"/>
      <c r="BQ1034" s="65"/>
      <c r="BR1034" s="65"/>
      <c r="BS1034" s="65"/>
      <c r="BT1034" s="65"/>
      <c r="BU1034" s="65"/>
    </row>
    <row r="1035" spans="47:73" x14ac:dyDescent="0.25">
      <c r="AU1035" s="53"/>
      <c r="AX1035" s="379"/>
      <c r="AY1035" s="379"/>
      <c r="AZ1035" s="65"/>
      <c r="BA1035" s="65"/>
      <c r="BB1035" s="65"/>
      <c r="BC1035" s="60"/>
      <c r="BD1035" s="65"/>
      <c r="BE1035" s="65"/>
      <c r="BF1035" s="65"/>
      <c r="BG1035" s="60"/>
      <c r="BI1035" s="65"/>
      <c r="BJ1035" s="65"/>
      <c r="BK1035" s="65"/>
      <c r="BL1035" s="65"/>
      <c r="BM1035" s="65"/>
      <c r="BN1035" s="65"/>
      <c r="BO1035" s="65"/>
      <c r="BP1035" s="65"/>
      <c r="BQ1035" s="65"/>
      <c r="BR1035" s="65"/>
      <c r="BS1035" s="65"/>
      <c r="BT1035" s="65"/>
      <c r="BU1035" s="65"/>
    </row>
    <row r="1036" spans="47:73" x14ac:dyDescent="0.25">
      <c r="AU1036" s="53"/>
      <c r="AX1036" s="379"/>
      <c r="AY1036" s="379"/>
      <c r="AZ1036" s="65"/>
      <c r="BA1036" s="65"/>
      <c r="BB1036" s="65"/>
      <c r="BC1036" s="60"/>
      <c r="BD1036" s="65"/>
      <c r="BE1036" s="65"/>
      <c r="BF1036" s="65"/>
      <c r="BG1036" s="60"/>
      <c r="BI1036" s="65"/>
      <c r="BJ1036" s="65"/>
      <c r="BK1036" s="65"/>
      <c r="BL1036" s="65"/>
      <c r="BM1036" s="65"/>
      <c r="BN1036" s="65"/>
      <c r="BO1036" s="65"/>
      <c r="BP1036" s="65"/>
      <c r="BQ1036" s="65"/>
      <c r="BR1036" s="65"/>
      <c r="BS1036" s="65"/>
      <c r="BT1036" s="65"/>
      <c r="BU1036" s="65"/>
    </row>
    <row r="1037" spans="47:73" x14ac:dyDescent="0.25">
      <c r="AU1037" s="53"/>
      <c r="AX1037" s="379"/>
      <c r="AY1037" s="379"/>
      <c r="AZ1037" s="65"/>
      <c r="BA1037" s="65"/>
      <c r="BB1037" s="65"/>
      <c r="BC1037" s="60"/>
      <c r="BD1037" s="65"/>
      <c r="BE1037" s="65"/>
      <c r="BF1037" s="65"/>
      <c r="BG1037" s="60"/>
      <c r="BI1037" s="65"/>
      <c r="BJ1037" s="65"/>
      <c r="BK1037" s="65"/>
      <c r="BL1037" s="65"/>
      <c r="BM1037" s="65"/>
      <c r="BN1037" s="65"/>
      <c r="BO1037" s="65"/>
      <c r="BP1037" s="65"/>
      <c r="BQ1037" s="65"/>
      <c r="BR1037" s="65"/>
      <c r="BS1037" s="65"/>
      <c r="BT1037" s="65"/>
      <c r="BU1037" s="65"/>
    </row>
    <row r="1038" spans="47:73" x14ac:dyDescent="0.25">
      <c r="AU1038" s="53"/>
      <c r="AX1038" s="379"/>
      <c r="AY1038" s="379"/>
      <c r="AZ1038" s="65"/>
      <c r="BA1038" s="65"/>
      <c r="BB1038" s="65"/>
      <c r="BC1038" s="60"/>
      <c r="BD1038" s="65"/>
      <c r="BE1038" s="65"/>
      <c r="BF1038" s="65"/>
      <c r="BG1038" s="60"/>
      <c r="BI1038" s="65"/>
      <c r="BJ1038" s="65"/>
      <c r="BK1038" s="65"/>
      <c r="BL1038" s="65"/>
      <c r="BM1038" s="65"/>
      <c r="BN1038" s="65"/>
      <c r="BO1038" s="65"/>
      <c r="BP1038" s="65"/>
      <c r="BQ1038" s="65"/>
      <c r="BR1038" s="65"/>
      <c r="BS1038" s="65"/>
      <c r="BT1038" s="65"/>
      <c r="BU1038" s="65"/>
    </row>
    <row r="1039" spans="47:73" x14ac:dyDescent="0.25">
      <c r="AU1039" s="53"/>
      <c r="AX1039" s="379"/>
      <c r="AY1039" s="379"/>
      <c r="AZ1039" s="65"/>
      <c r="BA1039" s="65"/>
      <c r="BB1039" s="65"/>
      <c r="BC1039" s="60"/>
      <c r="BD1039" s="65"/>
      <c r="BE1039" s="65"/>
      <c r="BF1039" s="65"/>
      <c r="BG1039" s="60"/>
      <c r="BI1039" s="65"/>
      <c r="BJ1039" s="65"/>
      <c r="BK1039" s="65"/>
      <c r="BL1039" s="65"/>
      <c r="BM1039" s="65"/>
      <c r="BN1039" s="65"/>
      <c r="BO1039" s="65"/>
      <c r="BP1039" s="65"/>
      <c r="BQ1039" s="65"/>
      <c r="BR1039" s="65"/>
      <c r="BS1039" s="65"/>
      <c r="BT1039" s="65"/>
      <c r="BU1039" s="65"/>
    </row>
    <row r="1040" spans="47:73" x14ac:dyDescent="0.25">
      <c r="AU1040" s="53"/>
      <c r="AX1040" s="379"/>
      <c r="AY1040" s="379"/>
      <c r="AZ1040" s="65"/>
      <c r="BA1040" s="65"/>
      <c r="BB1040" s="65"/>
      <c r="BC1040" s="60"/>
      <c r="BD1040" s="65"/>
      <c r="BE1040" s="65"/>
      <c r="BF1040" s="65"/>
      <c r="BG1040" s="60"/>
      <c r="BI1040" s="65"/>
      <c r="BJ1040" s="65"/>
      <c r="BK1040" s="65"/>
      <c r="BL1040" s="65"/>
      <c r="BM1040" s="65"/>
      <c r="BN1040" s="65"/>
      <c r="BO1040" s="65"/>
      <c r="BP1040" s="65"/>
      <c r="BQ1040" s="65"/>
      <c r="BR1040" s="65"/>
      <c r="BS1040" s="65"/>
      <c r="BT1040" s="65"/>
      <c r="BU1040" s="65"/>
    </row>
    <row r="1041" spans="47:73" x14ac:dyDescent="0.25">
      <c r="AU1041" s="53"/>
      <c r="AX1041" s="379"/>
      <c r="AY1041" s="379"/>
      <c r="AZ1041" s="65"/>
      <c r="BA1041" s="65"/>
      <c r="BB1041" s="65"/>
      <c r="BC1041" s="60"/>
      <c r="BD1041" s="65"/>
      <c r="BE1041" s="65"/>
      <c r="BF1041" s="65"/>
      <c r="BG1041" s="60"/>
      <c r="BI1041" s="65"/>
      <c r="BJ1041" s="65"/>
      <c r="BK1041" s="65"/>
      <c r="BL1041" s="65"/>
      <c r="BM1041" s="65"/>
      <c r="BN1041" s="65"/>
      <c r="BO1041" s="65"/>
      <c r="BP1041" s="65"/>
      <c r="BQ1041" s="65"/>
      <c r="BR1041" s="65"/>
      <c r="BS1041" s="65"/>
      <c r="BT1041" s="65"/>
      <c r="BU1041" s="65"/>
    </row>
    <row r="1042" spans="47:73" x14ac:dyDescent="0.25">
      <c r="AU1042" s="53"/>
      <c r="AX1042" s="379"/>
      <c r="AY1042" s="379"/>
      <c r="AZ1042" s="65"/>
      <c r="BA1042" s="65"/>
      <c r="BB1042" s="65"/>
      <c r="BC1042" s="60"/>
      <c r="BD1042" s="65"/>
      <c r="BE1042" s="65"/>
      <c r="BF1042" s="65"/>
      <c r="BG1042" s="60"/>
      <c r="BI1042" s="65"/>
      <c r="BJ1042" s="65"/>
      <c r="BK1042" s="65"/>
      <c r="BL1042" s="65"/>
      <c r="BM1042" s="65"/>
      <c r="BN1042" s="65"/>
      <c r="BO1042" s="65"/>
      <c r="BP1042" s="65"/>
      <c r="BQ1042" s="65"/>
      <c r="BR1042" s="65"/>
      <c r="BS1042" s="65"/>
      <c r="BT1042" s="65"/>
      <c r="BU1042" s="65"/>
    </row>
    <row r="1043" spans="47:73" x14ac:dyDescent="0.25">
      <c r="AU1043" s="53"/>
      <c r="AX1043" s="379"/>
      <c r="AY1043" s="379"/>
      <c r="AZ1043" s="65"/>
      <c r="BA1043" s="65"/>
      <c r="BB1043" s="65"/>
      <c r="BC1043" s="60"/>
      <c r="BD1043" s="65"/>
      <c r="BE1043" s="65"/>
      <c r="BF1043" s="65"/>
      <c r="BG1043" s="60"/>
      <c r="BI1043" s="65"/>
      <c r="BJ1043" s="65"/>
      <c r="BK1043" s="65"/>
      <c r="BL1043" s="65"/>
      <c r="BM1043" s="65"/>
      <c r="BN1043" s="65"/>
      <c r="BO1043" s="65"/>
      <c r="BP1043" s="65"/>
      <c r="BQ1043" s="65"/>
      <c r="BR1043" s="65"/>
      <c r="BS1043" s="65"/>
      <c r="BT1043" s="65"/>
      <c r="BU1043" s="65"/>
    </row>
    <row r="1044" spans="47:73" x14ac:dyDescent="0.25">
      <c r="AU1044" s="53"/>
      <c r="AX1044" s="379"/>
      <c r="AY1044" s="379"/>
      <c r="AZ1044" s="65"/>
      <c r="BA1044" s="65"/>
      <c r="BB1044" s="65"/>
      <c r="BC1044" s="60"/>
      <c r="BD1044" s="65"/>
      <c r="BE1044" s="65"/>
      <c r="BF1044" s="65"/>
      <c r="BG1044" s="60"/>
      <c r="BI1044" s="65"/>
      <c r="BJ1044" s="65"/>
      <c r="BK1044" s="65"/>
      <c r="BL1044" s="65"/>
      <c r="BM1044" s="65"/>
      <c r="BN1044" s="65"/>
      <c r="BO1044" s="65"/>
      <c r="BP1044" s="65"/>
      <c r="BQ1044" s="65"/>
      <c r="BR1044" s="65"/>
      <c r="BS1044" s="65"/>
      <c r="BT1044" s="65"/>
      <c r="BU1044" s="65"/>
    </row>
    <row r="1045" spans="47:73" x14ac:dyDescent="0.25">
      <c r="AU1045" s="53"/>
      <c r="AX1045" s="379"/>
      <c r="AY1045" s="379"/>
      <c r="AZ1045" s="65"/>
      <c r="BA1045" s="65"/>
      <c r="BB1045" s="65"/>
      <c r="BC1045" s="60"/>
      <c r="BD1045" s="65"/>
      <c r="BE1045" s="65"/>
      <c r="BF1045" s="65"/>
      <c r="BG1045" s="60"/>
      <c r="BI1045" s="65"/>
      <c r="BJ1045" s="65"/>
      <c r="BK1045" s="65"/>
      <c r="BL1045" s="65"/>
      <c r="BM1045" s="65"/>
      <c r="BN1045" s="65"/>
      <c r="BO1045" s="65"/>
      <c r="BP1045" s="65"/>
      <c r="BQ1045" s="65"/>
      <c r="BR1045" s="65"/>
      <c r="BS1045" s="65"/>
      <c r="BT1045" s="65"/>
      <c r="BU1045" s="65"/>
    </row>
    <row r="1046" spans="47:73" x14ac:dyDescent="0.25">
      <c r="BB1046" s="65"/>
      <c r="BD1046" s="65"/>
      <c r="BE1046" s="65"/>
      <c r="BF1046" s="65"/>
      <c r="BI1046" s="65"/>
      <c r="BJ1046" s="65"/>
      <c r="BK1046" s="65"/>
      <c r="BL1046" s="65"/>
      <c r="BM1046" s="65"/>
      <c r="BN1046" s="65"/>
      <c r="BO1046" s="65"/>
      <c r="BP1046" s="65"/>
      <c r="BQ1046" s="65"/>
      <c r="BR1046" s="65"/>
      <c r="BS1046" s="65"/>
      <c r="BT1046" s="65"/>
      <c r="BU1046" s="65"/>
    </row>
    <row r="1047" spans="47:73" x14ac:dyDescent="0.25">
      <c r="AU1047" s="53"/>
      <c r="AV1047" s="54"/>
      <c r="AX1047" s="379"/>
      <c r="AY1047" s="379"/>
      <c r="AZ1047" s="65"/>
      <c r="BA1047" s="65"/>
      <c r="BB1047" s="65"/>
      <c r="BC1047" s="60"/>
      <c r="BD1047" s="65"/>
      <c r="BE1047" s="65"/>
      <c r="BF1047" s="65"/>
      <c r="BG1047" s="60"/>
    </row>
    <row r="1048" spans="47:73" x14ac:dyDescent="0.25">
      <c r="AU1048" s="53"/>
      <c r="AX1048" s="379"/>
      <c r="AY1048" s="379"/>
      <c r="AZ1048" s="65"/>
      <c r="BA1048" s="65"/>
      <c r="BB1048" s="65"/>
      <c r="BC1048" s="60"/>
      <c r="BD1048" s="65"/>
      <c r="BE1048" s="65"/>
      <c r="BF1048" s="65"/>
      <c r="BG1048" s="60"/>
    </row>
    <row r="1049" spans="47:73" x14ac:dyDescent="0.25">
      <c r="AU1049" s="53"/>
      <c r="AX1049" s="379"/>
      <c r="AY1049" s="379"/>
      <c r="AZ1049" s="65"/>
      <c r="BA1049" s="65"/>
      <c r="BB1049" s="65"/>
      <c r="BC1049" s="60"/>
      <c r="BD1049" s="65"/>
      <c r="BE1049" s="65"/>
      <c r="BF1049" s="65"/>
      <c r="BG1049" s="60"/>
    </row>
    <row r="1050" spans="47:73" x14ac:dyDescent="0.25">
      <c r="AU1050" s="53"/>
      <c r="AX1050" s="379"/>
      <c r="AY1050" s="379"/>
      <c r="AZ1050" s="65"/>
      <c r="BA1050" s="65"/>
      <c r="BB1050" s="65"/>
      <c r="BC1050" s="60"/>
      <c r="BD1050" s="65"/>
      <c r="BE1050" s="65"/>
      <c r="BF1050" s="65"/>
      <c r="BG1050" s="60"/>
    </row>
    <row r="1051" spans="47:73" x14ac:dyDescent="0.25">
      <c r="AU1051" s="53"/>
      <c r="AX1051" s="379"/>
      <c r="AY1051" s="379"/>
      <c r="AZ1051" s="65"/>
      <c r="BA1051" s="65"/>
      <c r="BB1051" s="65"/>
      <c r="BC1051" s="60"/>
      <c r="BD1051" s="65"/>
      <c r="BE1051" s="65"/>
      <c r="BF1051" s="65"/>
      <c r="BG1051" s="60"/>
    </row>
    <row r="1052" spans="47:73" x14ac:dyDescent="0.25">
      <c r="AU1052" s="53"/>
      <c r="AX1052" s="379"/>
      <c r="AY1052" s="379"/>
      <c r="AZ1052" s="65"/>
      <c r="BA1052" s="65"/>
      <c r="BB1052" s="65"/>
      <c r="BC1052" s="60"/>
      <c r="BD1052" s="65"/>
      <c r="BE1052" s="65"/>
      <c r="BF1052" s="65"/>
      <c r="BG1052" s="60"/>
    </row>
    <row r="1053" spans="47:73" x14ac:dyDescent="0.25">
      <c r="AU1053" s="53"/>
      <c r="AX1053" s="379"/>
      <c r="AY1053" s="379"/>
      <c r="AZ1053" s="65"/>
      <c r="BA1053" s="65"/>
      <c r="BB1053" s="65"/>
      <c r="BC1053" s="60"/>
      <c r="BD1053" s="65"/>
      <c r="BE1053" s="65"/>
      <c r="BF1053" s="65"/>
      <c r="BG1053" s="60"/>
    </row>
    <row r="1054" spans="47:73" x14ac:dyDescent="0.25">
      <c r="AU1054" s="53"/>
      <c r="AX1054" s="379"/>
      <c r="AY1054" s="379"/>
      <c r="AZ1054" s="65"/>
      <c r="BA1054" s="65"/>
      <c r="BB1054" s="65"/>
      <c r="BC1054" s="60"/>
      <c r="BD1054" s="65"/>
      <c r="BE1054" s="65"/>
      <c r="BF1054" s="65"/>
      <c r="BG1054" s="60"/>
    </row>
    <row r="1055" spans="47:73" x14ac:dyDescent="0.25">
      <c r="AU1055" s="53"/>
      <c r="AX1055" s="379"/>
      <c r="AY1055" s="379"/>
      <c r="AZ1055" s="65"/>
      <c r="BA1055" s="65"/>
      <c r="BB1055" s="65"/>
      <c r="BC1055" s="60"/>
      <c r="BD1055" s="65"/>
      <c r="BE1055" s="65"/>
      <c r="BF1055" s="65"/>
      <c r="BG1055" s="60"/>
    </row>
    <row r="1056" spans="47:73" x14ac:dyDescent="0.25">
      <c r="AU1056" s="53"/>
      <c r="AX1056" s="379"/>
      <c r="AY1056" s="379"/>
      <c r="AZ1056" s="65"/>
      <c r="BA1056" s="65"/>
      <c r="BB1056" s="65"/>
      <c r="BC1056" s="60"/>
      <c r="BD1056" s="65"/>
      <c r="BE1056" s="65"/>
      <c r="BF1056" s="65"/>
      <c r="BG1056" s="60"/>
    </row>
    <row r="1057" spans="47:59" x14ac:dyDescent="0.25">
      <c r="AU1057" s="53"/>
      <c r="AX1057" s="379"/>
      <c r="AY1057" s="379"/>
      <c r="AZ1057" s="65"/>
      <c r="BA1057" s="65"/>
      <c r="BB1057" s="65"/>
      <c r="BC1057" s="60"/>
      <c r="BD1057" s="65"/>
      <c r="BE1057" s="65"/>
      <c r="BF1057" s="65"/>
      <c r="BG1057" s="60"/>
    </row>
    <row r="1058" spans="47:59" x14ac:dyDescent="0.25">
      <c r="AU1058" s="53"/>
      <c r="AX1058" s="379"/>
      <c r="AY1058" s="379"/>
      <c r="AZ1058" s="65"/>
      <c r="BA1058" s="65"/>
      <c r="BB1058" s="65"/>
      <c r="BC1058" s="60"/>
      <c r="BD1058" s="65"/>
      <c r="BE1058" s="65"/>
      <c r="BF1058" s="65"/>
      <c r="BG1058" s="60"/>
    </row>
    <row r="1059" spans="47:59" x14ac:dyDescent="0.25">
      <c r="AU1059" s="53"/>
      <c r="AX1059" s="379"/>
      <c r="AY1059" s="379"/>
      <c r="AZ1059" s="65"/>
      <c r="BA1059" s="65"/>
      <c r="BB1059" s="65"/>
      <c r="BC1059" s="60"/>
      <c r="BD1059" s="65"/>
      <c r="BE1059" s="65"/>
      <c r="BF1059" s="65"/>
      <c r="BG1059" s="60"/>
    </row>
    <row r="1060" spans="47:59" x14ac:dyDescent="0.25">
      <c r="AU1060" s="53"/>
      <c r="AX1060" s="379"/>
      <c r="AY1060" s="379"/>
      <c r="AZ1060" s="65"/>
      <c r="BA1060" s="65"/>
      <c r="BB1060" s="65"/>
      <c r="BC1060" s="60"/>
      <c r="BD1060" s="65"/>
      <c r="BE1060" s="65"/>
      <c r="BF1060" s="65"/>
      <c r="BG1060" s="60"/>
    </row>
    <row r="1061" spans="47:59" x14ac:dyDescent="0.25">
      <c r="AU1061" s="53"/>
      <c r="AX1061" s="379"/>
      <c r="AY1061" s="379"/>
      <c r="AZ1061" s="65"/>
      <c r="BA1061" s="65"/>
      <c r="BB1061" s="65"/>
      <c r="BC1061" s="60"/>
      <c r="BD1061" s="65"/>
      <c r="BE1061" s="65"/>
      <c r="BF1061" s="65"/>
      <c r="BG1061" s="60"/>
    </row>
    <row r="1062" spans="47:59" x14ac:dyDescent="0.25">
      <c r="AU1062" s="53"/>
      <c r="AX1062" s="379"/>
      <c r="AY1062" s="379"/>
      <c r="AZ1062" s="65"/>
      <c r="BA1062" s="65"/>
      <c r="BB1062" s="65"/>
      <c r="BC1062" s="60"/>
      <c r="BD1062" s="65"/>
      <c r="BE1062" s="65"/>
      <c r="BF1062" s="65"/>
      <c r="BG1062" s="60"/>
    </row>
    <row r="1063" spans="47:59" x14ac:dyDescent="0.25">
      <c r="AU1063" s="53"/>
      <c r="AX1063" s="379"/>
      <c r="AY1063" s="379"/>
      <c r="AZ1063" s="65"/>
      <c r="BA1063" s="65"/>
      <c r="BB1063" s="65"/>
      <c r="BC1063" s="60"/>
      <c r="BD1063" s="65"/>
      <c r="BE1063" s="65"/>
      <c r="BF1063" s="65"/>
      <c r="BG1063" s="60"/>
    </row>
    <row r="1064" spans="47:59" x14ac:dyDescent="0.25">
      <c r="AU1064" s="53"/>
      <c r="AX1064" s="379"/>
      <c r="AY1064" s="379"/>
      <c r="AZ1064" s="65"/>
      <c r="BA1064" s="65"/>
      <c r="BB1064" s="65"/>
      <c r="BC1064" s="60"/>
      <c r="BD1064" s="65"/>
      <c r="BE1064" s="65"/>
      <c r="BF1064" s="65"/>
      <c r="BG1064" s="60"/>
    </row>
    <row r="1065" spans="47:59" x14ac:dyDescent="0.25">
      <c r="BD1065" s="65"/>
    </row>
    <row r="1066" spans="47:59" x14ac:dyDescent="0.25">
      <c r="AW1066" s="54"/>
      <c r="BD1066" s="65"/>
    </row>
    <row r="1067" spans="47:59" x14ac:dyDescent="0.25">
      <c r="AW1067" s="54"/>
    </row>
    <row r="1068" spans="47:59" x14ac:dyDescent="0.25">
      <c r="AW1068" s="54"/>
      <c r="BD1068" s="65"/>
    </row>
    <row r="1069" spans="47:59" x14ac:dyDescent="0.25">
      <c r="AU1069" s="54"/>
      <c r="BB1069" s="65"/>
      <c r="BD1069" s="65"/>
    </row>
    <row r="1070" spans="47:59" x14ac:dyDescent="0.25">
      <c r="BA1070" s="53"/>
      <c r="BB1070" s="65"/>
      <c r="BD1070" s="65"/>
    </row>
    <row r="1071" spans="47:59" x14ac:dyDescent="0.25">
      <c r="BA1071" s="65"/>
      <c r="BB1071" s="65"/>
      <c r="BD1071" s="65"/>
    </row>
    <row r="1072" spans="47:59" x14ac:dyDescent="0.25">
      <c r="BA1072" s="54"/>
      <c r="BB1072" s="65"/>
      <c r="BD1072" s="65"/>
    </row>
    <row r="1073" spans="47:59" x14ac:dyDescent="0.25">
      <c r="BA1073" s="54"/>
      <c r="BB1073" s="65"/>
      <c r="BD1073" s="65"/>
    </row>
    <row r="1074" spans="47:59" x14ac:dyDescent="0.25">
      <c r="AU1074" s="53"/>
      <c r="BB1074" s="65"/>
      <c r="BD1074" s="65"/>
      <c r="BF1074" s="54"/>
    </row>
    <row r="1075" spans="47:59" x14ac:dyDescent="0.25">
      <c r="AU1075" s="53"/>
      <c r="BB1075" s="65"/>
      <c r="BD1075" s="65"/>
      <c r="BF1075" s="54"/>
    </row>
    <row r="1076" spans="47:59" x14ac:dyDescent="0.25">
      <c r="AU1076" s="54"/>
      <c r="BB1076" s="65"/>
      <c r="BD1076" s="65"/>
      <c r="BF1076" s="54"/>
    </row>
    <row r="1077" spans="47:59" x14ac:dyDescent="0.25">
      <c r="BB1077" s="65"/>
      <c r="BD1077" s="65"/>
      <c r="BF1077" s="53"/>
    </row>
    <row r="1078" spans="47:59" x14ac:dyDescent="0.25">
      <c r="AU1078" s="55"/>
      <c r="AV1078" s="55"/>
      <c r="AW1078" s="55"/>
      <c r="AX1078" s="55"/>
      <c r="AY1078" s="55"/>
      <c r="AZ1078" s="55"/>
      <c r="BA1078" s="55"/>
      <c r="BB1078" s="66"/>
      <c r="BC1078" s="55"/>
      <c r="BD1078" s="66"/>
      <c r="BE1078" s="55"/>
      <c r="BF1078" s="55"/>
      <c r="BG1078" s="55"/>
    </row>
    <row r="1079" spans="47:59" x14ac:dyDescent="0.25">
      <c r="AZ1079" s="54"/>
      <c r="BB1079" s="65"/>
      <c r="BD1079" s="65"/>
    </row>
    <row r="1080" spans="47:59" x14ac:dyDescent="0.25">
      <c r="AZ1080" s="55"/>
      <c r="BA1080" s="55"/>
      <c r="BB1080" s="66"/>
      <c r="BC1080" s="55"/>
      <c r="BD1080" s="65"/>
      <c r="BE1080" s="56"/>
      <c r="BF1080" s="56"/>
    </row>
    <row r="1081" spans="47:59" x14ac:dyDescent="0.25">
      <c r="AX1081" s="56"/>
      <c r="AY1081" s="56"/>
      <c r="BB1081" s="67"/>
      <c r="BC1081" s="56"/>
      <c r="BD1081" s="65"/>
      <c r="BE1081" s="56"/>
      <c r="BF1081" s="56"/>
      <c r="BG1081" s="56"/>
    </row>
    <row r="1082" spans="47:59" x14ac:dyDescent="0.25">
      <c r="AX1082" s="56"/>
      <c r="AY1082" s="56"/>
      <c r="AZ1082" s="56"/>
      <c r="BA1082" s="56"/>
      <c r="BB1082" s="67"/>
      <c r="BC1082" s="56"/>
      <c r="BD1082" s="67"/>
      <c r="BE1082" s="56"/>
      <c r="BF1082" s="56"/>
      <c r="BG1082" s="56"/>
    </row>
    <row r="1083" spans="47:59" x14ac:dyDescent="0.25">
      <c r="AU1083" s="56"/>
      <c r="AW1083" s="54"/>
      <c r="AX1083" s="56"/>
      <c r="AY1083" s="56"/>
      <c r="AZ1083" s="56"/>
      <c r="BA1083" s="56"/>
      <c r="BB1083" s="67"/>
      <c r="BC1083" s="56"/>
      <c r="BD1083" s="67"/>
      <c r="BE1083" s="56"/>
      <c r="BF1083" s="56"/>
      <c r="BG1083" s="56"/>
    </row>
    <row r="1084" spans="47:59" x14ac:dyDescent="0.25">
      <c r="AU1084" s="56"/>
      <c r="AW1084" s="54"/>
      <c r="AX1084" s="56"/>
      <c r="AY1084" s="56"/>
      <c r="AZ1084" s="56"/>
      <c r="BA1084" s="56"/>
      <c r="BB1084" s="67"/>
      <c r="BC1084" s="56"/>
      <c r="BD1084" s="67"/>
      <c r="BE1084" s="56"/>
      <c r="BF1084" s="56"/>
      <c r="BG1084" s="56"/>
    </row>
    <row r="1085" spans="47:59" x14ac:dyDescent="0.25">
      <c r="AU1085" s="55"/>
      <c r="AV1085" s="55"/>
      <c r="AW1085" s="55"/>
      <c r="AX1085" s="55"/>
      <c r="AY1085" s="55"/>
      <c r="AZ1085" s="55"/>
      <c r="BA1085" s="55"/>
      <c r="BB1085" s="66"/>
      <c r="BC1085" s="55"/>
      <c r="BD1085" s="66"/>
      <c r="BE1085" s="55"/>
      <c r="BF1085" s="55"/>
      <c r="BG1085" s="55"/>
    </row>
    <row r="1086" spans="47:59" x14ac:dyDescent="0.25">
      <c r="AX1086" s="56"/>
      <c r="AY1086" s="56"/>
      <c r="AZ1086" s="56"/>
      <c r="BA1086" s="56"/>
      <c r="BB1086" s="67"/>
      <c r="BC1086" s="56"/>
      <c r="BD1086" s="67"/>
      <c r="BE1086" s="56"/>
      <c r="BF1086" s="56"/>
      <c r="BG1086" s="56"/>
    </row>
    <row r="1087" spans="47:59" x14ac:dyDescent="0.25">
      <c r="AU1087" s="53"/>
      <c r="AV1087" s="54"/>
      <c r="AX1087" s="379"/>
      <c r="AY1087" s="379"/>
      <c r="AZ1087" s="65"/>
      <c r="BA1087" s="65"/>
      <c r="BB1087" s="65"/>
      <c r="BC1087" s="60"/>
      <c r="BD1087" s="65"/>
      <c r="BE1087" s="65"/>
      <c r="BF1087" s="65"/>
      <c r="BG1087" s="60"/>
    </row>
    <row r="1088" spans="47:59" x14ac:dyDescent="0.25">
      <c r="AU1088" s="53"/>
      <c r="AX1088" s="379"/>
      <c r="AY1088" s="379"/>
      <c r="AZ1088" s="65"/>
      <c r="BA1088" s="65"/>
      <c r="BB1088" s="65"/>
      <c r="BC1088" s="60"/>
      <c r="BD1088" s="65"/>
      <c r="BE1088" s="65"/>
      <c r="BF1088" s="65"/>
      <c r="BG1088" s="60"/>
    </row>
    <row r="1089" spans="47:59" x14ac:dyDescent="0.25">
      <c r="AU1089" s="53"/>
      <c r="AX1089" s="379"/>
      <c r="AY1089" s="379"/>
      <c r="AZ1089" s="65"/>
      <c r="BA1089" s="65"/>
      <c r="BB1089" s="65"/>
      <c r="BC1089" s="60"/>
      <c r="BD1089" s="65"/>
      <c r="BE1089" s="65"/>
      <c r="BF1089" s="65"/>
      <c r="BG1089" s="60"/>
    </row>
    <row r="1090" spans="47:59" x14ac:dyDescent="0.25">
      <c r="AU1090" s="53"/>
      <c r="AX1090" s="379"/>
      <c r="AY1090" s="379"/>
      <c r="AZ1090" s="65"/>
      <c r="BA1090" s="65"/>
      <c r="BB1090" s="65"/>
      <c r="BC1090" s="60"/>
      <c r="BD1090" s="65"/>
      <c r="BE1090" s="65"/>
      <c r="BF1090" s="65"/>
      <c r="BG1090" s="60"/>
    </row>
    <row r="1091" spans="47:59" x14ac:dyDescent="0.25">
      <c r="AU1091" s="53"/>
      <c r="AX1091" s="379"/>
      <c r="AY1091" s="379"/>
      <c r="AZ1091" s="65"/>
      <c r="BA1091" s="65"/>
      <c r="BB1091" s="65"/>
      <c r="BC1091" s="60"/>
      <c r="BD1091" s="65"/>
      <c r="BE1091" s="65"/>
      <c r="BF1091" s="65"/>
      <c r="BG1091" s="60"/>
    </row>
    <row r="1092" spans="47:59" x14ac:dyDescent="0.25">
      <c r="AU1092" s="53"/>
      <c r="AX1092" s="379"/>
      <c r="AY1092" s="379"/>
      <c r="AZ1092" s="65"/>
      <c r="BA1092" s="65"/>
      <c r="BB1092" s="65"/>
      <c r="BC1092" s="60"/>
      <c r="BD1092" s="65"/>
      <c r="BE1092" s="65"/>
      <c r="BF1092" s="65"/>
      <c r="BG1092" s="60"/>
    </row>
    <row r="1093" spans="47:59" x14ac:dyDescent="0.25">
      <c r="AU1093" s="53"/>
      <c r="AX1093" s="379"/>
      <c r="AY1093" s="379"/>
      <c r="AZ1093" s="65"/>
      <c r="BA1093" s="65"/>
      <c r="BB1093" s="65"/>
      <c r="BC1093" s="60"/>
      <c r="BD1093" s="65"/>
      <c r="BE1093" s="65"/>
      <c r="BF1093" s="65"/>
      <c r="BG1093" s="60"/>
    </row>
    <row r="1094" spans="47:59" x14ac:dyDescent="0.25">
      <c r="AU1094" s="53"/>
      <c r="AX1094" s="379"/>
      <c r="AY1094" s="379"/>
      <c r="AZ1094" s="65"/>
      <c r="BA1094" s="65"/>
      <c r="BB1094" s="65"/>
      <c r="BC1094" s="60"/>
      <c r="BD1094" s="65"/>
      <c r="BE1094" s="65"/>
      <c r="BF1094" s="65"/>
      <c r="BG1094" s="60"/>
    </row>
    <row r="1095" spans="47:59" x14ac:dyDescent="0.25">
      <c r="AU1095" s="53"/>
      <c r="AX1095" s="379"/>
      <c r="AY1095" s="379"/>
      <c r="AZ1095" s="65"/>
      <c r="BA1095" s="65"/>
      <c r="BB1095" s="65"/>
      <c r="BC1095" s="60"/>
      <c r="BD1095" s="65"/>
      <c r="BE1095" s="65"/>
      <c r="BF1095" s="65"/>
      <c r="BG1095" s="60"/>
    </row>
    <row r="1096" spans="47:59" x14ac:dyDescent="0.25">
      <c r="AU1096" s="53"/>
      <c r="AX1096" s="379"/>
      <c r="AY1096" s="379"/>
      <c r="AZ1096" s="65"/>
      <c r="BA1096" s="65"/>
      <c r="BB1096" s="65"/>
      <c r="BC1096" s="60"/>
      <c r="BD1096" s="65"/>
      <c r="BE1096" s="65"/>
      <c r="BF1096" s="65"/>
      <c r="BG1096" s="60"/>
    </row>
    <row r="1097" spans="47:59" x14ac:dyDescent="0.25">
      <c r="AX1097" s="379"/>
      <c r="AY1097" s="379"/>
      <c r="BD1097" s="65"/>
    </row>
    <row r="1098" spans="47:59" x14ac:dyDescent="0.25">
      <c r="AU1098" s="53"/>
      <c r="AV1098" s="54"/>
      <c r="AX1098" s="379"/>
      <c r="AY1098" s="379"/>
      <c r="AZ1098" s="65"/>
      <c r="BA1098" s="65"/>
      <c r="BB1098" s="65"/>
      <c r="BC1098" s="60"/>
      <c r="BD1098" s="65"/>
      <c r="BE1098" s="65"/>
      <c r="BF1098" s="65"/>
      <c r="BG1098" s="60"/>
    </row>
    <row r="1099" spans="47:59" x14ac:dyDescent="0.25">
      <c r="AU1099" s="53"/>
      <c r="AX1099" s="379"/>
      <c r="AY1099" s="379"/>
      <c r="AZ1099" s="65"/>
      <c r="BA1099" s="65"/>
      <c r="BB1099" s="65"/>
      <c r="BC1099" s="60"/>
      <c r="BD1099" s="65"/>
      <c r="BE1099" s="65"/>
      <c r="BF1099" s="65"/>
      <c r="BG1099" s="60"/>
    </row>
    <row r="1100" spans="47:59" x14ac:dyDescent="0.25">
      <c r="AU1100" s="53"/>
      <c r="AX1100" s="379"/>
      <c r="AY1100" s="379"/>
      <c r="AZ1100" s="65"/>
      <c r="BA1100" s="65"/>
      <c r="BB1100" s="65"/>
      <c r="BC1100" s="60"/>
      <c r="BD1100" s="65"/>
      <c r="BE1100" s="65"/>
      <c r="BF1100" s="65"/>
      <c r="BG1100" s="60"/>
    </row>
    <row r="1101" spans="47:59" x14ac:dyDescent="0.25">
      <c r="AU1101" s="53"/>
      <c r="AX1101" s="379"/>
      <c r="AY1101" s="379"/>
      <c r="AZ1101" s="65"/>
      <c r="BA1101" s="65"/>
      <c r="BB1101" s="65"/>
      <c r="BC1101" s="60"/>
      <c r="BD1101" s="65"/>
      <c r="BE1101" s="65"/>
      <c r="BF1101" s="65"/>
      <c r="BG1101" s="60"/>
    </row>
    <row r="1102" spans="47:59" x14ac:dyDescent="0.25">
      <c r="AU1102" s="53"/>
      <c r="AX1102" s="379"/>
      <c r="AY1102" s="379"/>
      <c r="AZ1102" s="65"/>
      <c r="BA1102" s="65"/>
      <c r="BB1102" s="65"/>
      <c r="BC1102" s="60"/>
      <c r="BD1102" s="65"/>
      <c r="BE1102" s="65"/>
      <c r="BF1102" s="65"/>
      <c r="BG1102" s="60"/>
    </row>
    <row r="1103" spans="47:59" x14ac:dyDescent="0.25">
      <c r="AU1103" s="53"/>
      <c r="AX1103" s="379"/>
      <c r="AY1103" s="379"/>
      <c r="AZ1103" s="65"/>
      <c r="BA1103" s="65"/>
      <c r="BB1103" s="65"/>
      <c r="BC1103" s="60"/>
      <c r="BD1103" s="65"/>
      <c r="BE1103" s="65"/>
      <c r="BF1103" s="65"/>
      <c r="BG1103" s="60"/>
    </row>
    <row r="1104" spans="47:59" x14ac:dyDescent="0.25">
      <c r="AU1104" s="53"/>
      <c r="AX1104" s="379"/>
      <c r="AY1104" s="379"/>
      <c r="AZ1104" s="65"/>
      <c r="BA1104" s="65"/>
      <c r="BB1104" s="65"/>
      <c r="BC1104" s="60"/>
      <c r="BD1104" s="65"/>
      <c r="BE1104" s="65"/>
      <c r="BF1104" s="65"/>
      <c r="BG1104" s="60"/>
    </row>
    <row r="1105" spans="47:59" x14ac:dyDescent="0.25">
      <c r="AU1105" s="53"/>
      <c r="AX1105" s="379"/>
      <c r="AY1105" s="379"/>
      <c r="AZ1105" s="65"/>
      <c r="BA1105" s="65"/>
      <c r="BB1105" s="65"/>
      <c r="BC1105" s="60"/>
      <c r="BD1105" s="65"/>
      <c r="BE1105" s="65"/>
      <c r="BF1105" s="65"/>
      <c r="BG1105" s="60"/>
    </row>
    <row r="1106" spans="47:59" x14ac:dyDescent="0.25">
      <c r="AU1106" s="53"/>
      <c r="AX1106" s="379"/>
      <c r="AY1106" s="379"/>
      <c r="AZ1106" s="65"/>
      <c r="BA1106" s="65"/>
      <c r="BB1106" s="65"/>
      <c r="BC1106" s="60"/>
      <c r="BD1106" s="65"/>
      <c r="BE1106" s="65"/>
      <c r="BF1106" s="65"/>
      <c r="BG1106" s="60"/>
    </row>
    <row r="1107" spans="47:59" x14ac:dyDescent="0.25">
      <c r="AU1107" s="53"/>
      <c r="AX1107" s="379"/>
      <c r="AY1107" s="379"/>
      <c r="AZ1107" s="65"/>
      <c r="BA1107" s="65"/>
      <c r="BB1107" s="65"/>
      <c r="BC1107" s="60"/>
      <c r="BD1107" s="65"/>
      <c r="BE1107" s="65"/>
      <c r="BF1107" s="65"/>
      <c r="BG1107" s="60"/>
    </row>
    <row r="1109" spans="47:59" x14ac:dyDescent="0.25">
      <c r="AW1109" s="54"/>
    </row>
    <row r="1110" spans="47:59" x14ac:dyDescent="0.25">
      <c r="AW1110" s="54"/>
    </row>
    <row r="1111" spans="47:59" x14ac:dyDescent="0.25">
      <c r="AW1111" s="54"/>
    </row>
    <row r="1112" spans="47:59" x14ac:dyDescent="0.25">
      <c r="AU1112" s="54"/>
    </row>
    <row r="1133" spans="54:73" x14ac:dyDescent="0.25">
      <c r="BB1133" s="65"/>
      <c r="BD1133" s="65"/>
      <c r="BE1133" s="65"/>
      <c r="BF1133" s="65"/>
      <c r="BI1133" s="65"/>
      <c r="BJ1133" s="65"/>
      <c r="BK1133" s="65"/>
      <c r="BL1133" s="65"/>
      <c r="BM1133" s="65"/>
      <c r="BN1133" s="65"/>
      <c r="BO1133" s="65"/>
      <c r="BP1133" s="65"/>
      <c r="BQ1133" s="65"/>
      <c r="BR1133" s="65"/>
      <c r="BS1133" s="65"/>
      <c r="BT1133" s="65"/>
      <c r="BU1133" s="65"/>
    </row>
    <row r="1134" spans="54:73" x14ac:dyDescent="0.25">
      <c r="BB1134" s="65"/>
      <c r="BD1134" s="65"/>
      <c r="BE1134" s="65"/>
      <c r="BF1134" s="65"/>
      <c r="BI1134" s="65"/>
      <c r="BJ1134" s="65"/>
      <c r="BK1134" s="65"/>
      <c r="BL1134" s="65"/>
      <c r="BM1134" s="65"/>
      <c r="BN1134" s="65"/>
      <c r="BO1134" s="65"/>
      <c r="BP1134" s="65"/>
      <c r="BQ1134" s="65"/>
      <c r="BR1134" s="65"/>
      <c r="BS1134" s="65"/>
      <c r="BT1134" s="65"/>
      <c r="BU1134" s="65"/>
    </row>
    <row r="1135" spans="54:73" x14ac:dyDescent="0.25">
      <c r="BB1135" s="65"/>
      <c r="BD1135" s="65"/>
      <c r="BE1135" s="65"/>
      <c r="BF1135" s="65"/>
      <c r="BI1135" s="65"/>
      <c r="BJ1135" s="65"/>
      <c r="BK1135" s="65"/>
      <c r="BL1135" s="65"/>
      <c r="BM1135" s="65"/>
      <c r="BN1135" s="65"/>
      <c r="BO1135" s="65"/>
      <c r="BP1135" s="65"/>
      <c r="BQ1135" s="65"/>
      <c r="BR1135" s="65"/>
      <c r="BS1135" s="65"/>
      <c r="BT1135" s="65"/>
      <c r="BU1135" s="65"/>
    </row>
    <row r="1136" spans="54:73" x14ac:dyDescent="0.25">
      <c r="BB1136" s="65"/>
      <c r="BD1136" s="65"/>
      <c r="BE1136" s="65"/>
      <c r="BF1136" s="65"/>
      <c r="BI1136" s="65"/>
      <c r="BJ1136" s="65"/>
      <c r="BK1136" s="65"/>
      <c r="BL1136" s="65"/>
      <c r="BM1136" s="65"/>
      <c r="BN1136" s="65"/>
      <c r="BO1136" s="65"/>
      <c r="BP1136" s="65"/>
      <c r="BQ1136" s="65"/>
      <c r="BR1136" s="65"/>
      <c r="BS1136" s="65"/>
      <c r="BT1136" s="65"/>
      <c r="BU1136" s="65"/>
    </row>
    <row r="1137" spans="54:73" x14ac:dyDescent="0.25">
      <c r="BB1137" s="65"/>
      <c r="BD1137" s="65"/>
      <c r="BE1137" s="65"/>
      <c r="BF1137" s="65"/>
      <c r="BI1137" s="65"/>
      <c r="BJ1137" s="65"/>
      <c r="BK1137" s="65"/>
      <c r="BL1137" s="65"/>
      <c r="BM1137" s="65"/>
      <c r="BN1137" s="65"/>
      <c r="BO1137" s="65"/>
      <c r="BP1137" s="65"/>
      <c r="BQ1137" s="65"/>
      <c r="BR1137" s="65"/>
      <c r="BS1137" s="65"/>
      <c r="BT1137" s="65"/>
      <c r="BU1137" s="65"/>
    </row>
    <row r="1138" spans="54:73" x14ac:dyDescent="0.25">
      <c r="BB1138" s="65"/>
      <c r="BD1138" s="65"/>
      <c r="BE1138" s="65"/>
      <c r="BF1138" s="65"/>
      <c r="BI1138" s="65"/>
      <c r="BJ1138" s="65"/>
      <c r="BK1138" s="65"/>
      <c r="BL1138" s="65"/>
      <c r="BM1138" s="65"/>
      <c r="BN1138" s="65"/>
      <c r="BO1138" s="65"/>
      <c r="BP1138" s="65"/>
      <c r="BQ1138" s="65"/>
      <c r="BR1138" s="65"/>
      <c r="BS1138" s="65"/>
      <c r="BT1138" s="65"/>
      <c r="BU1138" s="65"/>
    </row>
    <row r="1139" spans="54:73" x14ac:dyDescent="0.25">
      <c r="BB1139" s="65"/>
      <c r="BD1139" s="65"/>
      <c r="BE1139" s="65"/>
      <c r="BF1139" s="65"/>
      <c r="BI1139" s="65"/>
      <c r="BJ1139" s="65"/>
      <c r="BK1139" s="65"/>
      <c r="BL1139" s="65"/>
      <c r="BM1139" s="65"/>
      <c r="BN1139" s="65"/>
      <c r="BO1139" s="65"/>
      <c r="BP1139" s="65"/>
      <c r="BQ1139" s="65"/>
      <c r="BR1139" s="65"/>
      <c r="BS1139" s="65"/>
      <c r="BT1139" s="65"/>
      <c r="BU1139" s="65"/>
    </row>
    <row r="1140" spans="54:73" x14ac:dyDescent="0.25">
      <c r="BB1140" s="65"/>
      <c r="BD1140" s="65"/>
      <c r="BE1140" s="65"/>
      <c r="BF1140" s="65"/>
      <c r="BI1140" s="65"/>
      <c r="BJ1140" s="65"/>
      <c r="BK1140" s="65"/>
      <c r="BL1140" s="65"/>
      <c r="BM1140" s="65"/>
      <c r="BN1140" s="65"/>
      <c r="BO1140" s="65"/>
      <c r="BP1140" s="65"/>
      <c r="BQ1140" s="65"/>
      <c r="BR1140" s="65"/>
      <c r="BS1140" s="65"/>
      <c r="BT1140" s="65"/>
      <c r="BU1140" s="65"/>
    </row>
    <row r="1141" spans="54:73" x14ac:dyDescent="0.25">
      <c r="BB1141" s="65"/>
      <c r="BD1141" s="65"/>
      <c r="BE1141" s="65"/>
      <c r="BF1141" s="65"/>
      <c r="BI1141" s="65"/>
      <c r="BJ1141" s="65"/>
      <c r="BK1141" s="65"/>
      <c r="BL1141" s="65"/>
      <c r="BM1141" s="65"/>
      <c r="BN1141" s="65"/>
      <c r="BO1141" s="65"/>
      <c r="BP1141" s="65"/>
      <c r="BQ1141" s="65"/>
      <c r="BR1141" s="65"/>
      <c r="BS1141" s="65"/>
      <c r="BT1141" s="65"/>
      <c r="BU1141" s="65"/>
    </row>
    <row r="1142" spans="54:73" x14ac:dyDescent="0.25">
      <c r="BB1142" s="65"/>
      <c r="BD1142" s="65"/>
      <c r="BE1142" s="65"/>
      <c r="BF1142" s="65"/>
      <c r="BI1142" s="65"/>
      <c r="BJ1142" s="65"/>
      <c r="BK1142" s="65"/>
      <c r="BL1142" s="65"/>
      <c r="BM1142" s="65"/>
      <c r="BN1142" s="65"/>
      <c r="BO1142" s="65"/>
      <c r="BP1142" s="65"/>
      <c r="BQ1142" s="65"/>
      <c r="BR1142" s="65"/>
      <c r="BS1142" s="65"/>
      <c r="BT1142" s="65"/>
      <c r="BU1142" s="65"/>
    </row>
    <row r="1143" spans="54:73" x14ac:dyDescent="0.25">
      <c r="BB1143" s="65"/>
      <c r="BD1143" s="65"/>
      <c r="BE1143" s="65"/>
      <c r="BF1143" s="65"/>
      <c r="BI1143" s="65"/>
      <c r="BJ1143" s="65"/>
      <c r="BK1143" s="65"/>
      <c r="BL1143" s="65"/>
      <c r="BM1143" s="65"/>
      <c r="BN1143" s="65"/>
      <c r="BO1143" s="65"/>
      <c r="BP1143" s="65"/>
      <c r="BQ1143" s="65"/>
      <c r="BR1143" s="65"/>
      <c r="BS1143" s="65"/>
      <c r="BT1143" s="65"/>
      <c r="BU1143" s="65"/>
    </row>
    <row r="1144" spans="54:73" x14ac:dyDescent="0.25">
      <c r="BB1144" s="65"/>
      <c r="BD1144" s="65"/>
      <c r="BE1144" s="65"/>
      <c r="BF1144" s="65"/>
      <c r="BI1144" s="65"/>
      <c r="BJ1144" s="65"/>
      <c r="BK1144" s="65"/>
      <c r="BL1144" s="65"/>
      <c r="BM1144" s="65"/>
      <c r="BN1144" s="65"/>
      <c r="BO1144" s="65"/>
      <c r="BP1144" s="65"/>
      <c r="BQ1144" s="65"/>
      <c r="BR1144" s="65"/>
      <c r="BS1144" s="65"/>
      <c r="BT1144" s="65"/>
      <c r="BU1144" s="65"/>
    </row>
    <row r="1145" spans="54:73" x14ac:dyDescent="0.25">
      <c r="BB1145" s="65"/>
      <c r="BI1145" s="65"/>
      <c r="BJ1145" s="65"/>
      <c r="BK1145" s="65"/>
      <c r="BL1145" s="65"/>
      <c r="BM1145" s="65"/>
      <c r="BN1145" s="65"/>
      <c r="BO1145" s="65"/>
      <c r="BP1145" s="65"/>
      <c r="BQ1145" s="65"/>
      <c r="BR1145" s="65"/>
      <c r="BS1145" s="65"/>
      <c r="BT1145" s="65"/>
      <c r="BU1145" s="65"/>
    </row>
    <row r="1146" spans="54:73" x14ac:dyDescent="0.25">
      <c r="BB1146" s="65"/>
      <c r="BI1146" s="65"/>
      <c r="BJ1146" s="65"/>
      <c r="BK1146" s="65"/>
      <c r="BL1146" s="65"/>
      <c r="BM1146" s="65"/>
      <c r="BN1146" s="65"/>
      <c r="BO1146" s="65"/>
      <c r="BP1146" s="65"/>
      <c r="BQ1146" s="65"/>
      <c r="BR1146" s="65"/>
      <c r="BS1146" s="65"/>
      <c r="BT1146" s="65"/>
      <c r="BU1146" s="65"/>
    </row>
    <row r="1147" spans="54:73" x14ac:dyDescent="0.25">
      <c r="BB1147" s="65"/>
      <c r="BI1147" s="65"/>
      <c r="BJ1147" s="65"/>
      <c r="BK1147" s="65"/>
      <c r="BL1147" s="65"/>
      <c r="BM1147" s="65"/>
      <c r="BN1147" s="65"/>
      <c r="BO1147" s="65"/>
      <c r="BP1147" s="65"/>
      <c r="BQ1147" s="65"/>
      <c r="BR1147" s="65"/>
      <c r="BS1147" s="65"/>
      <c r="BT1147" s="65"/>
      <c r="BU1147" s="65"/>
    </row>
    <row r="1148" spans="54:73" x14ac:dyDescent="0.25">
      <c r="BB1148" s="65"/>
      <c r="BI1148" s="65"/>
      <c r="BJ1148" s="65"/>
      <c r="BK1148" s="65"/>
      <c r="BL1148" s="65"/>
      <c r="BM1148" s="65"/>
      <c r="BN1148" s="65"/>
      <c r="BO1148" s="65"/>
      <c r="BP1148" s="65"/>
      <c r="BQ1148" s="65"/>
      <c r="BR1148" s="65"/>
      <c r="BS1148" s="65"/>
      <c r="BT1148" s="65"/>
      <c r="BU1148" s="65"/>
    </row>
    <row r="1149" spans="54:73" x14ac:dyDescent="0.25">
      <c r="BB1149" s="65"/>
      <c r="BI1149" s="65"/>
      <c r="BJ1149" s="65"/>
      <c r="BK1149" s="65"/>
      <c r="BL1149" s="65"/>
      <c r="BM1149" s="65"/>
      <c r="BN1149" s="65"/>
      <c r="BO1149" s="65"/>
      <c r="BP1149" s="65"/>
      <c r="BQ1149" s="65"/>
      <c r="BR1149" s="65"/>
      <c r="BS1149" s="65"/>
      <c r="BT1149" s="65"/>
      <c r="BU1149" s="65"/>
    </row>
    <row r="1150" spans="54:73" x14ac:dyDescent="0.25">
      <c r="BB1150" s="65"/>
      <c r="BI1150" s="65"/>
      <c r="BJ1150" s="65"/>
      <c r="BK1150" s="65"/>
      <c r="BL1150" s="65"/>
      <c r="BM1150" s="65"/>
      <c r="BN1150" s="65"/>
      <c r="BO1150" s="65"/>
      <c r="BP1150" s="65"/>
      <c r="BQ1150" s="65"/>
      <c r="BR1150" s="65"/>
      <c r="BS1150" s="65"/>
      <c r="BT1150" s="65"/>
      <c r="BU1150" s="65"/>
    </row>
    <row r="1151" spans="54:73" x14ac:dyDescent="0.25">
      <c r="BB1151" s="65"/>
      <c r="BI1151" s="65"/>
      <c r="BJ1151" s="65"/>
      <c r="BK1151" s="65"/>
      <c r="BL1151" s="65"/>
      <c r="BM1151" s="65"/>
      <c r="BN1151" s="65"/>
      <c r="BO1151" s="65"/>
      <c r="BP1151" s="65"/>
      <c r="BQ1151" s="65"/>
      <c r="BR1151" s="65"/>
      <c r="BS1151" s="65"/>
      <c r="BT1151" s="65"/>
      <c r="BU1151" s="65"/>
    </row>
    <row r="1152" spans="54:73" x14ac:dyDescent="0.25">
      <c r="BB1152" s="65"/>
    </row>
    <row r="1153" spans="1:54" x14ac:dyDescent="0.25">
      <c r="BB1153" s="65"/>
    </row>
    <row r="1167" spans="1:54" x14ac:dyDescent="0.25">
      <c r="A1167" s="54"/>
    </row>
    <row r="1170" spans="1:30" x14ac:dyDescent="0.25">
      <c r="AA1170" s="54"/>
    </row>
    <row r="1171" spans="1:30" x14ac:dyDescent="0.25">
      <c r="A1171" s="54"/>
      <c r="H1171" s="54"/>
      <c r="I1171" s="54"/>
    </row>
    <row r="1172" spans="1:30" x14ac:dyDescent="0.25">
      <c r="A1172" s="54"/>
      <c r="V1172" s="56"/>
      <c r="AC1172" s="56"/>
      <c r="AD1172" s="56"/>
    </row>
    <row r="1173" spans="1:30" x14ac:dyDescent="0.25">
      <c r="A1173" s="54"/>
      <c r="V1173" s="55"/>
      <c r="AC1173" s="55"/>
      <c r="AD1173" s="55"/>
    </row>
    <row r="1174" spans="1:30" x14ac:dyDescent="0.25">
      <c r="A1174" s="54"/>
      <c r="U1174" s="54"/>
      <c r="AC1174" s="56"/>
      <c r="AD1174" s="56"/>
    </row>
    <row r="1175" spans="1:30" x14ac:dyDescent="0.25">
      <c r="A1175" s="54"/>
    </row>
    <row r="1176" spans="1:30" x14ac:dyDescent="0.25">
      <c r="A1176" s="54"/>
      <c r="U1176" s="54"/>
      <c r="AC1176" s="56"/>
      <c r="AD1176" s="56"/>
    </row>
    <row r="1177" spans="1:30" x14ac:dyDescent="0.25">
      <c r="A1177" s="54"/>
    </row>
    <row r="1178" spans="1:30" x14ac:dyDescent="0.25">
      <c r="A1178" s="54"/>
      <c r="U1178" s="54"/>
      <c r="V1178" s="480"/>
      <c r="AC1178" s="56"/>
      <c r="AD1178" s="56"/>
    </row>
    <row r="1179" spans="1:30" x14ac:dyDescent="0.25">
      <c r="A1179" s="54"/>
    </row>
    <row r="1180" spans="1:30" x14ac:dyDescent="0.25">
      <c r="A1180" s="54"/>
      <c r="U1180" s="54"/>
      <c r="AC1180" s="56"/>
      <c r="AD1180" s="56"/>
    </row>
    <row r="1181" spans="1:30" x14ac:dyDescent="0.25">
      <c r="A1181" s="54"/>
    </row>
    <row r="1182" spans="1:30" x14ac:dyDescent="0.25">
      <c r="A1182" s="54"/>
      <c r="U1182" s="54"/>
      <c r="AC1182" s="56"/>
      <c r="AD1182" s="56"/>
    </row>
    <row r="1183" spans="1:30" x14ac:dyDescent="0.25">
      <c r="A1183" s="54"/>
    </row>
    <row r="1184" spans="1:30" x14ac:dyDescent="0.25">
      <c r="A1184" s="54"/>
    </row>
    <row r="1185" spans="1:9" x14ac:dyDescent="0.25">
      <c r="A1185" s="54"/>
    </row>
    <row r="1186" spans="1:9" x14ac:dyDescent="0.25">
      <c r="A1186" s="54"/>
    </row>
    <row r="1187" spans="1:9" x14ac:dyDescent="0.25">
      <c r="A1187" s="54"/>
    </row>
    <row r="1188" spans="1:9" x14ac:dyDescent="0.25">
      <c r="A1188" s="54"/>
    </row>
    <row r="1189" spans="1:9" x14ac:dyDescent="0.25">
      <c r="A1189" s="54"/>
    </row>
    <row r="1190" spans="1:9" x14ac:dyDescent="0.25">
      <c r="A1190" s="54"/>
    </row>
    <row r="1191" spans="1:9" x14ac:dyDescent="0.25">
      <c r="A1191" s="54"/>
    </row>
    <row r="1192" spans="1:9" x14ac:dyDescent="0.25">
      <c r="A1192" s="54"/>
    </row>
    <row r="1193" spans="1:9" x14ac:dyDescent="0.25">
      <c r="A1193" s="54"/>
      <c r="H1193" s="54"/>
      <c r="I1193" s="54"/>
    </row>
    <row r="1196" spans="1:9" x14ac:dyDescent="0.25">
      <c r="A1196" s="54"/>
    </row>
    <row r="1199" spans="1:9" x14ac:dyDescent="0.25">
      <c r="A1199" s="54"/>
    </row>
    <row r="1202" spans="1:1" x14ac:dyDescent="0.25">
      <c r="A1202" s="54"/>
    </row>
    <row r="1203" spans="1:1" x14ac:dyDescent="0.25">
      <c r="A1203" s="54"/>
    </row>
    <row r="1204" spans="1:1" x14ac:dyDescent="0.25">
      <c r="A1204" s="54"/>
    </row>
    <row r="1205" spans="1:1" x14ac:dyDescent="0.25">
      <c r="A1205" s="54"/>
    </row>
    <row r="1206" spans="1:1" x14ac:dyDescent="0.25">
      <c r="A1206" s="54"/>
    </row>
    <row r="1207" spans="1:1" x14ac:dyDescent="0.25">
      <c r="A1207" s="54"/>
    </row>
    <row r="1208" spans="1:1" x14ac:dyDescent="0.25">
      <c r="A1208" s="54"/>
    </row>
    <row r="1209" spans="1:1" x14ac:dyDescent="0.25">
      <c r="A1209" s="54"/>
    </row>
    <row r="1210" spans="1:1" x14ac:dyDescent="0.25">
      <c r="A1210" s="54"/>
    </row>
    <row r="1211" spans="1:1" x14ac:dyDescent="0.25">
      <c r="A1211" s="54"/>
    </row>
    <row r="1212" spans="1:1" x14ac:dyDescent="0.25">
      <c r="A1212" s="54"/>
    </row>
    <row r="1213" spans="1:1" x14ac:dyDescent="0.25">
      <c r="A1213" s="54"/>
    </row>
    <row r="1214" spans="1:1" x14ac:dyDescent="0.25">
      <c r="A1214" s="54"/>
    </row>
    <row r="1215" spans="1:1" x14ac:dyDescent="0.25">
      <c r="A1215" s="54"/>
    </row>
    <row r="1216" spans="1:1" x14ac:dyDescent="0.25">
      <c r="A1216" s="54"/>
    </row>
    <row r="1217" spans="1:1" x14ac:dyDescent="0.25">
      <c r="A1217" s="54"/>
    </row>
    <row r="1218" spans="1:1" x14ac:dyDescent="0.25">
      <c r="A1218" s="54"/>
    </row>
    <row r="1219" spans="1:1" x14ac:dyDescent="0.25">
      <c r="A1219" s="54"/>
    </row>
    <row r="1220" spans="1:1" x14ac:dyDescent="0.25">
      <c r="A1220" s="54"/>
    </row>
    <row r="1221" spans="1:1" x14ac:dyDescent="0.25">
      <c r="A1221" s="54"/>
    </row>
    <row r="1222" spans="1:1" x14ac:dyDescent="0.25">
      <c r="A1222" s="54"/>
    </row>
    <row r="1223" spans="1:1" x14ac:dyDescent="0.25">
      <c r="A1223" s="54"/>
    </row>
    <row r="1224" spans="1:1" x14ac:dyDescent="0.25">
      <c r="A1224" s="54"/>
    </row>
    <row r="1225" spans="1:1" x14ac:dyDescent="0.25">
      <c r="A1225" s="54"/>
    </row>
    <row r="1226" spans="1:1" x14ac:dyDescent="0.25">
      <c r="A1226" s="54"/>
    </row>
    <row r="1227" spans="1:1" x14ac:dyDescent="0.25">
      <c r="A1227" s="54"/>
    </row>
    <row r="1228" spans="1:1" x14ac:dyDescent="0.25">
      <c r="A1228" s="54"/>
    </row>
    <row r="1229" spans="1:1" x14ac:dyDescent="0.25">
      <c r="A1229" s="54"/>
    </row>
    <row r="1230" spans="1:1" x14ac:dyDescent="0.25">
      <c r="A1230" s="54"/>
    </row>
    <row r="1231" spans="1:1" x14ac:dyDescent="0.25">
      <c r="A1231" s="54"/>
    </row>
    <row r="1232" spans="1:1" x14ac:dyDescent="0.25">
      <c r="A1232" s="54"/>
    </row>
    <row r="1233" spans="1:1" x14ac:dyDescent="0.25">
      <c r="A1233" s="54"/>
    </row>
    <row r="1234" spans="1:1" x14ac:dyDescent="0.25">
      <c r="A1234" s="54"/>
    </row>
    <row r="1235" spans="1:1" x14ac:dyDescent="0.25">
      <c r="A1235" s="54"/>
    </row>
    <row r="1236" spans="1:1" x14ac:dyDescent="0.25">
      <c r="A1236" s="54"/>
    </row>
    <row r="1241" spans="1:1" x14ac:dyDescent="0.25">
      <c r="A1241" s="54"/>
    </row>
    <row r="1242" spans="1:1" x14ac:dyDescent="0.25">
      <c r="A1242" s="54"/>
    </row>
    <row r="1245" spans="1:1" x14ac:dyDescent="0.25">
      <c r="A1245" s="54"/>
    </row>
    <row r="1247" spans="1:1" x14ac:dyDescent="0.25">
      <c r="A1247" s="54"/>
    </row>
    <row r="1249" spans="1:1" x14ac:dyDescent="0.25">
      <c r="A1249" s="54"/>
    </row>
    <row r="1251" spans="1:1" x14ac:dyDescent="0.25">
      <c r="A1251" s="54"/>
    </row>
    <row r="1254" spans="1:1" x14ac:dyDescent="0.25">
      <c r="A1254" s="54"/>
    </row>
    <row r="1255" spans="1:1" x14ac:dyDescent="0.25">
      <c r="A1255" s="54"/>
    </row>
    <row r="1256" spans="1:1" x14ac:dyDescent="0.25">
      <c r="A1256" s="54"/>
    </row>
    <row r="1257" spans="1:1" x14ac:dyDescent="0.25">
      <c r="A1257" s="54"/>
    </row>
    <row r="1258" spans="1:1" x14ac:dyDescent="0.25">
      <c r="A1258" s="54"/>
    </row>
    <row r="1259" spans="1:1" x14ac:dyDescent="0.25">
      <c r="A1259" s="54"/>
    </row>
    <row r="1260" spans="1:1" x14ac:dyDescent="0.25">
      <c r="A1260" s="54"/>
    </row>
    <row r="1261" spans="1:1" x14ac:dyDescent="0.25">
      <c r="A1261" s="54"/>
    </row>
  </sheetData>
  <mergeCells count="2">
    <mergeCell ref="T214:AQ214"/>
    <mergeCell ref="T280:AQ280"/>
  </mergeCells>
  <printOptions horizontalCentered="1"/>
  <pageMargins left="0.75" right="0.75" top="1" bottom="1" header="0.5" footer="0.5"/>
  <pageSetup scale="43" orientation="landscape" r:id="rId1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2" manualBreakCount="2">
    <brk id="68" max="17" man="1"/>
    <brk id="138" max="17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243"/>
  <sheetViews>
    <sheetView tabSelected="1" view="pageBreakPreview" zoomScale="60" zoomScaleNormal="75" workbookViewId="0">
      <selection sqref="A1:J1"/>
    </sheetView>
  </sheetViews>
  <sheetFormatPr defaultColWidth="8.88671875" defaultRowHeight="15" x14ac:dyDescent="0.2"/>
  <cols>
    <col min="1" max="1" width="4.21875" style="2" customWidth="1"/>
    <col min="2" max="2" width="1" style="2" customWidth="1"/>
    <col min="3" max="3" width="17" style="2" customWidth="1"/>
    <col min="4" max="4" width="8.88671875" style="2"/>
    <col min="5" max="5" width="11.88671875" style="2" customWidth="1"/>
    <col min="6" max="6" width="12.33203125" style="2" customWidth="1"/>
    <col min="7" max="7" width="12" style="2" customWidth="1"/>
    <col min="8" max="8" width="12.88671875" style="2" bestFit="1" customWidth="1"/>
    <col min="9" max="9" width="10.5546875" style="2" customWidth="1"/>
    <col min="10" max="10" width="1.6640625" style="2" customWidth="1"/>
    <col min="11" max="11" width="11.33203125" style="2" bestFit="1" customWidth="1"/>
    <col min="12" max="12" width="9.77734375" style="2" bestFit="1" customWidth="1"/>
    <col min="13" max="13" width="11.5546875" style="2" customWidth="1"/>
    <col min="14" max="14" width="11.6640625" style="2" customWidth="1"/>
    <col min="15" max="15" width="12.44140625" style="2" bestFit="1" customWidth="1"/>
    <col min="16" max="16" width="17" style="2" bestFit="1" customWidth="1"/>
    <col min="17" max="17" width="9.6640625" style="2" customWidth="1"/>
    <col min="18" max="16384" width="8.88671875" style="2"/>
  </cols>
  <sheetData>
    <row r="1" spans="1:17" ht="15.75" x14ac:dyDescent="0.25">
      <c r="A1" s="43" t="str">
        <f>NAME</f>
        <v>DUKE ENERGY KENTUCKY, INC.</v>
      </c>
      <c r="B1" s="43"/>
      <c r="C1" s="43"/>
      <c r="D1" s="43"/>
      <c r="E1" s="43"/>
      <c r="F1" s="43"/>
      <c r="G1" s="44"/>
      <c r="H1" s="43"/>
      <c r="I1" s="43"/>
      <c r="J1" s="43"/>
      <c r="K1" s="43"/>
      <c r="L1" s="43"/>
      <c r="M1" s="43"/>
      <c r="N1" s="43"/>
      <c r="O1" s="43"/>
      <c r="P1" s="43"/>
      <c r="Q1" s="43"/>
    </row>
    <row r="2" spans="1:17" ht="15.75" x14ac:dyDescent="0.25">
      <c r="A2" s="43" t="str">
        <f>CASE_NO</f>
        <v>CASE NO.   2019-000271</v>
      </c>
      <c r="B2" s="43"/>
      <c r="C2" s="43"/>
      <c r="D2" s="43"/>
      <c r="E2" s="43"/>
      <c r="F2" s="43"/>
      <c r="G2" s="44"/>
      <c r="H2" s="43"/>
      <c r="I2" s="43"/>
      <c r="J2" s="43"/>
      <c r="K2" s="43"/>
      <c r="L2" s="43"/>
      <c r="M2" s="43"/>
      <c r="N2" s="43"/>
      <c r="O2" s="43"/>
      <c r="P2" s="43"/>
      <c r="Q2" s="43"/>
    </row>
    <row r="3" spans="1:17" ht="15.75" x14ac:dyDescent="0.25">
      <c r="A3" s="44" t="s">
        <v>178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</row>
    <row r="4" spans="1:17" ht="15.75" x14ac:dyDescent="0.25">
      <c r="A4" s="44" t="str">
        <f>SERVICE</f>
        <v>(ELECTRIC SERVICE)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</row>
    <row r="5" spans="1:17" ht="15.75" x14ac:dyDescent="0.25">
      <c r="A5" s="46"/>
      <c r="B5" s="378"/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</row>
    <row r="6" spans="1:17" ht="15.75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46" t="s">
        <v>179</v>
      </c>
      <c r="Q6" s="378"/>
    </row>
    <row r="7" spans="1:17" ht="15.75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46" t="s">
        <v>105</v>
      </c>
      <c r="Q7" s="378"/>
    </row>
    <row r="8" spans="1:17" ht="15.75" x14ac:dyDescent="0.25">
      <c r="A8" s="46" t="s">
        <v>106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46" t="s">
        <v>3</v>
      </c>
      <c r="Q8" s="378"/>
    </row>
    <row r="9" spans="1:17" ht="15.75" x14ac:dyDescent="0.25">
      <c r="A9" s="218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45" t="str">
        <f>WIT</f>
        <v>J. L. Kern</v>
      </c>
      <c r="Q9" s="378"/>
    </row>
    <row r="10" spans="1:17" ht="15.75" customHeight="1" x14ac:dyDescent="0.2">
      <c r="A10" s="595" t="s">
        <v>499</v>
      </c>
      <c r="B10" s="595"/>
      <c r="C10" s="595"/>
      <c r="D10" s="595"/>
      <c r="E10" s="595"/>
      <c r="F10" s="595"/>
      <c r="G10" s="595"/>
      <c r="H10" s="595"/>
      <c r="I10" s="595"/>
      <c r="J10" s="595"/>
      <c r="K10" s="595"/>
      <c r="L10" s="595"/>
      <c r="M10" s="595"/>
      <c r="N10" s="595"/>
      <c r="O10" s="595"/>
      <c r="P10" s="595"/>
      <c r="Q10" s="595"/>
    </row>
    <row r="11" spans="1:17" ht="15.75" x14ac:dyDescent="0.2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</row>
    <row r="12" spans="1:17" ht="15.75" x14ac:dyDescent="0.25">
      <c r="A12" s="378"/>
      <c r="B12" s="378"/>
      <c r="C12" s="378"/>
      <c r="D12" s="378"/>
      <c r="E12" s="378"/>
      <c r="F12" s="378"/>
      <c r="G12" s="378"/>
      <c r="H12" s="378"/>
      <c r="I12" s="378"/>
      <c r="J12" s="378"/>
      <c r="K12" s="378"/>
      <c r="L12" s="378"/>
      <c r="M12" s="378"/>
      <c r="N12" s="378"/>
      <c r="O12" s="378"/>
      <c r="P12" s="378"/>
      <c r="Q12" s="378"/>
    </row>
    <row r="13" spans="1:17" ht="15.75" x14ac:dyDescent="0.25">
      <c r="A13" s="378"/>
      <c r="B13" s="378"/>
      <c r="C13" s="378"/>
      <c r="D13" s="378"/>
      <c r="E13" s="378"/>
      <c r="F13" s="15" t="s">
        <v>436</v>
      </c>
      <c r="G13" s="119"/>
      <c r="H13" s="119"/>
      <c r="I13" s="119"/>
      <c r="J13" s="57"/>
      <c r="K13" s="594" t="s">
        <v>418</v>
      </c>
      <c r="L13" s="594"/>
      <c r="M13" s="594"/>
      <c r="N13" s="594"/>
      <c r="O13" s="426" t="s">
        <v>11</v>
      </c>
      <c r="P13" s="426" t="s">
        <v>11</v>
      </c>
      <c r="Q13" s="378"/>
    </row>
    <row r="14" spans="1:17" ht="17.100000000000001" customHeight="1" x14ac:dyDescent="0.25">
      <c r="A14" s="378"/>
      <c r="B14" s="378"/>
      <c r="C14" s="378"/>
      <c r="D14" s="426" t="s">
        <v>107</v>
      </c>
      <c r="E14" s="426" t="s">
        <v>107</v>
      </c>
      <c r="F14" s="378"/>
      <c r="G14" s="378"/>
      <c r="H14" s="426" t="s">
        <v>108</v>
      </c>
      <c r="I14" s="426" t="s">
        <v>109</v>
      </c>
      <c r="J14" s="426"/>
      <c r="K14" s="378"/>
      <c r="L14" s="378"/>
      <c r="N14" s="378"/>
      <c r="O14" s="426" t="s">
        <v>8</v>
      </c>
      <c r="P14" s="426" t="s">
        <v>6</v>
      </c>
      <c r="Q14" s="426" t="s">
        <v>109</v>
      </c>
    </row>
    <row r="15" spans="1:17" ht="15.75" x14ac:dyDescent="0.25">
      <c r="A15" s="378"/>
      <c r="B15" s="378"/>
      <c r="C15" s="378"/>
      <c r="D15" s="426" t="s">
        <v>110</v>
      </c>
      <c r="E15" s="426" t="s">
        <v>110</v>
      </c>
      <c r="F15" s="426" t="s">
        <v>8</v>
      </c>
      <c r="G15" s="426" t="s">
        <v>6</v>
      </c>
      <c r="H15" s="426" t="s">
        <v>111</v>
      </c>
      <c r="I15" s="426" t="s">
        <v>111</v>
      </c>
      <c r="J15" s="426"/>
      <c r="K15" s="426" t="s">
        <v>264</v>
      </c>
      <c r="L15" s="426" t="s">
        <v>264</v>
      </c>
      <c r="M15" s="426" t="s">
        <v>264</v>
      </c>
      <c r="N15" s="426" t="s">
        <v>264</v>
      </c>
      <c r="O15" s="426" t="s">
        <v>113</v>
      </c>
      <c r="P15" s="426" t="s">
        <v>113</v>
      </c>
      <c r="Q15" s="426" t="s">
        <v>111</v>
      </c>
    </row>
    <row r="16" spans="1:17" ht="15.75" x14ac:dyDescent="0.25">
      <c r="A16" s="426" t="s">
        <v>17</v>
      </c>
      <c r="B16" s="378"/>
      <c r="C16" s="46" t="s">
        <v>18</v>
      </c>
      <c r="D16" s="426" t="s">
        <v>115</v>
      </c>
      <c r="E16" s="426" t="s">
        <v>116</v>
      </c>
      <c r="F16" s="70" t="s">
        <v>703</v>
      </c>
      <c r="G16" s="70" t="s">
        <v>703</v>
      </c>
      <c r="H16" s="265" t="s">
        <v>117</v>
      </c>
      <c r="I16" s="265" t="s">
        <v>118</v>
      </c>
      <c r="J16" s="426"/>
      <c r="K16" s="426" t="s">
        <v>420</v>
      </c>
      <c r="L16" s="70" t="s">
        <v>268</v>
      </c>
      <c r="M16" s="426" t="s">
        <v>641</v>
      </c>
      <c r="N16" s="70" t="s">
        <v>419</v>
      </c>
      <c r="O16" s="439" t="s">
        <v>822</v>
      </c>
      <c r="P16" s="439" t="s">
        <v>823</v>
      </c>
      <c r="Q16" s="439" t="s">
        <v>824</v>
      </c>
    </row>
    <row r="17" spans="1:17" ht="15.75" x14ac:dyDescent="0.25">
      <c r="A17" s="80" t="s">
        <v>24</v>
      </c>
      <c r="B17" s="71"/>
      <c r="C17" s="120" t="s">
        <v>25</v>
      </c>
      <c r="D17" s="430" t="s">
        <v>35</v>
      </c>
      <c r="E17" s="430" t="s">
        <v>36</v>
      </c>
      <c r="F17" s="430" t="s">
        <v>37</v>
      </c>
      <c r="G17" s="430" t="s">
        <v>38</v>
      </c>
      <c r="H17" s="430" t="s">
        <v>39</v>
      </c>
      <c r="I17" s="430" t="s">
        <v>40</v>
      </c>
      <c r="J17" s="430"/>
      <c r="K17" s="430" t="s">
        <v>41</v>
      </c>
      <c r="L17" s="430" t="s">
        <v>42</v>
      </c>
      <c r="M17" s="430" t="s">
        <v>43</v>
      </c>
      <c r="N17" s="429" t="s">
        <v>44</v>
      </c>
      <c r="O17" s="429" t="s">
        <v>45</v>
      </c>
      <c r="P17" s="429" t="s">
        <v>46</v>
      </c>
      <c r="Q17" s="429" t="s">
        <v>47</v>
      </c>
    </row>
    <row r="18" spans="1:17" ht="15.75" x14ac:dyDescent="0.25">
      <c r="A18" s="378"/>
      <c r="B18" s="378"/>
      <c r="C18" s="378"/>
      <c r="D18" s="441" t="s">
        <v>124</v>
      </c>
      <c r="E18" s="441" t="s">
        <v>51</v>
      </c>
      <c r="F18" s="441" t="s">
        <v>52</v>
      </c>
      <c r="G18" s="441" t="s">
        <v>52</v>
      </c>
      <c r="H18" s="441" t="s">
        <v>52</v>
      </c>
      <c r="I18" s="441" t="s">
        <v>53</v>
      </c>
      <c r="J18" s="441"/>
      <c r="K18" s="441" t="s">
        <v>52</v>
      </c>
      <c r="L18" s="441" t="s">
        <v>52</v>
      </c>
      <c r="M18" s="441" t="s">
        <v>52</v>
      </c>
      <c r="N18" s="441" t="s">
        <v>52</v>
      </c>
      <c r="O18" s="441" t="s">
        <v>52</v>
      </c>
      <c r="P18" s="441" t="s">
        <v>52</v>
      </c>
      <c r="Q18" s="441" t="s">
        <v>53</v>
      </c>
    </row>
    <row r="19" spans="1:17" ht="15.75" x14ac:dyDescent="0.25">
      <c r="A19" s="1">
        <v>1</v>
      </c>
      <c r="C19" s="46" t="s">
        <v>54</v>
      </c>
      <c r="D19" s="426"/>
      <c r="G19" s="9"/>
    </row>
    <row r="20" spans="1:17" x14ac:dyDescent="0.2">
      <c r="A20" s="1">
        <v>2</v>
      </c>
      <c r="D20" s="4" t="s">
        <v>125</v>
      </c>
      <c r="E20" s="5">
        <v>300</v>
      </c>
      <c r="F20" s="7">
        <f t="shared" ref="F20:F26" si="0">ROUND((E20*CUR_RS_ENERGY)+CUR_RS_CUST,2)+DSM_RS_CUST</f>
        <v>32.6</v>
      </c>
      <c r="G20" s="7">
        <f t="shared" ref="G20:G26" si="1">ROUND((E20*PRO_RS_ENERGY)+PRO_RS_CUST,2)+DSM_RS_CUST</f>
        <v>39.380000000000003</v>
      </c>
      <c r="H20" s="7">
        <f t="shared" ref="H20:H26" si="2">G20-F20</f>
        <v>6.7800000000000011</v>
      </c>
      <c r="I20" s="6">
        <f t="shared" ref="I20:I26" si="3">ROUND(H20/F20,3)*100</f>
        <v>20.8</v>
      </c>
      <c r="J20" s="6"/>
      <c r="K20" s="7">
        <f t="shared" ref="K20:K26" si="4">ROUND(E20*CUR_FAC,2)</f>
        <v>0.2</v>
      </c>
      <c r="L20" s="7">
        <f t="shared" ref="L20:L26" si="5">ROUND(E20*DSM_RES,2)</f>
        <v>0.91</v>
      </c>
      <c r="M20" s="7">
        <f t="shared" ref="M20:M26" si="6">ROUND((F20+$K20+$L20+$N20)*PRO_ESM,2)</f>
        <v>3.96</v>
      </c>
      <c r="N20" s="7">
        <f t="shared" ref="N20:N26" si="7">ROUND(E20*RS_PSM,2)</f>
        <v>-0.05</v>
      </c>
      <c r="O20" s="7">
        <f t="shared" ref="O20:O26" si="8">F20+K20+L20+M20+N20</f>
        <v>37.620000000000005</v>
      </c>
      <c r="P20" s="7">
        <f t="shared" ref="P20:P26" si="9">G20+K20+L20+M20+N20</f>
        <v>44.400000000000006</v>
      </c>
      <c r="Q20" s="6">
        <f t="shared" ref="Q20:Q26" si="10">ROUND((P20-O20)/O20,3)*100</f>
        <v>18</v>
      </c>
    </row>
    <row r="21" spans="1:17" x14ac:dyDescent="0.2">
      <c r="A21" s="1">
        <v>3</v>
      </c>
      <c r="D21" s="4" t="s">
        <v>125</v>
      </c>
      <c r="E21" s="5">
        <v>400</v>
      </c>
      <c r="F21" s="7">
        <f t="shared" si="0"/>
        <v>39.76</v>
      </c>
      <c r="G21" s="7">
        <f t="shared" si="1"/>
        <v>47.81</v>
      </c>
      <c r="H21" s="7">
        <f t="shared" si="2"/>
        <v>8.0500000000000043</v>
      </c>
      <c r="I21" s="6">
        <f t="shared" si="3"/>
        <v>20.200000000000003</v>
      </c>
      <c r="J21" s="6"/>
      <c r="K21" s="7">
        <f t="shared" si="4"/>
        <v>0.27</v>
      </c>
      <c r="L21" s="7">
        <f t="shared" si="5"/>
        <v>1.21</v>
      </c>
      <c r="M21" s="7">
        <f t="shared" si="6"/>
        <v>4.84</v>
      </c>
      <c r="N21" s="7">
        <f t="shared" si="7"/>
        <v>-7.0000000000000007E-2</v>
      </c>
      <c r="O21" s="7">
        <f t="shared" si="8"/>
        <v>46.01</v>
      </c>
      <c r="P21" s="7">
        <f t="shared" si="9"/>
        <v>54.060000000000009</v>
      </c>
      <c r="Q21" s="6">
        <f t="shared" si="10"/>
        <v>17.5</v>
      </c>
    </row>
    <row r="22" spans="1:17" x14ac:dyDescent="0.2">
      <c r="A22" s="1">
        <v>4</v>
      </c>
      <c r="D22" s="4" t="s">
        <v>125</v>
      </c>
      <c r="E22" s="5">
        <v>500</v>
      </c>
      <c r="F22" s="7">
        <f t="shared" si="0"/>
        <v>46.93</v>
      </c>
      <c r="G22" s="7">
        <f t="shared" si="1"/>
        <v>56.24</v>
      </c>
      <c r="H22" s="7">
        <f t="shared" si="2"/>
        <v>9.3100000000000023</v>
      </c>
      <c r="I22" s="6">
        <f t="shared" si="3"/>
        <v>19.8</v>
      </c>
      <c r="J22" s="6"/>
      <c r="K22" s="7">
        <f t="shared" si="4"/>
        <v>0.34</v>
      </c>
      <c r="L22" s="7">
        <f t="shared" si="5"/>
        <v>1.52</v>
      </c>
      <c r="M22" s="7">
        <f t="shared" si="6"/>
        <v>5.73</v>
      </c>
      <c r="N22" s="7">
        <f t="shared" si="7"/>
        <v>-0.08</v>
      </c>
      <c r="O22" s="7">
        <f t="shared" si="8"/>
        <v>54.440000000000012</v>
      </c>
      <c r="P22" s="7">
        <f t="shared" si="9"/>
        <v>63.750000000000014</v>
      </c>
      <c r="Q22" s="6">
        <f t="shared" si="10"/>
        <v>17.100000000000001</v>
      </c>
    </row>
    <row r="23" spans="1:17" x14ac:dyDescent="0.2">
      <c r="A23" s="1">
        <v>5</v>
      </c>
      <c r="D23" s="4" t="s">
        <v>125</v>
      </c>
      <c r="E23" s="5">
        <v>800</v>
      </c>
      <c r="F23" s="7">
        <f t="shared" si="0"/>
        <v>68.419999999999987</v>
      </c>
      <c r="G23" s="7">
        <f t="shared" si="1"/>
        <v>81.52</v>
      </c>
      <c r="H23" s="7">
        <f t="shared" si="2"/>
        <v>13.100000000000009</v>
      </c>
      <c r="I23" s="6">
        <f t="shared" si="3"/>
        <v>19.100000000000001</v>
      </c>
      <c r="J23" s="6"/>
      <c r="K23" s="7">
        <f t="shared" si="4"/>
        <v>0.54</v>
      </c>
      <c r="L23" s="7">
        <f t="shared" si="5"/>
        <v>2.4300000000000002</v>
      </c>
      <c r="M23" s="7">
        <f t="shared" si="6"/>
        <v>8.3800000000000008</v>
      </c>
      <c r="N23" s="7">
        <f t="shared" si="7"/>
        <v>-0.13</v>
      </c>
      <c r="O23" s="7">
        <f t="shared" si="8"/>
        <v>79.64</v>
      </c>
      <c r="P23" s="7">
        <f t="shared" si="9"/>
        <v>92.740000000000009</v>
      </c>
      <c r="Q23" s="6">
        <f t="shared" si="10"/>
        <v>16.400000000000002</v>
      </c>
    </row>
    <row r="24" spans="1:17" x14ac:dyDescent="0.2">
      <c r="A24" s="1">
        <v>6</v>
      </c>
      <c r="D24" s="4" t="s">
        <v>125</v>
      </c>
      <c r="E24" s="5">
        <v>1000</v>
      </c>
      <c r="F24" s="7">
        <f t="shared" si="0"/>
        <v>82.75</v>
      </c>
      <c r="G24" s="7">
        <f t="shared" si="1"/>
        <v>98.36999999999999</v>
      </c>
      <c r="H24" s="7">
        <f t="shared" si="2"/>
        <v>15.61999999999999</v>
      </c>
      <c r="I24" s="6">
        <f t="shared" si="3"/>
        <v>18.899999999999999</v>
      </c>
      <c r="J24" s="6"/>
      <c r="K24" s="7">
        <f t="shared" si="4"/>
        <v>0.68</v>
      </c>
      <c r="L24" s="7">
        <f t="shared" si="5"/>
        <v>3.04</v>
      </c>
      <c r="M24" s="7">
        <f t="shared" si="6"/>
        <v>10.15</v>
      </c>
      <c r="N24" s="7">
        <f t="shared" si="7"/>
        <v>-0.16</v>
      </c>
      <c r="O24" s="7">
        <f t="shared" si="8"/>
        <v>96.460000000000022</v>
      </c>
      <c r="P24" s="7">
        <f t="shared" si="9"/>
        <v>112.08000000000001</v>
      </c>
      <c r="Q24" s="6">
        <f t="shared" si="10"/>
        <v>16.2</v>
      </c>
    </row>
    <row r="25" spans="1:17" x14ac:dyDescent="0.2">
      <c r="A25" s="1">
        <v>7</v>
      </c>
      <c r="D25" s="4" t="s">
        <v>125</v>
      </c>
      <c r="E25" s="5">
        <v>1500</v>
      </c>
      <c r="F25" s="7">
        <f t="shared" si="0"/>
        <v>118.58</v>
      </c>
      <c r="G25" s="7">
        <f t="shared" si="1"/>
        <v>140.51</v>
      </c>
      <c r="H25" s="7">
        <f t="shared" si="2"/>
        <v>21.929999999999993</v>
      </c>
      <c r="I25" s="6">
        <f t="shared" si="3"/>
        <v>18.5</v>
      </c>
      <c r="J25" s="6"/>
      <c r="K25" s="7">
        <f t="shared" si="4"/>
        <v>1.02</v>
      </c>
      <c r="L25" s="7">
        <f t="shared" si="5"/>
        <v>4.55</v>
      </c>
      <c r="M25" s="7">
        <f t="shared" si="6"/>
        <v>14.57</v>
      </c>
      <c r="N25" s="7">
        <f t="shared" si="7"/>
        <v>-0.24</v>
      </c>
      <c r="O25" s="7">
        <f t="shared" si="8"/>
        <v>138.47999999999999</v>
      </c>
      <c r="P25" s="7">
        <f t="shared" si="9"/>
        <v>160.41</v>
      </c>
      <c r="Q25" s="6">
        <f t="shared" si="10"/>
        <v>15.8</v>
      </c>
    </row>
    <row r="26" spans="1:17" x14ac:dyDescent="0.2">
      <c r="A26" s="1">
        <v>8</v>
      </c>
      <c r="D26" s="4" t="s">
        <v>125</v>
      </c>
      <c r="E26" s="5">
        <v>2000</v>
      </c>
      <c r="F26" s="7">
        <f t="shared" si="0"/>
        <v>154.4</v>
      </c>
      <c r="G26" s="7">
        <f t="shared" si="1"/>
        <v>182.64</v>
      </c>
      <c r="H26" s="7">
        <f t="shared" si="2"/>
        <v>28.239999999999981</v>
      </c>
      <c r="I26" s="6">
        <f t="shared" si="3"/>
        <v>18.3</v>
      </c>
      <c r="J26" s="6"/>
      <c r="K26" s="7">
        <f t="shared" si="4"/>
        <v>1.36</v>
      </c>
      <c r="L26" s="7">
        <f t="shared" si="5"/>
        <v>6.07</v>
      </c>
      <c r="M26" s="7">
        <f t="shared" si="6"/>
        <v>18.989999999999998</v>
      </c>
      <c r="N26" s="7">
        <f t="shared" si="7"/>
        <v>-0.33</v>
      </c>
      <c r="O26" s="7">
        <f t="shared" si="8"/>
        <v>180.49</v>
      </c>
      <c r="P26" s="7">
        <f t="shared" si="9"/>
        <v>208.73</v>
      </c>
      <c r="Q26" s="6">
        <f t="shared" si="10"/>
        <v>15.6</v>
      </c>
    </row>
    <row r="27" spans="1:17" x14ac:dyDescent="0.2">
      <c r="G27" s="9"/>
      <c r="H27" s="7"/>
      <c r="I27" s="6"/>
      <c r="J27" s="6"/>
      <c r="K27" s="7"/>
      <c r="L27" s="7"/>
      <c r="M27" s="7"/>
      <c r="N27" s="7"/>
      <c r="O27" s="7"/>
      <c r="P27" s="7"/>
      <c r="Q27" s="6"/>
    </row>
    <row r="28" spans="1:17" ht="15.75" x14ac:dyDescent="0.25">
      <c r="A28" s="1"/>
      <c r="C28" s="46" t="str">
        <f>"(1) REFLECTS DSM HEA RIDER  OF "&amp;TEXT(DSM_RS_CUST,"$0.00;($0.00)")&amp;" PER BILL."</f>
        <v>(1) REFLECTS DSM HEA RIDER  OF $0.10 PER BILL.</v>
      </c>
      <c r="D28" s="4"/>
      <c r="E28" s="5"/>
      <c r="F28" s="7"/>
      <c r="G28" s="7"/>
      <c r="H28" s="7"/>
      <c r="I28" s="6"/>
      <c r="J28" s="6"/>
      <c r="K28" s="7"/>
      <c r="L28" s="7"/>
      <c r="M28" s="7"/>
      <c r="N28" s="7"/>
      <c r="O28" s="7"/>
      <c r="P28" s="7"/>
      <c r="Q28" s="6"/>
    </row>
    <row r="29" spans="1:17" ht="15.75" x14ac:dyDescent="0.25">
      <c r="C29" s="46" t="str">
        <f>"(2) REFLECTS FUEL ADJUSTMENT CLAUSE (FAC) OF "&amp;TEXT(CUR_FAC,"$0.000000;($0.000000)")&amp;" PER KWH."</f>
        <v>(2) REFLECTS FUEL ADJUSTMENT CLAUSE (FAC) OF $0.000681 PER KWH.</v>
      </c>
      <c r="G29" s="9"/>
      <c r="H29" s="7"/>
      <c r="I29" s="6"/>
      <c r="J29" s="6"/>
      <c r="K29" s="7"/>
      <c r="L29" s="7"/>
      <c r="M29" s="7"/>
      <c r="N29" s="7"/>
      <c r="O29" s="9"/>
      <c r="P29" s="9"/>
      <c r="Q29" s="6"/>
    </row>
    <row r="30" spans="1:17" ht="15.75" x14ac:dyDescent="0.25">
      <c r="C30" s="46" t="str">
        <f>"(3) RIDER DSMR "&amp;TEXT(DSM_RES,"$0.000000")&amp;"  PER KWH."</f>
        <v>(3) RIDER DSMR $0.003035  PER KWH.</v>
      </c>
      <c r="H30" s="7"/>
      <c r="K30" s="7"/>
      <c r="L30" s="7"/>
      <c r="M30" s="7"/>
      <c r="N30" s="7"/>
    </row>
    <row r="31" spans="1:17" ht="15.75" x14ac:dyDescent="0.25">
      <c r="C31" s="46" t="str">
        <f>"(4) RIDER ESM "&amp;TEXT(CUR_ESM,"00.00%")&amp;"  OF TOTAL CURRENT BILL."</f>
        <v>(4) RIDER ESM 11.76%  OF TOTAL CURRENT BILL.</v>
      </c>
      <c r="H31" s="7"/>
      <c r="K31" s="7"/>
      <c r="L31" s="7"/>
      <c r="M31" s="7"/>
      <c r="N31" s="7"/>
    </row>
    <row r="32" spans="1:17" ht="15.75" x14ac:dyDescent="0.25">
      <c r="C32" s="46" t="str">
        <f>"(5) RIDER PSM "&amp;TEXT(RS_PSM,"$0.000000;($0.000000)")&amp;"  PER KWH."</f>
        <v>(5) RIDER PSM ($0.000163)  PER KWH.</v>
      </c>
      <c r="H32" s="7"/>
      <c r="K32" s="7"/>
      <c r="L32" s="7"/>
      <c r="M32" s="7"/>
      <c r="N32" s="7"/>
    </row>
    <row r="33" spans="1:17" ht="15.75" x14ac:dyDescent="0.25">
      <c r="C33" s="46" t="str">
        <f>"(6) REFLECTS FUEL COST RECOVERY INCLUDED IN BASE RATES OF "&amp;TEXT(CUR_BASE_FUEL,"$0.000000;($0.000000)")&amp;"  PER KWH."</f>
        <v>(6) REFLECTS FUEL COST RECOVERY INCLUDED IN BASE RATES OF $0.023837  PER KWH.</v>
      </c>
      <c r="H33" s="7"/>
      <c r="K33" s="7"/>
      <c r="L33" s="7"/>
      <c r="M33" s="7"/>
      <c r="N33" s="7"/>
    </row>
    <row r="34" spans="1:17" ht="15.75" x14ac:dyDescent="0.25">
      <c r="A34" s="43" t="str">
        <f>NAME</f>
        <v>DUKE ENERGY KENTUCKY, INC.</v>
      </c>
      <c r="B34" s="43"/>
      <c r="C34" s="43"/>
      <c r="D34" s="43"/>
      <c r="E34" s="43"/>
      <c r="F34" s="43"/>
      <c r="G34" s="44"/>
      <c r="H34" s="43"/>
      <c r="I34" s="43"/>
      <c r="J34" s="43"/>
      <c r="K34" s="43"/>
      <c r="L34" s="43"/>
      <c r="M34" s="43"/>
      <c r="N34" s="43"/>
      <c r="O34" s="43"/>
      <c r="P34" s="43"/>
      <c r="Q34" s="43"/>
    </row>
    <row r="35" spans="1:17" ht="15.75" x14ac:dyDescent="0.25">
      <c r="A35" s="43" t="str">
        <f>CASE_NO</f>
        <v>CASE NO.   2019-000271</v>
      </c>
      <c r="B35" s="43"/>
      <c r="C35" s="43"/>
      <c r="D35" s="43"/>
      <c r="E35" s="43"/>
      <c r="F35" s="43"/>
      <c r="G35" s="44"/>
      <c r="H35" s="43"/>
      <c r="I35" s="43"/>
      <c r="J35" s="43"/>
      <c r="K35" s="43"/>
      <c r="L35" s="43"/>
      <c r="M35" s="43"/>
      <c r="N35" s="43"/>
      <c r="O35" s="43"/>
      <c r="P35" s="43"/>
      <c r="Q35" s="43"/>
    </row>
    <row r="36" spans="1:17" ht="15.75" x14ac:dyDescent="0.25">
      <c r="A36" s="44" t="s">
        <v>178</v>
      </c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</row>
    <row r="37" spans="1:17" ht="15.75" x14ac:dyDescent="0.25">
      <c r="A37" s="44" t="str">
        <f>SERVICE</f>
        <v>(ELECTRIC SERVICE)</v>
      </c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</row>
    <row r="38" spans="1:17" ht="15.75" x14ac:dyDescent="0.25">
      <c r="A38" s="46"/>
      <c r="B38" s="378"/>
      <c r="C38" s="378"/>
      <c r="D38" s="378"/>
      <c r="E38" s="378"/>
      <c r="F38" s="378"/>
      <c r="G38" s="378"/>
      <c r="H38" s="378"/>
      <c r="I38" s="378"/>
      <c r="J38" s="378"/>
      <c r="K38" s="378"/>
      <c r="L38" s="378"/>
      <c r="M38" s="378"/>
      <c r="N38" s="378"/>
      <c r="O38" s="378"/>
      <c r="P38" s="378"/>
      <c r="Q38" s="378"/>
    </row>
    <row r="39" spans="1:17" ht="15.75" x14ac:dyDescent="0.25">
      <c r="A39" s="45" t="str">
        <f>DATA_PERIOD</f>
        <v>DATA: __X__ BASE PERIOD   ____FORECASTED PERIOD</v>
      </c>
      <c r="B39" s="378"/>
      <c r="C39" s="378"/>
      <c r="D39" s="378"/>
      <c r="E39" s="378"/>
      <c r="F39" s="378"/>
      <c r="G39" s="378"/>
      <c r="H39" s="378"/>
      <c r="I39" s="378"/>
      <c r="J39" s="378"/>
      <c r="K39" s="378"/>
      <c r="L39" s="378"/>
      <c r="M39" s="378"/>
      <c r="N39" s="378"/>
      <c r="O39" s="378"/>
      <c r="P39" s="46" t="s">
        <v>179</v>
      </c>
      <c r="Q39" s="378"/>
    </row>
    <row r="40" spans="1:17" ht="15.75" x14ac:dyDescent="0.25">
      <c r="A40" s="45" t="str">
        <f>TYPE</f>
        <v>TYPE OF FILING: _X_ ORIGINAL   ___UPDATED  ___ REVISED</v>
      </c>
      <c r="B40" s="378"/>
      <c r="C40" s="378"/>
      <c r="D40" s="378"/>
      <c r="E40" s="378"/>
      <c r="F40" s="378"/>
      <c r="G40" s="378"/>
      <c r="H40" s="378"/>
      <c r="I40" s="378"/>
      <c r="J40" s="378"/>
      <c r="K40" s="378"/>
      <c r="L40" s="378"/>
      <c r="M40" s="378"/>
      <c r="N40" s="378"/>
      <c r="O40" s="378"/>
      <c r="P40" s="46" t="s">
        <v>127</v>
      </c>
      <c r="Q40" s="378"/>
    </row>
    <row r="41" spans="1:17" ht="15.75" x14ac:dyDescent="0.25">
      <c r="A41" s="46" t="s">
        <v>106</v>
      </c>
      <c r="B41" s="378"/>
      <c r="C41" s="378"/>
      <c r="D41" s="378"/>
      <c r="E41" s="378"/>
      <c r="F41" s="378"/>
      <c r="G41" s="378"/>
      <c r="H41" s="378"/>
      <c r="I41" s="378"/>
      <c r="J41" s="378"/>
      <c r="K41" s="378"/>
      <c r="L41" s="378"/>
      <c r="M41" s="378"/>
      <c r="N41" s="378"/>
      <c r="O41" s="378"/>
      <c r="P41" s="46" t="s">
        <v>3</v>
      </c>
      <c r="Q41" s="378"/>
    </row>
    <row r="42" spans="1:17" ht="15.75" x14ac:dyDescent="0.25">
      <c r="A42" s="218" t="str">
        <f>TIME</f>
        <v>6 Months Actual and 6 Months Projected with Riders</v>
      </c>
      <c r="B42" s="378"/>
      <c r="C42" s="378"/>
      <c r="D42" s="378"/>
      <c r="E42" s="378"/>
      <c r="F42" s="378"/>
      <c r="G42" s="378"/>
      <c r="H42" s="378"/>
      <c r="I42" s="378"/>
      <c r="J42" s="378"/>
      <c r="K42" s="378"/>
      <c r="L42" s="378"/>
      <c r="M42" s="378"/>
      <c r="N42" s="378"/>
      <c r="O42" s="378"/>
      <c r="P42" s="45" t="str">
        <f>WIT</f>
        <v>J. L. Kern</v>
      </c>
      <c r="Q42" s="378"/>
    </row>
    <row r="43" spans="1:17" x14ac:dyDescent="0.2">
      <c r="A43" s="595" t="s">
        <v>499</v>
      </c>
      <c r="B43" s="595"/>
      <c r="C43" s="595"/>
      <c r="D43" s="595"/>
      <c r="E43" s="595"/>
      <c r="F43" s="595"/>
      <c r="G43" s="595"/>
      <c r="H43" s="595"/>
      <c r="I43" s="595"/>
      <c r="J43" s="595"/>
      <c r="K43" s="595"/>
      <c r="L43" s="595"/>
      <c r="M43" s="595"/>
      <c r="N43" s="595"/>
      <c r="O43" s="595"/>
      <c r="P43" s="595"/>
      <c r="Q43" s="595"/>
    </row>
    <row r="44" spans="1:17" ht="15.75" x14ac:dyDescent="0.25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</row>
    <row r="45" spans="1:17" ht="15.75" x14ac:dyDescent="0.25">
      <c r="A45" s="378"/>
      <c r="B45" s="378"/>
      <c r="C45" s="378"/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8"/>
    </row>
    <row r="46" spans="1:17" ht="15.75" x14ac:dyDescent="0.25">
      <c r="A46" s="378"/>
      <c r="B46" s="378"/>
      <c r="C46" s="378"/>
      <c r="D46" s="378"/>
      <c r="E46" s="378"/>
      <c r="F46" s="15" t="s">
        <v>436</v>
      </c>
      <c r="G46" s="119"/>
      <c r="H46" s="119"/>
      <c r="I46" s="119"/>
      <c r="J46" s="57"/>
      <c r="K46" s="594" t="s">
        <v>418</v>
      </c>
      <c r="L46" s="594"/>
      <c r="M46" s="594"/>
      <c r="N46" s="594"/>
      <c r="O46" s="426" t="s">
        <v>11</v>
      </c>
      <c r="P46" s="426" t="s">
        <v>11</v>
      </c>
      <c r="Q46" s="378"/>
    </row>
    <row r="47" spans="1:17" ht="17.100000000000001" customHeight="1" x14ac:dyDescent="0.25">
      <c r="A47" s="378"/>
      <c r="B47" s="378"/>
      <c r="C47" s="378"/>
      <c r="D47" s="426" t="s">
        <v>107</v>
      </c>
      <c r="E47" s="426" t="s">
        <v>107</v>
      </c>
      <c r="F47" s="378"/>
      <c r="G47" s="378"/>
      <c r="H47" s="426" t="s">
        <v>108</v>
      </c>
      <c r="I47" s="426" t="s">
        <v>109</v>
      </c>
      <c r="J47" s="426"/>
      <c r="K47" s="378"/>
      <c r="L47" s="378"/>
      <c r="N47" s="378"/>
      <c r="O47" s="426" t="s">
        <v>8</v>
      </c>
      <c r="P47" s="426" t="s">
        <v>6</v>
      </c>
      <c r="Q47" s="426" t="s">
        <v>109</v>
      </c>
    </row>
    <row r="48" spans="1:17" ht="15.75" x14ac:dyDescent="0.25">
      <c r="A48" s="378"/>
      <c r="B48" s="378"/>
      <c r="C48" s="378"/>
      <c r="D48" s="426" t="s">
        <v>110</v>
      </c>
      <c r="E48" s="426" t="s">
        <v>110</v>
      </c>
      <c r="F48" s="426" t="s">
        <v>8</v>
      </c>
      <c r="G48" s="426" t="s">
        <v>6</v>
      </c>
      <c r="H48" s="426" t="s">
        <v>111</v>
      </c>
      <c r="I48" s="426" t="s">
        <v>111</v>
      </c>
      <c r="J48" s="426"/>
      <c r="K48" s="426" t="s">
        <v>264</v>
      </c>
      <c r="L48" s="426" t="s">
        <v>264</v>
      </c>
      <c r="M48" s="426" t="s">
        <v>264</v>
      </c>
      <c r="N48" s="426" t="s">
        <v>264</v>
      </c>
      <c r="O48" s="426" t="s">
        <v>113</v>
      </c>
      <c r="P48" s="426" t="s">
        <v>113</v>
      </c>
      <c r="Q48" s="426" t="s">
        <v>111</v>
      </c>
    </row>
    <row r="49" spans="1:17" ht="15.75" x14ac:dyDescent="0.25">
      <c r="A49" s="426" t="s">
        <v>17</v>
      </c>
      <c r="B49" s="378"/>
      <c r="C49" s="46" t="s">
        <v>18</v>
      </c>
      <c r="D49" s="426" t="s">
        <v>115</v>
      </c>
      <c r="E49" s="426" t="s">
        <v>116</v>
      </c>
      <c r="F49" s="70" t="s">
        <v>704</v>
      </c>
      <c r="G49" s="70" t="s">
        <v>704</v>
      </c>
      <c r="H49" s="265" t="s">
        <v>117</v>
      </c>
      <c r="I49" s="265" t="s">
        <v>118</v>
      </c>
      <c r="J49" s="426"/>
      <c r="K49" s="426" t="s">
        <v>416</v>
      </c>
      <c r="L49" s="70" t="s">
        <v>267</v>
      </c>
      <c r="M49" s="70" t="s">
        <v>644</v>
      </c>
      <c r="N49" s="70" t="s">
        <v>705</v>
      </c>
      <c r="O49" s="439" t="s">
        <v>822</v>
      </c>
      <c r="P49" s="439" t="s">
        <v>823</v>
      </c>
      <c r="Q49" s="439" t="s">
        <v>824</v>
      </c>
    </row>
    <row r="50" spans="1:17" ht="15.75" x14ac:dyDescent="0.25">
      <c r="A50" s="80" t="s">
        <v>24</v>
      </c>
      <c r="B50" s="71"/>
      <c r="C50" s="120" t="s">
        <v>25</v>
      </c>
      <c r="D50" s="430" t="s">
        <v>35</v>
      </c>
      <c r="E50" s="430" t="s">
        <v>36</v>
      </c>
      <c r="F50" s="430" t="s">
        <v>37</v>
      </c>
      <c r="G50" s="430" t="s">
        <v>38</v>
      </c>
      <c r="H50" s="430" t="s">
        <v>39</v>
      </c>
      <c r="I50" s="430" t="s">
        <v>40</v>
      </c>
      <c r="J50" s="430"/>
      <c r="K50" s="430" t="s">
        <v>41</v>
      </c>
      <c r="L50" s="430" t="s">
        <v>42</v>
      </c>
      <c r="M50" s="430" t="s">
        <v>43</v>
      </c>
      <c r="N50" s="429" t="s">
        <v>44</v>
      </c>
      <c r="O50" s="429" t="s">
        <v>45</v>
      </c>
      <c r="P50" s="429" t="s">
        <v>46</v>
      </c>
      <c r="Q50" s="429" t="s">
        <v>47</v>
      </c>
    </row>
    <row r="51" spans="1:17" ht="15.75" x14ac:dyDescent="0.25">
      <c r="A51" s="378"/>
      <c r="B51" s="378"/>
      <c r="C51" s="378"/>
      <c r="D51" s="441" t="s">
        <v>124</v>
      </c>
      <c r="E51" s="441" t="s">
        <v>51</v>
      </c>
      <c r="F51" s="441" t="s">
        <v>52</v>
      </c>
      <c r="G51" s="441" t="s">
        <v>52</v>
      </c>
      <c r="H51" s="441" t="s">
        <v>52</v>
      </c>
      <c r="I51" s="441" t="s">
        <v>53</v>
      </c>
      <c r="J51" s="441"/>
      <c r="K51" s="441" t="s">
        <v>52</v>
      </c>
      <c r="L51" s="441" t="s">
        <v>52</v>
      </c>
      <c r="M51" s="441" t="s">
        <v>52</v>
      </c>
      <c r="N51" s="441" t="s">
        <v>52</v>
      </c>
      <c r="O51" s="441" t="s">
        <v>52</v>
      </c>
      <c r="P51" s="441" t="s">
        <v>52</v>
      </c>
      <c r="Q51" s="441" t="s">
        <v>53</v>
      </c>
    </row>
    <row r="52" spans="1:17" ht="15.75" x14ac:dyDescent="0.25">
      <c r="A52" s="1">
        <v>1</v>
      </c>
      <c r="C52" s="46" t="s">
        <v>97</v>
      </c>
      <c r="D52" s="1">
        <v>5</v>
      </c>
      <c r="E52" s="5">
        <v>2000</v>
      </c>
      <c r="F52" s="7">
        <f>'BILL CALC'!I21</f>
        <v>194.68</v>
      </c>
      <c r="G52" s="7">
        <f>'BILL CALC'!R21</f>
        <v>212.48</v>
      </c>
      <c r="H52" s="7">
        <f t="shared" ref="H52:H72" si="11">G52-F52</f>
        <v>17.799999999999983</v>
      </c>
      <c r="I52" s="8">
        <f t="shared" ref="I52:I72" si="12">ROUND(H52/F52,3)*100</f>
        <v>9.1</v>
      </c>
      <c r="J52" s="8"/>
      <c r="K52" s="7">
        <f t="shared" ref="K52:K72" si="13">ROUND(E52*CUR_FAC,2)</f>
        <v>1.36</v>
      </c>
      <c r="L52" s="7">
        <f t="shared" ref="L52:L72" si="14">ROUND(E52*DSM_DIST,2)</f>
        <v>10.18</v>
      </c>
      <c r="M52" s="7">
        <f t="shared" ref="M52:M72" si="15">ROUND((F52+$L52+$N52-PRO_BASE_FUEL*$E52)*PRO_ESM_NONRES,2)</f>
        <v>28.49</v>
      </c>
      <c r="N52" s="7">
        <f t="shared" ref="N52:N72" si="16">ROUND(E52*RS_PSM,2)</f>
        <v>-0.33</v>
      </c>
      <c r="O52" s="7">
        <f t="shared" ref="O52:O72" si="17">F52+K52+L52+M52+N52</f>
        <v>234.38000000000002</v>
      </c>
      <c r="P52" s="7">
        <f t="shared" ref="P52:P72" si="18">G52+K52+L52+M52+N52</f>
        <v>252.18</v>
      </c>
      <c r="Q52" s="6">
        <f>ROUND((P52-O52)/O52,3)*100</f>
        <v>7.6</v>
      </c>
    </row>
    <row r="53" spans="1:17" x14ac:dyDescent="0.2">
      <c r="A53" s="1">
        <v>2</v>
      </c>
      <c r="D53" s="1">
        <v>10</v>
      </c>
      <c r="E53" s="5">
        <v>4000</v>
      </c>
      <c r="F53" s="7">
        <f>'BILL CALC'!I22</f>
        <v>355.08000000000004</v>
      </c>
      <c r="G53" s="7">
        <f>'BILL CALC'!R22</f>
        <v>394.95</v>
      </c>
      <c r="H53" s="7">
        <f t="shared" si="11"/>
        <v>39.869999999999948</v>
      </c>
      <c r="I53" s="8">
        <f t="shared" si="12"/>
        <v>11.200000000000001</v>
      </c>
      <c r="J53" s="8"/>
      <c r="K53" s="7">
        <f t="shared" si="13"/>
        <v>2.72</v>
      </c>
      <c r="L53" s="7">
        <f t="shared" si="14"/>
        <v>20.36</v>
      </c>
      <c r="M53" s="7">
        <f t="shared" si="15"/>
        <v>50.75</v>
      </c>
      <c r="N53" s="7">
        <f t="shared" si="16"/>
        <v>-0.65</v>
      </c>
      <c r="O53" s="7">
        <f t="shared" si="17"/>
        <v>428.2600000000001</v>
      </c>
      <c r="P53" s="7">
        <f t="shared" si="18"/>
        <v>468.13000000000005</v>
      </c>
      <c r="Q53" s="6">
        <f>ROUND((P53-O53)/O53,3)*100</f>
        <v>9.3000000000000007</v>
      </c>
    </row>
    <row r="54" spans="1:17" x14ac:dyDescent="0.2">
      <c r="A54" s="1">
        <v>3</v>
      </c>
      <c r="D54" s="1">
        <v>10</v>
      </c>
      <c r="E54" s="5">
        <v>6000</v>
      </c>
      <c r="F54" s="7">
        <f>'BILL CALC'!I23</f>
        <v>515.48</v>
      </c>
      <c r="G54" s="7">
        <f>'BILL CALC'!R23</f>
        <v>577.42999999999995</v>
      </c>
      <c r="H54" s="7">
        <f t="shared" si="11"/>
        <v>61.949999999999932</v>
      </c>
      <c r="I54" s="8">
        <f t="shared" si="12"/>
        <v>12</v>
      </c>
      <c r="J54" s="8"/>
      <c r="K54" s="7">
        <f t="shared" si="13"/>
        <v>4.09</v>
      </c>
      <c r="L54" s="7">
        <f t="shared" si="14"/>
        <v>30.55</v>
      </c>
      <c r="M54" s="7">
        <f t="shared" si="15"/>
        <v>73.010000000000005</v>
      </c>
      <c r="N54" s="7">
        <f t="shared" si="16"/>
        <v>-0.98</v>
      </c>
      <c r="O54" s="7">
        <f t="shared" si="17"/>
        <v>622.15</v>
      </c>
      <c r="P54" s="7">
        <f t="shared" si="18"/>
        <v>684.09999999999991</v>
      </c>
      <c r="Q54" s="8">
        <f t="shared" ref="Q54:Q72" si="19">ROUND((P54-O54)/O54,3)*100</f>
        <v>10</v>
      </c>
    </row>
    <row r="55" spans="1:17" x14ac:dyDescent="0.2">
      <c r="A55" s="1">
        <v>4</v>
      </c>
      <c r="D55" s="1">
        <v>30</v>
      </c>
      <c r="E55" s="5">
        <v>6000</v>
      </c>
      <c r="F55" s="7">
        <f>'BILL CALC'!I24</f>
        <v>639.23</v>
      </c>
      <c r="G55" s="7">
        <f>'BILL CALC'!R24</f>
        <v>718.12999999999988</v>
      </c>
      <c r="H55" s="7">
        <f t="shared" si="11"/>
        <v>78.899999999999864</v>
      </c>
      <c r="I55" s="8">
        <f t="shared" si="12"/>
        <v>12.3</v>
      </c>
      <c r="J55" s="8"/>
      <c r="K55" s="7">
        <f t="shared" si="13"/>
        <v>4.09</v>
      </c>
      <c r="L55" s="7">
        <f t="shared" si="14"/>
        <v>30.55</v>
      </c>
      <c r="M55" s="7">
        <f t="shared" si="15"/>
        <v>95.48</v>
      </c>
      <c r="N55" s="7">
        <f t="shared" si="16"/>
        <v>-0.98</v>
      </c>
      <c r="O55" s="7">
        <f t="shared" si="17"/>
        <v>768.37</v>
      </c>
      <c r="P55" s="7">
        <f t="shared" si="18"/>
        <v>847.26999999999987</v>
      </c>
      <c r="Q55" s="8">
        <f t="shared" si="19"/>
        <v>10.299999999999999</v>
      </c>
    </row>
    <row r="56" spans="1:17" x14ac:dyDescent="0.2">
      <c r="A56" s="1">
        <v>5</v>
      </c>
      <c r="D56" s="1">
        <v>30</v>
      </c>
      <c r="E56" s="5">
        <v>9000</v>
      </c>
      <c r="F56" s="7">
        <f>'BILL CALC'!I25</f>
        <v>786.93000000000006</v>
      </c>
      <c r="G56" s="7">
        <f>'BILL CALC'!R25</f>
        <v>886.14999999999986</v>
      </c>
      <c r="H56" s="7">
        <f t="shared" si="11"/>
        <v>99.2199999999998</v>
      </c>
      <c r="I56" s="8">
        <f t="shared" si="12"/>
        <v>12.6</v>
      </c>
      <c r="J56" s="8"/>
      <c r="K56" s="7">
        <f t="shared" si="13"/>
        <v>6.13</v>
      </c>
      <c r="L56" s="7">
        <f t="shared" si="14"/>
        <v>45.82</v>
      </c>
      <c r="M56" s="7">
        <f t="shared" si="15"/>
        <v>112</v>
      </c>
      <c r="N56" s="7">
        <f t="shared" si="16"/>
        <v>-1.47</v>
      </c>
      <c r="O56" s="7">
        <f t="shared" si="17"/>
        <v>949.41000000000008</v>
      </c>
      <c r="P56" s="7">
        <f t="shared" si="18"/>
        <v>1048.6299999999999</v>
      </c>
      <c r="Q56" s="8">
        <f t="shared" si="19"/>
        <v>10.5</v>
      </c>
    </row>
    <row r="57" spans="1:17" x14ac:dyDescent="0.2">
      <c r="A57" s="1">
        <v>6</v>
      </c>
      <c r="D57" s="1">
        <v>30</v>
      </c>
      <c r="E57" s="5">
        <v>12000</v>
      </c>
      <c r="F57" s="7">
        <f>'BILL CALC'!I26</f>
        <v>934.62</v>
      </c>
      <c r="G57" s="7">
        <f>'BILL CALC'!R26</f>
        <v>1054.1799999999998</v>
      </c>
      <c r="H57" s="7">
        <f t="shared" si="11"/>
        <v>119.55999999999983</v>
      </c>
      <c r="I57" s="8">
        <f t="shared" si="12"/>
        <v>12.8</v>
      </c>
      <c r="J57" s="8"/>
      <c r="K57" s="7">
        <f t="shared" si="13"/>
        <v>8.17</v>
      </c>
      <c r="L57" s="7">
        <f t="shared" si="14"/>
        <v>61.09</v>
      </c>
      <c r="M57" s="7">
        <f t="shared" si="15"/>
        <v>128.52000000000001</v>
      </c>
      <c r="N57" s="7">
        <f t="shared" si="16"/>
        <v>-1.96</v>
      </c>
      <c r="O57" s="7">
        <f t="shared" si="17"/>
        <v>1130.44</v>
      </c>
      <c r="P57" s="7">
        <f t="shared" si="18"/>
        <v>1249.9999999999998</v>
      </c>
      <c r="Q57" s="8">
        <f t="shared" si="19"/>
        <v>10.6</v>
      </c>
    </row>
    <row r="58" spans="1:17" x14ac:dyDescent="0.2">
      <c r="A58" s="1">
        <v>7</v>
      </c>
      <c r="D58" s="1">
        <v>50</v>
      </c>
      <c r="E58" s="5">
        <v>10000</v>
      </c>
      <c r="F58" s="7">
        <f>'BILL CALC'!I27</f>
        <v>1001.1600000000001</v>
      </c>
      <c r="G58" s="7">
        <f>'BILL CALC'!R27</f>
        <v>1129.76</v>
      </c>
      <c r="H58" s="7">
        <f t="shared" si="11"/>
        <v>128.59999999999991</v>
      </c>
      <c r="I58" s="8">
        <f t="shared" si="12"/>
        <v>12.8</v>
      </c>
      <c r="J58" s="8"/>
      <c r="K58" s="7">
        <f t="shared" si="13"/>
        <v>6.81</v>
      </c>
      <c r="L58" s="7">
        <f t="shared" si="14"/>
        <v>50.91</v>
      </c>
      <c r="M58" s="7">
        <f t="shared" si="15"/>
        <v>147.47</v>
      </c>
      <c r="N58" s="7">
        <f t="shared" si="16"/>
        <v>-1.63</v>
      </c>
      <c r="O58" s="7">
        <f t="shared" si="17"/>
        <v>1204.72</v>
      </c>
      <c r="P58" s="7">
        <f t="shared" si="18"/>
        <v>1333.32</v>
      </c>
      <c r="Q58" s="8">
        <f t="shared" si="19"/>
        <v>10.7</v>
      </c>
    </row>
    <row r="59" spans="1:17" x14ac:dyDescent="0.2">
      <c r="A59" s="1">
        <v>8</v>
      </c>
      <c r="D59" s="1">
        <v>50</v>
      </c>
      <c r="E59" s="5">
        <v>15000</v>
      </c>
      <c r="F59" s="7">
        <f>'BILL CALC'!I28</f>
        <v>1247.32</v>
      </c>
      <c r="G59" s="7">
        <f>'BILL CALC'!R28</f>
        <v>1409.8</v>
      </c>
      <c r="H59" s="7">
        <f t="shared" si="11"/>
        <v>162.48000000000002</v>
      </c>
      <c r="I59" s="8">
        <f t="shared" si="12"/>
        <v>13</v>
      </c>
      <c r="J59" s="8"/>
      <c r="K59" s="7">
        <f t="shared" si="13"/>
        <v>10.220000000000001</v>
      </c>
      <c r="L59" s="7">
        <f t="shared" si="14"/>
        <v>76.37</v>
      </c>
      <c r="M59" s="7">
        <f t="shared" si="15"/>
        <v>175.01</v>
      </c>
      <c r="N59" s="7">
        <f t="shared" si="16"/>
        <v>-2.4500000000000002</v>
      </c>
      <c r="O59" s="7">
        <f t="shared" si="17"/>
        <v>1506.4699999999998</v>
      </c>
      <c r="P59" s="7">
        <f t="shared" si="18"/>
        <v>1668.9499999999998</v>
      </c>
      <c r="Q59" s="8">
        <f t="shared" si="19"/>
        <v>10.8</v>
      </c>
    </row>
    <row r="60" spans="1:17" x14ac:dyDescent="0.2">
      <c r="A60" s="1">
        <v>9</v>
      </c>
      <c r="D60" s="1">
        <v>50</v>
      </c>
      <c r="E60" s="5">
        <v>20000</v>
      </c>
      <c r="F60" s="7">
        <f>'BILL CALC'!I29</f>
        <v>1493.48</v>
      </c>
      <c r="G60" s="7">
        <f>'BILL CALC'!R29</f>
        <v>1689.8400000000001</v>
      </c>
      <c r="H60" s="7">
        <f t="shared" si="11"/>
        <v>196.36000000000013</v>
      </c>
      <c r="I60" s="8">
        <f t="shared" si="12"/>
        <v>13.100000000000001</v>
      </c>
      <c r="J60" s="8"/>
      <c r="K60" s="7">
        <f t="shared" si="13"/>
        <v>13.62</v>
      </c>
      <c r="L60" s="7">
        <f t="shared" si="14"/>
        <v>101.82</v>
      </c>
      <c r="M60" s="7">
        <f t="shared" si="15"/>
        <v>202.54</v>
      </c>
      <c r="N60" s="7">
        <f t="shared" si="16"/>
        <v>-3.26</v>
      </c>
      <c r="O60" s="7">
        <f t="shared" si="17"/>
        <v>1808.1999999999998</v>
      </c>
      <c r="P60" s="7">
        <f t="shared" si="18"/>
        <v>2004.56</v>
      </c>
      <c r="Q60" s="8">
        <f t="shared" si="19"/>
        <v>10.9</v>
      </c>
    </row>
    <row r="61" spans="1:17" x14ac:dyDescent="0.2">
      <c r="A61" s="1">
        <v>10</v>
      </c>
      <c r="D61" s="1">
        <v>75</v>
      </c>
      <c r="E61" s="5">
        <v>15000</v>
      </c>
      <c r="F61" s="7">
        <f>'BILL CALC'!I30</f>
        <v>1453.57</v>
      </c>
      <c r="G61" s="7">
        <f>'BILL CALC'!R30</f>
        <v>1644.3</v>
      </c>
      <c r="H61" s="7">
        <f t="shared" si="11"/>
        <v>190.73000000000002</v>
      </c>
      <c r="I61" s="8">
        <f t="shared" si="12"/>
        <v>13.100000000000001</v>
      </c>
      <c r="J61" s="8"/>
      <c r="K61" s="7">
        <f t="shared" si="13"/>
        <v>10.220000000000001</v>
      </c>
      <c r="L61" s="7">
        <f t="shared" si="14"/>
        <v>76.37</v>
      </c>
      <c r="M61" s="7">
        <f t="shared" si="15"/>
        <v>212.46</v>
      </c>
      <c r="N61" s="7">
        <f t="shared" si="16"/>
        <v>-2.4500000000000002</v>
      </c>
      <c r="O61" s="7">
        <f t="shared" si="17"/>
        <v>1750.1699999999998</v>
      </c>
      <c r="P61" s="7">
        <f t="shared" si="18"/>
        <v>1940.8999999999999</v>
      </c>
      <c r="Q61" s="8">
        <f t="shared" si="19"/>
        <v>10.9</v>
      </c>
    </row>
    <row r="62" spans="1:17" x14ac:dyDescent="0.2">
      <c r="A62" s="1">
        <v>11</v>
      </c>
      <c r="D62" s="1">
        <v>75</v>
      </c>
      <c r="E62" s="5">
        <v>20000</v>
      </c>
      <c r="F62" s="7">
        <f>'BILL CALC'!I31</f>
        <v>1699.73</v>
      </c>
      <c r="G62" s="7">
        <f>'BILL CALC'!R31</f>
        <v>1924.3400000000001</v>
      </c>
      <c r="H62" s="7">
        <f t="shared" si="11"/>
        <v>224.61000000000013</v>
      </c>
      <c r="I62" s="8">
        <f t="shared" si="12"/>
        <v>13.200000000000001</v>
      </c>
      <c r="J62" s="8"/>
      <c r="K62" s="7">
        <f t="shared" si="13"/>
        <v>13.62</v>
      </c>
      <c r="L62" s="7">
        <f t="shared" si="14"/>
        <v>101.82</v>
      </c>
      <c r="M62" s="7">
        <f t="shared" si="15"/>
        <v>239.99</v>
      </c>
      <c r="N62" s="7">
        <f t="shared" si="16"/>
        <v>-3.26</v>
      </c>
      <c r="O62" s="7">
        <f t="shared" si="17"/>
        <v>2051.8999999999996</v>
      </c>
      <c r="P62" s="7">
        <f t="shared" si="18"/>
        <v>2276.5099999999998</v>
      </c>
      <c r="Q62" s="8">
        <f t="shared" si="19"/>
        <v>10.9</v>
      </c>
    </row>
    <row r="63" spans="1:17" x14ac:dyDescent="0.2">
      <c r="A63" s="1">
        <v>12</v>
      </c>
      <c r="D63" s="1">
        <v>75</v>
      </c>
      <c r="E63" s="5">
        <v>30000</v>
      </c>
      <c r="F63" s="7">
        <f>'BILL CALC'!I32</f>
        <v>2178.6799999999998</v>
      </c>
      <c r="G63" s="7">
        <f>'BILL CALC'!R32</f>
        <v>2469.21</v>
      </c>
      <c r="H63" s="7">
        <f t="shared" si="11"/>
        <v>290.5300000000002</v>
      </c>
      <c r="I63" s="8">
        <f t="shared" si="12"/>
        <v>13.3</v>
      </c>
      <c r="J63" s="8"/>
      <c r="K63" s="7">
        <f t="shared" si="13"/>
        <v>20.43</v>
      </c>
      <c r="L63" s="7">
        <f t="shared" si="14"/>
        <v>152.72999999999999</v>
      </c>
      <c r="M63" s="7">
        <f t="shared" si="15"/>
        <v>292.63</v>
      </c>
      <c r="N63" s="7">
        <f t="shared" si="16"/>
        <v>-4.8899999999999997</v>
      </c>
      <c r="O63" s="7">
        <f t="shared" si="17"/>
        <v>2639.58</v>
      </c>
      <c r="P63" s="7">
        <f t="shared" si="18"/>
        <v>2930.11</v>
      </c>
      <c r="Q63" s="8">
        <f t="shared" si="19"/>
        <v>11</v>
      </c>
    </row>
    <row r="64" spans="1:17" x14ac:dyDescent="0.2">
      <c r="A64" s="1">
        <v>13</v>
      </c>
      <c r="D64" s="1">
        <v>100</v>
      </c>
      <c r="E64" s="5">
        <v>20000</v>
      </c>
      <c r="F64" s="7">
        <f>'BILL CALC'!I33</f>
        <v>1905.98</v>
      </c>
      <c r="G64" s="7">
        <f>'BILL CALC'!R33</f>
        <v>2158.84</v>
      </c>
      <c r="H64" s="7">
        <f t="shared" si="11"/>
        <v>252.86000000000013</v>
      </c>
      <c r="I64" s="8">
        <f t="shared" si="12"/>
        <v>13.3</v>
      </c>
      <c r="J64" s="8"/>
      <c r="K64" s="7">
        <f t="shared" si="13"/>
        <v>13.62</v>
      </c>
      <c r="L64" s="7">
        <f t="shared" si="14"/>
        <v>101.82</v>
      </c>
      <c r="M64" s="7">
        <f t="shared" si="15"/>
        <v>277.45</v>
      </c>
      <c r="N64" s="7">
        <f t="shared" si="16"/>
        <v>-3.26</v>
      </c>
      <c r="O64" s="7">
        <f t="shared" si="17"/>
        <v>2295.6099999999997</v>
      </c>
      <c r="P64" s="7">
        <f t="shared" si="18"/>
        <v>2548.4699999999998</v>
      </c>
      <c r="Q64" s="8">
        <f t="shared" si="19"/>
        <v>11</v>
      </c>
    </row>
    <row r="65" spans="1:17" x14ac:dyDescent="0.2">
      <c r="A65" s="1">
        <v>14</v>
      </c>
      <c r="D65" s="1">
        <v>100</v>
      </c>
      <c r="E65" s="5">
        <v>30000</v>
      </c>
      <c r="F65" s="7">
        <f>'BILL CALC'!I34</f>
        <v>2398.3000000000002</v>
      </c>
      <c r="G65" s="7">
        <f>'BILL CALC'!R34</f>
        <v>2718.92</v>
      </c>
      <c r="H65" s="7">
        <f t="shared" si="11"/>
        <v>320.61999999999989</v>
      </c>
      <c r="I65" s="8">
        <f t="shared" si="12"/>
        <v>13.4</v>
      </c>
      <c r="J65" s="8"/>
      <c r="K65" s="7">
        <f t="shared" si="13"/>
        <v>20.43</v>
      </c>
      <c r="L65" s="7">
        <f t="shared" si="14"/>
        <v>152.72999999999999</v>
      </c>
      <c r="M65" s="7">
        <f t="shared" si="15"/>
        <v>332.52</v>
      </c>
      <c r="N65" s="7">
        <f t="shared" si="16"/>
        <v>-4.8899999999999997</v>
      </c>
      <c r="O65" s="7">
        <f t="shared" si="17"/>
        <v>2899.09</v>
      </c>
      <c r="P65" s="7">
        <f t="shared" si="18"/>
        <v>3219.71</v>
      </c>
      <c r="Q65" s="8">
        <f t="shared" si="19"/>
        <v>11.1</v>
      </c>
    </row>
    <row r="66" spans="1:17" x14ac:dyDescent="0.2">
      <c r="A66" s="1">
        <v>15</v>
      </c>
      <c r="D66" s="1">
        <v>100</v>
      </c>
      <c r="E66" s="5">
        <v>40000</v>
      </c>
      <c r="F66" s="7">
        <f>'BILL CALC'!I35</f>
        <v>2854.96</v>
      </c>
      <c r="G66" s="7">
        <f>'BILL CALC'!R35</f>
        <v>3238.4300000000003</v>
      </c>
      <c r="H66" s="7">
        <f t="shared" si="11"/>
        <v>383.47000000000025</v>
      </c>
      <c r="I66" s="8">
        <f t="shared" si="12"/>
        <v>13.4</v>
      </c>
      <c r="J66" s="8"/>
      <c r="K66" s="7">
        <f t="shared" si="13"/>
        <v>27.24</v>
      </c>
      <c r="L66" s="7">
        <f t="shared" si="14"/>
        <v>203.64</v>
      </c>
      <c r="M66" s="7">
        <f t="shared" si="15"/>
        <v>381.11</v>
      </c>
      <c r="N66" s="7">
        <f t="shared" si="16"/>
        <v>-6.52</v>
      </c>
      <c r="O66" s="7">
        <f t="shared" si="17"/>
        <v>3460.43</v>
      </c>
      <c r="P66" s="7">
        <f t="shared" si="18"/>
        <v>3843.9</v>
      </c>
      <c r="Q66" s="8">
        <f t="shared" si="19"/>
        <v>11.1</v>
      </c>
    </row>
    <row r="67" spans="1:17" x14ac:dyDescent="0.2">
      <c r="A67" s="1">
        <v>16</v>
      </c>
      <c r="D67" s="1">
        <v>300</v>
      </c>
      <c r="E67" s="5">
        <v>60000</v>
      </c>
      <c r="F67" s="7">
        <f>'BILL CALC'!I36</f>
        <v>5525.26</v>
      </c>
      <c r="G67" s="7">
        <f>'BILL CALC'!R36</f>
        <v>6275.16</v>
      </c>
      <c r="H67" s="7">
        <f t="shared" si="11"/>
        <v>749.89999999999964</v>
      </c>
      <c r="I67" s="8">
        <f t="shared" si="12"/>
        <v>13.600000000000001</v>
      </c>
      <c r="J67" s="8"/>
      <c r="K67" s="7">
        <f t="shared" si="13"/>
        <v>40.86</v>
      </c>
      <c r="L67" s="7">
        <f t="shared" si="14"/>
        <v>305.45999999999998</v>
      </c>
      <c r="M67" s="7">
        <f t="shared" si="15"/>
        <v>797.35</v>
      </c>
      <c r="N67" s="7">
        <f t="shared" si="16"/>
        <v>-9.7799999999999994</v>
      </c>
      <c r="O67" s="7">
        <f t="shared" si="17"/>
        <v>6659.1500000000005</v>
      </c>
      <c r="P67" s="7">
        <f t="shared" si="18"/>
        <v>7409.05</v>
      </c>
      <c r="Q67" s="8">
        <f t="shared" si="19"/>
        <v>11.3</v>
      </c>
    </row>
    <row r="68" spans="1:17" x14ac:dyDescent="0.2">
      <c r="A68" s="1">
        <v>17</v>
      </c>
      <c r="D68" s="1">
        <v>300</v>
      </c>
      <c r="E68" s="5">
        <v>90000</v>
      </c>
      <c r="F68" s="7">
        <f>'BILL CALC'!I37</f>
        <v>7002.2199999999993</v>
      </c>
      <c r="G68" s="7">
        <f>'BILL CALC'!R37</f>
        <v>7955.4</v>
      </c>
      <c r="H68" s="7">
        <f t="shared" si="11"/>
        <v>953.18000000000029</v>
      </c>
      <c r="I68" s="8">
        <f t="shared" si="12"/>
        <v>13.600000000000001</v>
      </c>
      <c r="J68" s="8"/>
      <c r="K68" s="7">
        <f t="shared" si="13"/>
        <v>61.29</v>
      </c>
      <c r="L68" s="7">
        <f t="shared" si="14"/>
        <v>458.19</v>
      </c>
      <c r="M68" s="7">
        <f t="shared" si="15"/>
        <v>962.55</v>
      </c>
      <c r="N68" s="7">
        <f t="shared" si="16"/>
        <v>-14.67</v>
      </c>
      <c r="O68" s="7">
        <f t="shared" si="17"/>
        <v>8469.5799999999981</v>
      </c>
      <c r="P68" s="7">
        <f t="shared" si="18"/>
        <v>9422.7599999999984</v>
      </c>
      <c r="Q68" s="8">
        <f t="shared" si="19"/>
        <v>11.3</v>
      </c>
    </row>
    <row r="69" spans="1:17" x14ac:dyDescent="0.2">
      <c r="A69" s="1">
        <v>18</v>
      </c>
      <c r="D69" s="1">
        <v>300</v>
      </c>
      <c r="E69" s="5">
        <v>120000</v>
      </c>
      <c r="F69" s="7">
        <f>'BILL CALC'!I38</f>
        <v>8265.2200000000012</v>
      </c>
      <c r="G69" s="7">
        <f>'BILL CALC'!R38</f>
        <v>9392.2300000000014</v>
      </c>
      <c r="H69" s="7">
        <f t="shared" si="11"/>
        <v>1127.0100000000002</v>
      </c>
      <c r="I69" s="8">
        <f t="shared" si="12"/>
        <v>13.600000000000001</v>
      </c>
      <c r="J69" s="8"/>
      <c r="K69" s="7">
        <f t="shared" si="13"/>
        <v>81.72</v>
      </c>
      <c r="L69" s="7">
        <f t="shared" si="14"/>
        <v>610.91999999999996</v>
      </c>
      <c r="M69" s="7">
        <f t="shared" si="15"/>
        <v>1088.9000000000001</v>
      </c>
      <c r="N69" s="7">
        <f t="shared" si="16"/>
        <v>-19.559999999999999</v>
      </c>
      <c r="O69" s="7">
        <f t="shared" si="17"/>
        <v>10027.200000000001</v>
      </c>
      <c r="P69" s="7">
        <f t="shared" si="18"/>
        <v>11154.210000000001</v>
      </c>
      <c r="Q69" s="8">
        <f t="shared" si="19"/>
        <v>11.200000000000001</v>
      </c>
    </row>
    <row r="70" spans="1:17" x14ac:dyDescent="0.2">
      <c r="A70" s="1">
        <v>19</v>
      </c>
      <c r="D70" s="1">
        <v>500</v>
      </c>
      <c r="E70" s="5">
        <v>100000</v>
      </c>
      <c r="F70" s="7">
        <f>'BILL CALC'!I39</f>
        <v>9144.5400000000009</v>
      </c>
      <c r="G70" s="7">
        <f>'BILL CALC'!R39</f>
        <v>10391.48</v>
      </c>
      <c r="H70" s="7">
        <f t="shared" si="11"/>
        <v>1246.9399999999987</v>
      </c>
      <c r="I70" s="8">
        <f t="shared" si="12"/>
        <v>13.600000000000001</v>
      </c>
      <c r="J70" s="8"/>
      <c r="K70" s="7">
        <f t="shared" si="13"/>
        <v>68.099999999999994</v>
      </c>
      <c r="L70" s="7">
        <f t="shared" si="14"/>
        <v>509.1</v>
      </c>
      <c r="M70" s="7">
        <f t="shared" si="15"/>
        <v>1317.26</v>
      </c>
      <c r="N70" s="7">
        <f t="shared" si="16"/>
        <v>-16.3</v>
      </c>
      <c r="O70" s="7">
        <f t="shared" si="17"/>
        <v>11022.700000000003</v>
      </c>
      <c r="P70" s="7">
        <f t="shared" si="18"/>
        <v>12269.640000000001</v>
      </c>
      <c r="Q70" s="8">
        <f t="shared" si="19"/>
        <v>11.3</v>
      </c>
    </row>
    <row r="71" spans="1:17" x14ac:dyDescent="0.2">
      <c r="A71" s="1">
        <v>20</v>
      </c>
      <c r="D71" s="1">
        <v>500</v>
      </c>
      <c r="E71" s="5">
        <v>200000</v>
      </c>
      <c r="F71" s="7">
        <f>'BILL CALC'!I40</f>
        <v>13675.480000000001</v>
      </c>
      <c r="G71" s="7">
        <f>'BILL CALC'!R40</f>
        <v>15546.03</v>
      </c>
      <c r="H71" s="7">
        <f t="shared" si="11"/>
        <v>1870.5499999999993</v>
      </c>
      <c r="I71" s="8">
        <f t="shared" si="12"/>
        <v>13.700000000000001</v>
      </c>
      <c r="J71" s="8"/>
      <c r="K71" s="7">
        <f t="shared" si="13"/>
        <v>136.19999999999999</v>
      </c>
      <c r="L71" s="7">
        <f t="shared" si="14"/>
        <v>1018.2</v>
      </c>
      <c r="M71" s="7">
        <f t="shared" si="15"/>
        <v>1796.69</v>
      </c>
      <c r="N71" s="7">
        <f t="shared" si="16"/>
        <v>-32.6</v>
      </c>
      <c r="O71" s="7">
        <f t="shared" si="17"/>
        <v>16593.970000000005</v>
      </c>
      <c r="P71" s="7">
        <f t="shared" si="18"/>
        <v>18464.52</v>
      </c>
      <c r="Q71" s="8">
        <f t="shared" si="19"/>
        <v>11.3</v>
      </c>
    </row>
    <row r="72" spans="1:17" x14ac:dyDescent="0.2">
      <c r="A72" s="1">
        <v>21</v>
      </c>
      <c r="D72" s="1">
        <v>500</v>
      </c>
      <c r="E72" s="5">
        <v>300000</v>
      </c>
      <c r="F72" s="7">
        <f>'BILL CALC'!I41</f>
        <v>17707.18</v>
      </c>
      <c r="G72" s="7">
        <f>'BILL CALC'!R41</f>
        <v>20132.63</v>
      </c>
      <c r="H72" s="7">
        <f t="shared" si="11"/>
        <v>2425.4500000000007</v>
      </c>
      <c r="I72" s="8">
        <f t="shared" si="12"/>
        <v>13.700000000000001</v>
      </c>
      <c r="J72" s="8"/>
      <c r="K72" s="7">
        <f t="shared" si="13"/>
        <v>204.3</v>
      </c>
      <c r="L72" s="7">
        <f t="shared" si="14"/>
        <v>1527.3</v>
      </c>
      <c r="M72" s="7">
        <f t="shared" si="15"/>
        <v>2185.46</v>
      </c>
      <c r="N72" s="7">
        <f t="shared" si="16"/>
        <v>-48.9</v>
      </c>
      <c r="O72" s="7">
        <f t="shared" si="17"/>
        <v>21575.339999999997</v>
      </c>
      <c r="P72" s="7">
        <f t="shared" si="18"/>
        <v>24000.789999999997</v>
      </c>
      <c r="Q72" s="8">
        <f t="shared" si="19"/>
        <v>11.200000000000001</v>
      </c>
    </row>
    <row r="73" spans="1:17" x14ac:dyDescent="0.2">
      <c r="E73" s="5"/>
      <c r="F73" s="7"/>
      <c r="G73" s="7"/>
      <c r="H73" s="7"/>
      <c r="I73" s="8"/>
      <c r="J73" s="8"/>
      <c r="K73" s="7"/>
      <c r="L73" s="7"/>
      <c r="M73" s="7"/>
      <c r="N73" s="7"/>
      <c r="O73" s="7"/>
      <c r="P73" s="7"/>
      <c r="Q73" s="8"/>
    </row>
    <row r="74" spans="1:17" ht="15.75" x14ac:dyDescent="0.25">
      <c r="A74" s="1">
        <v>22</v>
      </c>
      <c r="C74" s="46" t="s">
        <v>100</v>
      </c>
      <c r="D74" s="426" t="s">
        <v>126</v>
      </c>
      <c r="E74" s="5"/>
      <c r="F74" s="7"/>
      <c r="G74" s="7"/>
      <c r="H74" s="7"/>
      <c r="I74" s="8"/>
      <c r="J74" s="8"/>
      <c r="K74" s="7"/>
      <c r="L74" s="7"/>
      <c r="M74" s="7"/>
      <c r="N74" s="7"/>
      <c r="O74" s="7"/>
      <c r="P74" s="7"/>
      <c r="Q74" s="8"/>
    </row>
    <row r="75" spans="1:17" x14ac:dyDescent="0.2">
      <c r="A75" s="1">
        <v>23</v>
      </c>
      <c r="D75" s="4" t="s">
        <v>125</v>
      </c>
      <c r="E75" s="5">
        <v>9400</v>
      </c>
      <c r="F75" s="7">
        <f>ROUND(($E75*CUR_EH_KWH_1)+CUR_EH_CST_2,2)</f>
        <v>618.98</v>
      </c>
      <c r="G75" s="7">
        <f>ROUND($E75*PRO_EH_KWH_1+PRO_EH_CST_2,2)</f>
        <v>692.53</v>
      </c>
      <c r="H75" s="7">
        <f>G75-F75</f>
        <v>73.549999999999955</v>
      </c>
      <c r="I75" s="8">
        <f>ROUND(H75/F75,3)*100</f>
        <v>11.899999999999999</v>
      </c>
      <c r="J75" s="8"/>
      <c r="K75" s="7">
        <f>ROUND(E75*CUR_FAC,2)</f>
        <v>6.4</v>
      </c>
      <c r="L75" s="7">
        <f>ROUND(E75*DSM_DIST,2)</f>
        <v>47.86</v>
      </c>
      <c r="M75" s="7">
        <f>ROUND((F75+$L75+$N75-PRO_BASE_FUEL*$E75)*PRO_ESM_NONRES,2)</f>
        <v>80.13</v>
      </c>
      <c r="N75" s="7">
        <f>ROUND(E75*RS_PSM,2)</f>
        <v>-1.53</v>
      </c>
      <c r="O75" s="7">
        <f>F75+K75+L75+M75+N75</f>
        <v>751.84</v>
      </c>
      <c r="P75" s="7">
        <f>G75+K75+L75+M75+N75</f>
        <v>825.39</v>
      </c>
      <c r="Q75" s="8">
        <f>ROUND((P75-O75)/O75,3)*100</f>
        <v>9.8000000000000007</v>
      </c>
    </row>
    <row r="76" spans="1:17" x14ac:dyDescent="0.2">
      <c r="A76" s="1">
        <v>24</v>
      </c>
      <c r="D76" s="4" t="s">
        <v>125</v>
      </c>
      <c r="E76" s="5">
        <v>23600</v>
      </c>
      <c r="F76" s="7">
        <f>ROUND($E76*CUR_EH_KWH_1+CUR_EH_CST_2,2)</f>
        <v>1502.25</v>
      </c>
      <c r="G76" s="7">
        <f>ROUND($E76*PRO_EH_KWH_1+PRO_EH_CST_2,2)</f>
        <v>1693.38</v>
      </c>
      <c r="H76" s="7">
        <f>G76-F76</f>
        <v>191.13000000000011</v>
      </c>
      <c r="I76" s="8">
        <f>ROUND(H76/F76,3)*100</f>
        <v>12.7</v>
      </c>
      <c r="J76" s="8"/>
      <c r="K76" s="7">
        <f>ROUND(E76*CUR_FAC,2)</f>
        <v>16.07</v>
      </c>
      <c r="L76" s="7">
        <f>ROUND(E76*DSM_DIST,2)</f>
        <v>120.15</v>
      </c>
      <c r="M76" s="7">
        <f>ROUND((F76+$L76+$N76-PRO_BASE_FUEL*$E76)*PRO_ESM_NONRES,2)</f>
        <v>191.77</v>
      </c>
      <c r="N76" s="7">
        <f>ROUND(E76*RS_PSM,2)</f>
        <v>-3.85</v>
      </c>
      <c r="O76" s="7">
        <f>F76+K76+L76+M76+N76</f>
        <v>1826.39</v>
      </c>
      <c r="P76" s="7">
        <f>G76+K76+L76+M76+N76</f>
        <v>2017.5200000000002</v>
      </c>
      <c r="Q76" s="8">
        <f>ROUND((P76-O76)/O76,3)*100</f>
        <v>10.5</v>
      </c>
    </row>
    <row r="77" spans="1:17" x14ac:dyDescent="0.2">
      <c r="A77" s="1">
        <v>25</v>
      </c>
      <c r="D77" s="4" t="s">
        <v>125</v>
      </c>
      <c r="E77" s="5">
        <v>37800</v>
      </c>
      <c r="F77" s="7">
        <f>ROUND($E77*CUR_EH_KWH_1+CUR_EH_CST_2,2)</f>
        <v>2385.52</v>
      </c>
      <c r="G77" s="7">
        <f>ROUND($E77*PRO_EH_KWH_1+PRO_EH_CST_2,2)</f>
        <v>2694.22</v>
      </c>
      <c r="H77" s="7">
        <f>G77-F77</f>
        <v>308.69999999999982</v>
      </c>
      <c r="I77" s="8">
        <f>ROUND(H77/F77,3)*100</f>
        <v>12.9</v>
      </c>
      <c r="J77" s="8"/>
      <c r="K77" s="7">
        <f>ROUND(E77*CUR_FAC,2)</f>
        <v>25.74</v>
      </c>
      <c r="L77" s="7">
        <f>ROUND(E77*DSM_DIST,2)</f>
        <v>192.44</v>
      </c>
      <c r="M77" s="7">
        <f>ROUND((F77+$L77+$N77-PRO_BASE_FUEL*$E77)*PRO_ESM_NONRES,2)</f>
        <v>303.41000000000003</v>
      </c>
      <c r="N77" s="7">
        <f>ROUND(E77*RS_PSM,2)</f>
        <v>-6.16</v>
      </c>
      <c r="O77" s="7">
        <f>F77+K77+L77+M77+N77</f>
        <v>2900.95</v>
      </c>
      <c r="P77" s="7">
        <f>G77+K77+L77+M77+N77</f>
        <v>3209.6499999999996</v>
      </c>
      <c r="Q77" s="8">
        <f>ROUND((P77-O77)/O77,3)*100</f>
        <v>10.6</v>
      </c>
    </row>
    <row r="78" spans="1:17" x14ac:dyDescent="0.2">
      <c r="F78" s="7"/>
      <c r="G78" s="7"/>
      <c r="H78" s="7"/>
      <c r="I78" s="8"/>
      <c r="J78" s="8"/>
      <c r="K78" s="7"/>
      <c r="L78" s="7"/>
      <c r="M78" s="7"/>
      <c r="N78" s="7"/>
      <c r="O78" s="7"/>
      <c r="P78" s="7"/>
      <c r="Q78" s="8"/>
    </row>
    <row r="79" spans="1:17" ht="15.75" x14ac:dyDescent="0.25">
      <c r="C79" s="46" t="s">
        <v>500</v>
      </c>
    </row>
    <row r="80" spans="1:17" ht="15.75" x14ac:dyDescent="0.25">
      <c r="C80" s="46" t="str">
        <f>"(1) REFLECTS FUEL ADJUSTMENT COMPONENT (FAC) OF "&amp;TEXT(CUR_FAC,"$0.000000;($0.000000)")&amp;" PER KWH."</f>
        <v>(1) REFLECTS FUEL ADJUSTMENT COMPONENT (FAC) OF $0.000681 PER KWH.</v>
      </c>
      <c r="H80" s="7"/>
      <c r="I80" s="8"/>
      <c r="J80" s="8"/>
      <c r="K80" s="7"/>
      <c r="L80" s="7"/>
      <c r="M80" s="7"/>
      <c r="N80" s="7"/>
      <c r="O80" s="7"/>
      <c r="P80" s="7"/>
      <c r="Q80" s="8"/>
    </row>
    <row r="81" spans="1:17" ht="15.75" x14ac:dyDescent="0.25">
      <c r="A81" s="3"/>
      <c r="C81" s="46" t="str">
        <f>"(2) RIDER DSMR "&amp;TEXT(DSM_DIST,"$0.000000;($0.000000)")&amp;" PER KWH."</f>
        <v>(2) RIDER DSMR $0.005091 PER KWH.</v>
      </c>
      <c r="H81" s="7"/>
      <c r="K81" s="7"/>
      <c r="L81" s="7"/>
      <c r="M81" s="7"/>
      <c r="N81" s="7"/>
    </row>
    <row r="82" spans="1:17" ht="15.75" x14ac:dyDescent="0.25">
      <c r="A82" s="3"/>
      <c r="C82" s="46" t="str">
        <f>"(3) RIDER ESM "&amp;TEXT(CUR_ESM_NONRES,"00.00%")&amp;"  OF TOTAL CURRENT BILL."</f>
        <v>(3) RIDER ESM 18.16%  OF TOTAL CURRENT BILL.</v>
      </c>
      <c r="H82" s="7"/>
      <c r="K82" s="7"/>
      <c r="L82" s="7"/>
      <c r="M82" s="7"/>
      <c r="N82" s="7"/>
    </row>
    <row r="83" spans="1:17" ht="15.75" x14ac:dyDescent="0.25">
      <c r="A83" s="3"/>
      <c r="C83" s="46" t="str">
        <f>"(4) RIDER PSM  "&amp;TEXT(RS_PSM,"$0.000000;($0.000000)")&amp;" PER KWH."</f>
        <v>(4) RIDER PSM  ($0.000163) PER KWH.</v>
      </c>
      <c r="H83" s="7"/>
      <c r="K83" s="7"/>
      <c r="L83" s="7"/>
      <c r="M83" s="7"/>
      <c r="N83" s="7"/>
    </row>
    <row r="84" spans="1:17" ht="15.75" x14ac:dyDescent="0.25">
      <c r="A84" s="3"/>
      <c r="C84" s="46" t="str">
        <f>"(5) REFLECTS FUEL COST RECOVERY INCLUDED IN BASE RATES OF "&amp;TEXT(CUR_BASE_FUEL,"$0.000000;($0.000000)")&amp;"  PER KWH."</f>
        <v>(5) REFLECTS FUEL COST RECOVERY INCLUDED IN BASE RATES OF $0.023837  PER KWH.</v>
      </c>
      <c r="H84" s="7"/>
      <c r="K84" s="7"/>
      <c r="L84" s="7"/>
      <c r="M84" s="7"/>
      <c r="N84" s="7"/>
    </row>
    <row r="85" spans="1:17" ht="15.75" x14ac:dyDescent="0.25">
      <c r="A85" s="43" t="str">
        <f>NAME</f>
        <v>DUKE ENERGY KENTUCKY, INC.</v>
      </c>
      <c r="B85" s="43"/>
      <c r="C85" s="43"/>
      <c r="D85" s="43"/>
      <c r="E85" s="43"/>
      <c r="F85" s="43"/>
      <c r="G85" s="44"/>
      <c r="H85" s="43"/>
      <c r="I85" s="43"/>
      <c r="J85" s="43"/>
      <c r="K85" s="43"/>
      <c r="L85" s="43"/>
      <c r="M85" s="43"/>
      <c r="N85" s="43"/>
      <c r="O85" s="43"/>
      <c r="P85" s="43"/>
      <c r="Q85" s="43"/>
    </row>
    <row r="86" spans="1:17" ht="15.75" x14ac:dyDescent="0.25">
      <c r="A86" s="43" t="str">
        <f>CASE_NO</f>
        <v>CASE NO.   2019-000271</v>
      </c>
      <c r="B86" s="43"/>
      <c r="C86" s="43"/>
      <c r="D86" s="43"/>
      <c r="E86" s="43"/>
      <c r="F86" s="43"/>
      <c r="G86" s="44"/>
      <c r="H86" s="43"/>
      <c r="I86" s="43"/>
      <c r="J86" s="43"/>
      <c r="K86" s="43"/>
      <c r="L86" s="43"/>
      <c r="M86" s="43"/>
      <c r="N86" s="43"/>
      <c r="O86" s="43"/>
      <c r="P86" s="43"/>
      <c r="Q86" s="43"/>
    </row>
    <row r="87" spans="1:17" ht="15.75" x14ac:dyDescent="0.25">
      <c r="A87" s="44" t="s">
        <v>178</v>
      </c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</row>
    <row r="88" spans="1:17" ht="15.75" x14ac:dyDescent="0.25">
      <c r="A88" s="44" t="str">
        <f>SERVICE</f>
        <v>(ELECTRIC SERVICE)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</row>
    <row r="89" spans="1:17" ht="15.75" x14ac:dyDescent="0.25">
      <c r="A89" s="46"/>
      <c r="B89" s="378"/>
      <c r="C89" s="378"/>
      <c r="D89" s="378"/>
      <c r="E89" s="378"/>
      <c r="F89" s="378"/>
      <c r="G89" s="378"/>
      <c r="H89" s="378"/>
      <c r="I89" s="378"/>
      <c r="J89" s="378"/>
      <c r="K89" s="378"/>
      <c r="L89" s="378"/>
      <c r="M89" s="378"/>
      <c r="N89" s="378"/>
      <c r="O89" s="378"/>
      <c r="P89" s="378"/>
      <c r="Q89" s="378"/>
    </row>
    <row r="90" spans="1:17" ht="15.75" x14ac:dyDescent="0.25">
      <c r="A90" s="45" t="str">
        <f>DATA_PERIOD</f>
        <v>DATA: __X__ BASE PERIOD   ____FORECASTED PERIOD</v>
      </c>
      <c r="B90" s="378"/>
      <c r="C90" s="378"/>
      <c r="D90" s="378"/>
      <c r="E90" s="378"/>
      <c r="F90" s="378"/>
      <c r="G90" s="378"/>
      <c r="H90" s="378"/>
      <c r="I90" s="378"/>
      <c r="J90" s="378"/>
      <c r="K90" s="378"/>
      <c r="L90" s="378"/>
      <c r="M90" s="378"/>
      <c r="N90" s="378"/>
      <c r="O90" s="378"/>
      <c r="P90" s="46" t="s">
        <v>179</v>
      </c>
      <c r="Q90" s="378"/>
    </row>
    <row r="91" spans="1:17" ht="15.75" x14ac:dyDescent="0.25">
      <c r="A91" s="45" t="str">
        <f>TYPE</f>
        <v>TYPE OF FILING: _X_ ORIGINAL   ___UPDATED  ___ REVISED</v>
      </c>
      <c r="B91" s="378"/>
      <c r="C91" s="378"/>
      <c r="D91" s="378"/>
      <c r="E91" s="378"/>
      <c r="F91" s="378"/>
      <c r="G91" s="378"/>
      <c r="H91" s="378"/>
      <c r="I91" s="378"/>
      <c r="J91" s="378"/>
      <c r="K91" s="378"/>
      <c r="L91" s="378"/>
      <c r="M91" s="378"/>
      <c r="N91" s="378"/>
      <c r="O91" s="378"/>
      <c r="P91" s="46" t="s">
        <v>133</v>
      </c>
      <c r="Q91" s="378"/>
    </row>
    <row r="92" spans="1:17" ht="15.75" x14ac:dyDescent="0.25">
      <c r="A92" s="46" t="s">
        <v>106</v>
      </c>
      <c r="B92" s="378"/>
      <c r="C92" s="378"/>
      <c r="D92" s="378"/>
      <c r="E92" s="378"/>
      <c r="F92" s="378"/>
      <c r="G92" s="378"/>
      <c r="H92" s="378"/>
      <c r="I92" s="378"/>
      <c r="J92" s="378"/>
      <c r="K92" s="378"/>
      <c r="L92" s="378"/>
      <c r="M92" s="378"/>
      <c r="N92" s="378"/>
      <c r="O92" s="378"/>
      <c r="P92" s="46" t="s">
        <v>3</v>
      </c>
      <c r="Q92" s="378"/>
    </row>
    <row r="93" spans="1:17" ht="15.75" x14ac:dyDescent="0.25">
      <c r="A93" s="218" t="str">
        <f>TIME</f>
        <v>6 Months Actual and 6 Months Projected with Riders</v>
      </c>
      <c r="B93" s="378"/>
      <c r="C93" s="378"/>
      <c r="D93" s="378"/>
      <c r="E93" s="378"/>
      <c r="F93" s="378"/>
      <c r="G93" s="378"/>
      <c r="H93" s="378"/>
      <c r="I93" s="378"/>
      <c r="J93" s="378"/>
      <c r="K93" s="378"/>
      <c r="L93" s="378"/>
      <c r="M93" s="378"/>
      <c r="N93" s="378"/>
      <c r="O93" s="378"/>
      <c r="P93" s="45" t="str">
        <f>WIT</f>
        <v>J. L. Kern</v>
      </c>
      <c r="Q93" s="378"/>
    </row>
    <row r="94" spans="1:17" x14ac:dyDescent="0.2">
      <c r="A94" s="595" t="s">
        <v>499</v>
      </c>
      <c r="B94" s="595"/>
      <c r="C94" s="595"/>
      <c r="D94" s="595"/>
      <c r="E94" s="595"/>
      <c r="F94" s="595"/>
      <c r="G94" s="595"/>
      <c r="H94" s="595"/>
      <c r="I94" s="595"/>
      <c r="J94" s="595"/>
      <c r="K94" s="595"/>
      <c r="L94" s="595"/>
      <c r="M94" s="595"/>
      <c r="N94" s="595"/>
      <c r="O94" s="595"/>
      <c r="P94" s="595"/>
      <c r="Q94" s="595"/>
    </row>
    <row r="95" spans="1:17" ht="15.75" x14ac:dyDescent="0.25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</row>
    <row r="96" spans="1:17" ht="15.75" x14ac:dyDescent="0.25">
      <c r="A96" s="378"/>
      <c r="B96" s="378"/>
      <c r="C96" s="378"/>
      <c r="D96" s="378"/>
      <c r="E96" s="378"/>
      <c r="F96" s="378"/>
      <c r="G96" s="378"/>
      <c r="H96" s="378"/>
      <c r="I96" s="378"/>
      <c r="J96" s="378"/>
      <c r="K96" s="378"/>
      <c r="L96" s="378"/>
      <c r="M96" s="378"/>
      <c r="N96" s="378"/>
      <c r="O96" s="378"/>
      <c r="P96" s="378"/>
      <c r="Q96" s="378"/>
    </row>
    <row r="97" spans="1:24" ht="15.75" x14ac:dyDescent="0.25">
      <c r="A97" s="378"/>
      <c r="B97" s="378"/>
      <c r="C97" s="378"/>
      <c r="D97" s="378"/>
      <c r="E97" s="378"/>
      <c r="F97" s="15" t="s">
        <v>436</v>
      </c>
      <c r="G97" s="119"/>
      <c r="H97" s="119"/>
      <c r="I97" s="119"/>
      <c r="J97" s="57"/>
      <c r="K97" s="594" t="s">
        <v>418</v>
      </c>
      <c r="L97" s="594"/>
      <c r="M97" s="594"/>
      <c r="N97" s="594"/>
      <c r="O97" s="426" t="s">
        <v>11</v>
      </c>
      <c r="P97" s="426" t="s">
        <v>11</v>
      </c>
      <c r="Q97" s="378"/>
    </row>
    <row r="98" spans="1:24" ht="17.100000000000001" customHeight="1" x14ac:dyDescent="0.25">
      <c r="A98" s="378"/>
      <c r="B98" s="378"/>
      <c r="C98" s="378"/>
      <c r="D98" s="426" t="s">
        <v>107</v>
      </c>
      <c r="E98" s="426" t="s">
        <v>107</v>
      </c>
      <c r="F98" s="378"/>
      <c r="G98" s="378"/>
      <c r="H98" s="426" t="s">
        <v>108</v>
      </c>
      <c r="I98" s="426" t="s">
        <v>109</v>
      </c>
      <c r="J98" s="426"/>
      <c r="K98" s="378"/>
      <c r="L98" s="378"/>
      <c r="N98" s="378"/>
      <c r="O98" s="426" t="s">
        <v>8</v>
      </c>
      <c r="P98" s="426" t="s">
        <v>6</v>
      </c>
      <c r="Q98" s="426" t="s">
        <v>109</v>
      </c>
    </row>
    <row r="99" spans="1:24" ht="15.75" x14ac:dyDescent="0.25">
      <c r="A99" s="378"/>
      <c r="B99" s="378"/>
      <c r="C99" s="378"/>
      <c r="D99" s="426" t="s">
        <v>110</v>
      </c>
      <c r="E99" s="426" t="s">
        <v>110</v>
      </c>
      <c r="F99" s="426" t="s">
        <v>8</v>
      </c>
      <c r="G99" s="426" t="s">
        <v>6</v>
      </c>
      <c r="H99" s="426" t="s">
        <v>111</v>
      </c>
      <c r="I99" s="426" t="s">
        <v>111</v>
      </c>
      <c r="J99" s="426"/>
      <c r="K99" s="426" t="s">
        <v>264</v>
      </c>
      <c r="L99" s="426" t="s">
        <v>264</v>
      </c>
      <c r="M99" s="426" t="s">
        <v>264</v>
      </c>
      <c r="N99" s="426" t="s">
        <v>264</v>
      </c>
      <c r="O99" s="426" t="s">
        <v>113</v>
      </c>
      <c r="P99" s="426" t="s">
        <v>113</v>
      </c>
      <c r="Q99" s="426" t="s">
        <v>111</v>
      </c>
    </row>
    <row r="100" spans="1:24" ht="15.75" x14ac:dyDescent="0.25">
      <c r="A100" s="426" t="s">
        <v>17</v>
      </c>
      <c r="B100" s="378"/>
      <c r="C100" s="46" t="s">
        <v>18</v>
      </c>
      <c r="D100" s="426" t="s">
        <v>115</v>
      </c>
      <c r="E100" s="70" t="s">
        <v>116</v>
      </c>
      <c r="F100" s="70" t="s">
        <v>706</v>
      </c>
      <c r="G100" s="70" t="s">
        <v>706</v>
      </c>
      <c r="H100" s="265" t="s">
        <v>117</v>
      </c>
      <c r="I100" s="265" t="s">
        <v>118</v>
      </c>
      <c r="J100" s="426"/>
      <c r="K100" s="426" t="s">
        <v>416</v>
      </c>
      <c r="L100" s="70" t="s">
        <v>267</v>
      </c>
      <c r="M100" s="70" t="s">
        <v>644</v>
      </c>
      <c r="N100" s="70" t="s">
        <v>705</v>
      </c>
      <c r="O100" s="439" t="s">
        <v>822</v>
      </c>
      <c r="P100" s="439" t="s">
        <v>823</v>
      </c>
      <c r="Q100" s="439" t="s">
        <v>824</v>
      </c>
    </row>
    <row r="101" spans="1:24" ht="15.75" x14ac:dyDescent="0.25">
      <c r="A101" s="80" t="s">
        <v>24</v>
      </c>
      <c r="B101" s="71"/>
      <c r="C101" s="120" t="s">
        <v>25</v>
      </c>
      <c r="D101" s="578" t="s">
        <v>35</v>
      </c>
      <c r="E101" s="578" t="s">
        <v>36</v>
      </c>
      <c r="F101" s="578" t="s">
        <v>37</v>
      </c>
      <c r="G101" s="578" t="s">
        <v>38</v>
      </c>
      <c r="H101" s="578" t="s">
        <v>39</v>
      </c>
      <c r="I101" s="578" t="s">
        <v>40</v>
      </c>
      <c r="J101" s="578"/>
      <c r="K101" s="578" t="s">
        <v>41</v>
      </c>
      <c r="L101" s="578" t="s">
        <v>42</v>
      </c>
      <c r="M101" s="430" t="s">
        <v>43</v>
      </c>
      <c r="N101" s="429" t="s">
        <v>44</v>
      </c>
      <c r="O101" s="429" t="s">
        <v>45</v>
      </c>
      <c r="P101" s="429" t="s">
        <v>46</v>
      </c>
      <c r="Q101" s="429" t="s">
        <v>47</v>
      </c>
      <c r="U101" s="2" t="s">
        <v>635</v>
      </c>
      <c r="W101" s="2" t="s">
        <v>636</v>
      </c>
    </row>
    <row r="102" spans="1:24" ht="15.75" x14ac:dyDescent="0.25">
      <c r="A102" s="378"/>
      <c r="B102" s="378"/>
      <c r="C102" s="378"/>
      <c r="D102" s="441" t="s">
        <v>124</v>
      </c>
      <c r="E102" s="441" t="s">
        <v>51</v>
      </c>
      <c r="F102" s="441" t="s">
        <v>52</v>
      </c>
      <c r="G102" s="441" t="s">
        <v>52</v>
      </c>
      <c r="H102" s="441" t="s">
        <v>52</v>
      </c>
      <c r="I102" s="441" t="s">
        <v>53</v>
      </c>
      <c r="J102" s="441"/>
      <c r="K102" s="441" t="s">
        <v>52</v>
      </c>
      <c r="L102" s="441" t="s">
        <v>52</v>
      </c>
      <c r="M102" s="441" t="s">
        <v>52</v>
      </c>
      <c r="N102" s="441" t="s">
        <v>52</v>
      </c>
      <c r="O102" s="441" t="s">
        <v>52</v>
      </c>
      <c r="P102" s="441" t="s">
        <v>52</v>
      </c>
      <c r="Q102" s="441" t="s">
        <v>53</v>
      </c>
      <c r="U102" s="2" t="s">
        <v>181</v>
      </c>
      <c r="V102" s="2" t="s">
        <v>182</v>
      </c>
      <c r="W102" s="2" t="s">
        <v>181</v>
      </c>
      <c r="X102" s="2" t="s">
        <v>182</v>
      </c>
    </row>
    <row r="103" spans="1:24" ht="15.75" x14ac:dyDescent="0.25">
      <c r="A103" s="1">
        <v>1</v>
      </c>
      <c r="C103" s="46" t="s">
        <v>134</v>
      </c>
      <c r="D103" s="5">
        <v>500</v>
      </c>
      <c r="E103" s="5">
        <v>144000</v>
      </c>
      <c r="F103" s="7">
        <f t="shared" ref="F103:F112" si="20">ROUND($E103*$U$103*CUR_DT_SUM_E_ON,2)+ROUND($E103*(1-$U$103)*CUR_DT_SUM_E_OFF,2)+ROUND($D103*$W$103*CUR_DT_SEC_DEMON,2)+ROUND($D103*(1-$W$103)*CUR_DT_SEC_DEMOFF,2)+CUR_DT_SEC_CST3</f>
        <v>12315.170000000002</v>
      </c>
      <c r="G103" s="7">
        <f t="shared" ref="G103:G112" si="21">ROUND($E103*$U$103*PRO_DT_SUM_E_ON,2)+ROUND($E103*(1-$U$103)*PRO_DT_SUM_E_OFF,2)+ROUND($D103*$W$103*PRO_DT_SUM_PEAK,2)+ROUND($D103*(1-$W$103)*PRO_DT_SUM_PK_OFF,2)+PRO_DT_SEC_CST3</f>
        <v>13794.67</v>
      </c>
      <c r="H103" s="7">
        <f t="shared" ref="H103:H112" si="22">G103-F103</f>
        <v>1479.4999999999982</v>
      </c>
      <c r="I103" s="8">
        <f t="shared" ref="I103:I112" si="23">ROUND(H103/F103,3)*100</f>
        <v>12</v>
      </c>
      <c r="J103" s="8"/>
      <c r="K103" s="7">
        <f t="shared" ref="K103:K112" si="24">ROUND(E103*CUR_FAC,2)</f>
        <v>98.06</v>
      </c>
      <c r="L103" s="7">
        <f t="shared" ref="L103:L112" si="25">ROUND(E103*DSM_DIST,2)</f>
        <v>733.1</v>
      </c>
      <c r="M103" s="7">
        <f t="shared" ref="M103:M112" si="26">ROUND((F103+$L103+$N103-PRO_BASE_FUEL*$E103)*PRO_ESM_NONRES,2)</f>
        <v>1741.96</v>
      </c>
      <c r="N103" s="7">
        <f t="shared" ref="N103:N112" si="27">ROUND(E103*RS_PSM,2)</f>
        <v>-23.47</v>
      </c>
      <c r="O103" s="7">
        <f t="shared" ref="O103:O112" si="28">F103+K103+L103+M103+N103</f>
        <v>14864.820000000002</v>
      </c>
      <c r="P103" s="7">
        <f t="shared" ref="P103:P112" si="29">G103+K103+L103+M103+N103</f>
        <v>16344.320000000002</v>
      </c>
      <c r="Q103" s="6">
        <f>ROUND((P103-O103)/O103,3)*100</f>
        <v>10</v>
      </c>
      <c r="U103" s="2">
        <f>'Rate DT-Sec'!H33/'Rate DT-Sec'!H35</f>
        <v>0.29625994517900389</v>
      </c>
      <c r="V103" s="2">
        <f>'Rate DT-Sec'!H49/'Rate DT-Sec'!H51</f>
        <v>0.28850687384407764</v>
      </c>
      <c r="W103" s="2">
        <f>'Rate DT-Sec'!H28/'Rate DT-Sec'!H30</f>
        <v>0.97427462369795303</v>
      </c>
      <c r="X103" s="2">
        <f>'Rate DT-Sec'!H44/'Rate DT-Sec'!H46</f>
        <v>0.98001176853035632</v>
      </c>
    </row>
    <row r="104" spans="1:24" x14ac:dyDescent="0.2">
      <c r="A104" s="1">
        <v>2</v>
      </c>
      <c r="D104" s="5">
        <v>500</v>
      </c>
      <c r="E104" s="5">
        <v>288000</v>
      </c>
      <c r="F104" s="7">
        <f t="shared" si="20"/>
        <v>17774.640000000003</v>
      </c>
      <c r="G104" s="7">
        <f t="shared" si="21"/>
        <v>19915.190000000002</v>
      </c>
      <c r="H104" s="7">
        <f t="shared" si="22"/>
        <v>2140.5499999999993</v>
      </c>
      <c r="I104" s="8">
        <f t="shared" si="23"/>
        <v>12</v>
      </c>
      <c r="J104" s="8"/>
      <c r="K104" s="7">
        <f t="shared" si="24"/>
        <v>196.13</v>
      </c>
      <c r="L104" s="7">
        <f t="shared" si="25"/>
        <v>1466.21</v>
      </c>
      <c r="M104" s="7">
        <f t="shared" si="26"/>
        <v>2238.92</v>
      </c>
      <c r="N104" s="7">
        <f t="shared" si="27"/>
        <v>-46.94</v>
      </c>
      <c r="O104" s="7">
        <f t="shared" si="28"/>
        <v>21628.960000000003</v>
      </c>
      <c r="P104" s="7">
        <f t="shared" si="29"/>
        <v>23769.510000000006</v>
      </c>
      <c r="Q104" s="8">
        <f t="shared" ref="Q104:Q112" si="30">ROUND((P104-O104)/O104,3)*100</f>
        <v>9.9</v>
      </c>
    </row>
    <row r="105" spans="1:24" x14ac:dyDescent="0.2">
      <c r="A105" s="1">
        <v>3</v>
      </c>
      <c r="D105" s="5">
        <v>800</v>
      </c>
      <c r="E105" s="5">
        <v>230400</v>
      </c>
      <c r="F105" s="7">
        <f t="shared" si="20"/>
        <v>19628.07</v>
      </c>
      <c r="G105" s="7">
        <f t="shared" si="21"/>
        <v>21993.47</v>
      </c>
      <c r="H105" s="7">
        <f t="shared" si="22"/>
        <v>2365.4000000000015</v>
      </c>
      <c r="I105" s="8">
        <f t="shared" si="23"/>
        <v>12.1</v>
      </c>
      <c r="J105" s="8"/>
      <c r="K105" s="7">
        <f t="shared" si="24"/>
        <v>156.9</v>
      </c>
      <c r="L105" s="7">
        <f t="shared" si="25"/>
        <v>1172.97</v>
      </c>
      <c r="M105" s="7">
        <f t="shared" si="26"/>
        <v>2773.29</v>
      </c>
      <c r="N105" s="7">
        <f t="shared" si="27"/>
        <v>-37.56</v>
      </c>
      <c r="O105" s="7">
        <f t="shared" si="28"/>
        <v>23693.670000000002</v>
      </c>
      <c r="P105" s="7">
        <f t="shared" si="29"/>
        <v>26059.070000000003</v>
      </c>
      <c r="Q105" s="8">
        <f t="shared" si="30"/>
        <v>10</v>
      </c>
    </row>
    <row r="106" spans="1:24" x14ac:dyDescent="0.2">
      <c r="A106" s="1">
        <v>4</v>
      </c>
      <c r="D106" s="5">
        <v>800</v>
      </c>
      <c r="E106" s="5">
        <v>460800</v>
      </c>
      <c r="F106" s="7">
        <f t="shared" si="20"/>
        <v>28363.219999999998</v>
      </c>
      <c r="G106" s="7">
        <f t="shared" si="21"/>
        <v>31786.309999999998</v>
      </c>
      <c r="H106" s="7">
        <f t="shared" si="22"/>
        <v>3423.09</v>
      </c>
      <c r="I106" s="8">
        <f t="shared" si="23"/>
        <v>12.1</v>
      </c>
      <c r="J106" s="8"/>
      <c r="K106" s="7">
        <f t="shared" si="24"/>
        <v>313.8</v>
      </c>
      <c r="L106" s="7">
        <f t="shared" si="25"/>
        <v>2345.9299999999998</v>
      </c>
      <c r="M106" s="7">
        <f t="shared" si="26"/>
        <v>3568.43</v>
      </c>
      <c r="N106" s="7">
        <f t="shared" si="27"/>
        <v>-75.11</v>
      </c>
      <c r="O106" s="7">
        <f t="shared" si="28"/>
        <v>34516.269999999997</v>
      </c>
      <c r="P106" s="7">
        <f t="shared" si="29"/>
        <v>37939.359999999993</v>
      </c>
      <c r="Q106" s="8">
        <f t="shared" si="30"/>
        <v>9.9</v>
      </c>
    </row>
    <row r="107" spans="1:24" x14ac:dyDescent="0.2">
      <c r="A107" s="1">
        <v>5</v>
      </c>
      <c r="D107" s="5">
        <v>1000</v>
      </c>
      <c r="E107" s="5">
        <v>288000</v>
      </c>
      <c r="F107" s="7">
        <f t="shared" si="20"/>
        <v>24503.340000000004</v>
      </c>
      <c r="G107" s="7">
        <f t="shared" si="21"/>
        <v>27459.34</v>
      </c>
      <c r="H107" s="7">
        <f t="shared" si="22"/>
        <v>2955.9999999999964</v>
      </c>
      <c r="I107" s="8">
        <f t="shared" si="23"/>
        <v>12.1</v>
      </c>
      <c r="J107" s="8"/>
      <c r="K107" s="7">
        <f t="shared" si="24"/>
        <v>196.13</v>
      </c>
      <c r="L107" s="7">
        <f t="shared" si="25"/>
        <v>1466.21</v>
      </c>
      <c r="M107" s="7">
        <f t="shared" si="26"/>
        <v>3460.85</v>
      </c>
      <c r="N107" s="7">
        <f t="shared" si="27"/>
        <v>-46.94</v>
      </c>
      <c r="O107" s="7">
        <f t="shared" si="28"/>
        <v>29579.590000000004</v>
      </c>
      <c r="P107" s="7">
        <f t="shared" si="29"/>
        <v>32535.59</v>
      </c>
      <c r="Q107" s="8">
        <f t="shared" si="30"/>
        <v>10</v>
      </c>
    </row>
    <row r="108" spans="1:24" x14ac:dyDescent="0.2">
      <c r="A108" s="1">
        <v>6</v>
      </c>
      <c r="D108" s="5">
        <v>1000</v>
      </c>
      <c r="E108" s="5">
        <v>576000</v>
      </c>
      <c r="F108" s="7">
        <f t="shared" si="20"/>
        <v>35422.280000000006</v>
      </c>
      <c r="G108" s="7">
        <f t="shared" si="21"/>
        <v>39700.370000000003</v>
      </c>
      <c r="H108" s="7">
        <f t="shared" si="22"/>
        <v>4278.0899999999965</v>
      </c>
      <c r="I108" s="8">
        <f t="shared" si="23"/>
        <v>12.1</v>
      </c>
      <c r="J108" s="8"/>
      <c r="K108" s="7">
        <f t="shared" si="24"/>
        <v>392.26</v>
      </c>
      <c r="L108" s="7">
        <f t="shared" si="25"/>
        <v>2932.42</v>
      </c>
      <c r="M108" s="7">
        <f t="shared" si="26"/>
        <v>4454.7700000000004</v>
      </c>
      <c r="N108" s="7">
        <f t="shared" si="27"/>
        <v>-93.89</v>
      </c>
      <c r="O108" s="7">
        <f t="shared" si="28"/>
        <v>43107.840000000011</v>
      </c>
      <c r="P108" s="7">
        <f t="shared" si="29"/>
        <v>47385.930000000008</v>
      </c>
      <c r="Q108" s="8">
        <f t="shared" si="30"/>
        <v>9.9</v>
      </c>
    </row>
    <row r="109" spans="1:24" x14ac:dyDescent="0.2">
      <c r="A109" s="1">
        <v>7</v>
      </c>
      <c r="D109" s="5">
        <v>1200</v>
      </c>
      <c r="E109" s="5">
        <v>345600</v>
      </c>
      <c r="F109" s="7">
        <f t="shared" si="20"/>
        <v>29378.61</v>
      </c>
      <c r="G109" s="7">
        <f t="shared" si="21"/>
        <v>32925.21</v>
      </c>
      <c r="H109" s="7">
        <f t="shared" si="22"/>
        <v>3546.5999999999985</v>
      </c>
      <c r="I109" s="8">
        <f t="shared" si="23"/>
        <v>12.1</v>
      </c>
      <c r="J109" s="8"/>
      <c r="K109" s="7">
        <f t="shared" si="24"/>
        <v>235.35</v>
      </c>
      <c r="L109" s="7">
        <f t="shared" si="25"/>
        <v>1759.45</v>
      </c>
      <c r="M109" s="7">
        <f t="shared" si="26"/>
        <v>4148.41</v>
      </c>
      <c r="N109" s="7">
        <f t="shared" si="27"/>
        <v>-56.33</v>
      </c>
      <c r="O109" s="7">
        <f t="shared" si="28"/>
        <v>35465.49</v>
      </c>
      <c r="P109" s="7">
        <f t="shared" si="29"/>
        <v>39012.089999999997</v>
      </c>
      <c r="Q109" s="8">
        <f t="shared" si="30"/>
        <v>10</v>
      </c>
    </row>
    <row r="110" spans="1:24" x14ac:dyDescent="0.2">
      <c r="A110" s="1">
        <v>8</v>
      </c>
      <c r="D110" s="5">
        <v>1200</v>
      </c>
      <c r="E110" s="5">
        <v>691200</v>
      </c>
      <c r="F110" s="7">
        <f t="shared" si="20"/>
        <v>42481.34</v>
      </c>
      <c r="G110" s="7">
        <f t="shared" si="21"/>
        <v>47614.45</v>
      </c>
      <c r="H110" s="7">
        <f t="shared" si="22"/>
        <v>5133.1100000000006</v>
      </c>
      <c r="I110" s="8">
        <f t="shared" si="23"/>
        <v>12.1</v>
      </c>
      <c r="J110" s="8"/>
      <c r="K110" s="7">
        <f t="shared" si="24"/>
        <v>470.71</v>
      </c>
      <c r="L110" s="7">
        <f t="shared" si="25"/>
        <v>3518.9</v>
      </c>
      <c r="M110" s="7">
        <f t="shared" si="26"/>
        <v>5341.12</v>
      </c>
      <c r="N110" s="7">
        <f t="shared" si="27"/>
        <v>-112.67</v>
      </c>
      <c r="O110" s="7">
        <f t="shared" si="28"/>
        <v>51699.4</v>
      </c>
      <c r="P110" s="7">
        <f t="shared" si="29"/>
        <v>56832.51</v>
      </c>
      <c r="Q110" s="8">
        <f t="shared" si="30"/>
        <v>9.9</v>
      </c>
    </row>
    <row r="111" spans="1:24" x14ac:dyDescent="0.2">
      <c r="A111" s="1">
        <v>9</v>
      </c>
      <c r="D111" s="5">
        <v>1500</v>
      </c>
      <c r="E111" s="5">
        <v>432000</v>
      </c>
      <c r="F111" s="7">
        <f t="shared" si="20"/>
        <v>36691.519999999997</v>
      </c>
      <c r="G111" s="7">
        <f t="shared" si="21"/>
        <v>41124.01</v>
      </c>
      <c r="H111" s="7">
        <f t="shared" si="22"/>
        <v>4432.4900000000052</v>
      </c>
      <c r="I111" s="8">
        <f t="shared" si="23"/>
        <v>12.1</v>
      </c>
      <c r="J111" s="8"/>
      <c r="K111" s="7">
        <f t="shared" si="24"/>
        <v>294.19</v>
      </c>
      <c r="L111" s="7">
        <f t="shared" si="25"/>
        <v>2199.31</v>
      </c>
      <c r="M111" s="7">
        <f t="shared" si="26"/>
        <v>5179.75</v>
      </c>
      <c r="N111" s="7">
        <f t="shared" si="27"/>
        <v>-70.42</v>
      </c>
      <c r="O111" s="7">
        <f t="shared" si="28"/>
        <v>44294.35</v>
      </c>
      <c r="P111" s="7">
        <f t="shared" si="29"/>
        <v>48726.840000000004</v>
      </c>
      <c r="Q111" s="8">
        <f t="shared" si="30"/>
        <v>10</v>
      </c>
    </row>
    <row r="112" spans="1:24" x14ac:dyDescent="0.2">
      <c r="A112" s="1">
        <v>10</v>
      </c>
      <c r="D112" s="5">
        <v>1500</v>
      </c>
      <c r="E112" s="5">
        <v>864000</v>
      </c>
      <c r="F112" s="7">
        <f t="shared" si="20"/>
        <v>53069.919999999998</v>
      </c>
      <c r="G112" s="7">
        <f t="shared" si="21"/>
        <v>59485.56</v>
      </c>
      <c r="H112" s="7">
        <f t="shared" si="22"/>
        <v>6415.6399999999994</v>
      </c>
      <c r="I112" s="8">
        <f t="shared" si="23"/>
        <v>12.1</v>
      </c>
      <c r="J112" s="8"/>
      <c r="K112" s="7">
        <f t="shared" si="24"/>
        <v>588.38</v>
      </c>
      <c r="L112" s="7">
        <f t="shared" si="25"/>
        <v>4398.62</v>
      </c>
      <c r="M112" s="7">
        <f t="shared" si="26"/>
        <v>6670.63</v>
      </c>
      <c r="N112" s="7">
        <f t="shared" si="27"/>
        <v>-140.83000000000001</v>
      </c>
      <c r="O112" s="7">
        <f t="shared" si="28"/>
        <v>64586.719999999994</v>
      </c>
      <c r="P112" s="7">
        <f t="shared" si="29"/>
        <v>71002.36</v>
      </c>
      <c r="Q112" s="8">
        <f t="shared" si="30"/>
        <v>9.9</v>
      </c>
    </row>
    <row r="113" spans="1:17" x14ac:dyDescent="0.2">
      <c r="D113" s="5"/>
      <c r="E113" s="5"/>
      <c r="K113" s="7"/>
      <c r="L113" s="7"/>
      <c r="M113" s="7"/>
      <c r="N113" s="7"/>
      <c r="O113" s="7"/>
      <c r="P113" s="7"/>
    </row>
    <row r="114" spans="1:17" ht="15.75" x14ac:dyDescent="0.25">
      <c r="A114" s="1">
        <v>11</v>
      </c>
      <c r="C114" s="46" t="s">
        <v>135</v>
      </c>
      <c r="D114" s="5">
        <v>500</v>
      </c>
      <c r="E114" s="5">
        <v>144000</v>
      </c>
      <c r="F114" s="7">
        <f t="shared" ref="F114:F123" si="31">ROUND($E114*$V$103*CUR_DT_WIN_E_ON,2)+ROUND($E114*(1-$V$103)*CUR_DT_SUM_E_OFF,2)+ROUND($D114*$X$103*CUR_DT_WIN_PEAK_ON,2)+ROUND($D114*(1-$X$103)*CUR_DT_WIN_PK_OFF,2)+CUR_DT_SEC_CST3</f>
        <v>11897.86</v>
      </c>
      <c r="G114" s="7">
        <f t="shared" ref="G114:G123" si="32">ROUND($E114*$V$103*PRO_DT_WIN_E_ON,2)+ROUND($E114*(1-$V$103)*PRO_DT_WIN_E_OFF,2)+ROUND($D114*$X$103*PRO_DT_WIN_PEAK,2)+ROUND($D114*(1-$X$103)*PRO_DT_WIN_PK_OFF,2)+PRO_DT_SEC_CST3</f>
        <v>13326.509999999998</v>
      </c>
      <c r="H114" s="7">
        <f t="shared" ref="H114:H123" si="33">G114-F114</f>
        <v>1428.6499999999978</v>
      </c>
      <c r="I114" s="8">
        <f t="shared" ref="I114:I123" si="34">ROUND(H114/F114,3)*100</f>
        <v>12</v>
      </c>
      <c r="J114" s="8"/>
      <c r="K114" s="7">
        <f t="shared" ref="K114:K123" si="35">ROUND(E114*CUR_FAC,2)</f>
        <v>98.06</v>
      </c>
      <c r="L114" s="7">
        <f t="shared" ref="L114:L123" si="36">ROUND(E114*DSM_DIST,2)</f>
        <v>733.1</v>
      </c>
      <c r="M114" s="7">
        <f t="shared" ref="M114:M123" si="37">ROUND((F114+$L114+$N114-PRO_BASE_FUEL*$E114)*PRO_ESM_NONRES,2)</f>
        <v>1666.17</v>
      </c>
      <c r="N114" s="7">
        <f t="shared" ref="N114:N123" si="38">ROUND(E114*RS_PSM,2)</f>
        <v>-23.47</v>
      </c>
      <c r="O114" s="7">
        <f t="shared" ref="O114:O123" si="39">F114+K114+L114+M114+N114</f>
        <v>14371.720000000001</v>
      </c>
      <c r="P114" s="7">
        <f t="shared" ref="P114:P123" si="40">G114+K114+L114+M114+N114</f>
        <v>15800.369999999999</v>
      </c>
      <c r="Q114" s="8">
        <f t="shared" ref="Q114:Q123" si="41">ROUND((P114-O114)/O114,3)*100</f>
        <v>9.9</v>
      </c>
    </row>
    <row r="115" spans="1:17" x14ac:dyDescent="0.2">
      <c r="A115" s="1">
        <v>12</v>
      </c>
      <c r="D115" s="5">
        <v>500</v>
      </c>
      <c r="E115" s="5">
        <v>288000</v>
      </c>
      <c r="F115" s="7">
        <f t="shared" si="31"/>
        <v>17266.669999999998</v>
      </c>
      <c r="G115" s="7">
        <f t="shared" si="32"/>
        <v>19345.239999999998</v>
      </c>
      <c r="H115" s="7">
        <f t="shared" si="33"/>
        <v>2078.5699999999997</v>
      </c>
      <c r="I115" s="8">
        <f t="shared" si="34"/>
        <v>12</v>
      </c>
      <c r="J115" s="8"/>
      <c r="K115" s="7">
        <f t="shared" si="35"/>
        <v>196.13</v>
      </c>
      <c r="L115" s="7">
        <f t="shared" si="36"/>
        <v>1466.21</v>
      </c>
      <c r="M115" s="7">
        <f t="shared" si="37"/>
        <v>2146.67</v>
      </c>
      <c r="N115" s="7">
        <f t="shared" si="38"/>
        <v>-46.94</v>
      </c>
      <c r="O115" s="7">
        <f t="shared" si="39"/>
        <v>21028.74</v>
      </c>
      <c r="P115" s="7">
        <f t="shared" si="40"/>
        <v>23107.31</v>
      </c>
      <c r="Q115" s="8">
        <f t="shared" si="41"/>
        <v>9.9</v>
      </c>
    </row>
    <row r="116" spans="1:17" x14ac:dyDescent="0.2">
      <c r="A116" s="1">
        <v>13</v>
      </c>
      <c r="D116" s="5">
        <v>800</v>
      </c>
      <c r="E116" s="5">
        <v>230400</v>
      </c>
      <c r="F116" s="7">
        <f t="shared" si="31"/>
        <v>18960.39</v>
      </c>
      <c r="G116" s="7">
        <f t="shared" si="32"/>
        <v>21244.420000000002</v>
      </c>
      <c r="H116" s="7">
        <f t="shared" si="33"/>
        <v>2284.0300000000025</v>
      </c>
      <c r="I116" s="8">
        <f t="shared" si="34"/>
        <v>12</v>
      </c>
      <c r="J116" s="8"/>
      <c r="K116" s="7">
        <f t="shared" si="35"/>
        <v>156.9</v>
      </c>
      <c r="L116" s="7">
        <f t="shared" si="36"/>
        <v>1172.97</v>
      </c>
      <c r="M116" s="7">
        <f t="shared" si="37"/>
        <v>2652.04</v>
      </c>
      <c r="N116" s="7">
        <f t="shared" si="38"/>
        <v>-37.56</v>
      </c>
      <c r="O116" s="7">
        <f t="shared" si="39"/>
        <v>22904.74</v>
      </c>
      <c r="P116" s="7">
        <f t="shared" si="40"/>
        <v>25188.770000000004</v>
      </c>
      <c r="Q116" s="8">
        <f t="shared" si="41"/>
        <v>10</v>
      </c>
    </row>
    <row r="117" spans="1:17" x14ac:dyDescent="0.2">
      <c r="A117" s="1">
        <v>14</v>
      </c>
      <c r="D117" s="5">
        <v>800</v>
      </c>
      <c r="E117" s="5">
        <v>460800</v>
      </c>
      <c r="F117" s="7">
        <f t="shared" si="31"/>
        <v>27550.460000000003</v>
      </c>
      <c r="G117" s="7">
        <f t="shared" si="32"/>
        <v>30874.390000000003</v>
      </c>
      <c r="H117" s="7">
        <f t="shared" si="33"/>
        <v>3323.9300000000003</v>
      </c>
      <c r="I117" s="8">
        <f t="shared" si="34"/>
        <v>12.1</v>
      </c>
      <c r="J117" s="8"/>
      <c r="K117" s="7">
        <f t="shared" si="35"/>
        <v>313.8</v>
      </c>
      <c r="L117" s="7">
        <f t="shared" si="36"/>
        <v>2345.9299999999998</v>
      </c>
      <c r="M117" s="7">
        <f t="shared" si="37"/>
        <v>3420.83</v>
      </c>
      <c r="N117" s="7">
        <f t="shared" si="38"/>
        <v>-75.11</v>
      </c>
      <c r="O117" s="7">
        <f t="shared" si="39"/>
        <v>33555.910000000003</v>
      </c>
      <c r="P117" s="7">
        <f t="shared" si="40"/>
        <v>36879.840000000004</v>
      </c>
      <c r="Q117" s="8">
        <f t="shared" si="41"/>
        <v>9.9</v>
      </c>
    </row>
    <row r="118" spans="1:17" x14ac:dyDescent="0.2">
      <c r="A118" s="1">
        <v>15</v>
      </c>
      <c r="D118" s="5">
        <v>1000</v>
      </c>
      <c r="E118" s="5">
        <v>288000</v>
      </c>
      <c r="F118" s="7">
        <f t="shared" si="31"/>
        <v>23668.739999999998</v>
      </c>
      <c r="G118" s="7">
        <f t="shared" si="32"/>
        <v>26523.01</v>
      </c>
      <c r="H118" s="7">
        <f t="shared" si="33"/>
        <v>2854.2700000000004</v>
      </c>
      <c r="I118" s="8">
        <f t="shared" si="34"/>
        <v>12.1</v>
      </c>
      <c r="J118" s="8"/>
      <c r="K118" s="7">
        <f t="shared" si="35"/>
        <v>196.13</v>
      </c>
      <c r="L118" s="7">
        <f t="shared" si="36"/>
        <v>1466.21</v>
      </c>
      <c r="M118" s="7">
        <f t="shared" si="37"/>
        <v>3309.29</v>
      </c>
      <c r="N118" s="7">
        <f t="shared" si="38"/>
        <v>-46.94</v>
      </c>
      <c r="O118" s="7">
        <f t="shared" si="39"/>
        <v>28593.43</v>
      </c>
      <c r="P118" s="7">
        <f t="shared" si="40"/>
        <v>31447.7</v>
      </c>
      <c r="Q118" s="8">
        <f t="shared" si="41"/>
        <v>10</v>
      </c>
    </row>
    <row r="119" spans="1:17" x14ac:dyDescent="0.2">
      <c r="A119" s="1">
        <v>16</v>
      </c>
      <c r="D119" s="5">
        <v>1000</v>
      </c>
      <c r="E119" s="5">
        <v>576000</v>
      </c>
      <c r="F119" s="7">
        <f t="shared" si="31"/>
        <v>34406.339999999997</v>
      </c>
      <c r="G119" s="7">
        <f t="shared" si="32"/>
        <v>38560.47</v>
      </c>
      <c r="H119" s="7">
        <f t="shared" si="33"/>
        <v>4154.1300000000047</v>
      </c>
      <c r="I119" s="8">
        <f t="shared" si="34"/>
        <v>12.1</v>
      </c>
      <c r="J119" s="8"/>
      <c r="K119" s="7">
        <f t="shared" si="35"/>
        <v>392.26</v>
      </c>
      <c r="L119" s="7">
        <f t="shared" si="36"/>
        <v>2932.42</v>
      </c>
      <c r="M119" s="7">
        <f t="shared" si="37"/>
        <v>4270.28</v>
      </c>
      <c r="N119" s="7">
        <f t="shared" si="38"/>
        <v>-93.89</v>
      </c>
      <c r="O119" s="7">
        <f t="shared" si="39"/>
        <v>41907.409999999996</v>
      </c>
      <c r="P119" s="7">
        <f t="shared" si="40"/>
        <v>46061.54</v>
      </c>
      <c r="Q119" s="8">
        <f t="shared" si="41"/>
        <v>9.9</v>
      </c>
    </row>
    <row r="120" spans="1:17" x14ac:dyDescent="0.2">
      <c r="A120" s="1">
        <v>17</v>
      </c>
      <c r="D120" s="5">
        <v>1200</v>
      </c>
      <c r="E120" s="5">
        <v>345600</v>
      </c>
      <c r="F120" s="7">
        <f t="shared" si="31"/>
        <v>28377.079999999998</v>
      </c>
      <c r="G120" s="7">
        <f t="shared" si="32"/>
        <v>31801.62</v>
      </c>
      <c r="H120" s="7">
        <f t="shared" si="33"/>
        <v>3424.5400000000009</v>
      </c>
      <c r="I120" s="8">
        <f t="shared" si="34"/>
        <v>12.1</v>
      </c>
      <c r="J120" s="8"/>
      <c r="K120" s="7">
        <f t="shared" si="35"/>
        <v>235.35</v>
      </c>
      <c r="L120" s="7">
        <f t="shared" si="36"/>
        <v>1759.45</v>
      </c>
      <c r="M120" s="7">
        <f t="shared" si="37"/>
        <v>3966.53</v>
      </c>
      <c r="N120" s="7">
        <f t="shared" si="38"/>
        <v>-56.33</v>
      </c>
      <c r="O120" s="7">
        <f t="shared" si="39"/>
        <v>34282.079999999994</v>
      </c>
      <c r="P120" s="7">
        <f t="shared" si="40"/>
        <v>37706.619999999995</v>
      </c>
      <c r="Q120" s="8">
        <f t="shared" si="41"/>
        <v>10</v>
      </c>
    </row>
    <row r="121" spans="1:17" x14ac:dyDescent="0.2">
      <c r="A121" s="1">
        <v>18</v>
      </c>
      <c r="D121" s="5">
        <v>1200</v>
      </c>
      <c r="E121" s="5">
        <v>691200</v>
      </c>
      <c r="F121" s="7">
        <f t="shared" si="31"/>
        <v>41262.189999999995</v>
      </c>
      <c r="G121" s="7">
        <f t="shared" si="32"/>
        <v>46246.58</v>
      </c>
      <c r="H121" s="7">
        <f t="shared" si="33"/>
        <v>4984.3900000000067</v>
      </c>
      <c r="I121" s="8">
        <f t="shared" si="34"/>
        <v>12.1</v>
      </c>
      <c r="J121" s="8"/>
      <c r="K121" s="7">
        <f t="shared" si="35"/>
        <v>470.71</v>
      </c>
      <c r="L121" s="7">
        <f t="shared" si="36"/>
        <v>3518.9</v>
      </c>
      <c r="M121" s="7">
        <f t="shared" si="37"/>
        <v>5119.72</v>
      </c>
      <c r="N121" s="7">
        <f t="shared" si="38"/>
        <v>-112.67</v>
      </c>
      <c r="O121" s="7">
        <f t="shared" si="39"/>
        <v>50258.85</v>
      </c>
      <c r="P121" s="7">
        <f t="shared" si="40"/>
        <v>55243.240000000005</v>
      </c>
      <c r="Q121" s="8">
        <f t="shared" si="41"/>
        <v>9.9</v>
      </c>
    </row>
    <row r="122" spans="1:17" x14ac:dyDescent="0.2">
      <c r="A122" s="1">
        <v>19</v>
      </c>
      <c r="D122" s="5">
        <v>1500</v>
      </c>
      <c r="E122" s="5">
        <v>432000</v>
      </c>
      <c r="F122" s="7">
        <f t="shared" si="31"/>
        <v>35439.599999999999</v>
      </c>
      <c r="G122" s="7">
        <f t="shared" si="32"/>
        <v>39719.530000000006</v>
      </c>
      <c r="H122" s="7">
        <f t="shared" si="33"/>
        <v>4279.9300000000076</v>
      </c>
      <c r="I122" s="8">
        <f t="shared" si="34"/>
        <v>12.1</v>
      </c>
      <c r="J122" s="8"/>
      <c r="K122" s="7">
        <f t="shared" si="35"/>
        <v>294.19</v>
      </c>
      <c r="L122" s="7">
        <f t="shared" si="36"/>
        <v>2199.31</v>
      </c>
      <c r="M122" s="7">
        <f t="shared" si="37"/>
        <v>4952.3999999999996</v>
      </c>
      <c r="N122" s="7">
        <f t="shared" si="38"/>
        <v>-70.42</v>
      </c>
      <c r="O122" s="7">
        <f t="shared" si="39"/>
        <v>42815.08</v>
      </c>
      <c r="P122" s="7">
        <f t="shared" si="40"/>
        <v>47095.010000000009</v>
      </c>
      <c r="Q122" s="8">
        <f t="shared" si="41"/>
        <v>10</v>
      </c>
    </row>
    <row r="123" spans="1:17" x14ac:dyDescent="0.2">
      <c r="A123" s="1">
        <v>20</v>
      </c>
      <c r="D123" s="5">
        <v>1500</v>
      </c>
      <c r="E123" s="5">
        <v>864000</v>
      </c>
      <c r="F123" s="7">
        <f t="shared" si="31"/>
        <v>51546.01</v>
      </c>
      <c r="G123" s="7">
        <f t="shared" si="32"/>
        <v>57775.720000000008</v>
      </c>
      <c r="H123" s="7">
        <f t="shared" si="33"/>
        <v>6229.7100000000064</v>
      </c>
      <c r="I123" s="8">
        <f t="shared" si="34"/>
        <v>12.1</v>
      </c>
      <c r="J123" s="8"/>
      <c r="K123" s="7">
        <f t="shared" si="35"/>
        <v>588.38</v>
      </c>
      <c r="L123" s="7">
        <f t="shared" si="36"/>
        <v>4398.62</v>
      </c>
      <c r="M123" s="7">
        <f t="shared" si="37"/>
        <v>6393.89</v>
      </c>
      <c r="N123" s="7">
        <f t="shared" si="38"/>
        <v>-140.83000000000001</v>
      </c>
      <c r="O123" s="7">
        <f t="shared" si="39"/>
        <v>62786.07</v>
      </c>
      <c r="P123" s="7">
        <f t="shared" si="40"/>
        <v>69015.780000000013</v>
      </c>
      <c r="Q123" s="8">
        <f t="shared" si="41"/>
        <v>9.9</v>
      </c>
    </row>
    <row r="125" spans="1:17" ht="15.75" x14ac:dyDescent="0.25">
      <c r="C125" s="46" t="str">
        <f>"(1) REFLECTS FUEL ADJUSTMENT COMPONENT (FAC) OF "&amp;TEXT(CUR_FAC,"$0.000000;($0.000000)")&amp;" PER KWH."</f>
        <v>(1) REFLECTS FUEL ADJUSTMENT COMPONENT (FAC) OF $0.000681 PER KWH.</v>
      </c>
    </row>
    <row r="126" spans="1:17" ht="15.75" x14ac:dyDescent="0.25">
      <c r="C126" s="46" t="str">
        <f>"(2) RIDER DSMR "&amp;TEXT(DSM_DIST,"$0.000000;($0.000000)")&amp;" PER KWH."</f>
        <v>(2) RIDER DSMR $0.005091 PER KWH.</v>
      </c>
    </row>
    <row r="127" spans="1:17" ht="15.75" x14ac:dyDescent="0.25">
      <c r="A127" s="3"/>
      <c r="C127" s="46" t="str">
        <f>"(3) RIDER ESM "&amp;TEXT(CUR_ESM_NONRES,"00.00%")&amp;"  OF TOTAL CURRENT BILL."</f>
        <v>(3) RIDER ESM 18.16%  OF TOTAL CURRENT BILL.</v>
      </c>
    </row>
    <row r="128" spans="1:17" ht="15.75" x14ac:dyDescent="0.25">
      <c r="A128" s="3"/>
      <c r="C128" s="46" t="str">
        <f>"(4) RIDER PSM "&amp;TEXT(RS_PSM,"$0.000000;($0.000000)")&amp;"  PER KWH."</f>
        <v>(4) RIDER PSM ($0.000163)  PER KWH.</v>
      </c>
    </row>
    <row r="129" spans="1:17" ht="15.75" x14ac:dyDescent="0.25">
      <c r="A129" s="3"/>
      <c r="C129" s="46" t="str">
        <f>"(5) REFLECTS FUEL COST RECOVERY INCLUDED IN BASE RATES OF "&amp;TEXT(CUR_BASE_FUEL,"$0.000000;($0.000000)")&amp;"  PER KWH AND THREE PHASE SECONDARY SERVICE."</f>
        <v>(5) REFLECTS FUEL COST RECOVERY INCLUDED IN BASE RATES OF $0.023837  PER KWH AND THREE PHASE SECONDARY SERVICE.</v>
      </c>
    </row>
    <row r="130" spans="1:17" ht="15.75" x14ac:dyDescent="0.25">
      <c r="A130" s="3"/>
      <c r="C130" s="46" t="str">
        <f>"(6) DEMAND AND ENERGY VALUES REPRESENT THE SUM OF ON AND OFF PEAK.  FOR BILL CALCULATION, VALUES ARE SPLIT USING THE RATIO OF VALUES IN SCHEDULE M-2.3."</f>
        <v>(6) DEMAND AND ENERGY VALUES REPRESENT THE SUM OF ON AND OFF PEAK.  FOR BILL CALCULATION, VALUES ARE SPLIT USING THE RATIO OF VALUES IN SCHEDULE M-2.3.</v>
      </c>
    </row>
    <row r="131" spans="1:17" ht="15.75" x14ac:dyDescent="0.25">
      <c r="A131" s="43" t="str">
        <f>NAME</f>
        <v>DUKE ENERGY KENTUCKY, INC.</v>
      </c>
      <c r="B131" s="43"/>
      <c r="C131" s="43"/>
      <c r="D131" s="43"/>
      <c r="E131" s="43"/>
      <c r="F131" s="43"/>
      <c r="G131" s="44"/>
      <c r="H131" s="43"/>
      <c r="I131" s="43"/>
      <c r="J131" s="43"/>
      <c r="K131" s="43"/>
      <c r="L131" s="43"/>
      <c r="M131" s="43"/>
      <c r="N131" s="43"/>
      <c r="O131" s="43"/>
      <c r="P131" s="43"/>
      <c r="Q131" s="43"/>
    </row>
    <row r="132" spans="1:17" ht="15.75" x14ac:dyDescent="0.25">
      <c r="A132" s="43" t="str">
        <f>CASE_NO</f>
        <v>CASE NO.   2019-000271</v>
      </c>
      <c r="B132" s="43"/>
      <c r="C132" s="43"/>
      <c r="D132" s="43"/>
      <c r="E132" s="43"/>
      <c r="F132" s="43"/>
      <c r="G132" s="44"/>
      <c r="H132" s="43"/>
      <c r="I132" s="43"/>
      <c r="J132" s="43"/>
      <c r="K132" s="43"/>
      <c r="L132" s="43"/>
      <c r="M132" s="43"/>
      <c r="N132" s="43"/>
      <c r="O132" s="43"/>
      <c r="P132" s="43"/>
      <c r="Q132" s="43"/>
    </row>
    <row r="133" spans="1:17" ht="15.75" x14ac:dyDescent="0.25">
      <c r="A133" s="44" t="s">
        <v>178</v>
      </c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</row>
    <row r="134" spans="1:17" ht="15.75" x14ac:dyDescent="0.25">
      <c r="A134" s="44" t="str">
        <f>SERVICE</f>
        <v>(ELECTRIC SERVICE)</v>
      </c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</row>
    <row r="135" spans="1:17" ht="15.75" x14ac:dyDescent="0.25">
      <c r="A135" s="46"/>
      <c r="B135" s="378"/>
      <c r="C135" s="378"/>
      <c r="D135" s="378"/>
      <c r="E135" s="378"/>
      <c r="F135" s="378"/>
      <c r="G135" s="378"/>
      <c r="H135" s="378"/>
      <c r="I135" s="378"/>
      <c r="J135" s="378"/>
      <c r="K135" s="378"/>
      <c r="L135" s="378"/>
      <c r="M135" s="378"/>
      <c r="N135" s="378"/>
      <c r="O135" s="378"/>
      <c r="P135" s="378"/>
      <c r="Q135" s="378"/>
    </row>
    <row r="136" spans="1:17" ht="15.75" x14ac:dyDescent="0.25">
      <c r="A136" s="45" t="str">
        <f>DATA_PERIOD</f>
        <v>DATA: __X__ BASE PERIOD   ____FORECASTED PERIOD</v>
      </c>
      <c r="B136" s="378"/>
      <c r="C136" s="378"/>
      <c r="D136" s="378"/>
      <c r="E136" s="378"/>
      <c r="F136" s="378"/>
      <c r="G136" s="378"/>
      <c r="H136" s="378"/>
      <c r="I136" s="378"/>
      <c r="J136" s="378"/>
      <c r="K136" s="378"/>
      <c r="L136" s="378"/>
      <c r="M136" s="378"/>
      <c r="N136" s="378"/>
      <c r="O136" s="378"/>
      <c r="P136" s="46" t="s">
        <v>179</v>
      </c>
      <c r="Q136" s="378"/>
    </row>
    <row r="137" spans="1:17" ht="15.75" x14ac:dyDescent="0.25">
      <c r="A137" s="45" t="str">
        <f>TYPE</f>
        <v>TYPE OF FILING: _X_ ORIGINAL   ___UPDATED  ___ REVISED</v>
      </c>
      <c r="B137" s="378"/>
      <c r="C137" s="378"/>
      <c r="D137" s="378"/>
      <c r="E137" s="378"/>
      <c r="F137" s="378"/>
      <c r="G137" s="378"/>
      <c r="H137" s="378"/>
      <c r="I137" s="378"/>
      <c r="J137" s="378"/>
      <c r="K137" s="378"/>
      <c r="L137" s="378"/>
      <c r="M137" s="378"/>
      <c r="N137" s="378"/>
      <c r="O137" s="378"/>
      <c r="P137" s="46" t="s">
        <v>187</v>
      </c>
      <c r="Q137" s="378"/>
    </row>
    <row r="138" spans="1:17" ht="15.75" x14ac:dyDescent="0.25">
      <c r="A138" s="46" t="s">
        <v>106</v>
      </c>
      <c r="B138" s="378"/>
      <c r="C138" s="378"/>
      <c r="D138" s="378"/>
      <c r="E138" s="378"/>
      <c r="F138" s="378"/>
      <c r="G138" s="378"/>
      <c r="H138" s="378"/>
      <c r="I138" s="378"/>
      <c r="J138" s="378"/>
      <c r="K138" s="378"/>
      <c r="L138" s="378"/>
      <c r="M138" s="378"/>
      <c r="N138" s="378"/>
      <c r="O138" s="378"/>
      <c r="P138" s="46" t="s">
        <v>3</v>
      </c>
      <c r="Q138" s="378"/>
    </row>
    <row r="139" spans="1:17" ht="16.5" customHeight="1" x14ac:dyDescent="0.25">
      <c r="A139" s="218" t="str">
        <f>TIME</f>
        <v>6 Months Actual and 6 Months Projected with Riders</v>
      </c>
      <c r="B139" s="378"/>
      <c r="C139" s="378"/>
      <c r="D139" s="378"/>
      <c r="E139" s="378"/>
      <c r="F139" s="378"/>
      <c r="G139" s="378"/>
      <c r="H139" s="378"/>
      <c r="I139" s="378"/>
      <c r="J139" s="378"/>
      <c r="K139" s="378"/>
      <c r="L139" s="378"/>
      <c r="M139" s="378"/>
      <c r="N139" s="378"/>
      <c r="O139" s="378"/>
      <c r="P139" s="45" t="str">
        <f>WIT</f>
        <v>J. L. Kern</v>
      </c>
      <c r="Q139" s="378"/>
    </row>
    <row r="140" spans="1:17" x14ac:dyDescent="0.2">
      <c r="A140" s="595" t="s">
        <v>499</v>
      </c>
      <c r="B140" s="595"/>
      <c r="C140" s="595"/>
      <c r="D140" s="595"/>
      <c r="E140" s="595"/>
      <c r="F140" s="595"/>
      <c r="G140" s="595"/>
      <c r="H140" s="595"/>
      <c r="I140" s="595"/>
      <c r="J140" s="595"/>
      <c r="K140" s="595"/>
      <c r="L140" s="595"/>
      <c r="M140" s="595"/>
      <c r="N140" s="595"/>
      <c r="O140" s="595"/>
      <c r="P140" s="595"/>
      <c r="Q140" s="595"/>
    </row>
    <row r="141" spans="1:17" ht="15.75" x14ac:dyDescent="0.25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</row>
    <row r="142" spans="1:17" ht="15.75" x14ac:dyDescent="0.25">
      <c r="A142" s="378"/>
      <c r="B142" s="378"/>
      <c r="C142" s="378"/>
      <c r="D142" s="378"/>
      <c r="E142" s="378"/>
      <c r="F142" s="378"/>
      <c r="G142" s="378"/>
      <c r="H142" s="378"/>
      <c r="I142" s="378"/>
      <c r="J142" s="378"/>
      <c r="K142" s="378"/>
      <c r="L142" s="378"/>
      <c r="M142" s="378"/>
      <c r="N142" s="378"/>
      <c r="O142" s="378"/>
      <c r="P142" s="378"/>
      <c r="Q142" s="378"/>
    </row>
    <row r="143" spans="1:17" ht="15.75" x14ac:dyDescent="0.25">
      <c r="A143" s="378"/>
      <c r="B143" s="378"/>
      <c r="C143" s="378"/>
      <c r="D143" s="378"/>
      <c r="E143" s="378"/>
      <c r="F143" s="15" t="s">
        <v>436</v>
      </c>
      <c r="G143" s="119"/>
      <c r="H143" s="119"/>
      <c r="I143" s="119"/>
      <c r="J143" s="57"/>
      <c r="K143" s="594" t="s">
        <v>418</v>
      </c>
      <c r="L143" s="594"/>
      <c r="M143" s="594"/>
      <c r="N143" s="594"/>
      <c r="O143" s="426" t="s">
        <v>11</v>
      </c>
      <c r="P143" s="426" t="s">
        <v>11</v>
      </c>
      <c r="Q143" s="378"/>
    </row>
    <row r="144" spans="1:17" ht="17.100000000000001" customHeight="1" x14ac:dyDescent="0.25">
      <c r="A144" s="378"/>
      <c r="B144" s="378"/>
      <c r="C144" s="378"/>
      <c r="D144" s="426" t="s">
        <v>107</v>
      </c>
      <c r="E144" s="426" t="s">
        <v>107</v>
      </c>
      <c r="F144" s="378"/>
      <c r="G144" s="378"/>
      <c r="H144" s="426" t="s">
        <v>108</v>
      </c>
      <c r="I144" s="426" t="s">
        <v>109</v>
      </c>
      <c r="J144" s="426"/>
      <c r="K144" s="378"/>
      <c r="L144" s="378"/>
      <c r="N144" s="378"/>
      <c r="O144" s="426" t="s">
        <v>8</v>
      </c>
      <c r="P144" s="426" t="s">
        <v>6</v>
      </c>
      <c r="Q144" s="426" t="s">
        <v>109</v>
      </c>
    </row>
    <row r="145" spans="1:17" ht="15.75" x14ac:dyDescent="0.25">
      <c r="A145" s="378"/>
      <c r="B145" s="378"/>
      <c r="C145" s="378"/>
      <c r="D145" s="426" t="s">
        <v>110</v>
      </c>
      <c r="E145" s="426" t="s">
        <v>110</v>
      </c>
      <c r="F145" s="426" t="s">
        <v>8</v>
      </c>
      <c r="G145" s="426" t="s">
        <v>6</v>
      </c>
      <c r="H145" s="426" t="s">
        <v>111</v>
      </c>
      <c r="I145" s="426" t="s">
        <v>111</v>
      </c>
      <c r="J145" s="426"/>
      <c r="K145" s="426" t="s">
        <v>264</v>
      </c>
      <c r="L145" s="426" t="s">
        <v>264</v>
      </c>
      <c r="M145" s="426" t="s">
        <v>264</v>
      </c>
      <c r="N145" s="426" t="s">
        <v>264</v>
      </c>
      <c r="O145" s="426" t="s">
        <v>113</v>
      </c>
      <c r="P145" s="426" t="s">
        <v>113</v>
      </c>
      <c r="Q145" s="426" t="s">
        <v>111</v>
      </c>
    </row>
    <row r="146" spans="1:17" ht="15.75" x14ac:dyDescent="0.25">
      <c r="A146" s="426" t="s">
        <v>17</v>
      </c>
      <c r="B146" s="378"/>
      <c r="C146" s="46" t="s">
        <v>18</v>
      </c>
      <c r="D146" s="426" t="s">
        <v>115</v>
      </c>
      <c r="E146" s="426" t="s">
        <v>116</v>
      </c>
      <c r="F146" s="70" t="s">
        <v>704</v>
      </c>
      <c r="G146" s="70" t="s">
        <v>704</v>
      </c>
      <c r="H146" s="265" t="s">
        <v>117</v>
      </c>
      <c r="I146" s="265" t="s">
        <v>118</v>
      </c>
      <c r="J146" s="426"/>
      <c r="K146" s="426" t="s">
        <v>416</v>
      </c>
      <c r="L146" s="70" t="s">
        <v>267</v>
      </c>
      <c r="M146" s="70" t="s">
        <v>644</v>
      </c>
      <c r="N146" s="70" t="s">
        <v>705</v>
      </c>
      <c r="O146" s="439" t="s">
        <v>822</v>
      </c>
      <c r="P146" s="439" t="s">
        <v>823</v>
      </c>
      <c r="Q146" s="439" t="s">
        <v>824</v>
      </c>
    </row>
    <row r="147" spans="1:17" ht="15.75" x14ac:dyDescent="0.25">
      <c r="A147" s="80" t="s">
        <v>24</v>
      </c>
      <c r="B147" s="71"/>
      <c r="C147" s="120" t="s">
        <v>25</v>
      </c>
      <c r="D147" s="578" t="s">
        <v>35</v>
      </c>
      <c r="E147" s="578" t="s">
        <v>36</v>
      </c>
      <c r="F147" s="578" t="s">
        <v>37</v>
      </c>
      <c r="G147" s="578" t="s">
        <v>38</v>
      </c>
      <c r="H147" s="578" t="s">
        <v>39</v>
      </c>
      <c r="I147" s="578" t="s">
        <v>40</v>
      </c>
      <c r="J147" s="578"/>
      <c r="K147" s="578" t="s">
        <v>41</v>
      </c>
      <c r="L147" s="578" t="s">
        <v>42</v>
      </c>
      <c r="M147" s="430" t="s">
        <v>43</v>
      </c>
      <c r="N147" s="429" t="s">
        <v>44</v>
      </c>
      <c r="O147" s="429" t="s">
        <v>45</v>
      </c>
      <c r="P147" s="429" t="s">
        <v>46</v>
      </c>
      <c r="Q147" s="429" t="s">
        <v>47</v>
      </c>
    </row>
    <row r="148" spans="1:17" ht="15.75" x14ac:dyDescent="0.25">
      <c r="A148" s="378"/>
      <c r="B148" s="378"/>
      <c r="C148" s="378"/>
      <c r="D148" s="441" t="s">
        <v>124</v>
      </c>
      <c r="E148" s="441" t="s">
        <v>51</v>
      </c>
      <c r="F148" s="441" t="s">
        <v>52</v>
      </c>
      <c r="G148" s="441" t="s">
        <v>52</v>
      </c>
      <c r="H148" s="441" t="s">
        <v>52</v>
      </c>
      <c r="I148" s="441" t="s">
        <v>53</v>
      </c>
      <c r="J148" s="441"/>
      <c r="K148" s="441" t="s">
        <v>52</v>
      </c>
      <c r="L148" s="441" t="s">
        <v>52</v>
      </c>
      <c r="M148" s="441" t="s">
        <v>52</v>
      </c>
      <c r="N148" s="441" t="s">
        <v>52</v>
      </c>
      <c r="O148" s="441" t="s">
        <v>52</v>
      </c>
      <c r="P148" s="441" t="s">
        <v>52</v>
      </c>
      <c r="Q148" s="441" t="s">
        <v>53</v>
      </c>
    </row>
    <row r="149" spans="1:17" ht="15.75" x14ac:dyDescent="0.25">
      <c r="A149" s="1">
        <v>1</v>
      </c>
      <c r="C149" s="46" t="s">
        <v>98</v>
      </c>
      <c r="D149" s="1">
        <v>100</v>
      </c>
      <c r="E149" s="5">
        <v>14400</v>
      </c>
      <c r="F149" s="7">
        <f t="shared" ref="F149:F172" si="42">IF($E149&gt;($D149*300),((($D149*300)*CUR_DP_KWH1)+(($E149-($D149*300))*CUR_DP_KWH2)+($D149*CUR_DP_DEMAND)+CUR_DP_CST),(($E149*CUR_DP_KWH1)+($D149*CUR_DP_DEMAND)+CUR_DP_CST))</f>
        <v>1644.7248</v>
      </c>
      <c r="G149" s="7">
        <f t="shared" ref="G149:G172" si="43">IF($E149&gt;($D149*300),((($D149*300)*PRO_DP_KWH1)+(($E149-($D149*300))*PRO_DP_KWH2)+($D149*PRO_DP_DEMAND)+PRO_DP_CST),(($E149*PRO_DP_KWH1)+($D149*PRO_DP_DEMAND)+PRO_DP_CST))</f>
        <v>1857.1232</v>
      </c>
      <c r="H149" s="7">
        <f t="shared" ref="H149:H172" si="44">G149-F149</f>
        <v>212.39840000000004</v>
      </c>
      <c r="I149" s="8">
        <f t="shared" ref="I149:I172" si="45">ROUND(H149/F149,3)*100</f>
        <v>12.9</v>
      </c>
      <c r="J149" s="7"/>
      <c r="K149" s="7">
        <f t="shared" ref="K149:K172" si="46">ROUND(E149*CUR_FAC,2)</f>
        <v>9.81</v>
      </c>
      <c r="L149" s="7">
        <f t="shared" ref="L149:L172" si="47">ROUND(E149*DSM_DIST,2)</f>
        <v>73.31</v>
      </c>
      <c r="M149" s="7">
        <f t="shared" ref="M149:M172" si="48">ROUND((F149+$L149+$N149-PRO_BASE_FUEL*$E149)*PRO_ESM_NONRES,2)</f>
        <v>249.23</v>
      </c>
      <c r="N149" s="7">
        <f t="shared" ref="N149:N172" si="49">ROUND(E149*RS_PSM,2)</f>
        <v>-2.35</v>
      </c>
      <c r="O149" s="7">
        <f t="shared" ref="O149:O172" si="50">F149+K149+L149+M149+N149</f>
        <v>1974.7248</v>
      </c>
      <c r="P149" s="7">
        <f t="shared" ref="P149:P172" si="51">G149+K149+L149+M149+N149</f>
        <v>2187.1232</v>
      </c>
      <c r="Q149" s="6">
        <f>ROUND((P149-O149)/O149,3)*100</f>
        <v>10.8</v>
      </c>
    </row>
    <row r="150" spans="1:17" x14ac:dyDescent="0.2">
      <c r="A150" s="1">
        <v>2</v>
      </c>
      <c r="D150" s="1">
        <v>100</v>
      </c>
      <c r="E150" s="5">
        <v>28800</v>
      </c>
      <c r="F150" s="7">
        <f t="shared" si="42"/>
        <v>2380.4495999999999</v>
      </c>
      <c r="G150" s="7">
        <f t="shared" si="43"/>
        <v>2695.2464</v>
      </c>
      <c r="H150" s="7">
        <f t="shared" si="44"/>
        <v>314.79680000000008</v>
      </c>
      <c r="I150" s="8">
        <f t="shared" si="45"/>
        <v>13.200000000000001</v>
      </c>
      <c r="J150" s="7"/>
      <c r="K150" s="7">
        <f t="shared" si="46"/>
        <v>19.61</v>
      </c>
      <c r="L150" s="7">
        <f t="shared" si="47"/>
        <v>146.62</v>
      </c>
      <c r="M150" s="7">
        <f t="shared" si="48"/>
        <v>333.39</v>
      </c>
      <c r="N150" s="7">
        <f t="shared" si="49"/>
        <v>-4.6900000000000004</v>
      </c>
      <c r="O150" s="7">
        <f t="shared" si="50"/>
        <v>2875.3795999999998</v>
      </c>
      <c r="P150" s="7">
        <f t="shared" si="51"/>
        <v>3190.1763999999998</v>
      </c>
      <c r="Q150" s="6">
        <f t="shared" ref="Q150:Q172" si="52">ROUND((P150-O150)/O150,3)*100</f>
        <v>10.9</v>
      </c>
    </row>
    <row r="151" spans="1:17" x14ac:dyDescent="0.2">
      <c r="A151" s="1">
        <v>3</v>
      </c>
      <c r="D151" s="1">
        <v>100</v>
      </c>
      <c r="E151" s="5">
        <v>43200</v>
      </c>
      <c r="F151" s="7">
        <f t="shared" si="42"/>
        <v>3012.2507999999998</v>
      </c>
      <c r="G151" s="7">
        <f t="shared" si="43"/>
        <v>3414.6884</v>
      </c>
      <c r="H151" s="7">
        <f t="shared" si="44"/>
        <v>402.4376000000002</v>
      </c>
      <c r="I151" s="8">
        <f t="shared" si="45"/>
        <v>13.4</v>
      </c>
      <c r="J151" s="7"/>
      <c r="K151" s="7">
        <f t="shared" si="46"/>
        <v>29.42</v>
      </c>
      <c r="L151" s="7">
        <f t="shared" si="47"/>
        <v>219.93</v>
      </c>
      <c r="M151" s="7">
        <f t="shared" si="48"/>
        <v>398.68</v>
      </c>
      <c r="N151" s="7">
        <f t="shared" si="49"/>
        <v>-7.04</v>
      </c>
      <c r="O151" s="7">
        <f t="shared" si="50"/>
        <v>3653.2407999999996</v>
      </c>
      <c r="P151" s="7">
        <f t="shared" si="51"/>
        <v>4055.6783999999998</v>
      </c>
      <c r="Q151" s="6">
        <f t="shared" si="52"/>
        <v>11</v>
      </c>
    </row>
    <row r="152" spans="1:17" x14ac:dyDescent="0.2">
      <c r="A152" s="1">
        <v>4</v>
      </c>
      <c r="D152" s="1">
        <v>200</v>
      </c>
      <c r="E152" s="5">
        <v>28800</v>
      </c>
      <c r="F152" s="7">
        <f t="shared" si="42"/>
        <v>3172.4495999999999</v>
      </c>
      <c r="G152" s="7">
        <f t="shared" si="43"/>
        <v>3597.2464</v>
      </c>
      <c r="H152" s="7">
        <f t="shared" si="44"/>
        <v>424.79680000000008</v>
      </c>
      <c r="I152" s="8">
        <f t="shared" si="45"/>
        <v>13.4</v>
      </c>
      <c r="J152" s="7"/>
      <c r="K152" s="7">
        <f t="shared" si="46"/>
        <v>19.61</v>
      </c>
      <c r="L152" s="7">
        <f t="shared" si="47"/>
        <v>146.62</v>
      </c>
      <c r="M152" s="7">
        <f t="shared" si="48"/>
        <v>477.22</v>
      </c>
      <c r="N152" s="7">
        <f t="shared" si="49"/>
        <v>-4.6900000000000004</v>
      </c>
      <c r="O152" s="7">
        <f t="shared" si="50"/>
        <v>3811.2095999999997</v>
      </c>
      <c r="P152" s="7">
        <f t="shared" si="51"/>
        <v>4236.0064000000002</v>
      </c>
      <c r="Q152" s="6">
        <f t="shared" si="52"/>
        <v>11.1</v>
      </c>
    </row>
    <row r="153" spans="1:17" x14ac:dyDescent="0.2">
      <c r="A153" s="1">
        <v>5</v>
      </c>
      <c r="D153" s="1">
        <v>200</v>
      </c>
      <c r="E153" s="5">
        <v>57600</v>
      </c>
      <c r="F153" s="7">
        <f t="shared" si="42"/>
        <v>4643.8991999999998</v>
      </c>
      <c r="G153" s="7">
        <f t="shared" si="43"/>
        <v>5273.4928</v>
      </c>
      <c r="H153" s="7">
        <f t="shared" si="44"/>
        <v>629.59360000000015</v>
      </c>
      <c r="I153" s="8">
        <f t="shared" si="45"/>
        <v>13.600000000000001</v>
      </c>
      <c r="J153" s="7"/>
      <c r="K153" s="7">
        <f t="shared" si="46"/>
        <v>39.229999999999997</v>
      </c>
      <c r="L153" s="7">
        <f t="shared" si="47"/>
        <v>293.24</v>
      </c>
      <c r="M153" s="7">
        <f t="shared" si="48"/>
        <v>645.54</v>
      </c>
      <c r="N153" s="7">
        <f t="shared" si="49"/>
        <v>-9.39</v>
      </c>
      <c r="O153" s="7">
        <f t="shared" si="50"/>
        <v>5612.5191999999988</v>
      </c>
      <c r="P153" s="7">
        <f t="shared" si="51"/>
        <v>6242.112799999999</v>
      </c>
      <c r="Q153" s="6">
        <f t="shared" si="52"/>
        <v>11.200000000000001</v>
      </c>
    </row>
    <row r="154" spans="1:17" x14ac:dyDescent="0.2">
      <c r="A154" s="1">
        <v>6</v>
      </c>
      <c r="D154" s="1">
        <v>200</v>
      </c>
      <c r="E154" s="5">
        <v>86400</v>
      </c>
      <c r="F154" s="7">
        <f t="shared" si="42"/>
        <v>5907.5015999999996</v>
      </c>
      <c r="G154" s="7">
        <f t="shared" si="43"/>
        <v>6712.3768</v>
      </c>
      <c r="H154" s="7">
        <f t="shared" si="44"/>
        <v>804.8752000000004</v>
      </c>
      <c r="I154" s="8">
        <f t="shared" si="45"/>
        <v>13.600000000000001</v>
      </c>
      <c r="J154" s="7"/>
      <c r="K154" s="7">
        <f t="shared" si="46"/>
        <v>58.84</v>
      </c>
      <c r="L154" s="7">
        <f t="shared" si="47"/>
        <v>439.86</v>
      </c>
      <c r="M154" s="7">
        <f t="shared" si="48"/>
        <v>776.12</v>
      </c>
      <c r="N154" s="7">
        <f t="shared" si="49"/>
        <v>-14.08</v>
      </c>
      <c r="O154" s="7">
        <f t="shared" si="50"/>
        <v>7168.2415999999994</v>
      </c>
      <c r="P154" s="7">
        <f t="shared" si="51"/>
        <v>7973.1167999999998</v>
      </c>
      <c r="Q154" s="6">
        <f t="shared" si="52"/>
        <v>11.200000000000001</v>
      </c>
    </row>
    <row r="155" spans="1:17" x14ac:dyDescent="0.2">
      <c r="A155" s="1">
        <v>7</v>
      </c>
      <c r="D155" s="1">
        <v>300</v>
      </c>
      <c r="E155" s="5">
        <v>43200</v>
      </c>
      <c r="F155" s="7">
        <f t="shared" si="42"/>
        <v>4700.1743999999999</v>
      </c>
      <c r="G155" s="7">
        <f t="shared" si="43"/>
        <v>5337.3696</v>
      </c>
      <c r="H155" s="7">
        <f t="shared" si="44"/>
        <v>637.19520000000011</v>
      </c>
      <c r="I155" s="8">
        <f t="shared" si="45"/>
        <v>13.600000000000001</v>
      </c>
      <c r="J155" s="7"/>
      <c r="K155" s="7">
        <f t="shared" si="46"/>
        <v>29.42</v>
      </c>
      <c r="L155" s="7">
        <f t="shared" si="47"/>
        <v>219.93</v>
      </c>
      <c r="M155" s="7">
        <f t="shared" si="48"/>
        <v>705.21</v>
      </c>
      <c r="N155" s="7">
        <f t="shared" si="49"/>
        <v>-7.04</v>
      </c>
      <c r="O155" s="7">
        <f t="shared" si="50"/>
        <v>5647.6944000000003</v>
      </c>
      <c r="P155" s="7">
        <f t="shared" si="51"/>
        <v>6284.8896000000004</v>
      </c>
      <c r="Q155" s="6">
        <f t="shared" si="52"/>
        <v>11.3</v>
      </c>
    </row>
    <row r="156" spans="1:17" x14ac:dyDescent="0.2">
      <c r="A156" s="1">
        <v>8</v>
      </c>
      <c r="D156" s="1">
        <v>300</v>
      </c>
      <c r="E156" s="5">
        <v>86400</v>
      </c>
      <c r="F156" s="7">
        <f t="shared" si="42"/>
        <v>6907.3487999999998</v>
      </c>
      <c r="G156" s="7">
        <f t="shared" si="43"/>
        <v>7851.7392</v>
      </c>
      <c r="H156" s="7">
        <f t="shared" si="44"/>
        <v>944.39040000000023</v>
      </c>
      <c r="I156" s="8">
        <f t="shared" si="45"/>
        <v>13.700000000000001</v>
      </c>
      <c r="J156" s="7"/>
      <c r="K156" s="7">
        <f t="shared" si="46"/>
        <v>58.84</v>
      </c>
      <c r="L156" s="7">
        <f t="shared" si="47"/>
        <v>439.86</v>
      </c>
      <c r="M156" s="7">
        <f t="shared" si="48"/>
        <v>957.69</v>
      </c>
      <c r="N156" s="7">
        <f t="shared" si="49"/>
        <v>-14.08</v>
      </c>
      <c r="O156" s="7">
        <f t="shared" si="50"/>
        <v>8349.6587999999992</v>
      </c>
      <c r="P156" s="7">
        <f t="shared" si="51"/>
        <v>9294.0492000000013</v>
      </c>
      <c r="Q156" s="6">
        <f t="shared" si="52"/>
        <v>11.3</v>
      </c>
    </row>
    <row r="157" spans="1:17" x14ac:dyDescent="0.2">
      <c r="A157" s="1">
        <v>9</v>
      </c>
      <c r="D157" s="1">
        <v>300</v>
      </c>
      <c r="E157" s="5">
        <v>129600</v>
      </c>
      <c r="F157" s="7">
        <f t="shared" si="42"/>
        <v>8802.7523999999994</v>
      </c>
      <c r="G157" s="7">
        <f t="shared" si="43"/>
        <v>10010.065199999999</v>
      </c>
      <c r="H157" s="7">
        <f t="shared" si="44"/>
        <v>1207.3127999999997</v>
      </c>
      <c r="I157" s="8">
        <f t="shared" si="45"/>
        <v>13.700000000000001</v>
      </c>
      <c r="J157" s="7"/>
      <c r="K157" s="7">
        <f t="shared" si="46"/>
        <v>88.26</v>
      </c>
      <c r="L157" s="7">
        <f t="shared" si="47"/>
        <v>659.79</v>
      </c>
      <c r="M157" s="7">
        <f t="shared" si="48"/>
        <v>1153.55</v>
      </c>
      <c r="N157" s="7">
        <f t="shared" si="49"/>
        <v>-21.12</v>
      </c>
      <c r="O157" s="7">
        <f t="shared" si="50"/>
        <v>10683.232399999999</v>
      </c>
      <c r="P157" s="7">
        <f t="shared" si="51"/>
        <v>11890.545199999999</v>
      </c>
      <c r="Q157" s="6">
        <f t="shared" si="52"/>
        <v>11.3</v>
      </c>
    </row>
    <row r="158" spans="1:17" x14ac:dyDescent="0.2">
      <c r="A158" s="1">
        <v>10</v>
      </c>
      <c r="D158" s="1">
        <v>500</v>
      </c>
      <c r="E158" s="5">
        <v>72000</v>
      </c>
      <c r="F158" s="7">
        <f t="shared" si="42"/>
        <v>7755.6239999999998</v>
      </c>
      <c r="G158" s="7">
        <f t="shared" si="43"/>
        <v>8817.616</v>
      </c>
      <c r="H158" s="7">
        <f t="shared" si="44"/>
        <v>1061.9920000000002</v>
      </c>
      <c r="I158" s="8">
        <f t="shared" si="45"/>
        <v>13.700000000000001</v>
      </c>
      <c r="J158" s="7"/>
      <c r="K158" s="7">
        <f t="shared" si="46"/>
        <v>49.03</v>
      </c>
      <c r="L158" s="7">
        <f t="shared" si="47"/>
        <v>366.55</v>
      </c>
      <c r="M158" s="7">
        <f t="shared" si="48"/>
        <v>1161.18</v>
      </c>
      <c r="N158" s="7">
        <f t="shared" si="49"/>
        <v>-11.74</v>
      </c>
      <c r="O158" s="7">
        <f t="shared" si="50"/>
        <v>9320.6440000000002</v>
      </c>
      <c r="P158" s="7">
        <f t="shared" si="51"/>
        <v>10382.636</v>
      </c>
      <c r="Q158" s="6">
        <f t="shared" si="52"/>
        <v>11.4</v>
      </c>
    </row>
    <row r="159" spans="1:17" x14ac:dyDescent="0.2">
      <c r="A159" s="1">
        <v>11</v>
      </c>
      <c r="D159" s="1">
        <v>500</v>
      </c>
      <c r="E159" s="5">
        <v>144000</v>
      </c>
      <c r="F159" s="7">
        <f t="shared" si="42"/>
        <v>11434.248</v>
      </c>
      <c r="G159" s="7">
        <f t="shared" si="43"/>
        <v>13008.232</v>
      </c>
      <c r="H159" s="7">
        <f t="shared" si="44"/>
        <v>1573.9840000000004</v>
      </c>
      <c r="I159" s="8">
        <f t="shared" si="45"/>
        <v>13.8</v>
      </c>
      <c r="J159" s="7"/>
      <c r="K159" s="7">
        <f t="shared" si="46"/>
        <v>98.06</v>
      </c>
      <c r="L159" s="7">
        <f t="shared" si="47"/>
        <v>733.1</v>
      </c>
      <c r="M159" s="7">
        <f t="shared" si="48"/>
        <v>1581.98</v>
      </c>
      <c r="N159" s="7">
        <f t="shared" si="49"/>
        <v>-23.47</v>
      </c>
      <c r="O159" s="7">
        <f t="shared" si="50"/>
        <v>13823.918</v>
      </c>
      <c r="P159" s="7">
        <f t="shared" si="51"/>
        <v>15397.902</v>
      </c>
      <c r="Q159" s="6">
        <f t="shared" si="52"/>
        <v>11.4</v>
      </c>
    </row>
    <row r="160" spans="1:17" x14ac:dyDescent="0.2">
      <c r="A160" s="1">
        <v>12</v>
      </c>
      <c r="D160" s="1">
        <v>500</v>
      </c>
      <c r="E160" s="5">
        <v>216000</v>
      </c>
      <c r="F160" s="7">
        <f t="shared" si="42"/>
        <v>14593.254000000001</v>
      </c>
      <c r="G160" s="7">
        <f t="shared" si="43"/>
        <v>16605.441999999999</v>
      </c>
      <c r="H160" s="7">
        <f t="shared" si="44"/>
        <v>2012.1879999999983</v>
      </c>
      <c r="I160" s="8">
        <f t="shared" si="45"/>
        <v>13.8</v>
      </c>
      <c r="J160" s="7"/>
      <c r="K160" s="7">
        <f t="shared" si="46"/>
        <v>147.1</v>
      </c>
      <c r="L160" s="7">
        <f t="shared" si="47"/>
        <v>1099.6600000000001</v>
      </c>
      <c r="M160" s="7">
        <f t="shared" si="48"/>
        <v>1908.42</v>
      </c>
      <c r="N160" s="7">
        <f t="shared" si="49"/>
        <v>-35.21</v>
      </c>
      <c r="O160" s="7">
        <f t="shared" si="50"/>
        <v>17713.224000000002</v>
      </c>
      <c r="P160" s="7">
        <f t="shared" si="51"/>
        <v>19725.411999999997</v>
      </c>
      <c r="Q160" s="6">
        <f t="shared" si="52"/>
        <v>11.4</v>
      </c>
    </row>
    <row r="161" spans="1:17" x14ac:dyDescent="0.2">
      <c r="A161" s="1">
        <v>13</v>
      </c>
      <c r="D161" s="1">
        <v>800</v>
      </c>
      <c r="E161" s="5">
        <v>115200</v>
      </c>
      <c r="F161" s="7">
        <f t="shared" si="42"/>
        <v>12338.7984</v>
      </c>
      <c r="G161" s="7">
        <f t="shared" si="43"/>
        <v>14037.9856</v>
      </c>
      <c r="H161" s="7">
        <f t="shared" si="44"/>
        <v>1699.1872000000003</v>
      </c>
      <c r="I161" s="8">
        <f t="shared" si="45"/>
        <v>13.8</v>
      </c>
      <c r="J161" s="7"/>
      <c r="K161" s="7">
        <f t="shared" si="46"/>
        <v>78.45</v>
      </c>
      <c r="L161" s="7">
        <f t="shared" si="47"/>
        <v>586.48</v>
      </c>
      <c r="M161" s="7">
        <f t="shared" si="48"/>
        <v>1845.14</v>
      </c>
      <c r="N161" s="7">
        <f t="shared" si="49"/>
        <v>-18.78</v>
      </c>
      <c r="O161" s="7">
        <f t="shared" si="50"/>
        <v>14830.088399999999</v>
      </c>
      <c r="P161" s="7">
        <f t="shared" si="51"/>
        <v>16529.275600000001</v>
      </c>
      <c r="Q161" s="6">
        <f t="shared" si="52"/>
        <v>11.5</v>
      </c>
    </row>
    <row r="162" spans="1:17" x14ac:dyDescent="0.2">
      <c r="A162" s="1">
        <v>14</v>
      </c>
      <c r="D162" s="1">
        <v>800</v>
      </c>
      <c r="E162" s="5">
        <v>230400</v>
      </c>
      <c r="F162" s="7">
        <f t="shared" si="42"/>
        <v>18224.596799999999</v>
      </c>
      <c r="G162" s="7">
        <f t="shared" si="43"/>
        <v>20742.9712</v>
      </c>
      <c r="H162" s="7">
        <f t="shared" si="44"/>
        <v>2518.3744000000006</v>
      </c>
      <c r="I162" s="8">
        <f t="shared" si="45"/>
        <v>13.8</v>
      </c>
      <c r="J162" s="7"/>
      <c r="K162" s="7">
        <f t="shared" si="46"/>
        <v>156.9</v>
      </c>
      <c r="L162" s="7">
        <f t="shared" si="47"/>
        <v>1172.97</v>
      </c>
      <c r="M162" s="7">
        <f t="shared" si="48"/>
        <v>2518.42</v>
      </c>
      <c r="N162" s="7">
        <f t="shared" si="49"/>
        <v>-37.56</v>
      </c>
      <c r="O162" s="7">
        <f t="shared" si="50"/>
        <v>22035.326799999999</v>
      </c>
      <c r="P162" s="7">
        <f t="shared" si="51"/>
        <v>24553.7012</v>
      </c>
      <c r="Q162" s="6">
        <f t="shared" si="52"/>
        <v>11.4</v>
      </c>
    </row>
    <row r="163" spans="1:17" x14ac:dyDescent="0.2">
      <c r="A163" s="1">
        <v>15</v>
      </c>
      <c r="D163" s="1">
        <v>800</v>
      </c>
      <c r="E163" s="5">
        <v>345600</v>
      </c>
      <c r="F163" s="7">
        <f t="shared" si="42"/>
        <v>23279.006399999998</v>
      </c>
      <c r="G163" s="7">
        <f t="shared" si="43"/>
        <v>26498.5072</v>
      </c>
      <c r="H163" s="7">
        <f t="shared" si="44"/>
        <v>3219.5008000000016</v>
      </c>
      <c r="I163" s="8">
        <f t="shared" si="45"/>
        <v>13.8</v>
      </c>
      <c r="J163" s="7"/>
      <c r="K163" s="7">
        <f t="shared" si="46"/>
        <v>235.35</v>
      </c>
      <c r="L163" s="7">
        <f t="shared" si="47"/>
        <v>1759.45</v>
      </c>
      <c r="M163" s="7">
        <f t="shared" si="48"/>
        <v>3040.72</v>
      </c>
      <c r="N163" s="7">
        <f t="shared" si="49"/>
        <v>-56.33</v>
      </c>
      <c r="O163" s="7">
        <f t="shared" si="50"/>
        <v>28258.196399999997</v>
      </c>
      <c r="P163" s="7">
        <f t="shared" si="51"/>
        <v>31477.697199999999</v>
      </c>
      <c r="Q163" s="6">
        <f t="shared" si="52"/>
        <v>11.4</v>
      </c>
    </row>
    <row r="164" spans="1:17" x14ac:dyDescent="0.2">
      <c r="A164" s="1">
        <v>16</v>
      </c>
      <c r="D164" s="1">
        <v>1000</v>
      </c>
      <c r="E164" s="5">
        <v>144000</v>
      </c>
      <c r="F164" s="7">
        <f t="shared" si="42"/>
        <v>15394.248</v>
      </c>
      <c r="G164" s="7">
        <f t="shared" si="43"/>
        <v>17518.232</v>
      </c>
      <c r="H164" s="7">
        <f t="shared" si="44"/>
        <v>2123.9840000000004</v>
      </c>
      <c r="I164" s="8">
        <f t="shared" si="45"/>
        <v>13.8</v>
      </c>
      <c r="J164" s="7"/>
      <c r="K164" s="7">
        <f t="shared" si="46"/>
        <v>98.06</v>
      </c>
      <c r="L164" s="7">
        <f t="shared" si="47"/>
        <v>733.1</v>
      </c>
      <c r="M164" s="7">
        <f t="shared" si="48"/>
        <v>2301.12</v>
      </c>
      <c r="N164" s="7">
        <f t="shared" si="49"/>
        <v>-23.47</v>
      </c>
      <c r="O164" s="7">
        <f t="shared" si="50"/>
        <v>18503.057999999997</v>
      </c>
      <c r="P164" s="7">
        <f t="shared" si="51"/>
        <v>20627.041999999998</v>
      </c>
      <c r="Q164" s="6">
        <f t="shared" si="52"/>
        <v>11.5</v>
      </c>
    </row>
    <row r="165" spans="1:17" x14ac:dyDescent="0.2">
      <c r="A165" s="1">
        <v>17</v>
      </c>
      <c r="D165" s="1">
        <v>1000</v>
      </c>
      <c r="E165" s="5">
        <v>288000</v>
      </c>
      <c r="F165" s="7">
        <f t="shared" si="42"/>
        <v>22751.495999999999</v>
      </c>
      <c r="G165" s="7">
        <f t="shared" si="43"/>
        <v>25899.464</v>
      </c>
      <c r="H165" s="7">
        <f t="shared" si="44"/>
        <v>3147.9680000000008</v>
      </c>
      <c r="I165" s="8">
        <f t="shared" si="45"/>
        <v>13.8</v>
      </c>
      <c r="J165" s="7"/>
      <c r="K165" s="7">
        <f t="shared" si="46"/>
        <v>196.13</v>
      </c>
      <c r="L165" s="7">
        <f t="shared" si="47"/>
        <v>1466.21</v>
      </c>
      <c r="M165" s="7">
        <f t="shared" si="48"/>
        <v>3142.72</v>
      </c>
      <c r="N165" s="7">
        <f t="shared" si="49"/>
        <v>-46.94</v>
      </c>
      <c r="O165" s="7">
        <f t="shared" si="50"/>
        <v>27509.616000000002</v>
      </c>
      <c r="P165" s="7">
        <f t="shared" si="51"/>
        <v>30657.584000000003</v>
      </c>
      <c r="Q165" s="6">
        <f t="shared" si="52"/>
        <v>11.4</v>
      </c>
    </row>
    <row r="166" spans="1:17" x14ac:dyDescent="0.2">
      <c r="A166" s="1">
        <v>18</v>
      </c>
      <c r="D166" s="1">
        <v>1000</v>
      </c>
      <c r="E166" s="5">
        <v>432000</v>
      </c>
      <c r="F166" s="7">
        <f t="shared" si="42"/>
        <v>29069.508000000002</v>
      </c>
      <c r="G166" s="7">
        <f t="shared" si="43"/>
        <v>33093.883999999998</v>
      </c>
      <c r="H166" s="7">
        <f t="shared" si="44"/>
        <v>4024.3759999999966</v>
      </c>
      <c r="I166" s="8">
        <f t="shared" si="45"/>
        <v>13.8</v>
      </c>
      <c r="J166" s="7"/>
      <c r="K166" s="7">
        <f t="shared" si="46"/>
        <v>294.19</v>
      </c>
      <c r="L166" s="7">
        <f t="shared" si="47"/>
        <v>2199.31</v>
      </c>
      <c r="M166" s="7">
        <f t="shared" si="48"/>
        <v>3795.59</v>
      </c>
      <c r="N166" s="7">
        <f t="shared" si="49"/>
        <v>-70.42</v>
      </c>
      <c r="O166" s="7">
        <f t="shared" si="50"/>
        <v>35288.178</v>
      </c>
      <c r="P166" s="7">
        <f t="shared" si="51"/>
        <v>39312.554000000004</v>
      </c>
      <c r="Q166" s="6">
        <f t="shared" si="52"/>
        <v>11.4</v>
      </c>
    </row>
    <row r="167" spans="1:17" x14ac:dyDescent="0.2">
      <c r="A167" s="1">
        <v>19</v>
      </c>
      <c r="D167" s="1">
        <v>1500</v>
      </c>
      <c r="E167" s="5">
        <v>216000</v>
      </c>
      <c r="F167" s="7">
        <f t="shared" si="42"/>
        <v>23032.871999999999</v>
      </c>
      <c r="G167" s="7">
        <f t="shared" si="43"/>
        <v>26218.847999999998</v>
      </c>
      <c r="H167" s="7">
        <f t="shared" si="44"/>
        <v>3185.9759999999987</v>
      </c>
      <c r="I167" s="8">
        <f t="shared" si="45"/>
        <v>13.8</v>
      </c>
      <c r="J167" s="7"/>
      <c r="K167" s="7">
        <f t="shared" si="46"/>
        <v>147.1</v>
      </c>
      <c r="L167" s="7">
        <f t="shared" si="47"/>
        <v>1099.6600000000001</v>
      </c>
      <c r="M167" s="7">
        <f t="shared" si="48"/>
        <v>3441.05</v>
      </c>
      <c r="N167" s="7">
        <f t="shared" si="49"/>
        <v>-35.21</v>
      </c>
      <c r="O167" s="7">
        <f t="shared" si="50"/>
        <v>27685.471999999998</v>
      </c>
      <c r="P167" s="7">
        <f t="shared" si="51"/>
        <v>30871.447999999997</v>
      </c>
      <c r="Q167" s="6">
        <f t="shared" si="52"/>
        <v>11.5</v>
      </c>
    </row>
    <row r="168" spans="1:17" x14ac:dyDescent="0.2">
      <c r="A168" s="1">
        <v>20</v>
      </c>
      <c r="D168" s="1">
        <v>1500</v>
      </c>
      <c r="E168" s="5">
        <v>432000</v>
      </c>
      <c r="F168" s="7">
        <f t="shared" si="42"/>
        <v>34068.743999999999</v>
      </c>
      <c r="G168" s="7">
        <f t="shared" si="43"/>
        <v>38790.695999999996</v>
      </c>
      <c r="H168" s="7">
        <f t="shared" si="44"/>
        <v>4721.9519999999975</v>
      </c>
      <c r="I168" s="8">
        <f t="shared" si="45"/>
        <v>13.900000000000002</v>
      </c>
      <c r="J168" s="7"/>
      <c r="K168" s="7">
        <f t="shared" si="46"/>
        <v>294.19</v>
      </c>
      <c r="L168" s="7">
        <f t="shared" si="47"/>
        <v>2199.31</v>
      </c>
      <c r="M168" s="7">
        <f t="shared" si="48"/>
        <v>4703.45</v>
      </c>
      <c r="N168" s="7">
        <f t="shared" si="49"/>
        <v>-70.42</v>
      </c>
      <c r="O168" s="7">
        <f t="shared" si="50"/>
        <v>41195.273999999998</v>
      </c>
      <c r="P168" s="7">
        <f t="shared" si="51"/>
        <v>45917.225999999995</v>
      </c>
      <c r="Q168" s="6">
        <f t="shared" si="52"/>
        <v>11.5</v>
      </c>
    </row>
    <row r="169" spans="1:17" x14ac:dyDescent="0.2">
      <c r="A169" s="1">
        <v>21</v>
      </c>
      <c r="D169" s="1">
        <v>1500</v>
      </c>
      <c r="E169" s="5">
        <v>648000</v>
      </c>
      <c r="F169" s="7">
        <f t="shared" si="42"/>
        <v>43545.762000000002</v>
      </c>
      <c r="G169" s="7">
        <f t="shared" si="43"/>
        <v>49582.326000000001</v>
      </c>
      <c r="H169" s="7">
        <f t="shared" si="44"/>
        <v>6036.5639999999985</v>
      </c>
      <c r="I169" s="8">
        <f t="shared" si="45"/>
        <v>13.900000000000002</v>
      </c>
      <c r="J169" s="7"/>
      <c r="K169" s="7">
        <f t="shared" si="46"/>
        <v>441.29</v>
      </c>
      <c r="L169" s="7">
        <f t="shared" si="47"/>
        <v>3298.97</v>
      </c>
      <c r="M169" s="7">
        <f t="shared" si="48"/>
        <v>5682.76</v>
      </c>
      <c r="N169" s="7">
        <f t="shared" si="49"/>
        <v>-105.62</v>
      </c>
      <c r="O169" s="7">
        <f t="shared" si="50"/>
        <v>52863.162000000004</v>
      </c>
      <c r="P169" s="7">
        <f t="shared" si="51"/>
        <v>58899.726000000002</v>
      </c>
      <c r="Q169" s="6">
        <f t="shared" si="52"/>
        <v>11.4</v>
      </c>
    </row>
    <row r="170" spans="1:17" x14ac:dyDescent="0.2">
      <c r="A170" s="1">
        <v>22</v>
      </c>
      <c r="D170" s="1">
        <v>3000</v>
      </c>
      <c r="E170" s="5">
        <v>432000</v>
      </c>
      <c r="F170" s="7">
        <f t="shared" si="42"/>
        <v>45948.743999999999</v>
      </c>
      <c r="G170" s="7">
        <f t="shared" si="43"/>
        <v>52320.695999999996</v>
      </c>
      <c r="H170" s="7">
        <f t="shared" si="44"/>
        <v>6371.9519999999975</v>
      </c>
      <c r="I170" s="8">
        <f t="shared" si="45"/>
        <v>13.900000000000002</v>
      </c>
      <c r="J170" s="7"/>
      <c r="K170" s="7">
        <f t="shared" si="46"/>
        <v>294.19</v>
      </c>
      <c r="L170" s="7">
        <f t="shared" si="47"/>
        <v>2199.31</v>
      </c>
      <c r="M170" s="7">
        <f t="shared" si="48"/>
        <v>6860.86</v>
      </c>
      <c r="N170" s="7">
        <f t="shared" si="49"/>
        <v>-70.42</v>
      </c>
      <c r="O170" s="7">
        <f t="shared" si="50"/>
        <v>55232.684000000001</v>
      </c>
      <c r="P170" s="7">
        <f t="shared" si="51"/>
        <v>61604.635999999999</v>
      </c>
      <c r="Q170" s="6">
        <f t="shared" si="52"/>
        <v>11.5</v>
      </c>
    </row>
    <row r="171" spans="1:17" x14ac:dyDescent="0.2">
      <c r="A171" s="1">
        <v>23</v>
      </c>
      <c r="D171" s="1">
        <v>3000</v>
      </c>
      <c r="E171" s="5">
        <v>864000</v>
      </c>
      <c r="F171" s="7">
        <f t="shared" si="42"/>
        <v>68020.487999999998</v>
      </c>
      <c r="G171" s="7">
        <f t="shared" si="43"/>
        <v>77464.391999999993</v>
      </c>
      <c r="H171" s="7">
        <f t="shared" si="44"/>
        <v>9443.903999999995</v>
      </c>
      <c r="I171" s="8">
        <f t="shared" si="45"/>
        <v>13.900000000000002</v>
      </c>
      <c r="J171" s="7"/>
      <c r="K171" s="7">
        <f t="shared" si="46"/>
        <v>588.38</v>
      </c>
      <c r="L171" s="7">
        <f t="shared" si="47"/>
        <v>4398.62</v>
      </c>
      <c r="M171" s="7">
        <f t="shared" si="48"/>
        <v>9385.65</v>
      </c>
      <c r="N171" s="7">
        <f t="shared" si="49"/>
        <v>-140.83000000000001</v>
      </c>
      <c r="O171" s="7">
        <f t="shared" si="50"/>
        <v>82252.30799999999</v>
      </c>
      <c r="P171" s="7">
        <f t="shared" si="51"/>
        <v>91696.211999999985</v>
      </c>
      <c r="Q171" s="6">
        <f t="shared" si="52"/>
        <v>11.5</v>
      </c>
    </row>
    <row r="172" spans="1:17" x14ac:dyDescent="0.2">
      <c r="A172" s="1">
        <v>24</v>
      </c>
      <c r="D172" s="1">
        <v>3000</v>
      </c>
      <c r="E172" s="5">
        <v>1296000</v>
      </c>
      <c r="F172" s="7">
        <f t="shared" si="42"/>
        <v>86974.524000000005</v>
      </c>
      <c r="G172" s="7">
        <f t="shared" si="43"/>
        <v>99047.652000000002</v>
      </c>
      <c r="H172" s="7">
        <f t="shared" si="44"/>
        <v>12073.127999999997</v>
      </c>
      <c r="I172" s="8">
        <f t="shared" si="45"/>
        <v>13.900000000000002</v>
      </c>
      <c r="J172" s="7"/>
      <c r="K172" s="7">
        <f t="shared" si="46"/>
        <v>882.58</v>
      </c>
      <c r="L172" s="7">
        <f t="shared" si="47"/>
        <v>6597.94</v>
      </c>
      <c r="M172" s="7">
        <f t="shared" si="48"/>
        <v>11344.27</v>
      </c>
      <c r="N172" s="7">
        <f t="shared" si="49"/>
        <v>-211.25</v>
      </c>
      <c r="O172" s="7">
        <f t="shared" si="50"/>
        <v>105588.06400000001</v>
      </c>
      <c r="P172" s="7">
        <f t="shared" si="51"/>
        <v>117661.19200000001</v>
      </c>
      <c r="Q172" s="6">
        <f t="shared" si="52"/>
        <v>11.4</v>
      </c>
    </row>
    <row r="173" spans="1:17" x14ac:dyDescent="0.2">
      <c r="A173" s="3" t="s">
        <v>180</v>
      </c>
    </row>
    <row r="174" spans="1:17" x14ac:dyDescent="0.2">
      <c r="H174" s="7"/>
      <c r="I174" s="8"/>
      <c r="J174" s="8"/>
      <c r="K174" s="7"/>
      <c r="L174" s="7"/>
      <c r="M174" s="7"/>
      <c r="N174" s="7"/>
      <c r="O174" s="7"/>
      <c r="P174" s="7"/>
      <c r="Q174" s="8"/>
    </row>
    <row r="175" spans="1:17" ht="15.75" x14ac:dyDescent="0.25">
      <c r="C175" s="46" t="str">
        <f>"(1) REFLECTS FUEL ADJUSTMENT COMPONENT (FAC) OF "&amp;TEXT(CUR_FAC,"$0.000000;($0.000000)")&amp;" PER KWH."</f>
        <v>(1) REFLECTS FUEL ADJUSTMENT COMPONENT (FAC) OF $0.000681 PER KWH.</v>
      </c>
      <c r="H175" s="7"/>
      <c r="I175" s="8"/>
      <c r="J175" s="8"/>
      <c r="K175" s="7"/>
      <c r="L175" s="7"/>
      <c r="M175" s="7"/>
      <c r="N175" s="7"/>
      <c r="O175" s="7"/>
      <c r="P175" s="7"/>
      <c r="Q175" s="8"/>
    </row>
    <row r="176" spans="1:17" ht="15.75" x14ac:dyDescent="0.25">
      <c r="A176" s="3" t="s">
        <v>180</v>
      </c>
      <c r="C176" s="46" t="str">
        <f>"(2) RIDER DSMR "&amp;TEXT(DSM_DIST,"$0.000000;($0.000000)")&amp;" PER KWH."</f>
        <v>(2) RIDER DSMR $0.005091 PER KWH.</v>
      </c>
      <c r="H176" s="7"/>
      <c r="K176" s="7"/>
      <c r="L176" s="7"/>
      <c r="M176" s="7"/>
      <c r="N176" s="7"/>
    </row>
    <row r="177" spans="1:17" ht="15.75" x14ac:dyDescent="0.25">
      <c r="A177" s="3"/>
      <c r="C177" s="46" t="str">
        <f>"(3) RIDER ESM "&amp;TEXT(CUR_ESM_NONRES,"00.00%")&amp;"  OF TOTAL CURRENT BILL."</f>
        <v>(3) RIDER ESM 18.16%  OF TOTAL CURRENT BILL.</v>
      </c>
      <c r="H177" s="7"/>
      <c r="K177" s="7"/>
      <c r="L177" s="7"/>
      <c r="M177" s="7"/>
      <c r="N177" s="7"/>
    </row>
    <row r="178" spans="1:17" ht="15.75" x14ac:dyDescent="0.25">
      <c r="A178" s="3"/>
      <c r="C178" s="46" t="str">
        <f>"(4) RIDER PSM "&amp;TEXT(RS_PSM,"$0.000000;($0.000000)")&amp;"  PER KWH."</f>
        <v>(4) RIDER PSM ($0.000163)  PER KWH.</v>
      </c>
      <c r="H178" s="7"/>
      <c r="K178" s="7"/>
      <c r="L178" s="7"/>
      <c r="M178" s="7"/>
      <c r="N178" s="7"/>
    </row>
    <row r="179" spans="1:17" ht="15.75" x14ac:dyDescent="0.25">
      <c r="C179" s="46" t="str">
        <f>"(5) REFLECTS FUEL COST RECOVERY INCLUDED IN BASE RATES OF "&amp;TEXT(CUR_BASE_FUEL,"$0.000000;($0.000000)")&amp;"  PER KWH."</f>
        <v>(5) REFLECTS FUEL COST RECOVERY INCLUDED IN BASE RATES OF $0.023837  PER KWH.</v>
      </c>
    </row>
    <row r="180" spans="1:17" ht="15.75" x14ac:dyDescent="0.25">
      <c r="A180" s="43" t="str">
        <f>NAME</f>
        <v>DUKE ENERGY KENTUCKY, INC.</v>
      </c>
      <c r="B180" s="43"/>
      <c r="C180" s="43"/>
      <c r="D180" s="43"/>
      <c r="E180" s="43"/>
      <c r="F180" s="43"/>
      <c r="G180" s="44"/>
      <c r="H180" s="43"/>
      <c r="I180" s="43"/>
      <c r="J180" s="43"/>
      <c r="K180" s="43"/>
      <c r="L180" s="43"/>
      <c r="M180" s="43"/>
      <c r="N180" s="43"/>
      <c r="O180" s="43"/>
      <c r="P180" s="43"/>
      <c r="Q180" s="43"/>
    </row>
    <row r="181" spans="1:17" ht="15.75" x14ac:dyDescent="0.25">
      <c r="A181" s="43" t="str">
        <f>CASE_NO</f>
        <v>CASE NO.   2019-000271</v>
      </c>
      <c r="B181" s="43"/>
      <c r="C181" s="43"/>
      <c r="D181" s="43"/>
      <c r="E181" s="43"/>
      <c r="F181" s="43"/>
      <c r="G181" s="44"/>
      <c r="H181" s="43"/>
      <c r="I181" s="43"/>
      <c r="J181" s="43"/>
      <c r="K181" s="43"/>
      <c r="L181" s="43"/>
      <c r="M181" s="43"/>
      <c r="N181" s="43"/>
      <c r="O181" s="43"/>
      <c r="P181" s="43"/>
      <c r="Q181" s="43"/>
    </row>
    <row r="182" spans="1:17" ht="15.75" x14ac:dyDescent="0.25">
      <c r="A182" s="44" t="s">
        <v>178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</row>
    <row r="183" spans="1:17" ht="15.75" x14ac:dyDescent="0.25">
      <c r="A183" s="44" t="str">
        <f>SERVICE</f>
        <v>(ELECTRIC SERVICE)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</row>
    <row r="184" spans="1:17" ht="15.75" x14ac:dyDescent="0.25">
      <c r="A184" s="46"/>
      <c r="B184" s="378"/>
      <c r="C184" s="378"/>
      <c r="D184" s="378"/>
      <c r="E184" s="378"/>
      <c r="F184" s="378"/>
      <c r="G184" s="378"/>
      <c r="H184" s="378"/>
      <c r="I184" s="378"/>
      <c r="J184" s="378"/>
      <c r="K184" s="378"/>
      <c r="L184" s="378"/>
      <c r="M184" s="378"/>
      <c r="N184" s="378"/>
      <c r="O184" s="378"/>
      <c r="P184" s="378"/>
      <c r="Q184" s="378"/>
    </row>
    <row r="185" spans="1:17" ht="15.75" x14ac:dyDescent="0.25">
      <c r="A185" s="45" t="str">
        <f>DATA_PERIOD</f>
        <v>DATA: __X__ BASE PERIOD   ____FORECASTED PERIOD</v>
      </c>
      <c r="B185" s="378"/>
      <c r="C185" s="378"/>
      <c r="D185" s="378"/>
      <c r="E185" s="378"/>
      <c r="F185" s="378"/>
      <c r="G185" s="378"/>
      <c r="H185" s="378"/>
      <c r="I185" s="378"/>
      <c r="J185" s="378"/>
      <c r="K185" s="378"/>
      <c r="L185" s="378"/>
      <c r="M185" s="378"/>
      <c r="N185" s="378"/>
      <c r="O185" s="378"/>
      <c r="P185" s="46" t="s">
        <v>179</v>
      </c>
      <c r="Q185" s="378"/>
    </row>
    <row r="186" spans="1:17" ht="15.75" x14ac:dyDescent="0.25">
      <c r="A186" s="45" t="str">
        <f>TYPE</f>
        <v>TYPE OF FILING: _X_ ORIGINAL   ___UPDATED  ___ REVISED</v>
      </c>
      <c r="B186" s="378"/>
      <c r="C186" s="378"/>
      <c r="D186" s="378"/>
      <c r="E186" s="378"/>
      <c r="F186" s="378"/>
      <c r="G186" s="378"/>
      <c r="H186" s="378"/>
      <c r="I186" s="378"/>
      <c r="J186" s="378"/>
      <c r="K186" s="378"/>
      <c r="L186" s="378"/>
      <c r="M186" s="378"/>
      <c r="N186" s="378"/>
      <c r="O186" s="378"/>
      <c r="P186" s="46" t="s">
        <v>130</v>
      </c>
      <c r="Q186" s="378"/>
    </row>
    <row r="187" spans="1:17" ht="15.75" x14ac:dyDescent="0.25">
      <c r="A187" s="46" t="s">
        <v>106</v>
      </c>
      <c r="B187" s="378"/>
      <c r="C187" s="378"/>
      <c r="D187" s="378"/>
      <c r="E187" s="378"/>
      <c r="F187" s="378"/>
      <c r="G187" s="378"/>
      <c r="H187" s="378"/>
      <c r="I187" s="378"/>
      <c r="J187" s="378"/>
      <c r="K187" s="378"/>
      <c r="L187" s="378"/>
      <c r="M187" s="378"/>
      <c r="N187" s="378"/>
      <c r="O187" s="378"/>
      <c r="P187" s="46" t="s">
        <v>3</v>
      </c>
      <c r="Q187" s="378"/>
    </row>
    <row r="188" spans="1:17" ht="15.75" x14ac:dyDescent="0.25">
      <c r="A188" s="218" t="str">
        <f>TIME</f>
        <v>6 Months Actual and 6 Months Projected with Riders</v>
      </c>
      <c r="B188" s="378"/>
      <c r="C188" s="378"/>
      <c r="D188" s="378"/>
      <c r="E188" s="378"/>
      <c r="F188" s="378"/>
      <c r="G188" s="378"/>
      <c r="H188" s="378"/>
      <c r="I188" s="378"/>
      <c r="J188" s="378"/>
      <c r="K188" s="378"/>
      <c r="L188" s="378"/>
      <c r="M188" s="378"/>
      <c r="N188" s="378"/>
      <c r="O188" s="378"/>
      <c r="P188" s="45" t="str">
        <f>WIT</f>
        <v>J. L. Kern</v>
      </c>
      <c r="Q188" s="378"/>
    </row>
    <row r="189" spans="1:17" x14ac:dyDescent="0.2">
      <c r="A189" s="595" t="s">
        <v>499</v>
      </c>
      <c r="B189" s="595"/>
      <c r="C189" s="595"/>
      <c r="D189" s="595"/>
      <c r="E189" s="595"/>
      <c r="F189" s="595"/>
      <c r="G189" s="595"/>
      <c r="H189" s="595"/>
      <c r="I189" s="595"/>
      <c r="J189" s="595"/>
      <c r="K189" s="595"/>
      <c r="L189" s="595"/>
      <c r="M189" s="595"/>
      <c r="N189" s="595"/>
      <c r="O189" s="595"/>
      <c r="P189" s="595"/>
      <c r="Q189" s="595"/>
    </row>
    <row r="190" spans="1:17" ht="15.75" x14ac:dyDescent="0.25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</row>
    <row r="191" spans="1:17" ht="15.75" x14ac:dyDescent="0.25">
      <c r="A191" s="378"/>
      <c r="B191" s="378"/>
      <c r="C191" s="378"/>
      <c r="D191" s="378"/>
      <c r="E191" s="378"/>
      <c r="F191" s="378"/>
      <c r="G191" s="378"/>
      <c r="H191" s="378"/>
      <c r="I191" s="378"/>
      <c r="J191" s="378"/>
      <c r="K191" s="378"/>
      <c r="L191" s="378"/>
      <c r="M191" s="378"/>
      <c r="N191" s="378"/>
      <c r="O191" s="378"/>
      <c r="P191" s="378"/>
      <c r="Q191" s="378"/>
    </row>
    <row r="192" spans="1:17" ht="15.75" x14ac:dyDescent="0.25">
      <c r="A192" s="378"/>
      <c r="B192" s="378"/>
      <c r="C192" s="378"/>
      <c r="D192" s="378"/>
      <c r="E192" s="378"/>
      <c r="F192" s="15" t="s">
        <v>436</v>
      </c>
      <c r="G192" s="119"/>
      <c r="H192" s="119"/>
      <c r="I192" s="119"/>
      <c r="J192" s="57"/>
      <c r="K192" s="594" t="s">
        <v>418</v>
      </c>
      <c r="L192" s="594"/>
      <c r="M192" s="594"/>
      <c r="N192" s="594"/>
      <c r="O192" s="426" t="s">
        <v>11</v>
      </c>
      <c r="P192" s="426" t="s">
        <v>11</v>
      </c>
      <c r="Q192" s="378"/>
    </row>
    <row r="193" spans="1:26" ht="17.100000000000001" customHeight="1" x14ac:dyDescent="0.25">
      <c r="A193" s="378"/>
      <c r="B193" s="378"/>
      <c r="C193" s="378"/>
      <c r="D193" s="426" t="s">
        <v>107</v>
      </c>
      <c r="E193" s="426" t="s">
        <v>107</v>
      </c>
      <c r="F193" s="378"/>
      <c r="G193" s="378"/>
      <c r="H193" s="426" t="s">
        <v>108</v>
      </c>
      <c r="I193" s="426" t="s">
        <v>109</v>
      </c>
      <c r="J193" s="426"/>
      <c r="K193" s="378"/>
      <c r="L193" s="378"/>
      <c r="N193" s="378"/>
      <c r="O193" s="426" t="s">
        <v>8</v>
      </c>
      <c r="P193" s="426" t="s">
        <v>6</v>
      </c>
      <c r="Q193" s="426" t="s">
        <v>109</v>
      </c>
    </row>
    <row r="194" spans="1:26" ht="15.75" x14ac:dyDescent="0.25">
      <c r="A194" s="378"/>
      <c r="B194" s="378"/>
      <c r="C194" s="378"/>
      <c r="D194" s="426" t="s">
        <v>110</v>
      </c>
      <c r="E194" s="426" t="s">
        <v>110</v>
      </c>
      <c r="F194" s="426" t="s">
        <v>8</v>
      </c>
      <c r="G194" s="426" t="s">
        <v>6</v>
      </c>
      <c r="H194" s="426" t="s">
        <v>111</v>
      </c>
      <c r="I194" s="426" t="s">
        <v>111</v>
      </c>
      <c r="J194" s="426"/>
      <c r="K194" s="426" t="s">
        <v>264</v>
      </c>
      <c r="L194" s="426" t="s">
        <v>264</v>
      </c>
      <c r="M194" s="426" t="s">
        <v>264</v>
      </c>
      <c r="N194" s="426" t="s">
        <v>264</v>
      </c>
      <c r="O194" s="426" t="s">
        <v>113</v>
      </c>
      <c r="P194" s="426" t="s">
        <v>113</v>
      </c>
      <c r="Q194" s="426" t="s">
        <v>111</v>
      </c>
    </row>
    <row r="195" spans="1:26" ht="15.75" x14ac:dyDescent="0.25">
      <c r="A195" s="426" t="s">
        <v>17</v>
      </c>
      <c r="B195" s="378"/>
      <c r="C195" s="46" t="s">
        <v>18</v>
      </c>
      <c r="D195" s="426" t="s">
        <v>115</v>
      </c>
      <c r="E195" s="426" t="s">
        <v>116</v>
      </c>
      <c r="F195" s="70" t="s">
        <v>706</v>
      </c>
      <c r="G195" s="70" t="s">
        <v>706</v>
      </c>
      <c r="H195" s="265" t="s">
        <v>117</v>
      </c>
      <c r="I195" s="265" t="s">
        <v>118</v>
      </c>
      <c r="J195" s="426"/>
      <c r="K195" s="426" t="s">
        <v>416</v>
      </c>
      <c r="L195" s="70" t="s">
        <v>267</v>
      </c>
      <c r="M195" s="70" t="s">
        <v>644</v>
      </c>
      <c r="N195" s="70" t="s">
        <v>705</v>
      </c>
      <c r="O195" s="439" t="s">
        <v>822</v>
      </c>
      <c r="P195" s="439" t="s">
        <v>823</v>
      </c>
      <c r="Q195" s="439" t="s">
        <v>824</v>
      </c>
    </row>
    <row r="196" spans="1:26" ht="15.75" x14ac:dyDescent="0.25">
      <c r="A196" s="80" t="s">
        <v>24</v>
      </c>
      <c r="B196" s="71"/>
      <c r="C196" s="120" t="s">
        <v>25</v>
      </c>
      <c r="D196" s="578" t="s">
        <v>35</v>
      </c>
      <c r="E196" s="578" t="s">
        <v>36</v>
      </c>
      <c r="F196" s="578" t="s">
        <v>37</v>
      </c>
      <c r="G196" s="578" t="s">
        <v>38</v>
      </c>
      <c r="H196" s="578" t="s">
        <v>39</v>
      </c>
      <c r="I196" s="578" t="s">
        <v>40</v>
      </c>
      <c r="J196" s="578"/>
      <c r="K196" s="578" t="s">
        <v>41</v>
      </c>
      <c r="L196" s="578" t="s">
        <v>42</v>
      </c>
      <c r="M196" s="430" t="s">
        <v>43</v>
      </c>
      <c r="N196" s="429" t="s">
        <v>44</v>
      </c>
      <c r="O196" s="429" t="s">
        <v>45</v>
      </c>
      <c r="P196" s="429" t="s">
        <v>46</v>
      </c>
      <c r="Q196" s="429" t="s">
        <v>47</v>
      </c>
      <c r="W196" s="2" t="s">
        <v>636</v>
      </c>
      <c r="Y196" s="2" t="s">
        <v>635</v>
      </c>
    </row>
    <row r="197" spans="1:26" ht="15.75" x14ac:dyDescent="0.25">
      <c r="A197" s="378"/>
      <c r="B197" s="378"/>
      <c r="C197" s="378"/>
      <c r="D197" s="441" t="s">
        <v>124</v>
      </c>
      <c r="E197" s="441" t="s">
        <v>51</v>
      </c>
      <c r="F197" s="441" t="s">
        <v>52</v>
      </c>
      <c r="G197" s="441" t="s">
        <v>52</v>
      </c>
      <c r="H197" s="441" t="s">
        <v>52</v>
      </c>
      <c r="I197" s="441" t="s">
        <v>53</v>
      </c>
      <c r="J197" s="441"/>
      <c r="K197" s="441" t="s">
        <v>52</v>
      </c>
      <c r="L197" s="441" t="s">
        <v>52</v>
      </c>
      <c r="M197" s="441" t="s">
        <v>52</v>
      </c>
      <c r="N197" s="441" t="s">
        <v>52</v>
      </c>
      <c r="O197" s="441" t="s">
        <v>52</v>
      </c>
      <c r="P197" s="441" t="s">
        <v>52</v>
      </c>
      <c r="Q197" s="441" t="s">
        <v>53</v>
      </c>
      <c r="W197" s="2" t="s">
        <v>181</v>
      </c>
      <c r="X197" s="2" t="s">
        <v>182</v>
      </c>
      <c r="Y197" s="2" t="s">
        <v>181</v>
      </c>
      <c r="Z197" s="2" t="s">
        <v>182</v>
      </c>
    </row>
    <row r="198" spans="1:26" ht="15.75" x14ac:dyDescent="0.25">
      <c r="A198" s="1">
        <v>1</v>
      </c>
      <c r="C198" s="46" t="s">
        <v>131</v>
      </c>
      <c r="D198" s="5">
        <v>1000</v>
      </c>
      <c r="E198" s="5">
        <v>200000</v>
      </c>
      <c r="F198" s="7">
        <v>16973.869999999995</v>
      </c>
      <c r="G198" s="7">
        <f t="shared" ref="G198:G215" si="53">ROUND($E198*$Y$198*PRO_SUM_TT_ON_KWH,2)+ROUND($E198*(1-$Y$198)*PRO_TT_OFF,2)+ROUND($D198*$W$198*PRO_TT_SUM_PEAK,2)+ROUND($D198*(1-$W$198)*PRO_TT_SUM_PK_OFF,2)+PRO_TT_SUM_CST</f>
        <v>18365.87</v>
      </c>
      <c r="H198" s="7">
        <f t="shared" ref="H198:H215" si="54">G198-F198</f>
        <v>1392.0000000000036</v>
      </c>
      <c r="I198" s="8">
        <f t="shared" ref="I198:I215" si="55">ROUND(H198/F198,3)*100</f>
        <v>8.2000000000000011</v>
      </c>
      <c r="J198" s="8"/>
      <c r="K198" s="7">
        <f t="shared" ref="K198:K215" si="56">ROUND(E198*CUR_FAC,2)</f>
        <v>136.19999999999999</v>
      </c>
      <c r="L198" s="7">
        <f t="shared" ref="L198:L215" si="57">ROUND(E198*DSM_TRANS,2)</f>
        <v>92.6</v>
      </c>
      <c r="M198" s="7">
        <f t="shared" ref="M198:M215" si="58">ROUND((F198+$L198+$N198-PRO_BASE_FUEL*$E198)*PRO_ESM_NONRES,2)</f>
        <v>2227.59</v>
      </c>
      <c r="N198" s="7">
        <f t="shared" ref="N198:N215" si="59">ROUND(E198*RS_PSM,2)</f>
        <v>-32.6</v>
      </c>
      <c r="O198" s="7">
        <f t="shared" ref="O198:O215" si="60">F198+K198+L198+M198+N198</f>
        <v>19397.659999999996</v>
      </c>
      <c r="P198" s="7">
        <f t="shared" ref="P198:P215" si="61">G198+K198+L198+M198+N198</f>
        <v>20789.66</v>
      </c>
      <c r="Q198" s="6">
        <f>ROUND((P198-O198)/O198,3)*100</f>
        <v>7.1999999999999993</v>
      </c>
      <c r="W198" s="2">
        <f>'Rate TT'!H24/'Rate TT'!H26</f>
        <v>0.96359001830801017</v>
      </c>
      <c r="X198" s="2">
        <f>'Rate TT'!H38/'Rate TT'!H40</f>
        <v>0.96412544543739487</v>
      </c>
      <c r="Y198" s="2">
        <f>'Rate TT'!H29/'Rate TT'!H31</f>
        <v>0.34880031513366161</v>
      </c>
      <c r="Z198" s="2">
        <f>'Rate TT'!H43/'Rate TT'!H45</f>
        <v>0.30596437478152388</v>
      </c>
    </row>
    <row r="199" spans="1:26" x14ac:dyDescent="0.2">
      <c r="A199" s="1">
        <v>2</v>
      </c>
      <c r="D199" s="5">
        <v>1000</v>
      </c>
      <c r="E199" s="5">
        <v>400000</v>
      </c>
      <c r="F199" s="7">
        <v>25627.149999999994</v>
      </c>
      <c r="G199" s="7">
        <f t="shared" si="53"/>
        <v>27752.29</v>
      </c>
      <c r="H199" s="7">
        <f t="shared" si="54"/>
        <v>2125.1400000000067</v>
      </c>
      <c r="I199" s="8">
        <f t="shared" si="55"/>
        <v>8.3000000000000007</v>
      </c>
      <c r="J199" s="8"/>
      <c r="K199" s="7">
        <f t="shared" si="56"/>
        <v>272.39999999999998</v>
      </c>
      <c r="L199" s="7">
        <f t="shared" si="57"/>
        <v>185.2</v>
      </c>
      <c r="M199" s="7">
        <f t="shared" si="58"/>
        <v>2944.16</v>
      </c>
      <c r="N199" s="7">
        <f t="shared" si="59"/>
        <v>-65.2</v>
      </c>
      <c r="O199" s="7">
        <f t="shared" si="60"/>
        <v>28963.709999999995</v>
      </c>
      <c r="P199" s="7">
        <f t="shared" si="61"/>
        <v>31088.850000000002</v>
      </c>
      <c r="Q199" s="8">
        <f t="shared" ref="Q199:Q215" si="62">ROUND((P199-O199)/O199,3)*100</f>
        <v>7.3</v>
      </c>
    </row>
    <row r="200" spans="1:26" x14ac:dyDescent="0.2">
      <c r="A200" s="1">
        <v>3</v>
      </c>
      <c r="D200" s="5">
        <v>2500</v>
      </c>
      <c r="E200" s="5">
        <v>500000</v>
      </c>
      <c r="F200" s="7">
        <v>41684.670000000006</v>
      </c>
      <c r="G200" s="7">
        <f t="shared" si="53"/>
        <v>45164.7</v>
      </c>
      <c r="H200" s="7">
        <f t="shared" si="54"/>
        <v>3480.0299999999916</v>
      </c>
      <c r="I200" s="8">
        <f t="shared" si="55"/>
        <v>8.3000000000000007</v>
      </c>
      <c r="J200" s="8"/>
      <c r="K200" s="7">
        <f t="shared" si="56"/>
        <v>340.5</v>
      </c>
      <c r="L200" s="7">
        <f t="shared" si="57"/>
        <v>231.5</v>
      </c>
      <c r="M200" s="7">
        <f t="shared" si="58"/>
        <v>5432.78</v>
      </c>
      <c r="N200" s="7">
        <f t="shared" si="59"/>
        <v>-81.5</v>
      </c>
      <c r="O200" s="7">
        <f t="shared" si="60"/>
        <v>47607.950000000004</v>
      </c>
      <c r="P200" s="7">
        <f t="shared" si="61"/>
        <v>51087.979999999996</v>
      </c>
      <c r="Q200" s="8">
        <f t="shared" si="62"/>
        <v>7.3</v>
      </c>
    </row>
    <row r="201" spans="1:26" x14ac:dyDescent="0.2">
      <c r="A201" s="1">
        <v>4</v>
      </c>
      <c r="D201" s="5">
        <v>2500</v>
      </c>
      <c r="E201" s="5">
        <v>1000000</v>
      </c>
      <c r="F201" s="7">
        <v>63317.87</v>
      </c>
      <c r="G201" s="7">
        <f t="shared" si="53"/>
        <v>68630.719999999987</v>
      </c>
      <c r="H201" s="7">
        <f t="shared" si="54"/>
        <v>5312.849999999984</v>
      </c>
      <c r="I201" s="8">
        <f t="shared" si="55"/>
        <v>8.4</v>
      </c>
      <c r="J201" s="8"/>
      <c r="K201" s="7">
        <f t="shared" si="56"/>
        <v>681</v>
      </c>
      <c r="L201" s="7">
        <f t="shared" si="57"/>
        <v>463</v>
      </c>
      <c r="M201" s="7">
        <f t="shared" si="58"/>
        <v>7224.21</v>
      </c>
      <c r="N201" s="7">
        <f t="shared" si="59"/>
        <v>-163</v>
      </c>
      <c r="O201" s="7">
        <f t="shared" si="60"/>
        <v>71523.08</v>
      </c>
      <c r="P201" s="7">
        <f t="shared" si="61"/>
        <v>76835.929999999993</v>
      </c>
      <c r="Q201" s="8">
        <f t="shared" si="62"/>
        <v>7.3999999999999995</v>
      </c>
    </row>
    <row r="202" spans="1:26" x14ac:dyDescent="0.2">
      <c r="A202" s="1">
        <v>5</v>
      </c>
      <c r="D202" s="5">
        <v>5000</v>
      </c>
      <c r="E202" s="5">
        <v>1000000</v>
      </c>
      <c r="F202" s="7">
        <v>82869.350000000006</v>
      </c>
      <c r="G202" s="7">
        <f t="shared" si="53"/>
        <v>89829.409999999989</v>
      </c>
      <c r="H202" s="7">
        <f t="shared" si="54"/>
        <v>6960.0599999999831</v>
      </c>
      <c r="I202" s="8">
        <f t="shared" si="55"/>
        <v>8.4</v>
      </c>
      <c r="J202" s="8"/>
      <c r="K202" s="7">
        <f t="shared" si="56"/>
        <v>681</v>
      </c>
      <c r="L202" s="7">
        <f t="shared" si="57"/>
        <v>463</v>
      </c>
      <c r="M202" s="7">
        <f t="shared" si="58"/>
        <v>10774.75</v>
      </c>
      <c r="N202" s="7">
        <f t="shared" si="59"/>
        <v>-163</v>
      </c>
      <c r="O202" s="7">
        <f t="shared" si="60"/>
        <v>94625.1</v>
      </c>
      <c r="P202" s="7">
        <f t="shared" si="61"/>
        <v>101585.15999999999</v>
      </c>
      <c r="Q202" s="8">
        <f t="shared" si="62"/>
        <v>7.3999999999999995</v>
      </c>
    </row>
    <row r="203" spans="1:26" x14ac:dyDescent="0.2">
      <c r="A203" s="1">
        <v>6</v>
      </c>
      <c r="D203" s="5">
        <v>5000</v>
      </c>
      <c r="E203" s="5">
        <v>2000000</v>
      </c>
      <c r="F203" s="7">
        <v>126135.75000000001</v>
      </c>
      <c r="G203" s="7">
        <f t="shared" si="53"/>
        <v>136761.44999999998</v>
      </c>
      <c r="H203" s="7">
        <f t="shared" si="54"/>
        <v>10625.699999999968</v>
      </c>
      <c r="I203" s="8">
        <f t="shared" si="55"/>
        <v>8.4</v>
      </c>
      <c r="J203" s="8"/>
      <c r="K203" s="7">
        <f t="shared" si="56"/>
        <v>1362</v>
      </c>
      <c r="L203" s="7">
        <f t="shared" si="57"/>
        <v>926</v>
      </c>
      <c r="M203" s="7">
        <f t="shared" si="58"/>
        <v>14357.61</v>
      </c>
      <c r="N203" s="7">
        <f t="shared" si="59"/>
        <v>-326</v>
      </c>
      <c r="O203" s="7">
        <f t="shared" si="60"/>
        <v>142455.36000000002</v>
      </c>
      <c r="P203" s="7">
        <f t="shared" si="61"/>
        <v>153081.06</v>
      </c>
      <c r="Q203" s="8">
        <f t="shared" si="62"/>
        <v>7.5</v>
      </c>
    </row>
    <row r="204" spans="1:26" x14ac:dyDescent="0.2">
      <c r="A204" s="1">
        <v>7</v>
      </c>
      <c r="D204" s="5">
        <v>10000</v>
      </c>
      <c r="E204" s="5">
        <v>2000000</v>
      </c>
      <c r="F204" s="7">
        <v>165238.70000000001</v>
      </c>
      <c r="G204" s="7">
        <f t="shared" si="53"/>
        <v>179158.81999999998</v>
      </c>
      <c r="H204" s="7">
        <f t="shared" si="54"/>
        <v>13920.119999999966</v>
      </c>
      <c r="I204" s="8">
        <f t="shared" si="55"/>
        <v>8.4</v>
      </c>
      <c r="J204" s="8"/>
      <c r="K204" s="7">
        <f t="shared" si="56"/>
        <v>1362</v>
      </c>
      <c r="L204" s="7">
        <f t="shared" si="57"/>
        <v>926</v>
      </c>
      <c r="M204" s="7">
        <f t="shared" si="58"/>
        <v>21458.71</v>
      </c>
      <c r="N204" s="7">
        <f t="shared" si="59"/>
        <v>-326</v>
      </c>
      <c r="O204" s="7">
        <f t="shared" si="60"/>
        <v>188659.41</v>
      </c>
      <c r="P204" s="7">
        <f t="shared" si="61"/>
        <v>202579.52999999997</v>
      </c>
      <c r="Q204" s="8">
        <f t="shared" si="62"/>
        <v>7.3999999999999995</v>
      </c>
    </row>
    <row r="205" spans="1:26" x14ac:dyDescent="0.2">
      <c r="A205" s="1">
        <v>8</v>
      </c>
      <c r="D205" s="5">
        <v>10000</v>
      </c>
      <c r="E205" s="5">
        <v>4000000</v>
      </c>
      <c r="F205" s="7">
        <v>251771.49000000005</v>
      </c>
      <c r="G205" s="7">
        <f t="shared" si="53"/>
        <v>273022.90000000002</v>
      </c>
      <c r="H205" s="7">
        <f t="shared" si="54"/>
        <v>21251.409999999974</v>
      </c>
      <c r="I205" s="8">
        <f t="shared" si="55"/>
        <v>8.4</v>
      </c>
      <c r="J205" s="8"/>
      <c r="K205" s="7">
        <f t="shared" si="56"/>
        <v>2724</v>
      </c>
      <c r="L205" s="7">
        <f t="shared" si="57"/>
        <v>1852</v>
      </c>
      <c r="M205" s="7">
        <f t="shared" si="58"/>
        <v>28624.43</v>
      </c>
      <c r="N205" s="7">
        <f t="shared" si="59"/>
        <v>-652</v>
      </c>
      <c r="O205" s="7">
        <f t="shared" si="60"/>
        <v>284319.92000000004</v>
      </c>
      <c r="P205" s="7">
        <f t="shared" si="61"/>
        <v>305571.33</v>
      </c>
      <c r="Q205" s="8">
        <f t="shared" si="62"/>
        <v>7.5</v>
      </c>
    </row>
    <row r="206" spans="1:26" x14ac:dyDescent="0.2">
      <c r="A206" s="1">
        <v>9</v>
      </c>
      <c r="D206" s="5">
        <v>10000</v>
      </c>
      <c r="E206" s="5">
        <v>6000000</v>
      </c>
      <c r="F206" s="7">
        <v>338304.27</v>
      </c>
      <c r="G206" s="7">
        <f t="shared" si="53"/>
        <v>366886.98</v>
      </c>
      <c r="H206" s="7">
        <f t="shared" si="54"/>
        <v>28582.709999999963</v>
      </c>
      <c r="I206" s="8">
        <f t="shared" si="55"/>
        <v>8.4</v>
      </c>
      <c r="J206" s="8"/>
      <c r="K206" s="7">
        <f t="shared" si="56"/>
        <v>4086</v>
      </c>
      <c r="L206" s="7">
        <f t="shared" si="57"/>
        <v>2778</v>
      </c>
      <c r="M206" s="7">
        <f t="shared" si="58"/>
        <v>35790.14</v>
      </c>
      <c r="N206" s="7">
        <f t="shared" si="59"/>
        <v>-978</v>
      </c>
      <c r="O206" s="7">
        <f t="shared" si="60"/>
        <v>379980.41000000003</v>
      </c>
      <c r="P206" s="7">
        <f t="shared" si="61"/>
        <v>408563.12</v>
      </c>
      <c r="Q206" s="8">
        <f t="shared" si="62"/>
        <v>7.5</v>
      </c>
    </row>
    <row r="207" spans="1:26" x14ac:dyDescent="0.2">
      <c r="A207" s="1">
        <v>10</v>
      </c>
      <c r="D207" s="5">
        <v>20000</v>
      </c>
      <c r="E207" s="5">
        <v>4000000</v>
      </c>
      <c r="F207" s="7">
        <v>329977.41000000003</v>
      </c>
      <c r="G207" s="7">
        <f t="shared" si="53"/>
        <v>357817.63</v>
      </c>
      <c r="H207" s="7">
        <f t="shared" si="54"/>
        <v>27840.219999999972</v>
      </c>
      <c r="I207" s="8">
        <f t="shared" si="55"/>
        <v>8.4</v>
      </c>
      <c r="J207" s="8"/>
      <c r="K207" s="7">
        <f t="shared" si="56"/>
        <v>2724</v>
      </c>
      <c r="L207" s="7">
        <f t="shared" si="57"/>
        <v>1852</v>
      </c>
      <c r="M207" s="7">
        <f t="shared" si="58"/>
        <v>42826.62</v>
      </c>
      <c r="N207" s="7">
        <f t="shared" si="59"/>
        <v>-652</v>
      </c>
      <c r="O207" s="7">
        <f t="shared" si="60"/>
        <v>376728.03</v>
      </c>
      <c r="P207" s="7">
        <f t="shared" si="61"/>
        <v>404568.25</v>
      </c>
      <c r="Q207" s="8">
        <f t="shared" si="62"/>
        <v>7.3999999999999995</v>
      </c>
    </row>
    <row r="208" spans="1:26" x14ac:dyDescent="0.2">
      <c r="A208" s="1">
        <v>11</v>
      </c>
      <c r="D208" s="5">
        <v>20000</v>
      </c>
      <c r="E208" s="5">
        <v>8000000</v>
      </c>
      <c r="F208" s="7">
        <v>503042.97000000003</v>
      </c>
      <c r="G208" s="7">
        <f t="shared" si="53"/>
        <v>545545.79</v>
      </c>
      <c r="H208" s="7">
        <f t="shared" si="54"/>
        <v>42502.820000000007</v>
      </c>
      <c r="I208" s="8">
        <f t="shared" si="55"/>
        <v>8.4</v>
      </c>
      <c r="J208" s="8"/>
      <c r="K208" s="7">
        <f t="shared" si="56"/>
        <v>5448</v>
      </c>
      <c r="L208" s="7">
        <f t="shared" si="57"/>
        <v>3704</v>
      </c>
      <c r="M208" s="7">
        <f t="shared" si="58"/>
        <v>57158.05</v>
      </c>
      <c r="N208" s="7">
        <f t="shared" si="59"/>
        <v>-1304</v>
      </c>
      <c r="O208" s="7">
        <f t="shared" si="60"/>
        <v>568049.02</v>
      </c>
      <c r="P208" s="7">
        <f t="shared" si="61"/>
        <v>610551.84000000008</v>
      </c>
      <c r="Q208" s="8">
        <f t="shared" si="62"/>
        <v>7.5</v>
      </c>
    </row>
    <row r="209" spans="1:17" x14ac:dyDescent="0.2">
      <c r="A209" s="1">
        <v>12</v>
      </c>
      <c r="D209" s="5">
        <v>20000</v>
      </c>
      <c r="E209" s="5">
        <v>12000000</v>
      </c>
      <c r="F209" s="7">
        <v>676108.54999999993</v>
      </c>
      <c r="G209" s="7">
        <f t="shared" si="53"/>
        <v>733273.95</v>
      </c>
      <c r="H209" s="7">
        <f t="shared" si="54"/>
        <v>57165.400000000023</v>
      </c>
      <c r="I209" s="8">
        <f t="shared" si="55"/>
        <v>8.5</v>
      </c>
      <c r="J209" s="8"/>
      <c r="K209" s="7">
        <f t="shared" si="56"/>
        <v>8172</v>
      </c>
      <c r="L209" s="7">
        <f t="shared" si="57"/>
        <v>5556</v>
      </c>
      <c r="M209" s="7">
        <f t="shared" si="58"/>
        <v>71489.48</v>
      </c>
      <c r="N209" s="7">
        <f t="shared" si="59"/>
        <v>-1956</v>
      </c>
      <c r="O209" s="7">
        <f t="shared" si="60"/>
        <v>759370.02999999991</v>
      </c>
      <c r="P209" s="7">
        <f t="shared" si="61"/>
        <v>816535.42999999993</v>
      </c>
      <c r="Q209" s="8">
        <f t="shared" si="62"/>
        <v>7.5</v>
      </c>
    </row>
    <row r="210" spans="1:17" x14ac:dyDescent="0.2">
      <c r="A210" s="1">
        <v>13</v>
      </c>
      <c r="D210" s="5">
        <v>40000</v>
      </c>
      <c r="E210" s="5">
        <v>16000000</v>
      </c>
      <c r="F210" s="7">
        <v>1005585.9600000001</v>
      </c>
      <c r="G210" s="7">
        <f t="shared" si="53"/>
        <v>1090591.5900000001</v>
      </c>
      <c r="H210" s="7">
        <f t="shared" si="54"/>
        <v>85005.63</v>
      </c>
      <c r="I210" s="8">
        <f t="shared" si="55"/>
        <v>8.5</v>
      </c>
      <c r="J210" s="8"/>
      <c r="K210" s="7">
        <f t="shared" si="56"/>
        <v>10896</v>
      </c>
      <c r="L210" s="7">
        <f t="shared" si="57"/>
        <v>7408</v>
      </c>
      <c r="M210" s="7">
        <f t="shared" si="58"/>
        <v>114225.3</v>
      </c>
      <c r="N210" s="7">
        <f t="shared" si="59"/>
        <v>-2608</v>
      </c>
      <c r="O210" s="7">
        <f t="shared" si="60"/>
        <v>1135507.26</v>
      </c>
      <c r="P210" s="7">
        <f t="shared" si="61"/>
        <v>1220512.8900000001</v>
      </c>
      <c r="Q210" s="8">
        <f t="shared" si="62"/>
        <v>7.5</v>
      </c>
    </row>
    <row r="211" spans="1:17" x14ac:dyDescent="0.2">
      <c r="A211" s="1">
        <v>14</v>
      </c>
      <c r="D211" s="5">
        <v>40000</v>
      </c>
      <c r="E211" s="5">
        <v>24000000</v>
      </c>
      <c r="F211" s="7">
        <v>1351717.1</v>
      </c>
      <c r="G211" s="7">
        <f t="shared" si="53"/>
        <v>1466047.92</v>
      </c>
      <c r="H211" s="7">
        <f t="shared" si="54"/>
        <v>114330.81999999983</v>
      </c>
      <c r="I211" s="8">
        <f t="shared" si="55"/>
        <v>8.5</v>
      </c>
      <c r="J211" s="8"/>
      <c r="K211" s="7">
        <f t="shared" si="56"/>
        <v>16344</v>
      </c>
      <c r="L211" s="7">
        <f t="shared" si="57"/>
        <v>11112</v>
      </c>
      <c r="M211" s="7">
        <f t="shared" si="58"/>
        <v>142888.16</v>
      </c>
      <c r="N211" s="7">
        <f t="shared" si="59"/>
        <v>-3912</v>
      </c>
      <c r="O211" s="7">
        <f t="shared" si="60"/>
        <v>1518149.26</v>
      </c>
      <c r="P211" s="7">
        <f t="shared" si="61"/>
        <v>1632480.0799999998</v>
      </c>
      <c r="Q211" s="8">
        <f t="shared" si="62"/>
        <v>7.5</v>
      </c>
    </row>
    <row r="212" spans="1:17" x14ac:dyDescent="0.2">
      <c r="A212" s="1">
        <v>15</v>
      </c>
      <c r="D212" s="5">
        <v>80000</v>
      </c>
      <c r="E212" s="5">
        <v>32000000</v>
      </c>
      <c r="F212" s="7">
        <v>2010671.92</v>
      </c>
      <c r="G212" s="7">
        <f t="shared" si="53"/>
        <v>2180683.1800000002</v>
      </c>
      <c r="H212" s="7">
        <f t="shared" si="54"/>
        <v>170011.26000000024</v>
      </c>
      <c r="I212" s="8">
        <f t="shared" si="55"/>
        <v>8.5</v>
      </c>
      <c r="J212" s="8"/>
      <c r="K212" s="7">
        <f t="shared" si="56"/>
        <v>21792</v>
      </c>
      <c r="L212" s="7">
        <f t="shared" si="57"/>
        <v>14816</v>
      </c>
      <c r="M212" s="7">
        <f t="shared" si="58"/>
        <v>228359.81</v>
      </c>
      <c r="N212" s="7">
        <f t="shared" si="59"/>
        <v>-5216</v>
      </c>
      <c r="O212" s="7">
        <f t="shared" si="60"/>
        <v>2270423.73</v>
      </c>
      <c r="P212" s="7">
        <f t="shared" si="61"/>
        <v>2440434.9900000002</v>
      </c>
      <c r="Q212" s="8">
        <f t="shared" si="62"/>
        <v>7.5</v>
      </c>
    </row>
    <row r="213" spans="1:17" x14ac:dyDescent="0.2">
      <c r="A213" s="1">
        <v>16</v>
      </c>
      <c r="D213" s="5">
        <v>80000</v>
      </c>
      <c r="E213" s="5">
        <v>48000000</v>
      </c>
      <c r="F213" s="7">
        <v>2702934.1999999997</v>
      </c>
      <c r="G213" s="7">
        <f t="shared" si="53"/>
        <v>2931595.81</v>
      </c>
      <c r="H213" s="7">
        <f t="shared" si="54"/>
        <v>228661.61000000034</v>
      </c>
      <c r="I213" s="8">
        <f t="shared" si="55"/>
        <v>8.5</v>
      </c>
      <c r="J213" s="8"/>
      <c r="K213" s="7">
        <f t="shared" si="56"/>
        <v>32688</v>
      </c>
      <c r="L213" s="7">
        <f t="shared" si="57"/>
        <v>22224</v>
      </c>
      <c r="M213" s="7">
        <f t="shared" si="58"/>
        <v>285685.53000000003</v>
      </c>
      <c r="N213" s="7">
        <f t="shared" si="59"/>
        <v>-7824</v>
      </c>
      <c r="O213" s="7">
        <f t="shared" si="60"/>
        <v>3035707.7299999995</v>
      </c>
      <c r="P213" s="7">
        <f t="shared" si="61"/>
        <v>3264369.34</v>
      </c>
      <c r="Q213" s="8">
        <f t="shared" si="62"/>
        <v>7.5</v>
      </c>
    </row>
    <row r="214" spans="1:17" x14ac:dyDescent="0.2">
      <c r="A214" s="1">
        <v>17</v>
      </c>
      <c r="D214" s="5">
        <v>160000</v>
      </c>
      <c r="E214" s="5">
        <v>64000000</v>
      </c>
      <c r="F214" s="7">
        <v>4020843.82</v>
      </c>
      <c r="G214" s="7">
        <f t="shared" si="53"/>
        <v>4360866.37</v>
      </c>
      <c r="H214" s="7">
        <f t="shared" si="54"/>
        <v>340022.55000000028</v>
      </c>
      <c r="I214" s="8">
        <f t="shared" si="55"/>
        <v>8.5</v>
      </c>
      <c r="J214" s="8"/>
      <c r="K214" s="7">
        <f t="shared" si="56"/>
        <v>43584</v>
      </c>
      <c r="L214" s="7">
        <f t="shared" si="57"/>
        <v>29632</v>
      </c>
      <c r="M214" s="7">
        <f t="shared" si="58"/>
        <v>456628.81</v>
      </c>
      <c r="N214" s="7">
        <f t="shared" si="59"/>
        <v>-10432</v>
      </c>
      <c r="O214" s="7">
        <f t="shared" si="60"/>
        <v>4540256.63</v>
      </c>
      <c r="P214" s="7">
        <f t="shared" si="61"/>
        <v>4880279.18</v>
      </c>
      <c r="Q214" s="8">
        <f t="shared" si="62"/>
        <v>7.5</v>
      </c>
    </row>
    <row r="215" spans="1:17" x14ac:dyDescent="0.2">
      <c r="A215" s="1">
        <v>18</v>
      </c>
      <c r="D215" s="5">
        <v>160000</v>
      </c>
      <c r="E215" s="5">
        <v>96000000</v>
      </c>
      <c r="F215" s="7">
        <v>5405368.4100000001</v>
      </c>
      <c r="G215" s="7">
        <f t="shared" si="53"/>
        <v>5862691.6400000006</v>
      </c>
      <c r="H215" s="7">
        <f t="shared" si="54"/>
        <v>457323.23000000045</v>
      </c>
      <c r="I215" s="8">
        <f t="shared" si="55"/>
        <v>8.5</v>
      </c>
      <c r="J215" s="8"/>
      <c r="K215" s="7">
        <f t="shared" si="56"/>
        <v>65376</v>
      </c>
      <c r="L215" s="7">
        <f t="shared" si="57"/>
        <v>44448</v>
      </c>
      <c r="M215" s="7">
        <f t="shared" si="58"/>
        <v>571280.26</v>
      </c>
      <c r="N215" s="7">
        <f t="shared" si="59"/>
        <v>-15648</v>
      </c>
      <c r="O215" s="7">
        <f t="shared" si="60"/>
        <v>6070824.6699999999</v>
      </c>
      <c r="P215" s="7">
        <f t="shared" si="61"/>
        <v>6528147.9000000004</v>
      </c>
      <c r="Q215" s="8">
        <f t="shared" si="62"/>
        <v>7.5</v>
      </c>
    </row>
    <row r="216" spans="1:17" x14ac:dyDescent="0.2">
      <c r="H216" s="7"/>
      <c r="K216" s="7"/>
      <c r="L216" s="7"/>
      <c r="M216" s="7"/>
      <c r="N216" s="7"/>
      <c r="O216" s="7"/>
      <c r="P216" s="7"/>
    </row>
    <row r="217" spans="1:17" ht="15.75" x14ac:dyDescent="0.25">
      <c r="A217" s="1">
        <v>19</v>
      </c>
      <c r="C217" s="46" t="s">
        <v>132</v>
      </c>
      <c r="D217" s="5">
        <v>1000</v>
      </c>
      <c r="E217" s="5">
        <v>200000</v>
      </c>
      <c r="F217" s="7">
        <v>15367.300000000001</v>
      </c>
      <c r="G217" s="7">
        <f t="shared" ref="G217:G234" si="63">ROUND($E217*$Z$198*PRO_WIN_TT_ON_KWH,2)+ROUND($E217*(1-$Z$198)*PRO_TT_OFF,2)+ROUND($D217*$X$198*PRO_TT_WIN_PEAK,2)+ROUND($D217*(1-$X$198)*PRO_TT_WIN_PK_OFF,2)+PRO_TT_WIN_CST</f>
        <v>16625.97</v>
      </c>
      <c r="H217" s="7">
        <f t="shared" ref="H217:H234" si="64">G217-F217</f>
        <v>1258.67</v>
      </c>
      <c r="I217" s="8">
        <f t="shared" ref="I217:I234" si="65">ROUND(H217/F217,3)*100</f>
        <v>8.2000000000000011</v>
      </c>
      <c r="J217" s="8"/>
      <c r="K217" s="7">
        <f t="shared" ref="K217:K234" si="66">ROUND(E217*CUR_FAC,2)</f>
        <v>136.19999999999999</v>
      </c>
      <c r="L217" s="7">
        <f t="shared" ref="L217:L234" si="67">ROUND(E217*DSM_TRANS,2)</f>
        <v>92.6</v>
      </c>
      <c r="M217" s="7">
        <f t="shared" ref="M217:M234" si="68">ROUND((F217+$L217+$N217-PRO_BASE_FUEL*$E217)*PRO_ESM_NONRES,2)</f>
        <v>1935.84</v>
      </c>
      <c r="N217" s="7">
        <f t="shared" ref="N217:N234" si="69">ROUND(E217*RS_PSM,2)</f>
        <v>-32.6</v>
      </c>
      <c r="O217" s="7">
        <f t="shared" ref="O217:O234" si="70">F217+K217+L217+M217+N217</f>
        <v>17499.340000000004</v>
      </c>
      <c r="P217" s="7">
        <f t="shared" ref="P217:P234" si="71">G217+K217+L217+M217+N217</f>
        <v>18758.010000000002</v>
      </c>
      <c r="Q217" s="8">
        <f t="shared" ref="Q217:Q234" si="72">ROUND((P217-O217)/O217,3)*100</f>
        <v>7.1999999999999993</v>
      </c>
    </row>
    <row r="218" spans="1:17" x14ac:dyDescent="0.2">
      <c r="A218" s="1">
        <v>20</v>
      </c>
      <c r="D218" s="5">
        <v>1000</v>
      </c>
      <c r="E218" s="5">
        <v>400000</v>
      </c>
      <c r="F218" s="7">
        <v>23808.329999999998</v>
      </c>
      <c r="G218" s="7">
        <f t="shared" si="63"/>
        <v>25782.159999999996</v>
      </c>
      <c r="H218" s="7">
        <f t="shared" si="64"/>
        <v>1973.8299999999981</v>
      </c>
      <c r="I218" s="8">
        <f t="shared" si="65"/>
        <v>8.3000000000000007</v>
      </c>
      <c r="J218" s="8"/>
      <c r="K218" s="7">
        <f t="shared" si="66"/>
        <v>272.39999999999998</v>
      </c>
      <c r="L218" s="7">
        <f t="shared" si="67"/>
        <v>185.2</v>
      </c>
      <c r="M218" s="7">
        <f t="shared" si="68"/>
        <v>2613.87</v>
      </c>
      <c r="N218" s="7">
        <f t="shared" si="69"/>
        <v>-65.2</v>
      </c>
      <c r="O218" s="7">
        <f t="shared" si="70"/>
        <v>26814.6</v>
      </c>
      <c r="P218" s="7">
        <f t="shared" si="71"/>
        <v>28788.429999999997</v>
      </c>
      <c r="Q218" s="8">
        <f t="shared" si="72"/>
        <v>7.3999999999999995</v>
      </c>
    </row>
    <row r="219" spans="1:17" x14ac:dyDescent="0.2">
      <c r="A219" s="1">
        <v>21</v>
      </c>
      <c r="D219" s="5">
        <v>2500</v>
      </c>
      <c r="E219" s="5">
        <v>500000</v>
      </c>
      <c r="F219" s="7">
        <v>37668.25</v>
      </c>
      <c r="G219" s="7">
        <f t="shared" si="63"/>
        <v>40814.929999999993</v>
      </c>
      <c r="H219" s="7">
        <f t="shared" si="64"/>
        <v>3146.679999999993</v>
      </c>
      <c r="I219" s="8">
        <f t="shared" si="65"/>
        <v>8.4</v>
      </c>
      <c r="J219" s="8"/>
      <c r="K219" s="7">
        <f t="shared" si="66"/>
        <v>340.5</v>
      </c>
      <c r="L219" s="7">
        <f t="shared" si="67"/>
        <v>231.5</v>
      </c>
      <c r="M219" s="7">
        <f t="shared" si="68"/>
        <v>4703.3900000000003</v>
      </c>
      <c r="N219" s="7">
        <f t="shared" si="69"/>
        <v>-81.5</v>
      </c>
      <c r="O219" s="7">
        <f t="shared" si="70"/>
        <v>42862.14</v>
      </c>
      <c r="P219" s="7">
        <f t="shared" si="71"/>
        <v>46008.819999999992</v>
      </c>
      <c r="Q219" s="8">
        <f t="shared" si="72"/>
        <v>7.3</v>
      </c>
    </row>
    <row r="220" spans="1:17" x14ac:dyDescent="0.2">
      <c r="A220" s="1">
        <v>22</v>
      </c>
      <c r="D220" s="5">
        <v>2500</v>
      </c>
      <c r="E220" s="5">
        <v>1000000</v>
      </c>
      <c r="F220" s="7">
        <v>58770.81</v>
      </c>
      <c r="G220" s="7">
        <f t="shared" si="63"/>
        <v>63705.42</v>
      </c>
      <c r="H220" s="7">
        <f t="shared" si="64"/>
        <v>4934.6100000000006</v>
      </c>
      <c r="I220" s="8">
        <f t="shared" si="65"/>
        <v>8.4</v>
      </c>
      <c r="J220" s="8"/>
      <c r="K220" s="7">
        <f t="shared" si="66"/>
        <v>681</v>
      </c>
      <c r="L220" s="7">
        <f t="shared" si="67"/>
        <v>463</v>
      </c>
      <c r="M220" s="7">
        <f t="shared" si="68"/>
        <v>6398.46</v>
      </c>
      <c r="N220" s="7">
        <f t="shared" si="69"/>
        <v>-163</v>
      </c>
      <c r="O220" s="7">
        <f t="shared" si="70"/>
        <v>66150.27</v>
      </c>
      <c r="P220" s="7">
        <f t="shared" si="71"/>
        <v>71084.88</v>
      </c>
      <c r="Q220" s="8">
        <f t="shared" si="72"/>
        <v>7.5</v>
      </c>
    </row>
    <row r="221" spans="1:17" x14ac:dyDescent="0.2">
      <c r="A221" s="1">
        <v>23</v>
      </c>
      <c r="D221" s="5">
        <v>5000</v>
      </c>
      <c r="E221" s="5">
        <v>1000000</v>
      </c>
      <c r="F221" s="7">
        <v>74836.490000000005</v>
      </c>
      <c r="G221" s="7">
        <f t="shared" si="63"/>
        <v>81129.850000000006</v>
      </c>
      <c r="H221" s="7">
        <f t="shared" si="64"/>
        <v>6293.3600000000006</v>
      </c>
      <c r="I221" s="8">
        <f t="shared" si="65"/>
        <v>8.4</v>
      </c>
      <c r="J221" s="8"/>
      <c r="K221" s="7">
        <f t="shared" si="66"/>
        <v>681</v>
      </c>
      <c r="L221" s="7">
        <f t="shared" si="67"/>
        <v>463</v>
      </c>
      <c r="M221" s="7">
        <f t="shared" si="68"/>
        <v>9315.99</v>
      </c>
      <c r="N221" s="7">
        <f t="shared" si="69"/>
        <v>-163</v>
      </c>
      <c r="O221" s="7">
        <f t="shared" si="70"/>
        <v>85133.48000000001</v>
      </c>
      <c r="P221" s="7">
        <f t="shared" si="71"/>
        <v>91426.840000000011</v>
      </c>
      <c r="Q221" s="8">
        <f t="shared" si="72"/>
        <v>7.3999999999999995</v>
      </c>
    </row>
    <row r="222" spans="1:17" x14ac:dyDescent="0.2">
      <c r="A222" s="1">
        <v>24</v>
      </c>
      <c r="D222" s="5">
        <v>5000</v>
      </c>
      <c r="E222" s="5">
        <v>2000000</v>
      </c>
      <c r="F222" s="7">
        <v>117041.61000000002</v>
      </c>
      <c r="G222" s="7">
        <f t="shared" si="63"/>
        <v>126910.83</v>
      </c>
      <c r="H222" s="7">
        <f t="shared" si="64"/>
        <v>9869.2199999999866</v>
      </c>
      <c r="I222" s="8">
        <f t="shared" si="65"/>
        <v>8.4</v>
      </c>
      <c r="J222" s="8"/>
      <c r="K222" s="7">
        <f t="shared" si="66"/>
        <v>1362</v>
      </c>
      <c r="L222" s="7">
        <f t="shared" si="67"/>
        <v>926</v>
      </c>
      <c r="M222" s="7">
        <f t="shared" si="68"/>
        <v>12706.12</v>
      </c>
      <c r="N222" s="7">
        <f t="shared" si="69"/>
        <v>-326</v>
      </c>
      <c r="O222" s="7">
        <f t="shared" si="70"/>
        <v>131709.73000000001</v>
      </c>
      <c r="P222" s="7">
        <f t="shared" si="71"/>
        <v>141578.95000000001</v>
      </c>
      <c r="Q222" s="8">
        <f t="shared" si="72"/>
        <v>7.5</v>
      </c>
    </row>
    <row r="223" spans="1:17" x14ac:dyDescent="0.2">
      <c r="A223" s="1">
        <v>25</v>
      </c>
      <c r="D223" s="5">
        <v>10000</v>
      </c>
      <c r="E223" s="5">
        <v>2000000</v>
      </c>
      <c r="F223" s="7">
        <v>149173.00000000003</v>
      </c>
      <c r="G223" s="7">
        <f t="shared" si="63"/>
        <v>161759.71000000002</v>
      </c>
      <c r="H223" s="7">
        <f t="shared" si="64"/>
        <v>12586.709999999992</v>
      </c>
      <c r="I223" s="8">
        <f t="shared" si="65"/>
        <v>8.4</v>
      </c>
      <c r="J223" s="8"/>
      <c r="K223" s="7">
        <f t="shared" si="66"/>
        <v>1362</v>
      </c>
      <c r="L223" s="7">
        <f t="shared" si="67"/>
        <v>926</v>
      </c>
      <c r="M223" s="7">
        <f t="shared" si="68"/>
        <v>18541.18</v>
      </c>
      <c r="N223" s="7">
        <f t="shared" si="69"/>
        <v>-326</v>
      </c>
      <c r="O223" s="7">
        <f t="shared" si="70"/>
        <v>169676.18000000002</v>
      </c>
      <c r="P223" s="7">
        <f t="shared" si="71"/>
        <v>182262.89</v>
      </c>
      <c r="Q223" s="8">
        <f t="shared" si="72"/>
        <v>7.3999999999999995</v>
      </c>
    </row>
    <row r="224" spans="1:17" x14ac:dyDescent="0.2">
      <c r="A224" s="1">
        <v>26</v>
      </c>
      <c r="D224" s="5">
        <v>10000</v>
      </c>
      <c r="E224" s="5">
        <v>4000000</v>
      </c>
      <c r="F224" s="7">
        <v>233583.21000000002</v>
      </c>
      <c r="G224" s="7">
        <f t="shared" si="63"/>
        <v>253321.67</v>
      </c>
      <c r="H224" s="7">
        <f t="shared" si="64"/>
        <v>19738.459999999992</v>
      </c>
      <c r="I224" s="8">
        <f t="shared" si="65"/>
        <v>8.5</v>
      </c>
      <c r="J224" s="8"/>
      <c r="K224" s="7">
        <f t="shared" si="66"/>
        <v>2724</v>
      </c>
      <c r="L224" s="7">
        <f t="shared" si="67"/>
        <v>1852</v>
      </c>
      <c r="M224" s="7">
        <f t="shared" si="68"/>
        <v>25321.43</v>
      </c>
      <c r="N224" s="7">
        <f t="shared" si="69"/>
        <v>-652</v>
      </c>
      <c r="O224" s="7">
        <f t="shared" si="70"/>
        <v>262828.64</v>
      </c>
      <c r="P224" s="7">
        <f t="shared" si="71"/>
        <v>282567.10000000003</v>
      </c>
      <c r="Q224" s="8">
        <f t="shared" si="72"/>
        <v>7.5</v>
      </c>
    </row>
    <row r="225" spans="1:17" x14ac:dyDescent="0.2">
      <c r="A225" s="1">
        <v>27</v>
      </c>
      <c r="D225" s="5">
        <v>10000</v>
      </c>
      <c r="E225" s="5">
        <v>6000000</v>
      </c>
      <c r="F225" s="7">
        <v>317993.44</v>
      </c>
      <c r="G225" s="7">
        <f t="shared" si="63"/>
        <v>344883.64</v>
      </c>
      <c r="H225" s="7">
        <f t="shared" si="64"/>
        <v>26890.200000000012</v>
      </c>
      <c r="I225" s="8">
        <f t="shared" si="65"/>
        <v>8.5</v>
      </c>
      <c r="J225" s="8"/>
      <c r="K225" s="7">
        <f t="shared" si="66"/>
        <v>4086</v>
      </c>
      <c r="L225" s="7">
        <f t="shared" si="67"/>
        <v>2778</v>
      </c>
      <c r="M225" s="7">
        <f t="shared" si="68"/>
        <v>32101.69</v>
      </c>
      <c r="N225" s="7">
        <f t="shared" si="69"/>
        <v>-978</v>
      </c>
      <c r="O225" s="7">
        <f t="shared" si="70"/>
        <v>355981.13</v>
      </c>
      <c r="P225" s="7">
        <f t="shared" si="71"/>
        <v>382871.33</v>
      </c>
      <c r="Q225" s="8">
        <f t="shared" si="72"/>
        <v>7.6</v>
      </c>
    </row>
    <row r="226" spans="1:17" x14ac:dyDescent="0.2">
      <c r="A226" s="1">
        <v>28</v>
      </c>
      <c r="D226" s="5">
        <v>20000</v>
      </c>
      <c r="E226" s="5">
        <v>4000000</v>
      </c>
      <c r="F226" s="7">
        <v>297845.99000000005</v>
      </c>
      <c r="G226" s="7">
        <f t="shared" si="63"/>
        <v>323019.42000000004</v>
      </c>
      <c r="H226" s="7">
        <f t="shared" si="64"/>
        <v>25173.429999999993</v>
      </c>
      <c r="I226" s="8">
        <f t="shared" si="65"/>
        <v>8.5</v>
      </c>
      <c r="J226" s="8"/>
      <c r="K226" s="7">
        <f t="shared" si="66"/>
        <v>2724</v>
      </c>
      <c r="L226" s="7">
        <f t="shared" si="67"/>
        <v>1852</v>
      </c>
      <c r="M226" s="7">
        <f t="shared" si="68"/>
        <v>36991.550000000003</v>
      </c>
      <c r="N226" s="7">
        <f t="shared" si="69"/>
        <v>-652</v>
      </c>
      <c r="O226" s="7">
        <f t="shared" si="70"/>
        <v>338761.54000000004</v>
      </c>
      <c r="P226" s="7">
        <f t="shared" si="71"/>
        <v>363934.97000000003</v>
      </c>
      <c r="Q226" s="8">
        <f t="shared" si="72"/>
        <v>7.3999999999999995</v>
      </c>
    </row>
    <row r="227" spans="1:17" x14ac:dyDescent="0.2">
      <c r="A227" s="1">
        <v>29</v>
      </c>
      <c r="D227" s="5">
        <v>20000</v>
      </c>
      <c r="E227" s="5">
        <v>8000000</v>
      </c>
      <c r="F227" s="7">
        <v>466666.43000000005</v>
      </c>
      <c r="G227" s="7">
        <f t="shared" si="63"/>
        <v>506143.35000000003</v>
      </c>
      <c r="H227" s="7">
        <f t="shared" si="64"/>
        <v>39476.919999999984</v>
      </c>
      <c r="I227" s="8">
        <f t="shared" si="65"/>
        <v>8.5</v>
      </c>
      <c r="J227" s="8"/>
      <c r="K227" s="7">
        <f t="shared" si="66"/>
        <v>5448</v>
      </c>
      <c r="L227" s="7">
        <f t="shared" si="67"/>
        <v>3704</v>
      </c>
      <c r="M227" s="7">
        <f t="shared" si="68"/>
        <v>50552.07</v>
      </c>
      <c r="N227" s="7">
        <f t="shared" si="69"/>
        <v>-1304</v>
      </c>
      <c r="O227" s="7">
        <f t="shared" si="70"/>
        <v>525066.5</v>
      </c>
      <c r="P227" s="7">
        <f t="shared" si="71"/>
        <v>564543.42000000004</v>
      </c>
      <c r="Q227" s="8">
        <f t="shared" si="72"/>
        <v>7.5</v>
      </c>
    </row>
    <row r="228" spans="1:17" x14ac:dyDescent="0.2">
      <c r="A228" s="1">
        <v>30</v>
      </c>
      <c r="D228" s="5">
        <v>20000</v>
      </c>
      <c r="E228" s="5">
        <v>12000000</v>
      </c>
      <c r="F228" s="7">
        <v>635486.88</v>
      </c>
      <c r="G228" s="7">
        <f t="shared" si="63"/>
        <v>689267.26</v>
      </c>
      <c r="H228" s="7">
        <f t="shared" si="64"/>
        <v>53780.380000000005</v>
      </c>
      <c r="I228" s="8">
        <f t="shared" si="65"/>
        <v>8.5</v>
      </c>
      <c r="J228" s="8"/>
      <c r="K228" s="7">
        <f t="shared" si="66"/>
        <v>8172</v>
      </c>
      <c r="L228" s="7">
        <f t="shared" si="67"/>
        <v>5556</v>
      </c>
      <c r="M228" s="7">
        <f t="shared" si="68"/>
        <v>64112.59</v>
      </c>
      <c r="N228" s="7">
        <f t="shared" si="69"/>
        <v>-1956</v>
      </c>
      <c r="O228" s="7">
        <f t="shared" si="70"/>
        <v>711371.47</v>
      </c>
      <c r="P228" s="7">
        <f t="shared" si="71"/>
        <v>765151.85</v>
      </c>
      <c r="Q228" s="8">
        <f t="shared" si="72"/>
        <v>7.6</v>
      </c>
    </row>
    <row r="229" spans="1:17" x14ac:dyDescent="0.2">
      <c r="A229" s="1">
        <v>31</v>
      </c>
      <c r="D229" s="5">
        <v>40000</v>
      </c>
      <c r="E229" s="5">
        <v>16000000</v>
      </c>
      <c r="F229" s="7">
        <v>932832.88000000012</v>
      </c>
      <c r="G229" s="7">
        <f t="shared" si="63"/>
        <v>1011786.7000000001</v>
      </c>
      <c r="H229" s="7">
        <f t="shared" si="64"/>
        <v>78953.819999999949</v>
      </c>
      <c r="I229" s="8">
        <f t="shared" si="65"/>
        <v>8.5</v>
      </c>
      <c r="J229" s="8"/>
      <c r="K229" s="7">
        <f t="shared" si="66"/>
        <v>10896</v>
      </c>
      <c r="L229" s="7">
        <f t="shared" si="67"/>
        <v>7408</v>
      </c>
      <c r="M229" s="7">
        <f t="shared" si="68"/>
        <v>101013.34</v>
      </c>
      <c r="N229" s="7">
        <f t="shared" si="69"/>
        <v>-2608</v>
      </c>
      <c r="O229" s="7">
        <f t="shared" si="70"/>
        <v>1049542.2200000002</v>
      </c>
      <c r="P229" s="7">
        <f t="shared" si="71"/>
        <v>1128496.04</v>
      </c>
      <c r="Q229" s="8">
        <f t="shared" si="72"/>
        <v>7.5</v>
      </c>
    </row>
    <row r="230" spans="1:17" x14ac:dyDescent="0.2">
      <c r="A230" s="1">
        <v>32</v>
      </c>
      <c r="D230" s="5">
        <v>40000</v>
      </c>
      <c r="E230" s="5">
        <v>24000000</v>
      </c>
      <c r="F230" s="7">
        <v>1270473.76</v>
      </c>
      <c r="G230" s="7">
        <f t="shared" si="63"/>
        <v>1378034.55</v>
      </c>
      <c r="H230" s="7">
        <f t="shared" si="64"/>
        <v>107560.79000000004</v>
      </c>
      <c r="I230" s="8">
        <f t="shared" si="65"/>
        <v>8.5</v>
      </c>
      <c r="J230" s="8"/>
      <c r="K230" s="7">
        <f t="shared" si="66"/>
        <v>16344</v>
      </c>
      <c r="L230" s="7">
        <f t="shared" si="67"/>
        <v>11112</v>
      </c>
      <c r="M230" s="7">
        <f t="shared" si="68"/>
        <v>128134.37</v>
      </c>
      <c r="N230" s="7">
        <f t="shared" si="69"/>
        <v>-3912</v>
      </c>
      <c r="O230" s="7">
        <f t="shared" si="70"/>
        <v>1422152.13</v>
      </c>
      <c r="P230" s="7">
        <f t="shared" si="71"/>
        <v>1529712.92</v>
      </c>
      <c r="Q230" s="8">
        <f t="shared" si="72"/>
        <v>7.6</v>
      </c>
    </row>
    <row r="231" spans="1:17" x14ac:dyDescent="0.2">
      <c r="A231" s="1">
        <v>33</v>
      </c>
      <c r="D231" s="5">
        <v>80000</v>
      </c>
      <c r="E231" s="5">
        <v>32000000</v>
      </c>
      <c r="F231" s="7">
        <v>1865165.7500000002</v>
      </c>
      <c r="G231" s="7">
        <f t="shared" si="63"/>
        <v>2023073.3900000001</v>
      </c>
      <c r="H231" s="7">
        <f t="shared" si="64"/>
        <v>157907.6399999999</v>
      </c>
      <c r="I231" s="8">
        <f t="shared" si="65"/>
        <v>8.5</v>
      </c>
      <c r="J231" s="8"/>
      <c r="K231" s="7">
        <f t="shared" si="66"/>
        <v>21792</v>
      </c>
      <c r="L231" s="7">
        <f t="shared" si="67"/>
        <v>14816</v>
      </c>
      <c r="M231" s="7">
        <f t="shared" si="68"/>
        <v>201935.89</v>
      </c>
      <c r="N231" s="7">
        <f t="shared" si="69"/>
        <v>-5216</v>
      </c>
      <c r="O231" s="7">
        <f t="shared" si="70"/>
        <v>2098493.64</v>
      </c>
      <c r="P231" s="7">
        <f t="shared" si="71"/>
        <v>2256401.2800000003</v>
      </c>
      <c r="Q231" s="8">
        <f t="shared" si="72"/>
        <v>7.5</v>
      </c>
    </row>
    <row r="232" spans="1:17" x14ac:dyDescent="0.2">
      <c r="A232" s="1">
        <v>34</v>
      </c>
      <c r="D232" s="5">
        <v>80000</v>
      </c>
      <c r="E232" s="5">
        <v>48000000</v>
      </c>
      <c r="F232" s="7">
        <v>2540447.52</v>
      </c>
      <c r="G232" s="7">
        <f t="shared" si="63"/>
        <v>2755569.08</v>
      </c>
      <c r="H232" s="7">
        <f t="shared" si="64"/>
        <v>215121.56000000006</v>
      </c>
      <c r="I232" s="8">
        <f t="shared" si="65"/>
        <v>8.5</v>
      </c>
      <c r="J232" s="8"/>
      <c r="K232" s="7">
        <f t="shared" si="66"/>
        <v>32688</v>
      </c>
      <c r="L232" s="7">
        <f t="shared" si="67"/>
        <v>22224</v>
      </c>
      <c r="M232" s="7">
        <f t="shared" si="68"/>
        <v>256177.95</v>
      </c>
      <c r="N232" s="7">
        <f t="shared" si="69"/>
        <v>-7824</v>
      </c>
      <c r="O232" s="7">
        <f t="shared" si="70"/>
        <v>2843713.47</v>
      </c>
      <c r="P232" s="7">
        <f t="shared" si="71"/>
        <v>3058835.0300000003</v>
      </c>
      <c r="Q232" s="8">
        <f t="shared" si="72"/>
        <v>7.6</v>
      </c>
    </row>
    <row r="233" spans="1:17" x14ac:dyDescent="0.2">
      <c r="A233" s="1">
        <v>35</v>
      </c>
      <c r="D233" s="5">
        <v>160000</v>
      </c>
      <c r="E233" s="5">
        <v>64000000</v>
      </c>
      <c r="F233" s="7">
        <v>3729831.4699999997</v>
      </c>
      <c r="G233" s="7">
        <f t="shared" si="63"/>
        <v>4045646.78</v>
      </c>
      <c r="H233" s="7">
        <f t="shared" si="64"/>
        <v>315815.31000000006</v>
      </c>
      <c r="I233" s="8">
        <f t="shared" si="65"/>
        <v>8.5</v>
      </c>
      <c r="J233" s="8"/>
      <c r="K233" s="7">
        <f t="shared" si="66"/>
        <v>43584</v>
      </c>
      <c r="L233" s="7">
        <f t="shared" si="67"/>
        <v>29632</v>
      </c>
      <c r="M233" s="7">
        <f t="shared" si="68"/>
        <v>403780.97</v>
      </c>
      <c r="N233" s="7">
        <f t="shared" si="69"/>
        <v>-10432</v>
      </c>
      <c r="O233" s="7">
        <f t="shared" si="70"/>
        <v>4196396.4399999995</v>
      </c>
      <c r="P233" s="7">
        <f t="shared" si="71"/>
        <v>4512211.75</v>
      </c>
      <c r="Q233" s="8">
        <f t="shared" si="72"/>
        <v>7.5</v>
      </c>
    </row>
    <row r="234" spans="1:17" x14ac:dyDescent="0.2">
      <c r="A234" s="1">
        <v>36</v>
      </c>
      <c r="D234" s="5">
        <v>160000</v>
      </c>
      <c r="E234" s="5">
        <v>96000000</v>
      </c>
      <c r="F234" s="7">
        <v>5080395.0199999996</v>
      </c>
      <c r="G234" s="7">
        <f t="shared" si="63"/>
        <v>5510638.1700000009</v>
      </c>
      <c r="H234" s="7">
        <f t="shared" si="64"/>
        <v>430243.1500000013</v>
      </c>
      <c r="I234" s="8">
        <f t="shared" si="65"/>
        <v>8.5</v>
      </c>
      <c r="J234" s="8"/>
      <c r="K234" s="7">
        <f t="shared" si="66"/>
        <v>65376</v>
      </c>
      <c r="L234" s="7">
        <f t="shared" si="67"/>
        <v>44448</v>
      </c>
      <c r="M234" s="7">
        <f t="shared" si="68"/>
        <v>512265.09</v>
      </c>
      <c r="N234" s="7">
        <f t="shared" si="69"/>
        <v>-15648</v>
      </c>
      <c r="O234" s="7">
        <f t="shared" si="70"/>
        <v>5686836.1099999994</v>
      </c>
      <c r="P234" s="7">
        <f t="shared" si="71"/>
        <v>6117079.2600000007</v>
      </c>
      <c r="Q234" s="8">
        <f t="shared" si="72"/>
        <v>7.6</v>
      </c>
    </row>
    <row r="235" spans="1:17" x14ac:dyDescent="0.2">
      <c r="K235" s="7"/>
      <c r="L235" s="7"/>
      <c r="M235" s="7"/>
      <c r="N235" s="7"/>
    </row>
    <row r="236" spans="1:17" ht="15.75" x14ac:dyDescent="0.25">
      <c r="C236" s="46" t="str">
        <f>"(1) REFLECTS FUEL ADJUSTMENT COMPONENT (FAC) OF "&amp;TEXT(CUR_FAC,"$0.000000;($0.000000)")&amp;" PER KWH."</f>
        <v>(1) REFLECTS FUEL ADJUSTMENT COMPONENT (FAC) OF $0.000681 PER KWH.</v>
      </c>
      <c r="K236" s="7"/>
      <c r="L236" s="7"/>
      <c r="M236" s="7"/>
      <c r="N236" s="7"/>
    </row>
    <row r="237" spans="1:17" ht="15.75" x14ac:dyDescent="0.25">
      <c r="C237" s="46" t="str">
        <f>"(2) RIDER DSMR "&amp;TEXT(DSM_TRANS,"$0.000000;($0.000000)")&amp;" PER KWH."</f>
        <v>(2) RIDER DSMR $0.000463 PER KWH.</v>
      </c>
    </row>
    <row r="238" spans="1:17" ht="15.75" x14ac:dyDescent="0.25">
      <c r="C238" s="46" t="str">
        <f>"(3) RIDER ESM "&amp;TEXT(CUR_ESM_NONRES,"00.00%")&amp;"  OF TOTAL CURRENT BILL."</f>
        <v>(3) RIDER ESM 18.16%  OF TOTAL CURRENT BILL.</v>
      </c>
    </row>
    <row r="239" spans="1:17" ht="15.75" x14ac:dyDescent="0.25">
      <c r="C239" s="46" t="str">
        <f>"(4) RIDER PSM "&amp;TEXT(RS_PSM,"$0.000000;($0.000000)")&amp;"  PER KWH."</f>
        <v>(4) RIDER PSM ($0.000163)  PER KWH.</v>
      </c>
    </row>
    <row r="240" spans="1:17" ht="15.75" x14ac:dyDescent="0.25">
      <c r="C240" s="46" t="str">
        <f>"(5) REFLECTS FUEL COST RECOVERY INCLUDED IN BASE RATES OF "&amp;TEXT(CUR_BASE_FUEL,"$0.000000;($0.000000)")&amp;"  PER KWH."</f>
        <v>(5) REFLECTS FUEL COST RECOVERY INCLUDED IN BASE RATES OF $0.023837  PER KWH.</v>
      </c>
    </row>
    <row r="241" spans="3:3" ht="15.75" x14ac:dyDescent="0.25">
      <c r="C241" s="46" t="str">
        <f>"(6) DEMAND VALUE REPRESENTS THE SUM OF ON AND OFF PEAK.  FOR BILL CALCULATION, VALUE IS SPLIT USING THE RATIO OF VALUES IN SCHEDULE M-2.3."</f>
        <v>(6) DEMAND VALUE REPRESENTS THE SUM OF ON AND OFF PEAK.  FOR BILL CALCULATION, VALUE IS SPLIT USING THE RATIO OF VALUES IN SCHEDULE M-2.3.</v>
      </c>
    </row>
    <row r="242" spans="3:3" ht="15.75" x14ac:dyDescent="0.25">
      <c r="C242" s="46"/>
    </row>
    <row r="243" spans="3:3" ht="15.75" x14ac:dyDescent="0.25">
      <c r="C243" s="52"/>
    </row>
  </sheetData>
  <customSheetViews>
    <customSheetView guid="{195DF303-1BBD-4236-94B5-47432850B006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1"/>
      <headerFooter alignWithMargins="0"/>
    </customSheetView>
    <customSheetView guid="{0C49E549-011E-46F4-A82E-2CC8951A9C1E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2"/>
      <headerFooter alignWithMargins="0"/>
    </customSheetView>
    <customSheetView guid="{4BC93440-BA85-4935-A8C9-66DC6AE5DE5E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3"/>
      <headerFooter alignWithMargins="0"/>
    </customSheetView>
    <customSheetView guid="{2431C9E5-7CC2-4B8D-99C3-962247B1DBF5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4"/>
      <headerFooter alignWithMargins="0"/>
    </customSheetView>
    <customSheetView guid="{2EA35095-1ADC-4CC7-8C3C-B487D65FA247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5"/>
      <headerFooter alignWithMargins="0"/>
    </customSheetView>
    <customSheetView guid="{8FC77C99-DBF7-40B8-99B8-01B75826CDCB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6"/>
      <headerFooter alignWithMargins="0"/>
    </customSheetView>
    <customSheetView guid="{8FB94551-8874-4095-B8FB-5316E0D2FD2C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7"/>
      <headerFooter alignWithMargins="0"/>
    </customSheetView>
    <customSheetView guid="{6B3D5C27-2FDE-4561-9575-1E98BFB869D0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8"/>
      <headerFooter alignWithMargins="0"/>
    </customSheetView>
    <customSheetView guid="{0BC1F393-8A13-47D5-BC6C-0C99615B5AB9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9"/>
      <headerFooter alignWithMargins="0"/>
    </customSheetView>
    <customSheetView guid="{18BDED73-BFA0-442E-87EC-CED86EE4CF94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10"/>
      <headerFooter alignWithMargins="0"/>
    </customSheetView>
    <customSheetView guid="{35F19056-2E6F-4935-B863-78836FE990BF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4" orientation="landscape" horizontalDpi="300" verticalDpi="300" r:id="rId11"/>
      <headerFooter alignWithMargins="0"/>
    </customSheetView>
    <customSheetView guid="{F562D92E-120C-4AE9-9663-89E64D41DC53}" scale="75" fitToPage="1">
      <rowBreaks count="2" manualBreakCount="2">
        <brk id="42" max="16383" man="1"/>
        <brk id="88" max="16383" man="1"/>
      </rowBreaks>
      <pageMargins left="0.5" right="0.5" top="1" bottom="1" header="0.5" footer="0.5"/>
      <pageSetup scale="54" orientation="landscape" horizontalDpi="300" verticalDpi="300" r:id="rId12"/>
      <headerFooter alignWithMargins="0"/>
    </customSheetView>
  </customSheetViews>
  <mergeCells count="10">
    <mergeCell ref="K192:N192"/>
    <mergeCell ref="K13:N13"/>
    <mergeCell ref="K46:N46"/>
    <mergeCell ref="K97:N97"/>
    <mergeCell ref="A10:Q10"/>
    <mergeCell ref="A43:Q43"/>
    <mergeCell ref="A94:Q94"/>
    <mergeCell ref="A140:Q140"/>
    <mergeCell ref="A189:Q189"/>
    <mergeCell ref="K143:N143"/>
  </mergeCells>
  <phoneticPr fontId="9" type="noConversion"/>
  <pageMargins left="0.75" right="0.75" top="1" bottom="1" header="0.5" footer="0.5"/>
  <pageSetup scale="43" orientation="landscape" verticalDpi="300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4" manualBreakCount="4">
    <brk id="33" max="16383" man="1"/>
    <brk id="84" max="16" man="1"/>
    <brk id="130" max="16383" man="1"/>
    <brk id="179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R90"/>
  <sheetViews>
    <sheetView showRowColHeaders="0" tabSelected="1" view="pageBreakPreview" topLeftCell="A25" zoomScale="60" zoomScaleNormal="75" workbookViewId="0">
      <selection sqref="A1:J1"/>
    </sheetView>
  </sheetViews>
  <sheetFormatPr defaultColWidth="8.88671875" defaultRowHeight="15" x14ac:dyDescent="0.2"/>
  <cols>
    <col min="1" max="1" width="8.44140625" style="2" customWidth="1"/>
    <col min="2" max="2" width="10.88671875" style="2" customWidth="1"/>
    <col min="3" max="3" width="12.109375" style="2" customWidth="1"/>
    <col min="4" max="4" width="12.21875" style="2" customWidth="1"/>
    <col min="5" max="5" width="12.5546875" style="2" customWidth="1"/>
    <col min="6" max="6" width="14.44140625" style="2" customWidth="1"/>
    <col min="7" max="7" width="10" style="2" customWidth="1"/>
    <col min="8" max="8" width="10.44140625" style="2" customWidth="1"/>
    <col min="9" max="9" width="12.109375" style="2" customWidth="1"/>
    <col min="10" max="10" width="10.44140625" style="2" customWidth="1"/>
    <col min="11" max="11" width="12.44140625" style="2" customWidth="1"/>
    <col min="12" max="12" width="12" style="2" customWidth="1"/>
    <col min="13" max="13" width="10.109375" style="2" customWidth="1"/>
    <col min="14" max="17" width="8.88671875" style="2"/>
    <col min="18" max="18" width="9.77734375" style="2" customWidth="1"/>
    <col min="19" max="16384" width="8.88671875" style="2"/>
  </cols>
  <sheetData>
    <row r="1" spans="2:18" ht="15.75" x14ac:dyDescent="0.25">
      <c r="B1" s="15" t="s">
        <v>189</v>
      </c>
      <c r="C1" s="13"/>
      <c r="D1" s="13"/>
      <c r="E1" s="13"/>
      <c r="F1" s="12"/>
      <c r="H1" s="15" t="s">
        <v>190</v>
      </c>
      <c r="I1" s="13"/>
      <c r="J1" s="13"/>
      <c r="K1" s="13"/>
      <c r="L1" s="12"/>
    </row>
    <row r="2" spans="2:18" x14ac:dyDescent="0.2">
      <c r="C2" s="4" t="s">
        <v>114</v>
      </c>
      <c r="D2" s="4" t="s">
        <v>114</v>
      </c>
      <c r="E2" s="4" t="s">
        <v>114</v>
      </c>
      <c r="I2" s="4" t="s">
        <v>114</v>
      </c>
      <c r="J2" s="4" t="s">
        <v>114</v>
      </c>
      <c r="K2" s="4" t="s">
        <v>114</v>
      </c>
    </row>
    <row r="3" spans="2:18" x14ac:dyDescent="0.2">
      <c r="B3" s="4" t="s">
        <v>20</v>
      </c>
      <c r="C3" s="4" t="s">
        <v>119</v>
      </c>
      <c r="D3" s="4" t="s">
        <v>120</v>
      </c>
      <c r="E3" s="4" t="s">
        <v>121</v>
      </c>
      <c r="F3" s="4" t="s">
        <v>11</v>
      </c>
      <c r="H3" s="4" t="s">
        <v>20</v>
      </c>
      <c r="I3" s="4" t="s">
        <v>119</v>
      </c>
      <c r="J3" s="4" t="s">
        <v>120</v>
      </c>
      <c r="K3" s="4" t="s">
        <v>121</v>
      </c>
      <c r="L3" s="4" t="s">
        <v>11</v>
      </c>
    </row>
    <row r="4" spans="2:18" x14ac:dyDescent="0.2">
      <c r="B4" s="11" t="s">
        <v>122</v>
      </c>
      <c r="C4" s="11" t="s">
        <v>123</v>
      </c>
      <c r="D4" s="11" t="s">
        <v>123</v>
      </c>
      <c r="E4" s="11" t="s">
        <v>123</v>
      </c>
      <c r="F4" s="11" t="s">
        <v>113</v>
      </c>
      <c r="H4" s="11" t="s">
        <v>122</v>
      </c>
      <c r="I4" s="11" t="s">
        <v>123</v>
      </c>
      <c r="J4" s="11" t="s">
        <v>123</v>
      </c>
      <c r="K4" s="11" t="s">
        <v>123</v>
      </c>
      <c r="L4" s="11" t="s">
        <v>113</v>
      </c>
    </row>
    <row r="5" spans="2:18" x14ac:dyDescent="0.2">
      <c r="B5" s="219" t="s">
        <v>634</v>
      </c>
    </row>
    <row r="7" spans="2:18" x14ac:dyDescent="0.2">
      <c r="B7" s="7">
        <f t="shared" ref="B7:B13" si="0">+CUR_RS_CUST</f>
        <v>11</v>
      </c>
      <c r="C7" s="7">
        <f>IF('SCH N'!E20&lt;=1000,ROUND('SCH N'!E20*(+CUR_RS_ENERGY),2),ROUND(1000*(CUR_RS_ENERGY),2))</f>
        <v>21.5</v>
      </c>
      <c r="D7" s="217">
        <v>0</v>
      </c>
      <c r="E7" s="217">
        <v>0</v>
      </c>
      <c r="F7" s="7">
        <f t="shared" ref="F7:F13" si="1">SUM(B7:E7)</f>
        <v>32.5</v>
      </c>
      <c r="H7" s="7">
        <f t="shared" ref="H7:H13" si="2">PRO_RS_CUST</f>
        <v>14</v>
      </c>
      <c r="I7" s="7">
        <f>IF('SCH N'!E20&lt;=1000,ROUND('SCH N'!E20*(PRO_RS_ENERGY),2),ROUND(1000*(PRO_RS_ENERGY),2))</f>
        <v>25.28</v>
      </c>
      <c r="J7" s="217">
        <v>0</v>
      </c>
      <c r="K7" s="217">
        <v>0</v>
      </c>
      <c r="L7" s="7">
        <f t="shared" ref="L7:L13" si="3">SUM(H7:K7)</f>
        <v>39.28</v>
      </c>
    </row>
    <row r="8" spans="2:18" x14ac:dyDescent="0.2">
      <c r="B8" s="7">
        <f t="shared" si="0"/>
        <v>11</v>
      </c>
      <c r="C8" s="7">
        <f>IF('SCH N'!E21&lt;=1000,ROUND('SCH N'!E21*(+CUR_RS_ENERGY),2),ROUND(1000*(CUR_RS_ENERGY),2))</f>
        <v>28.66</v>
      </c>
      <c r="D8" s="217">
        <v>0</v>
      </c>
      <c r="E8" s="217">
        <v>0</v>
      </c>
      <c r="F8" s="7">
        <f t="shared" si="1"/>
        <v>39.659999999999997</v>
      </c>
      <c r="H8" s="7">
        <f t="shared" si="2"/>
        <v>14</v>
      </c>
      <c r="I8" s="7">
        <f>IF('SCH N'!E21&lt;=1000,ROUND('SCH N'!E21*(PRO_RS_ENERGY),2),ROUND(1000*(PRO_RS_ENERGY),2))</f>
        <v>33.71</v>
      </c>
      <c r="J8" s="217">
        <v>0</v>
      </c>
      <c r="K8" s="217">
        <v>0</v>
      </c>
      <c r="L8" s="7">
        <f t="shared" si="3"/>
        <v>47.71</v>
      </c>
    </row>
    <row r="9" spans="2:18" x14ac:dyDescent="0.2">
      <c r="B9" s="7">
        <f t="shared" si="0"/>
        <v>11</v>
      </c>
      <c r="C9" s="7">
        <f>IF('SCH N'!E22&lt;=1000,ROUND('SCH N'!E22*(+CUR_RS_ENERGY),2),ROUND(1000*(CUR_RS_ENERGY),2))</f>
        <v>35.83</v>
      </c>
      <c r="D9" s="217">
        <v>0</v>
      </c>
      <c r="E9" s="217">
        <v>0</v>
      </c>
      <c r="F9" s="7">
        <f t="shared" si="1"/>
        <v>46.83</v>
      </c>
      <c r="H9" s="7">
        <f t="shared" si="2"/>
        <v>14</v>
      </c>
      <c r="I9" s="7">
        <f>IF('SCH N'!E22&lt;=1000,ROUND('SCH N'!E22*(PRO_RS_ENERGY),2),ROUND(1000*(PRO_RS_ENERGY),2))</f>
        <v>42.14</v>
      </c>
      <c r="J9" s="217">
        <v>0</v>
      </c>
      <c r="K9" s="217">
        <v>0</v>
      </c>
      <c r="L9" s="7">
        <f t="shared" si="3"/>
        <v>56.14</v>
      </c>
    </row>
    <row r="10" spans="2:18" x14ac:dyDescent="0.2">
      <c r="B10" s="7">
        <f t="shared" si="0"/>
        <v>11</v>
      </c>
      <c r="C10" s="7">
        <f>IF('SCH N'!E23&lt;=1000,ROUND('SCH N'!E23*(+CUR_RS_ENERGY),2),ROUND(1000*(CUR_RS_ENERGY),2))</f>
        <v>57.32</v>
      </c>
      <c r="D10" s="217">
        <v>0</v>
      </c>
      <c r="E10" s="217">
        <v>0</v>
      </c>
      <c r="F10" s="7">
        <f t="shared" si="1"/>
        <v>68.319999999999993</v>
      </c>
      <c r="H10" s="7">
        <f t="shared" si="2"/>
        <v>14</v>
      </c>
      <c r="I10" s="7">
        <f>IF('SCH N'!E23&lt;=1000,ROUND('SCH N'!E23*(PRO_RS_ENERGY),2),ROUND(1000*(PRO_RS_ENERGY),2))</f>
        <v>67.42</v>
      </c>
      <c r="J10" s="217">
        <v>0</v>
      </c>
      <c r="K10" s="217">
        <v>0</v>
      </c>
      <c r="L10" s="7">
        <f t="shared" si="3"/>
        <v>81.42</v>
      </c>
    </row>
    <row r="11" spans="2:18" x14ac:dyDescent="0.2">
      <c r="B11" s="7">
        <f t="shared" si="0"/>
        <v>11</v>
      </c>
      <c r="C11" s="7">
        <f>IF('SCH N'!E24&lt;=1000,ROUND('SCH N'!E24*(+CUR_RS_ENERGY),2),ROUND(1000*(CUR_RS_ENERGY),2))</f>
        <v>71.650000000000006</v>
      </c>
      <c r="D11" s="217">
        <v>0</v>
      </c>
      <c r="E11" s="217">
        <v>0</v>
      </c>
      <c r="F11" s="7">
        <f t="shared" si="1"/>
        <v>82.65</v>
      </c>
      <c r="H11" s="7">
        <f t="shared" si="2"/>
        <v>14</v>
      </c>
      <c r="I11" s="7">
        <f>IF('SCH N'!E24&lt;=1000,ROUND('SCH N'!E24*(PRO_RS_ENERGY),2),ROUND(1000*(PRO_RS_ENERGY),2))</f>
        <v>84.27</v>
      </c>
      <c r="J11" s="217">
        <v>0</v>
      </c>
      <c r="K11" s="217">
        <v>0</v>
      </c>
      <c r="L11" s="7">
        <f t="shared" si="3"/>
        <v>98.27</v>
      </c>
    </row>
    <row r="12" spans="2:18" x14ac:dyDescent="0.2">
      <c r="B12" s="7">
        <f t="shared" si="0"/>
        <v>11</v>
      </c>
      <c r="C12" s="7">
        <f>IF('SCH N'!E25&lt;=1000,ROUND('SCH N'!E25*(+CUR_RS_ENERGY),2),ROUND(1000*(CUR_RS_ENERGY),2))</f>
        <v>71.650000000000006</v>
      </c>
      <c r="D12" s="217">
        <v>0</v>
      </c>
      <c r="E12" s="217">
        <v>0</v>
      </c>
      <c r="F12" s="7">
        <f t="shared" si="1"/>
        <v>82.65</v>
      </c>
      <c r="H12" s="7">
        <f t="shared" si="2"/>
        <v>14</v>
      </c>
      <c r="I12" s="7">
        <f>IF('SCH N'!E25&lt;=1000,ROUND('SCH N'!E25*(PRO_RS_ENERGY),2),ROUND(1000*(PRO_RS_ENERGY),2))</f>
        <v>84.27</v>
      </c>
      <c r="J12" s="217">
        <v>0</v>
      </c>
      <c r="K12" s="217">
        <v>0</v>
      </c>
      <c r="L12" s="7">
        <f t="shared" si="3"/>
        <v>98.27</v>
      </c>
    </row>
    <row r="13" spans="2:18" x14ac:dyDescent="0.2">
      <c r="B13" s="7">
        <f t="shared" si="0"/>
        <v>11</v>
      </c>
      <c r="C13" s="7">
        <f>IF('SCH N'!E26&lt;=1000,ROUND('SCH N'!E26*(+CUR_RS_ENERGY),2),ROUND(1000*(CUR_RS_ENERGY),2))</f>
        <v>71.650000000000006</v>
      </c>
      <c r="D13" s="217">
        <v>0</v>
      </c>
      <c r="E13" s="217">
        <v>0</v>
      </c>
      <c r="F13" s="7">
        <f t="shared" si="1"/>
        <v>82.65</v>
      </c>
      <c r="H13" s="7">
        <f t="shared" si="2"/>
        <v>14</v>
      </c>
      <c r="I13" s="7">
        <f>IF('SCH N'!E26&lt;=1000,ROUND('SCH N'!E26*(PRO_RS_ENERGY),2),ROUND(1000*(PRO_RS_ENERGY),2))</f>
        <v>84.27</v>
      </c>
      <c r="J13" s="217">
        <v>0</v>
      </c>
      <c r="K13" s="217">
        <v>0</v>
      </c>
      <c r="L13" s="7">
        <f t="shared" si="3"/>
        <v>98.27</v>
      </c>
    </row>
    <row r="14" spans="2:18" x14ac:dyDescent="0.2">
      <c r="F14" s="7"/>
      <c r="L14" s="7"/>
    </row>
    <row r="15" spans="2:18" s="18" customFormat="1" x14ac:dyDescent="0.2"/>
    <row r="16" spans="2:18" ht="15.75" x14ac:dyDescent="0.25">
      <c r="B16" s="15" t="s">
        <v>183</v>
      </c>
      <c r="C16" s="12"/>
      <c r="D16" s="13"/>
      <c r="E16" s="13"/>
      <c r="F16" s="13"/>
      <c r="G16" s="13"/>
      <c r="H16" s="12"/>
      <c r="I16" s="12"/>
      <c r="K16" s="15" t="s">
        <v>184</v>
      </c>
      <c r="L16" s="12"/>
      <c r="M16" s="13"/>
      <c r="N16" s="13"/>
      <c r="O16" s="13"/>
      <c r="P16" s="13"/>
      <c r="Q16" s="12"/>
      <c r="R16" s="12"/>
    </row>
    <row r="17" spans="1:18" x14ac:dyDescent="0.2">
      <c r="C17" s="4" t="s">
        <v>115</v>
      </c>
      <c r="D17" s="4" t="s">
        <v>115</v>
      </c>
      <c r="E17" s="4" t="s">
        <v>115</v>
      </c>
      <c r="F17" s="4" t="s">
        <v>114</v>
      </c>
      <c r="G17" s="4" t="s">
        <v>114</v>
      </c>
      <c r="H17" s="4" t="s">
        <v>114</v>
      </c>
      <c r="L17" s="4" t="s">
        <v>115</v>
      </c>
      <c r="M17" s="4" t="s">
        <v>115</v>
      </c>
      <c r="N17" s="4" t="s">
        <v>115</v>
      </c>
      <c r="O17" s="4" t="s">
        <v>114</v>
      </c>
      <c r="P17" s="4" t="s">
        <v>114</v>
      </c>
      <c r="Q17" s="4" t="s">
        <v>114</v>
      </c>
    </row>
    <row r="18" spans="1:18" x14ac:dyDescent="0.2">
      <c r="B18" s="4" t="s">
        <v>20</v>
      </c>
      <c r="C18" s="4" t="s">
        <v>119</v>
      </c>
      <c r="D18" s="4" t="s">
        <v>120</v>
      </c>
      <c r="E18" s="4" t="s">
        <v>121</v>
      </c>
      <c r="F18" s="4" t="s">
        <v>119</v>
      </c>
      <c r="G18" s="4" t="s">
        <v>120</v>
      </c>
      <c r="H18" s="4" t="s">
        <v>121</v>
      </c>
      <c r="I18" s="4" t="s">
        <v>11</v>
      </c>
      <c r="K18" s="4" t="s">
        <v>20</v>
      </c>
      <c r="L18" s="4" t="s">
        <v>119</v>
      </c>
      <c r="M18" s="4" t="s">
        <v>120</v>
      </c>
      <c r="N18" s="4" t="s">
        <v>121</v>
      </c>
      <c r="O18" s="4" t="s">
        <v>119</v>
      </c>
      <c r="P18" s="4" t="s">
        <v>120</v>
      </c>
      <c r="Q18" s="4" t="s">
        <v>121</v>
      </c>
      <c r="R18" s="4" t="s">
        <v>11</v>
      </c>
    </row>
    <row r="19" spans="1:18" x14ac:dyDescent="0.2">
      <c r="B19" s="11" t="s">
        <v>122</v>
      </c>
      <c r="C19" s="11" t="s">
        <v>123</v>
      </c>
      <c r="D19" s="11" t="s">
        <v>123</v>
      </c>
      <c r="E19" s="11" t="s">
        <v>123</v>
      </c>
      <c r="F19" s="11" t="s">
        <v>123</v>
      </c>
      <c r="G19" s="11" t="s">
        <v>123</v>
      </c>
      <c r="H19" s="11" t="s">
        <v>123</v>
      </c>
      <c r="I19" s="11" t="s">
        <v>113</v>
      </c>
      <c r="J19" s="10"/>
      <c r="K19" s="11" t="s">
        <v>122</v>
      </c>
      <c r="L19" s="11" t="s">
        <v>123</v>
      </c>
      <c r="M19" s="11" t="s">
        <v>123</v>
      </c>
      <c r="N19" s="11" t="s">
        <v>123</v>
      </c>
      <c r="O19" s="11" t="s">
        <v>123</v>
      </c>
      <c r="P19" s="11" t="s">
        <v>123</v>
      </c>
      <c r="Q19" s="11" t="s">
        <v>123</v>
      </c>
      <c r="R19" s="11" t="s">
        <v>113</v>
      </c>
    </row>
    <row r="20" spans="1:18" x14ac:dyDescent="0.2">
      <c r="B20" s="219" t="s">
        <v>415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</row>
    <row r="21" spans="1:18" x14ac:dyDescent="0.2">
      <c r="A21" s="2" t="s">
        <v>97</v>
      </c>
      <c r="B21" s="7">
        <f>CUR_DS_CST_2</f>
        <v>34.28</v>
      </c>
      <c r="C21" s="7">
        <f>IF('SCH N'!$D52&lt;=15,ROUND('SCH N'!$D52*CUR_DS_DEM_1,2),ROUND(15*CUR_DS_DEM_1,2))</f>
        <v>0</v>
      </c>
      <c r="D21" s="7">
        <f>IF('SCH N'!$D52&lt;=15,0,ROUND(('SCH N'!$D52-15)*CUR_DS_DEM_3,2))</f>
        <v>0</v>
      </c>
      <c r="E21" s="16">
        <v>0</v>
      </c>
      <c r="F21" s="7">
        <f>IF('SCH N'!$E52&lt;=6000,ROUND('SCH N'!$E52*(CUR_DS_KWH_1),2),ROUND(6000*(CUR_DS_KWH_1),2))</f>
        <v>160.4</v>
      </c>
      <c r="G21" s="7">
        <f>IF('SCH N'!$E52&lt;=6000,0,IF(('SCH N'!$D52*300)&lt;=('SCH N'!$E52-6000),ROUND(('SCH N'!$D52*300)*(CUR_DS_KWH_2),2),ROUND(('SCH N'!$E52-6000)*(CUR_DS_KWH_2),2)))</f>
        <v>0</v>
      </c>
      <c r="H21" s="7">
        <f>IF('SCH N'!$E52&lt;=(6000+('SCH N'!$D52*300)),0,ROUND(('SCH N'!$E52-(6000+('SCH N'!$D52*300)))*(CUR_DS_KWH_3),2))</f>
        <v>0</v>
      </c>
      <c r="I21" s="7">
        <f t="shared" ref="I21:I41" si="4">SUM(B21:H21)</f>
        <v>194.68</v>
      </c>
      <c r="J21" s="7"/>
      <c r="K21" s="7">
        <f>PRO_DS_CST_2</f>
        <v>30</v>
      </c>
      <c r="L21" s="7">
        <f>IF('SCH N'!$D52&lt;=15,ROUND('SCH N'!$D52*PRO_DS_DEM_1,2),ROUND(15*PRO_DS_DEM_1,2))</f>
        <v>0</v>
      </c>
      <c r="M21" s="7">
        <f>IF('SCH N'!$D52&lt;=15,0,ROUND(('SCH N'!$D52-15)*PRO_DS_DEM_3,2))</f>
        <v>0</v>
      </c>
      <c r="N21" s="16">
        <v>0</v>
      </c>
      <c r="O21" s="7">
        <f>IF('SCH N'!$E52&lt;=6000,ROUND('SCH N'!$E52*(PRO_DS_KWH_1),2),ROUND(6000*(PRO_DS_KWH_1),2))</f>
        <v>182.48</v>
      </c>
      <c r="P21" s="7">
        <f>IF('SCH N'!$E52&lt;=6000,0,IF(('SCH N'!$D52*300)&lt;=('SCH N'!$E52-6000),ROUND(('SCH N'!$D52*300)*(PRO_DS_KWH_2),2),ROUND(('SCH N'!$E52-6000)*(PRO_DS_KWH_2),2)))</f>
        <v>0</v>
      </c>
      <c r="Q21" s="7">
        <f>IF('SCH N'!$E52&lt;=(6000+('SCH N'!$D52*300)),0,ROUND(('SCH N'!$E52-(6000+('SCH N'!$D52*300)))*(PRO_DS_KWH_3),2))</f>
        <v>0</v>
      </c>
      <c r="R21" s="7">
        <f t="shared" ref="R21:R41" si="5">SUM(K21:Q21)</f>
        <v>212.48</v>
      </c>
    </row>
    <row r="22" spans="1:18" x14ac:dyDescent="0.2">
      <c r="B22" s="7">
        <f t="shared" ref="B22:B41" si="6">CUR_DS_CST_2</f>
        <v>34.28</v>
      </c>
      <c r="C22" s="7">
        <f>IF('SCH N'!$D53&lt;=15,ROUND('SCH N'!$D53*CUR_DS_DEM_1,2),ROUND(15*CUR_DS_DEM_1,2))</f>
        <v>0</v>
      </c>
      <c r="D22" s="7">
        <f>IF('SCH N'!$D53&lt;=15,0,ROUND(('SCH N'!$D53-15)*CUR_DS_DEM_3,2))</f>
        <v>0</v>
      </c>
      <c r="E22" s="16">
        <v>0</v>
      </c>
      <c r="F22" s="7">
        <f>IF('SCH N'!$E53&lt;=6000,ROUND('SCH N'!$E53*(CUR_DS_KWH_1),2),ROUND(6000*(CUR_DS_KWH_1),2))</f>
        <v>320.8</v>
      </c>
      <c r="G22" s="7">
        <f>IF('SCH N'!$E53&lt;=6000,0,IF(('SCH N'!$D53*300)&lt;=('SCH N'!$E53-6000),ROUND(('SCH N'!$D53*300)*(CUR_DS_KWH_2),2),ROUND(('SCH N'!$E53-6000)*(CUR_DS_KWH_2),2)))</f>
        <v>0</v>
      </c>
      <c r="H22" s="7">
        <f>IF('SCH N'!$E53&lt;=(6000+('SCH N'!$D53*300)),0,ROUND(('SCH N'!$E53-(6000+('SCH N'!$D53*300)))*(CUR_DS_KWH_3),2))</f>
        <v>0</v>
      </c>
      <c r="I22" s="7">
        <f t="shared" si="4"/>
        <v>355.08000000000004</v>
      </c>
      <c r="J22" s="7"/>
      <c r="K22" s="7">
        <f t="shared" ref="K22:K41" si="7">PRO_DS_CST_2</f>
        <v>30</v>
      </c>
      <c r="L22" s="7">
        <f>IF('SCH N'!$D53&lt;=15,ROUND('SCH N'!$D53*PRO_DS_DEM_1,2),ROUND(15*PRO_DS_DEM_1,2))</f>
        <v>0</v>
      </c>
      <c r="M22" s="7">
        <f>IF('SCH N'!$D53&lt;=15,0,ROUND(('SCH N'!$D53-15)*PRO_DS_DEM_3,2))</f>
        <v>0</v>
      </c>
      <c r="N22" s="16">
        <v>0</v>
      </c>
      <c r="O22" s="7">
        <f>IF('SCH N'!$E53&lt;=6000,ROUND('SCH N'!$E53*(PRO_DS_KWH_1),2),ROUND(6000*(PRO_DS_KWH_1),2))</f>
        <v>364.95</v>
      </c>
      <c r="P22" s="7">
        <f>IF('SCH N'!$E53&lt;=6000,0,IF(('SCH N'!$D53*300)&lt;=('SCH N'!$E53-6000),ROUND(('SCH N'!$D53*300)*(PRO_DS_KWH_2),2),ROUND(('SCH N'!$E53-6000)*(PRO_DS_KWH_2),2)))</f>
        <v>0</v>
      </c>
      <c r="Q22" s="7">
        <f>IF('SCH N'!$E53&lt;=(6000+('SCH N'!$D53*300)),0,ROUND(('SCH N'!$E53-(6000+('SCH N'!$D53*300)))*(PRO_DS_KWH_3),2))</f>
        <v>0</v>
      </c>
      <c r="R22" s="7">
        <f t="shared" si="5"/>
        <v>394.95</v>
      </c>
    </row>
    <row r="23" spans="1:18" x14ac:dyDescent="0.2">
      <c r="B23" s="7">
        <f t="shared" si="6"/>
        <v>34.28</v>
      </c>
      <c r="C23" s="7">
        <f>IF('SCH N'!$D54&lt;=15,ROUND('SCH N'!$D54*CUR_DS_DEM_1,2),ROUND(15*CUR_DS_DEM_1,2))</f>
        <v>0</v>
      </c>
      <c r="D23" s="7">
        <f>IF('SCH N'!$D54&lt;=15,0,ROUND(('SCH N'!$D54-15)*CUR_DS_DEM_3,2))</f>
        <v>0</v>
      </c>
      <c r="E23" s="16">
        <v>0</v>
      </c>
      <c r="F23" s="7">
        <f>IF('SCH N'!$E54&lt;=6000,ROUND('SCH N'!$E54*(CUR_DS_KWH_1),2),ROUND(6000*(CUR_DS_KWH_1),2))</f>
        <v>481.2</v>
      </c>
      <c r="G23" s="7">
        <f>IF('SCH N'!$E54&lt;=6000,0,IF(('SCH N'!$D54*300)&lt;=('SCH N'!$E54-6000),ROUND(('SCH N'!$D54*300)*(CUR_DS_KWH_2),2),ROUND(('SCH N'!$E54-6000)*(CUR_DS_KWH_2),2)))</f>
        <v>0</v>
      </c>
      <c r="H23" s="7">
        <f>IF('SCH N'!$E54&lt;=(6000+('SCH N'!$D54*300)),0,ROUND(('SCH N'!$E54-(6000+('SCH N'!$D54*300)))*(CUR_DS_KWH_3),2))</f>
        <v>0</v>
      </c>
      <c r="I23" s="7">
        <f t="shared" si="4"/>
        <v>515.48</v>
      </c>
      <c r="J23" s="7"/>
      <c r="K23" s="7">
        <f t="shared" si="7"/>
        <v>30</v>
      </c>
      <c r="L23" s="7">
        <f>IF('SCH N'!$D54&lt;=15,ROUND('SCH N'!$D54*PRO_DS_DEM_1,2),ROUND(15*PRO_DS_DEM_1,2))</f>
        <v>0</v>
      </c>
      <c r="M23" s="7">
        <f>IF('SCH N'!$D54&lt;=15,0,ROUND(('SCH N'!$D54-15)*PRO_DS_DEM_3,2))</f>
        <v>0</v>
      </c>
      <c r="N23" s="16">
        <v>0</v>
      </c>
      <c r="O23" s="7">
        <f>IF('SCH N'!$E54&lt;=6000,ROUND('SCH N'!$E54*(PRO_DS_KWH_1),2),ROUND(6000*(PRO_DS_KWH_1),2))</f>
        <v>547.42999999999995</v>
      </c>
      <c r="P23" s="7">
        <f>IF('SCH N'!$E54&lt;=6000,0,IF(('SCH N'!$D54*300)&lt;=('SCH N'!$E54-6000),ROUND(('SCH N'!$D54*300)*(PRO_DS_KWH_2),2),ROUND(('SCH N'!$E54-6000)*(PRO_DS_KWH_2),2)))</f>
        <v>0</v>
      </c>
      <c r="Q23" s="7">
        <f>IF('SCH N'!$E54&lt;=(6000+('SCH N'!$D54*300)),0,ROUND(('SCH N'!$E54-(6000+('SCH N'!$D54*300)))*(PRO_DS_KWH_3),2))</f>
        <v>0</v>
      </c>
      <c r="R23" s="7">
        <f t="shared" si="5"/>
        <v>577.42999999999995</v>
      </c>
    </row>
    <row r="24" spans="1:18" x14ac:dyDescent="0.2">
      <c r="B24" s="7">
        <f t="shared" si="6"/>
        <v>34.28</v>
      </c>
      <c r="C24" s="7">
        <f>IF('SCH N'!$D55&lt;=15,ROUND('SCH N'!$D55*CUR_DS_DEM_1,2),ROUND(15*CUR_DS_DEM_1,2))</f>
        <v>0</v>
      </c>
      <c r="D24" s="7">
        <f>IF('SCH N'!$D55&lt;=15,0,ROUND(('SCH N'!$D55-15)*CUR_DS_DEM_3,2))</f>
        <v>123.75</v>
      </c>
      <c r="E24" s="16">
        <v>0</v>
      </c>
      <c r="F24" s="7">
        <f>IF('SCH N'!$E55&lt;=6000,ROUND('SCH N'!$E55*(CUR_DS_KWH_1),2),ROUND(6000*(CUR_DS_KWH_1),2))</f>
        <v>481.2</v>
      </c>
      <c r="G24" s="7">
        <f>IF('SCH N'!$E55&lt;=6000,0,IF(('SCH N'!$D55*300)&lt;=('SCH N'!$E55-6000),ROUND(('SCH N'!$D55*300)*(CUR_DS_KWH_2),2),ROUND(('SCH N'!$E55-6000)*(CUR_DS_KWH_2),2)))</f>
        <v>0</v>
      </c>
      <c r="H24" s="7">
        <f>IF('SCH N'!$E55&lt;=(6000+('SCH N'!$D55*300)),0,ROUND(('SCH N'!$E55-(6000+('SCH N'!$D55*300)))*(CUR_DS_KWH_3),2))</f>
        <v>0</v>
      </c>
      <c r="I24" s="7">
        <f t="shared" si="4"/>
        <v>639.23</v>
      </c>
      <c r="J24" s="7"/>
      <c r="K24" s="7">
        <f t="shared" si="7"/>
        <v>30</v>
      </c>
      <c r="L24" s="7">
        <f>IF('SCH N'!$D55&lt;=15,ROUND('SCH N'!$D55*PRO_DS_DEM_1,2),ROUND(15*PRO_DS_DEM_1,2))</f>
        <v>0</v>
      </c>
      <c r="M24" s="7">
        <f>IF('SCH N'!$D55&lt;=15,0,ROUND(('SCH N'!$D55-15)*PRO_DS_DEM_3,2))</f>
        <v>140.69999999999999</v>
      </c>
      <c r="N24" s="16">
        <v>0</v>
      </c>
      <c r="O24" s="7">
        <f>IF('SCH N'!$E55&lt;=6000,ROUND('SCH N'!$E55*(PRO_DS_KWH_1),2),ROUND(6000*(PRO_DS_KWH_1),2))</f>
        <v>547.42999999999995</v>
      </c>
      <c r="P24" s="7">
        <f>IF('SCH N'!$E55&lt;=6000,0,IF(('SCH N'!$D55*300)&lt;=('SCH N'!$E55-6000),ROUND(('SCH N'!$D55*300)*(PRO_DS_KWH_2),2),ROUND(('SCH N'!$E55-6000)*(PRO_DS_KWH_2),2)))</f>
        <v>0</v>
      </c>
      <c r="Q24" s="7">
        <f>IF('SCH N'!$E55&lt;=(6000+('SCH N'!$D55*300)),0,ROUND(('SCH N'!$E55-(6000+('SCH N'!$D55*300)))*(PRO_DS_KWH_3),2))</f>
        <v>0</v>
      </c>
      <c r="R24" s="7">
        <f t="shared" si="5"/>
        <v>718.12999999999988</v>
      </c>
    </row>
    <row r="25" spans="1:18" x14ac:dyDescent="0.2">
      <c r="B25" s="7">
        <f t="shared" si="6"/>
        <v>34.28</v>
      </c>
      <c r="C25" s="7">
        <f>IF('SCH N'!$D56&lt;=15,ROUND('SCH N'!$D56*CUR_DS_DEM_1,2),ROUND(15*CUR_DS_DEM_1,2))</f>
        <v>0</v>
      </c>
      <c r="D25" s="7">
        <f>IF('SCH N'!$D56&lt;=15,0,ROUND(('SCH N'!$D56-15)*CUR_DS_DEM_3,2))</f>
        <v>123.75</v>
      </c>
      <c r="E25" s="16">
        <v>0</v>
      </c>
      <c r="F25" s="7">
        <f>IF('SCH N'!$E56&lt;=6000,ROUND('SCH N'!$E56*(CUR_DS_KWH_1),2),ROUND(6000*(CUR_DS_KWH_1),2))</f>
        <v>481.2</v>
      </c>
      <c r="G25" s="7">
        <f>IF('SCH N'!$E56&lt;=6000,0,IF(('SCH N'!$D56*300)&lt;=('SCH N'!$E56-6000),ROUND(('SCH N'!$D56*300)*(CUR_DS_KWH_2),2),ROUND(('SCH N'!$E56-6000)*(CUR_DS_KWH_2),2)))</f>
        <v>147.69999999999999</v>
      </c>
      <c r="H25" s="7">
        <f>IF('SCH N'!$E56&lt;=(6000+('SCH N'!$D56*300)),0,ROUND(('SCH N'!$E56-(6000+('SCH N'!$D56*300)))*(CUR_DS_KWH_3),2))</f>
        <v>0</v>
      </c>
      <c r="I25" s="7">
        <f t="shared" si="4"/>
        <v>786.93000000000006</v>
      </c>
      <c r="J25" s="7"/>
      <c r="K25" s="7">
        <f t="shared" si="7"/>
        <v>30</v>
      </c>
      <c r="L25" s="7">
        <f>IF('SCH N'!$D56&lt;=15,ROUND('SCH N'!$D56*PRO_DS_DEM_1,2),ROUND(15*PRO_DS_DEM_1,2))</f>
        <v>0</v>
      </c>
      <c r="M25" s="7">
        <f>IF('SCH N'!$D56&lt;=15,0,ROUND(('SCH N'!$D56-15)*PRO_DS_DEM_3,2))</f>
        <v>140.69999999999999</v>
      </c>
      <c r="N25" s="16">
        <v>0</v>
      </c>
      <c r="O25" s="7">
        <f>IF('SCH N'!$E56&lt;=6000,ROUND('SCH N'!$E56*(PRO_DS_KWH_1),2),ROUND(6000*(PRO_DS_KWH_1),2))</f>
        <v>547.42999999999995</v>
      </c>
      <c r="P25" s="7">
        <f>IF('SCH N'!$E56&lt;=6000,0,IF(('SCH N'!$D56*300)&lt;=('SCH N'!$E56-6000),ROUND(('SCH N'!$D56*300)*(PRO_DS_KWH_2),2),ROUND(('SCH N'!$E56-6000)*(PRO_DS_KWH_2),2)))</f>
        <v>168.02</v>
      </c>
      <c r="Q25" s="7">
        <f>IF('SCH N'!$E56&lt;=(6000+('SCH N'!$D56*300)),0,ROUND(('SCH N'!$E56-(6000+('SCH N'!$D56*300)))*(PRO_DS_KWH_3),2))</f>
        <v>0</v>
      </c>
      <c r="R25" s="7">
        <f t="shared" si="5"/>
        <v>886.14999999999986</v>
      </c>
    </row>
    <row r="26" spans="1:18" x14ac:dyDescent="0.2">
      <c r="B26" s="7">
        <f t="shared" si="6"/>
        <v>34.28</v>
      </c>
      <c r="C26" s="7">
        <f>IF('SCH N'!$D57&lt;=15,ROUND('SCH N'!$D57*CUR_DS_DEM_1,2),ROUND(15*CUR_DS_DEM_1,2))</f>
        <v>0</v>
      </c>
      <c r="D26" s="7">
        <f>IF('SCH N'!$D57&lt;=15,0,ROUND(('SCH N'!$D57-15)*CUR_DS_DEM_3,2))</f>
        <v>123.75</v>
      </c>
      <c r="E26" s="16">
        <v>0</v>
      </c>
      <c r="F26" s="7">
        <f>IF('SCH N'!$E57&lt;=6000,ROUND('SCH N'!$E57*(CUR_DS_KWH_1),2),ROUND(6000*(CUR_DS_KWH_1),2))</f>
        <v>481.2</v>
      </c>
      <c r="G26" s="7">
        <f>IF('SCH N'!$E57&lt;=6000,0,IF(('SCH N'!$D57*300)&lt;=('SCH N'!$E57-6000),ROUND(('SCH N'!$D57*300)*(CUR_DS_KWH_2),2),ROUND(('SCH N'!$E57-6000)*(CUR_DS_KWH_2),2)))</f>
        <v>295.39</v>
      </c>
      <c r="H26" s="7">
        <f>IF('SCH N'!$E57&lt;=(6000+('SCH N'!$D57*300)),0,ROUND(('SCH N'!$E57-(6000+('SCH N'!$D57*300)))*(CUR_DS_KWH_3),2))</f>
        <v>0</v>
      </c>
      <c r="I26" s="7">
        <f t="shared" si="4"/>
        <v>934.62</v>
      </c>
      <c r="J26" s="7"/>
      <c r="K26" s="7">
        <f t="shared" si="7"/>
        <v>30</v>
      </c>
      <c r="L26" s="7">
        <f>IF('SCH N'!$D57&lt;=15,ROUND('SCH N'!$D57*PRO_DS_DEM_1,2),ROUND(15*PRO_DS_DEM_1,2))</f>
        <v>0</v>
      </c>
      <c r="M26" s="7">
        <f>IF('SCH N'!$D57&lt;=15,0,ROUND(('SCH N'!$D57-15)*PRO_DS_DEM_3,2))</f>
        <v>140.69999999999999</v>
      </c>
      <c r="N26" s="16">
        <v>0</v>
      </c>
      <c r="O26" s="7">
        <f>IF('SCH N'!$E57&lt;=6000,ROUND('SCH N'!$E57*(PRO_DS_KWH_1),2),ROUND(6000*(PRO_DS_KWH_1),2))</f>
        <v>547.42999999999995</v>
      </c>
      <c r="P26" s="7">
        <f>IF('SCH N'!$E57&lt;=6000,0,IF(('SCH N'!$D57*300)&lt;=('SCH N'!$E57-6000),ROUND(('SCH N'!$D57*300)*(PRO_DS_KWH_2),2),ROUND(('SCH N'!$E57-6000)*(PRO_DS_KWH_2),2)))</f>
        <v>336.05</v>
      </c>
      <c r="Q26" s="7">
        <f>IF('SCH N'!$E57&lt;=(6000+('SCH N'!$D57*300)),0,ROUND(('SCH N'!$E57-(6000+('SCH N'!$D57*300)))*(PRO_DS_KWH_3),2))</f>
        <v>0</v>
      </c>
      <c r="R26" s="7">
        <f t="shared" si="5"/>
        <v>1054.1799999999998</v>
      </c>
    </row>
    <row r="27" spans="1:18" x14ac:dyDescent="0.2">
      <c r="B27" s="7">
        <f t="shared" si="6"/>
        <v>34.28</v>
      </c>
      <c r="C27" s="7">
        <f>IF('SCH N'!$D58&lt;=15,ROUND('SCH N'!$D58*CUR_DS_DEM_1,2),ROUND(15*CUR_DS_DEM_1,2))</f>
        <v>0</v>
      </c>
      <c r="D27" s="7">
        <f>IF('SCH N'!$D58&lt;=15,0,ROUND(('SCH N'!$D58-15)*CUR_DS_DEM_3,2))</f>
        <v>288.75</v>
      </c>
      <c r="E27" s="16">
        <v>0</v>
      </c>
      <c r="F27" s="7">
        <f>IF('SCH N'!$E58&lt;=6000,ROUND('SCH N'!$E58*(CUR_DS_KWH_1),2),ROUND(6000*(CUR_DS_KWH_1),2))</f>
        <v>481.2</v>
      </c>
      <c r="G27" s="7">
        <f>IF('SCH N'!$E58&lt;=6000,0,IF(('SCH N'!$D58*300)&lt;=('SCH N'!$E58-6000),ROUND(('SCH N'!$D58*300)*(CUR_DS_KWH_2),2),ROUND(('SCH N'!$E58-6000)*(CUR_DS_KWH_2),2)))</f>
        <v>196.93</v>
      </c>
      <c r="H27" s="7">
        <f>IF('SCH N'!$E58&lt;=(6000+('SCH N'!$D58*300)),0,ROUND(('SCH N'!$E58-(6000+('SCH N'!$D58*300)))*(CUR_DS_KWH_3),2))</f>
        <v>0</v>
      </c>
      <c r="I27" s="7">
        <f t="shared" si="4"/>
        <v>1001.1600000000001</v>
      </c>
      <c r="J27" s="7"/>
      <c r="K27" s="7">
        <f t="shared" si="7"/>
        <v>30</v>
      </c>
      <c r="L27" s="7">
        <f>IF('SCH N'!$D58&lt;=15,ROUND('SCH N'!$D58*PRO_DS_DEM_1,2),ROUND(15*PRO_DS_DEM_1,2))</f>
        <v>0</v>
      </c>
      <c r="M27" s="7">
        <f>IF('SCH N'!$D58&lt;=15,0,ROUND(('SCH N'!$D58-15)*PRO_DS_DEM_3,2))</f>
        <v>328.3</v>
      </c>
      <c r="N27" s="16">
        <v>0</v>
      </c>
      <c r="O27" s="7">
        <f>IF('SCH N'!$E58&lt;=6000,ROUND('SCH N'!$E58*(PRO_DS_KWH_1),2),ROUND(6000*(PRO_DS_KWH_1),2))</f>
        <v>547.42999999999995</v>
      </c>
      <c r="P27" s="7">
        <f>IF('SCH N'!$E58&lt;=6000,0,IF(('SCH N'!$D58*300)&lt;=('SCH N'!$E58-6000),ROUND(('SCH N'!$D58*300)*(PRO_DS_KWH_2),2),ROUND(('SCH N'!$E58-6000)*(PRO_DS_KWH_2),2)))</f>
        <v>224.03</v>
      </c>
      <c r="Q27" s="7">
        <f>IF('SCH N'!$E58&lt;=(6000+('SCH N'!$D58*300)),0,ROUND(('SCH N'!$E58-(6000+('SCH N'!$D58*300)))*(PRO_DS_KWH_3),2))</f>
        <v>0</v>
      </c>
      <c r="R27" s="7">
        <f t="shared" si="5"/>
        <v>1129.76</v>
      </c>
    </row>
    <row r="28" spans="1:18" x14ac:dyDescent="0.2">
      <c r="B28" s="7">
        <f t="shared" si="6"/>
        <v>34.28</v>
      </c>
      <c r="C28" s="7">
        <f>IF('SCH N'!$D59&lt;=15,ROUND('SCH N'!$D59*CUR_DS_DEM_1,2),ROUND(15*CUR_DS_DEM_1,2))</f>
        <v>0</v>
      </c>
      <c r="D28" s="7">
        <f>IF('SCH N'!$D59&lt;=15,0,ROUND(('SCH N'!$D59-15)*CUR_DS_DEM_3,2))</f>
        <v>288.75</v>
      </c>
      <c r="E28" s="16">
        <v>0</v>
      </c>
      <c r="F28" s="7">
        <f>IF('SCH N'!$E59&lt;=6000,ROUND('SCH N'!$E59*(CUR_DS_KWH_1),2),ROUND(6000*(CUR_DS_KWH_1),2))</f>
        <v>481.2</v>
      </c>
      <c r="G28" s="7">
        <f>IF('SCH N'!$E59&lt;=6000,0,IF(('SCH N'!$D59*300)&lt;=('SCH N'!$E59-6000),ROUND(('SCH N'!$D59*300)*(CUR_DS_KWH_2),2),ROUND(('SCH N'!$E59-6000)*(CUR_DS_KWH_2),2)))</f>
        <v>443.09</v>
      </c>
      <c r="H28" s="7">
        <f>IF('SCH N'!$E59&lt;=(6000+('SCH N'!$D59*300)),0,ROUND(('SCH N'!$E59-(6000+('SCH N'!$D59*300)))*(CUR_DS_KWH_3),2))</f>
        <v>0</v>
      </c>
      <c r="I28" s="7">
        <f t="shared" si="4"/>
        <v>1247.32</v>
      </c>
      <c r="J28" s="7"/>
      <c r="K28" s="7">
        <f t="shared" si="7"/>
        <v>30</v>
      </c>
      <c r="L28" s="7">
        <f>IF('SCH N'!$D59&lt;=15,ROUND('SCH N'!$D59*PRO_DS_DEM_1,2),ROUND(15*PRO_DS_DEM_1,2))</f>
        <v>0</v>
      </c>
      <c r="M28" s="7">
        <f>IF('SCH N'!$D59&lt;=15,0,ROUND(('SCH N'!$D59-15)*PRO_DS_DEM_3,2))</f>
        <v>328.3</v>
      </c>
      <c r="N28" s="16">
        <v>0</v>
      </c>
      <c r="O28" s="7">
        <f>IF('SCH N'!$E59&lt;=6000,ROUND('SCH N'!$E59*(PRO_DS_KWH_1),2),ROUND(6000*(PRO_DS_KWH_1),2))</f>
        <v>547.42999999999995</v>
      </c>
      <c r="P28" s="7">
        <f>IF('SCH N'!$E59&lt;=6000,0,IF(('SCH N'!$D59*300)&lt;=('SCH N'!$E59-6000),ROUND(('SCH N'!$D59*300)*(PRO_DS_KWH_2),2),ROUND(('SCH N'!$E59-6000)*(PRO_DS_KWH_2),2)))</f>
        <v>504.07</v>
      </c>
      <c r="Q28" s="7">
        <f>IF('SCH N'!$E59&lt;=(6000+('SCH N'!$D59*300)),0,ROUND(('SCH N'!$E59-(6000+('SCH N'!$D59*300)))*(PRO_DS_KWH_3),2))</f>
        <v>0</v>
      </c>
      <c r="R28" s="7">
        <f t="shared" si="5"/>
        <v>1409.8</v>
      </c>
    </row>
    <row r="29" spans="1:18" x14ac:dyDescent="0.2">
      <c r="B29" s="7">
        <f t="shared" si="6"/>
        <v>34.28</v>
      </c>
      <c r="C29" s="7">
        <f>IF('SCH N'!$D60&lt;=15,ROUND('SCH N'!$D60*CUR_DS_DEM_1,2),ROUND(15*CUR_DS_DEM_1,2))</f>
        <v>0</v>
      </c>
      <c r="D29" s="7">
        <f>IF('SCH N'!$D60&lt;=15,0,ROUND(('SCH N'!$D60-15)*CUR_DS_DEM_3,2))</f>
        <v>288.75</v>
      </c>
      <c r="E29" s="16">
        <v>0</v>
      </c>
      <c r="F29" s="7">
        <f>IF('SCH N'!$E60&lt;=6000,ROUND('SCH N'!$E60*(CUR_DS_KWH_1),2),ROUND(6000*(CUR_DS_KWH_1),2))</f>
        <v>481.2</v>
      </c>
      <c r="G29" s="7">
        <f>IF('SCH N'!$E60&lt;=6000,0,IF(('SCH N'!$D60*300)&lt;=('SCH N'!$E60-6000),ROUND(('SCH N'!$D60*300)*(CUR_DS_KWH_2),2),ROUND(('SCH N'!$E60-6000)*(CUR_DS_KWH_2),2)))</f>
        <v>689.25</v>
      </c>
      <c r="H29" s="7">
        <f>IF('SCH N'!$E60&lt;=(6000+('SCH N'!$D60*300)),0,ROUND(('SCH N'!$E60-(6000+('SCH N'!$D60*300)))*(CUR_DS_KWH_3),2))</f>
        <v>0</v>
      </c>
      <c r="I29" s="7">
        <f t="shared" si="4"/>
        <v>1493.48</v>
      </c>
      <c r="J29" s="7"/>
      <c r="K29" s="7">
        <f t="shared" si="7"/>
        <v>30</v>
      </c>
      <c r="L29" s="7">
        <f>IF('SCH N'!$D60&lt;=15,ROUND('SCH N'!$D60*PRO_DS_DEM_1,2),ROUND(15*PRO_DS_DEM_1,2))</f>
        <v>0</v>
      </c>
      <c r="M29" s="7">
        <f>IF('SCH N'!$D60&lt;=15,0,ROUND(('SCH N'!$D60-15)*PRO_DS_DEM_3,2))</f>
        <v>328.3</v>
      </c>
      <c r="N29" s="16">
        <v>0</v>
      </c>
      <c r="O29" s="7">
        <f>IF('SCH N'!$E60&lt;=6000,ROUND('SCH N'!$E60*(PRO_DS_KWH_1),2),ROUND(6000*(PRO_DS_KWH_1),2))</f>
        <v>547.42999999999995</v>
      </c>
      <c r="P29" s="7">
        <f>IF('SCH N'!$E60&lt;=6000,0,IF(('SCH N'!$D60*300)&lt;=('SCH N'!$E60-6000),ROUND(('SCH N'!$D60*300)*(PRO_DS_KWH_2),2),ROUND(('SCH N'!$E60-6000)*(PRO_DS_KWH_2),2)))</f>
        <v>784.11</v>
      </c>
      <c r="Q29" s="7">
        <f>IF('SCH N'!$E60&lt;=(6000+('SCH N'!$D60*300)),0,ROUND(('SCH N'!$E60-(6000+('SCH N'!$D60*300)))*(PRO_DS_KWH_3),2))</f>
        <v>0</v>
      </c>
      <c r="R29" s="7">
        <f t="shared" si="5"/>
        <v>1689.8400000000001</v>
      </c>
    </row>
    <row r="30" spans="1:18" x14ac:dyDescent="0.2">
      <c r="B30" s="7">
        <f t="shared" si="6"/>
        <v>34.28</v>
      </c>
      <c r="C30" s="7">
        <f>IF('SCH N'!$D61&lt;=15,ROUND('SCH N'!$D61*CUR_DS_DEM_1,2),ROUND(15*CUR_DS_DEM_1,2))</f>
        <v>0</v>
      </c>
      <c r="D30" s="7">
        <f>IF('SCH N'!$D61&lt;=15,0,ROUND(('SCH N'!$D61-15)*CUR_DS_DEM_3,2))</f>
        <v>495</v>
      </c>
      <c r="E30" s="16">
        <v>0</v>
      </c>
      <c r="F30" s="7">
        <f>IF('SCH N'!$E61&lt;=6000,ROUND('SCH N'!$E61*(CUR_DS_KWH_1),2),ROUND(6000*(CUR_DS_KWH_1),2))</f>
        <v>481.2</v>
      </c>
      <c r="G30" s="7">
        <f>IF('SCH N'!$E61&lt;=6000,0,IF(('SCH N'!$D61*300)&lt;=('SCH N'!$E61-6000),ROUND(('SCH N'!$D61*300)*(CUR_DS_KWH_2),2),ROUND(('SCH N'!$E61-6000)*(CUR_DS_KWH_2),2)))</f>
        <v>443.09</v>
      </c>
      <c r="H30" s="7">
        <f>IF('SCH N'!$E61&lt;=(6000+('SCH N'!$D61*300)),0,ROUND(('SCH N'!$E61-(6000+('SCH N'!$D61*300)))*(CUR_DS_KWH_3),2))</f>
        <v>0</v>
      </c>
      <c r="I30" s="7">
        <f t="shared" si="4"/>
        <v>1453.57</v>
      </c>
      <c r="J30" s="7"/>
      <c r="K30" s="7">
        <f t="shared" si="7"/>
        <v>30</v>
      </c>
      <c r="L30" s="7">
        <f>IF('SCH N'!$D61&lt;=15,ROUND('SCH N'!$D61*PRO_DS_DEM_1,2),ROUND(15*PRO_DS_DEM_1,2))</f>
        <v>0</v>
      </c>
      <c r="M30" s="7">
        <f>IF('SCH N'!$D61&lt;=15,0,ROUND(('SCH N'!$D61-15)*PRO_DS_DEM_3,2))</f>
        <v>562.79999999999995</v>
      </c>
      <c r="N30" s="16">
        <v>0</v>
      </c>
      <c r="O30" s="7">
        <f>IF('SCH N'!$E61&lt;=6000,ROUND('SCH N'!$E61*(PRO_DS_KWH_1),2),ROUND(6000*(PRO_DS_KWH_1),2))</f>
        <v>547.42999999999995</v>
      </c>
      <c r="P30" s="7">
        <f>IF('SCH N'!$E61&lt;=6000,0,IF(('SCH N'!$D61*300)&lt;=('SCH N'!$E61-6000),ROUND(('SCH N'!$D61*300)*(PRO_DS_KWH_2),2),ROUND(('SCH N'!$E61-6000)*(PRO_DS_KWH_2),2)))</f>
        <v>504.07</v>
      </c>
      <c r="Q30" s="7">
        <f>IF('SCH N'!$E61&lt;=(6000+('SCH N'!$D61*300)),0,ROUND(('SCH N'!$E61-(6000+('SCH N'!$D61*300)))*(PRO_DS_KWH_3),2))</f>
        <v>0</v>
      </c>
      <c r="R30" s="7">
        <f t="shared" si="5"/>
        <v>1644.3</v>
      </c>
    </row>
    <row r="31" spans="1:18" x14ac:dyDescent="0.2">
      <c r="B31" s="7">
        <f t="shared" si="6"/>
        <v>34.28</v>
      </c>
      <c r="C31" s="7">
        <f>IF('SCH N'!$D62&lt;=15,ROUND('SCH N'!$D62*CUR_DS_DEM_1,2),ROUND(15*CUR_DS_DEM_1,2))</f>
        <v>0</v>
      </c>
      <c r="D31" s="7">
        <f>IF('SCH N'!$D62&lt;=15,0,ROUND(('SCH N'!$D62-15)*CUR_DS_DEM_3,2))</f>
        <v>495</v>
      </c>
      <c r="E31" s="16">
        <v>0</v>
      </c>
      <c r="F31" s="7">
        <f>IF('SCH N'!$E62&lt;=6000,ROUND('SCH N'!$E62*(CUR_DS_KWH_1),2),ROUND(6000*(CUR_DS_KWH_1),2))</f>
        <v>481.2</v>
      </c>
      <c r="G31" s="7">
        <f>IF('SCH N'!$E62&lt;=6000,0,IF(('SCH N'!$D62*300)&lt;=('SCH N'!$E62-6000),ROUND(('SCH N'!$D62*300)*(CUR_DS_KWH_2),2),ROUND(('SCH N'!$E62-6000)*(CUR_DS_KWH_2),2)))</f>
        <v>689.25</v>
      </c>
      <c r="H31" s="7">
        <f>IF('SCH N'!$E62&lt;=(6000+('SCH N'!$D62*300)),0,ROUND(('SCH N'!$E62-(6000+('SCH N'!$D62*300)))*(CUR_DS_KWH_3),2))</f>
        <v>0</v>
      </c>
      <c r="I31" s="7">
        <f t="shared" si="4"/>
        <v>1699.73</v>
      </c>
      <c r="J31" s="7"/>
      <c r="K31" s="7">
        <f t="shared" si="7"/>
        <v>30</v>
      </c>
      <c r="L31" s="7">
        <f>IF('SCH N'!$D62&lt;=15,ROUND('SCH N'!$D62*PRO_DS_DEM_1,2),ROUND(15*PRO_DS_DEM_1,2))</f>
        <v>0</v>
      </c>
      <c r="M31" s="7">
        <f>IF('SCH N'!$D62&lt;=15,0,ROUND(('SCH N'!$D62-15)*PRO_DS_DEM_3,2))</f>
        <v>562.79999999999995</v>
      </c>
      <c r="N31" s="16">
        <v>0</v>
      </c>
      <c r="O31" s="7">
        <f>IF('SCH N'!$E62&lt;=6000,ROUND('SCH N'!$E62*(PRO_DS_KWH_1),2),ROUND(6000*(PRO_DS_KWH_1),2))</f>
        <v>547.42999999999995</v>
      </c>
      <c r="P31" s="7">
        <f>IF('SCH N'!$E62&lt;=6000,0,IF(('SCH N'!$D62*300)&lt;=('SCH N'!$E62-6000),ROUND(('SCH N'!$D62*300)*(PRO_DS_KWH_2),2),ROUND(('SCH N'!$E62-6000)*(PRO_DS_KWH_2),2)))</f>
        <v>784.11</v>
      </c>
      <c r="Q31" s="7">
        <f>IF('SCH N'!$E62&lt;=(6000+('SCH N'!$D62*300)),0,ROUND(('SCH N'!$E62-(6000+('SCH N'!$D62*300)))*(PRO_DS_KWH_3),2))</f>
        <v>0</v>
      </c>
      <c r="R31" s="7">
        <f t="shared" si="5"/>
        <v>1924.3400000000001</v>
      </c>
    </row>
    <row r="32" spans="1:18" x14ac:dyDescent="0.2">
      <c r="B32" s="7">
        <f t="shared" si="6"/>
        <v>34.28</v>
      </c>
      <c r="C32" s="7">
        <f>IF('SCH N'!$D63&lt;=15,ROUND('SCH N'!$D63*CUR_DS_DEM_1,2),ROUND(15*CUR_DS_DEM_1,2))</f>
        <v>0</v>
      </c>
      <c r="D32" s="7">
        <f>IF('SCH N'!$D63&lt;=15,0,ROUND(('SCH N'!$D63-15)*CUR_DS_DEM_3,2))</f>
        <v>495</v>
      </c>
      <c r="E32" s="16">
        <v>0</v>
      </c>
      <c r="F32" s="7">
        <f>IF('SCH N'!$E63&lt;=6000,ROUND('SCH N'!$E63*(CUR_DS_KWH_1),2),ROUND(6000*(CUR_DS_KWH_1),2))</f>
        <v>481.2</v>
      </c>
      <c r="G32" s="7">
        <f>IF('SCH N'!$E63&lt;=6000,0,IF(('SCH N'!$D63*300)&lt;=('SCH N'!$E63-6000),ROUND(('SCH N'!$D63*300)*(CUR_DS_KWH_2),2),ROUND(('SCH N'!$E63-6000)*(CUR_DS_KWH_2),2)))</f>
        <v>1107.72</v>
      </c>
      <c r="H32" s="7">
        <f>IF('SCH N'!$E63&lt;=(6000+('SCH N'!$D63*300)),0,ROUND(('SCH N'!$E63-(6000+('SCH N'!$D63*300)))*(CUR_DS_KWH_3),2))</f>
        <v>60.48</v>
      </c>
      <c r="I32" s="7">
        <f t="shared" si="4"/>
        <v>2178.6799999999998</v>
      </c>
      <c r="J32" s="7"/>
      <c r="K32" s="7">
        <f t="shared" si="7"/>
        <v>30</v>
      </c>
      <c r="L32" s="7">
        <f>IF('SCH N'!$D63&lt;=15,ROUND('SCH N'!$D63*PRO_DS_DEM_1,2),ROUND(15*PRO_DS_DEM_1,2))</f>
        <v>0</v>
      </c>
      <c r="M32" s="7">
        <f>IF('SCH N'!$D63&lt;=15,0,ROUND(('SCH N'!$D63-15)*PRO_DS_DEM_3,2))</f>
        <v>562.79999999999995</v>
      </c>
      <c r="N32" s="16">
        <v>0</v>
      </c>
      <c r="O32" s="7">
        <f>IF('SCH N'!$E63&lt;=6000,ROUND('SCH N'!$E63*(PRO_DS_KWH_1),2),ROUND(6000*(PRO_DS_KWH_1),2))</f>
        <v>547.42999999999995</v>
      </c>
      <c r="P32" s="7">
        <f>IF('SCH N'!$E63&lt;=6000,0,IF(('SCH N'!$D63*300)&lt;=('SCH N'!$E63-6000),ROUND(('SCH N'!$D63*300)*(PRO_DS_KWH_2),2),ROUND(('SCH N'!$E63-6000)*(PRO_DS_KWH_2),2)))</f>
        <v>1260.18</v>
      </c>
      <c r="Q32" s="7">
        <f>IF('SCH N'!$E63&lt;=(6000+('SCH N'!$D63*300)),0,ROUND(('SCH N'!$E63-(6000+('SCH N'!$D63*300)))*(PRO_DS_KWH_3),2))</f>
        <v>68.8</v>
      </c>
      <c r="R32" s="7">
        <f t="shared" si="5"/>
        <v>2469.21</v>
      </c>
    </row>
    <row r="33" spans="1:18" x14ac:dyDescent="0.2">
      <c r="B33" s="7">
        <f t="shared" si="6"/>
        <v>34.28</v>
      </c>
      <c r="C33" s="7">
        <f>IF('SCH N'!$D64&lt;=15,ROUND('SCH N'!$D64*CUR_DS_DEM_1,2),ROUND(15*CUR_DS_DEM_1,2))</f>
        <v>0</v>
      </c>
      <c r="D33" s="7">
        <f>IF('SCH N'!$D64&lt;=15,0,ROUND(('SCH N'!$D64-15)*CUR_DS_DEM_3,2))</f>
        <v>701.25</v>
      </c>
      <c r="E33" s="16">
        <v>0</v>
      </c>
      <c r="F33" s="7">
        <f>IF('SCH N'!$E64&lt;=6000,ROUND('SCH N'!$E64*(CUR_DS_KWH_1),2),ROUND(6000*(CUR_DS_KWH_1),2))</f>
        <v>481.2</v>
      </c>
      <c r="G33" s="7">
        <f>IF('SCH N'!$E64&lt;=6000,0,IF(('SCH N'!$D64*300)&lt;=('SCH N'!$E64-6000),ROUND(('SCH N'!$D64*300)*(CUR_DS_KWH_2),2),ROUND(('SCH N'!$E64-6000)*(CUR_DS_KWH_2),2)))</f>
        <v>689.25</v>
      </c>
      <c r="H33" s="7">
        <f>IF('SCH N'!$E64&lt;=(6000+('SCH N'!$D64*300)),0,ROUND(('SCH N'!$E64-(6000+('SCH N'!$D64*300)))*(CUR_DS_KWH_3),2))</f>
        <v>0</v>
      </c>
      <c r="I33" s="7">
        <f t="shared" si="4"/>
        <v>1905.98</v>
      </c>
      <c r="J33" s="7"/>
      <c r="K33" s="7">
        <f t="shared" si="7"/>
        <v>30</v>
      </c>
      <c r="L33" s="7">
        <f>IF('SCH N'!$D64&lt;=15,ROUND('SCH N'!$D64*PRO_DS_DEM_1,2),ROUND(15*PRO_DS_DEM_1,2))</f>
        <v>0</v>
      </c>
      <c r="M33" s="7">
        <f>IF('SCH N'!$D64&lt;=15,0,ROUND(('SCH N'!$D64-15)*PRO_DS_DEM_3,2))</f>
        <v>797.3</v>
      </c>
      <c r="N33" s="16">
        <v>0</v>
      </c>
      <c r="O33" s="7">
        <f>IF('SCH N'!$E64&lt;=6000,ROUND('SCH N'!$E64*(PRO_DS_KWH_1),2),ROUND(6000*(PRO_DS_KWH_1),2))</f>
        <v>547.42999999999995</v>
      </c>
      <c r="P33" s="7">
        <f>IF('SCH N'!$E64&lt;=6000,0,IF(('SCH N'!$D64*300)&lt;=('SCH N'!$E64-6000),ROUND(('SCH N'!$D64*300)*(PRO_DS_KWH_2),2),ROUND(('SCH N'!$E64-6000)*(PRO_DS_KWH_2),2)))</f>
        <v>784.11</v>
      </c>
      <c r="Q33" s="7">
        <f>IF('SCH N'!$E64&lt;=(6000+('SCH N'!$D64*300)),0,ROUND(('SCH N'!$E64-(6000+('SCH N'!$D64*300)))*(PRO_DS_KWH_3),2))</f>
        <v>0</v>
      </c>
      <c r="R33" s="7">
        <f t="shared" si="5"/>
        <v>2158.84</v>
      </c>
    </row>
    <row r="34" spans="1:18" x14ac:dyDescent="0.2">
      <c r="B34" s="7">
        <f t="shared" si="6"/>
        <v>34.28</v>
      </c>
      <c r="C34" s="7">
        <f>IF('SCH N'!$D65&lt;=15,ROUND('SCH N'!$D65*CUR_DS_DEM_1,2),ROUND(15*CUR_DS_DEM_1,2))</f>
        <v>0</v>
      </c>
      <c r="D34" s="7">
        <f>IF('SCH N'!$D65&lt;=15,0,ROUND(('SCH N'!$D65-15)*CUR_DS_DEM_3,2))</f>
        <v>701.25</v>
      </c>
      <c r="E34" s="16">
        <v>0</v>
      </c>
      <c r="F34" s="7">
        <f>IF('SCH N'!$E65&lt;=6000,ROUND('SCH N'!$E65*(CUR_DS_KWH_1),2),ROUND(6000*(CUR_DS_KWH_1),2))</f>
        <v>481.2</v>
      </c>
      <c r="G34" s="7">
        <f>IF('SCH N'!$E65&lt;=6000,0,IF(('SCH N'!$D65*300)&lt;=('SCH N'!$E65-6000),ROUND(('SCH N'!$D65*300)*(CUR_DS_KWH_2),2),ROUND(('SCH N'!$E65-6000)*(CUR_DS_KWH_2),2)))</f>
        <v>1181.57</v>
      </c>
      <c r="H34" s="7">
        <f>IF('SCH N'!$E65&lt;=(6000+('SCH N'!$D65*300)),0,ROUND(('SCH N'!$E65-(6000+('SCH N'!$D65*300)))*(CUR_DS_KWH_3),2))</f>
        <v>0</v>
      </c>
      <c r="I34" s="7">
        <f t="shared" si="4"/>
        <v>2398.3000000000002</v>
      </c>
      <c r="J34" s="7"/>
      <c r="K34" s="7">
        <f t="shared" si="7"/>
        <v>30</v>
      </c>
      <c r="L34" s="7">
        <f>IF('SCH N'!$D65&lt;=15,ROUND('SCH N'!$D65*PRO_DS_DEM_1,2),ROUND(15*PRO_DS_DEM_1,2))</f>
        <v>0</v>
      </c>
      <c r="M34" s="7">
        <f>IF('SCH N'!$D65&lt;=15,0,ROUND(('SCH N'!$D65-15)*PRO_DS_DEM_3,2))</f>
        <v>797.3</v>
      </c>
      <c r="N34" s="16">
        <v>0</v>
      </c>
      <c r="O34" s="7">
        <f>IF('SCH N'!$E65&lt;=6000,ROUND('SCH N'!$E65*(PRO_DS_KWH_1),2),ROUND(6000*(PRO_DS_KWH_1),2))</f>
        <v>547.42999999999995</v>
      </c>
      <c r="P34" s="7">
        <f>IF('SCH N'!$E65&lt;=6000,0,IF(('SCH N'!$D65*300)&lt;=('SCH N'!$E65-6000),ROUND(('SCH N'!$D65*300)*(PRO_DS_KWH_2),2),ROUND(('SCH N'!$E65-6000)*(PRO_DS_KWH_2),2)))</f>
        <v>1344.19</v>
      </c>
      <c r="Q34" s="7">
        <f>IF('SCH N'!$E65&lt;=(6000+('SCH N'!$D65*300)),0,ROUND(('SCH N'!$E65-(6000+('SCH N'!$D65*300)))*(PRO_DS_KWH_3),2))</f>
        <v>0</v>
      </c>
      <c r="R34" s="7">
        <f t="shared" si="5"/>
        <v>2718.92</v>
      </c>
    </row>
    <row r="35" spans="1:18" x14ac:dyDescent="0.2">
      <c r="B35" s="7">
        <f t="shared" si="6"/>
        <v>34.28</v>
      </c>
      <c r="C35" s="7">
        <f>IF('SCH N'!$D66&lt;=15,ROUND('SCH N'!$D66*CUR_DS_DEM_1,2),ROUND(15*CUR_DS_DEM_1,2))</f>
        <v>0</v>
      </c>
      <c r="D35" s="7">
        <f>IF('SCH N'!$D66&lt;=15,0,ROUND(('SCH N'!$D66-15)*CUR_DS_DEM_3,2))</f>
        <v>701.25</v>
      </c>
      <c r="E35" s="16">
        <v>0</v>
      </c>
      <c r="F35" s="7">
        <f>IF('SCH N'!$E66&lt;=6000,ROUND('SCH N'!$E66*(CUR_DS_KWH_1),2),ROUND(6000*(CUR_DS_KWH_1),2))</f>
        <v>481.2</v>
      </c>
      <c r="G35" s="7">
        <f>IF('SCH N'!$E66&lt;=6000,0,IF(('SCH N'!$D66*300)&lt;=('SCH N'!$E66-6000),ROUND(('SCH N'!$D66*300)*(CUR_DS_KWH_2),2),ROUND(('SCH N'!$E66-6000)*(CUR_DS_KWH_2),2)))</f>
        <v>1476.96</v>
      </c>
      <c r="H35" s="7">
        <f>IF('SCH N'!$E66&lt;=(6000+('SCH N'!$D66*300)),0,ROUND(('SCH N'!$E66-(6000+('SCH N'!$D66*300)))*(CUR_DS_KWH_3),2))</f>
        <v>161.27000000000001</v>
      </c>
      <c r="I35" s="7">
        <f t="shared" si="4"/>
        <v>2854.96</v>
      </c>
      <c r="J35" s="7"/>
      <c r="K35" s="7">
        <f t="shared" si="7"/>
        <v>30</v>
      </c>
      <c r="L35" s="7">
        <f>IF('SCH N'!$D66&lt;=15,ROUND('SCH N'!$D66*PRO_DS_DEM_1,2),ROUND(15*PRO_DS_DEM_1,2))</f>
        <v>0</v>
      </c>
      <c r="M35" s="7">
        <f>IF('SCH N'!$D66&lt;=15,0,ROUND(('SCH N'!$D66-15)*PRO_DS_DEM_3,2))</f>
        <v>797.3</v>
      </c>
      <c r="N35" s="16">
        <v>0</v>
      </c>
      <c r="O35" s="7">
        <f>IF('SCH N'!$E66&lt;=6000,ROUND('SCH N'!$E66*(PRO_DS_KWH_1),2),ROUND(6000*(PRO_DS_KWH_1),2))</f>
        <v>547.42999999999995</v>
      </c>
      <c r="P35" s="7">
        <f>IF('SCH N'!$E66&lt;=6000,0,IF(('SCH N'!$D66*300)&lt;=('SCH N'!$E66-6000),ROUND(('SCH N'!$D66*300)*(PRO_DS_KWH_2),2),ROUND(('SCH N'!$E66-6000)*(PRO_DS_KWH_2),2)))</f>
        <v>1680.24</v>
      </c>
      <c r="Q35" s="7">
        <f>IF('SCH N'!$E66&lt;=(6000+('SCH N'!$D66*300)),0,ROUND(('SCH N'!$E66-(6000+('SCH N'!$D66*300)))*(PRO_DS_KWH_3),2))</f>
        <v>183.46</v>
      </c>
      <c r="R35" s="7">
        <f t="shared" si="5"/>
        <v>3238.4300000000003</v>
      </c>
    </row>
    <row r="36" spans="1:18" x14ac:dyDescent="0.2">
      <c r="B36" s="7">
        <f t="shared" si="6"/>
        <v>34.28</v>
      </c>
      <c r="C36" s="7">
        <f>IF('SCH N'!$D67&lt;=15,ROUND('SCH N'!$D67*CUR_DS_DEM_1,2),ROUND(15*CUR_DS_DEM_1,2))</f>
        <v>0</v>
      </c>
      <c r="D36" s="7">
        <f>IF('SCH N'!$D67&lt;=15,0,ROUND(('SCH N'!$D67-15)*CUR_DS_DEM_3,2))</f>
        <v>2351.25</v>
      </c>
      <c r="E36" s="16">
        <v>0</v>
      </c>
      <c r="F36" s="7">
        <f>IF('SCH N'!$E67&lt;=6000,ROUND('SCH N'!$E67*(CUR_DS_KWH_1),2),ROUND(6000*(CUR_DS_KWH_1),2))</f>
        <v>481.2</v>
      </c>
      <c r="G36" s="7">
        <f>IF('SCH N'!$E67&lt;=6000,0,IF(('SCH N'!$D67*300)&lt;=('SCH N'!$E67-6000),ROUND(('SCH N'!$D67*300)*(CUR_DS_KWH_2),2),ROUND(('SCH N'!$E67-6000)*(CUR_DS_KWH_2),2)))</f>
        <v>2658.53</v>
      </c>
      <c r="H36" s="7">
        <f>IF('SCH N'!$E67&lt;=(6000+('SCH N'!$D67*300)),0,ROUND(('SCH N'!$E67-(6000+('SCH N'!$D67*300)))*(CUR_DS_KWH_3),2))</f>
        <v>0</v>
      </c>
      <c r="I36" s="7">
        <f t="shared" si="4"/>
        <v>5525.26</v>
      </c>
      <c r="J36" s="7"/>
      <c r="K36" s="7">
        <f t="shared" si="7"/>
        <v>30</v>
      </c>
      <c r="L36" s="7">
        <f>IF('SCH N'!$D67&lt;=15,ROUND('SCH N'!$D67*PRO_DS_DEM_1,2),ROUND(15*PRO_DS_DEM_1,2))</f>
        <v>0</v>
      </c>
      <c r="M36" s="7">
        <f>IF('SCH N'!$D67&lt;=15,0,ROUND(('SCH N'!$D67-15)*PRO_DS_DEM_3,2))</f>
        <v>2673.3</v>
      </c>
      <c r="N36" s="16">
        <v>0</v>
      </c>
      <c r="O36" s="7">
        <f>IF('SCH N'!$E67&lt;=6000,ROUND('SCH N'!$E67*(PRO_DS_KWH_1),2),ROUND(6000*(PRO_DS_KWH_1),2))</f>
        <v>547.42999999999995</v>
      </c>
      <c r="P36" s="7">
        <f>IF('SCH N'!$E67&lt;=6000,0,IF(('SCH N'!$D67*300)&lt;=('SCH N'!$E67-6000),ROUND(('SCH N'!$D67*300)*(PRO_DS_KWH_2),2),ROUND(('SCH N'!$E67-6000)*(PRO_DS_KWH_2),2)))</f>
        <v>3024.43</v>
      </c>
      <c r="Q36" s="7">
        <f>IF('SCH N'!$E67&lt;=(6000+('SCH N'!$D67*300)),0,ROUND(('SCH N'!$E67-(6000+('SCH N'!$D67*300)))*(PRO_DS_KWH_3),2))</f>
        <v>0</v>
      </c>
      <c r="R36" s="7">
        <f t="shared" si="5"/>
        <v>6275.16</v>
      </c>
    </row>
    <row r="37" spans="1:18" x14ac:dyDescent="0.2">
      <c r="B37" s="7">
        <f t="shared" si="6"/>
        <v>34.28</v>
      </c>
      <c r="C37" s="7">
        <f>IF('SCH N'!$D68&lt;=15,ROUND('SCH N'!$D68*CUR_DS_DEM_1,2),ROUND(15*CUR_DS_DEM_1,2))</f>
        <v>0</v>
      </c>
      <c r="D37" s="7">
        <f>IF('SCH N'!$D68&lt;=15,0,ROUND(('SCH N'!$D68-15)*CUR_DS_DEM_3,2))</f>
        <v>2351.25</v>
      </c>
      <c r="E37" s="16">
        <v>0</v>
      </c>
      <c r="F37" s="7">
        <f>IF('SCH N'!$E68&lt;=6000,ROUND('SCH N'!$E68*(CUR_DS_KWH_1),2),ROUND(6000*(CUR_DS_KWH_1),2))</f>
        <v>481.2</v>
      </c>
      <c r="G37" s="7">
        <f>IF('SCH N'!$E68&lt;=6000,0,IF(('SCH N'!$D68*300)&lt;=('SCH N'!$E68-6000),ROUND(('SCH N'!$D68*300)*(CUR_DS_KWH_2),2),ROUND(('SCH N'!$E68-6000)*(CUR_DS_KWH_2),2)))</f>
        <v>4135.49</v>
      </c>
      <c r="H37" s="7">
        <f>IF('SCH N'!$E68&lt;=(6000+('SCH N'!$D68*300)),0,ROUND(('SCH N'!$E68-(6000+('SCH N'!$D68*300)))*(CUR_DS_KWH_3),2))</f>
        <v>0</v>
      </c>
      <c r="I37" s="7">
        <f t="shared" si="4"/>
        <v>7002.2199999999993</v>
      </c>
      <c r="J37" s="7"/>
      <c r="K37" s="7">
        <f t="shared" si="7"/>
        <v>30</v>
      </c>
      <c r="L37" s="7">
        <f>IF('SCH N'!$D68&lt;=15,ROUND('SCH N'!$D68*PRO_DS_DEM_1,2),ROUND(15*PRO_DS_DEM_1,2))</f>
        <v>0</v>
      </c>
      <c r="M37" s="7">
        <f>IF('SCH N'!$D68&lt;=15,0,ROUND(('SCH N'!$D68-15)*PRO_DS_DEM_3,2))</f>
        <v>2673.3</v>
      </c>
      <c r="N37" s="16">
        <v>0</v>
      </c>
      <c r="O37" s="7">
        <f>IF('SCH N'!$E68&lt;=6000,ROUND('SCH N'!$E68*(PRO_DS_KWH_1),2),ROUND(6000*(PRO_DS_KWH_1),2))</f>
        <v>547.42999999999995</v>
      </c>
      <c r="P37" s="7">
        <f>IF('SCH N'!$E68&lt;=6000,0,IF(('SCH N'!$D68*300)&lt;=('SCH N'!$E68-6000),ROUND(('SCH N'!$D68*300)*(PRO_DS_KWH_2),2),ROUND(('SCH N'!$E68-6000)*(PRO_DS_KWH_2),2)))</f>
        <v>4704.67</v>
      </c>
      <c r="Q37" s="7">
        <f>IF('SCH N'!$E68&lt;=(6000+('SCH N'!$D68*300)),0,ROUND(('SCH N'!$E68-(6000+('SCH N'!$D68*300)))*(PRO_DS_KWH_3),2))</f>
        <v>0</v>
      </c>
      <c r="R37" s="7">
        <f t="shared" si="5"/>
        <v>7955.4</v>
      </c>
    </row>
    <row r="38" spans="1:18" x14ac:dyDescent="0.2">
      <c r="B38" s="7">
        <f t="shared" si="6"/>
        <v>34.28</v>
      </c>
      <c r="C38" s="7">
        <f>IF('SCH N'!$D69&lt;=15,ROUND('SCH N'!$D69*CUR_DS_DEM_1,2),ROUND(15*CUR_DS_DEM_1,2))</f>
        <v>0</v>
      </c>
      <c r="D38" s="7">
        <f>IF('SCH N'!$D69&lt;=15,0,ROUND(('SCH N'!$D69-15)*CUR_DS_DEM_3,2))</f>
        <v>2351.25</v>
      </c>
      <c r="E38" s="16">
        <v>0</v>
      </c>
      <c r="F38" s="7">
        <f>IF('SCH N'!$E69&lt;=6000,ROUND('SCH N'!$E69*(CUR_DS_KWH_1),2),ROUND(6000*(CUR_DS_KWH_1),2))</f>
        <v>481.2</v>
      </c>
      <c r="G38" s="7">
        <f>IF('SCH N'!$E69&lt;=6000,0,IF(('SCH N'!$D69*300)&lt;=('SCH N'!$E69-6000),ROUND(('SCH N'!$D69*300)*(CUR_DS_KWH_2),2),ROUND(('SCH N'!$E69-6000)*(CUR_DS_KWH_2),2)))</f>
        <v>4430.88</v>
      </c>
      <c r="H38" s="7">
        <f>IF('SCH N'!$E69&lt;=(6000+('SCH N'!$D69*300)),0,ROUND(('SCH N'!$E69-(6000+('SCH N'!$D69*300)))*(CUR_DS_KWH_3),2))</f>
        <v>967.61</v>
      </c>
      <c r="I38" s="7">
        <f t="shared" si="4"/>
        <v>8265.2200000000012</v>
      </c>
      <c r="J38" s="7"/>
      <c r="K38" s="7">
        <f t="shared" si="7"/>
        <v>30</v>
      </c>
      <c r="L38" s="7">
        <f>IF('SCH N'!$D69&lt;=15,ROUND('SCH N'!$D69*PRO_DS_DEM_1,2),ROUND(15*PRO_DS_DEM_1,2))</f>
        <v>0</v>
      </c>
      <c r="M38" s="7">
        <f>IF('SCH N'!$D69&lt;=15,0,ROUND(('SCH N'!$D69-15)*PRO_DS_DEM_3,2))</f>
        <v>2673.3</v>
      </c>
      <c r="N38" s="16">
        <v>0</v>
      </c>
      <c r="O38" s="7">
        <f>IF('SCH N'!$E69&lt;=6000,ROUND('SCH N'!$E69*(PRO_DS_KWH_1),2),ROUND(6000*(PRO_DS_KWH_1),2))</f>
        <v>547.42999999999995</v>
      </c>
      <c r="P38" s="7">
        <f>IF('SCH N'!$E69&lt;=6000,0,IF(('SCH N'!$D69*300)&lt;=('SCH N'!$E69-6000),ROUND(('SCH N'!$D69*300)*(PRO_DS_KWH_2),2),ROUND(('SCH N'!$E69-6000)*(PRO_DS_KWH_2),2)))</f>
        <v>5040.72</v>
      </c>
      <c r="Q38" s="7">
        <f>IF('SCH N'!$E69&lt;=(6000+('SCH N'!$D69*300)),0,ROUND(('SCH N'!$E69-(6000+('SCH N'!$D69*300)))*(PRO_DS_KWH_3),2))</f>
        <v>1100.78</v>
      </c>
      <c r="R38" s="7">
        <f t="shared" si="5"/>
        <v>9392.2300000000014</v>
      </c>
    </row>
    <row r="39" spans="1:18" x14ac:dyDescent="0.2">
      <c r="B39" s="7">
        <f t="shared" si="6"/>
        <v>34.28</v>
      </c>
      <c r="C39" s="7">
        <f>IF('SCH N'!$D70&lt;=15,ROUND('SCH N'!$D70*CUR_DS_DEM_1,2),ROUND(15*CUR_DS_DEM_1,2))</f>
        <v>0</v>
      </c>
      <c r="D39" s="7">
        <f>IF('SCH N'!$D70&lt;=15,0,ROUND(('SCH N'!$D70-15)*CUR_DS_DEM_3,2))</f>
        <v>4001.25</v>
      </c>
      <c r="E39" s="16">
        <v>0</v>
      </c>
      <c r="F39" s="7">
        <f>IF('SCH N'!$E70&lt;=6000,ROUND('SCH N'!$E70*(CUR_DS_KWH_1),2),ROUND(6000*(CUR_DS_KWH_1),2))</f>
        <v>481.2</v>
      </c>
      <c r="G39" s="7">
        <f>IF('SCH N'!$E70&lt;=6000,0,IF(('SCH N'!$D70*300)&lt;=('SCH N'!$E70-6000),ROUND(('SCH N'!$D70*300)*(CUR_DS_KWH_2),2),ROUND(('SCH N'!$E70-6000)*(CUR_DS_KWH_2),2)))</f>
        <v>4627.8100000000004</v>
      </c>
      <c r="H39" s="7">
        <f>IF('SCH N'!$E70&lt;=(6000+('SCH N'!$D70*300)),0,ROUND(('SCH N'!$E70-(6000+('SCH N'!$D70*300)))*(CUR_DS_KWH_3),2))</f>
        <v>0</v>
      </c>
      <c r="I39" s="7">
        <f t="shared" si="4"/>
        <v>9144.5400000000009</v>
      </c>
      <c r="J39" s="7"/>
      <c r="K39" s="7">
        <f t="shared" si="7"/>
        <v>30</v>
      </c>
      <c r="L39" s="7">
        <f>IF('SCH N'!$D70&lt;=15,ROUND('SCH N'!$D70*PRO_DS_DEM_1,2),ROUND(15*PRO_DS_DEM_1,2))</f>
        <v>0</v>
      </c>
      <c r="M39" s="7">
        <f>IF('SCH N'!$D70&lt;=15,0,ROUND(('SCH N'!$D70-15)*PRO_DS_DEM_3,2))</f>
        <v>4549.3</v>
      </c>
      <c r="N39" s="16">
        <v>0</v>
      </c>
      <c r="O39" s="7">
        <f>IF('SCH N'!$E70&lt;=6000,ROUND('SCH N'!$E70*(PRO_DS_KWH_1),2),ROUND(6000*(PRO_DS_KWH_1),2))</f>
        <v>547.42999999999995</v>
      </c>
      <c r="P39" s="7">
        <f>IF('SCH N'!$E70&lt;=6000,0,IF(('SCH N'!$D70*300)&lt;=('SCH N'!$E70-6000),ROUND(('SCH N'!$D70*300)*(PRO_DS_KWH_2),2),ROUND(('SCH N'!$E70-6000)*(PRO_DS_KWH_2),2)))</f>
        <v>5264.75</v>
      </c>
      <c r="Q39" s="7">
        <f>IF('SCH N'!$E70&lt;=(6000+('SCH N'!$D70*300)),0,ROUND(('SCH N'!$E70-(6000+('SCH N'!$D70*300)))*(PRO_DS_KWH_3),2))</f>
        <v>0</v>
      </c>
      <c r="R39" s="7">
        <f t="shared" si="5"/>
        <v>10391.48</v>
      </c>
    </row>
    <row r="40" spans="1:18" x14ac:dyDescent="0.2">
      <c r="B40" s="7">
        <f t="shared" si="6"/>
        <v>34.28</v>
      </c>
      <c r="C40" s="7">
        <f>IF('SCH N'!$D71&lt;=15,ROUND('SCH N'!$D71*CUR_DS_DEM_1,2),ROUND(15*CUR_DS_DEM_1,2))</f>
        <v>0</v>
      </c>
      <c r="D40" s="7">
        <f>IF('SCH N'!$D71&lt;=15,0,ROUND(('SCH N'!$D71-15)*CUR_DS_DEM_3,2))</f>
        <v>4001.25</v>
      </c>
      <c r="E40" s="16">
        <v>0</v>
      </c>
      <c r="F40" s="7">
        <f>IF('SCH N'!$E71&lt;=6000,ROUND('SCH N'!$E71*(CUR_DS_KWH_1),2),ROUND(6000*(CUR_DS_KWH_1),2))</f>
        <v>481.2</v>
      </c>
      <c r="G40" s="7">
        <f>IF('SCH N'!$E71&lt;=6000,0,IF(('SCH N'!$D71*300)&lt;=('SCH N'!$E71-6000),ROUND(('SCH N'!$D71*300)*(CUR_DS_KWH_2),2),ROUND(('SCH N'!$E71-6000)*(CUR_DS_KWH_2),2)))</f>
        <v>7384.8</v>
      </c>
      <c r="H40" s="7">
        <f>IF('SCH N'!$E71&lt;=(6000+('SCH N'!$D71*300)),0,ROUND(('SCH N'!$E71-(6000+('SCH N'!$D71*300)))*(CUR_DS_KWH_3),2))</f>
        <v>1773.95</v>
      </c>
      <c r="I40" s="7">
        <f t="shared" si="4"/>
        <v>13675.480000000001</v>
      </c>
      <c r="J40" s="7"/>
      <c r="K40" s="7">
        <f t="shared" si="7"/>
        <v>30</v>
      </c>
      <c r="L40" s="7">
        <f>IF('SCH N'!$D71&lt;=15,ROUND('SCH N'!$D71*PRO_DS_DEM_1,2),ROUND(15*PRO_DS_DEM_1,2))</f>
        <v>0</v>
      </c>
      <c r="M40" s="7">
        <f>IF('SCH N'!$D71&lt;=15,0,ROUND(('SCH N'!$D71-15)*PRO_DS_DEM_3,2))</f>
        <v>4549.3</v>
      </c>
      <c r="N40" s="16">
        <v>0</v>
      </c>
      <c r="O40" s="7">
        <f>IF('SCH N'!$E71&lt;=6000,ROUND('SCH N'!$E71*(PRO_DS_KWH_1),2),ROUND(6000*(PRO_DS_KWH_1),2))</f>
        <v>547.42999999999995</v>
      </c>
      <c r="P40" s="7">
        <f>IF('SCH N'!$E71&lt;=6000,0,IF(('SCH N'!$D71*300)&lt;=('SCH N'!$E71-6000),ROUND(('SCH N'!$D71*300)*(PRO_DS_KWH_2),2),ROUND(('SCH N'!$E71-6000)*(PRO_DS_KWH_2),2)))</f>
        <v>8401.2000000000007</v>
      </c>
      <c r="Q40" s="7">
        <f>IF('SCH N'!$E71&lt;=(6000+('SCH N'!$D71*300)),0,ROUND(('SCH N'!$E71-(6000+('SCH N'!$D71*300)))*(PRO_DS_KWH_3),2))</f>
        <v>2018.1</v>
      </c>
      <c r="R40" s="7">
        <f t="shared" si="5"/>
        <v>15546.03</v>
      </c>
    </row>
    <row r="41" spans="1:18" x14ac:dyDescent="0.2">
      <c r="B41" s="7">
        <f t="shared" si="6"/>
        <v>34.28</v>
      </c>
      <c r="C41" s="7">
        <f>IF('SCH N'!$D72&lt;=15,ROUND('SCH N'!$D72*CUR_DS_DEM_1,2),ROUND(15*CUR_DS_DEM_1,2))</f>
        <v>0</v>
      </c>
      <c r="D41" s="7">
        <f>IF('SCH N'!$D72&lt;=15,0,ROUND(('SCH N'!$D72-15)*CUR_DS_DEM_3,2))</f>
        <v>4001.25</v>
      </c>
      <c r="E41" s="16">
        <v>0</v>
      </c>
      <c r="F41" s="7">
        <f>IF('SCH N'!$E72&lt;=6000,ROUND('SCH N'!$E72*(CUR_DS_KWH_1),2),ROUND(6000*(CUR_DS_KWH_1),2))</f>
        <v>481.2</v>
      </c>
      <c r="G41" s="7">
        <f>IF('SCH N'!$E72&lt;=6000,0,IF(('SCH N'!$D72*300)&lt;=('SCH N'!$E72-6000),ROUND(('SCH N'!$D72*300)*(CUR_DS_KWH_2),2),ROUND(('SCH N'!$E72-6000)*(CUR_DS_KWH_2),2)))</f>
        <v>7384.8</v>
      </c>
      <c r="H41" s="7">
        <f>IF('SCH N'!$E72&lt;=(6000+('SCH N'!$D72*300)),0,ROUND(('SCH N'!$E72-(6000+('SCH N'!$D72*300)))*(CUR_DS_KWH_3),2))</f>
        <v>5805.65</v>
      </c>
      <c r="I41" s="7">
        <f t="shared" si="4"/>
        <v>17707.18</v>
      </c>
      <c r="J41" s="7"/>
      <c r="K41" s="7">
        <f t="shared" si="7"/>
        <v>30</v>
      </c>
      <c r="L41" s="7">
        <f>IF('SCH N'!$D72&lt;=15,ROUND('SCH N'!$D72*PRO_DS_DEM_1,2),ROUND(15*PRO_DS_DEM_1,2))</f>
        <v>0</v>
      </c>
      <c r="M41" s="7">
        <f>IF('SCH N'!$D72&lt;=15,0,ROUND(('SCH N'!$D72-15)*PRO_DS_DEM_3,2))</f>
        <v>4549.3</v>
      </c>
      <c r="N41" s="16">
        <v>0</v>
      </c>
      <c r="O41" s="7">
        <f>IF('SCH N'!$E72&lt;=6000,ROUND('SCH N'!$E72*(PRO_DS_KWH_1),2),ROUND(6000*(PRO_DS_KWH_1),2))</f>
        <v>547.42999999999995</v>
      </c>
      <c r="P41" s="7">
        <f>IF('SCH N'!$E72&lt;=6000,0,IF(('SCH N'!$D72*300)&lt;=('SCH N'!$E72-6000),ROUND(('SCH N'!$D72*300)*(PRO_DS_KWH_2),2),ROUND(('SCH N'!$E72-6000)*(PRO_DS_KWH_2),2)))</f>
        <v>8401.2000000000007</v>
      </c>
      <c r="Q41" s="7">
        <f>IF('SCH N'!$E72&lt;=(6000+('SCH N'!$D72*300)),0,ROUND(('SCH N'!$E72-(6000+('SCH N'!$D72*300)))*(PRO_DS_KWH_3),2))</f>
        <v>6604.7</v>
      </c>
      <c r="R41" s="7">
        <f t="shared" si="5"/>
        <v>20132.63</v>
      </c>
    </row>
    <row r="42" spans="1:18" s="18" customFormat="1" x14ac:dyDescent="0.2">
      <c r="B42" s="19"/>
      <c r="C42" s="19"/>
      <c r="D42" s="19"/>
      <c r="E42" s="20"/>
      <c r="F42" s="19"/>
      <c r="G42" s="19"/>
      <c r="H42" s="19"/>
      <c r="I42" s="19"/>
      <c r="J42" s="19"/>
      <c r="K42" s="19"/>
      <c r="L42" s="19"/>
      <c r="M42" s="19"/>
      <c r="N42" s="20"/>
      <c r="O42" s="19"/>
      <c r="P42" s="19"/>
      <c r="Q42" s="19"/>
      <c r="R42" s="19"/>
    </row>
    <row r="43" spans="1:18" ht="15.75" x14ac:dyDescent="0.25">
      <c r="B43" s="15" t="s">
        <v>185</v>
      </c>
      <c r="C43" s="12"/>
      <c r="D43" s="13"/>
      <c r="E43" s="13"/>
      <c r="F43" s="13"/>
      <c r="G43" s="13"/>
      <c r="H43" s="12"/>
      <c r="I43" s="12"/>
      <c r="J43" s="7"/>
      <c r="K43" s="15" t="s">
        <v>186</v>
      </c>
      <c r="L43" s="12"/>
      <c r="M43" s="13"/>
      <c r="N43" s="13"/>
      <c r="O43" s="13"/>
      <c r="P43" s="13"/>
      <c r="Q43" s="12"/>
      <c r="R43" s="12"/>
    </row>
    <row r="44" spans="1:18" x14ac:dyDescent="0.2">
      <c r="B44" s="14" t="s">
        <v>128</v>
      </c>
      <c r="C44" s="7"/>
      <c r="D44" s="7"/>
      <c r="E44" s="7"/>
      <c r="F44" s="14" t="s">
        <v>129</v>
      </c>
      <c r="G44" s="17"/>
      <c r="H44" s="7"/>
      <c r="I44" s="14" t="s">
        <v>11</v>
      </c>
      <c r="J44" s="7"/>
      <c r="K44" s="14" t="s">
        <v>128</v>
      </c>
      <c r="L44" s="7"/>
      <c r="M44" s="7"/>
      <c r="N44" s="7"/>
      <c r="O44" s="14" t="s">
        <v>129</v>
      </c>
      <c r="P44" s="17"/>
      <c r="Q44" s="7"/>
      <c r="R44" s="14" t="s">
        <v>11</v>
      </c>
    </row>
    <row r="45" spans="1:18" x14ac:dyDescent="0.2">
      <c r="A45" s="2" t="s">
        <v>100</v>
      </c>
      <c r="B45" s="7">
        <f>CUR_EH_CST_2</f>
        <v>34.28</v>
      </c>
      <c r="C45" s="7"/>
      <c r="D45" s="7"/>
      <c r="E45" s="7"/>
      <c r="F45" s="7">
        <f>ROUND('SCH N'!E75*(CUR_EH_KWH_1),2)</f>
        <v>584.70000000000005</v>
      </c>
      <c r="G45" s="17"/>
      <c r="H45" s="7"/>
      <c r="I45" s="7">
        <f>SUM(B45:H45)</f>
        <v>618.98</v>
      </c>
      <c r="J45" s="7"/>
      <c r="K45" s="7">
        <f>PRO_EH_CST_2</f>
        <v>30</v>
      </c>
      <c r="L45" s="7"/>
      <c r="M45" s="7"/>
      <c r="N45" s="7"/>
      <c r="O45" s="7">
        <f>ROUND('SCH N'!E75*(PRO_EH_KWH_1),2)</f>
        <v>662.53</v>
      </c>
      <c r="P45" s="17"/>
      <c r="Q45" s="7"/>
      <c r="R45" s="7">
        <f>SUM(K45:Q45)</f>
        <v>692.53</v>
      </c>
    </row>
    <row r="46" spans="1:18" x14ac:dyDescent="0.2">
      <c r="B46" s="7">
        <f>CUR_EH_CST_2</f>
        <v>34.28</v>
      </c>
      <c r="C46" s="7"/>
      <c r="D46" s="7"/>
      <c r="E46" s="7"/>
      <c r="F46" s="7">
        <f>ROUND('SCH N'!E76*(CUR_EH_KWH_1),2)</f>
        <v>1467.97</v>
      </c>
      <c r="G46" s="17"/>
      <c r="H46" s="7"/>
      <c r="I46" s="7">
        <f>SUM(B46:H46)</f>
        <v>1502.25</v>
      </c>
      <c r="J46" s="7"/>
      <c r="K46" s="7">
        <f>PRO_EH_CST_2</f>
        <v>30</v>
      </c>
      <c r="L46" s="7"/>
      <c r="M46" s="7"/>
      <c r="N46" s="7"/>
      <c r="O46" s="7">
        <f>ROUND('SCH N'!E76*(PRO_EH_KWH_1),2)</f>
        <v>1663.38</v>
      </c>
      <c r="P46" s="17"/>
      <c r="Q46" s="7"/>
      <c r="R46" s="7">
        <f>SUM(K46:Q46)</f>
        <v>1693.38</v>
      </c>
    </row>
    <row r="47" spans="1:18" x14ac:dyDescent="0.2">
      <c r="B47" s="7">
        <f>CUR_EH_CST_2</f>
        <v>34.28</v>
      </c>
      <c r="C47" s="7"/>
      <c r="D47" s="7"/>
      <c r="E47" s="7"/>
      <c r="F47" s="7">
        <f>ROUND('SCH N'!E77*(CUR_EH_KWH_1),2)</f>
        <v>2351.2399999999998</v>
      </c>
      <c r="G47" s="17"/>
      <c r="H47" s="7"/>
      <c r="I47" s="7">
        <f>SUM(B47:H47)</f>
        <v>2385.52</v>
      </c>
      <c r="J47" s="7"/>
      <c r="K47" s="7">
        <f>PRO_EH_CST_2</f>
        <v>30</v>
      </c>
      <c r="L47" s="7"/>
      <c r="M47" s="7"/>
      <c r="N47" s="7"/>
      <c r="O47" s="7">
        <f>ROUND('SCH N'!E77*(PRO_EH_KWH_1),2)</f>
        <v>2664.22</v>
      </c>
      <c r="P47" s="17"/>
      <c r="Q47" s="7"/>
      <c r="R47" s="7">
        <f>SUM(K47:Q47)</f>
        <v>2694.22</v>
      </c>
    </row>
    <row r="48" spans="1:18" s="18" customFormat="1" x14ac:dyDescent="0.2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</row>
    <row r="49" spans="2:14" ht="15.75" x14ac:dyDescent="0.25">
      <c r="B49" s="15"/>
      <c r="C49" s="13"/>
      <c r="D49" s="13"/>
      <c r="E49" s="13"/>
      <c r="F49" s="12"/>
      <c r="H49" s="15"/>
      <c r="I49" s="13"/>
      <c r="J49" s="13"/>
      <c r="K49" s="13"/>
      <c r="L49" s="12"/>
    </row>
    <row r="50" spans="2:14" x14ac:dyDescent="0.2">
      <c r="C50" s="4"/>
      <c r="D50" s="4"/>
      <c r="I50" s="4"/>
      <c r="J50" s="4"/>
    </row>
    <row r="51" spans="2:14" x14ac:dyDescent="0.2">
      <c r="B51" s="4"/>
      <c r="C51" s="4"/>
      <c r="D51" s="4"/>
      <c r="E51" s="4"/>
      <c r="F51" s="4"/>
      <c r="H51" s="4"/>
      <c r="I51" s="4"/>
      <c r="J51" s="4"/>
      <c r="K51" s="4"/>
      <c r="L51" s="4"/>
    </row>
    <row r="52" spans="2:14" x14ac:dyDescent="0.2">
      <c r="B52" s="11"/>
      <c r="C52" s="11"/>
      <c r="D52" s="11"/>
      <c r="E52" s="11"/>
      <c r="F52" s="11"/>
      <c r="H52" s="11"/>
      <c r="I52" s="11"/>
      <c r="J52" s="11"/>
      <c r="K52" s="11"/>
      <c r="L52" s="11"/>
    </row>
    <row r="53" spans="2:14" x14ac:dyDescent="0.2">
      <c r="B53" s="219"/>
      <c r="C53" s="7"/>
      <c r="D53" s="7"/>
      <c r="E53" s="7"/>
      <c r="F53" s="7"/>
      <c r="G53" s="7"/>
      <c r="H53" s="7"/>
      <c r="I53" s="7"/>
      <c r="J53" s="7"/>
      <c r="K53" s="7"/>
      <c r="L53" s="7"/>
    </row>
    <row r="54" spans="2:14" x14ac:dyDescent="0.2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</row>
    <row r="55" spans="2:14" x14ac:dyDescent="0.2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</row>
    <row r="56" spans="2:14" x14ac:dyDescent="0.2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</row>
    <row r="57" spans="2:14" x14ac:dyDescent="0.2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</row>
    <row r="58" spans="2:14" x14ac:dyDescent="0.2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</row>
    <row r="59" spans="2:14" x14ac:dyDescent="0.2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2:14" x14ac:dyDescent="0.2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</row>
    <row r="61" spans="2:14" x14ac:dyDescent="0.2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</row>
    <row r="62" spans="2:14" x14ac:dyDescent="0.2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2:14" x14ac:dyDescent="0.2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2:14" x14ac:dyDescent="0.2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</row>
    <row r="65" spans="2:14" x14ac:dyDescent="0.2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</row>
    <row r="66" spans="2:14" x14ac:dyDescent="0.2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</row>
    <row r="67" spans="2:14" x14ac:dyDescent="0.2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</row>
    <row r="68" spans="2:14" x14ac:dyDescent="0.2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</row>
    <row r="69" spans="2:14" x14ac:dyDescent="0.2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</row>
    <row r="70" spans="2:14" x14ac:dyDescent="0.2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</row>
    <row r="71" spans="2:14" x14ac:dyDescent="0.2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</row>
    <row r="72" spans="2:14" x14ac:dyDescent="0.2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</row>
    <row r="73" spans="2:14" x14ac:dyDescent="0.2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</row>
    <row r="74" spans="2:14" x14ac:dyDescent="0.2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</row>
    <row r="75" spans="2:14" x14ac:dyDescent="0.2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</row>
    <row r="76" spans="2:14" x14ac:dyDescent="0.2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</row>
    <row r="77" spans="2:14" x14ac:dyDescent="0.2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</row>
    <row r="78" spans="2:14" x14ac:dyDescent="0.2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</row>
    <row r="79" spans="2:14" x14ac:dyDescent="0.2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</row>
    <row r="80" spans="2:14" x14ac:dyDescent="0.2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</row>
    <row r="81" spans="2:12" x14ac:dyDescent="0.2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</row>
    <row r="82" spans="2:12" x14ac:dyDescent="0.2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</row>
    <row r="83" spans="2:12" x14ac:dyDescent="0.2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</row>
    <row r="84" spans="2:12" x14ac:dyDescent="0.2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</row>
    <row r="85" spans="2:12" x14ac:dyDescent="0.2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</row>
    <row r="86" spans="2:12" x14ac:dyDescent="0.2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</row>
    <row r="87" spans="2:12" x14ac:dyDescent="0.2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</row>
    <row r="88" spans="2:12" x14ac:dyDescent="0.2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</row>
    <row r="89" spans="2:12" x14ac:dyDescent="0.2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</row>
    <row r="90" spans="2:12" x14ac:dyDescent="0.2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</row>
  </sheetData>
  <customSheetViews>
    <customSheetView guid="{195DF303-1BBD-4236-94B5-47432850B006}" scale="75" showRuler="0">
      <pane xSplit="6.4558823529411766" topLeftCell="M1"/>
      <pageMargins left="0.75" right="0.75" top="1" bottom="1" header="0.5" footer="0.5"/>
      <pageSetup orientation="portrait" r:id="rId1"/>
      <headerFooter alignWithMargins="0"/>
    </customSheetView>
    <customSheetView guid="{0C49E549-011E-46F4-A82E-2CC8951A9C1E}" scale="75" showRuler="0">
      <pane xSplit="6.8555555555555552" topLeftCell="M1"/>
      <selection activeCell="I13" sqref="I13"/>
      <pageMargins left="0.75" right="0.75" top="1" bottom="1" header="0.5" footer="0.5"/>
      <pageSetup orientation="portrait" r:id="rId2"/>
      <headerFooter alignWithMargins="0"/>
    </customSheetView>
    <customSheetView guid="{4BC93440-BA85-4935-A8C9-66DC6AE5DE5E}" scale="75" showRuler="0">
      <pane xSplit="9.8591549295774641" topLeftCell="M1"/>
      <pageMargins left="0.75" right="0.75" top="1" bottom="1" header="0.5" footer="0.5"/>
      <pageSetup orientation="portrait" r:id="rId3"/>
      <headerFooter alignWithMargins="0"/>
    </customSheetView>
    <customSheetView guid="{2431C9E5-7CC2-4B8D-99C3-962247B1DBF5}" scale="75" showRuler="0">
      <pane xSplit="9.8591549295774641" topLeftCell="M1"/>
      <pageMargins left="0.75" right="0.75" top="1" bottom="1" header="0.5" footer="0.5"/>
      <pageSetup orientation="portrait" r:id="rId4"/>
      <headerFooter alignWithMargins="0"/>
    </customSheetView>
    <customSheetView guid="{2EA35095-1ADC-4CC7-8C3C-B487D65FA247}" scale="75" showRuler="0">
      <pane xSplit="11.712962962962964" topLeftCell="M1"/>
      <selection activeCell="I13" sqref="I13"/>
      <pageMargins left="0.75" right="0.75" top="1" bottom="1" header="0.5" footer="0.5"/>
      <pageSetup orientation="portrait" r:id="rId5"/>
      <headerFooter alignWithMargins="0"/>
    </customSheetView>
    <customSheetView guid="{8FC77C99-DBF7-40B8-99B8-01B75826CDCB}" scale="75" showRuler="0">
      <pane xSplit="12.426470588235293" topLeftCell="M1"/>
      <selection activeCell="I13" sqref="I13"/>
      <pageMargins left="0.75" right="0.75" top="1" bottom="1" header="0.5" footer="0.5"/>
      <pageSetup orientation="portrait" r:id="rId6"/>
      <headerFooter alignWithMargins="0"/>
    </customSheetView>
    <customSheetView guid="{8FB94551-8874-4095-B8FB-5316E0D2FD2C}" scale="75" showRuler="0">
      <pane xSplit="12.426470588235293" topLeftCell="M1"/>
      <pageMargins left="0.75" right="0.75" top="1" bottom="1" header="0.5" footer="0.5"/>
      <pageSetup orientation="portrait" r:id="rId7"/>
      <headerFooter alignWithMargins="0"/>
    </customSheetView>
    <customSheetView guid="{6B3D5C27-2FDE-4561-9575-1E98BFB869D0}" scale="75" showRuler="0">
      <pane xSplit="12.426470588235293" topLeftCell="M1"/>
      <selection activeCell="H1" sqref="H1"/>
      <pageMargins left="0.75" right="0.75" top="1" bottom="1" header="0.5" footer="0.5"/>
      <pageSetup orientation="portrait" r:id="rId8"/>
      <headerFooter alignWithMargins="0"/>
    </customSheetView>
    <customSheetView guid="{0BC1F393-8A13-47D5-BC6C-0C99615B5AB9}" scale="75" showRuler="0">
      <pane xSplit="12.426470588235293" topLeftCell="M1"/>
      <pageMargins left="0.75" right="0.75" top="1" bottom="1" header="0.5" footer="0.5"/>
      <pageSetup orientation="portrait" r:id="rId9"/>
      <headerFooter alignWithMargins="0"/>
    </customSheetView>
    <customSheetView guid="{18BDED73-BFA0-442E-87EC-CED86EE4CF94}" scale="75" showRuler="0">
      <pane xSplit="12.426470588235293" topLeftCell="M1"/>
      <pageMargins left="0.75" right="0.75" top="1" bottom="1" header="0.5" footer="0.5"/>
      <pageSetup orientation="portrait" r:id="rId10"/>
      <headerFooter alignWithMargins="0"/>
    </customSheetView>
    <customSheetView guid="{35F19056-2E6F-4935-B863-78836FE990BF}" scale="75" showRuler="0">
      <pane xSplit="12.426470588235293" topLeftCell="M1"/>
      <pageMargins left="0.75" right="0.75" top="1" bottom="1" header="0.5" footer="0.5"/>
      <pageSetup orientation="portrait" r:id="rId11"/>
      <headerFooter alignWithMargins="0"/>
    </customSheetView>
    <customSheetView guid="{F562D92E-120C-4AE9-9663-89E64D41DC53}" scale="75">
      <pane xSplit="12.426470588235293" topLeftCell="M1"/>
      <selection activeCell="H7" sqref="H7"/>
      <pageMargins left="0.75" right="0.75" top="1" bottom="1" header="0.5" footer="0.5"/>
      <pageSetup orientation="portrait" r:id="rId12"/>
      <headerFooter alignWithMargins="0"/>
    </customSheetView>
  </customSheetViews>
  <phoneticPr fontId="9" type="noConversion"/>
  <pageMargins left="0.75" right="0.75" top="1" bottom="1" header="0.5" footer="0.5"/>
  <pageSetup scale="34" orientation="portrait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46" transitionEvaluation="1" codeName="Sheet3"/>
  <dimension ref="A1:Q885"/>
  <sheetViews>
    <sheetView tabSelected="1" view="pageBreakPreview" topLeftCell="A46" zoomScale="60" zoomScaleNormal="80" workbookViewId="0">
      <selection sqref="A1:J1"/>
    </sheetView>
  </sheetViews>
  <sheetFormatPr defaultColWidth="9.77734375" defaultRowHeight="15.75" x14ac:dyDescent="0.25"/>
  <cols>
    <col min="1" max="1" width="5.109375" style="378" customWidth="1"/>
    <col min="2" max="2" width="0.33203125" style="378" customWidth="1"/>
    <col min="3" max="3" width="49.21875" style="378" customWidth="1"/>
    <col min="4" max="4" width="1.33203125" style="378" customWidth="1"/>
    <col min="5" max="5" width="14.77734375" style="378" customWidth="1"/>
    <col min="6" max="6" width="0.5546875" style="378" customWidth="1"/>
    <col min="7" max="7" width="14.77734375" style="378" customWidth="1"/>
    <col min="8" max="8" width="0.77734375" style="378" customWidth="1"/>
    <col min="9" max="9" width="12.44140625" style="378" customWidth="1"/>
    <col min="10" max="10" width="0.77734375" style="378" customWidth="1"/>
    <col min="11" max="11" width="9.21875" style="378" customWidth="1"/>
    <col min="12" max="12" width="3.109375" style="229" customWidth="1"/>
    <col min="13" max="13" width="13" style="229" customWidth="1"/>
    <col min="14" max="14" width="12.44140625" style="229" customWidth="1"/>
    <col min="15" max="15" width="14.33203125" style="229" bestFit="1" customWidth="1"/>
    <col min="16" max="16" width="13.109375" style="229" customWidth="1"/>
    <col min="17" max="17" width="12" style="229" customWidth="1"/>
    <col min="18" max="16384" width="9.77734375" style="378"/>
  </cols>
  <sheetData>
    <row r="1" spans="1:15" x14ac:dyDescent="0.25">
      <c r="A1" s="44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228"/>
    </row>
    <row r="2" spans="1:15" x14ac:dyDescent="0.25">
      <c r="A2" s="44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228"/>
    </row>
    <row r="3" spans="1:15" x14ac:dyDescent="0.25">
      <c r="A3" s="44" t="s">
        <v>482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228"/>
    </row>
    <row r="4" spans="1:15" x14ac:dyDescent="0.25">
      <c r="A4" s="44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228"/>
    </row>
    <row r="5" spans="1:15" x14ac:dyDescent="0.25">
      <c r="A5" s="44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228"/>
    </row>
    <row r="6" spans="1:15" x14ac:dyDescent="0.25">
      <c r="A6" s="44"/>
      <c r="B6" s="43"/>
      <c r="C6" s="43"/>
      <c r="D6" s="43"/>
      <c r="E6" s="43"/>
      <c r="F6" s="43"/>
      <c r="G6" s="43"/>
      <c r="H6" s="43"/>
      <c r="I6" s="43"/>
      <c r="J6" s="43"/>
      <c r="K6" s="43"/>
      <c r="L6" s="228"/>
    </row>
    <row r="7" spans="1:15" x14ac:dyDescent="0.25">
      <c r="A7" s="45" t="str">
        <f>DATA_PERIOD</f>
        <v>DATA: __X__ BASE PERIOD   ____FORECASTED PERIOD</v>
      </c>
      <c r="I7" s="46" t="s">
        <v>171</v>
      </c>
    </row>
    <row r="8" spans="1:15" x14ac:dyDescent="0.25">
      <c r="A8" s="45" t="str">
        <f>TYPE</f>
        <v>TYPE OF FILING: _X_ ORIGINAL   ___UPDATED  ___ REVISED</v>
      </c>
      <c r="I8" s="46" t="s">
        <v>165</v>
      </c>
    </row>
    <row r="9" spans="1:15" x14ac:dyDescent="0.25">
      <c r="A9" s="46" t="s">
        <v>177</v>
      </c>
      <c r="I9" s="46" t="s">
        <v>3</v>
      </c>
    </row>
    <row r="10" spans="1:15" x14ac:dyDescent="0.25">
      <c r="A10" s="222" t="str">
        <f>TIME</f>
        <v>6 Months Actual and 6 Months Projected with Riders</v>
      </c>
      <c r="I10" s="45" t="str">
        <f>WIT</f>
        <v>J. L. Kern</v>
      </c>
    </row>
    <row r="11" spans="1:15" x14ac:dyDescent="0.25">
      <c r="A11" s="427" t="str">
        <f>INPUT!B5</f>
        <v>6 Months Actual Ending May 31, 2019</v>
      </c>
      <c r="B11" s="43"/>
      <c r="C11" s="43"/>
      <c r="D11" s="43"/>
      <c r="J11" s="43"/>
      <c r="K11" s="43"/>
      <c r="L11" s="228"/>
    </row>
    <row r="12" spans="1:15" x14ac:dyDescent="0.25">
      <c r="A12" s="428"/>
      <c r="B12" s="428"/>
      <c r="C12" s="428"/>
      <c r="D12" s="428"/>
      <c r="E12" s="428"/>
      <c r="F12" s="43"/>
      <c r="G12" s="43"/>
      <c r="H12" s="43"/>
      <c r="I12" s="43"/>
      <c r="J12" s="43"/>
      <c r="K12" s="43"/>
      <c r="L12" s="228"/>
    </row>
    <row r="13" spans="1:15" x14ac:dyDescent="0.25">
      <c r="A13" s="47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230"/>
    </row>
    <row r="14" spans="1:15" x14ac:dyDescent="0.25">
      <c r="K14" s="426"/>
      <c r="L14" s="231"/>
    </row>
    <row r="15" spans="1:15" x14ac:dyDescent="0.25">
      <c r="E15" s="426" t="s">
        <v>167</v>
      </c>
      <c r="G15" s="426" t="s">
        <v>167</v>
      </c>
      <c r="I15" s="426" t="s">
        <v>9</v>
      </c>
      <c r="K15" s="426" t="s">
        <v>192</v>
      </c>
      <c r="L15" s="231"/>
    </row>
    <row r="16" spans="1:15" x14ac:dyDescent="0.25">
      <c r="A16" s="426" t="s">
        <v>17</v>
      </c>
      <c r="C16" s="426" t="s">
        <v>18</v>
      </c>
      <c r="D16" s="426"/>
      <c r="E16" s="426" t="s">
        <v>191</v>
      </c>
      <c r="G16" s="426" t="s">
        <v>6</v>
      </c>
      <c r="I16" s="426" t="s">
        <v>168</v>
      </c>
      <c r="J16" s="426"/>
      <c r="K16" s="426" t="s">
        <v>9</v>
      </c>
      <c r="L16" s="231"/>
      <c r="M16" s="232"/>
      <c r="N16" s="232"/>
      <c r="O16" s="232"/>
    </row>
    <row r="17" spans="1:17" x14ac:dyDescent="0.25">
      <c r="A17" s="426" t="s">
        <v>24</v>
      </c>
      <c r="C17" s="426" t="s">
        <v>166</v>
      </c>
      <c r="D17" s="426"/>
      <c r="E17" s="426" t="s">
        <v>29</v>
      </c>
      <c r="G17" s="426" t="s">
        <v>29</v>
      </c>
      <c r="H17" s="426"/>
      <c r="I17" s="79" t="s">
        <v>170</v>
      </c>
      <c r="J17" s="426"/>
      <c r="K17" s="426" t="s">
        <v>168</v>
      </c>
      <c r="L17" s="231"/>
      <c r="M17" s="231"/>
      <c r="N17" s="233"/>
      <c r="O17" s="233"/>
    </row>
    <row r="18" spans="1:17" x14ac:dyDescent="0.25">
      <c r="A18" s="71"/>
      <c r="B18" s="71"/>
      <c r="C18" s="429" t="s">
        <v>35</v>
      </c>
      <c r="D18" s="430"/>
      <c r="E18" s="429" t="s">
        <v>36</v>
      </c>
      <c r="F18" s="431"/>
      <c r="G18" s="430" t="s">
        <v>37</v>
      </c>
      <c r="H18" s="430"/>
      <c r="I18" s="429" t="s">
        <v>169</v>
      </c>
      <c r="J18" s="430"/>
      <c r="K18" s="429" t="s">
        <v>172</v>
      </c>
      <c r="L18" s="233"/>
      <c r="M18" s="234"/>
      <c r="N18" s="234"/>
    </row>
    <row r="19" spans="1:17" x14ac:dyDescent="0.25">
      <c r="E19" s="432" t="s">
        <v>52</v>
      </c>
      <c r="F19" s="433"/>
      <c r="G19" s="432" t="s">
        <v>52</v>
      </c>
      <c r="H19" s="251"/>
      <c r="I19" s="432" t="s">
        <v>52</v>
      </c>
      <c r="J19" s="251"/>
      <c r="K19" s="251"/>
      <c r="L19" s="231"/>
    </row>
    <row r="20" spans="1:17" x14ac:dyDescent="0.25">
      <c r="C20" s="434" t="s">
        <v>483</v>
      </c>
      <c r="G20" s="426"/>
      <c r="H20" s="426"/>
      <c r="I20" s="426"/>
      <c r="J20" s="426"/>
      <c r="K20" s="426"/>
      <c r="L20" s="231"/>
    </row>
    <row r="21" spans="1:17" x14ac:dyDescent="0.25">
      <c r="A21" s="426">
        <v>1</v>
      </c>
      <c r="C21" s="46" t="s">
        <v>369</v>
      </c>
      <c r="D21" s="46"/>
      <c r="E21" s="5">
        <f>'Rate RS'!AN79</f>
        <v>142589694</v>
      </c>
      <c r="F21" s="2"/>
      <c r="G21" s="5">
        <f>'Rate RS'!R38</f>
        <v>165864231</v>
      </c>
      <c r="H21" s="5"/>
      <c r="I21" s="5">
        <f>G21-E21</f>
        <v>23274537</v>
      </c>
      <c r="J21" s="5"/>
      <c r="K21" s="126">
        <f>IF(E21=0,"-",ROUND(I21/E21,4))</f>
        <v>0.16320000000000001</v>
      </c>
      <c r="L21" s="235"/>
      <c r="M21" s="236"/>
      <c r="N21" s="236"/>
      <c r="P21" s="237"/>
    </row>
    <row r="22" spans="1:17" ht="20.100000000000001" customHeight="1" x14ac:dyDescent="0.25">
      <c r="A22" s="426">
        <v>2</v>
      </c>
      <c r="C22" s="435" t="s">
        <v>202</v>
      </c>
      <c r="E22" s="90">
        <f>E21</f>
        <v>142589694</v>
      </c>
      <c r="F22" s="84"/>
      <c r="G22" s="90">
        <f>G21</f>
        <v>165864231</v>
      </c>
      <c r="H22" s="83"/>
      <c r="I22" s="90">
        <f>I21</f>
        <v>23274537</v>
      </c>
      <c r="J22" s="5"/>
      <c r="K22" s="126">
        <f>IF(E22=0,"-",ROUND(I22/E22,4))</f>
        <v>0.16320000000000001</v>
      </c>
      <c r="L22" s="235"/>
      <c r="M22" s="236"/>
      <c r="O22" s="198"/>
      <c r="P22" s="238"/>
      <c r="Q22" s="198"/>
    </row>
    <row r="23" spans="1:17" x14ac:dyDescent="0.25">
      <c r="A23" s="425"/>
      <c r="E23" s="5"/>
      <c r="F23" s="2"/>
      <c r="G23" s="5"/>
      <c r="H23" s="5"/>
      <c r="I23" s="5"/>
      <c r="J23" s="5"/>
      <c r="K23" s="127"/>
      <c r="L23" s="235"/>
      <c r="M23" s="236"/>
      <c r="O23" s="198"/>
      <c r="P23" s="238"/>
      <c r="Q23" s="198"/>
    </row>
    <row r="24" spans="1:17" x14ac:dyDescent="0.25">
      <c r="A24" s="425"/>
      <c r="C24" s="434" t="s">
        <v>265</v>
      </c>
      <c r="E24" s="5"/>
      <c r="F24" s="2"/>
      <c r="G24" s="5"/>
      <c r="H24" s="5"/>
      <c r="I24" s="5"/>
      <c r="J24" s="5"/>
      <c r="K24" s="127"/>
      <c r="L24" s="235"/>
      <c r="M24" s="236"/>
      <c r="O24" s="198"/>
      <c r="P24" s="238"/>
      <c r="Q24" s="198"/>
    </row>
    <row r="25" spans="1:17" x14ac:dyDescent="0.25">
      <c r="A25" s="426">
        <v>3</v>
      </c>
      <c r="C25" s="46" t="s">
        <v>370</v>
      </c>
      <c r="D25" s="46"/>
      <c r="E25" s="5">
        <f>'Rate DS'!AO105</f>
        <v>106387501</v>
      </c>
      <c r="F25" s="2"/>
      <c r="G25" s="5">
        <f>'Rate DS'!R50</f>
        <v>117572950</v>
      </c>
      <c r="H25" s="5"/>
      <c r="I25" s="5">
        <f t="shared" ref="I25:I31" si="0">G25-E25</f>
        <v>11185449</v>
      </c>
      <c r="J25" s="5"/>
      <c r="K25" s="129">
        <f t="shared" ref="K25:K32" si="1">IF(E25=0,"-",ROUND(I25/E25,4))</f>
        <v>0.1051</v>
      </c>
      <c r="L25" s="235"/>
      <c r="M25" s="236"/>
      <c r="N25" s="236"/>
      <c r="O25" s="236"/>
      <c r="P25" s="198"/>
      <c r="Q25" s="198"/>
    </row>
    <row r="26" spans="1:17" x14ac:dyDescent="0.25">
      <c r="A26" s="426">
        <v>4</v>
      </c>
      <c r="C26" s="46" t="s">
        <v>441</v>
      </c>
      <c r="D26" s="46"/>
      <c r="E26" s="5">
        <f>'Rate DT-Pri'!AO133</f>
        <v>34882409</v>
      </c>
      <c r="F26" s="2"/>
      <c r="G26" s="5">
        <f>'Rate DT-Pri'!R63</f>
        <v>38387438</v>
      </c>
      <c r="H26" s="5"/>
      <c r="I26" s="5">
        <f t="shared" si="0"/>
        <v>3505029</v>
      </c>
      <c r="J26" s="5"/>
      <c r="K26" s="129">
        <f t="shared" si="1"/>
        <v>0.10050000000000001</v>
      </c>
      <c r="L26" s="235"/>
      <c r="M26" s="236"/>
      <c r="N26" s="236"/>
      <c r="O26" s="236"/>
      <c r="P26" s="198"/>
      <c r="Q26" s="198"/>
    </row>
    <row r="27" spans="1:17" x14ac:dyDescent="0.25">
      <c r="A27" s="426">
        <v>5</v>
      </c>
      <c r="C27" s="46" t="s">
        <v>442</v>
      </c>
      <c r="D27" s="46"/>
      <c r="E27" s="5">
        <f>'Rate DT-Sec'!AO129</f>
        <v>54510592</v>
      </c>
      <c r="F27" s="2"/>
      <c r="G27" s="5">
        <f>'Rate DT-Sec'!R61</f>
        <v>59985402</v>
      </c>
      <c r="H27" s="5"/>
      <c r="I27" s="5">
        <f>G27-E27</f>
        <v>5474810</v>
      </c>
      <c r="J27" s="5"/>
      <c r="K27" s="129">
        <f>IF(E27=0,"-",ROUND(I27/E27,4))</f>
        <v>0.1004</v>
      </c>
      <c r="L27" s="235"/>
      <c r="M27" s="236"/>
      <c r="N27" s="236"/>
      <c r="O27" s="236"/>
      <c r="P27" s="236"/>
      <c r="Q27" s="236"/>
    </row>
    <row r="28" spans="1:17" x14ac:dyDescent="0.25">
      <c r="A28" s="426">
        <v>6</v>
      </c>
      <c r="B28" s="380"/>
      <c r="C28" s="46" t="s">
        <v>488</v>
      </c>
      <c r="D28" s="46"/>
      <c r="E28" s="5">
        <f>'Rate EH'!AO91</f>
        <v>708940</v>
      </c>
      <c r="F28" s="2"/>
      <c r="G28" s="5">
        <f>'Rate EH'!R43</f>
        <v>783749</v>
      </c>
      <c r="H28" s="5"/>
      <c r="I28" s="5">
        <f>G28-E28</f>
        <v>74809</v>
      </c>
      <c r="J28" s="5"/>
      <c r="K28" s="129">
        <f t="shared" si="1"/>
        <v>0.1055</v>
      </c>
      <c r="L28" s="235"/>
      <c r="M28" s="236"/>
      <c r="N28" s="236"/>
      <c r="O28" s="198"/>
      <c r="P28" s="198"/>
      <c r="Q28" s="198"/>
    </row>
    <row r="29" spans="1:17" x14ac:dyDescent="0.25">
      <c r="A29" s="426">
        <v>7</v>
      </c>
      <c r="B29" s="380"/>
      <c r="C29" s="52" t="s">
        <v>371</v>
      </c>
      <c r="D29" s="46"/>
      <c r="E29" s="5">
        <f>'Rate SP GSFL'!AO101</f>
        <v>35481</v>
      </c>
      <c r="F29" s="2"/>
      <c r="G29" s="5">
        <f>'Rate SP GSFL'!R38</f>
        <v>39212</v>
      </c>
      <c r="H29" s="5"/>
      <c r="I29" s="5">
        <f>G29-E29</f>
        <v>3731</v>
      </c>
      <c r="J29" s="5"/>
      <c r="K29" s="129">
        <f t="shared" si="1"/>
        <v>0.1052</v>
      </c>
      <c r="L29" s="235"/>
      <c r="M29" s="236"/>
      <c r="N29" s="236"/>
      <c r="O29" s="198"/>
      <c r="P29" s="198"/>
      <c r="Q29" s="198"/>
    </row>
    <row r="30" spans="1:17" x14ac:dyDescent="0.25">
      <c r="A30" s="426">
        <v>8</v>
      </c>
      <c r="C30" s="46" t="s">
        <v>372</v>
      </c>
      <c r="D30" s="46"/>
      <c r="E30" s="5">
        <f>'Rate SP GSFL'!AO120</f>
        <v>679882</v>
      </c>
      <c r="F30" s="2"/>
      <c r="G30" s="5">
        <f>'Rate SP GSFL'!R57</f>
        <v>751741</v>
      </c>
      <c r="H30" s="5"/>
      <c r="I30" s="5">
        <f>G30-E30</f>
        <v>71859</v>
      </c>
      <c r="J30" s="5"/>
      <c r="K30" s="129">
        <f t="shared" si="1"/>
        <v>0.1057</v>
      </c>
      <c r="L30" s="235"/>
      <c r="M30" s="236"/>
      <c r="N30" s="236"/>
      <c r="O30" s="198"/>
      <c r="P30" s="198"/>
      <c r="Q30" s="198"/>
    </row>
    <row r="31" spans="1:17" x14ac:dyDescent="0.25">
      <c r="A31" s="426">
        <v>9</v>
      </c>
      <c r="C31" s="46" t="s">
        <v>373</v>
      </c>
      <c r="D31" s="46"/>
      <c r="E31" s="5">
        <f>'Rate DP'!AO98</f>
        <v>1760313</v>
      </c>
      <c r="F31" s="2"/>
      <c r="G31" s="5">
        <f>'Rate DP'!R46</f>
        <v>1962448</v>
      </c>
      <c r="H31" s="5"/>
      <c r="I31" s="5">
        <f t="shared" si="0"/>
        <v>202135</v>
      </c>
      <c r="J31" s="5"/>
      <c r="K31" s="126">
        <f t="shared" si="1"/>
        <v>0.1148</v>
      </c>
      <c r="L31" s="235"/>
      <c r="M31" s="236"/>
      <c r="N31" s="236"/>
      <c r="O31" s="198"/>
      <c r="P31" s="198"/>
      <c r="Q31" s="198"/>
    </row>
    <row r="32" spans="1:17" ht="20.100000000000001" customHeight="1" x14ac:dyDescent="0.25">
      <c r="A32" s="425">
        <v>10</v>
      </c>
      <c r="C32" s="435" t="s">
        <v>173</v>
      </c>
      <c r="E32" s="90">
        <f>SUM(E25:E31)</f>
        <v>198965118</v>
      </c>
      <c r="F32" s="2"/>
      <c r="G32" s="90">
        <f>SUM(G25:G31)</f>
        <v>219482940</v>
      </c>
      <c r="H32" s="5"/>
      <c r="I32" s="90">
        <f>SUM(I25:I31)</f>
        <v>20517822</v>
      </c>
      <c r="J32" s="5"/>
      <c r="K32" s="126">
        <f t="shared" si="1"/>
        <v>0.1031</v>
      </c>
      <c r="L32" s="235"/>
      <c r="M32" s="236"/>
      <c r="O32" s="198"/>
      <c r="P32" s="198"/>
      <c r="Q32" s="198"/>
    </row>
    <row r="33" spans="1:17" x14ac:dyDescent="0.25">
      <c r="A33" s="425"/>
      <c r="E33" s="5"/>
      <c r="F33" s="2"/>
      <c r="G33" s="5"/>
      <c r="H33" s="5"/>
      <c r="I33" s="5"/>
      <c r="J33" s="5"/>
      <c r="K33" s="127"/>
      <c r="L33" s="235"/>
      <c r="M33" s="236"/>
      <c r="O33" s="198"/>
      <c r="P33" s="198"/>
      <c r="Q33" s="198"/>
    </row>
    <row r="34" spans="1:17" x14ac:dyDescent="0.25">
      <c r="A34" s="425"/>
      <c r="C34" s="434" t="s">
        <v>266</v>
      </c>
      <c r="E34" s="5"/>
      <c r="F34" s="2"/>
      <c r="G34" s="5"/>
      <c r="H34" s="5"/>
      <c r="I34" s="5"/>
      <c r="J34" s="5"/>
      <c r="K34" s="127"/>
      <c r="L34" s="235"/>
      <c r="M34" s="236"/>
      <c r="O34" s="198"/>
      <c r="P34" s="198"/>
      <c r="Q34" s="198"/>
    </row>
    <row r="35" spans="1:17" x14ac:dyDescent="0.25">
      <c r="A35" s="426">
        <v>11</v>
      </c>
      <c r="C35" s="46" t="s">
        <v>374</v>
      </c>
      <c r="D35" s="46"/>
      <c r="E35" s="81">
        <f>'Rate TT'!AO120</f>
        <v>14664025</v>
      </c>
      <c r="F35" s="2"/>
      <c r="G35" s="81">
        <f>'Rate TT'!R56</f>
        <v>15761757</v>
      </c>
      <c r="H35" s="5"/>
      <c r="I35" s="81">
        <f>G35-E35</f>
        <v>1097732</v>
      </c>
      <c r="J35" s="5"/>
      <c r="K35" s="126">
        <f>IF(E35=0,"-",ROUND(I35/E35,4))</f>
        <v>7.4899999999999994E-2</v>
      </c>
      <c r="L35" s="235"/>
      <c r="M35" s="236"/>
      <c r="N35" s="236"/>
      <c r="O35" s="236"/>
      <c r="P35" s="236"/>
      <c r="Q35" s="236"/>
    </row>
    <row r="36" spans="1:17" ht="20.100000000000001" customHeight="1" x14ac:dyDescent="0.25">
      <c r="A36" s="426">
        <v>12</v>
      </c>
      <c r="C36" s="435" t="s">
        <v>174</v>
      </c>
      <c r="E36" s="90">
        <f>SUM(E35)</f>
        <v>14664025</v>
      </c>
      <c r="F36" s="2"/>
      <c r="G36" s="90">
        <f>SUM(G35)</f>
        <v>15761757</v>
      </c>
      <c r="H36" s="5"/>
      <c r="I36" s="90">
        <f>SUM(I35)</f>
        <v>1097732</v>
      </c>
      <c r="J36" s="5"/>
      <c r="K36" s="126">
        <f>IF(E36=0,"-",ROUND(I36/E36,4))</f>
        <v>7.4899999999999994E-2</v>
      </c>
      <c r="L36" s="235"/>
      <c r="M36" s="236"/>
      <c r="O36" s="198"/>
      <c r="P36" s="198"/>
      <c r="Q36" s="236"/>
    </row>
    <row r="37" spans="1:17" x14ac:dyDescent="0.25">
      <c r="A37" s="425"/>
      <c r="E37" s="5"/>
      <c r="F37" s="2"/>
      <c r="G37" s="5"/>
      <c r="H37" s="5"/>
      <c r="I37" s="5"/>
      <c r="J37" s="5"/>
      <c r="K37" s="127"/>
      <c r="L37" s="235"/>
      <c r="M37" s="236"/>
      <c r="O37" s="198"/>
      <c r="P37" s="198"/>
      <c r="Q37" s="236"/>
    </row>
    <row r="38" spans="1:17" x14ac:dyDescent="0.25">
      <c r="A38" s="425"/>
      <c r="C38" s="434" t="s">
        <v>269</v>
      </c>
      <c r="E38" s="5"/>
      <c r="F38" s="2"/>
      <c r="G38" s="5"/>
      <c r="H38" s="5"/>
      <c r="I38" s="5"/>
      <c r="J38" s="5"/>
      <c r="K38" s="127"/>
      <c r="L38" s="235"/>
      <c r="M38" s="236"/>
      <c r="O38" s="198"/>
      <c r="P38" s="198"/>
      <c r="Q38" s="236"/>
    </row>
    <row r="39" spans="1:17" x14ac:dyDescent="0.25">
      <c r="A39" s="425">
        <v>13</v>
      </c>
      <c r="C39" s="69" t="s">
        <v>428</v>
      </c>
      <c r="E39" s="5">
        <f>'Rate DT RTP-P'!AO82</f>
        <v>0</v>
      </c>
      <c r="F39" s="2"/>
      <c r="G39" s="5">
        <f>'Rate DT RTP-P'!R38</f>
        <v>0</v>
      </c>
      <c r="H39" s="5"/>
      <c r="I39" s="83">
        <f>G39-E39</f>
        <v>0</v>
      </c>
      <c r="J39" s="5"/>
      <c r="K39" s="129" t="str">
        <f>IF(E39=0,"-",ROUND(I39/E39,4))</f>
        <v>-</v>
      </c>
      <c r="L39" s="235"/>
      <c r="M39" s="236"/>
      <c r="N39" s="236"/>
      <c r="O39" s="198"/>
      <c r="P39" s="198"/>
      <c r="Q39" s="236"/>
    </row>
    <row r="40" spans="1:17" x14ac:dyDescent="0.25">
      <c r="A40" s="425">
        <v>14</v>
      </c>
      <c r="C40" s="69" t="s">
        <v>444</v>
      </c>
      <c r="E40" s="5">
        <f>'Rate DT RTP-S'!AO83</f>
        <v>73463</v>
      </c>
      <c r="F40" s="2"/>
      <c r="G40" s="5">
        <f>'Rate DT RTP-S'!R39</f>
        <v>88040</v>
      </c>
      <c r="H40" s="5"/>
      <c r="I40" s="83">
        <f>G40-E40</f>
        <v>14577</v>
      </c>
      <c r="J40" s="5"/>
      <c r="K40" s="129">
        <f>IF(E40=0,"-",ROUND(I40/E40,4))</f>
        <v>0.19839999999999999</v>
      </c>
      <c r="L40" s="235"/>
      <c r="M40" s="236"/>
      <c r="N40" s="236"/>
      <c r="O40" s="198"/>
      <c r="P40" s="198"/>
      <c r="Q40" s="236"/>
    </row>
    <row r="41" spans="1:17" x14ac:dyDescent="0.25">
      <c r="A41" s="425">
        <v>15</v>
      </c>
      <c r="C41" s="69" t="s">
        <v>375</v>
      </c>
      <c r="E41" s="5">
        <f>'Rate DS RTP'!AO83</f>
        <v>49104</v>
      </c>
      <c r="F41" s="2"/>
      <c r="G41" s="5">
        <f>'Rate DS RTP'!R39</f>
        <v>56551</v>
      </c>
      <c r="H41" s="5"/>
      <c r="I41" s="83">
        <f>G41-E41</f>
        <v>7447</v>
      </c>
      <c r="J41" s="5"/>
      <c r="K41" s="129">
        <f>IF(E41=0,"-",ROUND(I41/E41,4))</f>
        <v>0.1517</v>
      </c>
      <c r="L41" s="235"/>
      <c r="M41" s="236"/>
      <c r="N41" s="236"/>
      <c r="O41" s="198"/>
      <c r="P41" s="198"/>
      <c r="Q41" s="198"/>
    </row>
    <row r="42" spans="1:17" x14ac:dyDescent="0.25">
      <c r="A42" s="425">
        <v>16</v>
      </c>
      <c r="C42" s="69" t="s">
        <v>376</v>
      </c>
      <c r="E42" s="81">
        <f>'Rate TT RTP'!AO85</f>
        <v>516390</v>
      </c>
      <c r="F42" s="2"/>
      <c r="G42" s="81">
        <f>'Rate TT RTP'!R39</f>
        <v>559404</v>
      </c>
      <c r="H42" s="5"/>
      <c r="I42" s="81">
        <f>G42-E42</f>
        <v>43014</v>
      </c>
      <c r="J42" s="5"/>
      <c r="K42" s="126">
        <f>IF(E42=0,"-",ROUND(I42/E42,4))</f>
        <v>8.3299999999999999E-2</v>
      </c>
      <c r="L42" s="235"/>
      <c r="M42" s="236"/>
      <c r="N42" s="236"/>
    </row>
    <row r="43" spans="1:17" ht="20.100000000000001" customHeight="1" x14ac:dyDescent="0.25">
      <c r="A43" s="425">
        <v>17</v>
      </c>
      <c r="C43" s="436" t="s">
        <v>301</v>
      </c>
      <c r="E43" s="81">
        <f>SUM(E39:E42)</f>
        <v>638957</v>
      </c>
      <c r="F43" s="2"/>
      <c r="G43" s="81">
        <f>SUM(G39:G42)</f>
        <v>703995</v>
      </c>
      <c r="H43" s="5"/>
      <c r="I43" s="81">
        <f>SUM(I39:I42)</f>
        <v>65038</v>
      </c>
      <c r="J43" s="5"/>
      <c r="K43" s="126">
        <f>IF(E43=0,"-",ROUND(I43/E43,4))</f>
        <v>0.1018</v>
      </c>
      <c r="L43" s="235"/>
      <c r="M43" s="236"/>
    </row>
    <row r="44" spans="1:17" x14ac:dyDescent="0.25">
      <c r="A44" s="425"/>
      <c r="C44" s="52"/>
      <c r="E44" s="5"/>
      <c r="F44" s="2"/>
      <c r="G44" s="5"/>
      <c r="H44" s="5"/>
      <c r="I44" s="5"/>
      <c r="J44" s="5"/>
      <c r="K44" s="127"/>
      <c r="L44" s="235"/>
      <c r="M44" s="236"/>
      <c r="Q44" s="239"/>
    </row>
    <row r="45" spans="1:17" x14ac:dyDescent="0.25">
      <c r="A45" s="425"/>
      <c r="C45" s="265" t="s">
        <v>484</v>
      </c>
      <c r="E45" s="5"/>
      <c r="F45" s="2"/>
      <c r="G45" s="5"/>
      <c r="H45" s="5"/>
      <c r="I45" s="5"/>
      <c r="J45" s="5"/>
      <c r="K45" s="127"/>
      <c r="L45" s="235"/>
      <c r="M45" s="236"/>
      <c r="Q45" s="239"/>
    </row>
    <row r="46" spans="1:17" x14ac:dyDescent="0.25">
      <c r="A46" s="426">
        <v>18</v>
      </c>
      <c r="C46" s="46" t="s">
        <v>377</v>
      </c>
      <c r="D46" s="46"/>
      <c r="E46" s="5">
        <f>'Rate SL'!AO429</f>
        <v>1541102</v>
      </c>
      <c r="F46" s="2"/>
      <c r="G46" s="5">
        <f>'Rate SL'!R209</f>
        <v>1705305</v>
      </c>
      <c r="H46" s="5"/>
      <c r="I46" s="5">
        <f t="shared" ref="I46:I52" si="2">G46-E46</f>
        <v>164203</v>
      </c>
      <c r="J46" s="5"/>
      <c r="K46" s="129">
        <f t="shared" ref="K46:K53" si="3">IF(E46=0,"-",ROUND(I46/E46,4))</f>
        <v>0.1065</v>
      </c>
      <c r="L46" s="235"/>
      <c r="M46" s="236"/>
    </row>
    <row r="47" spans="1:17" x14ac:dyDescent="0.25">
      <c r="A47" s="426">
        <v>19</v>
      </c>
      <c r="C47" s="46" t="s">
        <v>378</v>
      </c>
      <c r="D47" s="46"/>
      <c r="E47" s="5">
        <f>'Rate TL'!AO98</f>
        <v>80436</v>
      </c>
      <c r="F47" s="2"/>
      <c r="G47" s="5">
        <f>'Rate TL'!R47</f>
        <v>89339</v>
      </c>
      <c r="H47" s="5"/>
      <c r="I47" s="5">
        <f t="shared" si="2"/>
        <v>8903</v>
      </c>
      <c r="J47" s="5"/>
      <c r="K47" s="129">
        <f t="shared" si="3"/>
        <v>0.11070000000000001</v>
      </c>
      <c r="L47" s="235"/>
      <c r="M47" s="236"/>
      <c r="O47" s="237"/>
      <c r="P47" s="237"/>
    </row>
    <row r="48" spans="1:17" x14ac:dyDescent="0.25">
      <c r="A48" s="426">
        <v>20</v>
      </c>
      <c r="C48" s="46" t="s">
        <v>489</v>
      </c>
      <c r="D48" s="46"/>
      <c r="E48" s="5">
        <f>'Rate UOLS'!AO63</f>
        <v>178459</v>
      </c>
      <c r="F48" s="2"/>
      <c r="G48" s="5">
        <f>'Rate UOLS'!R28</f>
        <v>198626</v>
      </c>
      <c r="H48" s="5"/>
      <c r="I48" s="5">
        <f t="shared" si="2"/>
        <v>20167</v>
      </c>
      <c r="J48" s="5"/>
      <c r="K48" s="129">
        <f t="shared" si="3"/>
        <v>0.113</v>
      </c>
      <c r="L48" s="235"/>
      <c r="M48" s="236"/>
    </row>
    <row r="49" spans="1:15" x14ac:dyDescent="0.25">
      <c r="A49" s="426">
        <v>21</v>
      </c>
      <c r="C49" s="52" t="s">
        <v>490</v>
      </c>
      <c r="D49" s="46"/>
      <c r="E49" s="5">
        <f>'Rate NSU'!AO95</f>
        <v>79931</v>
      </c>
      <c r="F49" s="2"/>
      <c r="G49" s="5">
        <f>'Rate NSU'!R45</f>
        <v>88381</v>
      </c>
      <c r="H49" s="5"/>
      <c r="I49" s="5">
        <f t="shared" si="2"/>
        <v>8450</v>
      </c>
      <c r="J49" s="5"/>
      <c r="K49" s="129">
        <f t="shared" si="3"/>
        <v>0.1057</v>
      </c>
      <c r="L49" s="235"/>
      <c r="M49" s="236"/>
    </row>
    <row r="50" spans="1:15" x14ac:dyDescent="0.25">
      <c r="A50" s="426">
        <v>22</v>
      </c>
      <c r="C50" s="46" t="s">
        <v>491</v>
      </c>
      <c r="D50" s="46"/>
      <c r="E50" s="5">
        <f>'Rate SC'!AO145</f>
        <v>4056</v>
      </c>
      <c r="F50" s="5"/>
      <c r="G50" s="5">
        <f>'Rate SC'!R72</f>
        <v>4515</v>
      </c>
      <c r="H50" s="5"/>
      <c r="I50" s="5">
        <f t="shared" si="2"/>
        <v>459</v>
      </c>
      <c r="J50" s="5"/>
      <c r="K50" s="129">
        <f t="shared" si="3"/>
        <v>0.1132</v>
      </c>
      <c r="L50" s="235"/>
      <c r="M50" s="236"/>
    </row>
    <row r="51" spans="1:15" x14ac:dyDescent="0.25">
      <c r="A51" s="426">
        <v>23</v>
      </c>
      <c r="C51" s="46" t="s">
        <v>492</v>
      </c>
      <c r="D51" s="46"/>
      <c r="E51" s="83">
        <f>'Rate SE'!AO108</f>
        <v>226922</v>
      </c>
      <c r="F51" s="83"/>
      <c r="G51" s="83">
        <f>'Rate SE'!R52</f>
        <v>251045</v>
      </c>
      <c r="H51" s="83"/>
      <c r="I51" s="83">
        <f t="shared" si="2"/>
        <v>24123</v>
      </c>
      <c r="J51" s="5"/>
      <c r="K51" s="129">
        <f t="shared" si="3"/>
        <v>0.10630000000000001</v>
      </c>
      <c r="L51" s="235"/>
      <c r="M51" s="236"/>
    </row>
    <row r="52" spans="1:15" x14ac:dyDescent="0.25">
      <c r="A52" s="426">
        <v>24</v>
      </c>
      <c r="C52" s="46" t="s">
        <v>701</v>
      </c>
      <c r="D52" s="46"/>
      <c r="E52" s="81">
        <f>+'Rate LED'!AO354</f>
        <v>0</v>
      </c>
      <c r="F52" s="5"/>
      <c r="G52" s="81">
        <f>+'Rate LED'!R141</f>
        <v>0</v>
      </c>
      <c r="H52" s="5"/>
      <c r="I52" s="83">
        <f t="shared" si="2"/>
        <v>0</v>
      </c>
      <c r="J52" s="5"/>
      <c r="K52" s="129" t="str">
        <f t="shared" si="3"/>
        <v>-</v>
      </c>
      <c r="L52" s="235"/>
      <c r="M52" s="236"/>
    </row>
    <row r="53" spans="1:15" ht="20.100000000000001" customHeight="1" x14ac:dyDescent="0.25">
      <c r="A53" s="426">
        <v>25</v>
      </c>
      <c r="C53" s="435" t="s">
        <v>175</v>
      </c>
      <c r="E53" s="90">
        <f>SUM(E46:E52)</f>
        <v>2110906</v>
      </c>
      <c r="F53" s="2"/>
      <c r="G53" s="90">
        <f>SUM(G46:G52)</f>
        <v>2337211</v>
      </c>
      <c r="H53" s="5"/>
      <c r="I53" s="90">
        <f>SUM(I46:I52)</f>
        <v>226305</v>
      </c>
      <c r="J53" s="5"/>
      <c r="K53" s="126">
        <f t="shared" si="3"/>
        <v>0.1072</v>
      </c>
      <c r="L53" s="235"/>
      <c r="M53" s="236"/>
      <c r="N53" s="236"/>
    </row>
    <row r="54" spans="1:15" ht="9" customHeight="1" x14ac:dyDescent="0.25">
      <c r="A54" s="425"/>
      <c r="E54" s="83"/>
      <c r="F54" s="2"/>
      <c r="G54" s="83"/>
      <c r="H54" s="5"/>
      <c r="I54" s="83"/>
      <c r="J54" s="5"/>
      <c r="K54" s="126"/>
      <c r="L54" s="235"/>
      <c r="M54" s="236"/>
    </row>
    <row r="55" spans="1:15" ht="15.75" customHeight="1" x14ac:dyDescent="0.25">
      <c r="A55" s="426">
        <v>26</v>
      </c>
      <c r="C55" s="194" t="s">
        <v>382</v>
      </c>
      <c r="D55" s="46"/>
      <c r="E55" s="108">
        <f>'SCH M-2.2'!V56</f>
        <v>68449</v>
      </c>
      <c r="F55" s="2"/>
      <c r="G55" s="108">
        <f>'SCH M-2.3'!R56</f>
        <v>76957.103216155578</v>
      </c>
      <c r="H55" s="2"/>
      <c r="I55" s="83">
        <f>G55-E55</f>
        <v>8508.1032161555777</v>
      </c>
      <c r="J55" s="1"/>
      <c r="K55" s="129">
        <f>IF(E55=0,"-",ROUND(I55/E55,4))</f>
        <v>0.12429999999999999</v>
      </c>
      <c r="L55" s="235"/>
      <c r="M55" s="236"/>
      <c r="N55" s="237"/>
      <c r="O55" s="237"/>
    </row>
    <row r="56" spans="1:15" ht="15.75" customHeight="1" x14ac:dyDescent="0.25">
      <c r="A56" s="426">
        <v>27</v>
      </c>
      <c r="C56" s="196" t="s">
        <v>383</v>
      </c>
      <c r="D56" s="46"/>
      <c r="E56" s="105">
        <f>+'SCH M-2.2'!V62</f>
        <v>16740</v>
      </c>
      <c r="F56" s="2"/>
      <c r="G56" s="105">
        <f>'SCH M-2.3'!R62</f>
        <v>18848.477200000001</v>
      </c>
      <c r="H56" s="2"/>
      <c r="I56" s="81">
        <f>G56-E56</f>
        <v>2108.4772000000012</v>
      </c>
      <c r="J56" s="1"/>
      <c r="K56" s="126">
        <f>IF(E56=0,"-",ROUND(I56/E56,4))</f>
        <v>0.126</v>
      </c>
      <c r="L56" s="235"/>
      <c r="M56" s="236"/>
      <c r="N56" s="236"/>
    </row>
    <row r="57" spans="1:15" ht="9" customHeight="1" x14ac:dyDescent="0.25">
      <c r="M57" s="236"/>
    </row>
    <row r="58" spans="1:15" ht="16.5" thickBot="1" x14ac:dyDescent="0.3">
      <c r="A58" s="425">
        <v>28</v>
      </c>
      <c r="C58" s="437" t="s">
        <v>427</v>
      </c>
      <c r="E58" s="82">
        <f>E53+E43+E36+E32+E22+E55+E56</f>
        <v>359053889</v>
      </c>
      <c r="F58" s="2"/>
      <c r="G58" s="82">
        <f>G53+G43+G36+G32+G22+G55+G56</f>
        <v>404245939.58041614</v>
      </c>
      <c r="H58" s="5"/>
      <c r="I58" s="82">
        <f>G58-E58</f>
        <v>45192050.580416143</v>
      </c>
      <c r="J58" s="5"/>
      <c r="K58" s="130">
        <f>IF(E58=0,"-",ROUND(I58/E58,4))</f>
        <v>0.12590000000000001</v>
      </c>
      <c r="M58" s="236"/>
    </row>
    <row r="59" spans="1:15" ht="16.5" thickTop="1" x14ac:dyDescent="0.25">
      <c r="M59" s="236"/>
    </row>
    <row r="60" spans="1:15" x14ac:dyDescent="0.25">
      <c r="C60" s="434" t="s">
        <v>496</v>
      </c>
      <c r="M60" s="236"/>
    </row>
    <row r="61" spans="1:15" x14ac:dyDescent="0.25">
      <c r="A61" s="426">
        <v>29</v>
      </c>
      <c r="C61" s="196" t="s">
        <v>624</v>
      </c>
      <c r="D61" s="46"/>
      <c r="E61" s="108">
        <f>'SCH M-2.2'!V57</f>
        <v>3468212</v>
      </c>
      <c r="F61" s="2"/>
      <c r="G61" s="108">
        <f>'SCH M-2.3'!R57</f>
        <v>3468212</v>
      </c>
      <c r="H61" s="2"/>
      <c r="I61" s="83">
        <f t="shared" ref="I61:I66" si="4">G61-E61</f>
        <v>0</v>
      </c>
      <c r="J61" s="1"/>
      <c r="K61" s="129">
        <f t="shared" ref="K61:K67" si="5">IF(E61=0,"-",ROUND(I61/E61,4))</f>
        <v>0</v>
      </c>
      <c r="L61" s="235"/>
      <c r="M61" s="236"/>
      <c r="N61" s="237"/>
    </row>
    <row r="62" spans="1:15" x14ac:dyDescent="0.25">
      <c r="A62" s="426">
        <v>30</v>
      </c>
      <c r="C62" s="195" t="s">
        <v>260</v>
      </c>
      <c r="E62" s="108">
        <f>'SCH M-2.2'!V58</f>
        <v>34903</v>
      </c>
      <c r="F62" s="2"/>
      <c r="G62" s="108">
        <f>+'SCH M-2.3'!R58</f>
        <v>34903</v>
      </c>
      <c r="H62" s="2"/>
      <c r="I62" s="83">
        <f t="shared" si="4"/>
        <v>0</v>
      </c>
      <c r="J62" s="1"/>
      <c r="K62" s="129">
        <f t="shared" si="5"/>
        <v>0</v>
      </c>
      <c r="L62" s="235"/>
      <c r="M62" s="236"/>
    </row>
    <row r="63" spans="1:15" x14ac:dyDescent="0.25">
      <c r="A63" s="426">
        <v>31</v>
      </c>
      <c r="C63" s="196" t="s">
        <v>493</v>
      </c>
      <c r="D63" s="46"/>
      <c r="E63" s="108">
        <f>'SCH M-2.2'!V59</f>
        <v>38885</v>
      </c>
      <c r="F63" s="2"/>
      <c r="G63" s="108">
        <f>+'SCH M-2.3'!R59</f>
        <v>52646</v>
      </c>
      <c r="H63" s="2"/>
      <c r="I63" s="83">
        <f t="shared" si="4"/>
        <v>13761</v>
      </c>
      <c r="J63" s="1"/>
      <c r="K63" s="129">
        <f t="shared" si="5"/>
        <v>0.35389999999999999</v>
      </c>
      <c r="L63" s="235"/>
      <c r="M63" s="236"/>
    </row>
    <row r="64" spans="1:15" x14ac:dyDescent="0.25">
      <c r="A64" s="426">
        <v>32</v>
      </c>
      <c r="C64" s="196" t="s">
        <v>570</v>
      </c>
      <c r="D64" s="46"/>
      <c r="E64" s="108">
        <f>'SCH M-2.2'!V60</f>
        <v>472682</v>
      </c>
      <c r="F64" s="2"/>
      <c r="G64" s="108">
        <f>+'SCH M-2.3'!R60</f>
        <v>703039</v>
      </c>
      <c r="H64" s="2"/>
      <c r="I64" s="83">
        <f t="shared" si="4"/>
        <v>230357</v>
      </c>
      <c r="J64" s="1"/>
      <c r="K64" s="129">
        <f t="shared" ref="K64" si="6">IF(E64=0,"-",ROUND(I64/E64,4))</f>
        <v>0.48730000000000001</v>
      </c>
      <c r="L64" s="235"/>
      <c r="M64" s="236"/>
    </row>
    <row r="65" spans="1:16" x14ac:dyDescent="0.25">
      <c r="A65" s="426">
        <v>33</v>
      </c>
      <c r="C65" s="196" t="s">
        <v>262</v>
      </c>
      <c r="D65" s="46"/>
      <c r="E65" s="108">
        <f>'SCH M-2.2'!V61</f>
        <v>1005121</v>
      </c>
      <c r="F65" s="2"/>
      <c r="G65" s="108">
        <f>+'SCH M-2.3'!R61</f>
        <v>1005121</v>
      </c>
      <c r="H65" s="2"/>
      <c r="I65" s="83">
        <f t="shared" si="4"/>
        <v>0</v>
      </c>
      <c r="J65" s="1"/>
      <c r="K65" s="129">
        <f t="shared" si="5"/>
        <v>0</v>
      </c>
      <c r="L65" s="235"/>
      <c r="M65" s="236"/>
    </row>
    <row r="66" spans="1:16" x14ac:dyDescent="0.25">
      <c r="A66" s="426">
        <v>34</v>
      </c>
      <c r="C66" s="46" t="s">
        <v>494</v>
      </c>
      <c r="D66" s="46"/>
      <c r="E66" s="108">
        <f>'SCH M-2.2'!V63</f>
        <v>12987072</v>
      </c>
      <c r="F66" s="2"/>
      <c r="G66" s="108">
        <f>+'SCH M-2.3'!R63</f>
        <v>12987072</v>
      </c>
      <c r="H66" s="2"/>
      <c r="I66" s="83">
        <f t="shared" si="4"/>
        <v>0</v>
      </c>
      <c r="J66" s="1"/>
      <c r="K66" s="126">
        <f t="shared" si="5"/>
        <v>0</v>
      </c>
      <c r="L66" s="235"/>
      <c r="M66" s="236"/>
    </row>
    <row r="67" spans="1:16" ht="20.100000000000001" customHeight="1" x14ac:dyDescent="0.25">
      <c r="A67" s="426">
        <v>35</v>
      </c>
      <c r="C67" s="435" t="s">
        <v>495</v>
      </c>
      <c r="E67" s="90">
        <f>SUM(E61:E66)</f>
        <v>18006875</v>
      </c>
      <c r="F67" s="2"/>
      <c r="G67" s="90">
        <f>SUM(G61:G66)</f>
        <v>18250993</v>
      </c>
      <c r="H67" s="5"/>
      <c r="I67" s="90">
        <f>SUM(I61:I66)</f>
        <v>244118</v>
      </c>
      <c r="J67" s="5"/>
      <c r="K67" s="126">
        <f t="shared" si="5"/>
        <v>1.3599999999999999E-2</v>
      </c>
      <c r="L67" s="235"/>
      <c r="M67" s="236"/>
      <c r="P67" s="237"/>
    </row>
    <row r="68" spans="1:16" x14ac:dyDescent="0.25">
      <c r="A68" s="425"/>
      <c r="E68" s="5"/>
      <c r="F68" s="2"/>
      <c r="G68" s="5"/>
      <c r="H68" s="5"/>
      <c r="I68" s="5"/>
      <c r="J68" s="5"/>
      <c r="K68" s="127"/>
      <c r="L68" s="235"/>
      <c r="M68" s="236"/>
    </row>
    <row r="69" spans="1:16" ht="16.5" thickBot="1" x14ac:dyDescent="0.3">
      <c r="A69" s="426">
        <v>36</v>
      </c>
      <c r="C69" s="218" t="s">
        <v>176</v>
      </c>
      <c r="E69" s="82">
        <f>E67+E58</f>
        <v>377060764</v>
      </c>
      <c r="F69" s="2"/>
      <c r="G69" s="82">
        <f>G67+G58</f>
        <v>422496932.58041614</v>
      </c>
      <c r="H69" s="5"/>
      <c r="I69" s="82">
        <f>I67+I58</f>
        <v>45436168.580416143</v>
      </c>
      <c r="J69" s="5"/>
      <c r="K69" s="130">
        <f>IF(E69=0,"-",ROUND(I69/E69,4))</f>
        <v>0.1205</v>
      </c>
      <c r="L69" s="235"/>
      <c r="M69" s="236"/>
      <c r="N69" s="239"/>
    </row>
    <row r="70" spans="1:16" ht="16.5" thickTop="1" x14ac:dyDescent="0.25"/>
    <row r="74" spans="1:16" x14ac:dyDescent="0.25">
      <c r="C74" s="207" t="s">
        <v>180</v>
      </c>
      <c r="E74" s="2"/>
      <c r="F74" s="2"/>
      <c r="G74" s="2"/>
      <c r="H74" s="2"/>
      <c r="I74" s="2"/>
      <c r="J74" s="2"/>
      <c r="K74" s="128"/>
      <c r="L74" s="240"/>
      <c r="N74" s="239"/>
    </row>
    <row r="75" spans="1:16" x14ac:dyDescent="0.25">
      <c r="I75" s="204"/>
      <c r="J75" s="48"/>
      <c r="K75" s="425"/>
      <c r="L75" s="232"/>
    </row>
    <row r="76" spans="1:16" x14ac:dyDescent="0.25">
      <c r="K76" s="425"/>
      <c r="L76" s="232"/>
    </row>
    <row r="77" spans="1:16" x14ac:dyDescent="0.25">
      <c r="K77" s="425"/>
      <c r="L77" s="232"/>
    </row>
    <row r="78" spans="1:16" x14ac:dyDescent="0.25">
      <c r="K78" s="425"/>
      <c r="L78" s="232"/>
    </row>
    <row r="79" spans="1:16" x14ac:dyDescent="0.25">
      <c r="K79" s="425"/>
      <c r="L79" s="232"/>
    </row>
    <row r="80" spans="1:16" x14ac:dyDescent="0.25">
      <c r="K80" s="425"/>
      <c r="L80" s="232"/>
    </row>
    <row r="81" spans="11:12" x14ac:dyDescent="0.25">
      <c r="K81" s="425"/>
      <c r="L81" s="232"/>
    </row>
    <row r="82" spans="11:12" x14ac:dyDescent="0.25">
      <c r="K82" s="425"/>
      <c r="L82" s="232"/>
    </row>
    <row r="83" spans="11:12" x14ac:dyDescent="0.25">
      <c r="K83" s="425"/>
      <c r="L83" s="232"/>
    </row>
    <row r="84" spans="11:12" x14ac:dyDescent="0.25">
      <c r="K84" s="425"/>
      <c r="L84" s="232"/>
    </row>
    <row r="85" spans="11:12" x14ac:dyDescent="0.25">
      <c r="K85" s="425"/>
      <c r="L85" s="232"/>
    </row>
    <row r="86" spans="11:12" x14ac:dyDescent="0.25">
      <c r="K86" s="425"/>
      <c r="L86" s="232"/>
    </row>
    <row r="87" spans="11:12" x14ac:dyDescent="0.25">
      <c r="K87" s="425"/>
      <c r="L87" s="232"/>
    </row>
    <row r="88" spans="11:12" x14ac:dyDescent="0.25">
      <c r="K88" s="425"/>
      <c r="L88" s="232"/>
    </row>
    <row r="89" spans="11:12" x14ac:dyDescent="0.25">
      <c r="K89" s="425"/>
      <c r="L89" s="232"/>
    </row>
    <row r="90" spans="11:12" x14ac:dyDescent="0.25">
      <c r="K90" s="425"/>
      <c r="L90" s="232"/>
    </row>
    <row r="91" spans="11:12" x14ac:dyDescent="0.25">
      <c r="K91" s="425"/>
      <c r="L91" s="232"/>
    </row>
    <row r="92" spans="11:12" x14ac:dyDescent="0.25">
      <c r="K92" s="425"/>
      <c r="L92" s="232"/>
    </row>
    <row r="93" spans="11:12" x14ac:dyDescent="0.25">
      <c r="K93" s="425"/>
      <c r="L93" s="232"/>
    </row>
    <row r="94" spans="11:12" x14ac:dyDescent="0.25">
      <c r="K94" s="425"/>
      <c r="L94" s="232"/>
    </row>
    <row r="95" spans="11:12" x14ac:dyDescent="0.25">
      <c r="K95" s="425"/>
      <c r="L95" s="232"/>
    </row>
    <row r="96" spans="11:12" x14ac:dyDescent="0.25">
      <c r="K96" s="425"/>
      <c r="L96" s="232"/>
    </row>
    <row r="97" spans="11:12" x14ac:dyDescent="0.25">
      <c r="K97" s="425"/>
      <c r="L97" s="232"/>
    </row>
    <row r="98" spans="11:12" x14ac:dyDescent="0.25">
      <c r="K98" s="425"/>
      <c r="L98" s="232"/>
    </row>
    <row r="99" spans="11:12" x14ac:dyDescent="0.25">
      <c r="K99" s="425"/>
      <c r="L99" s="232"/>
    </row>
    <row r="100" spans="11:12" x14ac:dyDescent="0.25">
      <c r="K100" s="425"/>
      <c r="L100" s="232"/>
    </row>
    <row r="101" spans="11:12" x14ac:dyDescent="0.25">
      <c r="K101" s="425"/>
      <c r="L101" s="232"/>
    </row>
    <row r="102" spans="11:12" x14ac:dyDescent="0.25">
      <c r="K102" s="425"/>
      <c r="L102" s="232"/>
    </row>
    <row r="103" spans="11:12" x14ac:dyDescent="0.25">
      <c r="K103" s="425"/>
      <c r="L103" s="232"/>
    </row>
    <row r="104" spans="11:12" x14ac:dyDescent="0.25">
      <c r="K104" s="425"/>
      <c r="L104" s="232"/>
    </row>
    <row r="105" spans="11:12" x14ac:dyDescent="0.25">
      <c r="K105" s="425"/>
      <c r="L105" s="232"/>
    </row>
    <row r="106" spans="11:12" x14ac:dyDescent="0.25">
      <c r="K106" s="425"/>
      <c r="L106" s="232"/>
    </row>
    <row r="107" spans="11:12" x14ac:dyDescent="0.25">
      <c r="K107" s="425"/>
      <c r="L107" s="232"/>
    </row>
    <row r="108" spans="11:12" x14ac:dyDescent="0.25">
      <c r="K108" s="425"/>
      <c r="L108" s="232"/>
    </row>
    <row r="109" spans="11:12" x14ac:dyDescent="0.25">
      <c r="K109" s="425"/>
      <c r="L109" s="232"/>
    </row>
    <row r="110" spans="11:12" x14ac:dyDescent="0.25">
      <c r="K110" s="425"/>
      <c r="L110" s="232"/>
    </row>
    <row r="111" spans="11:12" x14ac:dyDescent="0.25">
      <c r="K111" s="425"/>
      <c r="L111" s="232"/>
    </row>
    <row r="112" spans="11:12" x14ac:dyDescent="0.25">
      <c r="K112" s="425"/>
      <c r="L112" s="232"/>
    </row>
    <row r="113" spans="11:12" x14ac:dyDescent="0.25">
      <c r="K113" s="425"/>
      <c r="L113" s="232"/>
    </row>
    <row r="114" spans="11:12" x14ac:dyDescent="0.25">
      <c r="K114" s="425"/>
      <c r="L114" s="232"/>
    </row>
    <row r="115" spans="11:12" x14ac:dyDescent="0.25">
      <c r="K115" s="425"/>
      <c r="L115" s="232"/>
    </row>
    <row r="116" spans="11:12" x14ac:dyDescent="0.25">
      <c r="K116" s="425"/>
      <c r="L116" s="232"/>
    </row>
    <row r="117" spans="11:12" x14ac:dyDescent="0.25">
      <c r="K117" s="425"/>
      <c r="L117" s="232"/>
    </row>
    <row r="118" spans="11:12" x14ac:dyDescent="0.25">
      <c r="K118" s="425"/>
      <c r="L118" s="232"/>
    </row>
    <row r="119" spans="11:12" x14ac:dyDescent="0.25">
      <c r="K119" s="425"/>
      <c r="L119" s="232"/>
    </row>
    <row r="120" spans="11:12" x14ac:dyDescent="0.25">
      <c r="K120" s="425"/>
      <c r="L120" s="232"/>
    </row>
    <row r="121" spans="11:12" x14ac:dyDescent="0.25">
      <c r="K121" s="425"/>
      <c r="L121" s="232"/>
    </row>
    <row r="122" spans="11:12" x14ac:dyDescent="0.25">
      <c r="K122" s="425"/>
      <c r="L122" s="232"/>
    </row>
    <row r="123" spans="11:12" x14ac:dyDescent="0.25">
      <c r="K123" s="425"/>
      <c r="L123" s="232"/>
    </row>
    <row r="124" spans="11:12" x14ac:dyDescent="0.25">
      <c r="K124" s="425"/>
      <c r="L124" s="232"/>
    </row>
    <row r="125" spans="11:12" x14ac:dyDescent="0.25">
      <c r="K125" s="425"/>
      <c r="L125" s="232"/>
    </row>
    <row r="126" spans="11:12" x14ac:dyDescent="0.25">
      <c r="K126" s="425"/>
      <c r="L126" s="232"/>
    </row>
    <row r="127" spans="11:12" x14ac:dyDescent="0.25">
      <c r="K127" s="425"/>
      <c r="L127" s="232"/>
    </row>
    <row r="128" spans="11:12" x14ac:dyDescent="0.25">
      <c r="K128" s="425"/>
      <c r="L128" s="232"/>
    </row>
    <row r="129" spans="11:12" x14ac:dyDescent="0.25">
      <c r="K129" s="425"/>
      <c r="L129" s="232"/>
    </row>
    <row r="130" spans="11:12" x14ac:dyDescent="0.25">
      <c r="K130" s="425"/>
      <c r="L130" s="232"/>
    </row>
    <row r="131" spans="11:12" x14ac:dyDescent="0.25">
      <c r="K131" s="425"/>
      <c r="L131" s="232"/>
    </row>
    <row r="132" spans="11:12" x14ac:dyDescent="0.25">
      <c r="K132" s="425"/>
      <c r="L132" s="232"/>
    </row>
    <row r="133" spans="11:12" x14ac:dyDescent="0.25">
      <c r="K133" s="425"/>
      <c r="L133" s="232"/>
    </row>
    <row r="134" spans="11:12" x14ac:dyDescent="0.25">
      <c r="K134" s="425"/>
      <c r="L134" s="232"/>
    </row>
    <row r="135" spans="11:12" x14ac:dyDescent="0.25">
      <c r="K135" s="425"/>
      <c r="L135" s="232"/>
    </row>
    <row r="136" spans="11:12" x14ac:dyDescent="0.25">
      <c r="K136" s="425"/>
      <c r="L136" s="232"/>
    </row>
    <row r="137" spans="11:12" x14ac:dyDescent="0.25">
      <c r="K137" s="425"/>
      <c r="L137" s="232"/>
    </row>
    <row r="138" spans="11:12" x14ac:dyDescent="0.25">
      <c r="K138" s="425"/>
      <c r="L138" s="232"/>
    </row>
    <row r="139" spans="11:12" x14ac:dyDescent="0.25">
      <c r="K139" s="425"/>
      <c r="L139" s="232"/>
    </row>
    <row r="140" spans="11:12" x14ac:dyDescent="0.25">
      <c r="K140" s="425"/>
      <c r="L140" s="232"/>
    </row>
    <row r="141" spans="11:12" x14ac:dyDescent="0.25">
      <c r="K141" s="425"/>
      <c r="L141" s="232"/>
    </row>
    <row r="142" spans="11:12" x14ac:dyDescent="0.25">
      <c r="K142" s="425"/>
      <c r="L142" s="232"/>
    </row>
    <row r="143" spans="11:12" x14ac:dyDescent="0.25">
      <c r="K143" s="425"/>
      <c r="L143" s="232"/>
    </row>
    <row r="144" spans="11:12" x14ac:dyDescent="0.25">
      <c r="K144" s="425"/>
      <c r="L144" s="232"/>
    </row>
    <row r="145" spans="11:12" x14ac:dyDescent="0.25">
      <c r="K145" s="425"/>
      <c r="L145" s="232"/>
    </row>
    <row r="146" spans="11:12" x14ac:dyDescent="0.25">
      <c r="K146" s="425"/>
      <c r="L146" s="232"/>
    </row>
    <row r="147" spans="11:12" x14ac:dyDescent="0.25">
      <c r="K147" s="425"/>
      <c r="L147" s="232"/>
    </row>
    <row r="148" spans="11:12" x14ac:dyDescent="0.25">
      <c r="K148" s="425"/>
      <c r="L148" s="232"/>
    </row>
    <row r="149" spans="11:12" x14ac:dyDescent="0.25">
      <c r="K149" s="425"/>
      <c r="L149" s="232"/>
    </row>
    <row r="150" spans="11:12" x14ac:dyDescent="0.25">
      <c r="K150" s="425"/>
      <c r="L150" s="232"/>
    </row>
    <row r="151" spans="11:12" x14ac:dyDescent="0.25">
      <c r="K151" s="425"/>
      <c r="L151" s="232"/>
    </row>
    <row r="152" spans="11:12" x14ac:dyDescent="0.25">
      <c r="K152" s="425"/>
      <c r="L152" s="232"/>
    </row>
    <row r="153" spans="11:12" x14ac:dyDescent="0.25">
      <c r="K153" s="425"/>
      <c r="L153" s="232"/>
    </row>
    <row r="154" spans="11:12" x14ac:dyDescent="0.25">
      <c r="K154" s="425"/>
      <c r="L154" s="232"/>
    </row>
    <row r="155" spans="11:12" x14ac:dyDescent="0.25">
      <c r="K155" s="425"/>
      <c r="L155" s="232"/>
    </row>
    <row r="156" spans="11:12" x14ac:dyDescent="0.25">
      <c r="K156" s="425"/>
      <c r="L156" s="232"/>
    </row>
    <row r="157" spans="11:12" x14ac:dyDescent="0.25">
      <c r="K157" s="425"/>
      <c r="L157" s="232"/>
    </row>
    <row r="158" spans="11:12" x14ac:dyDescent="0.25">
      <c r="K158" s="425"/>
      <c r="L158" s="232"/>
    </row>
    <row r="159" spans="11:12" x14ac:dyDescent="0.25">
      <c r="K159" s="425"/>
      <c r="L159" s="232"/>
    </row>
    <row r="160" spans="11:12" x14ac:dyDescent="0.25">
      <c r="K160" s="425"/>
      <c r="L160" s="232"/>
    </row>
    <row r="161" spans="11:12" x14ac:dyDescent="0.25">
      <c r="K161" s="425"/>
      <c r="L161" s="232"/>
    </row>
    <row r="162" spans="11:12" x14ac:dyDescent="0.25">
      <c r="K162" s="425"/>
      <c r="L162" s="232"/>
    </row>
    <row r="163" spans="11:12" x14ac:dyDescent="0.25">
      <c r="K163" s="425"/>
      <c r="L163" s="232"/>
    </row>
    <row r="164" spans="11:12" x14ac:dyDescent="0.25">
      <c r="K164" s="425"/>
      <c r="L164" s="232"/>
    </row>
    <row r="165" spans="11:12" x14ac:dyDescent="0.25">
      <c r="K165" s="425"/>
      <c r="L165" s="232"/>
    </row>
    <row r="166" spans="11:12" x14ac:dyDescent="0.25">
      <c r="K166" s="425"/>
      <c r="L166" s="232"/>
    </row>
    <row r="167" spans="11:12" x14ac:dyDescent="0.25">
      <c r="K167" s="425"/>
      <c r="L167" s="232"/>
    </row>
    <row r="168" spans="11:12" x14ac:dyDescent="0.25">
      <c r="K168" s="425"/>
      <c r="L168" s="232"/>
    </row>
    <row r="169" spans="11:12" x14ac:dyDescent="0.25">
      <c r="K169" s="425"/>
      <c r="L169" s="232"/>
    </row>
    <row r="170" spans="11:12" x14ac:dyDescent="0.25">
      <c r="K170" s="425"/>
      <c r="L170" s="232"/>
    </row>
    <row r="171" spans="11:12" x14ac:dyDescent="0.25">
      <c r="K171" s="425"/>
      <c r="L171" s="232"/>
    </row>
    <row r="172" spans="11:12" x14ac:dyDescent="0.25">
      <c r="K172" s="425"/>
      <c r="L172" s="232"/>
    </row>
    <row r="173" spans="11:12" x14ac:dyDescent="0.25">
      <c r="K173" s="425"/>
      <c r="L173" s="232"/>
    </row>
    <row r="174" spans="11:12" x14ac:dyDescent="0.25">
      <c r="K174" s="425"/>
      <c r="L174" s="232"/>
    </row>
    <row r="175" spans="11:12" x14ac:dyDescent="0.25">
      <c r="K175" s="425"/>
      <c r="L175" s="232"/>
    </row>
    <row r="176" spans="11:12" x14ac:dyDescent="0.25">
      <c r="K176" s="425"/>
      <c r="L176" s="232"/>
    </row>
    <row r="177" spans="11:12" x14ac:dyDescent="0.25">
      <c r="K177" s="425"/>
      <c r="L177" s="232"/>
    </row>
    <row r="178" spans="11:12" x14ac:dyDescent="0.25">
      <c r="K178" s="425"/>
      <c r="L178" s="232"/>
    </row>
    <row r="179" spans="11:12" x14ac:dyDescent="0.25">
      <c r="K179" s="425"/>
      <c r="L179" s="232"/>
    </row>
    <row r="180" spans="11:12" x14ac:dyDescent="0.25">
      <c r="K180" s="425"/>
      <c r="L180" s="232"/>
    </row>
    <row r="181" spans="11:12" x14ac:dyDescent="0.25">
      <c r="K181" s="425"/>
      <c r="L181" s="232"/>
    </row>
    <row r="182" spans="11:12" x14ac:dyDescent="0.25">
      <c r="K182" s="425"/>
      <c r="L182" s="232"/>
    </row>
    <row r="183" spans="11:12" x14ac:dyDescent="0.25">
      <c r="K183" s="425"/>
      <c r="L183" s="232"/>
    </row>
    <row r="184" spans="11:12" x14ac:dyDescent="0.25">
      <c r="K184" s="425"/>
      <c r="L184" s="232"/>
    </row>
    <row r="185" spans="11:12" x14ac:dyDescent="0.25">
      <c r="K185" s="425"/>
      <c r="L185" s="232"/>
    </row>
    <row r="186" spans="11:12" x14ac:dyDescent="0.25">
      <c r="K186" s="425"/>
      <c r="L186" s="232"/>
    </row>
    <row r="187" spans="11:12" x14ac:dyDescent="0.25">
      <c r="K187" s="425"/>
      <c r="L187" s="232"/>
    </row>
    <row r="188" spans="11:12" x14ac:dyDescent="0.25">
      <c r="K188" s="425"/>
      <c r="L188" s="232"/>
    </row>
    <row r="189" spans="11:12" x14ac:dyDescent="0.25">
      <c r="K189" s="425"/>
      <c r="L189" s="232"/>
    </row>
    <row r="190" spans="11:12" x14ac:dyDescent="0.25">
      <c r="K190" s="425"/>
      <c r="L190" s="232"/>
    </row>
    <row r="191" spans="11:12" x14ac:dyDescent="0.25">
      <c r="K191" s="425"/>
      <c r="L191" s="232"/>
    </row>
    <row r="192" spans="11:12" x14ac:dyDescent="0.25">
      <c r="K192" s="425"/>
      <c r="L192" s="232"/>
    </row>
    <row r="193" spans="11:12" x14ac:dyDescent="0.25">
      <c r="K193" s="425"/>
      <c r="L193" s="232"/>
    </row>
    <row r="194" spans="11:12" x14ac:dyDescent="0.25">
      <c r="K194" s="425"/>
      <c r="L194" s="232"/>
    </row>
    <row r="195" spans="11:12" x14ac:dyDescent="0.25">
      <c r="K195" s="425"/>
      <c r="L195" s="232"/>
    </row>
    <row r="196" spans="11:12" x14ac:dyDescent="0.25">
      <c r="K196" s="425"/>
      <c r="L196" s="232"/>
    </row>
    <row r="197" spans="11:12" x14ac:dyDescent="0.25">
      <c r="K197" s="425"/>
      <c r="L197" s="232"/>
    </row>
    <row r="198" spans="11:12" x14ac:dyDescent="0.25">
      <c r="K198" s="425"/>
      <c r="L198" s="232"/>
    </row>
    <row r="199" spans="11:12" x14ac:dyDescent="0.25">
      <c r="K199" s="425"/>
      <c r="L199" s="232"/>
    </row>
    <row r="200" spans="11:12" x14ac:dyDescent="0.25">
      <c r="K200" s="425"/>
      <c r="L200" s="232"/>
    </row>
    <row r="201" spans="11:12" x14ac:dyDescent="0.25">
      <c r="K201" s="425"/>
      <c r="L201" s="232"/>
    </row>
    <row r="202" spans="11:12" x14ac:dyDescent="0.25">
      <c r="K202" s="425"/>
      <c r="L202" s="232"/>
    </row>
    <row r="203" spans="11:12" x14ac:dyDescent="0.25">
      <c r="K203" s="425"/>
      <c r="L203" s="232"/>
    </row>
    <row r="204" spans="11:12" x14ac:dyDescent="0.25">
      <c r="K204" s="425"/>
      <c r="L204" s="232"/>
    </row>
    <row r="205" spans="11:12" x14ac:dyDescent="0.25">
      <c r="K205" s="425"/>
      <c r="L205" s="232"/>
    </row>
    <row r="206" spans="11:12" x14ac:dyDescent="0.25">
      <c r="K206" s="425"/>
      <c r="L206" s="232"/>
    </row>
    <row r="207" spans="11:12" x14ac:dyDescent="0.25">
      <c r="K207" s="425"/>
      <c r="L207" s="232"/>
    </row>
    <row r="208" spans="11:12" x14ac:dyDescent="0.25">
      <c r="K208" s="425"/>
      <c r="L208" s="232"/>
    </row>
    <row r="209" spans="11:12" x14ac:dyDescent="0.25">
      <c r="K209" s="425"/>
      <c r="L209" s="232"/>
    </row>
    <row r="210" spans="11:12" x14ac:dyDescent="0.25">
      <c r="K210" s="425"/>
      <c r="L210" s="232"/>
    </row>
    <row r="211" spans="11:12" x14ac:dyDescent="0.25">
      <c r="K211" s="425"/>
      <c r="L211" s="232"/>
    </row>
    <row r="212" spans="11:12" x14ac:dyDescent="0.25">
      <c r="K212" s="425"/>
      <c r="L212" s="232"/>
    </row>
    <row r="213" spans="11:12" x14ac:dyDescent="0.25">
      <c r="K213" s="425"/>
      <c r="L213" s="232"/>
    </row>
    <row r="214" spans="11:12" x14ac:dyDescent="0.25">
      <c r="K214" s="425"/>
      <c r="L214" s="232"/>
    </row>
    <row r="215" spans="11:12" x14ac:dyDescent="0.25">
      <c r="K215" s="425"/>
      <c r="L215" s="232"/>
    </row>
    <row r="216" spans="11:12" x14ac:dyDescent="0.25">
      <c r="K216" s="425"/>
      <c r="L216" s="232"/>
    </row>
    <row r="217" spans="11:12" x14ac:dyDescent="0.25">
      <c r="K217" s="425"/>
      <c r="L217" s="232"/>
    </row>
    <row r="218" spans="11:12" x14ac:dyDescent="0.25">
      <c r="K218" s="425"/>
      <c r="L218" s="232"/>
    </row>
    <row r="219" spans="11:12" x14ac:dyDescent="0.25">
      <c r="K219" s="425"/>
      <c r="L219" s="232"/>
    </row>
    <row r="220" spans="11:12" x14ac:dyDescent="0.25">
      <c r="K220" s="425"/>
      <c r="L220" s="232"/>
    </row>
    <row r="221" spans="11:12" x14ac:dyDescent="0.25">
      <c r="K221" s="425"/>
      <c r="L221" s="232"/>
    </row>
    <row r="222" spans="11:12" x14ac:dyDescent="0.25">
      <c r="K222" s="425"/>
      <c r="L222" s="232"/>
    </row>
    <row r="223" spans="11:12" x14ac:dyDescent="0.25">
      <c r="K223" s="425"/>
      <c r="L223" s="232"/>
    </row>
    <row r="224" spans="11:12" x14ac:dyDescent="0.25">
      <c r="K224" s="425"/>
      <c r="L224" s="232"/>
    </row>
    <row r="225" spans="11:12" x14ac:dyDescent="0.25">
      <c r="K225" s="425"/>
      <c r="L225" s="232"/>
    </row>
    <row r="226" spans="11:12" x14ac:dyDescent="0.25">
      <c r="K226" s="425"/>
      <c r="L226" s="232"/>
    </row>
    <row r="227" spans="11:12" x14ac:dyDescent="0.25">
      <c r="K227" s="425"/>
      <c r="L227" s="232"/>
    </row>
    <row r="228" spans="11:12" x14ac:dyDescent="0.25">
      <c r="K228" s="425"/>
      <c r="L228" s="232"/>
    </row>
    <row r="229" spans="11:12" x14ac:dyDescent="0.25">
      <c r="K229" s="425"/>
      <c r="L229" s="232"/>
    </row>
    <row r="230" spans="11:12" x14ac:dyDescent="0.25">
      <c r="K230" s="425"/>
      <c r="L230" s="232"/>
    </row>
    <row r="231" spans="11:12" x14ac:dyDescent="0.25">
      <c r="K231" s="425"/>
      <c r="L231" s="232"/>
    </row>
    <row r="232" spans="11:12" x14ac:dyDescent="0.25">
      <c r="K232" s="425"/>
      <c r="L232" s="232"/>
    </row>
    <row r="233" spans="11:12" x14ac:dyDescent="0.25">
      <c r="K233" s="425"/>
      <c r="L233" s="232"/>
    </row>
    <row r="234" spans="11:12" x14ac:dyDescent="0.25">
      <c r="K234" s="425"/>
      <c r="L234" s="232"/>
    </row>
    <row r="235" spans="11:12" x14ac:dyDescent="0.25">
      <c r="K235" s="425"/>
      <c r="L235" s="232"/>
    </row>
    <row r="236" spans="11:12" x14ac:dyDescent="0.25">
      <c r="K236" s="425"/>
      <c r="L236" s="232"/>
    </row>
    <row r="237" spans="11:12" x14ac:dyDescent="0.25">
      <c r="K237" s="425"/>
      <c r="L237" s="232"/>
    </row>
    <row r="238" spans="11:12" x14ac:dyDescent="0.25">
      <c r="K238" s="425"/>
      <c r="L238" s="232"/>
    </row>
    <row r="239" spans="11:12" x14ac:dyDescent="0.25">
      <c r="K239" s="425"/>
      <c r="L239" s="232"/>
    </row>
    <row r="240" spans="11:12" x14ac:dyDescent="0.25">
      <c r="K240" s="425"/>
      <c r="L240" s="232"/>
    </row>
    <row r="241" spans="11:12" x14ac:dyDescent="0.25">
      <c r="K241" s="425"/>
      <c r="L241" s="232"/>
    </row>
    <row r="242" spans="11:12" x14ac:dyDescent="0.25">
      <c r="K242" s="425"/>
      <c r="L242" s="232"/>
    </row>
    <row r="243" spans="11:12" x14ac:dyDescent="0.25">
      <c r="K243" s="425"/>
      <c r="L243" s="232"/>
    </row>
    <row r="244" spans="11:12" x14ac:dyDescent="0.25">
      <c r="K244" s="425"/>
      <c r="L244" s="232"/>
    </row>
    <row r="245" spans="11:12" x14ac:dyDescent="0.25">
      <c r="K245" s="425"/>
      <c r="L245" s="232"/>
    </row>
    <row r="246" spans="11:12" x14ac:dyDescent="0.25">
      <c r="K246" s="425"/>
      <c r="L246" s="232"/>
    </row>
    <row r="247" spans="11:12" x14ac:dyDescent="0.25">
      <c r="K247" s="425"/>
      <c r="L247" s="232"/>
    </row>
    <row r="248" spans="11:12" x14ac:dyDescent="0.25">
      <c r="K248" s="425"/>
      <c r="L248" s="232"/>
    </row>
    <row r="249" spans="11:12" x14ac:dyDescent="0.25">
      <c r="K249" s="425"/>
      <c r="L249" s="232"/>
    </row>
    <row r="250" spans="11:12" x14ac:dyDescent="0.25">
      <c r="K250" s="425"/>
      <c r="L250" s="232"/>
    </row>
    <row r="251" spans="11:12" x14ac:dyDescent="0.25">
      <c r="K251" s="425"/>
      <c r="L251" s="232"/>
    </row>
    <row r="252" spans="11:12" x14ac:dyDescent="0.25">
      <c r="K252" s="425"/>
      <c r="L252" s="232"/>
    </row>
    <row r="253" spans="11:12" x14ac:dyDescent="0.25">
      <c r="K253" s="425"/>
      <c r="L253" s="232"/>
    </row>
    <row r="254" spans="11:12" x14ac:dyDescent="0.25">
      <c r="K254" s="425"/>
      <c r="L254" s="232"/>
    </row>
    <row r="255" spans="11:12" x14ac:dyDescent="0.25">
      <c r="K255" s="425"/>
      <c r="L255" s="232"/>
    </row>
    <row r="256" spans="11:12" x14ac:dyDescent="0.25">
      <c r="K256" s="425"/>
      <c r="L256" s="232"/>
    </row>
    <row r="257" spans="11:12" x14ac:dyDescent="0.25">
      <c r="K257" s="425"/>
      <c r="L257" s="232"/>
    </row>
    <row r="258" spans="11:12" x14ac:dyDescent="0.25">
      <c r="K258" s="425"/>
      <c r="L258" s="232"/>
    </row>
    <row r="259" spans="11:12" x14ac:dyDescent="0.25">
      <c r="K259" s="425"/>
      <c r="L259" s="232"/>
    </row>
    <row r="260" spans="11:12" x14ac:dyDescent="0.25">
      <c r="K260" s="425"/>
      <c r="L260" s="232"/>
    </row>
    <row r="261" spans="11:12" x14ac:dyDescent="0.25">
      <c r="K261" s="425"/>
      <c r="L261" s="232"/>
    </row>
    <row r="262" spans="11:12" x14ac:dyDescent="0.25">
      <c r="K262" s="425"/>
      <c r="L262" s="232"/>
    </row>
    <row r="263" spans="11:12" x14ac:dyDescent="0.25">
      <c r="K263" s="425"/>
      <c r="L263" s="232"/>
    </row>
    <row r="264" spans="11:12" x14ac:dyDescent="0.25">
      <c r="K264" s="425"/>
      <c r="L264" s="232"/>
    </row>
    <row r="265" spans="11:12" x14ac:dyDescent="0.25">
      <c r="K265" s="425"/>
      <c r="L265" s="232"/>
    </row>
    <row r="266" spans="11:12" x14ac:dyDescent="0.25">
      <c r="K266" s="425"/>
      <c r="L266" s="232"/>
    </row>
    <row r="267" spans="11:12" x14ac:dyDescent="0.25">
      <c r="K267" s="425"/>
      <c r="L267" s="232"/>
    </row>
    <row r="268" spans="11:12" x14ac:dyDescent="0.25">
      <c r="K268" s="425"/>
      <c r="L268" s="232"/>
    </row>
    <row r="269" spans="11:12" x14ac:dyDescent="0.25">
      <c r="K269" s="425"/>
      <c r="L269" s="232"/>
    </row>
    <row r="270" spans="11:12" x14ac:dyDescent="0.25">
      <c r="K270" s="425"/>
      <c r="L270" s="232"/>
    </row>
    <row r="271" spans="11:12" x14ac:dyDescent="0.25">
      <c r="K271" s="425"/>
      <c r="L271" s="232"/>
    </row>
    <row r="272" spans="11:12" x14ac:dyDescent="0.25">
      <c r="K272" s="425"/>
      <c r="L272" s="232"/>
    </row>
    <row r="273" spans="11:12" x14ac:dyDescent="0.25">
      <c r="K273" s="425"/>
      <c r="L273" s="232"/>
    </row>
    <row r="274" spans="11:12" x14ac:dyDescent="0.25">
      <c r="K274" s="425"/>
      <c r="L274" s="232"/>
    </row>
    <row r="275" spans="11:12" x14ac:dyDescent="0.25">
      <c r="K275" s="425"/>
      <c r="L275" s="232"/>
    </row>
    <row r="276" spans="11:12" x14ac:dyDescent="0.25">
      <c r="K276" s="425"/>
      <c r="L276" s="232"/>
    </row>
    <row r="277" spans="11:12" x14ac:dyDescent="0.25">
      <c r="K277" s="425"/>
      <c r="L277" s="232"/>
    </row>
    <row r="278" spans="11:12" x14ac:dyDescent="0.25">
      <c r="K278" s="425"/>
      <c r="L278" s="232"/>
    </row>
    <row r="279" spans="11:12" x14ac:dyDescent="0.25">
      <c r="K279" s="425"/>
      <c r="L279" s="232"/>
    </row>
    <row r="280" spans="11:12" x14ac:dyDescent="0.25">
      <c r="K280" s="425"/>
      <c r="L280" s="232"/>
    </row>
    <row r="281" spans="11:12" x14ac:dyDescent="0.25">
      <c r="K281" s="425"/>
      <c r="L281" s="232"/>
    </row>
    <row r="282" spans="11:12" x14ac:dyDescent="0.25">
      <c r="K282" s="425"/>
      <c r="L282" s="232"/>
    </row>
    <row r="283" spans="11:12" x14ac:dyDescent="0.25">
      <c r="K283" s="425"/>
      <c r="L283" s="232"/>
    </row>
    <row r="284" spans="11:12" x14ac:dyDescent="0.25">
      <c r="K284" s="425"/>
      <c r="L284" s="232"/>
    </row>
    <row r="285" spans="11:12" x14ac:dyDescent="0.25">
      <c r="K285" s="425"/>
      <c r="L285" s="232"/>
    </row>
    <row r="286" spans="11:12" x14ac:dyDescent="0.25">
      <c r="K286" s="425"/>
      <c r="L286" s="232"/>
    </row>
    <row r="287" spans="11:12" x14ac:dyDescent="0.25">
      <c r="K287" s="425"/>
      <c r="L287" s="232"/>
    </row>
    <row r="288" spans="11:12" x14ac:dyDescent="0.25">
      <c r="K288" s="425"/>
      <c r="L288" s="232"/>
    </row>
    <row r="289" spans="11:12" x14ac:dyDescent="0.25">
      <c r="K289" s="425"/>
      <c r="L289" s="232"/>
    </row>
    <row r="290" spans="11:12" x14ac:dyDescent="0.25">
      <c r="K290" s="425"/>
      <c r="L290" s="232"/>
    </row>
    <row r="291" spans="11:12" x14ac:dyDescent="0.25">
      <c r="K291" s="425"/>
      <c r="L291" s="232"/>
    </row>
    <row r="292" spans="11:12" x14ac:dyDescent="0.25">
      <c r="K292" s="425"/>
      <c r="L292" s="232"/>
    </row>
    <row r="293" spans="11:12" x14ac:dyDescent="0.25">
      <c r="K293" s="425"/>
      <c r="L293" s="232"/>
    </row>
    <row r="294" spans="11:12" x14ac:dyDescent="0.25">
      <c r="K294" s="425"/>
      <c r="L294" s="232"/>
    </row>
    <row r="295" spans="11:12" x14ac:dyDescent="0.25">
      <c r="K295" s="425"/>
      <c r="L295" s="232"/>
    </row>
    <row r="296" spans="11:12" x14ac:dyDescent="0.25">
      <c r="K296" s="425"/>
      <c r="L296" s="232"/>
    </row>
    <row r="297" spans="11:12" x14ac:dyDescent="0.25">
      <c r="K297" s="425"/>
      <c r="L297" s="232"/>
    </row>
    <row r="298" spans="11:12" x14ac:dyDescent="0.25">
      <c r="K298" s="425"/>
      <c r="L298" s="232"/>
    </row>
    <row r="299" spans="11:12" x14ac:dyDescent="0.25">
      <c r="K299" s="425"/>
      <c r="L299" s="232"/>
    </row>
    <row r="300" spans="11:12" x14ac:dyDescent="0.25">
      <c r="K300" s="425"/>
      <c r="L300" s="232"/>
    </row>
    <row r="301" spans="11:12" x14ac:dyDescent="0.25">
      <c r="K301" s="425"/>
      <c r="L301" s="232"/>
    </row>
    <row r="302" spans="11:12" x14ac:dyDescent="0.25">
      <c r="K302" s="425"/>
      <c r="L302" s="232"/>
    </row>
    <row r="303" spans="11:12" x14ac:dyDescent="0.25">
      <c r="K303" s="425"/>
      <c r="L303" s="232"/>
    </row>
    <row r="304" spans="11:12" x14ac:dyDescent="0.25">
      <c r="K304" s="425"/>
      <c r="L304" s="232"/>
    </row>
    <row r="305" spans="11:12" x14ac:dyDescent="0.25">
      <c r="K305" s="425"/>
      <c r="L305" s="232"/>
    </row>
    <row r="306" spans="11:12" x14ac:dyDescent="0.25">
      <c r="K306" s="425"/>
      <c r="L306" s="232"/>
    </row>
    <row r="307" spans="11:12" x14ac:dyDescent="0.25">
      <c r="K307" s="425"/>
      <c r="L307" s="232"/>
    </row>
    <row r="308" spans="11:12" x14ac:dyDescent="0.25">
      <c r="K308" s="425"/>
      <c r="L308" s="232"/>
    </row>
    <row r="309" spans="11:12" x14ac:dyDescent="0.25">
      <c r="K309" s="425"/>
      <c r="L309" s="232"/>
    </row>
    <row r="310" spans="11:12" x14ac:dyDescent="0.25">
      <c r="K310" s="425"/>
      <c r="L310" s="232"/>
    </row>
    <row r="311" spans="11:12" x14ac:dyDescent="0.25">
      <c r="K311" s="425"/>
      <c r="L311" s="232"/>
    </row>
    <row r="312" spans="11:12" x14ac:dyDescent="0.25">
      <c r="K312" s="425"/>
      <c r="L312" s="232"/>
    </row>
    <row r="313" spans="11:12" x14ac:dyDescent="0.25">
      <c r="K313" s="425"/>
      <c r="L313" s="232"/>
    </row>
    <row r="314" spans="11:12" x14ac:dyDescent="0.25">
      <c r="K314" s="425"/>
      <c r="L314" s="232"/>
    </row>
    <row r="315" spans="11:12" x14ac:dyDescent="0.25">
      <c r="K315" s="425"/>
      <c r="L315" s="232"/>
    </row>
    <row r="316" spans="11:12" x14ac:dyDescent="0.25">
      <c r="K316" s="425"/>
      <c r="L316" s="232"/>
    </row>
    <row r="317" spans="11:12" x14ac:dyDescent="0.25">
      <c r="K317" s="425"/>
      <c r="L317" s="232"/>
    </row>
    <row r="318" spans="11:12" x14ac:dyDescent="0.25">
      <c r="K318" s="425"/>
      <c r="L318" s="232"/>
    </row>
    <row r="319" spans="11:12" x14ac:dyDescent="0.25">
      <c r="K319" s="425"/>
      <c r="L319" s="232"/>
    </row>
    <row r="320" spans="11:12" x14ac:dyDescent="0.25">
      <c r="K320" s="425"/>
      <c r="L320" s="232"/>
    </row>
    <row r="321" spans="11:12" x14ac:dyDescent="0.25">
      <c r="K321" s="425"/>
      <c r="L321" s="232"/>
    </row>
    <row r="322" spans="11:12" x14ac:dyDescent="0.25">
      <c r="K322" s="425"/>
      <c r="L322" s="232"/>
    </row>
    <row r="323" spans="11:12" x14ac:dyDescent="0.25">
      <c r="K323" s="425"/>
      <c r="L323" s="232"/>
    </row>
    <row r="324" spans="11:12" x14ac:dyDescent="0.25">
      <c r="K324" s="425"/>
      <c r="L324" s="232"/>
    </row>
    <row r="325" spans="11:12" x14ac:dyDescent="0.25">
      <c r="K325" s="425"/>
      <c r="L325" s="232"/>
    </row>
    <row r="326" spans="11:12" x14ac:dyDescent="0.25">
      <c r="K326" s="425"/>
      <c r="L326" s="232"/>
    </row>
    <row r="327" spans="11:12" x14ac:dyDescent="0.25">
      <c r="K327" s="425"/>
      <c r="L327" s="232"/>
    </row>
    <row r="328" spans="11:12" x14ac:dyDescent="0.25">
      <c r="K328" s="425"/>
      <c r="L328" s="232"/>
    </row>
    <row r="329" spans="11:12" x14ac:dyDescent="0.25">
      <c r="K329" s="425"/>
      <c r="L329" s="232"/>
    </row>
    <row r="330" spans="11:12" x14ac:dyDescent="0.25">
      <c r="K330" s="425"/>
      <c r="L330" s="232"/>
    </row>
    <row r="331" spans="11:12" x14ac:dyDescent="0.25">
      <c r="K331" s="425"/>
      <c r="L331" s="232"/>
    </row>
    <row r="332" spans="11:12" x14ac:dyDescent="0.25">
      <c r="K332" s="425"/>
      <c r="L332" s="232"/>
    </row>
    <row r="333" spans="11:12" x14ac:dyDescent="0.25">
      <c r="K333" s="425"/>
      <c r="L333" s="232"/>
    </row>
    <row r="334" spans="11:12" x14ac:dyDescent="0.25">
      <c r="K334" s="425"/>
      <c r="L334" s="232"/>
    </row>
    <row r="335" spans="11:12" x14ac:dyDescent="0.25">
      <c r="K335" s="425"/>
      <c r="L335" s="232"/>
    </row>
    <row r="336" spans="11:12" x14ac:dyDescent="0.25">
      <c r="K336" s="425"/>
      <c r="L336" s="232"/>
    </row>
    <row r="337" spans="11:12" x14ac:dyDescent="0.25">
      <c r="K337" s="425"/>
      <c r="L337" s="232"/>
    </row>
    <row r="338" spans="11:12" x14ac:dyDescent="0.25">
      <c r="K338" s="425"/>
      <c r="L338" s="232"/>
    </row>
    <row r="339" spans="11:12" x14ac:dyDescent="0.25">
      <c r="K339" s="425"/>
      <c r="L339" s="232"/>
    </row>
    <row r="340" spans="11:12" x14ac:dyDescent="0.25">
      <c r="K340" s="425"/>
      <c r="L340" s="232"/>
    </row>
    <row r="341" spans="11:12" x14ac:dyDescent="0.25">
      <c r="K341" s="425"/>
      <c r="L341" s="232"/>
    </row>
    <row r="342" spans="11:12" x14ac:dyDescent="0.25">
      <c r="K342" s="425"/>
      <c r="L342" s="232"/>
    </row>
    <row r="343" spans="11:12" x14ac:dyDescent="0.25">
      <c r="K343" s="425"/>
      <c r="L343" s="232"/>
    </row>
    <row r="344" spans="11:12" x14ac:dyDescent="0.25">
      <c r="K344" s="425"/>
      <c r="L344" s="232"/>
    </row>
    <row r="345" spans="11:12" x14ac:dyDescent="0.25">
      <c r="K345" s="425"/>
      <c r="L345" s="232"/>
    </row>
    <row r="346" spans="11:12" x14ac:dyDescent="0.25">
      <c r="K346" s="425"/>
      <c r="L346" s="232"/>
    </row>
    <row r="347" spans="11:12" x14ac:dyDescent="0.25">
      <c r="K347" s="425"/>
      <c r="L347" s="232"/>
    </row>
    <row r="348" spans="11:12" x14ac:dyDescent="0.25">
      <c r="K348" s="425"/>
      <c r="L348" s="232"/>
    </row>
    <row r="349" spans="11:12" x14ac:dyDescent="0.25">
      <c r="K349" s="425"/>
      <c r="L349" s="232"/>
    </row>
    <row r="350" spans="11:12" x14ac:dyDescent="0.25">
      <c r="K350" s="425"/>
      <c r="L350" s="232"/>
    </row>
    <row r="351" spans="11:12" x14ac:dyDescent="0.25">
      <c r="K351" s="425"/>
      <c r="L351" s="232"/>
    </row>
    <row r="352" spans="11:12" x14ac:dyDescent="0.25">
      <c r="K352" s="425"/>
      <c r="L352" s="232"/>
    </row>
    <row r="353" spans="11:12" x14ac:dyDescent="0.25">
      <c r="K353" s="425"/>
      <c r="L353" s="232"/>
    </row>
    <row r="354" spans="11:12" x14ac:dyDescent="0.25">
      <c r="K354" s="425"/>
      <c r="L354" s="232"/>
    </row>
    <row r="355" spans="11:12" x14ac:dyDescent="0.25">
      <c r="K355" s="425"/>
      <c r="L355" s="232"/>
    </row>
    <row r="356" spans="11:12" x14ac:dyDescent="0.25">
      <c r="K356" s="425"/>
      <c r="L356" s="232"/>
    </row>
    <row r="357" spans="11:12" x14ac:dyDescent="0.25">
      <c r="K357" s="425"/>
      <c r="L357" s="232"/>
    </row>
    <row r="358" spans="11:12" x14ac:dyDescent="0.25">
      <c r="K358" s="425"/>
      <c r="L358" s="232"/>
    </row>
    <row r="359" spans="11:12" x14ac:dyDescent="0.25">
      <c r="K359" s="425"/>
      <c r="L359" s="232"/>
    </row>
    <row r="360" spans="11:12" x14ac:dyDescent="0.25">
      <c r="K360" s="425"/>
      <c r="L360" s="232"/>
    </row>
    <row r="361" spans="11:12" x14ac:dyDescent="0.25">
      <c r="K361" s="425"/>
      <c r="L361" s="232"/>
    </row>
    <row r="362" spans="11:12" x14ac:dyDescent="0.25">
      <c r="K362" s="425"/>
      <c r="L362" s="232"/>
    </row>
    <row r="363" spans="11:12" x14ac:dyDescent="0.25">
      <c r="K363" s="425"/>
      <c r="L363" s="232"/>
    </row>
    <row r="364" spans="11:12" x14ac:dyDescent="0.25">
      <c r="K364" s="425"/>
      <c r="L364" s="232"/>
    </row>
    <row r="365" spans="11:12" x14ac:dyDescent="0.25">
      <c r="K365" s="425"/>
      <c r="L365" s="232"/>
    </row>
    <row r="366" spans="11:12" x14ac:dyDescent="0.25">
      <c r="K366" s="425"/>
      <c r="L366" s="232"/>
    </row>
    <row r="367" spans="11:12" x14ac:dyDescent="0.25">
      <c r="K367" s="425"/>
      <c r="L367" s="232"/>
    </row>
    <row r="368" spans="11:12" x14ac:dyDescent="0.25">
      <c r="K368" s="425"/>
      <c r="L368" s="232"/>
    </row>
    <row r="369" spans="11:12" x14ac:dyDescent="0.25">
      <c r="K369" s="425"/>
      <c r="L369" s="232"/>
    </row>
    <row r="370" spans="11:12" x14ac:dyDescent="0.25">
      <c r="K370" s="425"/>
      <c r="L370" s="232"/>
    </row>
    <row r="371" spans="11:12" x14ac:dyDescent="0.25">
      <c r="K371" s="425"/>
      <c r="L371" s="232"/>
    </row>
    <row r="372" spans="11:12" x14ac:dyDescent="0.25">
      <c r="K372" s="425"/>
      <c r="L372" s="232"/>
    </row>
    <row r="373" spans="11:12" x14ac:dyDescent="0.25">
      <c r="K373" s="425"/>
      <c r="L373" s="232"/>
    </row>
    <row r="374" spans="11:12" x14ac:dyDescent="0.25">
      <c r="K374" s="425"/>
      <c r="L374" s="232"/>
    </row>
    <row r="375" spans="11:12" x14ac:dyDescent="0.25">
      <c r="K375" s="425"/>
      <c r="L375" s="232"/>
    </row>
    <row r="376" spans="11:12" x14ac:dyDescent="0.25">
      <c r="K376" s="425"/>
      <c r="L376" s="232"/>
    </row>
    <row r="377" spans="11:12" x14ac:dyDescent="0.25">
      <c r="K377" s="425"/>
      <c r="L377" s="232"/>
    </row>
    <row r="378" spans="11:12" x14ac:dyDescent="0.25">
      <c r="K378" s="425"/>
      <c r="L378" s="232"/>
    </row>
    <row r="379" spans="11:12" x14ac:dyDescent="0.25">
      <c r="K379" s="425"/>
      <c r="L379" s="232"/>
    </row>
    <row r="380" spans="11:12" x14ac:dyDescent="0.25">
      <c r="K380" s="425"/>
      <c r="L380" s="232"/>
    </row>
    <row r="381" spans="11:12" x14ac:dyDescent="0.25">
      <c r="K381" s="425"/>
      <c r="L381" s="232"/>
    </row>
    <row r="382" spans="11:12" x14ac:dyDescent="0.25">
      <c r="K382" s="425"/>
      <c r="L382" s="232"/>
    </row>
    <row r="383" spans="11:12" x14ac:dyDescent="0.25">
      <c r="K383" s="425"/>
      <c r="L383" s="232"/>
    </row>
    <row r="384" spans="11:12" x14ac:dyDescent="0.25">
      <c r="K384" s="425"/>
      <c r="L384" s="232"/>
    </row>
    <row r="385" spans="11:12" x14ac:dyDescent="0.25">
      <c r="K385" s="425"/>
      <c r="L385" s="232"/>
    </row>
    <row r="386" spans="11:12" x14ac:dyDescent="0.25">
      <c r="K386" s="425"/>
      <c r="L386" s="232"/>
    </row>
    <row r="387" spans="11:12" x14ac:dyDescent="0.25">
      <c r="K387" s="425"/>
      <c r="L387" s="232"/>
    </row>
    <row r="388" spans="11:12" x14ac:dyDescent="0.25">
      <c r="K388" s="425"/>
      <c r="L388" s="232"/>
    </row>
    <row r="389" spans="11:12" x14ac:dyDescent="0.25">
      <c r="K389" s="425"/>
      <c r="L389" s="232"/>
    </row>
    <row r="390" spans="11:12" x14ac:dyDescent="0.25">
      <c r="K390" s="425"/>
      <c r="L390" s="232"/>
    </row>
    <row r="391" spans="11:12" x14ac:dyDescent="0.25">
      <c r="K391" s="425"/>
      <c r="L391" s="232"/>
    </row>
    <row r="392" spans="11:12" x14ac:dyDescent="0.25">
      <c r="K392" s="425"/>
      <c r="L392" s="232"/>
    </row>
    <row r="393" spans="11:12" x14ac:dyDescent="0.25">
      <c r="K393" s="425"/>
      <c r="L393" s="232"/>
    </row>
    <row r="394" spans="11:12" x14ac:dyDescent="0.25">
      <c r="K394" s="425"/>
      <c r="L394" s="232"/>
    </row>
    <row r="395" spans="11:12" x14ac:dyDescent="0.25">
      <c r="K395" s="425"/>
      <c r="L395" s="232"/>
    </row>
    <row r="396" spans="11:12" x14ac:dyDescent="0.25">
      <c r="K396" s="425"/>
      <c r="L396" s="232"/>
    </row>
    <row r="397" spans="11:12" x14ac:dyDescent="0.25">
      <c r="K397" s="425"/>
      <c r="L397" s="232"/>
    </row>
    <row r="398" spans="11:12" x14ac:dyDescent="0.25">
      <c r="K398" s="425"/>
      <c r="L398" s="232"/>
    </row>
    <row r="399" spans="11:12" x14ac:dyDescent="0.25">
      <c r="K399" s="425"/>
      <c r="L399" s="232"/>
    </row>
    <row r="400" spans="11:12" x14ac:dyDescent="0.25">
      <c r="K400" s="425"/>
      <c r="L400" s="232"/>
    </row>
    <row r="401" spans="11:12" x14ac:dyDescent="0.25">
      <c r="K401" s="425"/>
      <c r="L401" s="232"/>
    </row>
    <row r="402" spans="11:12" x14ac:dyDescent="0.25">
      <c r="K402" s="425"/>
      <c r="L402" s="232"/>
    </row>
    <row r="403" spans="11:12" x14ac:dyDescent="0.25">
      <c r="K403" s="425"/>
      <c r="L403" s="232"/>
    </row>
    <row r="404" spans="11:12" x14ac:dyDescent="0.25">
      <c r="K404" s="425"/>
      <c r="L404" s="232"/>
    </row>
    <row r="405" spans="11:12" x14ac:dyDescent="0.25">
      <c r="K405" s="425"/>
      <c r="L405" s="232"/>
    </row>
    <row r="406" spans="11:12" x14ac:dyDescent="0.25">
      <c r="K406" s="425"/>
      <c r="L406" s="232"/>
    </row>
    <row r="407" spans="11:12" x14ac:dyDescent="0.25">
      <c r="K407" s="425"/>
      <c r="L407" s="232"/>
    </row>
    <row r="408" spans="11:12" x14ac:dyDescent="0.25">
      <c r="K408" s="425"/>
      <c r="L408" s="232"/>
    </row>
    <row r="409" spans="11:12" x14ac:dyDescent="0.25">
      <c r="K409" s="425"/>
      <c r="L409" s="232"/>
    </row>
    <row r="410" spans="11:12" x14ac:dyDescent="0.25">
      <c r="K410" s="425"/>
      <c r="L410" s="232"/>
    </row>
    <row r="411" spans="11:12" x14ac:dyDescent="0.25">
      <c r="K411" s="425"/>
      <c r="L411" s="232"/>
    </row>
    <row r="412" spans="11:12" x14ac:dyDescent="0.25">
      <c r="K412" s="425"/>
      <c r="L412" s="232"/>
    </row>
    <row r="413" spans="11:12" x14ac:dyDescent="0.25">
      <c r="K413" s="425"/>
      <c r="L413" s="232"/>
    </row>
    <row r="414" spans="11:12" x14ac:dyDescent="0.25">
      <c r="K414" s="425"/>
      <c r="L414" s="232"/>
    </row>
    <row r="415" spans="11:12" x14ac:dyDescent="0.25">
      <c r="K415" s="425"/>
      <c r="L415" s="232"/>
    </row>
    <row r="416" spans="11:12" x14ac:dyDescent="0.25">
      <c r="K416" s="425"/>
      <c r="L416" s="232"/>
    </row>
    <row r="417" spans="11:12" x14ac:dyDescent="0.25">
      <c r="K417" s="425"/>
      <c r="L417" s="232"/>
    </row>
    <row r="418" spans="11:12" x14ac:dyDescent="0.25">
      <c r="K418" s="425"/>
      <c r="L418" s="232"/>
    </row>
    <row r="419" spans="11:12" x14ac:dyDescent="0.25">
      <c r="K419" s="425"/>
      <c r="L419" s="232"/>
    </row>
    <row r="420" spans="11:12" x14ac:dyDescent="0.25">
      <c r="K420" s="425"/>
      <c r="L420" s="232"/>
    </row>
    <row r="421" spans="11:12" x14ac:dyDescent="0.25">
      <c r="K421" s="425"/>
      <c r="L421" s="232"/>
    </row>
    <row r="422" spans="11:12" x14ac:dyDescent="0.25">
      <c r="K422" s="425"/>
      <c r="L422" s="232"/>
    </row>
    <row r="423" spans="11:12" x14ac:dyDescent="0.25">
      <c r="K423" s="425"/>
      <c r="L423" s="232"/>
    </row>
    <row r="424" spans="11:12" x14ac:dyDescent="0.25">
      <c r="K424" s="425"/>
      <c r="L424" s="232"/>
    </row>
    <row r="425" spans="11:12" x14ac:dyDescent="0.25">
      <c r="K425" s="425"/>
      <c r="L425" s="232"/>
    </row>
    <row r="426" spans="11:12" x14ac:dyDescent="0.25">
      <c r="K426" s="425"/>
      <c r="L426" s="232"/>
    </row>
    <row r="427" spans="11:12" x14ac:dyDescent="0.25">
      <c r="K427" s="425"/>
      <c r="L427" s="232"/>
    </row>
    <row r="428" spans="11:12" x14ac:dyDescent="0.25">
      <c r="K428" s="425"/>
      <c r="L428" s="232"/>
    </row>
    <row r="429" spans="11:12" x14ac:dyDescent="0.25">
      <c r="K429" s="425"/>
      <c r="L429" s="232"/>
    </row>
    <row r="430" spans="11:12" x14ac:dyDescent="0.25">
      <c r="K430" s="425"/>
      <c r="L430" s="232"/>
    </row>
    <row r="431" spans="11:12" x14ac:dyDescent="0.25">
      <c r="K431" s="425"/>
      <c r="L431" s="232"/>
    </row>
    <row r="432" spans="11:12" x14ac:dyDescent="0.25">
      <c r="K432" s="425"/>
      <c r="L432" s="232"/>
    </row>
    <row r="433" spans="11:12" x14ac:dyDescent="0.25">
      <c r="K433" s="425"/>
      <c r="L433" s="232"/>
    </row>
    <row r="434" spans="11:12" x14ac:dyDescent="0.25">
      <c r="K434" s="425"/>
      <c r="L434" s="232"/>
    </row>
    <row r="435" spans="11:12" x14ac:dyDescent="0.25">
      <c r="K435" s="425"/>
      <c r="L435" s="232"/>
    </row>
    <row r="436" spans="11:12" x14ac:dyDescent="0.25">
      <c r="K436" s="425"/>
      <c r="L436" s="232"/>
    </row>
    <row r="437" spans="11:12" x14ac:dyDescent="0.25">
      <c r="K437" s="425"/>
      <c r="L437" s="232"/>
    </row>
    <row r="438" spans="11:12" x14ac:dyDescent="0.25">
      <c r="K438" s="425"/>
      <c r="L438" s="232"/>
    </row>
    <row r="439" spans="11:12" x14ac:dyDescent="0.25">
      <c r="K439" s="425"/>
      <c r="L439" s="232"/>
    </row>
    <row r="440" spans="11:12" x14ac:dyDescent="0.25">
      <c r="K440" s="425"/>
      <c r="L440" s="232"/>
    </row>
    <row r="441" spans="11:12" x14ac:dyDescent="0.25">
      <c r="K441" s="425"/>
      <c r="L441" s="232"/>
    </row>
    <row r="442" spans="11:12" x14ac:dyDescent="0.25">
      <c r="K442" s="425"/>
      <c r="L442" s="232"/>
    </row>
    <row r="443" spans="11:12" x14ac:dyDescent="0.25">
      <c r="K443" s="425"/>
      <c r="L443" s="232"/>
    </row>
    <row r="444" spans="11:12" x14ac:dyDescent="0.25">
      <c r="K444" s="425"/>
      <c r="L444" s="232"/>
    </row>
    <row r="445" spans="11:12" x14ac:dyDescent="0.25">
      <c r="K445" s="425"/>
      <c r="L445" s="232"/>
    </row>
    <row r="446" spans="11:12" x14ac:dyDescent="0.25">
      <c r="K446" s="425"/>
      <c r="L446" s="232"/>
    </row>
    <row r="447" spans="11:12" x14ac:dyDescent="0.25">
      <c r="K447" s="425"/>
      <c r="L447" s="232"/>
    </row>
    <row r="448" spans="11:12" x14ac:dyDescent="0.25">
      <c r="K448" s="425"/>
      <c r="L448" s="232"/>
    </row>
    <row r="449" spans="11:12" x14ac:dyDescent="0.25">
      <c r="K449" s="425"/>
      <c r="L449" s="232"/>
    </row>
    <row r="450" spans="11:12" x14ac:dyDescent="0.25">
      <c r="K450" s="425"/>
      <c r="L450" s="232"/>
    </row>
    <row r="451" spans="11:12" x14ac:dyDescent="0.25">
      <c r="K451" s="425"/>
      <c r="L451" s="232"/>
    </row>
    <row r="452" spans="11:12" x14ac:dyDescent="0.25">
      <c r="K452" s="425"/>
      <c r="L452" s="232"/>
    </row>
    <row r="453" spans="11:12" x14ac:dyDescent="0.25">
      <c r="K453" s="425"/>
      <c r="L453" s="232"/>
    </row>
    <row r="454" spans="11:12" x14ac:dyDescent="0.25">
      <c r="K454" s="425"/>
      <c r="L454" s="232"/>
    </row>
    <row r="455" spans="11:12" x14ac:dyDescent="0.25">
      <c r="K455" s="425"/>
      <c r="L455" s="232"/>
    </row>
    <row r="456" spans="11:12" x14ac:dyDescent="0.25">
      <c r="K456" s="425"/>
      <c r="L456" s="232"/>
    </row>
    <row r="457" spans="11:12" x14ac:dyDescent="0.25">
      <c r="K457" s="425"/>
      <c r="L457" s="232"/>
    </row>
    <row r="458" spans="11:12" x14ac:dyDescent="0.25">
      <c r="K458" s="425"/>
      <c r="L458" s="232"/>
    </row>
    <row r="459" spans="11:12" x14ac:dyDescent="0.25">
      <c r="K459" s="425"/>
      <c r="L459" s="232"/>
    </row>
    <row r="460" spans="11:12" x14ac:dyDescent="0.25">
      <c r="K460" s="425"/>
      <c r="L460" s="232"/>
    </row>
    <row r="461" spans="11:12" x14ac:dyDescent="0.25">
      <c r="K461" s="425"/>
      <c r="L461" s="232"/>
    </row>
    <row r="462" spans="11:12" x14ac:dyDescent="0.25">
      <c r="K462" s="425"/>
      <c r="L462" s="232"/>
    </row>
    <row r="463" spans="11:12" x14ac:dyDescent="0.25">
      <c r="K463" s="425"/>
      <c r="L463" s="232"/>
    </row>
    <row r="464" spans="11:12" x14ac:dyDescent="0.25">
      <c r="K464" s="425"/>
      <c r="L464" s="232"/>
    </row>
    <row r="465" spans="11:12" x14ac:dyDescent="0.25">
      <c r="K465" s="425"/>
      <c r="L465" s="232"/>
    </row>
    <row r="466" spans="11:12" x14ac:dyDescent="0.25">
      <c r="K466" s="425"/>
      <c r="L466" s="232"/>
    </row>
    <row r="467" spans="11:12" x14ac:dyDescent="0.25">
      <c r="K467" s="425"/>
      <c r="L467" s="232"/>
    </row>
    <row r="468" spans="11:12" x14ac:dyDescent="0.25">
      <c r="K468" s="425"/>
      <c r="L468" s="232"/>
    </row>
    <row r="469" spans="11:12" x14ac:dyDescent="0.25">
      <c r="K469" s="425"/>
      <c r="L469" s="232"/>
    </row>
    <row r="470" spans="11:12" x14ac:dyDescent="0.25">
      <c r="K470" s="425"/>
      <c r="L470" s="232"/>
    </row>
    <row r="471" spans="11:12" x14ac:dyDescent="0.25">
      <c r="K471" s="425"/>
      <c r="L471" s="232"/>
    </row>
    <row r="472" spans="11:12" x14ac:dyDescent="0.25">
      <c r="K472" s="425"/>
      <c r="L472" s="232"/>
    </row>
    <row r="473" spans="11:12" x14ac:dyDescent="0.25">
      <c r="K473" s="425"/>
      <c r="L473" s="232"/>
    </row>
    <row r="474" spans="11:12" x14ac:dyDescent="0.25">
      <c r="K474" s="425"/>
      <c r="L474" s="232"/>
    </row>
    <row r="475" spans="11:12" x14ac:dyDescent="0.25">
      <c r="K475" s="425"/>
      <c r="L475" s="232"/>
    </row>
    <row r="476" spans="11:12" x14ac:dyDescent="0.25">
      <c r="K476" s="425"/>
      <c r="L476" s="232"/>
    </row>
    <row r="477" spans="11:12" x14ac:dyDescent="0.25">
      <c r="K477" s="425"/>
      <c r="L477" s="232"/>
    </row>
    <row r="478" spans="11:12" x14ac:dyDescent="0.25">
      <c r="K478" s="425"/>
      <c r="L478" s="232"/>
    </row>
    <row r="479" spans="11:12" x14ac:dyDescent="0.25">
      <c r="K479" s="425"/>
      <c r="L479" s="232"/>
    </row>
    <row r="480" spans="11:12" x14ac:dyDescent="0.25">
      <c r="K480" s="425"/>
      <c r="L480" s="232"/>
    </row>
    <row r="481" spans="11:12" x14ac:dyDescent="0.25">
      <c r="K481" s="425"/>
      <c r="L481" s="232"/>
    </row>
    <row r="482" spans="11:12" x14ac:dyDescent="0.25">
      <c r="K482" s="425"/>
      <c r="L482" s="232"/>
    </row>
    <row r="483" spans="11:12" x14ac:dyDescent="0.25">
      <c r="K483" s="425"/>
      <c r="L483" s="232"/>
    </row>
    <row r="484" spans="11:12" x14ac:dyDescent="0.25">
      <c r="K484" s="425"/>
      <c r="L484" s="232"/>
    </row>
    <row r="485" spans="11:12" x14ac:dyDescent="0.25">
      <c r="K485" s="425"/>
      <c r="L485" s="232"/>
    </row>
    <row r="486" spans="11:12" x14ac:dyDescent="0.25">
      <c r="K486" s="425"/>
      <c r="L486" s="232"/>
    </row>
    <row r="487" spans="11:12" x14ac:dyDescent="0.25">
      <c r="K487" s="425"/>
      <c r="L487" s="232"/>
    </row>
    <row r="488" spans="11:12" x14ac:dyDescent="0.25">
      <c r="K488" s="425"/>
      <c r="L488" s="232"/>
    </row>
    <row r="489" spans="11:12" x14ac:dyDescent="0.25">
      <c r="K489" s="425"/>
      <c r="L489" s="232"/>
    </row>
    <row r="490" spans="11:12" x14ac:dyDescent="0.25">
      <c r="K490" s="425"/>
      <c r="L490" s="232"/>
    </row>
    <row r="491" spans="11:12" x14ac:dyDescent="0.25">
      <c r="K491" s="425"/>
      <c r="L491" s="232"/>
    </row>
    <row r="492" spans="11:12" x14ac:dyDescent="0.25">
      <c r="K492" s="425"/>
      <c r="L492" s="232"/>
    </row>
    <row r="493" spans="11:12" x14ac:dyDescent="0.25">
      <c r="K493" s="425"/>
      <c r="L493" s="232"/>
    </row>
    <row r="494" spans="11:12" x14ac:dyDescent="0.25">
      <c r="K494" s="425"/>
      <c r="L494" s="232"/>
    </row>
    <row r="495" spans="11:12" x14ac:dyDescent="0.25">
      <c r="K495" s="425"/>
      <c r="L495" s="232"/>
    </row>
    <row r="496" spans="11:12" x14ac:dyDescent="0.25">
      <c r="K496" s="425"/>
      <c r="L496" s="232"/>
    </row>
    <row r="497" spans="11:12" x14ac:dyDescent="0.25">
      <c r="K497" s="425"/>
      <c r="L497" s="232"/>
    </row>
    <row r="498" spans="11:12" x14ac:dyDescent="0.25">
      <c r="K498" s="425"/>
      <c r="L498" s="232"/>
    </row>
    <row r="499" spans="11:12" x14ac:dyDescent="0.25">
      <c r="K499" s="425"/>
      <c r="L499" s="232"/>
    </row>
    <row r="500" spans="11:12" x14ac:dyDescent="0.25">
      <c r="K500" s="425"/>
      <c r="L500" s="232"/>
    </row>
    <row r="501" spans="11:12" x14ac:dyDescent="0.25">
      <c r="K501" s="425"/>
      <c r="L501" s="232"/>
    </row>
    <row r="502" spans="11:12" x14ac:dyDescent="0.25">
      <c r="K502" s="425"/>
      <c r="L502" s="232"/>
    </row>
    <row r="503" spans="11:12" x14ac:dyDescent="0.25">
      <c r="K503" s="425"/>
      <c r="L503" s="232"/>
    </row>
    <row r="504" spans="11:12" x14ac:dyDescent="0.25">
      <c r="K504" s="425"/>
      <c r="L504" s="232"/>
    </row>
    <row r="505" spans="11:12" x14ac:dyDescent="0.25">
      <c r="K505" s="425"/>
      <c r="L505" s="232"/>
    </row>
    <row r="506" spans="11:12" x14ac:dyDescent="0.25">
      <c r="K506" s="425"/>
      <c r="L506" s="232"/>
    </row>
    <row r="507" spans="11:12" x14ac:dyDescent="0.25">
      <c r="K507" s="425"/>
      <c r="L507" s="232"/>
    </row>
    <row r="508" spans="11:12" x14ac:dyDescent="0.25">
      <c r="K508" s="425"/>
      <c r="L508" s="232"/>
    </row>
    <row r="509" spans="11:12" x14ac:dyDescent="0.25">
      <c r="K509" s="425"/>
      <c r="L509" s="232"/>
    </row>
    <row r="510" spans="11:12" x14ac:dyDescent="0.25">
      <c r="K510" s="425"/>
      <c r="L510" s="232"/>
    </row>
    <row r="511" spans="11:12" x14ac:dyDescent="0.25">
      <c r="K511" s="425"/>
      <c r="L511" s="232"/>
    </row>
    <row r="512" spans="11:12" x14ac:dyDescent="0.25">
      <c r="K512" s="425"/>
      <c r="L512" s="232"/>
    </row>
    <row r="513" spans="11:12" x14ac:dyDescent="0.25">
      <c r="K513" s="425"/>
      <c r="L513" s="232"/>
    </row>
    <row r="514" spans="11:12" x14ac:dyDescent="0.25">
      <c r="K514" s="425"/>
      <c r="L514" s="232"/>
    </row>
    <row r="515" spans="11:12" x14ac:dyDescent="0.25">
      <c r="K515" s="425"/>
      <c r="L515" s="232"/>
    </row>
    <row r="516" spans="11:12" x14ac:dyDescent="0.25">
      <c r="K516" s="425"/>
      <c r="L516" s="232"/>
    </row>
    <row r="517" spans="11:12" x14ac:dyDescent="0.25">
      <c r="K517" s="425"/>
      <c r="L517" s="232"/>
    </row>
    <row r="518" spans="11:12" x14ac:dyDescent="0.25">
      <c r="K518" s="425"/>
      <c r="L518" s="232"/>
    </row>
    <row r="519" spans="11:12" x14ac:dyDescent="0.25">
      <c r="K519" s="425"/>
      <c r="L519" s="232"/>
    </row>
    <row r="520" spans="11:12" x14ac:dyDescent="0.25">
      <c r="K520" s="425"/>
      <c r="L520" s="232"/>
    </row>
    <row r="521" spans="11:12" x14ac:dyDescent="0.25">
      <c r="K521" s="425"/>
      <c r="L521" s="232"/>
    </row>
    <row r="522" spans="11:12" x14ac:dyDescent="0.25">
      <c r="K522" s="425"/>
      <c r="L522" s="232"/>
    </row>
    <row r="523" spans="11:12" x14ac:dyDescent="0.25">
      <c r="K523" s="425"/>
      <c r="L523" s="232"/>
    </row>
    <row r="524" spans="11:12" x14ac:dyDescent="0.25">
      <c r="K524" s="425"/>
      <c r="L524" s="232"/>
    </row>
    <row r="525" spans="11:12" x14ac:dyDescent="0.25">
      <c r="K525" s="425"/>
      <c r="L525" s="232"/>
    </row>
    <row r="526" spans="11:12" x14ac:dyDescent="0.25">
      <c r="K526" s="425"/>
      <c r="L526" s="232"/>
    </row>
    <row r="527" spans="11:12" x14ac:dyDescent="0.25">
      <c r="K527" s="425"/>
      <c r="L527" s="232"/>
    </row>
    <row r="528" spans="11:12" x14ac:dyDescent="0.25">
      <c r="K528" s="425"/>
      <c r="L528" s="232"/>
    </row>
    <row r="529" spans="11:12" x14ac:dyDescent="0.25">
      <c r="K529" s="425"/>
      <c r="L529" s="232"/>
    </row>
    <row r="530" spans="11:12" x14ac:dyDescent="0.25">
      <c r="K530" s="425"/>
      <c r="L530" s="232"/>
    </row>
    <row r="531" spans="11:12" x14ac:dyDescent="0.25">
      <c r="K531" s="425"/>
      <c r="L531" s="232"/>
    </row>
    <row r="532" spans="11:12" x14ac:dyDescent="0.25">
      <c r="K532" s="425"/>
      <c r="L532" s="232"/>
    </row>
    <row r="533" spans="11:12" x14ac:dyDescent="0.25">
      <c r="K533" s="425"/>
      <c r="L533" s="232"/>
    </row>
    <row r="534" spans="11:12" x14ac:dyDescent="0.25">
      <c r="K534" s="425"/>
      <c r="L534" s="232"/>
    </row>
    <row r="535" spans="11:12" x14ac:dyDescent="0.25">
      <c r="K535" s="425"/>
      <c r="L535" s="232"/>
    </row>
    <row r="536" spans="11:12" x14ac:dyDescent="0.25">
      <c r="K536" s="425"/>
      <c r="L536" s="232"/>
    </row>
    <row r="537" spans="11:12" x14ac:dyDescent="0.25">
      <c r="K537" s="425"/>
      <c r="L537" s="232"/>
    </row>
    <row r="538" spans="11:12" x14ac:dyDescent="0.25">
      <c r="K538" s="425"/>
      <c r="L538" s="232"/>
    </row>
    <row r="539" spans="11:12" x14ac:dyDescent="0.25">
      <c r="K539" s="425"/>
      <c r="L539" s="232"/>
    </row>
    <row r="540" spans="11:12" x14ac:dyDescent="0.25">
      <c r="K540" s="425"/>
      <c r="L540" s="232"/>
    </row>
    <row r="541" spans="11:12" x14ac:dyDescent="0.25">
      <c r="K541" s="425"/>
      <c r="L541" s="232"/>
    </row>
    <row r="542" spans="11:12" x14ac:dyDescent="0.25">
      <c r="K542" s="425"/>
      <c r="L542" s="232"/>
    </row>
    <row r="543" spans="11:12" x14ac:dyDescent="0.25">
      <c r="K543" s="425"/>
      <c r="L543" s="232"/>
    </row>
    <row r="544" spans="11:12" x14ac:dyDescent="0.25">
      <c r="K544" s="425"/>
      <c r="L544" s="232"/>
    </row>
    <row r="545" spans="11:12" x14ac:dyDescent="0.25">
      <c r="K545" s="425"/>
      <c r="L545" s="232"/>
    </row>
    <row r="546" spans="11:12" x14ac:dyDescent="0.25">
      <c r="K546" s="425"/>
      <c r="L546" s="232"/>
    </row>
    <row r="547" spans="11:12" x14ac:dyDescent="0.25">
      <c r="K547" s="425"/>
      <c r="L547" s="232"/>
    </row>
    <row r="548" spans="11:12" x14ac:dyDescent="0.25">
      <c r="K548" s="425"/>
      <c r="L548" s="232"/>
    </row>
    <row r="549" spans="11:12" x14ac:dyDescent="0.25">
      <c r="K549" s="425"/>
      <c r="L549" s="232"/>
    </row>
    <row r="550" spans="11:12" x14ac:dyDescent="0.25">
      <c r="K550" s="425"/>
      <c r="L550" s="232"/>
    </row>
    <row r="551" spans="11:12" x14ac:dyDescent="0.25">
      <c r="K551" s="425"/>
      <c r="L551" s="232"/>
    </row>
    <row r="552" spans="11:12" x14ac:dyDescent="0.25">
      <c r="K552" s="425"/>
      <c r="L552" s="232"/>
    </row>
    <row r="553" spans="11:12" x14ac:dyDescent="0.25">
      <c r="K553" s="425"/>
      <c r="L553" s="232"/>
    </row>
    <row r="554" spans="11:12" x14ac:dyDescent="0.25">
      <c r="K554" s="425"/>
      <c r="L554" s="232"/>
    </row>
    <row r="555" spans="11:12" x14ac:dyDescent="0.25">
      <c r="K555" s="425"/>
      <c r="L555" s="232"/>
    </row>
    <row r="556" spans="11:12" x14ac:dyDescent="0.25">
      <c r="K556" s="425"/>
      <c r="L556" s="232"/>
    </row>
    <row r="557" spans="11:12" x14ac:dyDescent="0.25">
      <c r="K557" s="425"/>
      <c r="L557" s="232"/>
    </row>
    <row r="558" spans="11:12" x14ac:dyDescent="0.25">
      <c r="K558" s="425"/>
      <c r="L558" s="232"/>
    </row>
    <row r="559" spans="11:12" x14ac:dyDescent="0.25">
      <c r="K559" s="425"/>
      <c r="L559" s="232"/>
    </row>
    <row r="560" spans="11:12" x14ac:dyDescent="0.25">
      <c r="K560" s="425"/>
      <c r="L560" s="232"/>
    </row>
    <row r="561" spans="11:12" x14ac:dyDescent="0.25">
      <c r="K561" s="425"/>
      <c r="L561" s="232"/>
    </row>
    <row r="562" spans="11:12" x14ac:dyDescent="0.25">
      <c r="K562" s="425"/>
      <c r="L562" s="232"/>
    </row>
    <row r="563" spans="11:12" x14ac:dyDescent="0.25">
      <c r="K563" s="425"/>
      <c r="L563" s="232"/>
    </row>
    <row r="564" spans="11:12" x14ac:dyDescent="0.25">
      <c r="K564" s="425"/>
      <c r="L564" s="232"/>
    </row>
    <row r="565" spans="11:12" x14ac:dyDescent="0.25">
      <c r="K565" s="425"/>
      <c r="L565" s="232"/>
    </row>
    <row r="566" spans="11:12" x14ac:dyDescent="0.25">
      <c r="K566" s="425"/>
      <c r="L566" s="232"/>
    </row>
    <row r="567" spans="11:12" x14ac:dyDescent="0.25">
      <c r="K567" s="425"/>
      <c r="L567" s="232"/>
    </row>
    <row r="568" spans="11:12" x14ac:dyDescent="0.25">
      <c r="K568" s="425"/>
      <c r="L568" s="232"/>
    </row>
    <row r="569" spans="11:12" x14ac:dyDescent="0.25">
      <c r="K569" s="425"/>
      <c r="L569" s="232"/>
    </row>
    <row r="570" spans="11:12" x14ac:dyDescent="0.25">
      <c r="K570" s="425"/>
      <c r="L570" s="232"/>
    </row>
    <row r="571" spans="11:12" x14ac:dyDescent="0.25">
      <c r="K571" s="425"/>
      <c r="L571" s="232"/>
    </row>
    <row r="572" spans="11:12" x14ac:dyDescent="0.25">
      <c r="K572" s="425"/>
      <c r="L572" s="232"/>
    </row>
    <row r="573" spans="11:12" x14ac:dyDescent="0.25">
      <c r="K573" s="425"/>
      <c r="L573" s="232"/>
    </row>
    <row r="574" spans="11:12" x14ac:dyDescent="0.25">
      <c r="K574" s="425"/>
      <c r="L574" s="232"/>
    </row>
    <row r="575" spans="11:12" x14ac:dyDescent="0.25">
      <c r="K575" s="425"/>
      <c r="L575" s="232"/>
    </row>
    <row r="576" spans="11:12" x14ac:dyDescent="0.25">
      <c r="K576" s="425"/>
      <c r="L576" s="232"/>
    </row>
    <row r="577" spans="11:12" x14ac:dyDescent="0.25">
      <c r="K577" s="425"/>
      <c r="L577" s="232"/>
    </row>
    <row r="578" spans="11:12" x14ac:dyDescent="0.25">
      <c r="K578" s="425"/>
      <c r="L578" s="232"/>
    </row>
    <row r="579" spans="11:12" x14ac:dyDescent="0.25">
      <c r="K579" s="425"/>
      <c r="L579" s="232"/>
    </row>
    <row r="580" spans="11:12" x14ac:dyDescent="0.25">
      <c r="K580" s="425"/>
      <c r="L580" s="232"/>
    </row>
    <row r="581" spans="11:12" x14ac:dyDescent="0.25">
      <c r="K581" s="425"/>
      <c r="L581" s="232"/>
    </row>
    <row r="582" spans="11:12" x14ac:dyDescent="0.25">
      <c r="K582" s="425"/>
      <c r="L582" s="232"/>
    </row>
    <row r="583" spans="11:12" x14ac:dyDescent="0.25">
      <c r="K583" s="425"/>
      <c r="L583" s="232"/>
    </row>
    <row r="584" spans="11:12" x14ac:dyDescent="0.25">
      <c r="K584" s="425"/>
      <c r="L584" s="232"/>
    </row>
    <row r="585" spans="11:12" x14ac:dyDescent="0.25">
      <c r="K585" s="425"/>
      <c r="L585" s="232"/>
    </row>
    <row r="586" spans="11:12" x14ac:dyDescent="0.25">
      <c r="K586" s="425"/>
      <c r="L586" s="232"/>
    </row>
    <row r="587" spans="11:12" x14ac:dyDescent="0.25">
      <c r="K587" s="425"/>
      <c r="L587" s="232"/>
    </row>
    <row r="588" spans="11:12" x14ac:dyDescent="0.25">
      <c r="K588" s="425"/>
      <c r="L588" s="232"/>
    </row>
    <row r="589" spans="11:12" x14ac:dyDescent="0.25">
      <c r="K589" s="425"/>
      <c r="L589" s="232"/>
    </row>
    <row r="590" spans="11:12" x14ac:dyDescent="0.25">
      <c r="K590" s="425"/>
      <c r="L590" s="232"/>
    </row>
    <row r="591" spans="11:12" x14ac:dyDescent="0.25">
      <c r="K591" s="425"/>
      <c r="L591" s="232"/>
    </row>
    <row r="592" spans="11:12" x14ac:dyDescent="0.25">
      <c r="K592" s="425"/>
      <c r="L592" s="232"/>
    </row>
    <row r="593" spans="11:12" x14ac:dyDescent="0.25">
      <c r="K593" s="425"/>
      <c r="L593" s="232"/>
    </row>
    <row r="594" spans="11:12" x14ac:dyDescent="0.25">
      <c r="K594" s="425"/>
      <c r="L594" s="232"/>
    </row>
    <row r="595" spans="11:12" x14ac:dyDescent="0.25">
      <c r="K595" s="425"/>
      <c r="L595" s="232"/>
    </row>
    <row r="596" spans="11:12" x14ac:dyDescent="0.25">
      <c r="K596" s="425"/>
      <c r="L596" s="232"/>
    </row>
    <row r="597" spans="11:12" x14ac:dyDescent="0.25">
      <c r="K597" s="425"/>
      <c r="L597" s="232"/>
    </row>
    <row r="598" spans="11:12" x14ac:dyDescent="0.25">
      <c r="K598" s="425"/>
      <c r="L598" s="232"/>
    </row>
    <row r="599" spans="11:12" x14ac:dyDescent="0.25">
      <c r="K599" s="425"/>
      <c r="L599" s="232"/>
    </row>
    <row r="600" spans="11:12" x14ac:dyDescent="0.25">
      <c r="K600" s="425"/>
      <c r="L600" s="232"/>
    </row>
    <row r="601" spans="11:12" x14ac:dyDescent="0.25">
      <c r="K601" s="425"/>
      <c r="L601" s="232"/>
    </row>
    <row r="602" spans="11:12" x14ac:dyDescent="0.25">
      <c r="K602" s="425"/>
      <c r="L602" s="232"/>
    </row>
    <row r="603" spans="11:12" x14ac:dyDescent="0.25">
      <c r="K603" s="425"/>
      <c r="L603" s="232"/>
    </row>
    <row r="604" spans="11:12" x14ac:dyDescent="0.25">
      <c r="K604" s="425"/>
      <c r="L604" s="232"/>
    </row>
    <row r="605" spans="11:12" x14ac:dyDescent="0.25">
      <c r="K605" s="425"/>
      <c r="L605" s="232"/>
    </row>
    <row r="606" spans="11:12" x14ac:dyDescent="0.25">
      <c r="K606" s="425"/>
      <c r="L606" s="232"/>
    </row>
    <row r="607" spans="11:12" x14ac:dyDescent="0.25">
      <c r="K607" s="425"/>
      <c r="L607" s="232"/>
    </row>
    <row r="608" spans="11:12" x14ac:dyDescent="0.25">
      <c r="K608" s="425"/>
      <c r="L608" s="232"/>
    </row>
    <row r="609" spans="11:12" x14ac:dyDescent="0.25">
      <c r="K609" s="425"/>
      <c r="L609" s="232"/>
    </row>
    <row r="610" spans="11:12" x14ac:dyDescent="0.25">
      <c r="K610" s="425"/>
      <c r="L610" s="232"/>
    </row>
    <row r="611" spans="11:12" x14ac:dyDescent="0.25">
      <c r="K611" s="425"/>
      <c r="L611" s="232"/>
    </row>
    <row r="612" spans="11:12" x14ac:dyDescent="0.25">
      <c r="K612" s="425"/>
      <c r="L612" s="232"/>
    </row>
    <row r="613" spans="11:12" x14ac:dyDescent="0.25">
      <c r="K613" s="425"/>
      <c r="L613" s="232"/>
    </row>
    <row r="614" spans="11:12" x14ac:dyDescent="0.25">
      <c r="K614" s="425"/>
      <c r="L614" s="232"/>
    </row>
    <row r="615" spans="11:12" x14ac:dyDescent="0.25">
      <c r="K615" s="425"/>
      <c r="L615" s="232"/>
    </row>
    <row r="616" spans="11:12" x14ac:dyDescent="0.25">
      <c r="K616" s="425"/>
      <c r="L616" s="232"/>
    </row>
    <row r="617" spans="11:12" x14ac:dyDescent="0.25">
      <c r="K617" s="425"/>
      <c r="L617" s="232"/>
    </row>
    <row r="618" spans="11:12" x14ac:dyDescent="0.25">
      <c r="K618" s="425"/>
      <c r="L618" s="232"/>
    </row>
    <row r="619" spans="11:12" x14ac:dyDescent="0.25">
      <c r="K619" s="425"/>
      <c r="L619" s="232"/>
    </row>
    <row r="620" spans="11:12" x14ac:dyDescent="0.25">
      <c r="K620" s="425"/>
      <c r="L620" s="232"/>
    </row>
    <row r="621" spans="11:12" x14ac:dyDescent="0.25">
      <c r="K621" s="425"/>
      <c r="L621" s="232"/>
    </row>
    <row r="622" spans="11:12" x14ac:dyDescent="0.25">
      <c r="K622" s="425"/>
      <c r="L622" s="232"/>
    </row>
    <row r="623" spans="11:12" x14ac:dyDescent="0.25">
      <c r="K623" s="425"/>
      <c r="L623" s="232"/>
    </row>
    <row r="624" spans="11:12" x14ac:dyDescent="0.25">
      <c r="K624" s="425"/>
      <c r="L624" s="232"/>
    </row>
    <row r="625" spans="11:12" x14ac:dyDescent="0.25">
      <c r="K625" s="425"/>
      <c r="L625" s="232"/>
    </row>
    <row r="626" spans="11:12" x14ac:dyDescent="0.25">
      <c r="K626" s="425"/>
      <c r="L626" s="232"/>
    </row>
    <row r="627" spans="11:12" x14ac:dyDescent="0.25">
      <c r="K627" s="425"/>
      <c r="L627" s="232"/>
    </row>
    <row r="628" spans="11:12" x14ac:dyDescent="0.25">
      <c r="K628" s="425"/>
      <c r="L628" s="232"/>
    </row>
    <row r="629" spans="11:12" x14ac:dyDescent="0.25">
      <c r="K629" s="425"/>
      <c r="L629" s="232"/>
    </row>
    <row r="630" spans="11:12" x14ac:dyDescent="0.25">
      <c r="K630" s="425"/>
      <c r="L630" s="232"/>
    </row>
    <row r="631" spans="11:12" x14ac:dyDescent="0.25">
      <c r="K631" s="425"/>
      <c r="L631" s="232"/>
    </row>
    <row r="632" spans="11:12" x14ac:dyDescent="0.25">
      <c r="K632" s="425"/>
      <c r="L632" s="232"/>
    </row>
    <row r="633" spans="11:12" x14ac:dyDescent="0.25">
      <c r="K633" s="425"/>
      <c r="L633" s="232"/>
    </row>
    <row r="634" spans="11:12" x14ac:dyDescent="0.25">
      <c r="K634" s="425"/>
      <c r="L634" s="232"/>
    </row>
    <row r="635" spans="11:12" x14ac:dyDescent="0.25">
      <c r="K635" s="425"/>
      <c r="L635" s="232"/>
    </row>
    <row r="636" spans="11:12" x14ac:dyDescent="0.25">
      <c r="K636" s="425"/>
      <c r="L636" s="232"/>
    </row>
    <row r="637" spans="11:12" x14ac:dyDescent="0.25">
      <c r="K637" s="425"/>
      <c r="L637" s="232"/>
    </row>
    <row r="638" spans="11:12" x14ac:dyDescent="0.25">
      <c r="K638" s="425"/>
      <c r="L638" s="232"/>
    </row>
    <row r="639" spans="11:12" x14ac:dyDescent="0.25">
      <c r="K639" s="425"/>
      <c r="L639" s="232"/>
    </row>
    <row r="640" spans="11:12" x14ac:dyDescent="0.25">
      <c r="K640" s="425"/>
      <c r="L640" s="232"/>
    </row>
    <row r="641" spans="11:12" x14ac:dyDescent="0.25">
      <c r="K641" s="425"/>
      <c r="L641" s="232"/>
    </row>
    <row r="642" spans="11:12" x14ac:dyDescent="0.25">
      <c r="K642" s="425"/>
      <c r="L642" s="232"/>
    </row>
    <row r="643" spans="11:12" x14ac:dyDescent="0.25">
      <c r="K643" s="425"/>
      <c r="L643" s="232"/>
    </row>
    <row r="644" spans="11:12" x14ac:dyDescent="0.25">
      <c r="K644" s="425"/>
      <c r="L644" s="232"/>
    </row>
    <row r="645" spans="11:12" x14ac:dyDescent="0.25">
      <c r="K645" s="425"/>
      <c r="L645" s="232"/>
    </row>
    <row r="646" spans="11:12" x14ac:dyDescent="0.25">
      <c r="K646" s="425"/>
      <c r="L646" s="232"/>
    </row>
    <row r="647" spans="11:12" x14ac:dyDescent="0.25">
      <c r="K647" s="425"/>
      <c r="L647" s="232"/>
    </row>
    <row r="648" spans="11:12" x14ac:dyDescent="0.25">
      <c r="K648" s="425"/>
      <c r="L648" s="232"/>
    </row>
    <row r="649" spans="11:12" x14ac:dyDescent="0.25">
      <c r="K649" s="425"/>
      <c r="L649" s="232"/>
    </row>
    <row r="650" spans="11:12" x14ac:dyDescent="0.25">
      <c r="K650" s="425"/>
      <c r="L650" s="232"/>
    </row>
    <row r="651" spans="11:12" x14ac:dyDescent="0.25">
      <c r="K651" s="425"/>
      <c r="L651" s="232"/>
    </row>
    <row r="652" spans="11:12" x14ac:dyDescent="0.25">
      <c r="K652" s="425"/>
      <c r="L652" s="232"/>
    </row>
    <row r="653" spans="11:12" x14ac:dyDescent="0.25">
      <c r="K653" s="425"/>
      <c r="L653" s="232"/>
    </row>
    <row r="654" spans="11:12" x14ac:dyDescent="0.25">
      <c r="K654" s="425"/>
      <c r="L654" s="232"/>
    </row>
    <row r="655" spans="11:12" x14ac:dyDescent="0.25">
      <c r="K655" s="425"/>
      <c r="L655" s="232"/>
    </row>
    <row r="656" spans="11:12" x14ac:dyDescent="0.25">
      <c r="K656" s="425"/>
      <c r="L656" s="232"/>
    </row>
    <row r="657" spans="11:12" x14ac:dyDescent="0.25">
      <c r="K657" s="425"/>
      <c r="L657" s="232"/>
    </row>
    <row r="658" spans="11:12" x14ac:dyDescent="0.25">
      <c r="K658" s="425"/>
      <c r="L658" s="232"/>
    </row>
    <row r="659" spans="11:12" x14ac:dyDescent="0.25">
      <c r="K659" s="425"/>
      <c r="L659" s="232"/>
    </row>
    <row r="660" spans="11:12" x14ac:dyDescent="0.25">
      <c r="K660" s="425"/>
      <c r="L660" s="232"/>
    </row>
    <row r="661" spans="11:12" x14ac:dyDescent="0.25">
      <c r="K661" s="425"/>
      <c r="L661" s="232"/>
    </row>
    <row r="662" spans="11:12" x14ac:dyDescent="0.25">
      <c r="K662" s="425"/>
      <c r="L662" s="232"/>
    </row>
    <row r="663" spans="11:12" x14ac:dyDescent="0.25">
      <c r="K663" s="425"/>
      <c r="L663" s="232"/>
    </row>
    <row r="664" spans="11:12" x14ac:dyDescent="0.25">
      <c r="K664" s="425"/>
      <c r="L664" s="232"/>
    </row>
    <row r="665" spans="11:12" x14ac:dyDescent="0.25">
      <c r="K665" s="425"/>
      <c r="L665" s="232"/>
    </row>
    <row r="666" spans="11:12" x14ac:dyDescent="0.25">
      <c r="K666" s="425"/>
      <c r="L666" s="232"/>
    </row>
    <row r="667" spans="11:12" x14ac:dyDescent="0.25">
      <c r="K667" s="425"/>
      <c r="L667" s="232"/>
    </row>
    <row r="668" spans="11:12" x14ac:dyDescent="0.25">
      <c r="K668" s="425"/>
      <c r="L668" s="232"/>
    </row>
    <row r="669" spans="11:12" x14ac:dyDescent="0.25">
      <c r="K669" s="425"/>
      <c r="L669" s="232"/>
    </row>
    <row r="670" spans="11:12" x14ac:dyDescent="0.25">
      <c r="K670" s="425"/>
      <c r="L670" s="232"/>
    </row>
    <row r="671" spans="11:12" x14ac:dyDescent="0.25">
      <c r="K671" s="425"/>
      <c r="L671" s="232"/>
    </row>
    <row r="672" spans="11:12" x14ac:dyDescent="0.25">
      <c r="K672" s="425"/>
      <c r="L672" s="232"/>
    </row>
    <row r="673" spans="11:12" x14ac:dyDescent="0.25">
      <c r="K673" s="425"/>
      <c r="L673" s="232"/>
    </row>
    <row r="674" spans="11:12" x14ac:dyDescent="0.25">
      <c r="K674" s="425"/>
      <c r="L674" s="232"/>
    </row>
    <row r="675" spans="11:12" x14ac:dyDescent="0.25">
      <c r="K675" s="425"/>
      <c r="L675" s="232"/>
    </row>
    <row r="676" spans="11:12" x14ac:dyDescent="0.25">
      <c r="K676" s="425"/>
      <c r="L676" s="232"/>
    </row>
    <row r="677" spans="11:12" x14ac:dyDescent="0.25">
      <c r="K677" s="425"/>
      <c r="L677" s="232"/>
    </row>
    <row r="678" spans="11:12" x14ac:dyDescent="0.25">
      <c r="K678" s="425"/>
      <c r="L678" s="232"/>
    </row>
    <row r="679" spans="11:12" x14ac:dyDescent="0.25">
      <c r="K679" s="425"/>
      <c r="L679" s="232"/>
    </row>
    <row r="680" spans="11:12" x14ac:dyDescent="0.25">
      <c r="K680" s="425"/>
      <c r="L680" s="232"/>
    </row>
    <row r="681" spans="11:12" x14ac:dyDescent="0.25">
      <c r="K681" s="425"/>
      <c r="L681" s="232"/>
    </row>
    <row r="682" spans="11:12" x14ac:dyDescent="0.25">
      <c r="K682" s="425"/>
      <c r="L682" s="232"/>
    </row>
    <row r="683" spans="11:12" x14ac:dyDescent="0.25">
      <c r="K683" s="425"/>
      <c r="L683" s="232"/>
    </row>
    <row r="684" spans="11:12" x14ac:dyDescent="0.25">
      <c r="K684" s="425"/>
      <c r="L684" s="232"/>
    </row>
    <row r="685" spans="11:12" x14ac:dyDescent="0.25">
      <c r="K685" s="425"/>
      <c r="L685" s="232"/>
    </row>
    <row r="686" spans="11:12" x14ac:dyDescent="0.25">
      <c r="K686" s="425"/>
      <c r="L686" s="232"/>
    </row>
    <row r="687" spans="11:12" x14ac:dyDescent="0.25">
      <c r="K687" s="425"/>
      <c r="L687" s="232"/>
    </row>
    <row r="688" spans="11:12" x14ac:dyDescent="0.25">
      <c r="K688" s="425"/>
      <c r="L688" s="232"/>
    </row>
    <row r="689" spans="11:12" x14ac:dyDescent="0.25">
      <c r="K689" s="425"/>
      <c r="L689" s="232"/>
    </row>
    <row r="690" spans="11:12" x14ac:dyDescent="0.25">
      <c r="K690" s="425"/>
      <c r="L690" s="232"/>
    </row>
    <row r="691" spans="11:12" x14ac:dyDescent="0.25">
      <c r="K691" s="425"/>
      <c r="L691" s="232"/>
    </row>
    <row r="692" spans="11:12" x14ac:dyDescent="0.25">
      <c r="K692" s="425"/>
      <c r="L692" s="232"/>
    </row>
    <row r="693" spans="11:12" x14ac:dyDescent="0.25">
      <c r="K693" s="425"/>
      <c r="L693" s="232"/>
    </row>
    <row r="694" spans="11:12" x14ac:dyDescent="0.25">
      <c r="K694" s="425"/>
      <c r="L694" s="232"/>
    </row>
    <row r="695" spans="11:12" x14ac:dyDescent="0.25">
      <c r="K695" s="425"/>
      <c r="L695" s="232"/>
    </row>
    <row r="696" spans="11:12" x14ac:dyDescent="0.25">
      <c r="K696" s="425"/>
      <c r="L696" s="232"/>
    </row>
    <row r="697" spans="11:12" x14ac:dyDescent="0.25">
      <c r="K697" s="425"/>
      <c r="L697" s="232"/>
    </row>
    <row r="698" spans="11:12" x14ac:dyDescent="0.25">
      <c r="K698" s="425"/>
      <c r="L698" s="232"/>
    </row>
    <row r="699" spans="11:12" x14ac:dyDescent="0.25">
      <c r="K699" s="425"/>
      <c r="L699" s="232"/>
    </row>
    <row r="700" spans="11:12" x14ac:dyDescent="0.25">
      <c r="K700" s="425"/>
      <c r="L700" s="232"/>
    </row>
    <row r="701" spans="11:12" x14ac:dyDescent="0.25">
      <c r="K701" s="425"/>
      <c r="L701" s="232"/>
    </row>
    <row r="702" spans="11:12" x14ac:dyDescent="0.25">
      <c r="K702" s="425"/>
      <c r="L702" s="232"/>
    </row>
    <row r="703" spans="11:12" x14ac:dyDescent="0.25">
      <c r="K703" s="425"/>
      <c r="L703" s="232"/>
    </row>
    <row r="704" spans="11:12" x14ac:dyDescent="0.25">
      <c r="K704" s="425"/>
      <c r="L704" s="232"/>
    </row>
    <row r="705" spans="11:12" x14ac:dyDescent="0.25">
      <c r="K705" s="425"/>
      <c r="L705" s="232"/>
    </row>
    <row r="706" spans="11:12" x14ac:dyDescent="0.25">
      <c r="K706" s="425"/>
      <c r="L706" s="232"/>
    </row>
    <row r="707" spans="11:12" x14ac:dyDescent="0.25">
      <c r="K707" s="425"/>
      <c r="L707" s="232"/>
    </row>
    <row r="708" spans="11:12" x14ac:dyDescent="0.25">
      <c r="K708" s="425"/>
      <c r="L708" s="232"/>
    </row>
    <row r="709" spans="11:12" x14ac:dyDescent="0.25">
      <c r="K709" s="425"/>
      <c r="L709" s="232"/>
    </row>
    <row r="710" spans="11:12" x14ac:dyDescent="0.25">
      <c r="K710" s="425"/>
      <c r="L710" s="232"/>
    </row>
    <row r="711" spans="11:12" x14ac:dyDescent="0.25">
      <c r="K711" s="425"/>
      <c r="L711" s="232"/>
    </row>
    <row r="712" spans="11:12" x14ac:dyDescent="0.25">
      <c r="K712" s="425"/>
      <c r="L712" s="232"/>
    </row>
    <row r="713" spans="11:12" x14ac:dyDescent="0.25">
      <c r="K713" s="425"/>
      <c r="L713" s="232"/>
    </row>
    <row r="714" spans="11:12" x14ac:dyDescent="0.25">
      <c r="K714" s="425"/>
      <c r="L714" s="232"/>
    </row>
    <row r="715" spans="11:12" x14ac:dyDescent="0.25">
      <c r="K715" s="425"/>
      <c r="L715" s="232"/>
    </row>
    <row r="716" spans="11:12" x14ac:dyDescent="0.25">
      <c r="K716" s="425"/>
      <c r="L716" s="232"/>
    </row>
    <row r="717" spans="11:12" x14ac:dyDescent="0.25">
      <c r="K717" s="425"/>
      <c r="L717" s="232"/>
    </row>
    <row r="718" spans="11:12" x14ac:dyDescent="0.25">
      <c r="K718" s="425"/>
      <c r="L718" s="232"/>
    </row>
    <row r="719" spans="11:12" x14ac:dyDescent="0.25">
      <c r="K719" s="425"/>
      <c r="L719" s="232"/>
    </row>
    <row r="720" spans="11:12" x14ac:dyDescent="0.25">
      <c r="K720" s="425"/>
      <c r="L720" s="232"/>
    </row>
    <row r="721" spans="11:12" x14ac:dyDescent="0.25">
      <c r="K721" s="425"/>
      <c r="L721" s="232"/>
    </row>
    <row r="722" spans="11:12" x14ac:dyDescent="0.25">
      <c r="K722" s="425"/>
      <c r="L722" s="232"/>
    </row>
    <row r="723" spans="11:12" x14ac:dyDescent="0.25">
      <c r="K723" s="425"/>
      <c r="L723" s="232"/>
    </row>
    <row r="724" spans="11:12" x14ac:dyDescent="0.25">
      <c r="K724" s="425"/>
      <c r="L724" s="232"/>
    </row>
    <row r="725" spans="11:12" x14ac:dyDescent="0.25">
      <c r="K725" s="425"/>
      <c r="L725" s="232"/>
    </row>
    <row r="726" spans="11:12" x14ac:dyDescent="0.25">
      <c r="K726" s="425"/>
      <c r="L726" s="232"/>
    </row>
    <row r="727" spans="11:12" x14ac:dyDescent="0.25">
      <c r="K727" s="425"/>
      <c r="L727" s="232"/>
    </row>
    <row r="728" spans="11:12" x14ac:dyDescent="0.25">
      <c r="K728" s="425"/>
      <c r="L728" s="232"/>
    </row>
    <row r="729" spans="11:12" x14ac:dyDescent="0.25">
      <c r="K729" s="425"/>
      <c r="L729" s="232"/>
    </row>
    <row r="730" spans="11:12" x14ac:dyDescent="0.25">
      <c r="K730" s="425"/>
      <c r="L730" s="232"/>
    </row>
    <row r="731" spans="11:12" x14ac:dyDescent="0.25">
      <c r="K731" s="425"/>
      <c r="L731" s="232"/>
    </row>
    <row r="732" spans="11:12" x14ac:dyDescent="0.25">
      <c r="K732" s="425"/>
      <c r="L732" s="232"/>
    </row>
    <row r="733" spans="11:12" x14ac:dyDescent="0.25">
      <c r="K733" s="425"/>
      <c r="L733" s="232"/>
    </row>
    <row r="734" spans="11:12" x14ac:dyDescent="0.25">
      <c r="K734" s="425"/>
      <c r="L734" s="232"/>
    </row>
    <row r="735" spans="11:12" x14ac:dyDescent="0.25">
      <c r="K735" s="425"/>
      <c r="L735" s="232"/>
    </row>
    <row r="736" spans="11:12" x14ac:dyDescent="0.25">
      <c r="K736" s="425"/>
      <c r="L736" s="232"/>
    </row>
    <row r="737" spans="11:12" x14ac:dyDescent="0.25">
      <c r="K737" s="425"/>
      <c r="L737" s="232"/>
    </row>
    <row r="738" spans="11:12" x14ac:dyDescent="0.25">
      <c r="K738" s="425"/>
      <c r="L738" s="232"/>
    </row>
    <row r="739" spans="11:12" x14ac:dyDescent="0.25">
      <c r="K739" s="425"/>
      <c r="L739" s="232"/>
    </row>
    <row r="740" spans="11:12" x14ac:dyDescent="0.25">
      <c r="K740" s="425"/>
      <c r="L740" s="232"/>
    </row>
    <row r="741" spans="11:12" x14ac:dyDescent="0.25">
      <c r="K741" s="425"/>
      <c r="L741" s="232"/>
    </row>
    <row r="742" spans="11:12" x14ac:dyDescent="0.25">
      <c r="K742" s="425"/>
      <c r="L742" s="232"/>
    </row>
    <row r="743" spans="11:12" x14ac:dyDescent="0.25">
      <c r="K743" s="425"/>
      <c r="L743" s="232"/>
    </row>
    <row r="744" spans="11:12" x14ac:dyDescent="0.25">
      <c r="K744" s="425"/>
      <c r="L744" s="232"/>
    </row>
    <row r="745" spans="11:12" x14ac:dyDescent="0.25">
      <c r="K745" s="425"/>
      <c r="L745" s="232"/>
    </row>
    <row r="746" spans="11:12" x14ac:dyDescent="0.25">
      <c r="K746" s="425"/>
      <c r="L746" s="232"/>
    </row>
    <row r="747" spans="11:12" x14ac:dyDescent="0.25">
      <c r="K747" s="425"/>
      <c r="L747" s="232"/>
    </row>
    <row r="748" spans="11:12" x14ac:dyDescent="0.25">
      <c r="K748" s="425"/>
      <c r="L748" s="232"/>
    </row>
    <row r="749" spans="11:12" x14ac:dyDescent="0.25">
      <c r="K749" s="425"/>
      <c r="L749" s="232"/>
    </row>
    <row r="750" spans="11:12" x14ac:dyDescent="0.25">
      <c r="K750" s="425"/>
      <c r="L750" s="232"/>
    </row>
    <row r="751" spans="11:12" x14ac:dyDescent="0.25">
      <c r="K751" s="425"/>
      <c r="L751" s="232"/>
    </row>
    <row r="752" spans="11:12" x14ac:dyDescent="0.25">
      <c r="K752" s="425"/>
      <c r="L752" s="232"/>
    </row>
    <row r="753" spans="11:12" x14ac:dyDescent="0.25">
      <c r="K753" s="425"/>
      <c r="L753" s="232"/>
    </row>
    <row r="754" spans="11:12" x14ac:dyDescent="0.25">
      <c r="K754" s="425"/>
      <c r="L754" s="232"/>
    </row>
    <row r="755" spans="11:12" x14ac:dyDescent="0.25">
      <c r="K755" s="425"/>
      <c r="L755" s="232"/>
    </row>
    <row r="756" spans="11:12" x14ac:dyDescent="0.25">
      <c r="K756" s="425"/>
      <c r="L756" s="232"/>
    </row>
    <row r="757" spans="11:12" x14ac:dyDescent="0.25">
      <c r="K757" s="425"/>
      <c r="L757" s="232"/>
    </row>
    <row r="758" spans="11:12" x14ac:dyDescent="0.25">
      <c r="K758" s="425"/>
      <c r="L758" s="232"/>
    </row>
    <row r="759" spans="11:12" x14ac:dyDescent="0.25">
      <c r="K759" s="425"/>
      <c r="L759" s="232"/>
    </row>
    <row r="760" spans="11:12" x14ac:dyDescent="0.25">
      <c r="K760" s="425"/>
      <c r="L760" s="232"/>
    </row>
    <row r="761" spans="11:12" x14ac:dyDescent="0.25">
      <c r="K761" s="425"/>
      <c r="L761" s="232"/>
    </row>
    <row r="762" spans="11:12" x14ac:dyDescent="0.25">
      <c r="K762" s="425"/>
      <c r="L762" s="232"/>
    </row>
    <row r="763" spans="11:12" x14ac:dyDescent="0.25">
      <c r="K763" s="425"/>
      <c r="L763" s="232"/>
    </row>
    <row r="764" spans="11:12" x14ac:dyDescent="0.25">
      <c r="K764" s="425"/>
      <c r="L764" s="232"/>
    </row>
    <row r="765" spans="11:12" x14ac:dyDescent="0.25">
      <c r="K765" s="425"/>
      <c r="L765" s="232"/>
    </row>
    <row r="766" spans="11:12" x14ac:dyDescent="0.25">
      <c r="K766" s="425"/>
      <c r="L766" s="232"/>
    </row>
    <row r="767" spans="11:12" x14ac:dyDescent="0.25">
      <c r="K767" s="425"/>
      <c r="L767" s="232"/>
    </row>
    <row r="768" spans="11:12" x14ac:dyDescent="0.25">
      <c r="K768" s="425"/>
      <c r="L768" s="232"/>
    </row>
    <row r="769" spans="11:12" x14ac:dyDescent="0.25">
      <c r="K769" s="425"/>
      <c r="L769" s="232"/>
    </row>
    <row r="770" spans="11:12" x14ac:dyDescent="0.25">
      <c r="K770" s="425"/>
      <c r="L770" s="232"/>
    </row>
    <row r="771" spans="11:12" x14ac:dyDescent="0.25">
      <c r="K771" s="425"/>
      <c r="L771" s="232"/>
    </row>
    <row r="772" spans="11:12" x14ac:dyDescent="0.25">
      <c r="K772" s="425"/>
      <c r="L772" s="232"/>
    </row>
    <row r="773" spans="11:12" x14ac:dyDescent="0.25">
      <c r="K773" s="425"/>
      <c r="L773" s="232"/>
    </row>
    <row r="774" spans="11:12" x14ac:dyDescent="0.25">
      <c r="K774" s="425"/>
      <c r="L774" s="232"/>
    </row>
    <row r="775" spans="11:12" x14ac:dyDescent="0.25">
      <c r="K775" s="425"/>
      <c r="L775" s="232"/>
    </row>
    <row r="776" spans="11:12" x14ac:dyDescent="0.25">
      <c r="K776" s="425"/>
      <c r="L776" s="232"/>
    </row>
    <row r="777" spans="11:12" x14ac:dyDescent="0.25">
      <c r="K777" s="425"/>
      <c r="L777" s="232"/>
    </row>
    <row r="778" spans="11:12" x14ac:dyDescent="0.25">
      <c r="K778" s="425"/>
      <c r="L778" s="232"/>
    </row>
    <row r="779" spans="11:12" x14ac:dyDescent="0.25">
      <c r="K779" s="425"/>
      <c r="L779" s="232"/>
    </row>
    <row r="780" spans="11:12" x14ac:dyDescent="0.25">
      <c r="K780" s="425"/>
      <c r="L780" s="232"/>
    </row>
    <row r="781" spans="11:12" x14ac:dyDescent="0.25">
      <c r="K781" s="425"/>
      <c r="L781" s="232"/>
    </row>
    <row r="782" spans="11:12" x14ac:dyDescent="0.25">
      <c r="K782" s="425"/>
      <c r="L782" s="232"/>
    </row>
    <row r="783" spans="11:12" x14ac:dyDescent="0.25">
      <c r="K783" s="425"/>
      <c r="L783" s="232"/>
    </row>
    <row r="784" spans="11:12" x14ac:dyDescent="0.25">
      <c r="K784" s="425"/>
      <c r="L784" s="232"/>
    </row>
    <row r="785" spans="11:12" x14ac:dyDescent="0.25">
      <c r="K785" s="425"/>
      <c r="L785" s="232"/>
    </row>
    <row r="786" spans="11:12" x14ac:dyDescent="0.25">
      <c r="K786" s="425"/>
      <c r="L786" s="232"/>
    </row>
    <row r="787" spans="11:12" x14ac:dyDescent="0.25">
      <c r="K787" s="425"/>
      <c r="L787" s="232"/>
    </row>
    <row r="788" spans="11:12" x14ac:dyDescent="0.25">
      <c r="K788" s="425"/>
      <c r="L788" s="232"/>
    </row>
    <row r="789" spans="11:12" x14ac:dyDescent="0.25">
      <c r="K789" s="425"/>
      <c r="L789" s="232"/>
    </row>
    <row r="790" spans="11:12" x14ac:dyDescent="0.25">
      <c r="K790" s="425"/>
      <c r="L790" s="232"/>
    </row>
    <row r="791" spans="11:12" x14ac:dyDescent="0.25">
      <c r="K791" s="425"/>
      <c r="L791" s="232"/>
    </row>
    <row r="792" spans="11:12" x14ac:dyDescent="0.25">
      <c r="K792" s="425"/>
      <c r="L792" s="232"/>
    </row>
    <row r="793" spans="11:12" x14ac:dyDescent="0.25">
      <c r="K793" s="425"/>
      <c r="L793" s="232"/>
    </row>
    <row r="794" spans="11:12" x14ac:dyDescent="0.25">
      <c r="K794" s="425"/>
      <c r="L794" s="232"/>
    </row>
    <row r="795" spans="11:12" x14ac:dyDescent="0.25">
      <c r="K795" s="425"/>
      <c r="L795" s="232"/>
    </row>
    <row r="796" spans="11:12" x14ac:dyDescent="0.25">
      <c r="K796" s="425"/>
      <c r="L796" s="232"/>
    </row>
    <row r="797" spans="11:12" x14ac:dyDescent="0.25">
      <c r="K797" s="425"/>
      <c r="L797" s="232"/>
    </row>
    <row r="798" spans="11:12" x14ac:dyDescent="0.25">
      <c r="K798" s="425"/>
      <c r="L798" s="232"/>
    </row>
    <row r="799" spans="11:12" x14ac:dyDescent="0.25">
      <c r="K799" s="425"/>
      <c r="L799" s="232"/>
    </row>
    <row r="800" spans="11:12" x14ac:dyDescent="0.25">
      <c r="K800" s="425"/>
      <c r="L800" s="232"/>
    </row>
    <row r="801" spans="11:12" x14ac:dyDescent="0.25">
      <c r="K801" s="425"/>
      <c r="L801" s="232"/>
    </row>
    <row r="802" spans="11:12" x14ac:dyDescent="0.25">
      <c r="K802" s="425"/>
      <c r="L802" s="232"/>
    </row>
    <row r="803" spans="11:12" x14ac:dyDescent="0.25">
      <c r="K803" s="425"/>
      <c r="L803" s="232"/>
    </row>
    <row r="804" spans="11:12" x14ac:dyDescent="0.25">
      <c r="K804" s="425"/>
      <c r="L804" s="232"/>
    </row>
    <row r="805" spans="11:12" x14ac:dyDescent="0.25">
      <c r="K805" s="425"/>
      <c r="L805" s="232"/>
    </row>
    <row r="806" spans="11:12" x14ac:dyDescent="0.25">
      <c r="K806" s="425"/>
      <c r="L806" s="232"/>
    </row>
    <row r="807" spans="11:12" x14ac:dyDescent="0.25">
      <c r="K807" s="425"/>
      <c r="L807" s="232"/>
    </row>
    <row r="808" spans="11:12" x14ac:dyDescent="0.25">
      <c r="K808" s="425"/>
      <c r="L808" s="232"/>
    </row>
    <row r="809" spans="11:12" x14ac:dyDescent="0.25">
      <c r="K809" s="425"/>
      <c r="L809" s="232"/>
    </row>
    <row r="810" spans="11:12" x14ac:dyDescent="0.25">
      <c r="K810" s="425"/>
      <c r="L810" s="232"/>
    </row>
    <row r="811" spans="11:12" x14ac:dyDescent="0.25">
      <c r="K811" s="425"/>
      <c r="L811" s="232"/>
    </row>
    <row r="812" spans="11:12" x14ac:dyDescent="0.25">
      <c r="K812" s="425"/>
      <c r="L812" s="232"/>
    </row>
    <row r="813" spans="11:12" x14ac:dyDescent="0.25">
      <c r="K813" s="425"/>
      <c r="L813" s="232"/>
    </row>
    <row r="814" spans="11:12" x14ac:dyDescent="0.25">
      <c r="K814" s="425"/>
      <c r="L814" s="232"/>
    </row>
    <row r="815" spans="11:12" x14ac:dyDescent="0.25">
      <c r="K815" s="425"/>
      <c r="L815" s="232"/>
    </row>
    <row r="816" spans="11:12" x14ac:dyDescent="0.25">
      <c r="K816" s="425"/>
      <c r="L816" s="232"/>
    </row>
    <row r="817" spans="11:12" x14ac:dyDescent="0.25">
      <c r="K817" s="425"/>
      <c r="L817" s="232"/>
    </row>
    <row r="818" spans="11:12" x14ac:dyDescent="0.25">
      <c r="K818" s="425"/>
      <c r="L818" s="232"/>
    </row>
    <row r="819" spans="11:12" x14ac:dyDescent="0.25">
      <c r="K819" s="425"/>
      <c r="L819" s="232"/>
    </row>
    <row r="820" spans="11:12" x14ac:dyDescent="0.25">
      <c r="K820" s="425"/>
      <c r="L820" s="232"/>
    </row>
    <row r="821" spans="11:12" x14ac:dyDescent="0.25">
      <c r="K821" s="425"/>
      <c r="L821" s="232"/>
    </row>
    <row r="822" spans="11:12" x14ac:dyDescent="0.25">
      <c r="K822" s="425"/>
      <c r="L822" s="232"/>
    </row>
    <row r="823" spans="11:12" x14ac:dyDescent="0.25">
      <c r="K823" s="425"/>
      <c r="L823" s="232"/>
    </row>
    <row r="824" spans="11:12" x14ac:dyDescent="0.25">
      <c r="K824" s="425"/>
      <c r="L824" s="232"/>
    </row>
    <row r="825" spans="11:12" x14ac:dyDescent="0.25">
      <c r="K825" s="425"/>
      <c r="L825" s="232"/>
    </row>
    <row r="826" spans="11:12" x14ac:dyDescent="0.25">
      <c r="K826" s="425"/>
      <c r="L826" s="232"/>
    </row>
    <row r="827" spans="11:12" x14ac:dyDescent="0.25">
      <c r="K827" s="425"/>
      <c r="L827" s="232"/>
    </row>
    <row r="828" spans="11:12" x14ac:dyDescent="0.25">
      <c r="K828" s="425"/>
      <c r="L828" s="232"/>
    </row>
    <row r="829" spans="11:12" x14ac:dyDescent="0.25">
      <c r="K829" s="425"/>
      <c r="L829" s="232"/>
    </row>
    <row r="830" spans="11:12" x14ac:dyDescent="0.25">
      <c r="K830" s="425"/>
      <c r="L830" s="232"/>
    </row>
    <row r="831" spans="11:12" x14ac:dyDescent="0.25">
      <c r="K831" s="425"/>
      <c r="L831" s="232"/>
    </row>
    <row r="832" spans="11:12" x14ac:dyDescent="0.25">
      <c r="K832" s="425"/>
      <c r="L832" s="232"/>
    </row>
    <row r="833" spans="11:12" x14ac:dyDescent="0.25">
      <c r="K833" s="425"/>
      <c r="L833" s="232"/>
    </row>
    <row r="834" spans="11:12" x14ac:dyDescent="0.25">
      <c r="K834" s="425"/>
      <c r="L834" s="232"/>
    </row>
    <row r="835" spans="11:12" x14ac:dyDescent="0.25">
      <c r="K835" s="425"/>
      <c r="L835" s="232"/>
    </row>
    <row r="836" spans="11:12" x14ac:dyDescent="0.25">
      <c r="K836" s="425"/>
      <c r="L836" s="232"/>
    </row>
    <row r="837" spans="11:12" x14ac:dyDescent="0.25">
      <c r="K837" s="425"/>
      <c r="L837" s="232"/>
    </row>
    <row r="838" spans="11:12" x14ac:dyDescent="0.25">
      <c r="K838" s="425"/>
      <c r="L838" s="232"/>
    </row>
    <row r="839" spans="11:12" x14ac:dyDescent="0.25">
      <c r="K839" s="425"/>
      <c r="L839" s="232"/>
    </row>
    <row r="840" spans="11:12" x14ac:dyDescent="0.25">
      <c r="K840" s="425"/>
      <c r="L840" s="232"/>
    </row>
    <row r="841" spans="11:12" x14ac:dyDescent="0.25">
      <c r="K841" s="425"/>
      <c r="L841" s="232"/>
    </row>
    <row r="842" spans="11:12" x14ac:dyDescent="0.25">
      <c r="K842" s="425"/>
      <c r="L842" s="232"/>
    </row>
    <row r="843" spans="11:12" x14ac:dyDescent="0.25">
      <c r="K843" s="425"/>
      <c r="L843" s="232"/>
    </row>
    <row r="844" spans="11:12" x14ac:dyDescent="0.25">
      <c r="K844" s="425"/>
      <c r="L844" s="232"/>
    </row>
    <row r="845" spans="11:12" x14ac:dyDescent="0.25">
      <c r="K845" s="425"/>
      <c r="L845" s="232"/>
    </row>
    <row r="846" spans="11:12" x14ac:dyDescent="0.25">
      <c r="K846" s="425"/>
      <c r="L846" s="232"/>
    </row>
    <row r="847" spans="11:12" x14ac:dyDescent="0.25">
      <c r="K847" s="425"/>
      <c r="L847" s="232"/>
    </row>
    <row r="848" spans="11:12" x14ac:dyDescent="0.25">
      <c r="K848" s="425"/>
      <c r="L848" s="232"/>
    </row>
    <row r="849" spans="11:12" x14ac:dyDescent="0.25">
      <c r="K849" s="425"/>
      <c r="L849" s="232"/>
    </row>
    <row r="850" spans="11:12" x14ac:dyDescent="0.25">
      <c r="K850" s="425"/>
      <c r="L850" s="232"/>
    </row>
    <row r="851" spans="11:12" x14ac:dyDescent="0.25">
      <c r="K851" s="425"/>
      <c r="L851" s="232"/>
    </row>
    <row r="852" spans="11:12" x14ac:dyDescent="0.25">
      <c r="K852" s="425"/>
      <c r="L852" s="232"/>
    </row>
    <row r="853" spans="11:12" x14ac:dyDescent="0.25">
      <c r="K853" s="425"/>
      <c r="L853" s="232"/>
    </row>
    <row r="854" spans="11:12" x14ac:dyDescent="0.25">
      <c r="K854" s="425"/>
      <c r="L854" s="232"/>
    </row>
    <row r="855" spans="11:12" x14ac:dyDescent="0.25">
      <c r="K855" s="425"/>
      <c r="L855" s="232"/>
    </row>
    <row r="856" spans="11:12" x14ac:dyDescent="0.25">
      <c r="K856" s="425"/>
      <c r="L856" s="232"/>
    </row>
    <row r="857" spans="11:12" x14ac:dyDescent="0.25">
      <c r="K857" s="425"/>
      <c r="L857" s="232"/>
    </row>
    <row r="858" spans="11:12" x14ac:dyDescent="0.25">
      <c r="K858" s="425"/>
      <c r="L858" s="232"/>
    </row>
    <row r="859" spans="11:12" x14ac:dyDescent="0.25">
      <c r="K859" s="425"/>
      <c r="L859" s="232"/>
    </row>
    <row r="860" spans="11:12" x14ac:dyDescent="0.25">
      <c r="K860" s="425"/>
      <c r="L860" s="232"/>
    </row>
    <row r="861" spans="11:12" x14ac:dyDescent="0.25">
      <c r="K861" s="425"/>
      <c r="L861" s="232"/>
    </row>
    <row r="862" spans="11:12" x14ac:dyDescent="0.25">
      <c r="K862" s="425"/>
      <c r="L862" s="232"/>
    </row>
    <row r="863" spans="11:12" x14ac:dyDescent="0.25">
      <c r="K863" s="425"/>
      <c r="L863" s="232"/>
    </row>
    <row r="864" spans="11:12" x14ac:dyDescent="0.25">
      <c r="K864" s="425"/>
      <c r="L864" s="232"/>
    </row>
    <row r="865" spans="11:12" x14ac:dyDescent="0.25">
      <c r="K865" s="425"/>
      <c r="L865" s="232"/>
    </row>
    <row r="866" spans="11:12" x14ac:dyDescent="0.25">
      <c r="K866" s="425"/>
      <c r="L866" s="232"/>
    </row>
    <row r="867" spans="11:12" x14ac:dyDescent="0.25">
      <c r="K867" s="425"/>
      <c r="L867" s="232"/>
    </row>
    <row r="868" spans="11:12" x14ac:dyDescent="0.25">
      <c r="K868" s="425"/>
      <c r="L868" s="232"/>
    </row>
    <row r="869" spans="11:12" x14ac:dyDescent="0.25">
      <c r="K869" s="425"/>
      <c r="L869" s="232"/>
    </row>
    <row r="870" spans="11:12" x14ac:dyDescent="0.25">
      <c r="K870" s="425"/>
      <c r="L870" s="232"/>
    </row>
    <row r="871" spans="11:12" x14ac:dyDescent="0.25">
      <c r="K871" s="425"/>
      <c r="L871" s="232"/>
    </row>
    <row r="872" spans="11:12" x14ac:dyDescent="0.25">
      <c r="K872" s="425"/>
      <c r="L872" s="232"/>
    </row>
    <row r="873" spans="11:12" x14ac:dyDescent="0.25">
      <c r="K873" s="425"/>
      <c r="L873" s="232"/>
    </row>
    <row r="874" spans="11:12" x14ac:dyDescent="0.25">
      <c r="K874" s="425"/>
      <c r="L874" s="232"/>
    </row>
    <row r="875" spans="11:12" x14ac:dyDescent="0.25">
      <c r="K875" s="425"/>
      <c r="L875" s="232"/>
    </row>
    <row r="876" spans="11:12" x14ac:dyDescent="0.25">
      <c r="K876" s="425"/>
      <c r="L876" s="232"/>
    </row>
    <row r="877" spans="11:12" x14ac:dyDescent="0.25">
      <c r="K877" s="425"/>
      <c r="L877" s="232"/>
    </row>
    <row r="878" spans="11:12" x14ac:dyDescent="0.25">
      <c r="K878" s="425"/>
      <c r="L878" s="232"/>
    </row>
    <row r="879" spans="11:12" x14ac:dyDescent="0.25">
      <c r="K879" s="425"/>
      <c r="L879" s="232"/>
    </row>
    <row r="880" spans="11:12" x14ac:dyDescent="0.25">
      <c r="K880" s="425"/>
      <c r="L880" s="232"/>
    </row>
    <row r="881" spans="11:12" x14ac:dyDescent="0.25">
      <c r="K881" s="425"/>
      <c r="L881" s="232"/>
    </row>
    <row r="882" spans="11:12" x14ac:dyDescent="0.25">
      <c r="K882" s="425"/>
      <c r="L882" s="232"/>
    </row>
    <row r="883" spans="11:12" x14ac:dyDescent="0.25">
      <c r="K883" s="425"/>
      <c r="L883" s="232"/>
    </row>
    <row r="884" spans="11:12" x14ac:dyDescent="0.25">
      <c r="K884" s="425"/>
      <c r="L884" s="232"/>
    </row>
    <row r="885" spans="11:12" x14ac:dyDescent="0.25">
      <c r="K885" s="425"/>
      <c r="L885" s="232"/>
    </row>
  </sheetData>
  <customSheetViews>
    <customSheetView guid="{195DF303-1BBD-4236-94B5-47432850B006}" scale="75" fitToPage="1" showRuler="0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1"/>
      <headerFooter alignWithMargins="0"/>
    </customSheetView>
    <customSheetView guid="{0C49E549-011E-46F4-A82E-2CC8951A9C1E}" scale="75" fitToPage="1" showRuler="0">
      <selection activeCell="C36" sqref="C36"/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2"/>
      <headerFooter alignWithMargins="0"/>
    </customSheetView>
    <customSheetView guid="{4BC93440-BA85-4935-A8C9-66DC6AE5DE5E}" scale="75" fitToPage="1" showRuler="0" topLeftCell="A38">
      <selection activeCell="E58" activeCellId="2" sqref="E50 E52 E58"/>
      <rowBreaks count="1" manualBreakCount="1">
        <brk id="62" max="10" man="1"/>
      </rowBreaks>
      <pageMargins left="0.5" right="0.75" top="1" bottom="1" header="0.5" footer="0.5"/>
      <printOptions horizontalCentered="1"/>
      <pageSetup scale="68" orientation="portrait" horizontalDpi="300" verticalDpi="300" r:id="rId3"/>
      <headerFooter alignWithMargins="0"/>
    </customSheetView>
    <customSheetView guid="{2431C9E5-7CC2-4B8D-99C3-962247B1DBF5}" scale="75" fitToPage="1" showRuler="0">
      <selection activeCell="A18" sqref="A18"/>
      <rowBreaks count="1" manualBreakCount="1">
        <brk id="62" max="10" man="1"/>
      </rowBreaks>
      <pageMargins left="0.5" right="0.75" top="1" bottom="1" header="0.5" footer="0.5"/>
      <printOptions horizontalCentered="1"/>
      <pageSetup scale="68" orientation="portrait" horizontalDpi="300" verticalDpi="300" r:id="rId4"/>
      <headerFooter alignWithMargins="0"/>
    </customSheetView>
    <customSheetView guid="{2EA35095-1ADC-4CC7-8C3C-B487D65FA247}" scale="75" fitToPage="1" showRuler="0" topLeftCell="A25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5"/>
      <headerFooter alignWithMargins="0"/>
    </customSheetView>
    <customSheetView guid="{8FC77C99-DBF7-40B8-99B8-01B75826CDCB}" scale="75" showPageBreaks="1" fitToPage="1" printArea="1" showRuler="0">
      <selection sqref="A1:K62"/>
      <rowBreaks count="1" manualBreakCount="1">
        <brk id="61" max="10" man="1"/>
      </rowBreaks>
      <pageMargins left="0.5" right="0.75" top="1" bottom="1" header="0.5" footer="0.5"/>
      <printOptions horizontalCentered="1"/>
      <pageSetup scale="67" orientation="portrait" horizontalDpi="300" verticalDpi="300" r:id="rId6"/>
      <headerFooter alignWithMargins="0"/>
    </customSheetView>
    <customSheetView guid="{8FB94551-8874-4095-B8FB-5316E0D2FD2C}" scale="75" fitToPage="1" showRuler="0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7"/>
      <headerFooter alignWithMargins="0"/>
    </customSheetView>
    <customSheetView guid="{6B3D5C27-2FDE-4561-9575-1E98BFB869D0}" scale="75" fitToPage="1" showRuler="0" topLeftCell="D15">
      <selection activeCell="P24" sqref="P24"/>
      <rowBreaks count="1" manualBreakCount="1">
        <brk id="61" max="14" man="1"/>
      </rowBreaks>
      <pageMargins left="0.5" right="0.75" top="1" bottom="1" header="0.5" footer="0.5"/>
      <printOptions horizontalCentered="1"/>
      <pageSetup scale="52" orientation="portrait" horizontalDpi="300" verticalDpi="300" r:id="rId8"/>
      <headerFooter alignWithMargins="0"/>
    </customSheetView>
    <customSheetView guid="{0BC1F393-8A13-47D5-BC6C-0C99615B5AB9}" scale="75" fitToPage="1" showRuler="0">
      <rowBreaks count="1" manualBreakCount="1">
        <brk id="61" max="14" man="1"/>
      </rowBreaks>
      <pageMargins left="0.5" right="0.75" top="1" bottom="1" header="0.5" footer="0.5"/>
      <printOptions horizontalCentered="1"/>
      <pageSetup scale="48" orientation="portrait" horizontalDpi="300" verticalDpi="300" r:id="rId9"/>
      <headerFooter alignWithMargins="0"/>
    </customSheetView>
    <customSheetView guid="{18BDED73-BFA0-442E-87EC-CED86EE4CF94}" scale="70" fitToPage="1" showRuler="0" topLeftCell="A9">
      <selection activeCell="G64" sqref="G64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0"/>
      <headerFooter alignWithMargins="0"/>
    </customSheetView>
    <customSheetView guid="{35F19056-2E6F-4935-B863-78836FE990BF}" scale="70" fitToPage="1" showRuler="0" topLeftCell="A28">
      <selection activeCell="O44" sqref="O44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1"/>
      <headerFooter alignWithMargins="0"/>
    </customSheetView>
    <customSheetView guid="{F562D92E-120C-4AE9-9663-89E64D41DC53}" scale="70" fitToPage="1">
      <selection activeCell="A10" sqref="A10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2"/>
      <headerFooter alignWithMargins="0"/>
    </customSheetView>
  </customSheetViews>
  <phoneticPr fontId="9" type="noConversion"/>
  <printOptions horizontalCentered="1"/>
  <pageMargins left="0.75" right="0.75" top="1" bottom="1" header="0.5" footer="0.5"/>
  <pageSetup scale="43" orientation="portrait" horizontalDpi="300" verticalDpi="300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4" transitionEvaluation="1" transitionEntry="1" codeName="Sheet41"/>
  <dimension ref="A1:Y51"/>
  <sheetViews>
    <sheetView tabSelected="1" view="pageBreakPreview" topLeftCell="A4" zoomScale="60" zoomScaleNormal="75" workbookViewId="0">
      <selection sqref="A1:J1"/>
    </sheetView>
  </sheetViews>
  <sheetFormatPr defaultColWidth="9.77734375" defaultRowHeight="15.75" x14ac:dyDescent="0.25"/>
  <cols>
    <col min="1" max="1" width="4.21875" style="378" customWidth="1"/>
    <col min="2" max="2" width="0.44140625" style="378" customWidth="1"/>
    <col min="3" max="3" width="11.88671875" style="378" customWidth="1"/>
    <col min="4" max="4" width="29.6640625" style="378" customWidth="1"/>
    <col min="5" max="5" width="0.33203125" style="378" customWidth="1"/>
    <col min="6" max="6" width="12.44140625" style="378" customWidth="1"/>
    <col min="7" max="7" width="0.44140625" style="378" customWidth="1"/>
    <col min="8" max="8" width="14.77734375" style="378" customWidth="1"/>
    <col min="9" max="9" width="0.33203125" style="378" customWidth="1"/>
    <col min="10" max="10" width="15.6640625" style="378" customWidth="1"/>
    <col min="11" max="11" width="0.33203125" style="378" customWidth="1"/>
    <col min="12" max="12" width="10.109375" style="378" customWidth="1"/>
    <col min="13" max="13" width="0.44140625" style="378" customWidth="1"/>
    <col min="14" max="14" width="12.5546875" style="378" customWidth="1"/>
    <col min="15" max="15" width="0.33203125" style="378" customWidth="1"/>
    <col min="16" max="16" width="14.77734375" style="378" customWidth="1"/>
    <col min="17" max="17" width="0.44140625" style="378" customWidth="1"/>
    <col min="18" max="18" width="15.77734375" style="378" customWidth="1"/>
    <col min="19" max="19" width="0.44140625" style="378" customWidth="1"/>
    <col min="20" max="20" width="9.77734375" style="378" customWidth="1"/>
    <col min="21" max="22" width="9.77734375" style="378"/>
    <col min="23" max="23" width="14.88671875" style="378" bestFit="1" customWidth="1"/>
    <col min="24" max="24" width="9.77734375" style="378"/>
    <col min="25" max="25" width="13.33203125" style="378" bestFit="1" customWidth="1"/>
    <col min="26" max="72" width="9.77734375" style="378"/>
    <col min="73" max="73" width="20.77734375" style="378" customWidth="1"/>
    <col min="74" max="16384" width="9.77734375" style="378"/>
  </cols>
  <sheetData>
    <row r="1" spans="1:20" x14ac:dyDescent="0.25">
      <c r="A1" s="44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1:20" x14ac:dyDescent="0.25">
      <c r="A2" s="44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1:20" x14ac:dyDescent="0.25">
      <c r="A3" s="44" t="s">
        <v>702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</row>
    <row r="4" spans="1:2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</row>
    <row r="5" spans="1:2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4"/>
      <c r="K5" s="44"/>
      <c r="L5" s="43"/>
      <c r="M5" s="43"/>
      <c r="N5" s="43"/>
      <c r="O5" s="43"/>
      <c r="P5" s="43"/>
      <c r="Q5" s="43"/>
      <c r="R5" s="43"/>
      <c r="S5" s="43"/>
      <c r="T5" s="43"/>
    </row>
    <row r="6" spans="1:20" x14ac:dyDescent="0.25">
      <c r="A6" s="45" t="str">
        <f>DATA_PERIOD</f>
        <v>DATA: __X__ BASE PERIOD   ____FORECASTED PERIOD</v>
      </c>
      <c r="R6" s="46" t="s">
        <v>194</v>
      </c>
      <c r="S6" s="46"/>
    </row>
    <row r="7" spans="1:20" x14ac:dyDescent="0.25">
      <c r="A7" s="45" t="str">
        <f>TYPE</f>
        <v>TYPE OF FILING: _X_ ORIGINAL   ___UPDATED  ___ REVISED</v>
      </c>
      <c r="R7" s="46" t="s">
        <v>165</v>
      </c>
      <c r="S7" s="46"/>
    </row>
    <row r="8" spans="1:20" x14ac:dyDescent="0.25">
      <c r="A8" s="46" t="s">
        <v>177</v>
      </c>
      <c r="R8" s="46" t="s">
        <v>3</v>
      </c>
      <c r="S8" s="46"/>
    </row>
    <row r="9" spans="1:20" x14ac:dyDescent="0.25">
      <c r="A9" s="222" t="str">
        <f>TIME</f>
        <v>6 Months Actual and 6 Months Projected with Riders</v>
      </c>
      <c r="R9" s="45" t="str">
        <f>WIT</f>
        <v>J. L. Kern</v>
      </c>
      <c r="S9" s="46"/>
    </row>
    <row r="10" spans="1:20" s="218" customFormat="1" ht="15" x14ac:dyDescent="0.2">
      <c r="A10" s="222" t="str">
        <f>INPUT!B5</f>
        <v>6 Months Actual Ending May 31, 2019</v>
      </c>
      <c r="R10" s="438"/>
      <c r="S10" s="222"/>
    </row>
    <row r="11" spans="1:20" x14ac:dyDescent="0.25">
      <c r="A11" s="44" t="s">
        <v>651</v>
      </c>
      <c r="B11" s="43"/>
      <c r="C11" s="43"/>
      <c r="D11" s="43"/>
      <c r="E11" s="43"/>
      <c r="F11" s="43"/>
      <c r="G11" s="43"/>
      <c r="H11" s="43"/>
      <c r="I11" s="43"/>
      <c r="J11" s="43"/>
      <c r="K11" s="44"/>
      <c r="L11" s="43"/>
      <c r="M11" s="43"/>
      <c r="N11" s="43"/>
      <c r="O11" s="43"/>
      <c r="P11" s="43"/>
      <c r="Q11" s="43"/>
      <c r="R11" s="43"/>
      <c r="S11" s="44"/>
      <c r="T11" s="43"/>
    </row>
    <row r="12" spans="1:20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</row>
    <row r="13" spans="1:20" ht="18" customHeight="1" x14ac:dyDescent="0.25">
      <c r="J13" s="426" t="s">
        <v>654</v>
      </c>
      <c r="K13" s="426"/>
      <c r="L13" s="426"/>
      <c r="M13" s="426"/>
      <c r="N13" s="426" t="s">
        <v>197</v>
      </c>
      <c r="O13" s="426"/>
      <c r="R13" s="426"/>
      <c r="S13" s="426"/>
      <c r="T13" s="426"/>
    </row>
    <row r="14" spans="1:20" x14ac:dyDescent="0.25">
      <c r="J14" s="426" t="s">
        <v>12</v>
      </c>
      <c r="K14" s="426"/>
      <c r="L14" s="426"/>
      <c r="M14" s="426"/>
      <c r="N14" s="426" t="s">
        <v>198</v>
      </c>
      <c r="O14" s="426"/>
      <c r="R14" s="426" t="s">
        <v>654</v>
      </c>
      <c r="S14" s="426"/>
      <c r="T14" s="426"/>
    </row>
    <row r="15" spans="1:20" x14ac:dyDescent="0.25">
      <c r="A15" s="426" t="s">
        <v>17</v>
      </c>
      <c r="C15" s="426" t="s">
        <v>18</v>
      </c>
      <c r="D15" s="426" t="s">
        <v>19</v>
      </c>
      <c r="E15" s="426"/>
      <c r="F15" s="426" t="s">
        <v>20</v>
      </c>
      <c r="J15" s="426" t="s">
        <v>21</v>
      </c>
      <c r="K15" s="426"/>
      <c r="L15" s="426" t="s">
        <v>195</v>
      </c>
      <c r="M15" s="426"/>
      <c r="N15" s="426" t="s">
        <v>199</v>
      </c>
      <c r="O15" s="426"/>
      <c r="P15" s="426" t="s">
        <v>21</v>
      </c>
      <c r="Q15" s="426"/>
      <c r="R15" s="426" t="s">
        <v>9</v>
      </c>
      <c r="S15" s="426"/>
      <c r="T15" s="426" t="s">
        <v>197</v>
      </c>
    </row>
    <row r="16" spans="1:20" x14ac:dyDescent="0.25">
      <c r="A16" s="426" t="s">
        <v>24</v>
      </c>
      <c r="C16" s="426" t="s">
        <v>25</v>
      </c>
      <c r="D16" s="426" t="s">
        <v>26</v>
      </c>
      <c r="E16" s="426"/>
      <c r="F16" s="426" t="s">
        <v>57</v>
      </c>
      <c r="H16" s="426" t="s">
        <v>28</v>
      </c>
      <c r="I16" s="426"/>
      <c r="J16" s="426" t="s">
        <v>9</v>
      </c>
      <c r="K16" s="426"/>
      <c r="L16" s="426" t="s">
        <v>18</v>
      </c>
      <c r="M16" s="426"/>
      <c r="N16" s="426" t="s">
        <v>21</v>
      </c>
      <c r="O16" s="426"/>
      <c r="P16" s="426" t="s">
        <v>9</v>
      </c>
      <c r="Q16" s="426"/>
      <c r="R16" s="426" t="s">
        <v>11</v>
      </c>
      <c r="S16" s="426"/>
      <c r="T16" s="426" t="s">
        <v>198</v>
      </c>
    </row>
    <row r="17" spans="1:25" x14ac:dyDescent="0.25">
      <c r="C17" s="265" t="s">
        <v>35</v>
      </c>
      <c r="D17" s="265" t="s">
        <v>36</v>
      </c>
      <c r="E17" s="265"/>
      <c r="F17" s="265" t="s">
        <v>37</v>
      </c>
      <c r="G17" s="218"/>
      <c r="H17" s="265" t="s">
        <v>38</v>
      </c>
      <c r="I17" s="265"/>
      <c r="J17" s="439" t="s">
        <v>39</v>
      </c>
      <c r="K17" s="265"/>
      <c r="L17" s="439" t="s">
        <v>196</v>
      </c>
      <c r="M17" s="265"/>
      <c r="N17" s="439" t="s">
        <v>41</v>
      </c>
      <c r="O17" s="265"/>
      <c r="P17" s="265" t="s">
        <v>42</v>
      </c>
      <c r="Q17" s="265"/>
      <c r="R17" s="439" t="s">
        <v>43</v>
      </c>
      <c r="S17" s="265"/>
      <c r="T17" s="439" t="s">
        <v>44</v>
      </c>
    </row>
    <row r="18" spans="1:25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</row>
    <row r="19" spans="1:25" s="218" customFormat="1" ht="17.100000000000001" customHeight="1" x14ac:dyDescent="0.2">
      <c r="H19" s="265" t="s">
        <v>51</v>
      </c>
      <c r="I19" s="265"/>
      <c r="J19" s="265" t="s">
        <v>52</v>
      </c>
      <c r="K19" s="265"/>
      <c r="L19" s="439" t="s">
        <v>204</v>
      </c>
      <c r="M19" s="265"/>
      <c r="N19" s="265" t="s">
        <v>53</v>
      </c>
      <c r="O19" s="265"/>
      <c r="P19" s="265" t="s">
        <v>52</v>
      </c>
      <c r="Q19" s="265"/>
      <c r="R19" s="265" t="s">
        <v>52</v>
      </c>
      <c r="S19" s="265"/>
      <c r="T19" s="265" t="s">
        <v>53</v>
      </c>
    </row>
    <row r="20" spans="1:25" x14ac:dyDescent="0.25">
      <c r="A20" s="426">
        <v>1</v>
      </c>
      <c r="C20" s="46" t="s">
        <v>54</v>
      </c>
      <c r="D20" s="52" t="s">
        <v>254</v>
      </c>
      <c r="E20" s="46"/>
      <c r="F20" s="83">
        <f>'Rate RS'!X79</f>
        <v>1552696</v>
      </c>
      <c r="G20" s="84"/>
      <c r="H20" s="83">
        <f>'Rate RS'!Z79</f>
        <v>1474920684</v>
      </c>
      <c r="I20" s="83"/>
      <c r="J20" s="83">
        <f>'Rate RS'!AD79</f>
        <v>141585273</v>
      </c>
      <c r="K20" s="83"/>
      <c r="L20" s="225">
        <f t="shared" ref="L20:L48" si="0">IF(H20=0,"-",ROUND(J20/H20*100,6))</f>
        <v>9.5995179999999998</v>
      </c>
      <c r="M20" s="85"/>
      <c r="N20" s="121">
        <f>IF(ABS(J20/$J$48*100)&lt;0.005,"-   ",ROUND(J20/$J$48*100,2))</f>
        <v>37.82</v>
      </c>
      <c r="O20" s="103"/>
      <c r="P20" s="83">
        <f>'Rate RS'!AL79</f>
        <v>1004421</v>
      </c>
      <c r="Q20" s="83"/>
      <c r="R20" s="83">
        <f>'Rate RS'!AN79</f>
        <v>142589694</v>
      </c>
      <c r="S20" s="83"/>
      <c r="T20" s="121">
        <f>IF(ABS(R20/$R$48*100)&lt;0.005,"-    ",ROUND(R20/$R$48*100,2))</f>
        <v>37.82</v>
      </c>
      <c r="U20" s="380"/>
    </row>
    <row r="21" spans="1:25" x14ac:dyDescent="0.25">
      <c r="A21" s="426">
        <v>2</v>
      </c>
      <c r="C21" s="46" t="s">
        <v>97</v>
      </c>
      <c r="D21" s="52" t="s">
        <v>255</v>
      </c>
      <c r="E21" s="46"/>
      <c r="F21" s="83">
        <f>'Rate DS'!Y105</f>
        <v>156672</v>
      </c>
      <c r="G21" s="84"/>
      <c r="H21" s="83">
        <f>'Rate DS'!AA105</f>
        <v>1089223051</v>
      </c>
      <c r="I21" s="83"/>
      <c r="J21" s="83">
        <f>'Rate DS'!AE105</f>
        <v>105645740</v>
      </c>
      <c r="K21" s="83"/>
      <c r="L21" s="225">
        <f t="shared" si="0"/>
        <v>9.6991829999999997</v>
      </c>
      <c r="M21" s="85"/>
      <c r="N21" s="121">
        <f>IF(ABS(J21/$J$48*100)&lt;0.005,"-   ",ROUND(J21/$J$48*100,2))</f>
        <v>28.22</v>
      </c>
      <c r="O21" s="103"/>
      <c r="P21" s="83">
        <f>'Rate DS'!AM105</f>
        <v>741761</v>
      </c>
      <c r="Q21" s="83"/>
      <c r="R21" s="83">
        <f>'Rate DS'!AO105</f>
        <v>106387501</v>
      </c>
      <c r="S21" s="83"/>
      <c r="T21" s="121">
        <f t="shared" ref="T21:T43" si="1">IF(ABS(R21/$R$48*100)&lt;0.005,"-    ",ROUND(R21/$R$48*100,2))</f>
        <v>28.21</v>
      </c>
      <c r="U21" s="380"/>
    </row>
    <row r="22" spans="1:25" x14ac:dyDescent="0.25">
      <c r="A22" s="426">
        <v>3</v>
      </c>
      <c r="C22" s="46" t="s">
        <v>440</v>
      </c>
      <c r="D22" s="46" t="s">
        <v>63</v>
      </c>
      <c r="E22" s="46"/>
      <c r="F22" s="5">
        <f>'Rate DT-Pri'!Y133</f>
        <v>455</v>
      </c>
      <c r="G22" s="2"/>
      <c r="H22" s="5">
        <f>'Rate DT-Pri'!AA133</f>
        <v>472650196</v>
      </c>
      <c r="I22" s="5"/>
      <c r="J22" s="5">
        <f>'Rate DT-Pri'!AE133</f>
        <v>34560534</v>
      </c>
      <c r="K22" s="5"/>
      <c r="L22" s="225">
        <f t="shared" si="0"/>
        <v>7.312074</v>
      </c>
      <c r="M22" s="9"/>
      <c r="N22" s="121">
        <f>IF(ABS(J22/$J$48*100)&lt;0.005,"-   ",ROUND(J22/$J$48*100,2))</f>
        <v>9.23</v>
      </c>
      <c r="O22" s="8"/>
      <c r="P22" s="5">
        <f>'Rate DT-Pri'!AM133</f>
        <v>321875</v>
      </c>
      <c r="Q22" s="5"/>
      <c r="R22" s="5">
        <f>'Rate DT-Pri'!AO133</f>
        <v>34882409</v>
      </c>
      <c r="S22" s="5"/>
      <c r="T22" s="121">
        <f t="shared" si="1"/>
        <v>9.25</v>
      </c>
    </row>
    <row r="23" spans="1:25" x14ac:dyDescent="0.25">
      <c r="A23" s="426">
        <v>4</v>
      </c>
      <c r="C23" s="46" t="s">
        <v>438</v>
      </c>
      <c r="D23" s="46" t="s">
        <v>63</v>
      </c>
      <c r="E23" s="46"/>
      <c r="F23" s="5">
        <f>'Rate DT-Sec'!Y129</f>
        <v>1870</v>
      </c>
      <c r="G23" s="2"/>
      <c r="H23" s="5">
        <f>'Rate DT-Sec'!AA129</f>
        <v>680875061</v>
      </c>
      <c r="I23" s="5"/>
      <c r="J23" s="5">
        <f>'Rate DT-Sec'!AE129</f>
        <v>54046916</v>
      </c>
      <c r="K23" s="5"/>
      <c r="L23" s="225">
        <f t="shared" si="0"/>
        <v>7.9378609999999998</v>
      </c>
      <c r="M23" s="9"/>
      <c r="N23" s="121">
        <f>IF(ABS(J23/$J$48*100)&lt;0.005,"-   ",ROUND(J23/$J$48*100,2))</f>
        <v>14.44</v>
      </c>
      <c r="O23" s="8"/>
      <c r="P23" s="5">
        <f>'Rate DT-Sec'!AM129</f>
        <v>463676</v>
      </c>
      <c r="Q23" s="5"/>
      <c r="R23" s="5">
        <f>J23+P23</f>
        <v>54510592</v>
      </c>
      <c r="S23" s="5"/>
      <c r="T23" s="121">
        <f t="shared" si="1"/>
        <v>14.46</v>
      </c>
    </row>
    <row r="24" spans="1:25" x14ac:dyDescent="0.25">
      <c r="A24" s="426">
        <v>5</v>
      </c>
      <c r="C24" s="46" t="s">
        <v>100</v>
      </c>
      <c r="D24" s="46" t="s">
        <v>257</v>
      </c>
      <c r="E24" s="46"/>
      <c r="F24" s="5">
        <f>'Rate EH'!Y91</f>
        <v>474</v>
      </c>
      <c r="G24" s="2"/>
      <c r="H24" s="5">
        <f>'Rate EH'!AA91</f>
        <v>9252534</v>
      </c>
      <c r="I24" s="5"/>
      <c r="J24" s="5">
        <f>'Rate EH'!AE91</f>
        <v>702639</v>
      </c>
      <c r="K24" s="5"/>
      <c r="L24" s="225">
        <f t="shared" si="0"/>
        <v>7.594017</v>
      </c>
      <c r="M24" s="9"/>
      <c r="N24" s="121">
        <f t="shared" ref="N24:N41" si="2">IF(ABS(J24/$J$48*100)&lt;0.005,"-   ",ROUND(J24/$J$48*100,2))</f>
        <v>0.19</v>
      </c>
      <c r="O24" s="8"/>
      <c r="P24" s="5">
        <f>'Rate EH'!AM91</f>
        <v>6301</v>
      </c>
      <c r="Q24" s="5"/>
      <c r="R24" s="5">
        <f>'Rate EH'!AO91</f>
        <v>708940</v>
      </c>
      <c r="S24" s="5"/>
      <c r="T24" s="121">
        <f t="shared" si="1"/>
        <v>0.19</v>
      </c>
    </row>
    <row r="25" spans="1:25" x14ac:dyDescent="0.25">
      <c r="A25" s="426">
        <v>6</v>
      </c>
      <c r="C25" s="46" t="s">
        <v>101</v>
      </c>
      <c r="D25" s="52" t="s">
        <v>256</v>
      </c>
      <c r="E25" s="46"/>
      <c r="F25" s="5">
        <f>'Rate SP GSFL'!Y101</f>
        <v>184</v>
      </c>
      <c r="G25" s="2"/>
      <c r="H25" s="5">
        <f>'Rate SP GSFL'!AA101</f>
        <v>276447</v>
      </c>
      <c r="I25" s="5"/>
      <c r="J25" s="5">
        <f>'Rate SP GSFL'!AE101</f>
        <v>35293</v>
      </c>
      <c r="K25" s="5"/>
      <c r="L25" s="225">
        <f t="shared" si="0"/>
        <v>12.766641999999999</v>
      </c>
      <c r="M25" s="9"/>
      <c r="N25" s="121">
        <f t="shared" si="2"/>
        <v>0.01</v>
      </c>
      <c r="O25" s="8"/>
      <c r="P25" s="5">
        <f>'Rate SP GSFL'!AM101</f>
        <v>188</v>
      </c>
      <c r="Q25" s="5"/>
      <c r="R25" s="5">
        <f>'Rate SP GSFL'!AO101</f>
        <v>35481</v>
      </c>
      <c r="S25" s="5"/>
      <c r="T25" s="201">
        <f t="shared" si="1"/>
        <v>0.01</v>
      </c>
      <c r="Y25" s="200"/>
    </row>
    <row r="26" spans="1:25" x14ac:dyDescent="0.25">
      <c r="A26" s="426">
        <v>7</v>
      </c>
      <c r="C26" s="46" t="s">
        <v>99</v>
      </c>
      <c r="D26" s="46" t="s">
        <v>159</v>
      </c>
      <c r="E26" s="46"/>
      <c r="F26" s="5">
        <f>'Rate SP GSFL'!Y120</f>
        <v>540</v>
      </c>
      <c r="G26" s="2"/>
      <c r="H26" s="5">
        <f>'Rate SP GSFL'!AA120</f>
        <v>5958342</v>
      </c>
      <c r="I26" s="5"/>
      <c r="J26" s="5">
        <f>'Rate SP GSFL'!AE120</f>
        <v>675824</v>
      </c>
      <c r="K26" s="5"/>
      <c r="L26" s="225">
        <f t="shared" si="0"/>
        <v>11.342484000000001</v>
      </c>
      <c r="M26" s="9"/>
      <c r="N26" s="121">
        <f t="shared" si="2"/>
        <v>0.18</v>
      </c>
      <c r="O26" s="8"/>
      <c r="P26" s="5">
        <f>'Rate SP GSFL'!AM120</f>
        <v>4058</v>
      </c>
      <c r="Q26" s="5"/>
      <c r="R26" s="5">
        <f>J26+P26</f>
        <v>679882</v>
      </c>
      <c r="S26" s="5"/>
      <c r="T26" s="121">
        <f t="shared" si="1"/>
        <v>0.18</v>
      </c>
    </row>
    <row r="27" spans="1:25" x14ac:dyDescent="0.25">
      <c r="A27" s="426">
        <v>8</v>
      </c>
      <c r="C27" s="46" t="s">
        <v>98</v>
      </c>
      <c r="D27" s="52" t="s">
        <v>188</v>
      </c>
      <c r="E27" s="46"/>
      <c r="F27" s="5">
        <f>'Rate DP'!Y98</f>
        <v>120</v>
      </c>
      <c r="G27" s="2"/>
      <c r="H27" s="5">
        <f>'Rate DP'!AA98</f>
        <v>19651099</v>
      </c>
      <c r="I27" s="5"/>
      <c r="J27" s="5">
        <f>'Rate DP'!AE98</f>
        <v>1746931</v>
      </c>
      <c r="K27" s="5"/>
      <c r="L27" s="225">
        <f t="shared" si="0"/>
        <v>8.8897370000000002</v>
      </c>
      <c r="M27" s="9"/>
      <c r="N27" s="121">
        <f t="shared" si="2"/>
        <v>0.47</v>
      </c>
      <c r="O27" s="8"/>
      <c r="P27" s="5">
        <f>'Rate DP'!AM98</f>
        <v>13382</v>
      </c>
      <c r="Q27" s="5"/>
      <c r="R27" s="5">
        <f>'Rate DP'!AO98</f>
        <v>1760313</v>
      </c>
      <c r="S27" s="5"/>
      <c r="T27" s="121">
        <f t="shared" si="1"/>
        <v>0.47</v>
      </c>
      <c r="Y27" s="200"/>
    </row>
    <row r="28" spans="1:25" x14ac:dyDescent="0.25">
      <c r="A28" s="426">
        <v>9</v>
      </c>
      <c r="C28" s="46" t="s">
        <v>62</v>
      </c>
      <c r="D28" s="46" t="s">
        <v>63</v>
      </c>
      <c r="E28" s="46"/>
      <c r="F28" s="5">
        <f>'Rate TT'!Y120</f>
        <v>155</v>
      </c>
      <c r="G28" s="2"/>
      <c r="H28" s="5">
        <f>'Rate TT'!AA120</f>
        <v>224056170</v>
      </c>
      <c r="I28" s="5"/>
      <c r="J28" s="5">
        <f>'Rate TT'!AE120</f>
        <v>14511443</v>
      </c>
      <c r="K28" s="5"/>
      <c r="L28" s="225">
        <f t="shared" si="0"/>
        <v>6.476699</v>
      </c>
      <c r="M28" s="9"/>
      <c r="N28" s="121">
        <f t="shared" si="2"/>
        <v>3.88</v>
      </c>
      <c r="O28" s="8"/>
      <c r="P28" s="5">
        <f>'Rate TT'!AM120</f>
        <v>152582</v>
      </c>
      <c r="Q28" s="5"/>
      <c r="R28" s="5">
        <f>'Rate TT'!AO120</f>
        <v>14664025</v>
      </c>
      <c r="S28" s="5"/>
      <c r="T28" s="121">
        <f t="shared" si="1"/>
        <v>3.89</v>
      </c>
    </row>
    <row r="29" spans="1:25" x14ac:dyDescent="0.25">
      <c r="A29" s="426">
        <v>10</v>
      </c>
      <c r="C29" s="378" t="s">
        <v>429</v>
      </c>
      <c r="D29" s="378" t="s">
        <v>269</v>
      </c>
      <c r="E29" s="46"/>
      <c r="F29" s="5">
        <f>'Rate DT RTP-P'!Y82</f>
        <v>0</v>
      </c>
      <c r="G29" s="2"/>
      <c r="H29" s="5">
        <f>'Rate DT RTP-P'!AA82</f>
        <v>0</v>
      </c>
      <c r="I29" s="5"/>
      <c r="J29" s="5">
        <f>'Rate DT RTP-P'!AE82</f>
        <v>0</v>
      </c>
      <c r="K29" s="5"/>
      <c r="L29" s="225" t="str">
        <f>IF(H29=0,"-",ROUND(J29/H29*100,6))</f>
        <v>-</v>
      </c>
      <c r="M29" s="9"/>
      <c r="N29" s="121" t="str">
        <f t="shared" si="2"/>
        <v xml:space="preserve">-   </v>
      </c>
      <c r="O29" s="8"/>
      <c r="P29" s="5">
        <f>'Rate DT RTP-P'!AM82</f>
        <v>0</v>
      </c>
      <c r="Q29" s="5"/>
      <c r="R29" s="5">
        <f>'Rate DT RTP-P'!AO82</f>
        <v>0</v>
      </c>
      <c r="S29" s="5"/>
      <c r="T29" s="121" t="str">
        <f t="shared" si="1"/>
        <v xml:space="preserve">-    </v>
      </c>
      <c r="W29" s="402"/>
    </row>
    <row r="30" spans="1:25" x14ac:dyDescent="0.25">
      <c r="A30" s="426">
        <v>11</v>
      </c>
      <c r="C30" s="378" t="s">
        <v>430</v>
      </c>
      <c r="D30" s="378" t="s">
        <v>269</v>
      </c>
      <c r="E30" s="46"/>
      <c r="F30" s="5">
        <f>'Rate DT RTP-S'!Y83</f>
        <v>24</v>
      </c>
      <c r="G30" s="2"/>
      <c r="H30" s="5">
        <f>'Rate DT RTP-S'!AA83</f>
        <v>1569705</v>
      </c>
      <c r="I30" s="5"/>
      <c r="J30" s="5">
        <f>'Rate DT RTP-S'!AE83</f>
        <v>73463</v>
      </c>
      <c r="K30" s="5"/>
      <c r="L30" s="225">
        <f t="shared" si="0"/>
        <v>4.6800509999999997</v>
      </c>
      <c r="M30" s="9"/>
      <c r="N30" s="121">
        <f t="shared" si="2"/>
        <v>0.02</v>
      </c>
      <c r="O30" s="8"/>
      <c r="P30" s="5">
        <f>'Rate DT RTP-S'!AM83</f>
        <v>0</v>
      </c>
      <c r="Q30" s="5"/>
      <c r="R30" s="5">
        <f>'Rate DT RTP-S'!AO83</f>
        <v>73463</v>
      </c>
      <c r="S30" s="5"/>
      <c r="T30" s="121">
        <f t="shared" si="1"/>
        <v>0.02</v>
      </c>
    </row>
    <row r="31" spans="1:25" x14ac:dyDescent="0.25">
      <c r="A31" s="426">
        <v>12</v>
      </c>
      <c r="C31" s="378" t="s">
        <v>298</v>
      </c>
      <c r="D31" s="378" t="s">
        <v>269</v>
      </c>
      <c r="E31" s="46"/>
      <c r="F31" s="5">
        <f>'Rate DS RTP'!Y83</f>
        <v>36</v>
      </c>
      <c r="G31" s="2"/>
      <c r="H31" s="5">
        <f>'Rate DS RTP'!AA83</f>
        <v>801933</v>
      </c>
      <c r="I31" s="5"/>
      <c r="J31" s="5">
        <f>'Rate DS RTP'!AE83</f>
        <v>49104</v>
      </c>
      <c r="K31" s="5"/>
      <c r="L31" s="225">
        <f t="shared" si="0"/>
        <v>6.1232049999999996</v>
      </c>
      <c r="M31" s="9"/>
      <c r="N31" s="121">
        <f t="shared" si="2"/>
        <v>0.01</v>
      </c>
      <c r="O31" s="8"/>
      <c r="P31" s="5">
        <f>'Rate DS RTP'!AM83</f>
        <v>0</v>
      </c>
      <c r="Q31" s="5"/>
      <c r="R31" s="5">
        <f>'Rate DS RTP'!AO83</f>
        <v>49104</v>
      </c>
      <c r="S31" s="5"/>
      <c r="T31" s="121">
        <f t="shared" si="1"/>
        <v>0.01</v>
      </c>
      <c r="W31" s="202"/>
    </row>
    <row r="32" spans="1:25" x14ac:dyDescent="0.25">
      <c r="A32" s="426">
        <v>13</v>
      </c>
      <c r="C32" s="378" t="s">
        <v>299</v>
      </c>
      <c r="D32" s="378" t="s">
        <v>269</v>
      </c>
      <c r="E32" s="46"/>
      <c r="F32" s="5">
        <f>'Rate TT RTP'!Y85</f>
        <v>24</v>
      </c>
      <c r="G32" s="2"/>
      <c r="H32" s="5">
        <f>'Rate TT RTP'!AA85</f>
        <v>14214991</v>
      </c>
      <c r="I32" s="5"/>
      <c r="J32" s="5">
        <f>'Rate TT RTP'!AE85</f>
        <v>516390</v>
      </c>
      <c r="K32" s="5"/>
      <c r="L32" s="225">
        <f t="shared" si="0"/>
        <v>3.632714</v>
      </c>
      <c r="M32" s="9"/>
      <c r="N32" s="121">
        <f t="shared" si="2"/>
        <v>0.14000000000000001</v>
      </c>
      <c r="O32" s="8"/>
      <c r="P32" s="5">
        <f>'Rate TT RTP'!AM85</f>
        <v>0</v>
      </c>
      <c r="Q32" s="5"/>
      <c r="R32" s="5">
        <f>'Rate TT RTP'!AO85</f>
        <v>516390</v>
      </c>
      <c r="S32" s="5"/>
      <c r="T32" s="121">
        <f t="shared" si="1"/>
        <v>0.14000000000000001</v>
      </c>
      <c r="W32" s="403"/>
    </row>
    <row r="33" spans="1:24" x14ac:dyDescent="0.25">
      <c r="A33" s="426">
        <v>14</v>
      </c>
      <c r="C33" s="46" t="s">
        <v>79</v>
      </c>
      <c r="D33" s="52" t="s">
        <v>80</v>
      </c>
      <c r="E33" s="46"/>
      <c r="F33" s="5">
        <f>'Rate SL'!Y429</f>
        <v>135466</v>
      </c>
      <c r="G33" s="2"/>
      <c r="H33" s="5">
        <f>'Rate SL'!AA429</f>
        <v>10548224</v>
      </c>
      <c r="I33" s="5"/>
      <c r="J33" s="5">
        <f>'Rate SL'!AE429</f>
        <v>1533918</v>
      </c>
      <c r="K33" s="5"/>
      <c r="L33" s="225">
        <f t="shared" si="0"/>
        <v>14.541955</v>
      </c>
      <c r="M33" s="9"/>
      <c r="N33" s="121">
        <f t="shared" si="2"/>
        <v>0.41</v>
      </c>
      <c r="O33" s="8"/>
      <c r="P33" s="5">
        <f>'Rate SL'!AM429</f>
        <v>7183</v>
      </c>
      <c r="Q33" s="5"/>
      <c r="R33" s="5">
        <f>'Rate SL'!AO429</f>
        <v>1541102</v>
      </c>
      <c r="S33" s="5"/>
      <c r="T33" s="121">
        <f t="shared" si="1"/>
        <v>0.41</v>
      </c>
      <c r="W33" s="200"/>
    </row>
    <row r="34" spans="1:24" x14ac:dyDescent="0.25">
      <c r="A34" s="426">
        <v>15</v>
      </c>
      <c r="C34" s="46" t="s">
        <v>83</v>
      </c>
      <c r="D34" s="52" t="s">
        <v>84</v>
      </c>
      <c r="E34" s="46"/>
      <c r="F34" s="5">
        <f>'Rate TL'!Y98</f>
        <v>95903</v>
      </c>
      <c r="G34" s="2"/>
      <c r="H34" s="5">
        <f>'Rate TL'!AA98</f>
        <v>1445796</v>
      </c>
      <c r="I34" s="5"/>
      <c r="J34" s="5">
        <f>'Rate TL'!AE98</f>
        <v>79451</v>
      </c>
      <c r="K34" s="5"/>
      <c r="L34" s="225">
        <f t="shared" si="0"/>
        <v>5.4953120000000002</v>
      </c>
      <c r="M34" s="9"/>
      <c r="N34" s="201">
        <f t="shared" si="2"/>
        <v>0.02</v>
      </c>
      <c r="O34" s="8"/>
      <c r="P34" s="5">
        <f>'Rate TL'!AM98</f>
        <v>985</v>
      </c>
      <c r="Q34" s="5"/>
      <c r="R34" s="5">
        <f>'Rate TL'!AO98</f>
        <v>80436</v>
      </c>
      <c r="S34" s="5"/>
      <c r="T34" s="201">
        <f t="shared" si="1"/>
        <v>0.02</v>
      </c>
    </row>
    <row r="35" spans="1:24" x14ac:dyDescent="0.25">
      <c r="A35" s="426">
        <v>16</v>
      </c>
      <c r="C35" s="46" t="s">
        <v>251</v>
      </c>
      <c r="D35" s="46" t="s">
        <v>258</v>
      </c>
      <c r="E35" s="46"/>
      <c r="F35" s="5">
        <f>'Rate UOLS'!Y63</f>
        <v>89792</v>
      </c>
      <c r="G35" s="2"/>
      <c r="H35" s="5">
        <f>'Rate UOLS'!AA63</f>
        <v>4292584</v>
      </c>
      <c r="I35" s="5"/>
      <c r="J35" s="5">
        <f>'Rate UOLS'!AE63</f>
        <v>175536</v>
      </c>
      <c r="K35" s="5"/>
      <c r="L35" s="225">
        <f t="shared" si="0"/>
        <v>4.0892850000000003</v>
      </c>
      <c r="M35" s="9"/>
      <c r="N35" s="121">
        <f t="shared" si="2"/>
        <v>0.05</v>
      </c>
      <c r="O35" s="8"/>
      <c r="P35" s="5">
        <f>'Rate UOLS'!AM63</f>
        <v>2923</v>
      </c>
      <c r="Q35" s="5"/>
      <c r="R35" s="5">
        <f>'Rate UOLS'!AO63</f>
        <v>178459</v>
      </c>
      <c r="S35" s="5"/>
      <c r="T35" s="121">
        <f t="shared" si="1"/>
        <v>0.05</v>
      </c>
    </row>
    <row r="36" spans="1:24" x14ac:dyDescent="0.25">
      <c r="A36" s="426">
        <v>17</v>
      </c>
      <c r="C36" s="46" t="s">
        <v>92</v>
      </c>
      <c r="D36" s="52" t="s">
        <v>259</v>
      </c>
      <c r="E36" s="46"/>
      <c r="F36" s="5">
        <f>'Rate NSU'!Y95</f>
        <v>9196</v>
      </c>
      <c r="G36" s="2"/>
      <c r="H36" s="5">
        <f>'Rate NSU'!AA95</f>
        <v>449416</v>
      </c>
      <c r="I36" s="5"/>
      <c r="J36" s="5">
        <f>'Rate NSU'!AE95</f>
        <v>79625</v>
      </c>
      <c r="K36" s="5"/>
      <c r="L36" s="225">
        <f t="shared" si="0"/>
        <v>17.717438000000001</v>
      </c>
      <c r="M36" s="9"/>
      <c r="N36" s="121">
        <f t="shared" si="2"/>
        <v>0.02</v>
      </c>
      <c r="O36" s="8"/>
      <c r="P36" s="5">
        <f>'Rate NSU'!AM95</f>
        <v>306</v>
      </c>
      <c r="Q36" s="5"/>
      <c r="R36" s="5">
        <f>'Rate NSU'!AO95</f>
        <v>79931</v>
      </c>
      <c r="S36" s="5"/>
      <c r="T36" s="121">
        <f t="shared" si="1"/>
        <v>0.02</v>
      </c>
    </row>
    <row r="37" spans="1:24" x14ac:dyDescent="0.25">
      <c r="A37" s="426">
        <v>18</v>
      </c>
      <c r="C37" s="46" t="s">
        <v>75</v>
      </c>
      <c r="D37" s="46" t="s">
        <v>497</v>
      </c>
      <c r="E37" s="46"/>
      <c r="F37" s="5">
        <f>'Rate SC'!Y145</f>
        <v>2065</v>
      </c>
      <c r="G37" s="5"/>
      <c r="H37" s="5">
        <f>'Rate SC'!AA145</f>
        <v>97596</v>
      </c>
      <c r="I37" s="5"/>
      <c r="J37" s="5">
        <f>'Rate SC'!AE145</f>
        <v>3990</v>
      </c>
      <c r="K37" s="5"/>
      <c r="L37" s="225">
        <f t="shared" si="0"/>
        <v>4.0882820000000004</v>
      </c>
      <c r="M37" s="9"/>
      <c r="N37" s="201" t="str">
        <f t="shared" si="2"/>
        <v xml:space="preserve">-   </v>
      </c>
      <c r="O37" s="8"/>
      <c r="P37" s="5">
        <f>'Rate SC'!AM145</f>
        <v>66</v>
      </c>
      <c r="Q37" s="5"/>
      <c r="R37" s="5">
        <f>'Rate SC'!AO145</f>
        <v>4056</v>
      </c>
      <c r="S37" s="5"/>
      <c r="T37" s="121" t="str">
        <f t="shared" si="1"/>
        <v xml:space="preserve">-    </v>
      </c>
    </row>
    <row r="38" spans="1:24" x14ac:dyDescent="0.25">
      <c r="A38" s="426">
        <v>19</v>
      </c>
      <c r="C38" s="46" t="s">
        <v>72</v>
      </c>
      <c r="D38" s="46" t="s">
        <v>498</v>
      </c>
      <c r="E38" s="46"/>
      <c r="F38" s="5">
        <f>'Rate SE'!Y108</f>
        <v>25036</v>
      </c>
      <c r="G38" s="5"/>
      <c r="H38" s="5">
        <f>'Rate SE'!AA108</f>
        <v>1493016</v>
      </c>
      <c r="I38" s="5"/>
      <c r="J38" s="5">
        <f>'Rate SE'!AE108</f>
        <v>225903</v>
      </c>
      <c r="K38" s="5"/>
      <c r="L38" s="225">
        <f t="shared" si="0"/>
        <v>15.130648000000001</v>
      </c>
      <c r="M38" s="9"/>
      <c r="N38" s="121">
        <f t="shared" si="2"/>
        <v>0.06</v>
      </c>
      <c r="O38" s="8"/>
      <c r="P38" s="5">
        <f>'Rate SE'!AM108</f>
        <v>1018</v>
      </c>
      <c r="Q38" s="5"/>
      <c r="R38" s="5">
        <f>'Rate SE'!AO108</f>
        <v>226922</v>
      </c>
      <c r="S38" s="5"/>
      <c r="T38" s="121">
        <f t="shared" si="1"/>
        <v>0.06</v>
      </c>
    </row>
    <row r="39" spans="1:24" x14ac:dyDescent="0.25">
      <c r="A39" s="426">
        <v>20</v>
      </c>
      <c r="C39" s="46" t="s">
        <v>673</v>
      </c>
      <c r="D39" s="46" t="s">
        <v>698</v>
      </c>
      <c r="E39" s="46"/>
      <c r="F39" s="5">
        <f>'Rate LED'!Y354</f>
        <v>0</v>
      </c>
      <c r="G39" s="5"/>
      <c r="H39" s="5">
        <f>'Rate LED'!AA354</f>
        <v>0</v>
      </c>
      <c r="I39" s="5"/>
      <c r="J39" s="5">
        <f>'Rate LED'!AE354</f>
        <v>0</v>
      </c>
      <c r="K39" s="5"/>
      <c r="L39" s="225" t="str">
        <f t="shared" si="0"/>
        <v>-</v>
      </c>
      <c r="M39" s="9"/>
      <c r="N39" s="121" t="str">
        <f t="shared" si="2"/>
        <v xml:space="preserve">-   </v>
      </c>
      <c r="O39" s="8"/>
      <c r="P39" s="5">
        <f>'Rate LED'!AM354</f>
        <v>0</v>
      </c>
      <c r="Q39" s="5"/>
      <c r="R39" s="5">
        <f>'Rate LED'!AO354</f>
        <v>0</v>
      </c>
      <c r="S39" s="5"/>
      <c r="T39" s="121" t="str">
        <f t="shared" si="1"/>
        <v xml:space="preserve">-    </v>
      </c>
    </row>
    <row r="40" spans="1:24" x14ac:dyDescent="0.25">
      <c r="A40" s="426">
        <v>21</v>
      </c>
      <c r="C40" s="194" t="s">
        <v>413</v>
      </c>
      <c r="D40" s="194" t="s">
        <v>382</v>
      </c>
      <c r="E40" s="46"/>
      <c r="F40" s="5">
        <f>'SCH M-2.2'!F56</f>
        <v>12</v>
      </c>
      <c r="G40" s="5"/>
      <c r="H40" s="5">
        <f>'SCH M-2.2'!H56</f>
        <v>882413</v>
      </c>
      <c r="I40" s="5"/>
      <c r="J40" s="5">
        <f>'SCH M-2.2'!L56</f>
        <v>67848</v>
      </c>
      <c r="K40" s="5"/>
      <c r="L40" s="225">
        <f t="shared" si="0"/>
        <v>7.688917</v>
      </c>
      <c r="M40" s="9"/>
      <c r="N40" s="121">
        <f t="shared" si="2"/>
        <v>0.02</v>
      </c>
      <c r="O40" s="8"/>
      <c r="P40" s="5">
        <f>'SCH M-2.2'!T56</f>
        <v>601</v>
      </c>
      <c r="Q40" s="5"/>
      <c r="R40" s="5">
        <f>'SCH M-2.2'!V56</f>
        <v>68449</v>
      </c>
      <c r="S40" s="5"/>
      <c r="T40" s="121">
        <f t="shared" si="1"/>
        <v>0.02</v>
      </c>
    </row>
    <row r="41" spans="1:24" x14ac:dyDescent="0.25">
      <c r="A41" s="426">
        <v>22</v>
      </c>
      <c r="C41" s="196" t="s">
        <v>102</v>
      </c>
      <c r="D41" s="196" t="s">
        <v>623</v>
      </c>
      <c r="E41" s="46"/>
      <c r="F41" s="5">
        <f>'SCH M-2.2'!F57</f>
        <v>0</v>
      </c>
      <c r="G41" s="5"/>
      <c r="H41" s="5">
        <f>'SCH M-2.2'!H57</f>
        <v>0</v>
      </c>
      <c r="I41" s="5"/>
      <c r="J41" s="5">
        <f>'SCH M-2.2'!L57</f>
        <v>3468212</v>
      </c>
      <c r="K41" s="5"/>
      <c r="L41" s="225" t="str">
        <f t="shared" ref="L41:L47" si="3">IF(H41=0,"-",ROUND(J41/H41*100,6))</f>
        <v>-</v>
      </c>
      <c r="M41" s="9"/>
      <c r="N41" s="121">
        <f t="shared" si="2"/>
        <v>0.93</v>
      </c>
      <c r="O41" s="8"/>
      <c r="P41" s="5">
        <f>'SCH M-2.2'!T57</f>
        <v>0</v>
      </c>
      <c r="Q41" s="5"/>
      <c r="R41" s="5">
        <f>'SCH M-2.2'!V57</f>
        <v>3468212</v>
      </c>
      <c r="S41" s="5"/>
      <c r="T41" s="121">
        <f t="shared" si="1"/>
        <v>0.92</v>
      </c>
      <c r="W41" s="402"/>
    </row>
    <row r="42" spans="1:24" x14ac:dyDescent="0.25">
      <c r="A42" s="426">
        <v>23</v>
      </c>
      <c r="C42" s="194"/>
      <c r="D42" s="195" t="s">
        <v>260</v>
      </c>
      <c r="E42" s="46"/>
      <c r="F42" s="5">
        <f>'SCH M-2.2'!F58</f>
        <v>0</v>
      </c>
      <c r="G42" s="5"/>
      <c r="H42" s="5">
        <f>'SCH M-2.2'!H58</f>
        <v>0</v>
      </c>
      <c r="I42" s="5"/>
      <c r="J42" s="5">
        <f>'SCH M-2.2'!L58</f>
        <v>34903</v>
      </c>
      <c r="K42" s="5"/>
      <c r="L42" s="225" t="str">
        <f t="shared" si="3"/>
        <v>-</v>
      </c>
      <c r="M42" s="9"/>
      <c r="N42" s="201">
        <f t="shared" ref="N42:N47" si="4">IF(ABS(J42/$J$48*100)&lt;0.005,"-   ",ROUND(J42/$J$48*100,2))</f>
        <v>0.01</v>
      </c>
      <c r="O42" s="8"/>
      <c r="P42" s="5">
        <f>'SCH M-2.2'!T58</f>
        <v>0</v>
      </c>
      <c r="Q42" s="5"/>
      <c r="R42" s="5">
        <f>'SCH M-2.2'!V58</f>
        <v>34903</v>
      </c>
      <c r="S42" s="5"/>
      <c r="T42" s="121">
        <f t="shared" si="1"/>
        <v>0.01</v>
      </c>
      <c r="W42" s="202"/>
    </row>
    <row r="43" spans="1:24" x14ac:dyDescent="0.25">
      <c r="A43" s="426">
        <v>24</v>
      </c>
      <c r="C43" s="194"/>
      <c r="D43" s="196" t="s">
        <v>263</v>
      </c>
      <c r="E43" s="46"/>
      <c r="F43" s="5">
        <f>'SCH M-2.2'!F59</f>
        <v>0</v>
      </c>
      <c r="G43" s="5"/>
      <c r="H43" s="5">
        <f>'SCH M-2.2'!H59</f>
        <v>0</v>
      </c>
      <c r="I43" s="5"/>
      <c r="J43" s="5">
        <f>'SCH M-2.2'!L59</f>
        <v>38885</v>
      </c>
      <c r="K43" s="5"/>
      <c r="L43" s="225" t="str">
        <f t="shared" si="3"/>
        <v>-</v>
      </c>
      <c r="M43" s="85"/>
      <c r="N43" s="121">
        <f t="shared" si="4"/>
        <v>0.01</v>
      </c>
      <c r="O43" s="103"/>
      <c r="P43" s="5">
        <f>'SCH M-2.2'!T59</f>
        <v>0</v>
      </c>
      <c r="Q43" s="5"/>
      <c r="R43" s="5">
        <f>'SCH M-2.2'!V59</f>
        <v>38885</v>
      </c>
      <c r="S43" s="83"/>
      <c r="T43" s="121">
        <f t="shared" si="1"/>
        <v>0.01</v>
      </c>
      <c r="W43" s="403"/>
    </row>
    <row r="44" spans="1:24" x14ac:dyDescent="0.25">
      <c r="A44" s="426">
        <v>25</v>
      </c>
      <c r="C44" s="194"/>
      <c r="D44" s="196" t="s">
        <v>570</v>
      </c>
      <c r="E44" s="46"/>
      <c r="F44" s="5">
        <f>'SCH M-2.2'!F60</f>
        <v>0</v>
      </c>
      <c r="G44" s="5"/>
      <c r="H44" s="5">
        <f>'SCH M-2.2'!H60</f>
        <v>0</v>
      </c>
      <c r="I44" s="5"/>
      <c r="J44" s="5">
        <f>'SCH M-2.2'!L60</f>
        <v>472682</v>
      </c>
      <c r="K44" s="5"/>
      <c r="L44" s="225" t="str">
        <f t="shared" ref="L44" si="5">IF(H44=0,"-",ROUND(J44/H44*100,6))</f>
        <v>-</v>
      </c>
      <c r="M44" s="85"/>
      <c r="N44" s="121">
        <f t="shared" si="4"/>
        <v>0.13</v>
      </c>
      <c r="O44" s="103"/>
      <c r="P44" s="5">
        <f>'SCH M-2.2'!T60</f>
        <v>0</v>
      </c>
      <c r="Q44" s="5"/>
      <c r="R44" s="5">
        <f>'SCH M-2.2'!V60</f>
        <v>472682</v>
      </c>
      <c r="S44" s="83"/>
      <c r="T44" s="121">
        <f t="shared" ref="T44" si="6">IF(ABS(R44/$R$48*100)&lt;0.005,"-    ",ROUND(R44/$R$48*100,2))</f>
        <v>0.13</v>
      </c>
    </row>
    <row r="45" spans="1:24" x14ac:dyDescent="0.25">
      <c r="A45" s="426">
        <v>26</v>
      </c>
      <c r="C45" s="194"/>
      <c r="D45" s="196" t="s">
        <v>262</v>
      </c>
      <c r="E45" s="46"/>
      <c r="F45" s="5">
        <f>'SCH M-2.2'!F61</f>
        <v>0</v>
      </c>
      <c r="G45" s="5"/>
      <c r="H45" s="5">
        <f>'SCH M-2.2'!H61</f>
        <v>0</v>
      </c>
      <c r="I45" s="5"/>
      <c r="J45" s="5">
        <f>'SCH M-2.2'!L61</f>
        <v>1005121</v>
      </c>
      <c r="K45" s="5"/>
      <c r="L45" s="225" t="str">
        <f t="shared" si="3"/>
        <v>-</v>
      </c>
      <c r="M45" s="86"/>
      <c r="N45" s="121">
        <f t="shared" si="4"/>
        <v>0.27</v>
      </c>
      <c r="O45" s="9"/>
      <c r="P45" s="5">
        <f>'SCH M-2.2'!T61</f>
        <v>0</v>
      </c>
      <c r="Q45" s="5"/>
      <c r="R45" s="5">
        <f>'SCH M-2.2'!V61</f>
        <v>1005121</v>
      </c>
      <c r="S45" s="8"/>
      <c r="T45" s="121">
        <f>IF(ABS(R45/$R$48*100)&lt;0.005,"-    ",ROUND(R45/$R$48*100,2))</f>
        <v>0.27</v>
      </c>
      <c r="U45" s="48"/>
      <c r="V45" s="48"/>
      <c r="W45" s="48"/>
      <c r="X45" s="49"/>
    </row>
    <row r="46" spans="1:24" x14ac:dyDescent="0.25">
      <c r="A46" s="426">
        <v>27</v>
      </c>
      <c r="C46" s="194" t="s">
        <v>385</v>
      </c>
      <c r="D46" s="196" t="s">
        <v>383</v>
      </c>
      <c r="E46" s="46"/>
      <c r="F46" s="5">
        <f>'SCH M-2.2'!F62</f>
        <v>132</v>
      </c>
      <c r="G46" s="5"/>
      <c r="H46" s="5">
        <f>'SCH M-2.2'!H62</f>
        <v>349821</v>
      </c>
      <c r="I46" s="5"/>
      <c r="J46" s="5">
        <f>'SCH M-2.2'!L62</f>
        <v>16502</v>
      </c>
      <c r="K46" s="5"/>
      <c r="L46" s="225">
        <f t="shared" si="3"/>
        <v>4.7172700000000001</v>
      </c>
      <c r="M46" s="86"/>
      <c r="N46" s="201" t="str">
        <f>IF(ABS(J46/$J$48*100)&lt;0.005,"-   ",ROUND(J46/$J$48*100,2))</f>
        <v xml:space="preserve">-   </v>
      </c>
      <c r="O46" s="9"/>
      <c r="P46" s="5">
        <f>'SCH M-2.2'!T62</f>
        <v>238</v>
      </c>
      <c r="Q46" s="5"/>
      <c r="R46" s="5">
        <f>'SCH M-2.2'!V62</f>
        <v>16740</v>
      </c>
      <c r="S46" s="8"/>
      <c r="T46" s="121" t="str">
        <f>IF(ABS(R46/$R$48*100)&lt;0.005,"-    ",ROUND(R46/$R$48*100,2))</f>
        <v xml:space="preserve">-    </v>
      </c>
      <c r="U46" s="48"/>
      <c r="V46" s="48"/>
      <c r="W46" s="48"/>
      <c r="X46" s="49"/>
    </row>
    <row r="47" spans="1:24" x14ac:dyDescent="0.25">
      <c r="A47" s="426">
        <v>28</v>
      </c>
      <c r="C47" s="194"/>
      <c r="D47" s="196" t="s">
        <v>103</v>
      </c>
      <c r="E47" s="46"/>
      <c r="F47" s="5">
        <f>'SCH M-2.2'!F63</f>
        <v>0</v>
      </c>
      <c r="G47" s="5"/>
      <c r="H47" s="5">
        <f>'SCH M-2.2'!H63</f>
        <v>0</v>
      </c>
      <c r="I47" s="5"/>
      <c r="J47" s="5">
        <f>'SCH M-2.2'!L63</f>
        <v>12987072</v>
      </c>
      <c r="K47" s="5"/>
      <c r="L47" s="226" t="str">
        <f t="shared" si="3"/>
        <v>-</v>
      </c>
      <c r="M47" s="86"/>
      <c r="N47" s="121">
        <f t="shared" si="4"/>
        <v>3.47</v>
      </c>
      <c r="O47" s="9"/>
      <c r="P47" s="5">
        <f>'SCH M-2.2'!T63</f>
        <v>0</v>
      </c>
      <c r="Q47" s="5"/>
      <c r="R47" s="5">
        <f>'SCH M-2.2'!V63</f>
        <v>12987072</v>
      </c>
      <c r="S47" s="8"/>
      <c r="T47" s="121">
        <f>IF(ABS(R47/$R$48*100)&lt;0.005,"-    ",ROUND(R47/$R$48*100,2))</f>
        <v>3.44</v>
      </c>
      <c r="U47" s="48"/>
      <c r="V47" s="48"/>
      <c r="W47" s="48"/>
      <c r="X47" s="49"/>
    </row>
    <row r="48" spans="1:24" ht="20.100000000000001" customHeight="1" thickBot="1" x14ac:dyDescent="0.3">
      <c r="A48" s="426">
        <v>29</v>
      </c>
      <c r="C48" s="46" t="s">
        <v>104</v>
      </c>
      <c r="F48" s="110">
        <f>SUM(F20:F47)</f>
        <v>2070852</v>
      </c>
      <c r="G48" s="2"/>
      <c r="H48" s="110">
        <f>SUM(H20:H47)</f>
        <v>4013009079</v>
      </c>
      <c r="I48" s="5"/>
      <c r="J48" s="110">
        <f>SUM(J20:J47)</f>
        <v>374339198</v>
      </c>
      <c r="K48" s="5"/>
      <c r="L48" s="227">
        <f t="shared" si="0"/>
        <v>9.3281419999999997</v>
      </c>
      <c r="M48" s="9"/>
      <c r="N48" s="122">
        <v>100</v>
      </c>
      <c r="O48" s="8"/>
      <c r="P48" s="110">
        <f>SUM(P20:P47)</f>
        <v>2721564</v>
      </c>
      <c r="Q48" s="5"/>
      <c r="R48" s="110">
        <f>SUM(R20:R47)</f>
        <v>377060764</v>
      </c>
      <c r="S48" s="5"/>
      <c r="T48" s="122">
        <v>100</v>
      </c>
    </row>
    <row r="49" spans="1:20" ht="16.5" thickTop="1" x14ac:dyDescent="0.25"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 x14ac:dyDescent="0.25">
      <c r="C50" s="52" t="s">
        <v>200</v>
      </c>
    </row>
    <row r="51" spans="1:20" x14ac:dyDescent="0.25">
      <c r="A51" s="46"/>
    </row>
  </sheetData>
  <customSheetViews>
    <customSheetView guid="{195DF303-1BBD-4236-94B5-47432850B006}" scale="75" fitToPage="1" showRuler="0">
      <pageMargins left="0.5" right="0.5" top="1" bottom="0" header="0.5" footer="0.5"/>
      <printOptions horizontalCentered="1"/>
      <pageSetup scale="63" orientation="landscape" horizontalDpi="300" verticalDpi="300" r:id="rId1"/>
      <headerFooter alignWithMargins="0"/>
    </customSheetView>
    <customSheetView guid="{0C49E549-011E-46F4-A82E-2CC8951A9C1E}" scale="75" fitToPage="1" showRuler="0">
      <selection activeCell="L9" sqref="L9"/>
      <pageMargins left="0.5" right="0.5" top="1" bottom="0" header="0.5" footer="0.5"/>
      <printOptions horizontalCentered="1"/>
      <pageSetup scale="63" orientation="landscape" horizontalDpi="300" verticalDpi="300" r:id="rId2"/>
      <headerFooter alignWithMargins="0"/>
    </customSheetView>
    <customSheetView guid="{4BC93440-BA85-4935-A8C9-66DC6AE5DE5E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3"/>
      <headerFooter alignWithMargins="0"/>
    </customSheetView>
    <customSheetView guid="{2431C9E5-7CC2-4B8D-99C3-962247B1DBF5}" scale="75" fitToPage="1" showRuler="0">
      <selection activeCell="R40" sqref="R40"/>
      <pageMargins left="0.5" right="0.5" top="1" bottom="0" header="0.5" footer="0.5"/>
      <printOptions horizontalCentered="1"/>
      <pageSetup scale="63" orientation="landscape" horizontalDpi="300" verticalDpi="300" r:id="rId4"/>
      <headerFooter alignWithMargins="0"/>
    </customSheetView>
    <customSheetView guid="{2EA35095-1ADC-4CC7-8C3C-B487D65FA247}" scale="75" fitToPage="1" showRuler="0">
      <selection sqref="A1:T54"/>
      <pageMargins left="0.5" right="0.5" top="1" bottom="0" header="0.5" footer="0.5"/>
      <printOptions horizontalCentered="1"/>
      <pageSetup scale="63" orientation="landscape" horizontalDpi="300" verticalDpi="300" r:id="rId5"/>
      <headerFooter alignWithMargins="0"/>
    </customSheetView>
    <customSheetView guid="{8FC77C99-DBF7-40B8-99B8-01B75826CDCB}" scale="75" showPageBreaks="1" fitToPage="1" printArea="1" showRuler="0">
      <selection sqref="A1:T54"/>
      <pageMargins left="0.5" right="0.5" top="1" bottom="0" header="0.5" footer="0.5"/>
      <printOptions horizontalCentered="1"/>
      <pageSetup scale="63" orientation="landscape" horizontalDpi="300" verticalDpi="300" r:id="rId6"/>
      <headerFooter alignWithMargins="0"/>
    </customSheetView>
    <customSheetView guid="{8FB94551-8874-4095-B8FB-5316E0D2FD2C}" scale="75" fitToPage="1" showRuler="0">
      <pageMargins left="0.5" right="0.5" top="1" bottom="0" header="0.5" footer="0.5"/>
      <printOptions horizontalCentered="1"/>
      <pageSetup scale="63" orientation="landscape" horizontalDpi="300" verticalDpi="300" r:id="rId7"/>
      <headerFooter alignWithMargins="0"/>
    </customSheetView>
    <customSheetView guid="{6B3D5C27-2FDE-4561-9575-1E98BFB869D0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8"/>
      <headerFooter alignWithMargins="0"/>
    </customSheetView>
    <customSheetView guid="{0BC1F393-8A13-47D5-BC6C-0C99615B5AB9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9"/>
      <headerFooter alignWithMargins="0"/>
    </customSheetView>
    <customSheetView guid="{18BDED73-BFA0-442E-87EC-CED86EE4CF94}" scale="75" fitToPage="1" showRuler="0" topLeftCell="A10">
      <selection activeCell="H28" sqref="H28:H31"/>
      <pageMargins left="0.5" right="0.5" top="1" bottom="0" header="0.5" footer="0.5"/>
      <printOptions horizontalCentered="1"/>
      <pageSetup scale="63" orientation="landscape" horizontalDpi="300" verticalDpi="300" r:id="rId10"/>
      <headerFooter alignWithMargins="0"/>
    </customSheetView>
    <customSheetView guid="{35F19056-2E6F-4935-B863-78836FE990BF}" scale="75" fitToPage="1" showRuler="0" topLeftCell="A10">
      <selection activeCell="H28" sqref="H28:H31"/>
      <pageMargins left="0.5" right="0.5" top="1" bottom="0" header="0.5" footer="0.5"/>
      <printOptions horizontalCentered="1"/>
      <pageSetup scale="64" orientation="landscape" horizontalDpi="300" verticalDpi="300" r:id="rId11"/>
      <headerFooter alignWithMargins="0"/>
    </customSheetView>
    <customSheetView guid="{F562D92E-120C-4AE9-9663-89E64D41DC53}" scale="75" fitToPage="1" topLeftCell="A10">
      <selection activeCell="H28" sqref="H28:H31"/>
      <pageMargins left="0.5" right="0.5" top="1" bottom="0" header="0.5" footer="0.5"/>
      <printOptions horizontalCentered="1"/>
      <pageSetup scale="64" orientation="landscape" horizontalDpi="300" verticalDpi="300" r:id="rId12"/>
      <headerFooter alignWithMargins="0"/>
    </customSheetView>
  </customSheetViews>
  <phoneticPr fontId="9" type="noConversion"/>
  <printOptions horizontalCentered="1"/>
  <pageMargins left="0.75" right="0.75" top="1" bottom="1" header="0.5" footer="0.5"/>
  <pageSetup scale="43" orientation="landscape" horizontalDpi="300" verticalDpi="300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37" transitionEvaluation="1" transitionEntry="1" codeName="Sheet4"/>
  <dimension ref="A1:AC121"/>
  <sheetViews>
    <sheetView tabSelected="1" view="pageBreakPreview" topLeftCell="A37" zoomScale="60" zoomScaleNormal="75" workbookViewId="0">
      <selection sqref="A1:J1"/>
    </sheetView>
  </sheetViews>
  <sheetFormatPr defaultColWidth="9.77734375" defaultRowHeight="15.75" x14ac:dyDescent="0.25"/>
  <cols>
    <col min="1" max="1" width="4.21875" style="378" customWidth="1"/>
    <col min="2" max="2" width="0.44140625" style="378" customWidth="1"/>
    <col min="3" max="3" width="11.21875" style="378" customWidth="1"/>
    <col min="4" max="4" width="28.21875" style="378" customWidth="1"/>
    <col min="5" max="5" width="0.33203125" style="378" customWidth="1"/>
    <col min="6" max="6" width="13.77734375" style="378" customWidth="1"/>
    <col min="7" max="7" width="0.44140625" style="378" customWidth="1"/>
    <col min="8" max="8" width="15.6640625" style="378" customWidth="1"/>
    <col min="9" max="9" width="0.33203125" style="378" customWidth="1"/>
    <col min="10" max="10" width="10" style="378" bestFit="1" customWidth="1"/>
    <col min="11" max="11" width="0.33203125" style="378" customWidth="1"/>
    <col min="12" max="12" width="15.6640625" style="378" customWidth="1"/>
    <col min="13" max="13" width="0.33203125" style="378" customWidth="1"/>
    <col min="14" max="14" width="11.77734375" style="378" customWidth="1"/>
    <col min="15" max="15" width="0.44140625" style="378" customWidth="1"/>
    <col min="16" max="16" width="15.77734375" style="378" customWidth="1"/>
    <col min="17" max="17" width="0.33203125" style="378" customWidth="1"/>
    <col min="18" max="18" width="13.88671875" style="143" customWidth="1"/>
    <col min="19" max="19" width="0.33203125" style="378" customWidth="1"/>
    <col min="20" max="20" width="14.44140625" style="378" customWidth="1"/>
    <col min="21" max="21" width="0.44140625" style="378" customWidth="1"/>
    <col min="22" max="22" width="14.44140625" style="378" customWidth="1"/>
    <col min="23" max="23" width="0.44140625" style="378" customWidth="1"/>
    <col min="24" max="24" width="11.77734375" style="143" customWidth="1"/>
    <col min="25" max="25" width="13.21875" style="378" customWidth="1"/>
    <col min="26" max="26" width="9.77734375" style="378" customWidth="1"/>
    <col min="27" max="27" width="11.77734375" style="200" bestFit="1" customWidth="1"/>
    <col min="28" max="28" width="9.77734375" style="378"/>
    <col min="29" max="29" width="11.77734375" style="200" bestFit="1" customWidth="1"/>
    <col min="30" max="76" width="9.77734375" style="378"/>
    <col min="77" max="77" width="20.77734375" style="378" customWidth="1"/>
    <col min="78" max="16384" width="9.77734375" style="378"/>
  </cols>
  <sheetData>
    <row r="1" spans="1:26" x14ac:dyDescent="0.25">
      <c r="A1" s="588" t="str">
        <f>NAME</f>
        <v>DUKE ENERGY KENTUCKY, INC.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Z1" s="425"/>
    </row>
    <row r="2" spans="1:26" x14ac:dyDescent="0.25">
      <c r="A2" s="588" t="str">
        <f>CASE_NO</f>
        <v>CASE NO.   2019-000271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588"/>
      <c r="Q2" s="588"/>
      <c r="R2" s="588"/>
      <c r="S2" s="588"/>
      <c r="T2" s="588"/>
      <c r="U2" s="588"/>
      <c r="V2" s="588"/>
      <c r="W2" s="588"/>
      <c r="X2" s="588"/>
      <c r="Z2" s="425"/>
    </row>
    <row r="3" spans="1:26" x14ac:dyDescent="0.25">
      <c r="A3" s="588" t="str">
        <f>TITLE</f>
        <v>ANNUALIZED BASE YEAR REVENUES AT PROPOSED VS. MOST CURRENT RATES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  <c r="S3" s="588"/>
      <c r="T3" s="588"/>
      <c r="U3" s="588"/>
      <c r="V3" s="588"/>
      <c r="W3" s="588"/>
      <c r="X3" s="588"/>
      <c r="Z3" s="425"/>
    </row>
    <row r="4" spans="1:26" x14ac:dyDescent="0.25">
      <c r="A4" s="588" t="str">
        <f>DATE</f>
        <v>FOR THE TWELVE MONTHS ENDED November 30, 2019</v>
      </c>
      <c r="B4" s="588"/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/>
      <c r="Z4" s="425"/>
    </row>
    <row r="5" spans="1:26" x14ac:dyDescent="0.25">
      <c r="A5" s="588" t="str">
        <f>SERVICE</f>
        <v>(ELECTRIC SERVICE)</v>
      </c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88"/>
      <c r="Z5" s="425"/>
    </row>
    <row r="6" spans="1:26" x14ac:dyDescent="0.25">
      <c r="A6" s="45" t="str">
        <f>DATA_PERIOD</f>
        <v>DATA: __X__ BASE PERIOD   ____FORECASTED PERIOD</v>
      </c>
      <c r="V6" s="46" t="s">
        <v>164</v>
      </c>
      <c r="W6" s="46"/>
      <c r="Z6" s="425"/>
    </row>
    <row r="7" spans="1:26" x14ac:dyDescent="0.25">
      <c r="A7" s="45" t="str">
        <f>TYPE</f>
        <v>TYPE OF FILING: _X_ ORIGINAL   ___UPDATED  ___ REVISED</v>
      </c>
      <c r="V7" s="52" t="str">
        <f>"PAGE 1 OF "&amp;TEXT(Page_Num_2.2,"00")</f>
        <v>PAGE 1 OF 22</v>
      </c>
      <c r="W7" s="46"/>
      <c r="Z7" s="425"/>
    </row>
    <row r="8" spans="1:26" x14ac:dyDescent="0.25">
      <c r="A8" s="46" t="s">
        <v>177</v>
      </c>
      <c r="V8" s="46" t="s">
        <v>3</v>
      </c>
      <c r="W8" s="46"/>
      <c r="Z8" s="425"/>
    </row>
    <row r="9" spans="1:26" x14ac:dyDescent="0.25">
      <c r="A9" s="222" t="str">
        <f>TIME</f>
        <v>6 Months Actual and 6 Months Projected with Riders</v>
      </c>
      <c r="V9" s="45" t="str">
        <f>WIT</f>
        <v>J. L. Kern</v>
      </c>
      <c r="W9" s="46"/>
      <c r="Z9" s="425"/>
    </row>
    <row r="10" spans="1:26" x14ac:dyDescent="0.25">
      <c r="A10" s="222" t="str">
        <f>INPUT!B5</f>
        <v>6 Months Actual Ending May 31, 2019</v>
      </c>
      <c r="V10" s="45"/>
      <c r="W10" s="46"/>
      <c r="Z10" s="425"/>
    </row>
    <row r="11" spans="1:26" x14ac:dyDescent="0.25">
      <c r="A11" s="44" t="s">
        <v>137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4"/>
      <c r="N11" s="43"/>
      <c r="O11" s="43"/>
      <c r="P11" s="43"/>
      <c r="Q11" s="43"/>
      <c r="R11" s="144"/>
      <c r="S11" s="43"/>
      <c r="T11" s="43"/>
      <c r="U11" s="43"/>
      <c r="V11" s="43"/>
      <c r="W11" s="44"/>
      <c r="X11" s="144"/>
      <c r="Z11" s="425"/>
    </row>
    <row r="12" spans="1:26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145"/>
      <c r="S12" s="47"/>
      <c r="T12" s="47"/>
      <c r="U12" s="47"/>
      <c r="V12" s="47"/>
      <c r="W12" s="47"/>
      <c r="X12" s="145"/>
      <c r="Z12" s="425"/>
    </row>
    <row r="13" spans="1:26" ht="18" customHeight="1" x14ac:dyDescent="0.25">
      <c r="L13" s="426" t="s">
        <v>8</v>
      </c>
      <c r="M13" s="426"/>
      <c r="N13" s="426" t="s">
        <v>7</v>
      </c>
      <c r="O13" s="426"/>
      <c r="P13" s="426" t="s">
        <v>9</v>
      </c>
      <c r="Q13" s="426"/>
      <c r="R13" s="146" t="s">
        <v>10</v>
      </c>
      <c r="S13" s="426"/>
      <c r="V13" s="426" t="s">
        <v>8</v>
      </c>
      <c r="W13" s="426"/>
      <c r="X13" s="146" t="s">
        <v>11</v>
      </c>
      <c r="Z13" s="425"/>
    </row>
    <row r="14" spans="1:26" x14ac:dyDescent="0.25">
      <c r="J14" s="426" t="s">
        <v>14</v>
      </c>
      <c r="K14" s="426"/>
      <c r="L14" s="426" t="s">
        <v>12</v>
      </c>
      <c r="M14" s="426"/>
      <c r="N14" s="426" t="s">
        <v>13</v>
      </c>
      <c r="O14" s="426"/>
      <c r="P14" s="426" t="s">
        <v>15</v>
      </c>
      <c r="Q14" s="426"/>
      <c r="R14" s="146" t="s">
        <v>16</v>
      </c>
      <c r="S14" s="426"/>
      <c r="V14" s="426" t="s">
        <v>11</v>
      </c>
      <c r="W14" s="426"/>
      <c r="X14" s="146" t="s">
        <v>9</v>
      </c>
      <c r="Z14" s="425"/>
    </row>
    <row r="15" spans="1:26" x14ac:dyDescent="0.25">
      <c r="A15" s="426" t="s">
        <v>17</v>
      </c>
      <c r="C15" s="426" t="s">
        <v>18</v>
      </c>
      <c r="D15" s="426" t="s">
        <v>19</v>
      </c>
      <c r="E15" s="426"/>
      <c r="F15" s="426" t="s">
        <v>20</v>
      </c>
      <c r="J15" s="426" t="s">
        <v>8</v>
      </c>
      <c r="K15" s="426"/>
      <c r="L15" s="426" t="s">
        <v>21</v>
      </c>
      <c r="M15" s="426"/>
      <c r="N15" s="426" t="s">
        <v>21</v>
      </c>
      <c r="O15" s="426"/>
      <c r="P15" s="426" t="s">
        <v>22</v>
      </c>
      <c r="Q15" s="426"/>
      <c r="R15" s="146" t="s">
        <v>22</v>
      </c>
      <c r="S15" s="426"/>
      <c r="T15" s="426" t="s">
        <v>21</v>
      </c>
      <c r="U15" s="426"/>
      <c r="V15" s="426" t="s">
        <v>9</v>
      </c>
      <c r="W15" s="426"/>
      <c r="X15" s="146" t="s">
        <v>23</v>
      </c>
      <c r="Z15" s="425"/>
    </row>
    <row r="16" spans="1:26" x14ac:dyDescent="0.25">
      <c r="A16" s="426" t="s">
        <v>24</v>
      </c>
      <c r="C16" s="426" t="s">
        <v>25</v>
      </c>
      <c r="D16" s="426" t="s">
        <v>26</v>
      </c>
      <c r="E16" s="426"/>
      <c r="F16" s="426" t="s">
        <v>57</v>
      </c>
      <c r="H16" s="426" t="s">
        <v>28</v>
      </c>
      <c r="I16" s="426"/>
      <c r="J16" s="426" t="s">
        <v>29</v>
      </c>
      <c r="K16" s="426"/>
      <c r="L16" s="426" t="s">
        <v>9</v>
      </c>
      <c r="M16" s="426"/>
      <c r="N16" s="426" t="s">
        <v>9</v>
      </c>
      <c r="O16" s="426"/>
      <c r="P16" s="265" t="s">
        <v>31</v>
      </c>
      <c r="Q16" s="426"/>
      <c r="R16" s="440" t="s">
        <v>32</v>
      </c>
      <c r="S16" s="426"/>
      <c r="T16" s="426" t="s">
        <v>9</v>
      </c>
      <c r="U16" s="426"/>
      <c r="V16" s="265" t="s">
        <v>33</v>
      </c>
      <c r="W16" s="426"/>
      <c r="X16" s="440" t="s">
        <v>34</v>
      </c>
      <c r="Y16" s="380"/>
      <c r="Z16" s="137"/>
    </row>
    <row r="17" spans="1:26" x14ac:dyDescent="0.25">
      <c r="C17" s="265" t="s">
        <v>35</v>
      </c>
      <c r="D17" s="265" t="s">
        <v>36</v>
      </c>
      <c r="E17" s="265"/>
      <c r="F17" s="265" t="s">
        <v>37</v>
      </c>
      <c r="G17" s="218"/>
      <c r="H17" s="265" t="s">
        <v>38</v>
      </c>
      <c r="I17" s="265"/>
      <c r="J17" s="265" t="s">
        <v>44</v>
      </c>
      <c r="K17" s="265"/>
      <c r="L17" s="265" t="s">
        <v>45</v>
      </c>
      <c r="M17" s="265"/>
      <c r="N17" s="265" t="s">
        <v>46</v>
      </c>
      <c r="O17" s="265"/>
      <c r="P17" s="265" t="s">
        <v>47</v>
      </c>
      <c r="Q17" s="265"/>
      <c r="R17" s="440" t="s">
        <v>48</v>
      </c>
      <c r="S17" s="265"/>
      <c r="T17" s="265" t="s">
        <v>42</v>
      </c>
      <c r="U17" s="265"/>
      <c r="V17" s="265" t="s">
        <v>49</v>
      </c>
      <c r="W17" s="265"/>
      <c r="X17" s="440" t="s">
        <v>50</v>
      </c>
      <c r="Y17" s="137"/>
      <c r="Z17" s="137"/>
    </row>
    <row r="18" spans="1:26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145"/>
      <c r="S18" s="47"/>
      <c r="T18" s="47"/>
      <c r="U18" s="47"/>
      <c r="V18" s="47"/>
      <c r="W18" s="47"/>
      <c r="X18" s="145"/>
      <c r="Y18" s="137"/>
      <c r="Z18" s="137"/>
    </row>
    <row r="19" spans="1:26" ht="17.100000000000001" customHeight="1" x14ac:dyDescent="0.25">
      <c r="H19" s="441" t="s">
        <v>51</v>
      </c>
      <c r="I19" s="441"/>
      <c r="J19" s="442" t="s">
        <v>204</v>
      </c>
      <c r="K19" s="441"/>
      <c r="L19" s="441" t="s">
        <v>52</v>
      </c>
      <c r="M19" s="441"/>
      <c r="N19" s="441" t="s">
        <v>53</v>
      </c>
      <c r="O19" s="441"/>
      <c r="P19" s="441" t="s">
        <v>52</v>
      </c>
      <c r="Q19" s="441"/>
      <c r="R19" s="443" t="s">
        <v>53</v>
      </c>
      <c r="S19" s="441"/>
      <c r="T19" s="441" t="s">
        <v>52</v>
      </c>
      <c r="U19" s="441"/>
      <c r="V19" s="441" t="s">
        <v>52</v>
      </c>
      <c r="W19" s="441"/>
      <c r="X19" s="443" t="s">
        <v>53</v>
      </c>
      <c r="Y19" s="382"/>
      <c r="Z19" s="137"/>
    </row>
    <row r="20" spans="1:26" x14ac:dyDescent="0.25">
      <c r="C20" s="590" t="s">
        <v>55</v>
      </c>
      <c r="D20" s="590"/>
      <c r="H20" s="426"/>
      <c r="I20" s="426"/>
      <c r="J20" s="70"/>
      <c r="K20" s="426"/>
      <c r="L20" s="426"/>
      <c r="M20" s="426"/>
      <c r="N20" s="426"/>
      <c r="O20" s="426"/>
      <c r="P20" s="426"/>
      <c r="Q20" s="426"/>
      <c r="R20" s="146"/>
      <c r="S20" s="426"/>
      <c r="T20" s="426"/>
      <c r="U20" s="426"/>
      <c r="V20" s="426"/>
      <c r="W20" s="426"/>
      <c r="X20" s="146"/>
      <c r="Y20" s="382"/>
      <c r="Z20" s="137"/>
    </row>
    <row r="21" spans="1:26" x14ac:dyDescent="0.25">
      <c r="A21" s="426">
        <v>1</v>
      </c>
      <c r="C21" s="46" t="s">
        <v>54</v>
      </c>
      <c r="D21" s="52" t="s">
        <v>254</v>
      </c>
      <c r="E21" s="46"/>
      <c r="F21" s="81">
        <f>'Rate RS'!X79</f>
        <v>1552696</v>
      </c>
      <c r="G21" s="2"/>
      <c r="H21" s="81">
        <f>'Rate RS'!Z79</f>
        <v>1474920684</v>
      </c>
      <c r="I21" s="5"/>
      <c r="J21" s="241">
        <f>IF(H21=0,"-",ROUND((L21/H21)*100,6))</f>
        <v>9.5995179999999998</v>
      </c>
      <c r="K21" s="9"/>
      <c r="L21" s="81">
        <f>'Rate RS'!AD79</f>
        <v>141585273</v>
      </c>
      <c r="M21" s="5"/>
      <c r="N21" s="123">
        <f>ROUND((L21/L$22)*100,2)</f>
        <v>100</v>
      </c>
      <c r="O21" s="9"/>
      <c r="P21" s="81">
        <f>'Rate RS'!AH79</f>
        <v>23274537</v>
      </c>
      <c r="Q21" s="5"/>
      <c r="R21" s="149">
        <f>ROUND((P21/L21)*100,1)</f>
        <v>16.399999999999999</v>
      </c>
      <c r="S21" s="8"/>
      <c r="T21" s="81">
        <f>'Rate RS'!AL79</f>
        <v>1004421</v>
      </c>
      <c r="U21" s="5"/>
      <c r="V21" s="81">
        <f>'Rate RS'!AN79</f>
        <v>142589694</v>
      </c>
      <c r="W21" s="5"/>
      <c r="X21" s="149">
        <f>ROUND((P21/V21)*100,1)</f>
        <v>16.3</v>
      </c>
      <c r="Y21" s="382"/>
      <c r="Z21" s="137"/>
    </row>
    <row r="22" spans="1:26" ht="20.100000000000001" customHeight="1" x14ac:dyDescent="0.25">
      <c r="A22" s="426">
        <v>2</v>
      </c>
      <c r="C22" s="444" t="s">
        <v>202</v>
      </c>
      <c r="F22" s="90">
        <f>F21</f>
        <v>1552696</v>
      </c>
      <c r="G22" s="2"/>
      <c r="H22" s="90">
        <f>H21</f>
        <v>1474920684</v>
      </c>
      <c r="I22" s="5"/>
      <c r="J22" s="241">
        <f>IF(H22=0,"-",ROUND((L22/H22)*100,6))</f>
        <v>9.5995179999999998</v>
      </c>
      <c r="K22" s="9"/>
      <c r="L22" s="90">
        <f>L21</f>
        <v>141585273</v>
      </c>
      <c r="M22" s="5"/>
      <c r="N22" s="139">
        <f>ROUND((L22/L$66)*100,2)</f>
        <v>37.82</v>
      </c>
      <c r="O22" s="9"/>
      <c r="P22" s="90">
        <f>P21</f>
        <v>23274537</v>
      </c>
      <c r="Q22" s="5"/>
      <c r="R22" s="149">
        <f>ROUND((P22/L22)*100,1)</f>
        <v>16.399999999999999</v>
      </c>
      <c r="S22" s="8"/>
      <c r="T22" s="90">
        <f>T21</f>
        <v>1004421</v>
      </c>
      <c r="U22" s="5"/>
      <c r="V22" s="90">
        <f>V21</f>
        <v>142589694</v>
      </c>
      <c r="W22" s="5"/>
      <c r="X22" s="149">
        <f>ROUND((P22/V22)*100,1)</f>
        <v>16.3</v>
      </c>
      <c r="Y22" s="382"/>
      <c r="Z22" s="137"/>
    </row>
    <row r="23" spans="1:26" x14ac:dyDescent="0.25">
      <c r="A23" s="425"/>
      <c r="F23" s="5"/>
      <c r="G23" s="2"/>
      <c r="H23" s="5"/>
      <c r="I23" s="5"/>
      <c r="J23" s="241"/>
      <c r="K23" s="9"/>
      <c r="L23" s="5"/>
      <c r="M23" s="5"/>
      <c r="N23" s="7"/>
      <c r="O23" s="9"/>
      <c r="P23" s="2"/>
      <c r="Q23" s="2"/>
      <c r="R23" s="149"/>
      <c r="S23" s="8"/>
      <c r="T23" s="5"/>
      <c r="U23" s="5"/>
      <c r="V23" s="5"/>
      <c r="W23" s="5"/>
      <c r="X23" s="149"/>
      <c r="Y23" s="382"/>
      <c r="Z23" s="137"/>
    </row>
    <row r="24" spans="1:26" x14ac:dyDescent="0.25">
      <c r="A24" s="425"/>
      <c r="C24" s="589" t="s">
        <v>265</v>
      </c>
      <c r="D24" s="589"/>
      <c r="F24" s="5"/>
      <c r="G24" s="2"/>
      <c r="H24" s="5"/>
      <c r="I24" s="5"/>
      <c r="J24" s="241"/>
      <c r="K24" s="9"/>
      <c r="L24" s="5"/>
      <c r="M24" s="5"/>
      <c r="N24" s="7"/>
      <c r="O24" s="9"/>
      <c r="P24" s="2"/>
      <c r="Q24" s="2"/>
      <c r="R24" s="149"/>
      <c r="S24" s="8"/>
      <c r="T24" s="5"/>
      <c r="U24" s="5"/>
      <c r="V24" s="5"/>
      <c r="W24" s="5"/>
      <c r="X24" s="149"/>
      <c r="Y24" s="382"/>
      <c r="Z24" s="137"/>
    </row>
    <row r="25" spans="1:26" x14ac:dyDescent="0.25">
      <c r="A25" s="426">
        <v>3</v>
      </c>
      <c r="C25" s="46" t="s">
        <v>97</v>
      </c>
      <c r="D25" s="52" t="s">
        <v>255</v>
      </c>
      <c r="E25" s="46"/>
      <c r="F25" s="5">
        <f>'Rate DS'!Y105</f>
        <v>156672</v>
      </c>
      <c r="G25" s="2"/>
      <c r="H25" s="5">
        <f>'Rate DS'!AA105</f>
        <v>1089223051</v>
      </c>
      <c r="I25" s="5"/>
      <c r="J25" s="241">
        <f t="shared" ref="J25:J31" si="0">IF(H25=0,"-",ROUND((L25/H25)*100,6))</f>
        <v>9.6991829999999997</v>
      </c>
      <c r="K25" s="9"/>
      <c r="L25" s="5">
        <f>'Rate DS'!AE105</f>
        <v>105645740</v>
      </c>
      <c r="M25" s="5"/>
      <c r="N25" s="7">
        <f t="shared" ref="N25:N30" si="1">ROUND((L25/L$32)*100,2)</f>
        <v>53.51</v>
      </c>
      <c r="O25" s="9"/>
      <c r="P25" s="5">
        <f>'Rate DS'!AI105</f>
        <v>11185449</v>
      </c>
      <c r="Q25" s="5"/>
      <c r="R25" s="149">
        <f t="shared" ref="R25:R31" si="2">ROUND((P25/L25)*100,1)</f>
        <v>10.6</v>
      </c>
      <c r="S25" s="8"/>
      <c r="T25" s="5">
        <f>'Rate DS'!AM105</f>
        <v>741761</v>
      </c>
      <c r="U25" s="5"/>
      <c r="V25" s="5">
        <f>'Rate DS'!AO105</f>
        <v>106387501</v>
      </c>
      <c r="W25" s="5"/>
      <c r="X25" s="149">
        <f t="shared" ref="X25:X31" si="3">ROUND((P25/V25)*100,1)</f>
        <v>10.5</v>
      </c>
      <c r="Y25" s="382"/>
      <c r="Z25" s="137"/>
    </row>
    <row r="26" spans="1:26" x14ac:dyDescent="0.25">
      <c r="A26" s="426">
        <v>4</v>
      </c>
      <c r="C26" s="46" t="s">
        <v>440</v>
      </c>
      <c r="D26" s="46" t="s">
        <v>63</v>
      </c>
      <c r="E26" s="46"/>
      <c r="F26" s="5">
        <f>'Rate DT-Pri'!Y133</f>
        <v>455</v>
      </c>
      <c r="G26" s="2"/>
      <c r="H26" s="5">
        <f>'Rate DT-Pri'!AA133</f>
        <v>472650196</v>
      </c>
      <c r="I26" s="5"/>
      <c r="J26" s="241">
        <f t="shared" si="0"/>
        <v>7.312074</v>
      </c>
      <c r="K26" s="9"/>
      <c r="L26" s="5">
        <f>'Rate DT-Pri'!AE133</f>
        <v>34560534</v>
      </c>
      <c r="M26" s="5"/>
      <c r="N26" s="7">
        <f t="shared" si="1"/>
        <v>17.510000000000002</v>
      </c>
      <c r="O26" s="9"/>
      <c r="P26" s="5">
        <f>'Rate DT-Pri'!AI133</f>
        <v>3505029</v>
      </c>
      <c r="Q26" s="5"/>
      <c r="R26" s="149">
        <f t="shared" si="2"/>
        <v>10.1</v>
      </c>
      <c r="S26" s="8"/>
      <c r="T26" s="5">
        <f>'Rate DT-Pri'!AM133</f>
        <v>321875</v>
      </c>
      <c r="U26" s="5"/>
      <c r="V26" s="5">
        <f>'Rate DT-Pri'!AO133</f>
        <v>34882409</v>
      </c>
      <c r="W26" s="5"/>
      <c r="X26" s="149">
        <f t="shared" si="3"/>
        <v>10</v>
      </c>
      <c r="Y26" s="382"/>
      <c r="Z26" s="137"/>
    </row>
    <row r="27" spans="1:26" x14ac:dyDescent="0.25">
      <c r="A27" s="426">
        <v>5</v>
      </c>
      <c r="C27" s="46" t="s">
        <v>438</v>
      </c>
      <c r="D27" s="46" t="s">
        <v>63</v>
      </c>
      <c r="E27" s="46"/>
      <c r="F27" s="5">
        <f>'Rate DT-Sec'!Y129</f>
        <v>1870</v>
      </c>
      <c r="G27" s="2"/>
      <c r="H27" s="5">
        <f>'Rate DT-Sec'!AA129</f>
        <v>680875061</v>
      </c>
      <c r="I27" s="5"/>
      <c r="J27" s="241">
        <f t="shared" si="0"/>
        <v>7.9378609999999998</v>
      </c>
      <c r="K27" s="9"/>
      <c r="L27" s="5">
        <f>'Rate DT-Sec'!AE129</f>
        <v>54046916</v>
      </c>
      <c r="M27" s="5"/>
      <c r="N27" s="7">
        <f t="shared" si="1"/>
        <v>27.38</v>
      </c>
      <c r="O27" s="9"/>
      <c r="P27" s="5">
        <f>'Rate DT-Sec'!AI129</f>
        <v>5474810</v>
      </c>
      <c r="Q27" s="5"/>
      <c r="R27" s="149">
        <f t="shared" si="2"/>
        <v>10.1</v>
      </c>
      <c r="S27" s="8"/>
      <c r="T27" s="5">
        <f>'Rate DT-Sec'!AM129</f>
        <v>463676</v>
      </c>
      <c r="U27" s="5"/>
      <c r="V27" s="5">
        <f>'Rate DT-Sec'!AO129</f>
        <v>54510592</v>
      </c>
      <c r="W27" s="5"/>
      <c r="X27" s="149">
        <f>ROUND((P27/V27)*100,1)</f>
        <v>10</v>
      </c>
      <c r="Y27" s="382"/>
      <c r="Z27" s="137"/>
    </row>
    <row r="28" spans="1:26" x14ac:dyDescent="0.25">
      <c r="A28" s="426">
        <v>6</v>
      </c>
      <c r="C28" s="46" t="s">
        <v>100</v>
      </c>
      <c r="D28" s="52" t="s">
        <v>257</v>
      </c>
      <c r="E28" s="46"/>
      <c r="F28" s="5">
        <f>'Rate EH'!Y91</f>
        <v>474</v>
      </c>
      <c r="G28" s="2"/>
      <c r="H28" s="5">
        <f>'Rate EH'!AA91</f>
        <v>9252534</v>
      </c>
      <c r="I28" s="5"/>
      <c r="J28" s="241">
        <f t="shared" si="0"/>
        <v>7.594017</v>
      </c>
      <c r="K28" s="9"/>
      <c r="L28" s="5">
        <f>'Rate EH'!AE91</f>
        <v>702639</v>
      </c>
      <c r="M28" s="5"/>
      <c r="N28" s="7">
        <f t="shared" si="1"/>
        <v>0.36</v>
      </c>
      <c r="O28" s="9"/>
      <c r="P28" s="5">
        <f>'Rate EH'!AI91</f>
        <v>74809</v>
      </c>
      <c r="Q28" s="5"/>
      <c r="R28" s="149">
        <f>ROUND((P28/L28)*100,1)</f>
        <v>10.6</v>
      </c>
      <c r="S28" s="8"/>
      <c r="T28" s="5">
        <f>'Rate EH'!AM91</f>
        <v>6301</v>
      </c>
      <c r="U28" s="5"/>
      <c r="V28" s="5">
        <f>'Rate EH'!AO91</f>
        <v>708940</v>
      </c>
      <c r="W28" s="5"/>
      <c r="X28" s="149">
        <f>ROUND((P28/V28)*100,1)</f>
        <v>10.6</v>
      </c>
      <c r="Y28" s="382"/>
      <c r="Z28" s="137"/>
    </row>
    <row r="29" spans="1:26" x14ac:dyDescent="0.25">
      <c r="A29" s="426">
        <v>7</v>
      </c>
      <c r="C29" s="46" t="s">
        <v>101</v>
      </c>
      <c r="D29" s="52" t="s">
        <v>256</v>
      </c>
      <c r="E29" s="46"/>
      <c r="F29" s="5">
        <f>'Rate SP GSFL'!Y101</f>
        <v>184</v>
      </c>
      <c r="G29" s="2"/>
      <c r="H29" s="5">
        <f>'Rate SP GSFL'!AA101</f>
        <v>276447</v>
      </c>
      <c r="I29" s="5"/>
      <c r="J29" s="241">
        <f t="shared" si="0"/>
        <v>12.766641999999999</v>
      </c>
      <c r="K29" s="9"/>
      <c r="L29" s="5">
        <f>'Rate SP GSFL'!AE101</f>
        <v>35293</v>
      </c>
      <c r="M29" s="5"/>
      <c r="N29" s="7">
        <f t="shared" si="1"/>
        <v>0.02</v>
      </c>
      <c r="O29" s="9"/>
      <c r="P29" s="5">
        <f>'Rate SP GSFL'!AI101</f>
        <v>3731</v>
      </c>
      <c r="Q29" s="5"/>
      <c r="R29" s="149">
        <f>ROUND((P29/L29)*100,1)</f>
        <v>10.6</v>
      </c>
      <c r="S29" s="8"/>
      <c r="T29" s="5">
        <f>'Rate SP GSFL'!AM101</f>
        <v>188</v>
      </c>
      <c r="U29" s="5"/>
      <c r="V29" s="5">
        <f>'Rate SP GSFL'!AO101</f>
        <v>35481</v>
      </c>
      <c r="W29" s="5"/>
      <c r="X29" s="149">
        <f>ROUND((P29/V29)*100,1)</f>
        <v>10.5</v>
      </c>
      <c r="Y29" s="382"/>
      <c r="Z29" s="137"/>
    </row>
    <row r="30" spans="1:26" x14ac:dyDescent="0.25">
      <c r="A30" s="426">
        <v>8</v>
      </c>
      <c r="C30" s="46" t="s">
        <v>99</v>
      </c>
      <c r="D30" s="46" t="s">
        <v>159</v>
      </c>
      <c r="E30" s="46"/>
      <c r="F30" s="5">
        <f>'Rate SP GSFL'!Y120</f>
        <v>540</v>
      </c>
      <c r="G30" s="2"/>
      <c r="H30" s="5">
        <f>'Rate SP GSFL'!AA120</f>
        <v>5958342</v>
      </c>
      <c r="I30" s="5"/>
      <c r="J30" s="241">
        <f t="shared" si="0"/>
        <v>11.342484000000001</v>
      </c>
      <c r="K30" s="9"/>
      <c r="L30" s="5">
        <f>'Rate SP GSFL'!AE120</f>
        <v>675824</v>
      </c>
      <c r="M30" s="5"/>
      <c r="N30" s="7">
        <f t="shared" si="1"/>
        <v>0.34</v>
      </c>
      <c r="O30" s="9"/>
      <c r="P30" s="5">
        <f>'Rate SP GSFL'!AI120</f>
        <v>71859</v>
      </c>
      <c r="Q30" s="5"/>
      <c r="R30" s="149">
        <f>ROUND((P30/L30)*100,1)</f>
        <v>10.6</v>
      </c>
      <c r="S30" s="8"/>
      <c r="T30" s="5">
        <f>'Rate SP GSFL'!AM120</f>
        <v>4058</v>
      </c>
      <c r="U30" s="5"/>
      <c r="V30" s="5">
        <f>'Rate SP GSFL'!AO120</f>
        <v>679882</v>
      </c>
      <c r="W30" s="5"/>
      <c r="X30" s="149">
        <f>ROUND((P30/V30)*100,1)</f>
        <v>10.6</v>
      </c>
      <c r="Y30" s="382"/>
      <c r="Z30" s="137"/>
    </row>
    <row r="31" spans="1:26" x14ac:dyDescent="0.25">
      <c r="A31" s="426">
        <v>9</v>
      </c>
      <c r="C31" s="46" t="s">
        <v>98</v>
      </c>
      <c r="D31" s="52" t="s">
        <v>188</v>
      </c>
      <c r="E31" s="46"/>
      <c r="F31" s="5">
        <f>'Rate DP'!Y98</f>
        <v>120</v>
      </c>
      <c r="G31" s="2"/>
      <c r="H31" s="5">
        <f>'Rate DP'!AA98</f>
        <v>19651099</v>
      </c>
      <c r="I31" s="5"/>
      <c r="J31" s="241">
        <f t="shared" si="0"/>
        <v>8.8897370000000002</v>
      </c>
      <c r="K31" s="9"/>
      <c r="L31" s="5">
        <f>'Rate DP'!AE98</f>
        <v>1746931</v>
      </c>
      <c r="M31" s="5"/>
      <c r="N31" s="7">
        <f>ROUND((L31/L$32)*100,2)</f>
        <v>0.88</v>
      </c>
      <c r="O31" s="9"/>
      <c r="P31" s="5">
        <f>'Rate DP'!AI98</f>
        <v>202135</v>
      </c>
      <c r="Q31" s="5"/>
      <c r="R31" s="149">
        <f t="shared" si="2"/>
        <v>11.6</v>
      </c>
      <c r="S31" s="8"/>
      <c r="T31" s="5">
        <f>'Rate DP'!AM98</f>
        <v>13382</v>
      </c>
      <c r="U31" s="5"/>
      <c r="V31" s="5">
        <f>'Rate DP'!AO98</f>
        <v>1760313</v>
      </c>
      <c r="W31" s="5"/>
      <c r="X31" s="149">
        <f t="shared" si="3"/>
        <v>11.5</v>
      </c>
      <c r="Y31" s="382"/>
      <c r="Z31" s="137"/>
    </row>
    <row r="32" spans="1:26" ht="20.100000000000001" customHeight="1" x14ac:dyDescent="0.25">
      <c r="A32" s="137">
        <v>10</v>
      </c>
      <c r="C32" s="444" t="s">
        <v>173</v>
      </c>
      <c r="F32" s="90">
        <f>SUM(F25:F31)</f>
        <v>160315</v>
      </c>
      <c r="G32" s="2"/>
      <c r="H32" s="90">
        <f>SUM(H25:H31)</f>
        <v>2277886730</v>
      </c>
      <c r="I32" s="5"/>
      <c r="J32" s="241">
        <f>IF(H32=0,"-",ROUND((L32/H32)*100,6))</f>
        <v>8.6665360000000007</v>
      </c>
      <c r="K32" s="9"/>
      <c r="L32" s="90">
        <f>SUM(L25:L31)</f>
        <v>197413877</v>
      </c>
      <c r="M32" s="5"/>
      <c r="N32" s="139">
        <f>ROUND((L32/L$66)*100,2)</f>
        <v>52.74</v>
      </c>
      <c r="O32" s="9"/>
      <c r="P32" s="90">
        <f>SUM(P25:P31)</f>
        <v>20517822</v>
      </c>
      <c r="Q32" s="5"/>
      <c r="R32" s="149">
        <f>ROUND((P32/L32)*100,1)</f>
        <v>10.4</v>
      </c>
      <c r="S32" s="8"/>
      <c r="T32" s="90">
        <f>SUM(T25:T31)</f>
        <v>1551241</v>
      </c>
      <c r="U32" s="5"/>
      <c r="V32" s="90">
        <f>SUM(V25:V31)</f>
        <v>198965118</v>
      </c>
      <c r="W32" s="5"/>
      <c r="X32" s="149">
        <f>ROUND((P32/V32)*100,1)</f>
        <v>10.3</v>
      </c>
      <c r="Y32" s="382"/>
      <c r="Z32" s="137"/>
    </row>
    <row r="33" spans="1:26" x14ac:dyDescent="0.25">
      <c r="A33" s="425"/>
      <c r="F33" s="5"/>
      <c r="G33" s="2"/>
      <c r="H33" s="5"/>
      <c r="I33" s="5"/>
      <c r="J33" s="241"/>
      <c r="K33" s="9"/>
      <c r="L33" s="5"/>
      <c r="M33" s="5"/>
      <c r="N33" s="7"/>
      <c r="O33" s="9"/>
      <c r="P33" s="2"/>
      <c r="Q33" s="2"/>
      <c r="R33" s="149"/>
      <c r="S33" s="8"/>
      <c r="T33" s="5"/>
      <c r="U33" s="5"/>
      <c r="V33" s="5"/>
      <c r="W33" s="5"/>
      <c r="X33" s="149"/>
      <c r="Y33" s="382"/>
      <c r="Z33" s="137"/>
    </row>
    <row r="34" spans="1:26" x14ac:dyDescent="0.25">
      <c r="A34" s="425"/>
      <c r="C34" s="589" t="s">
        <v>266</v>
      </c>
      <c r="D34" s="589"/>
      <c r="F34" s="5"/>
      <c r="G34" s="2"/>
      <c r="H34" s="5"/>
      <c r="I34" s="5"/>
      <c r="J34" s="241"/>
      <c r="K34" s="9"/>
      <c r="L34" s="5"/>
      <c r="M34" s="5"/>
      <c r="N34" s="7"/>
      <c r="O34" s="9"/>
      <c r="P34" s="2"/>
      <c r="Q34" s="2"/>
      <c r="R34" s="149"/>
      <c r="S34" s="8"/>
      <c r="T34" s="5"/>
      <c r="U34" s="5"/>
      <c r="V34" s="5"/>
      <c r="W34" s="5"/>
      <c r="X34" s="149"/>
      <c r="Y34" s="382"/>
      <c r="Z34" s="137"/>
    </row>
    <row r="35" spans="1:26" x14ac:dyDescent="0.25">
      <c r="A35" s="426">
        <v>11</v>
      </c>
      <c r="C35" s="46" t="s">
        <v>62</v>
      </c>
      <c r="D35" s="46" t="s">
        <v>63</v>
      </c>
      <c r="E35" s="46"/>
      <c r="F35" s="5">
        <f>'Rate TT'!Y120</f>
        <v>155</v>
      </c>
      <c r="G35" s="2"/>
      <c r="H35" s="5">
        <f>'Rate TT'!AA120</f>
        <v>224056170</v>
      </c>
      <c r="I35" s="5"/>
      <c r="J35" s="241">
        <f t="shared" ref="J35" si="4">IF(H35=0,"-",ROUND((L35/H35)*100,6))</f>
        <v>6.476699</v>
      </c>
      <c r="K35" s="9"/>
      <c r="L35" s="5">
        <f>'Rate TT'!AE120</f>
        <v>14511443</v>
      </c>
      <c r="M35" s="5"/>
      <c r="N35" s="7">
        <f>ROUND((L35/L$36)*100,2)</f>
        <v>100</v>
      </c>
      <c r="O35" s="9"/>
      <c r="P35" s="5">
        <f>'Rate TT'!AI120</f>
        <v>1097732</v>
      </c>
      <c r="Q35" s="5"/>
      <c r="R35" s="149">
        <f>ROUND((P35/L35)*100,1)</f>
        <v>7.6</v>
      </c>
      <c r="S35" s="8"/>
      <c r="T35" s="5">
        <f>'Rate TT'!AM120</f>
        <v>152582</v>
      </c>
      <c r="U35" s="5"/>
      <c r="V35" s="5">
        <f>'Rate TT'!AO120</f>
        <v>14664025</v>
      </c>
      <c r="W35" s="5"/>
      <c r="X35" s="149">
        <f>'Rate TT'!AQ120</f>
        <v>7.5</v>
      </c>
      <c r="Y35" s="382"/>
      <c r="Z35" s="137"/>
    </row>
    <row r="36" spans="1:26" ht="20.100000000000001" customHeight="1" x14ac:dyDescent="0.25">
      <c r="A36" s="426">
        <v>12</v>
      </c>
      <c r="C36" s="444" t="s">
        <v>174</v>
      </c>
      <c r="F36" s="90">
        <f>F35</f>
        <v>155</v>
      </c>
      <c r="G36" s="2"/>
      <c r="H36" s="90">
        <f>H35</f>
        <v>224056170</v>
      </c>
      <c r="I36" s="5"/>
      <c r="J36" s="241">
        <f>IF(H36=0,"-",ROUND((L36/H36)*100,6))</f>
        <v>6.476699</v>
      </c>
      <c r="K36" s="9"/>
      <c r="L36" s="90">
        <f>L35</f>
        <v>14511443</v>
      </c>
      <c r="M36" s="5"/>
      <c r="N36" s="139">
        <f>ROUND((L36/L$66)*100,2)</f>
        <v>3.88</v>
      </c>
      <c r="O36" s="9"/>
      <c r="P36" s="90">
        <f>P35</f>
        <v>1097732</v>
      </c>
      <c r="Q36" s="5"/>
      <c r="R36" s="149">
        <f>ROUND((P36/L36)*100,1)</f>
        <v>7.6</v>
      </c>
      <c r="S36" s="8"/>
      <c r="T36" s="90">
        <f>T35</f>
        <v>152582</v>
      </c>
      <c r="U36" s="5"/>
      <c r="V36" s="90">
        <f>V35</f>
        <v>14664025</v>
      </c>
      <c r="W36" s="5"/>
      <c r="X36" s="149">
        <f>ROUND((P36/V36)*100,1)</f>
        <v>7.5</v>
      </c>
      <c r="Y36" s="382"/>
      <c r="Z36" s="137"/>
    </row>
    <row r="37" spans="1:26" x14ac:dyDescent="0.25">
      <c r="A37" s="425"/>
      <c r="F37" s="5"/>
      <c r="G37" s="2"/>
      <c r="H37" s="5"/>
      <c r="I37" s="5"/>
      <c r="J37" s="241"/>
      <c r="K37" s="9"/>
      <c r="L37" s="5"/>
      <c r="M37" s="5"/>
      <c r="N37" s="7"/>
      <c r="O37" s="9"/>
      <c r="P37" s="2"/>
      <c r="Q37" s="2"/>
      <c r="R37" s="149"/>
      <c r="S37" s="8"/>
      <c r="T37" s="5"/>
      <c r="U37" s="5"/>
      <c r="V37" s="5"/>
      <c r="W37" s="5"/>
      <c r="X37" s="149"/>
      <c r="Y37" s="382"/>
      <c r="Z37" s="137"/>
    </row>
    <row r="38" spans="1:26" x14ac:dyDescent="0.25">
      <c r="A38" s="425"/>
      <c r="C38" s="589" t="s">
        <v>269</v>
      </c>
      <c r="D38" s="589"/>
      <c r="F38" s="5"/>
      <c r="G38" s="2"/>
      <c r="H38" s="5"/>
      <c r="I38" s="5"/>
      <c r="J38" s="241"/>
      <c r="K38" s="9"/>
      <c r="L38" s="5"/>
      <c r="M38" s="5"/>
      <c r="N38" s="7"/>
      <c r="O38" s="9"/>
      <c r="P38" s="2"/>
      <c r="Q38" s="2"/>
      <c r="R38" s="149"/>
      <c r="S38" s="8"/>
      <c r="T38" s="5"/>
      <c r="U38" s="5"/>
      <c r="V38" s="5"/>
      <c r="W38" s="5"/>
      <c r="X38" s="149"/>
      <c r="Y38" s="382"/>
      <c r="Z38" s="137"/>
    </row>
    <row r="39" spans="1:26" x14ac:dyDescent="0.25">
      <c r="A39" s="425">
        <v>13</v>
      </c>
      <c r="C39" s="378" t="s">
        <v>429</v>
      </c>
      <c r="D39" s="378" t="s">
        <v>269</v>
      </c>
      <c r="F39" s="5">
        <f>'Rate DT RTP-P'!Y82</f>
        <v>0</v>
      </c>
      <c r="G39" s="2"/>
      <c r="H39" s="5">
        <f>'Rate DT RTP-P'!AA82</f>
        <v>0</v>
      </c>
      <c r="I39" s="5"/>
      <c r="J39" s="241" t="str">
        <f t="shared" ref="J39:J42" si="5">IF(H39=0,"-",ROUND((L39/H39)*100,6))</f>
        <v>-</v>
      </c>
      <c r="K39" s="9"/>
      <c r="L39" s="5">
        <f>'Rate DT RTP-P'!AE82</f>
        <v>0</v>
      </c>
      <c r="M39" s="5"/>
      <c r="N39" s="7">
        <f>IFERROR(ROUND((L39/L$43)*100,2),0)</f>
        <v>0</v>
      </c>
      <c r="O39" s="9"/>
      <c r="P39" s="108">
        <f>'Rate DT RTP-P'!AI82</f>
        <v>0</v>
      </c>
      <c r="Q39" s="2"/>
      <c r="R39" s="149">
        <f>IFERROR(ROUND((P39/L39)*100,1),0)</f>
        <v>0</v>
      </c>
      <c r="S39" s="8"/>
      <c r="T39" s="5">
        <f>'Rate DT RTP-P'!AM82</f>
        <v>0</v>
      </c>
      <c r="U39" s="5"/>
      <c r="V39" s="5">
        <f>'Rate DT RTP-P'!AO82</f>
        <v>0</v>
      </c>
      <c r="W39" s="5"/>
      <c r="X39" s="149">
        <f>IFERROR(ROUND((P39/V39)*100,1),0)</f>
        <v>0</v>
      </c>
      <c r="Y39" s="382"/>
      <c r="Z39" s="137"/>
    </row>
    <row r="40" spans="1:26" x14ac:dyDescent="0.25">
      <c r="A40" s="425">
        <v>14</v>
      </c>
      <c r="C40" s="378" t="s">
        <v>430</v>
      </c>
      <c r="D40" s="378" t="s">
        <v>269</v>
      </c>
      <c r="F40" s="5">
        <f>'Rate DT RTP-S'!Y83</f>
        <v>24</v>
      </c>
      <c r="G40" s="2"/>
      <c r="H40" s="5">
        <f>'Rate DT RTP-S'!AA83</f>
        <v>1569705</v>
      </c>
      <c r="I40" s="5"/>
      <c r="J40" s="241">
        <f t="shared" si="5"/>
        <v>4.6800509999999997</v>
      </c>
      <c r="K40" s="9"/>
      <c r="L40" s="5">
        <f>'Rate DT RTP-S'!AE83</f>
        <v>73463</v>
      </c>
      <c r="M40" s="5"/>
      <c r="N40" s="7">
        <f>ROUND((L40/L$43)*100,2)</f>
        <v>11.5</v>
      </c>
      <c r="O40" s="9"/>
      <c r="P40" s="108">
        <f>'Rate DT RTP-S'!AI83</f>
        <v>14577</v>
      </c>
      <c r="Q40" s="2"/>
      <c r="R40" s="149">
        <f>ROUND((P40/L40)*100,1)</f>
        <v>19.8</v>
      </c>
      <c r="S40" s="8"/>
      <c r="T40" s="5">
        <f>'Rate DT RTP-S'!AM83</f>
        <v>0</v>
      </c>
      <c r="U40" s="5"/>
      <c r="V40" s="5">
        <f>'Rate DT RTP-S'!AO83</f>
        <v>73463</v>
      </c>
      <c r="W40" s="5"/>
      <c r="X40" s="149">
        <f>ROUND((P40/V40)*100,1)</f>
        <v>19.8</v>
      </c>
      <c r="Y40" s="382"/>
      <c r="Z40" s="137"/>
    </row>
    <row r="41" spans="1:26" x14ac:dyDescent="0.25">
      <c r="A41" s="425">
        <v>15</v>
      </c>
      <c r="C41" s="378" t="s">
        <v>298</v>
      </c>
      <c r="D41" s="378" t="s">
        <v>269</v>
      </c>
      <c r="F41" s="5">
        <f>'Rate DS RTP'!Y83</f>
        <v>36</v>
      </c>
      <c r="G41" s="2"/>
      <c r="H41" s="5">
        <f>'Rate DS RTP'!AA83</f>
        <v>801933</v>
      </c>
      <c r="I41" s="5"/>
      <c r="J41" s="241">
        <f t="shared" si="5"/>
        <v>6.1232049999999996</v>
      </c>
      <c r="K41" s="9"/>
      <c r="L41" s="5">
        <f>'Rate DS RTP'!AE83</f>
        <v>49104</v>
      </c>
      <c r="M41" s="5"/>
      <c r="N41" s="7">
        <f>ROUND((L41/L$43)*100,2)</f>
        <v>7.69</v>
      </c>
      <c r="O41" s="9"/>
      <c r="P41" s="108">
        <f>'Rate DS RTP'!AI83</f>
        <v>7447</v>
      </c>
      <c r="Q41" s="2"/>
      <c r="R41" s="149">
        <f>ROUND((P41/L41)*100,1)</f>
        <v>15.2</v>
      </c>
      <c r="S41" s="8"/>
      <c r="T41" s="5">
        <f>'Rate DS RTP'!AM83</f>
        <v>0</v>
      </c>
      <c r="U41" s="5"/>
      <c r="V41" s="5">
        <f>'Rate DS RTP'!AO83</f>
        <v>49104</v>
      </c>
      <c r="W41" s="5"/>
      <c r="X41" s="149">
        <f>ROUND((P41/V41)*100,1)</f>
        <v>15.2</v>
      </c>
      <c r="Y41" s="382"/>
      <c r="Z41" s="137"/>
    </row>
    <row r="42" spans="1:26" x14ac:dyDescent="0.25">
      <c r="A42" s="425">
        <v>16</v>
      </c>
      <c r="C42" s="378" t="s">
        <v>299</v>
      </c>
      <c r="D42" s="378" t="s">
        <v>269</v>
      </c>
      <c r="F42" s="81">
        <f>'Rate TT RTP'!Y85</f>
        <v>24</v>
      </c>
      <c r="G42" s="2"/>
      <c r="H42" s="81">
        <f>'Rate TT RTP'!AA85</f>
        <v>14214991</v>
      </c>
      <c r="I42" s="5"/>
      <c r="J42" s="241">
        <f t="shared" si="5"/>
        <v>3.632714</v>
      </c>
      <c r="K42" s="9"/>
      <c r="L42" s="81">
        <f>'Rate TT RTP'!AE85</f>
        <v>516390</v>
      </c>
      <c r="M42" s="5"/>
      <c r="N42" s="7">
        <f>ROUND((L42/L$43)*100,2)</f>
        <v>80.819999999999993</v>
      </c>
      <c r="O42" s="9"/>
      <c r="P42" s="105">
        <f>'Rate TT RTP'!AI85</f>
        <v>43014</v>
      </c>
      <c r="Q42" s="2"/>
      <c r="R42" s="149">
        <f>ROUND((P42/L42)*100,1)</f>
        <v>8.3000000000000007</v>
      </c>
      <c r="S42" s="8"/>
      <c r="T42" s="81">
        <f>'Rate TT RTP'!AM85</f>
        <v>0</v>
      </c>
      <c r="U42" s="5"/>
      <c r="V42" s="81">
        <f>'Rate TT RTP'!AO85</f>
        <v>516390</v>
      </c>
      <c r="W42" s="5"/>
      <c r="X42" s="149">
        <f>ROUND((P42/V42)*100,1)</f>
        <v>8.3000000000000007</v>
      </c>
      <c r="Y42" s="382"/>
      <c r="Z42" s="137"/>
    </row>
    <row r="43" spans="1:26" ht="20.100000000000001" customHeight="1" x14ac:dyDescent="0.25">
      <c r="A43" s="425">
        <v>17</v>
      </c>
      <c r="C43" s="444" t="s">
        <v>300</v>
      </c>
      <c r="F43" s="90">
        <f>SUM(F39:F42)</f>
        <v>84</v>
      </c>
      <c r="G43" s="2"/>
      <c r="H43" s="90">
        <f>SUM(H39:H42)</f>
        <v>16586629</v>
      </c>
      <c r="I43" s="5"/>
      <c r="J43" s="241">
        <f>IF(H43=0,"-",ROUND((L43/H43)*100,6))</f>
        <v>3.8522409999999998</v>
      </c>
      <c r="K43" s="9"/>
      <c r="L43" s="90">
        <f>SUM(L39:L42)</f>
        <v>638957</v>
      </c>
      <c r="M43" s="5"/>
      <c r="N43" s="139">
        <f>ROUND((L43/L$66)*100,2)</f>
        <v>0.17</v>
      </c>
      <c r="O43" s="9"/>
      <c r="P43" s="90">
        <f>SUM(P39:P42)</f>
        <v>65038</v>
      </c>
      <c r="Q43" s="2"/>
      <c r="R43" s="149">
        <f>ROUND((P43/L43)*100,1)</f>
        <v>10.199999999999999</v>
      </c>
      <c r="S43" s="8"/>
      <c r="T43" s="90">
        <f>SUM(T39:T42)</f>
        <v>0</v>
      </c>
      <c r="U43" s="5"/>
      <c r="V43" s="90">
        <f>SUM(V39:V42)</f>
        <v>638957</v>
      </c>
      <c r="W43" s="5"/>
      <c r="X43" s="149">
        <f>ROUND((P43/V43)*100,1)</f>
        <v>10.199999999999999</v>
      </c>
      <c r="Y43" s="382"/>
      <c r="Z43" s="137"/>
    </row>
    <row r="44" spans="1:26" x14ac:dyDescent="0.25">
      <c r="A44" s="425"/>
      <c r="F44" s="5"/>
      <c r="G44" s="2"/>
      <c r="H44" s="5"/>
      <c r="I44" s="5"/>
      <c r="J44" s="241"/>
      <c r="K44" s="9"/>
      <c r="L44" s="5"/>
      <c r="M44" s="5"/>
      <c r="N44" s="7"/>
      <c r="O44" s="9"/>
      <c r="P44" s="2"/>
      <c r="Q44" s="2"/>
      <c r="R44" s="149"/>
      <c r="S44" s="8"/>
      <c r="T44" s="5"/>
      <c r="U44" s="5"/>
      <c r="V44" s="5"/>
      <c r="W44" s="5"/>
      <c r="X44" s="149"/>
      <c r="Y44" s="382"/>
      <c r="Z44" s="137"/>
    </row>
    <row r="45" spans="1:26" x14ac:dyDescent="0.25">
      <c r="A45" s="425"/>
      <c r="C45" s="589" t="s">
        <v>484</v>
      </c>
      <c r="D45" s="589"/>
      <c r="F45" s="5"/>
      <c r="G45" s="2"/>
      <c r="H45" s="5"/>
      <c r="I45" s="5"/>
      <c r="J45" s="241"/>
      <c r="K45" s="9"/>
      <c r="L45" s="5"/>
      <c r="M45" s="5"/>
      <c r="N45" s="7"/>
      <c r="O45" s="9"/>
      <c r="P45" s="2"/>
      <c r="Q45" s="2"/>
      <c r="R45" s="149"/>
      <c r="S45" s="8"/>
      <c r="T45" s="5"/>
      <c r="U45" s="5"/>
      <c r="V45" s="5"/>
      <c r="W45" s="5"/>
      <c r="X45" s="149"/>
      <c r="Y45" s="382"/>
      <c r="Z45" s="137"/>
    </row>
    <row r="46" spans="1:26" x14ac:dyDescent="0.25">
      <c r="A46" s="426">
        <v>18</v>
      </c>
      <c r="C46" s="46" t="s">
        <v>79</v>
      </c>
      <c r="D46" s="52" t="s">
        <v>80</v>
      </c>
      <c r="E46" s="46"/>
      <c r="F46" s="5">
        <f>'Rate SL'!Y429</f>
        <v>135466</v>
      </c>
      <c r="G46" s="2"/>
      <c r="H46" s="5">
        <f>'Rate SL'!AA429</f>
        <v>10548224</v>
      </c>
      <c r="I46" s="5"/>
      <c r="J46" s="241">
        <f t="shared" ref="J46:J52" si="6">IF(H46=0,"-",ROUND((L46/H46)*100,6))</f>
        <v>14.541955</v>
      </c>
      <c r="K46" s="9"/>
      <c r="L46" s="5">
        <f>'Rate SL'!AE429</f>
        <v>1533918</v>
      </c>
      <c r="M46" s="5"/>
      <c r="N46" s="7">
        <f t="shared" ref="N46:N51" si="7">ROUND((L46/L$53)*100,2)</f>
        <v>73.099999999999994</v>
      </c>
      <c r="O46" s="9"/>
      <c r="P46" s="5">
        <f>'Rate SL'!AI429</f>
        <v>164202</v>
      </c>
      <c r="Q46" s="5"/>
      <c r="R46" s="149">
        <f t="shared" ref="R46:R53" si="8">ROUND((P46/L46)*100,1)</f>
        <v>10.7</v>
      </c>
      <c r="S46" s="8"/>
      <c r="T46" s="5">
        <f>'Rate SL'!AM429</f>
        <v>7183</v>
      </c>
      <c r="U46" s="5"/>
      <c r="V46" s="5">
        <f>'Rate SL'!AO429</f>
        <v>1541102</v>
      </c>
      <c r="W46" s="5"/>
      <c r="X46" s="149">
        <f t="shared" ref="X46:X53" si="9">ROUND((P46/V46)*100,1)</f>
        <v>10.7</v>
      </c>
      <c r="Y46" s="382"/>
      <c r="Z46" s="137"/>
    </row>
    <row r="47" spans="1:26" x14ac:dyDescent="0.25">
      <c r="A47" s="426">
        <v>19</v>
      </c>
      <c r="C47" s="46" t="s">
        <v>83</v>
      </c>
      <c r="D47" s="52" t="s">
        <v>84</v>
      </c>
      <c r="E47" s="46"/>
      <c r="F47" s="5">
        <f>'Rate TL'!Y98</f>
        <v>95903</v>
      </c>
      <c r="G47" s="2"/>
      <c r="H47" s="5">
        <f>'Rate TL'!AA98</f>
        <v>1445796</v>
      </c>
      <c r="I47" s="5"/>
      <c r="J47" s="241">
        <f t="shared" si="6"/>
        <v>5.4953120000000002</v>
      </c>
      <c r="K47" s="9"/>
      <c r="L47" s="5">
        <f>'Rate TL'!AE98</f>
        <v>79451</v>
      </c>
      <c r="M47" s="5"/>
      <c r="N47" s="7">
        <f t="shared" si="7"/>
        <v>3.79</v>
      </c>
      <c r="O47" s="9"/>
      <c r="P47" s="5">
        <f>'Rate TL'!AI98</f>
        <v>8903</v>
      </c>
      <c r="Q47" s="5"/>
      <c r="R47" s="149">
        <f t="shared" si="8"/>
        <v>11.2</v>
      </c>
      <c r="S47" s="8"/>
      <c r="T47" s="5">
        <f>'Rate TL'!AM98</f>
        <v>985</v>
      </c>
      <c r="U47" s="5"/>
      <c r="V47" s="5">
        <f>'Rate TL'!AO98</f>
        <v>80436</v>
      </c>
      <c r="W47" s="5"/>
      <c r="X47" s="149">
        <f t="shared" si="9"/>
        <v>11.1</v>
      </c>
      <c r="Y47" s="382"/>
      <c r="Z47" s="137"/>
    </row>
    <row r="48" spans="1:26" x14ac:dyDescent="0.25">
      <c r="A48" s="426">
        <v>20</v>
      </c>
      <c r="C48" s="46" t="s">
        <v>251</v>
      </c>
      <c r="D48" s="52" t="s">
        <v>258</v>
      </c>
      <c r="E48" s="46"/>
      <c r="F48" s="5">
        <f>'Rate UOLS'!Y63</f>
        <v>89792</v>
      </c>
      <c r="G48" s="2"/>
      <c r="H48" s="5">
        <f>'Rate UOLS'!AA63</f>
        <v>4292584</v>
      </c>
      <c r="I48" s="5"/>
      <c r="J48" s="241">
        <f t="shared" si="6"/>
        <v>4.0892850000000003</v>
      </c>
      <c r="K48" s="9"/>
      <c r="L48" s="5">
        <f>'Rate UOLS'!AE63</f>
        <v>175536</v>
      </c>
      <c r="M48" s="5"/>
      <c r="N48" s="7">
        <f t="shared" si="7"/>
        <v>8.3699999999999992</v>
      </c>
      <c r="O48" s="9"/>
      <c r="P48" s="5">
        <f>'Rate UOLS'!AI63</f>
        <v>20167</v>
      </c>
      <c r="Q48" s="5"/>
      <c r="R48" s="164">
        <f>IF(L48=0,"0.0 ",ROUND((P48/L48)*100,1))</f>
        <v>11.5</v>
      </c>
      <c r="S48" s="8"/>
      <c r="T48" s="5">
        <f>'Rate UOLS'!AM63</f>
        <v>2923</v>
      </c>
      <c r="U48" s="5"/>
      <c r="V48" s="5">
        <f>'Rate UOLS'!AO63</f>
        <v>178459</v>
      </c>
      <c r="W48" s="5"/>
      <c r="X48" s="164">
        <f>IF(V48=0,"0.0 ",ROUND((P48/V48)*100,1))</f>
        <v>11.3</v>
      </c>
      <c r="Y48" s="382"/>
      <c r="Z48" s="137"/>
    </row>
    <row r="49" spans="1:26" x14ac:dyDescent="0.25">
      <c r="A49" s="426">
        <v>21</v>
      </c>
      <c r="C49" s="46" t="s">
        <v>92</v>
      </c>
      <c r="D49" s="52" t="s">
        <v>259</v>
      </c>
      <c r="E49" s="46"/>
      <c r="F49" s="5">
        <f>'Rate NSU'!Y95</f>
        <v>9196</v>
      </c>
      <c r="G49" s="2"/>
      <c r="H49" s="5">
        <f>'Rate NSU'!AA95</f>
        <v>449416</v>
      </c>
      <c r="I49" s="5"/>
      <c r="J49" s="241">
        <f t="shared" si="6"/>
        <v>17.717438000000001</v>
      </c>
      <c r="K49" s="9"/>
      <c r="L49" s="5">
        <f>'Rate NSU'!AE95</f>
        <v>79625</v>
      </c>
      <c r="M49" s="5"/>
      <c r="N49" s="7">
        <f t="shared" si="7"/>
        <v>3.79</v>
      </c>
      <c r="O49" s="9"/>
      <c r="P49" s="5">
        <f>'Rate NSU'!AI95</f>
        <v>8450</v>
      </c>
      <c r="Q49" s="5"/>
      <c r="R49" s="149">
        <f t="shared" si="8"/>
        <v>10.6</v>
      </c>
      <c r="S49" s="8"/>
      <c r="T49" s="5">
        <f>'Rate NSU'!AM95</f>
        <v>306</v>
      </c>
      <c r="U49" s="5"/>
      <c r="V49" s="5">
        <f>'Rate NSU'!AO95</f>
        <v>79931</v>
      </c>
      <c r="W49" s="5"/>
      <c r="X49" s="149">
        <f t="shared" si="9"/>
        <v>10.6</v>
      </c>
      <c r="Y49" s="382"/>
      <c r="Z49" s="137"/>
    </row>
    <row r="50" spans="1:26" x14ac:dyDescent="0.25">
      <c r="A50" s="426">
        <v>22</v>
      </c>
      <c r="C50" s="46" t="s">
        <v>75</v>
      </c>
      <c r="D50" s="46" t="s">
        <v>497</v>
      </c>
      <c r="E50" s="46"/>
      <c r="F50" s="5">
        <f>'Rate SC'!Y145</f>
        <v>2065</v>
      </c>
      <c r="G50" s="5"/>
      <c r="H50" s="5">
        <f>'Rate SC'!AA145</f>
        <v>97596</v>
      </c>
      <c r="I50" s="5"/>
      <c r="J50" s="241">
        <f t="shared" si="6"/>
        <v>4.0882820000000004</v>
      </c>
      <c r="K50" s="9"/>
      <c r="L50" s="5">
        <f>'Rate SC'!AE145</f>
        <v>3990</v>
      </c>
      <c r="M50" s="5"/>
      <c r="N50" s="7">
        <f t="shared" si="7"/>
        <v>0.19</v>
      </c>
      <c r="O50" s="9"/>
      <c r="P50" s="5">
        <f>'Rate SC'!AI145</f>
        <v>459</v>
      </c>
      <c r="Q50" s="5"/>
      <c r="R50" s="149">
        <f t="shared" si="8"/>
        <v>11.5</v>
      </c>
      <c r="S50" s="8"/>
      <c r="T50" s="5">
        <f>'Rate SC'!AM145</f>
        <v>66</v>
      </c>
      <c r="U50" s="5"/>
      <c r="V50" s="5">
        <f>'Rate SC'!AO145</f>
        <v>4056</v>
      </c>
      <c r="W50" s="5"/>
      <c r="X50" s="149">
        <f t="shared" si="9"/>
        <v>11.3</v>
      </c>
      <c r="Y50" s="382"/>
      <c r="Z50" s="137"/>
    </row>
    <row r="51" spans="1:26" x14ac:dyDescent="0.25">
      <c r="A51" s="426">
        <v>23</v>
      </c>
      <c r="C51" s="46" t="s">
        <v>72</v>
      </c>
      <c r="D51" s="46" t="s">
        <v>498</v>
      </c>
      <c r="E51" s="46"/>
      <c r="F51" s="5">
        <f>'Rate SE'!Y108</f>
        <v>25036</v>
      </c>
      <c r="G51" s="5"/>
      <c r="H51" s="5">
        <f>'Rate SE'!AA108</f>
        <v>1493016</v>
      </c>
      <c r="I51" s="5"/>
      <c r="J51" s="241">
        <f t="shared" si="6"/>
        <v>15.130648000000001</v>
      </c>
      <c r="K51" s="9"/>
      <c r="L51" s="5">
        <f>'Rate SE'!AE108</f>
        <v>225903</v>
      </c>
      <c r="M51" s="5"/>
      <c r="N51" s="7">
        <f t="shared" si="7"/>
        <v>10.77</v>
      </c>
      <c r="O51" s="9"/>
      <c r="P51" s="5">
        <f>'Rate SE'!AI108</f>
        <v>24123</v>
      </c>
      <c r="Q51" s="5"/>
      <c r="R51" s="149">
        <f t="shared" si="8"/>
        <v>10.7</v>
      </c>
      <c r="S51" s="8"/>
      <c r="T51" s="5">
        <f>'Rate SE'!AM108</f>
        <v>1018</v>
      </c>
      <c r="U51" s="5"/>
      <c r="V51" s="5">
        <f>'Rate SE'!AO108</f>
        <v>226922</v>
      </c>
      <c r="W51" s="5"/>
      <c r="X51" s="149">
        <f t="shared" si="9"/>
        <v>10.6</v>
      </c>
      <c r="Y51" s="382"/>
      <c r="Z51" s="137"/>
    </row>
    <row r="52" spans="1:26" x14ac:dyDescent="0.25">
      <c r="A52" s="426">
        <v>24</v>
      </c>
      <c r="B52" s="378" t="s">
        <v>673</v>
      </c>
      <c r="C52" s="46"/>
      <c r="D52" s="46" t="s">
        <v>698</v>
      </c>
      <c r="E52" s="46"/>
      <c r="F52" s="5">
        <f>'Rate LED'!Y354</f>
        <v>0</v>
      </c>
      <c r="G52" s="5"/>
      <c r="H52" s="5">
        <f>'Rate LED'!AA354</f>
        <v>0</v>
      </c>
      <c r="I52" s="5"/>
      <c r="J52" s="241" t="str">
        <f t="shared" si="6"/>
        <v>-</v>
      </c>
      <c r="K52" s="9"/>
      <c r="L52" s="5">
        <f>'Rate LED'!AE354</f>
        <v>0</v>
      </c>
      <c r="M52" s="5"/>
      <c r="N52" s="7"/>
      <c r="O52" s="9"/>
      <c r="P52" s="5">
        <f>'Rate LED'!AI354</f>
        <v>0</v>
      </c>
      <c r="Q52" s="5"/>
      <c r="R52" s="149">
        <f>IFERROR(ROUND((P52/L52)*100,1),0)</f>
        <v>0</v>
      </c>
      <c r="S52" s="8"/>
      <c r="T52" s="5">
        <f>'Rate LED'!AM354</f>
        <v>0</v>
      </c>
      <c r="U52" s="5"/>
      <c r="V52" s="5">
        <f>'Rate LED'!AO354</f>
        <v>0</v>
      </c>
      <c r="W52" s="5"/>
      <c r="X52" s="149">
        <f>IFERROR(ROUND((P52/V52)*100,1),0)</f>
        <v>0</v>
      </c>
      <c r="Y52" s="382"/>
      <c r="Z52" s="137"/>
    </row>
    <row r="53" spans="1:26" ht="20.100000000000001" customHeight="1" x14ac:dyDescent="0.25">
      <c r="A53" s="426">
        <v>25</v>
      </c>
      <c r="C53" s="444" t="s">
        <v>175</v>
      </c>
      <c r="F53" s="90">
        <f>SUM(F46:F52)</f>
        <v>357458</v>
      </c>
      <c r="G53" s="2"/>
      <c r="H53" s="90">
        <f>SUM(H46:H52)</f>
        <v>18326632</v>
      </c>
      <c r="I53" s="5"/>
      <c r="J53" s="241">
        <f>IF(H53=0,"-",ROUND((L53/H53)*100,6))</f>
        <v>11.450129</v>
      </c>
      <c r="K53" s="9"/>
      <c r="L53" s="90">
        <f>SUM(L46:L52)</f>
        <v>2098423</v>
      </c>
      <c r="M53" s="5"/>
      <c r="N53" s="139">
        <f>ROUND((L53/L$66)*100,2)</f>
        <v>0.56000000000000005</v>
      </c>
      <c r="O53" s="9"/>
      <c r="P53" s="90">
        <f>SUM(P46:P52)</f>
        <v>226304</v>
      </c>
      <c r="Q53" s="5"/>
      <c r="R53" s="149">
        <f t="shared" si="8"/>
        <v>10.8</v>
      </c>
      <c r="S53" s="8"/>
      <c r="T53" s="90">
        <f>SUM(T46:T52)</f>
        <v>12481</v>
      </c>
      <c r="U53" s="5"/>
      <c r="V53" s="90">
        <f>SUM(V46:V52)</f>
        <v>2110906</v>
      </c>
      <c r="W53" s="5"/>
      <c r="X53" s="149">
        <f t="shared" si="9"/>
        <v>10.7</v>
      </c>
      <c r="Y53" s="382"/>
      <c r="Z53" s="137"/>
    </row>
    <row r="54" spans="1:26" x14ac:dyDescent="0.25">
      <c r="A54" s="425"/>
      <c r="F54" s="5"/>
      <c r="G54" s="2"/>
      <c r="H54" s="5"/>
      <c r="I54" s="5"/>
      <c r="J54" s="445"/>
      <c r="K54" s="446"/>
      <c r="L54" s="5"/>
      <c r="M54" s="5"/>
      <c r="N54" s="7"/>
      <c r="O54" s="5"/>
      <c r="P54" s="5"/>
      <c r="Q54" s="5"/>
      <c r="R54" s="147"/>
      <c r="S54" s="2"/>
      <c r="T54" s="5"/>
      <c r="U54" s="5"/>
      <c r="V54" s="5"/>
      <c r="W54" s="5"/>
      <c r="X54" s="149"/>
      <c r="Y54" s="382"/>
      <c r="Z54" s="137"/>
    </row>
    <row r="55" spans="1:26" x14ac:dyDescent="0.25">
      <c r="A55" s="425"/>
      <c r="C55" s="589" t="s">
        <v>485</v>
      </c>
      <c r="D55" s="589"/>
      <c r="F55" s="5"/>
      <c r="G55" s="2"/>
      <c r="H55" s="5"/>
      <c r="I55" s="5"/>
      <c r="J55" s="445"/>
      <c r="K55" s="446"/>
      <c r="L55" s="5"/>
      <c r="M55" s="5"/>
      <c r="N55" s="7"/>
      <c r="O55" s="5"/>
      <c r="P55" s="5"/>
      <c r="Q55" s="5"/>
      <c r="R55" s="147"/>
      <c r="S55" s="2"/>
      <c r="T55" s="5"/>
      <c r="U55" s="5"/>
      <c r="V55" s="5"/>
      <c r="W55" s="5"/>
      <c r="X55" s="149"/>
      <c r="Y55" s="382"/>
      <c r="Z55" s="137"/>
    </row>
    <row r="56" spans="1:26" x14ac:dyDescent="0.25">
      <c r="A56" s="197">
        <v>26</v>
      </c>
      <c r="B56" s="194"/>
      <c r="C56" s="194" t="s">
        <v>413</v>
      </c>
      <c r="D56" s="194" t="s">
        <v>382</v>
      </c>
      <c r="E56" s="46"/>
      <c r="F56" s="382">
        <v>12</v>
      </c>
      <c r="G56" s="382"/>
      <c r="H56" s="382">
        <v>882413</v>
      </c>
      <c r="I56" s="84"/>
      <c r="J56" s="241">
        <f>IF(H56=0,"-",ROUND((L56/H56)*100,6))</f>
        <v>7.688917</v>
      </c>
      <c r="K56" s="84"/>
      <c r="L56" s="347">
        <f>V56-T56</f>
        <v>67848</v>
      </c>
      <c r="M56" s="83"/>
      <c r="N56" s="125">
        <f>ROUND((L56/L$64)*100,2)</f>
        <v>0.38</v>
      </c>
      <c r="O56" s="85"/>
      <c r="P56" s="347">
        <f>'SCH M-2.3'!L56-'SCH M-2.2'!L56</f>
        <v>8508.1032161555777</v>
      </c>
      <c r="Q56" s="83"/>
      <c r="R56" s="383">
        <f t="shared" ref="R56:R64" si="10">ROUND((P56/L56)*100,1)</f>
        <v>12.5</v>
      </c>
      <c r="S56" s="103"/>
      <c r="T56" s="447">
        <f>ROUND(H56*CUR_FAC,0)</f>
        <v>601</v>
      </c>
      <c r="U56" s="97"/>
      <c r="V56" s="347">
        <v>68449</v>
      </c>
      <c r="W56" s="83"/>
      <c r="X56" s="383">
        <f t="shared" ref="X56:X64" si="11">ROUND((P56/V56)*100,1)</f>
        <v>12.4</v>
      </c>
      <c r="Y56" s="382"/>
      <c r="Z56" s="404"/>
    </row>
    <row r="57" spans="1:26" x14ac:dyDescent="0.25">
      <c r="A57" s="197">
        <v>27</v>
      </c>
      <c r="B57" s="194"/>
      <c r="C57" s="196"/>
      <c r="D57" s="196" t="s">
        <v>623</v>
      </c>
      <c r="E57" s="46"/>
      <c r="F57" s="83">
        <v>0</v>
      </c>
      <c r="G57" s="84"/>
      <c r="H57" s="83">
        <v>0</v>
      </c>
      <c r="I57" s="83"/>
      <c r="J57" s="241" t="str">
        <f>IF(H57=0,"-",ROUND((L57/H57)*100,6))</f>
        <v>-</v>
      </c>
      <c r="K57" s="85"/>
      <c r="L57" s="347">
        <f>1607428+1860784</f>
        <v>3468212</v>
      </c>
      <c r="M57" s="83"/>
      <c r="N57" s="125">
        <f t="shared" ref="N57:N62" si="12">ROUND((L57/L$64)*100,2)</f>
        <v>19.170000000000002</v>
      </c>
      <c r="O57" s="85"/>
      <c r="P57" s="347">
        <f>'SCH M-2.3'!L57-'SCH M-2.2'!L57</f>
        <v>0</v>
      </c>
      <c r="Q57" s="83"/>
      <c r="R57" s="383">
        <f>IF(L57=0,0,ROUND((P57/L57)*100,1))</f>
        <v>0</v>
      </c>
      <c r="S57" s="103"/>
      <c r="T57" s="83">
        <v>0</v>
      </c>
      <c r="U57" s="83"/>
      <c r="V57" s="83">
        <f t="shared" ref="V57:V63" si="13">L57+T57</f>
        <v>3468212</v>
      </c>
      <c r="W57" s="83"/>
      <c r="X57" s="383">
        <f>IF(V57=0,0,ROUND((P57/V57)*100,1))</f>
        <v>0</v>
      </c>
      <c r="Y57" s="220"/>
      <c r="Z57" s="137"/>
    </row>
    <row r="58" spans="1:26" x14ac:dyDescent="0.25">
      <c r="A58" s="197">
        <v>28</v>
      </c>
      <c r="B58" s="194"/>
      <c r="C58" s="194"/>
      <c r="D58" s="195" t="s">
        <v>260</v>
      </c>
      <c r="F58" s="83">
        <v>0</v>
      </c>
      <c r="G58" s="84"/>
      <c r="H58" s="83">
        <v>0</v>
      </c>
      <c r="I58" s="83"/>
      <c r="J58" s="241" t="str">
        <f t="shared" ref="J58:J61" si="14">IF(H58=0,"-",ROUND((L58/H58)*100,6))</f>
        <v>-</v>
      </c>
      <c r="K58" s="85"/>
      <c r="L58" s="347">
        <v>34903</v>
      </c>
      <c r="M58" s="83"/>
      <c r="N58" s="125">
        <f t="shared" si="12"/>
        <v>0.19</v>
      </c>
      <c r="O58" s="85"/>
      <c r="P58" s="347">
        <f>'SCH M-2.3'!L58-'SCH M-2.2'!L58</f>
        <v>0</v>
      </c>
      <c r="Q58" s="84"/>
      <c r="R58" s="383">
        <f t="shared" si="10"/>
        <v>0</v>
      </c>
      <c r="S58" s="103"/>
      <c r="T58" s="83">
        <v>0</v>
      </c>
      <c r="U58" s="83"/>
      <c r="V58" s="83">
        <f t="shared" si="13"/>
        <v>34903</v>
      </c>
      <c r="W58" s="83"/>
      <c r="X58" s="383">
        <f t="shared" si="11"/>
        <v>0</v>
      </c>
      <c r="Y58" s="220"/>
      <c r="Z58" s="137"/>
    </row>
    <row r="59" spans="1:26" x14ac:dyDescent="0.25">
      <c r="A59" s="197">
        <v>29</v>
      </c>
      <c r="B59" s="194"/>
      <c r="C59" s="194"/>
      <c r="D59" s="196" t="s">
        <v>263</v>
      </c>
      <c r="F59" s="83">
        <v>0</v>
      </c>
      <c r="G59" s="84"/>
      <c r="H59" s="83">
        <v>0</v>
      </c>
      <c r="I59" s="83"/>
      <c r="J59" s="241" t="str">
        <f t="shared" si="14"/>
        <v>-</v>
      </c>
      <c r="K59" s="85"/>
      <c r="L59" s="347">
        <v>38885</v>
      </c>
      <c r="M59" s="83"/>
      <c r="N59" s="125">
        <f t="shared" si="12"/>
        <v>0.21</v>
      </c>
      <c r="O59" s="85"/>
      <c r="P59" s="347">
        <f>'SCH M-2.3'!L59-'SCH M-2.2'!L59</f>
        <v>13761</v>
      </c>
      <c r="Q59" s="84"/>
      <c r="R59" s="383">
        <f t="shared" si="10"/>
        <v>35.4</v>
      </c>
      <c r="S59" s="103"/>
      <c r="T59" s="83">
        <v>0</v>
      </c>
      <c r="U59" s="83"/>
      <c r="V59" s="83">
        <f t="shared" si="13"/>
        <v>38885</v>
      </c>
      <c r="W59" s="83"/>
      <c r="X59" s="383">
        <f t="shared" si="11"/>
        <v>35.4</v>
      </c>
      <c r="Y59" s="220"/>
      <c r="Z59" s="137"/>
    </row>
    <row r="60" spans="1:26" x14ac:dyDescent="0.25">
      <c r="A60" s="197">
        <v>30</v>
      </c>
      <c r="B60" s="194"/>
      <c r="C60" s="194"/>
      <c r="D60" s="196" t="s">
        <v>570</v>
      </c>
      <c r="F60" s="83">
        <v>0</v>
      </c>
      <c r="G60" s="84"/>
      <c r="H60" s="83">
        <v>0</v>
      </c>
      <c r="I60" s="83"/>
      <c r="J60" s="241" t="str">
        <f t="shared" ref="J60" si="15">IF(H60=0,"-",ROUND((L60/H60)*100,6))</f>
        <v>-</v>
      </c>
      <c r="K60" s="85"/>
      <c r="L60" s="347">
        <v>472682</v>
      </c>
      <c r="M60" s="83"/>
      <c r="N60" s="125">
        <f t="shared" ref="N60" si="16">ROUND((L60/L$64)*100,2)</f>
        <v>2.61</v>
      </c>
      <c r="O60" s="85"/>
      <c r="P60" s="347">
        <f>'SCH M-2.3'!L60-'SCH M-2.2'!L60</f>
        <v>230357</v>
      </c>
      <c r="Q60" s="84"/>
      <c r="R60" s="383">
        <f t="shared" ref="R60" si="17">ROUND((P60/L60)*100,1)</f>
        <v>48.7</v>
      </c>
      <c r="S60" s="103"/>
      <c r="T60" s="83">
        <v>0</v>
      </c>
      <c r="U60" s="83"/>
      <c r="V60" s="83">
        <f t="shared" ref="V60" si="18">L60+T60</f>
        <v>472682</v>
      </c>
      <c r="W60" s="83"/>
      <c r="X60" s="383">
        <f t="shared" ref="X60" si="19">ROUND((P60/V60)*100,1)</f>
        <v>48.7</v>
      </c>
      <c r="Y60" s="220"/>
      <c r="Z60" s="137"/>
    </row>
    <row r="61" spans="1:26" x14ac:dyDescent="0.25">
      <c r="A61" s="197">
        <v>31</v>
      </c>
      <c r="B61" s="194"/>
      <c r="C61" s="194"/>
      <c r="D61" s="196" t="s">
        <v>262</v>
      </c>
      <c r="F61" s="5">
        <v>0</v>
      </c>
      <c r="G61" s="2"/>
      <c r="H61" s="5">
        <v>0</v>
      </c>
      <c r="I61" s="5"/>
      <c r="J61" s="241" t="str">
        <f t="shared" si="14"/>
        <v>-</v>
      </c>
      <c r="K61" s="9"/>
      <c r="L61" s="347">
        <v>1005121</v>
      </c>
      <c r="M61" s="5"/>
      <c r="N61" s="125">
        <f t="shared" si="12"/>
        <v>5.56</v>
      </c>
      <c r="O61" s="9"/>
      <c r="P61" s="347">
        <f>'SCH M-2.3'!L61-'SCH M-2.2'!L61</f>
        <v>0</v>
      </c>
      <c r="Q61" s="2"/>
      <c r="R61" s="383">
        <f t="shared" si="10"/>
        <v>0</v>
      </c>
      <c r="S61" s="8"/>
      <c r="T61" s="83">
        <v>0</v>
      </c>
      <c r="U61" s="83"/>
      <c r="V61" s="83">
        <f t="shared" si="13"/>
        <v>1005121</v>
      </c>
      <c r="W61" s="5"/>
      <c r="X61" s="383">
        <f t="shared" si="11"/>
        <v>0</v>
      </c>
      <c r="Y61" s="220"/>
      <c r="Z61" s="137"/>
    </row>
    <row r="62" spans="1:26" x14ac:dyDescent="0.25">
      <c r="A62" s="197">
        <v>32</v>
      </c>
      <c r="B62" s="194"/>
      <c r="C62" s="194" t="s">
        <v>385</v>
      </c>
      <c r="D62" s="196" t="s">
        <v>383</v>
      </c>
      <c r="E62" s="46"/>
      <c r="F62" s="48">
        <v>132</v>
      </c>
      <c r="H62" s="48">
        <v>349821</v>
      </c>
      <c r="I62" s="5"/>
      <c r="J62" s="401">
        <f>INPUT!C203</f>
        <v>4.7851999999999999E-2</v>
      </c>
      <c r="K62" s="9"/>
      <c r="L62" s="347">
        <f>V62-T62</f>
        <v>16502</v>
      </c>
      <c r="M62" s="86"/>
      <c r="N62" s="125">
        <f t="shared" si="12"/>
        <v>0.09</v>
      </c>
      <c r="O62" s="9"/>
      <c r="P62" s="347">
        <f>'SCH M-2.3'!L62-'SCH M-2.2'!L62</f>
        <v>2108.4772000000012</v>
      </c>
      <c r="Q62" s="5"/>
      <c r="R62" s="149">
        <f t="shared" si="10"/>
        <v>12.8</v>
      </c>
      <c r="S62" s="8"/>
      <c r="T62" s="447">
        <f>ROUND(H62*CUR_FAC,0)</f>
        <v>238</v>
      </c>
      <c r="U62" s="5"/>
      <c r="V62" s="48">
        <f>ROUND(H62*J62,0)</f>
        <v>16740</v>
      </c>
      <c r="W62" s="5"/>
      <c r="X62" s="149">
        <f t="shared" si="11"/>
        <v>12.6</v>
      </c>
      <c r="Y62" s="382"/>
      <c r="Z62" s="137"/>
    </row>
    <row r="63" spans="1:26" x14ac:dyDescent="0.25">
      <c r="A63" s="197">
        <v>33</v>
      </c>
      <c r="B63" s="194"/>
      <c r="C63" s="194"/>
      <c r="D63" s="196" t="s">
        <v>103</v>
      </c>
      <c r="E63" s="46"/>
      <c r="F63" s="5">
        <v>0</v>
      </c>
      <c r="G63" s="2"/>
      <c r="H63" s="5">
        <v>0</v>
      </c>
      <c r="I63" s="5"/>
      <c r="J63" s="241" t="str">
        <f t="shared" ref="J63" si="20">IF(H63=0,"-",ROUND((L63/H63)*100,6))</f>
        <v>-</v>
      </c>
      <c r="K63" s="9"/>
      <c r="L63" s="392">
        <f>10581742+2405330</f>
        <v>12987072</v>
      </c>
      <c r="M63" s="86"/>
      <c r="N63" s="125">
        <f>ROUND((L63/L$64)*100,2)</f>
        <v>71.790000000000006</v>
      </c>
      <c r="O63" s="9"/>
      <c r="P63" s="347">
        <f>'SCH M-2.3'!L63-'SCH M-2.2'!L63</f>
        <v>0</v>
      </c>
      <c r="Q63" s="5"/>
      <c r="R63" s="149">
        <f t="shared" si="10"/>
        <v>0</v>
      </c>
      <c r="S63" s="8"/>
      <c r="T63" s="5">
        <v>0</v>
      </c>
      <c r="U63" s="5"/>
      <c r="V63" s="83">
        <f t="shared" si="13"/>
        <v>12987072</v>
      </c>
      <c r="W63" s="5"/>
      <c r="X63" s="149">
        <f t="shared" si="11"/>
        <v>0</v>
      </c>
      <c r="Y63" s="220"/>
      <c r="Z63" s="137"/>
    </row>
    <row r="64" spans="1:26" ht="20.100000000000001" customHeight="1" x14ac:dyDescent="0.25">
      <c r="A64" s="197">
        <v>34</v>
      </c>
      <c r="C64" s="222" t="s">
        <v>486</v>
      </c>
      <c r="F64" s="90">
        <f>SUM(F56:F63)</f>
        <v>144</v>
      </c>
      <c r="G64" s="2"/>
      <c r="H64" s="90">
        <f>SUM(H56:H63)</f>
        <v>1232234</v>
      </c>
      <c r="I64" s="5"/>
      <c r="J64" s="241"/>
      <c r="K64" s="9"/>
      <c r="L64" s="90">
        <f>SUM(L56:L63)</f>
        <v>18091225</v>
      </c>
      <c r="M64" s="5"/>
      <c r="N64" s="139">
        <f>ROUND((L64/L$66)*100,2)</f>
        <v>4.83</v>
      </c>
      <c r="O64" s="9"/>
      <c r="P64" s="90">
        <f>SUM(P56:P63)</f>
        <v>254734.58041615557</v>
      </c>
      <c r="Q64" s="5"/>
      <c r="R64" s="149">
        <f t="shared" si="10"/>
        <v>1.4</v>
      </c>
      <c r="S64" s="8"/>
      <c r="T64" s="90">
        <f>SUM(T56:T63)</f>
        <v>839</v>
      </c>
      <c r="U64" s="5"/>
      <c r="V64" s="90">
        <f>SUM(V56:V63)</f>
        <v>18092064</v>
      </c>
      <c r="W64" s="5"/>
      <c r="X64" s="149">
        <f t="shared" si="11"/>
        <v>1.4</v>
      </c>
      <c r="Y64" s="382"/>
      <c r="Z64" s="137"/>
    </row>
    <row r="65" spans="1:26" x14ac:dyDescent="0.25">
      <c r="A65" s="425"/>
      <c r="F65" s="5"/>
      <c r="G65" s="2"/>
      <c r="H65" s="5"/>
      <c r="I65" s="5"/>
      <c r="J65" s="241"/>
      <c r="K65" s="9"/>
      <c r="L65" s="5"/>
      <c r="M65" s="5"/>
      <c r="N65" s="7"/>
      <c r="O65" s="9"/>
      <c r="P65" s="2"/>
      <c r="Q65" s="2"/>
      <c r="R65" s="149"/>
      <c r="S65" s="8"/>
      <c r="T65" s="5"/>
      <c r="U65" s="5"/>
      <c r="V65" s="5"/>
      <c r="W65" s="5"/>
      <c r="X65" s="149"/>
      <c r="Y65" s="382"/>
      <c r="Z65" s="137"/>
    </row>
    <row r="66" spans="1:26" ht="20.100000000000001" customHeight="1" thickBot="1" x14ac:dyDescent="0.3">
      <c r="A66" s="426">
        <v>35</v>
      </c>
      <c r="C66" s="222" t="s">
        <v>104</v>
      </c>
      <c r="F66" s="82">
        <f>F64+F53+F43+F36+F32+F22</f>
        <v>2070852</v>
      </c>
      <c r="G66" s="2"/>
      <c r="H66" s="82">
        <f>H64+H53+H43+H36+H32+H22</f>
        <v>4013009079</v>
      </c>
      <c r="I66" s="5"/>
      <c r="J66" s="241">
        <f>IF(H66=0,"-",ROUND((L66/H66)*100,6))</f>
        <v>9.3281419999999997</v>
      </c>
      <c r="K66" s="9"/>
      <c r="L66" s="82">
        <f>L64+L53+L43+L36+L32+L22</f>
        <v>374339198</v>
      </c>
      <c r="M66" s="5"/>
      <c r="N66" s="124">
        <v>100</v>
      </c>
      <c r="O66" s="9"/>
      <c r="P66" s="82">
        <f>P64+P53+P43+P36+P32+P22</f>
        <v>45436167.580416158</v>
      </c>
      <c r="Q66" s="5"/>
      <c r="R66" s="149">
        <f>ROUND((P66/L66)*100,1)</f>
        <v>12.1</v>
      </c>
      <c r="S66" s="8"/>
      <c r="T66" s="82">
        <f>T64+T53+T43+T36+T32+T22</f>
        <v>2721564</v>
      </c>
      <c r="U66" s="5"/>
      <c r="V66" s="82">
        <f>V64+V53+V43+V36+V32+V22</f>
        <v>377060764</v>
      </c>
      <c r="W66" s="5"/>
      <c r="X66" s="149">
        <f>ROUND((P66/V66)*100,1)</f>
        <v>12.1</v>
      </c>
      <c r="Y66" s="382"/>
      <c r="Z66" s="137"/>
    </row>
    <row r="67" spans="1:26" ht="16.5" thickTop="1" x14ac:dyDescent="0.25">
      <c r="F67" s="2"/>
      <c r="G67" s="2"/>
      <c r="H67" s="2"/>
      <c r="I67" s="2"/>
      <c r="J67" s="128"/>
      <c r="K67" s="2"/>
      <c r="L67" s="2"/>
      <c r="M67" s="2"/>
      <c r="N67" s="112"/>
      <c r="O67" s="2"/>
      <c r="P67" s="2"/>
      <c r="Q67" s="2"/>
      <c r="R67" s="147"/>
      <c r="S67" s="2"/>
      <c r="T67" s="2"/>
      <c r="U67" s="2"/>
      <c r="V67" s="2"/>
      <c r="W67" s="2"/>
      <c r="X67" s="147"/>
      <c r="Y67" s="382"/>
      <c r="Z67" s="137"/>
    </row>
    <row r="68" spans="1:26" x14ac:dyDescent="0.25">
      <c r="C68" s="52" t="s">
        <v>699</v>
      </c>
      <c r="J68" s="425"/>
      <c r="N68" s="76"/>
      <c r="Y68" s="382"/>
      <c r="Z68" s="137"/>
    </row>
    <row r="69" spans="1:26" x14ac:dyDescent="0.25">
      <c r="C69" s="52"/>
      <c r="J69" s="425"/>
      <c r="N69" s="76"/>
      <c r="Y69" s="382"/>
      <c r="Z69" s="137"/>
    </row>
    <row r="70" spans="1:26" x14ac:dyDescent="0.25">
      <c r="C70" s="52"/>
      <c r="J70" s="425"/>
      <c r="L70" s="200"/>
      <c r="N70" s="76"/>
      <c r="V70" s="200"/>
      <c r="Y70" s="382"/>
      <c r="Z70" s="137"/>
    </row>
    <row r="71" spans="1:26" x14ac:dyDescent="0.25">
      <c r="C71" s="52"/>
      <c r="H71" s="200"/>
      <c r="J71" s="425"/>
      <c r="N71" s="76"/>
      <c r="Y71" s="382"/>
      <c r="Z71" s="137"/>
    </row>
    <row r="72" spans="1:26" x14ac:dyDescent="0.25">
      <c r="C72" s="52"/>
      <c r="H72" s="200"/>
      <c r="J72" s="425"/>
      <c r="N72" s="76"/>
      <c r="Y72" s="382"/>
      <c r="Z72" s="137"/>
    </row>
    <row r="73" spans="1:26" x14ac:dyDescent="0.25">
      <c r="C73" s="52"/>
      <c r="J73" s="425"/>
      <c r="N73" s="76"/>
      <c r="Y73" s="382"/>
      <c r="Z73" s="137"/>
    </row>
    <row r="74" spans="1:26" x14ac:dyDescent="0.25">
      <c r="A74" s="46"/>
      <c r="J74" s="425"/>
      <c r="N74" s="76"/>
      <c r="Y74" s="382"/>
      <c r="Z74" s="137"/>
    </row>
    <row r="75" spans="1:26" x14ac:dyDescent="0.25">
      <c r="H75" s="200"/>
      <c r="Y75" s="382"/>
      <c r="Z75" s="137"/>
    </row>
    <row r="76" spans="1:26" ht="25.5" x14ac:dyDescent="0.35">
      <c r="H76" s="200"/>
      <c r="L76" s="199"/>
      <c r="Y76" s="382"/>
      <c r="Z76" s="137"/>
    </row>
    <row r="77" spans="1:26" x14ac:dyDescent="0.25">
      <c r="H77" s="202"/>
      <c r="L77" s="202"/>
      <c r="Y77" s="382"/>
      <c r="Z77" s="137"/>
    </row>
    <row r="78" spans="1:26" x14ac:dyDescent="0.25">
      <c r="L78" s="202"/>
      <c r="Y78" s="382"/>
      <c r="Z78" s="137"/>
    </row>
    <row r="79" spans="1:26" x14ac:dyDescent="0.25">
      <c r="H79" s="200"/>
      <c r="L79" s="202"/>
      <c r="Y79" s="382"/>
      <c r="Z79" s="137"/>
    </row>
    <row r="80" spans="1:26" x14ac:dyDescent="0.25">
      <c r="H80" s="200"/>
      <c r="Y80" s="382"/>
      <c r="Z80" s="137"/>
    </row>
    <row r="81" spans="8:26" x14ac:dyDescent="0.25">
      <c r="H81" s="200"/>
      <c r="L81" s="448"/>
      <c r="Y81" s="382"/>
      <c r="Z81" s="137"/>
    </row>
    <row r="82" spans="8:26" x14ac:dyDescent="0.25">
      <c r="Y82" s="382"/>
      <c r="Z82" s="137"/>
    </row>
    <row r="83" spans="8:26" x14ac:dyDescent="0.25">
      <c r="Y83" s="382"/>
      <c r="Z83" s="137"/>
    </row>
    <row r="84" spans="8:26" x14ac:dyDescent="0.25">
      <c r="Y84" s="382"/>
      <c r="Z84" s="137"/>
    </row>
    <row r="85" spans="8:26" x14ac:dyDescent="0.25">
      <c r="Y85" s="380"/>
      <c r="Z85" s="137"/>
    </row>
    <row r="86" spans="8:26" x14ac:dyDescent="0.25">
      <c r="Y86" s="380"/>
      <c r="Z86" s="137"/>
    </row>
    <row r="87" spans="8:26" x14ac:dyDescent="0.25">
      <c r="Y87" s="380"/>
      <c r="Z87" s="137"/>
    </row>
    <row r="88" spans="8:26" x14ac:dyDescent="0.25">
      <c r="Y88" s="380"/>
      <c r="Z88" s="137"/>
    </row>
    <row r="89" spans="8:26" x14ac:dyDescent="0.25">
      <c r="Y89" s="380"/>
      <c r="Z89" s="137"/>
    </row>
    <row r="90" spans="8:26" x14ac:dyDescent="0.25">
      <c r="Y90" s="380"/>
      <c r="Z90" s="137"/>
    </row>
    <row r="91" spans="8:26" x14ac:dyDescent="0.25">
      <c r="Y91" s="380"/>
      <c r="Z91" s="137"/>
    </row>
    <row r="92" spans="8:26" x14ac:dyDescent="0.25">
      <c r="Y92" s="380"/>
      <c r="Z92" s="137"/>
    </row>
    <row r="93" spans="8:26" x14ac:dyDescent="0.25">
      <c r="Y93" s="380"/>
      <c r="Z93" s="137"/>
    </row>
    <row r="94" spans="8:26" x14ac:dyDescent="0.25">
      <c r="Y94" s="380"/>
      <c r="Z94" s="137"/>
    </row>
    <row r="95" spans="8:26" x14ac:dyDescent="0.25">
      <c r="Y95" s="380"/>
      <c r="Z95" s="137"/>
    </row>
    <row r="96" spans="8:26" x14ac:dyDescent="0.25">
      <c r="Y96" s="380"/>
      <c r="Z96" s="137"/>
    </row>
    <row r="97" spans="25:26" x14ac:dyDescent="0.25">
      <c r="Y97" s="380"/>
      <c r="Z97" s="380"/>
    </row>
    <row r="98" spans="25:26" x14ac:dyDescent="0.25">
      <c r="Y98" s="380"/>
      <c r="Z98" s="380"/>
    </row>
    <row r="99" spans="25:26" x14ac:dyDescent="0.25">
      <c r="Y99" s="380"/>
      <c r="Z99" s="380"/>
    </row>
    <row r="100" spans="25:26" x14ac:dyDescent="0.25">
      <c r="Y100" s="380"/>
      <c r="Z100" s="380"/>
    </row>
    <row r="101" spans="25:26" x14ac:dyDescent="0.25">
      <c r="Y101" s="380"/>
      <c r="Z101" s="380"/>
    </row>
    <row r="102" spans="25:26" x14ac:dyDescent="0.25">
      <c r="Y102" s="380"/>
      <c r="Z102" s="380"/>
    </row>
    <row r="103" spans="25:26" x14ac:dyDescent="0.25">
      <c r="Y103" s="380"/>
      <c r="Z103" s="380"/>
    </row>
    <row r="104" spans="25:26" x14ac:dyDescent="0.25">
      <c r="Y104" s="380"/>
      <c r="Z104" s="380"/>
    </row>
    <row r="105" spans="25:26" x14ac:dyDescent="0.25">
      <c r="Y105" s="380"/>
      <c r="Z105" s="380"/>
    </row>
    <row r="106" spans="25:26" x14ac:dyDescent="0.25">
      <c r="Y106" s="380"/>
      <c r="Z106" s="380"/>
    </row>
    <row r="107" spans="25:26" x14ac:dyDescent="0.25">
      <c r="Y107" s="380"/>
      <c r="Z107" s="380"/>
    </row>
    <row r="108" spans="25:26" x14ac:dyDescent="0.25">
      <c r="Y108" s="380"/>
      <c r="Z108" s="380"/>
    </row>
    <row r="109" spans="25:26" x14ac:dyDescent="0.25">
      <c r="Y109" s="380"/>
      <c r="Z109" s="380"/>
    </row>
    <row r="110" spans="25:26" x14ac:dyDescent="0.25">
      <c r="Y110" s="380"/>
      <c r="Z110" s="380"/>
    </row>
    <row r="111" spans="25:26" x14ac:dyDescent="0.25">
      <c r="Y111" s="380"/>
      <c r="Z111" s="380"/>
    </row>
    <row r="112" spans="25:26" x14ac:dyDescent="0.25">
      <c r="Y112" s="380"/>
      <c r="Z112" s="380"/>
    </row>
    <row r="113" spans="25:26" x14ac:dyDescent="0.25">
      <c r="Y113" s="380"/>
      <c r="Z113" s="380"/>
    </row>
    <row r="114" spans="25:26" x14ac:dyDescent="0.25">
      <c r="Y114" s="380"/>
      <c r="Z114" s="380"/>
    </row>
    <row r="115" spans="25:26" x14ac:dyDescent="0.25">
      <c r="Y115" s="380"/>
      <c r="Z115" s="380"/>
    </row>
    <row r="116" spans="25:26" x14ac:dyDescent="0.25">
      <c r="Y116" s="380"/>
      <c r="Z116" s="380"/>
    </row>
    <row r="117" spans="25:26" x14ac:dyDescent="0.25">
      <c r="Y117" s="380"/>
      <c r="Z117" s="380"/>
    </row>
    <row r="118" spans="25:26" x14ac:dyDescent="0.25">
      <c r="Y118" s="380"/>
      <c r="Z118" s="380"/>
    </row>
    <row r="119" spans="25:26" x14ac:dyDescent="0.25">
      <c r="Y119" s="380"/>
      <c r="Z119" s="380"/>
    </row>
    <row r="120" spans="25:26" x14ac:dyDescent="0.25">
      <c r="Y120" s="380"/>
      <c r="Z120" s="380"/>
    </row>
    <row r="121" spans="25:26" x14ac:dyDescent="0.25">
      <c r="Y121" s="380"/>
      <c r="Z121" s="380"/>
    </row>
  </sheetData>
  <customSheetViews>
    <customSheetView guid="{195DF303-1BBD-4236-94B5-47432850B006}" scale="75" fitToPage="1" showRuler="0">
      <pageMargins left="0.5" right="0.5" top="1" bottom="0" header="0.5" footer="0.5"/>
      <printOptions horizontalCentered="1"/>
      <pageSetup scale="52" orientation="landscape" horizontalDpi="300" verticalDpi="300" r:id="rId1"/>
      <headerFooter alignWithMargins="0"/>
    </customSheetView>
    <customSheetView guid="{0C49E549-011E-46F4-A82E-2CC8951A9C1E}" scale="75" fitToPage="1" showRuler="0" topLeftCell="A4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2"/>
      <headerFooter alignWithMargins="0"/>
    </customSheetView>
    <customSheetView guid="{4BC93440-BA85-4935-A8C9-66DC6AE5DE5E}" scale="75" fitToPage="1" showRuler="0">
      <pane xSplit="5" ySplit="18" topLeftCell="G64" activePane="bottomRight" state="frozen"/>
      <selection pane="bottomRight" activeCell="L68" sqref="L68"/>
      <pageMargins left="0.5" right="0.5" top="1" bottom="0" header="0.5" footer="0.5"/>
      <printOptions horizontalCentered="1"/>
      <pageSetup scale="53" orientation="landscape" horizontalDpi="300" verticalDpi="300" r:id="rId3"/>
      <headerFooter alignWithMargins="0"/>
    </customSheetView>
    <customSheetView guid="{2431C9E5-7CC2-4B8D-99C3-962247B1DBF5}" scale="75" fitToPage="1" showRuler="0">
      <pane xSplit="5" ySplit="18" topLeftCell="F19" activePane="bottomRight" state="frozen"/>
      <selection pane="bottomRight" activeCell="L50" sqref="L50"/>
      <pageMargins left="0.5" right="0.5" top="1" bottom="0" header="0.5" footer="0.5"/>
      <printOptions horizontalCentered="1"/>
      <pageSetup scale="53" orientation="landscape" horizontalDpi="300" verticalDpi="300" r:id="rId4"/>
      <headerFooter alignWithMargins="0"/>
    </customSheetView>
    <customSheetView guid="{2EA35095-1ADC-4CC7-8C3C-B487D65FA247}" scale="75" fitToPage="1" showRuler="0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5"/>
      <headerFooter alignWithMargins="0"/>
    </customSheetView>
    <customSheetView guid="{8FC77C99-DBF7-40B8-99B8-01B75826CDCB}" scale="75" fitToPage="1" showRuler="0" topLeftCell="I46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6"/>
      <headerFooter alignWithMargins="0"/>
    </customSheetView>
    <customSheetView guid="{8FB94551-8874-4095-B8FB-5316E0D2FD2C}" scale="75" fitToPage="1" showRuler="0">
      <pageMargins left="0.5" right="0.5" top="1" bottom="0" header="0.5" footer="0.5"/>
      <printOptions horizontalCentered="1"/>
      <pageSetup scale="52" orientation="landscape" horizontalDpi="300" verticalDpi="300" r:id="rId7"/>
      <headerFooter alignWithMargins="0"/>
    </customSheetView>
    <customSheetView guid="{6B3D5C27-2FDE-4561-9575-1E98BFB869D0}" scale="75" fitToPage="1" showRuler="0">
      <selection activeCell="D33" sqref="D33"/>
      <pageMargins left="0.5" right="0.5" top="1" bottom="0" header="0.5" footer="0.5"/>
      <printOptions horizontalCentered="1"/>
      <pageSetup scale="48" orientation="landscape" horizontalDpi="300" verticalDpi="300" r:id="rId8"/>
      <headerFooter alignWithMargins="0"/>
    </customSheetView>
    <customSheetView guid="{0BC1F393-8A13-47D5-BC6C-0C99615B5AB9}" scale="75" fitToPage="1" showRuler="0" topLeftCell="A33">
      <selection activeCell="H55" sqref="H55"/>
      <pageMargins left="0.5" right="0.5" top="1" bottom="0" header="0.5" footer="0.5"/>
      <printOptions horizontalCentered="1"/>
      <pageSetup scale="52" orientation="landscape" horizontalDpi="300" verticalDpi="300" r:id="rId9"/>
      <headerFooter alignWithMargins="0"/>
    </customSheetView>
    <customSheetView guid="{18BDED73-BFA0-442E-87EC-CED86EE4CF94}" scale="75" fitToPage="1" showRuler="0" topLeftCell="A33">
      <selection activeCell="H55" sqref="H55"/>
      <pageMargins left="0.5" right="0.5" top="1" bottom="0" header="0.5" footer="0.5"/>
      <printOptions horizontalCentered="1"/>
      <pageSetup scale="52" orientation="landscape" horizontalDpi="300" verticalDpi="300" r:id="rId10"/>
      <headerFooter alignWithMargins="0"/>
    </customSheetView>
    <customSheetView guid="{35F19056-2E6F-4935-B863-78836FE990BF}" scale="75" fitToPage="1" showRuler="0" topLeftCell="G33">
      <selection activeCell="V55" sqref="V55"/>
      <pageMargins left="0.5" right="0.5" top="1" bottom="0" header="0.5" footer="0.5"/>
      <printOptions horizontalCentered="1"/>
      <pageSetup scale="54" orientation="landscape" horizontalDpi="300" verticalDpi="300" r:id="rId11"/>
      <headerFooter alignWithMargins="0"/>
    </customSheetView>
    <customSheetView guid="{F562D92E-120C-4AE9-9663-89E64D41DC53}" scale="75" fitToPage="1" topLeftCell="G16">
      <selection activeCell="T19" sqref="T19"/>
      <pageMargins left="0.5" right="0.5" top="1" bottom="0" header="0.5" footer="0.5"/>
      <printOptions horizontalCentered="1"/>
      <pageSetup scale="54" orientation="landscape" horizontalDpi="300" verticalDpi="300" r:id="rId12"/>
      <headerFooter alignWithMargins="0"/>
    </customSheetView>
  </customSheetViews>
  <mergeCells count="11">
    <mergeCell ref="C55:D55"/>
    <mergeCell ref="C20:D20"/>
    <mergeCell ref="C24:D24"/>
    <mergeCell ref="C34:D34"/>
    <mergeCell ref="C38:D38"/>
    <mergeCell ref="C45:D45"/>
    <mergeCell ref="A1:X1"/>
    <mergeCell ref="A2:X2"/>
    <mergeCell ref="A3:X3"/>
    <mergeCell ref="A4:X4"/>
    <mergeCell ref="A5:X5"/>
  </mergeCells>
  <phoneticPr fontId="9" type="noConversion"/>
  <printOptions horizontalCentered="1"/>
  <pageMargins left="0.75" right="0.75" top="1" bottom="1" header="0.5" footer="0.5"/>
  <pageSetup scale="43" orientation="landscape" horizontalDpi="300" verticalDpi="300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43" transitionEvaluation="1" transitionEntry="1" codeName="Sheet5"/>
  <dimension ref="A1:X97"/>
  <sheetViews>
    <sheetView tabSelected="1" view="pageBreakPreview" topLeftCell="A43" zoomScale="60" zoomScaleNormal="75" workbookViewId="0">
      <selection sqref="A1:J1"/>
    </sheetView>
  </sheetViews>
  <sheetFormatPr defaultColWidth="9.77734375" defaultRowHeight="15.75" x14ac:dyDescent="0.25"/>
  <cols>
    <col min="1" max="1" width="5.6640625" style="380" customWidth="1"/>
    <col min="2" max="2" width="0.33203125" style="380" customWidth="1"/>
    <col min="3" max="3" width="13.5546875" style="380" customWidth="1"/>
    <col min="4" max="4" width="32" style="380" customWidth="1"/>
    <col min="5" max="5" width="0.5546875" style="380" customWidth="1"/>
    <col min="6" max="6" width="15.5546875" style="380" customWidth="1"/>
    <col min="7" max="7" width="0.5546875" style="380" customWidth="1"/>
    <col min="8" max="8" width="19.33203125" style="380" customWidth="1"/>
    <col min="9" max="9" width="0.77734375" style="380" customWidth="1"/>
    <col min="10" max="10" width="12.109375" style="380" customWidth="1"/>
    <col min="11" max="11" width="0.44140625" style="380" customWidth="1"/>
    <col min="12" max="12" width="15.6640625" style="380" customWidth="1"/>
    <col min="13" max="13" width="0.88671875" style="380" customWidth="1"/>
    <col min="14" max="14" width="12.77734375" style="380" customWidth="1"/>
    <col min="15" max="15" width="0.6640625" style="380" customWidth="1"/>
    <col min="16" max="16" width="15.44140625" style="380" customWidth="1"/>
    <col min="17" max="17" width="0.77734375" style="380" customWidth="1"/>
    <col min="18" max="18" width="22.33203125" style="380" customWidth="1"/>
    <col min="19" max="70" width="9.77734375" style="380"/>
    <col min="71" max="71" width="20.77734375" style="380" customWidth="1"/>
    <col min="72" max="16384" width="9.77734375" style="380"/>
  </cols>
  <sheetData>
    <row r="1" spans="1:18" x14ac:dyDescent="0.25">
      <c r="A1" s="44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</row>
    <row r="2" spans="1:18" x14ac:dyDescent="0.25">
      <c r="A2" s="44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</row>
    <row r="3" spans="1:18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1:18" x14ac:dyDescent="0.25">
      <c r="A4" s="44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</row>
    <row r="5" spans="1:18" x14ac:dyDescent="0.25">
      <c r="A5" s="44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</row>
    <row r="6" spans="1:18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</row>
    <row r="7" spans="1:18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1 OF "&amp;TEXT(Page_Num_2.3,"00")</f>
        <v>PAGE 1 OF 23</v>
      </c>
    </row>
    <row r="8" spans="1:18" x14ac:dyDescent="0.25">
      <c r="A8" s="46" t="s">
        <v>193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</row>
    <row r="9" spans="1:18" x14ac:dyDescent="0.25">
      <c r="A9" s="222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45" t="str">
        <f>WIT</f>
        <v>J. L. Kern</v>
      </c>
    </row>
    <row r="10" spans="1:18" x14ac:dyDescent="0.25">
      <c r="A10" s="222" t="str">
        <f>INPUT!B5</f>
        <v>6 Months Actual Ending May 31, 2019</v>
      </c>
      <c r="B10" s="378"/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78"/>
      <c r="P10" s="378"/>
      <c r="Q10" s="378"/>
      <c r="R10" s="45"/>
    </row>
    <row r="11" spans="1:18" x14ac:dyDescent="0.25">
      <c r="A11" s="44" t="s">
        <v>136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4"/>
      <c r="N11" s="43"/>
      <c r="O11" s="43"/>
      <c r="P11" s="43"/>
      <c r="Q11" s="43"/>
      <c r="R11" s="43"/>
    </row>
    <row r="12" spans="1:18" ht="12.75" customHeight="1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18" ht="18" customHeight="1" x14ac:dyDescent="0.25">
      <c r="A13" s="378"/>
      <c r="B13" s="378"/>
      <c r="C13" s="378"/>
      <c r="D13" s="378"/>
      <c r="E13" s="378"/>
      <c r="F13" s="378"/>
      <c r="G13" s="378"/>
      <c r="H13" s="378"/>
      <c r="I13" s="378"/>
      <c r="J13" s="378"/>
      <c r="K13" s="378"/>
      <c r="L13" s="426" t="s">
        <v>6</v>
      </c>
      <c r="M13" s="426"/>
      <c r="N13" s="426" t="s">
        <v>7</v>
      </c>
      <c r="O13" s="426"/>
      <c r="P13" s="378"/>
      <c r="Q13" s="378"/>
      <c r="R13" s="426" t="s">
        <v>6</v>
      </c>
    </row>
    <row r="14" spans="1:18" x14ac:dyDescent="0.25">
      <c r="A14" s="378"/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426" t="s">
        <v>12</v>
      </c>
      <c r="M14" s="426"/>
      <c r="N14" s="426" t="s">
        <v>13</v>
      </c>
      <c r="O14" s="426"/>
      <c r="P14" s="378"/>
      <c r="Q14" s="378"/>
      <c r="R14" s="426" t="s">
        <v>11</v>
      </c>
    </row>
    <row r="15" spans="1:18" x14ac:dyDescent="0.25">
      <c r="A15" s="426" t="s">
        <v>17</v>
      </c>
      <c r="B15" s="378"/>
      <c r="C15" s="426" t="s">
        <v>18</v>
      </c>
      <c r="D15" s="426" t="s">
        <v>19</v>
      </c>
      <c r="E15" s="426"/>
      <c r="F15" s="426" t="s">
        <v>20</v>
      </c>
      <c r="G15" s="378"/>
      <c r="H15" s="378"/>
      <c r="I15" s="378"/>
      <c r="J15" s="426" t="s">
        <v>6</v>
      </c>
      <c r="K15" s="426"/>
      <c r="L15" s="426" t="s">
        <v>21</v>
      </c>
      <c r="M15" s="426"/>
      <c r="N15" s="426" t="s">
        <v>21</v>
      </c>
      <c r="O15" s="426"/>
      <c r="P15" s="426" t="s">
        <v>21</v>
      </c>
      <c r="Q15" s="426"/>
      <c r="R15" s="426" t="s">
        <v>9</v>
      </c>
    </row>
    <row r="16" spans="1:18" x14ac:dyDescent="0.25">
      <c r="A16" s="426" t="s">
        <v>24</v>
      </c>
      <c r="B16" s="378"/>
      <c r="C16" s="426" t="s">
        <v>25</v>
      </c>
      <c r="D16" s="426" t="s">
        <v>26</v>
      </c>
      <c r="E16" s="426"/>
      <c r="F16" s="426" t="s">
        <v>57</v>
      </c>
      <c r="G16" s="378"/>
      <c r="H16" s="426" t="s">
        <v>28</v>
      </c>
      <c r="I16" s="426"/>
      <c r="J16" s="426" t="s">
        <v>29</v>
      </c>
      <c r="K16" s="426"/>
      <c r="L16" s="426" t="s">
        <v>9</v>
      </c>
      <c r="M16" s="426"/>
      <c r="N16" s="426" t="s">
        <v>9</v>
      </c>
      <c r="O16" s="426"/>
      <c r="P16" s="426" t="s">
        <v>9</v>
      </c>
      <c r="Q16" s="426"/>
      <c r="R16" s="265" t="s">
        <v>30</v>
      </c>
    </row>
    <row r="17" spans="1:18" x14ac:dyDescent="0.25">
      <c r="A17" s="378"/>
      <c r="B17" s="378"/>
      <c r="C17" s="265" t="s">
        <v>35</v>
      </c>
      <c r="D17" s="265" t="s">
        <v>36</v>
      </c>
      <c r="E17" s="265"/>
      <c r="F17" s="265" t="s">
        <v>37</v>
      </c>
      <c r="G17" s="218"/>
      <c r="H17" s="265" t="s">
        <v>38</v>
      </c>
      <c r="I17" s="265"/>
      <c r="J17" s="265" t="s">
        <v>39</v>
      </c>
      <c r="K17" s="265"/>
      <c r="L17" s="265" t="s">
        <v>40</v>
      </c>
      <c r="M17" s="265"/>
      <c r="N17" s="265" t="s">
        <v>41</v>
      </c>
      <c r="O17" s="265"/>
      <c r="P17" s="265" t="s">
        <v>42</v>
      </c>
      <c r="Q17" s="265"/>
      <c r="R17" s="265" t="s">
        <v>43</v>
      </c>
    </row>
    <row r="18" spans="1:18" ht="9.75" customHeight="1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</row>
    <row r="19" spans="1:18" ht="17.100000000000001" customHeight="1" x14ac:dyDescent="0.25">
      <c r="A19" s="378"/>
      <c r="B19" s="378"/>
      <c r="C19" s="378"/>
      <c r="D19" s="378"/>
      <c r="E19" s="378"/>
      <c r="F19" s="378"/>
      <c r="G19" s="378"/>
      <c r="H19" s="441" t="s">
        <v>51</v>
      </c>
      <c r="I19" s="441"/>
      <c r="J19" s="442" t="s">
        <v>204</v>
      </c>
      <c r="K19" s="441"/>
      <c r="L19" s="441" t="s">
        <v>52</v>
      </c>
      <c r="M19" s="441"/>
      <c r="N19" s="441" t="s">
        <v>53</v>
      </c>
      <c r="O19" s="441"/>
      <c r="P19" s="441" t="s">
        <v>52</v>
      </c>
      <c r="Q19" s="441"/>
      <c r="R19" s="441" t="s">
        <v>52</v>
      </c>
    </row>
    <row r="20" spans="1:18" x14ac:dyDescent="0.25">
      <c r="A20" s="378"/>
      <c r="B20" s="378"/>
      <c r="C20" s="589" t="s">
        <v>55</v>
      </c>
      <c r="D20" s="589"/>
      <c r="E20" s="378"/>
      <c r="F20" s="378"/>
      <c r="G20" s="378"/>
      <c r="H20" s="426"/>
      <c r="I20" s="426"/>
      <c r="J20" s="70"/>
      <c r="K20" s="426"/>
      <c r="L20" s="426"/>
      <c r="M20" s="426"/>
      <c r="N20" s="426"/>
      <c r="O20" s="426"/>
      <c r="P20" s="426"/>
      <c r="Q20" s="426"/>
      <c r="R20" s="426"/>
    </row>
    <row r="21" spans="1:18" x14ac:dyDescent="0.25">
      <c r="A21" s="426">
        <v>1</v>
      </c>
      <c r="B21" s="378"/>
      <c r="C21" s="46" t="s">
        <v>54</v>
      </c>
      <c r="D21" s="52" t="s">
        <v>254</v>
      </c>
      <c r="E21" s="46"/>
      <c r="F21" s="5">
        <f>'Rate RS'!F38</f>
        <v>1552696</v>
      </c>
      <c r="G21" s="2"/>
      <c r="H21" s="5">
        <f>'Rate RS'!H38</f>
        <v>1474920684</v>
      </c>
      <c r="I21" s="5"/>
      <c r="J21" s="241">
        <f>IF(H21=0,"-",ROUND((L21/H21)*100,6))</f>
        <v>11.177536999999999</v>
      </c>
      <c r="K21" s="9"/>
      <c r="L21" s="5">
        <f>'Rate RS'!L38</f>
        <v>164859810</v>
      </c>
      <c r="M21" s="5"/>
      <c r="N21" s="7">
        <f>ROUND((L21/L$22)*100,2)</f>
        <v>100</v>
      </c>
      <c r="O21" s="9"/>
      <c r="P21" s="5">
        <f>'Rate RS'!P38</f>
        <v>1004421</v>
      </c>
      <c r="Q21" s="5"/>
      <c r="R21" s="5">
        <f>'Rate RS'!R38</f>
        <v>165864231</v>
      </c>
    </row>
    <row r="22" spans="1:18" ht="20.100000000000001" customHeight="1" x14ac:dyDescent="0.25">
      <c r="A22" s="426">
        <v>2</v>
      </c>
      <c r="B22" s="378"/>
      <c r="C22" s="444" t="s">
        <v>202</v>
      </c>
      <c r="D22" s="378"/>
      <c r="E22" s="378"/>
      <c r="F22" s="90">
        <f>F21</f>
        <v>1552696</v>
      </c>
      <c r="G22" s="2"/>
      <c r="H22" s="90">
        <f>H21</f>
        <v>1474920684</v>
      </c>
      <c r="I22" s="5"/>
      <c r="J22" s="241">
        <f>IF(H22=0,"-",ROUND((L22/H22)*100,6))</f>
        <v>11.177536999999999</v>
      </c>
      <c r="K22" s="9"/>
      <c r="L22" s="90">
        <f>L21</f>
        <v>164859810</v>
      </c>
      <c r="M22" s="5"/>
      <c r="N22" s="139">
        <f>ROUND((L22/L$66)*100,2)</f>
        <v>39.270000000000003</v>
      </c>
      <c r="O22" s="9"/>
      <c r="P22" s="90">
        <f>P21</f>
        <v>1004421</v>
      </c>
      <c r="Q22" s="5"/>
      <c r="R22" s="90">
        <f>R21</f>
        <v>165864231</v>
      </c>
    </row>
    <row r="23" spans="1:18" ht="12" customHeight="1" x14ac:dyDescent="0.25">
      <c r="A23" s="425"/>
      <c r="B23" s="378"/>
      <c r="C23" s="378"/>
      <c r="D23" s="378"/>
      <c r="E23" s="378"/>
      <c r="F23" s="5"/>
      <c r="G23" s="2"/>
      <c r="H23" s="5"/>
      <c r="I23" s="5"/>
      <c r="J23" s="241"/>
      <c r="K23" s="9"/>
      <c r="L23" s="5"/>
      <c r="M23" s="5"/>
      <c r="N23" s="7"/>
      <c r="O23" s="9"/>
      <c r="P23" s="5"/>
      <c r="Q23" s="5"/>
      <c r="R23" s="5"/>
    </row>
    <row r="24" spans="1:18" ht="15.75" customHeight="1" x14ac:dyDescent="0.25">
      <c r="A24" s="425"/>
      <c r="B24" s="378"/>
      <c r="C24" s="589" t="s">
        <v>265</v>
      </c>
      <c r="D24" s="589"/>
      <c r="E24" s="378"/>
      <c r="F24" s="5"/>
      <c r="G24" s="2"/>
      <c r="H24" s="5"/>
      <c r="I24" s="5"/>
      <c r="J24" s="241"/>
      <c r="K24" s="9"/>
      <c r="L24" s="5"/>
      <c r="M24" s="5"/>
      <c r="N24" s="7"/>
      <c r="O24" s="9"/>
      <c r="P24" s="5"/>
      <c r="Q24" s="5"/>
      <c r="R24" s="5"/>
    </row>
    <row r="25" spans="1:18" x14ac:dyDescent="0.25">
      <c r="A25" s="426">
        <v>3</v>
      </c>
      <c r="B25" s="378"/>
      <c r="C25" s="46" t="s">
        <v>97</v>
      </c>
      <c r="D25" s="52" t="s">
        <v>255</v>
      </c>
      <c r="E25" s="46"/>
      <c r="F25" s="5">
        <f>'Rate DS'!F50</f>
        <v>156672</v>
      </c>
      <c r="G25" s="2"/>
      <c r="H25" s="5">
        <f>'Rate DS'!H50</f>
        <v>1089223051</v>
      </c>
      <c r="I25" s="5"/>
      <c r="J25" s="241">
        <f t="shared" ref="J25:J32" si="0">IF(H25=0,"-",ROUND((L25/H25)*100,6))</f>
        <v>10.726103</v>
      </c>
      <c r="K25" s="9"/>
      <c r="L25" s="5">
        <f>'Rate DS'!L50</f>
        <v>116831189</v>
      </c>
      <c r="M25" s="5"/>
      <c r="N25" s="7">
        <f t="shared" ref="N25:N30" si="1">ROUND((L25/L$32)*100,2)</f>
        <v>53.61</v>
      </c>
      <c r="O25" s="9"/>
      <c r="P25" s="5">
        <f>'Rate DS'!P50</f>
        <v>741761</v>
      </c>
      <c r="Q25" s="5"/>
      <c r="R25" s="5">
        <f>'Rate DS'!R50</f>
        <v>117572950</v>
      </c>
    </row>
    <row r="26" spans="1:18" x14ac:dyDescent="0.25">
      <c r="A26" s="426">
        <v>4</v>
      </c>
      <c r="B26" s="378"/>
      <c r="C26" s="46" t="s">
        <v>440</v>
      </c>
      <c r="D26" s="46" t="s">
        <v>63</v>
      </c>
      <c r="E26" s="46"/>
      <c r="F26" s="5">
        <f>'Rate DT-Pri'!F63</f>
        <v>455</v>
      </c>
      <c r="G26" s="2"/>
      <c r="H26" s="5">
        <f>'Rate DT-Pri'!H63</f>
        <v>472650196</v>
      </c>
      <c r="I26" s="5"/>
      <c r="J26" s="241">
        <f t="shared" si="0"/>
        <v>8.0536440000000002</v>
      </c>
      <c r="K26" s="9"/>
      <c r="L26" s="5">
        <f>'Rate DT-Pri'!L63</f>
        <v>38065563</v>
      </c>
      <c r="M26" s="5"/>
      <c r="N26" s="7">
        <f t="shared" si="1"/>
        <v>17.47</v>
      </c>
      <c r="O26" s="9"/>
      <c r="P26" s="5">
        <f>'Rate DT-Pri'!P63</f>
        <v>321875</v>
      </c>
      <c r="Q26" s="5"/>
      <c r="R26" s="5">
        <f>'Rate DT-Pri'!R63</f>
        <v>38387438</v>
      </c>
    </row>
    <row r="27" spans="1:18" x14ac:dyDescent="0.25">
      <c r="A27" s="426">
        <v>5</v>
      </c>
      <c r="B27" s="378"/>
      <c r="C27" s="46" t="s">
        <v>438</v>
      </c>
      <c r="D27" s="46" t="s">
        <v>63</v>
      </c>
      <c r="E27" s="46"/>
      <c r="F27" s="5">
        <f>'Rate DT-Sec'!F61</f>
        <v>1870</v>
      </c>
      <c r="G27" s="2"/>
      <c r="H27" s="5">
        <f>'Rate DT-Sec'!H61</f>
        <v>680875061</v>
      </c>
      <c r="I27" s="5"/>
      <c r="J27" s="241">
        <f t="shared" si="0"/>
        <v>8.7419449999999994</v>
      </c>
      <c r="K27" s="9"/>
      <c r="L27" s="5">
        <f>'Rate DT-Sec'!L61</f>
        <v>59521726</v>
      </c>
      <c r="M27" s="5"/>
      <c r="N27" s="7">
        <f t="shared" si="1"/>
        <v>27.31</v>
      </c>
      <c r="O27" s="9"/>
      <c r="P27" s="5">
        <f>'Rate DT-Sec'!P61</f>
        <v>463676</v>
      </c>
      <c r="Q27" s="5"/>
      <c r="R27" s="5">
        <f>'Rate DT-Sec'!R61</f>
        <v>59985402</v>
      </c>
    </row>
    <row r="28" spans="1:18" x14ac:dyDescent="0.25">
      <c r="A28" s="426">
        <v>6</v>
      </c>
      <c r="B28" s="378"/>
      <c r="C28" s="46" t="s">
        <v>100</v>
      </c>
      <c r="D28" s="46" t="s">
        <v>257</v>
      </c>
      <c r="E28" s="46"/>
      <c r="F28" s="5">
        <f>'Rate EH'!F43</f>
        <v>474</v>
      </c>
      <c r="G28" s="2"/>
      <c r="H28" s="5">
        <f>'Rate EH'!H43</f>
        <v>9252534</v>
      </c>
      <c r="I28" s="5"/>
      <c r="J28" s="241">
        <f t="shared" si="0"/>
        <v>8.4025409999999994</v>
      </c>
      <c r="K28" s="9"/>
      <c r="L28" s="5">
        <f>'Rate EH'!L43</f>
        <v>777448</v>
      </c>
      <c r="M28" s="5"/>
      <c r="N28" s="7">
        <f t="shared" si="1"/>
        <v>0.36</v>
      </c>
      <c r="O28" s="9"/>
      <c r="P28" s="5">
        <f>'Rate EH'!P43</f>
        <v>6301</v>
      </c>
      <c r="Q28" s="5"/>
      <c r="R28" s="5">
        <f>'Rate EH'!R43</f>
        <v>783749</v>
      </c>
    </row>
    <row r="29" spans="1:18" x14ac:dyDescent="0.25">
      <c r="A29" s="426">
        <v>7</v>
      </c>
      <c r="B29" s="73"/>
      <c r="C29" s="46" t="s">
        <v>101</v>
      </c>
      <c r="D29" s="52" t="s">
        <v>256</v>
      </c>
      <c r="E29" s="46"/>
      <c r="F29" s="5">
        <f>'Rate SP GSFL'!F38</f>
        <v>184</v>
      </c>
      <c r="G29" s="2"/>
      <c r="H29" s="5">
        <f>'Rate SP GSFL'!H38</f>
        <v>276447</v>
      </c>
      <c r="I29" s="5"/>
      <c r="J29" s="241">
        <f t="shared" si="0"/>
        <v>14.116268</v>
      </c>
      <c r="K29" s="9"/>
      <c r="L29" s="5">
        <f>'Rate SP GSFL'!L38</f>
        <v>39024</v>
      </c>
      <c r="M29" s="5"/>
      <c r="N29" s="7">
        <f t="shared" si="1"/>
        <v>0.02</v>
      </c>
      <c r="O29" s="9"/>
      <c r="P29" s="5">
        <f>'Rate SP GSFL'!P38</f>
        <v>188</v>
      </c>
      <c r="Q29" s="5"/>
      <c r="R29" s="5">
        <f>'Rate SP GSFL'!R38</f>
        <v>39212</v>
      </c>
    </row>
    <row r="30" spans="1:18" x14ac:dyDescent="0.25">
      <c r="A30" s="426">
        <v>8</v>
      </c>
      <c r="B30" s="378"/>
      <c r="C30" s="46" t="s">
        <v>99</v>
      </c>
      <c r="D30" s="46" t="s">
        <v>159</v>
      </c>
      <c r="E30" s="46"/>
      <c r="F30" s="5">
        <f>'Rate SP GSFL'!F57</f>
        <v>540</v>
      </c>
      <c r="G30" s="2"/>
      <c r="H30" s="5">
        <f>'Rate SP GSFL'!H57</f>
        <v>5958342</v>
      </c>
      <c r="I30" s="5"/>
      <c r="J30" s="241">
        <f t="shared" si="0"/>
        <v>12.548508</v>
      </c>
      <c r="K30" s="9"/>
      <c r="L30" s="5">
        <f>'Rate SP GSFL'!L57</f>
        <v>747683</v>
      </c>
      <c r="M30" s="5"/>
      <c r="N30" s="7">
        <f t="shared" si="1"/>
        <v>0.34</v>
      </c>
      <c r="O30" s="9"/>
      <c r="P30" s="5">
        <f>'Rate SP GSFL'!P57</f>
        <v>4058</v>
      </c>
      <c r="Q30" s="5"/>
      <c r="R30" s="5">
        <f>'Rate SP GSFL'!R57</f>
        <v>751741</v>
      </c>
    </row>
    <row r="31" spans="1:18" x14ac:dyDescent="0.25">
      <c r="A31" s="426">
        <v>9</v>
      </c>
      <c r="B31" s="378"/>
      <c r="C31" s="46" t="s">
        <v>98</v>
      </c>
      <c r="D31" s="52" t="s">
        <v>188</v>
      </c>
      <c r="E31" s="46"/>
      <c r="F31" s="5">
        <f>'Rate DP'!F46</f>
        <v>120</v>
      </c>
      <c r="G31" s="2"/>
      <c r="H31" s="5">
        <f>'Rate DP'!H46</f>
        <v>19651099</v>
      </c>
      <c r="I31" s="5"/>
      <c r="J31" s="241">
        <f t="shared" si="0"/>
        <v>9.9183559999999993</v>
      </c>
      <c r="K31" s="9"/>
      <c r="L31" s="5">
        <f>'Rate DP'!L46</f>
        <v>1949066</v>
      </c>
      <c r="M31" s="5"/>
      <c r="N31" s="7">
        <f>ROUND((L31/L$32)*100,2)</f>
        <v>0.89</v>
      </c>
      <c r="O31" s="9"/>
      <c r="P31" s="5">
        <f>'Rate DP'!P46</f>
        <v>13382</v>
      </c>
      <c r="Q31" s="5"/>
      <c r="R31" s="5">
        <f>'Rate DP'!R46</f>
        <v>1962448</v>
      </c>
    </row>
    <row r="32" spans="1:18" ht="20.100000000000001" customHeight="1" x14ac:dyDescent="0.25">
      <c r="A32" s="137">
        <v>10</v>
      </c>
      <c r="B32" s="378"/>
      <c r="C32" s="444" t="s">
        <v>173</v>
      </c>
      <c r="D32" s="378"/>
      <c r="E32" s="378"/>
      <c r="F32" s="90">
        <f>SUM(F25:F31)</f>
        <v>160315</v>
      </c>
      <c r="G32" s="2"/>
      <c r="H32" s="90">
        <f>SUM(H25:H31)</f>
        <v>2277886730</v>
      </c>
      <c r="I32" s="5"/>
      <c r="J32" s="241">
        <f t="shared" si="0"/>
        <v>9.5672750000000004</v>
      </c>
      <c r="K32" s="9"/>
      <c r="L32" s="90">
        <f>SUM(L25:L31)</f>
        <v>217931699</v>
      </c>
      <c r="M32" s="5"/>
      <c r="N32" s="139">
        <f>ROUND((L32/L$66)*100,2)</f>
        <v>51.92</v>
      </c>
      <c r="O32" s="9"/>
      <c r="P32" s="90">
        <f>SUM(P25:P31)</f>
        <v>1551241</v>
      </c>
      <c r="Q32" s="5"/>
      <c r="R32" s="90">
        <f>SUM(R25:R31)</f>
        <v>219482940</v>
      </c>
    </row>
    <row r="33" spans="1:18" ht="16.5" customHeight="1" x14ac:dyDescent="0.25">
      <c r="A33" s="425"/>
      <c r="B33" s="378"/>
      <c r="C33" s="378"/>
      <c r="D33" s="378"/>
      <c r="E33" s="378"/>
      <c r="F33" s="5"/>
      <c r="G33" s="2"/>
      <c r="H33" s="5"/>
      <c r="I33" s="5"/>
      <c r="J33" s="241"/>
      <c r="K33" s="9"/>
      <c r="L33" s="5"/>
      <c r="M33" s="5"/>
      <c r="N33" s="7"/>
      <c r="O33" s="9"/>
      <c r="P33" s="5"/>
      <c r="Q33" s="5"/>
      <c r="R33" s="5"/>
    </row>
    <row r="34" spans="1:18" ht="15.75" customHeight="1" x14ac:dyDescent="0.25">
      <c r="A34" s="425"/>
      <c r="B34" s="378"/>
      <c r="C34" s="589" t="s">
        <v>266</v>
      </c>
      <c r="D34" s="589"/>
      <c r="E34" s="378"/>
      <c r="F34" s="5"/>
      <c r="G34" s="2"/>
      <c r="H34" s="5"/>
      <c r="I34" s="5"/>
      <c r="J34" s="241"/>
      <c r="K34" s="9"/>
      <c r="L34" s="5"/>
      <c r="M34" s="5"/>
      <c r="N34" s="7"/>
      <c r="O34" s="9"/>
      <c r="P34" s="5"/>
      <c r="Q34" s="5"/>
      <c r="R34" s="5"/>
    </row>
    <row r="35" spans="1:18" x14ac:dyDescent="0.25">
      <c r="A35" s="426">
        <v>11</v>
      </c>
      <c r="B35" s="378"/>
      <c r="C35" s="46" t="s">
        <v>62</v>
      </c>
      <c r="D35" s="46" t="s">
        <v>63</v>
      </c>
      <c r="E35" s="46"/>
      <c r="F35" s="81">
        <f>'Rate TT'!F56</f>
        <v>155</v>
      </c>
      <c r="G35" s="2"/>
      <c r="H35" s="81">
        <f>'Rate TT'!H56</f>
        <v>224056170</v>
      </c>
      <c r="I35" s="5"/>
      <c r="J35" s="241">
        <f t="shared" ref="J35:J36" si="2">IF(H35=0,"-",ROUND((L35/H35)*100,6))</f>
        <v>6.9666350000000001</v>
      </c>
      <c r="K35" s="9"/>
      <c r="L35" s="81">
        <f>'Rate TT'!L56</f>
        <v>15609175</v>
      </c>
      <c r="M35" s="5"/>
      <c r="N35" s="123">
        <f>ROUND((L35/L$36)*100,2)</f>
        <v>100</v>
      </c>
      <c r="O35" s="9"/>
      <c r="P35" s="81">
        <f>'Rate TT'!P56</f>
        <v>152582</v>
      </c>
      <c r="Q35" s="5"/>
      <c r="R35" s="81">
        <f>'Rate TT'!R56</f>
        <v>15761757</v>
      </c>
    </row>
    <row r="36" spans="1:18" ht="20.100000000000001" customHeight="1" x14ac:dyDescent="0.25">
      <c r="A36" s="426">
        <v>12</v>
      </c>
      <c r="B36" s="378"/>
      <c r="C36" s="444" t="s">
        <v>174</v>
      </c>
      <c r="D36" s="218"/>
      <c r="E36" s="378"/>
      <c r="F36" s="90">
        <f>F35</f>
        <v>155</v>
      </c>
      <c r="G36" s="2"/>
      <c r="H36" s="90">
        <f>H35</f>
        <v>224056170</v>
      </c>
      <c r="I36" s="5"/>
      <c r="J36" s="241">
        <f t="shared" si="2"/>
        <v>6.9666350000000001</v>
      </c>
      <c r="K36" s="9"/>
      <c r="L36" s="90">
        <f>L35</f>
        <v>15609175</v>
      </c>
      <c r="M36" s="5"/>
      <c r="N36" s="139">
        <f>ROUND((L36/L$66)*100,2)</f>
        <v>3.72</v>
      </c>
      <c r="O36" s="9"/>
      <c r="P36" s="90">
        <f>P35</f>
        <v>152582</v>
      </c>
      <c r="Q36" s="5"/>
      <c r="R36" s="90">
        <f>R35</f>
        <v>15761757</v>
      </c>
    </row>
    <row r="37" spans="1:18" ht="12" customHeight="1" x14ac:dyDescent="0.25">
      <c r="A37" s="425"/>
      <c r="B37" s="378"/>
      <c r="C37" s="378"/>
      <c r="D37" s="378"/>
      <c r="E37" s="378"/>
      <c r="F37" s="5"/>
      <c r="G37" s="2"/>
      <c r="H37" s="5"/>
      <c r="I37" s="5"/>
      <c r="J37" s="241"/>
      <c r="K37" s="9"/>
      <c r="L37" s="5"/>
      <c r="M37" s="5"/>
      <c r="N37" s="7"/>
      <c r="O37" s="9"/>
      <c r="P37" s="5"/>
      <c r="Q37" s="5"/>
      <c r="R37" s="5"/>
    </row>
    <row r="38" spans="1:18" ht="15.75" customHeight="1" x14ac:dyDescent="0.25">
      <c r="A38" s="425"/>
      <c r="B38" s="378"/>
      <c r="C38" s="589" t="s">
        <v>269</v>
      </c>
      <c r="D38" s="589"/>
      <c r="E38" s="378"/>
      <c r="F38" s="5"/>
      <c r="G38" s="2"/>
      <c r="H38" s="5"/>
      <c r="I38" s="5"/>
      <c r="J38" s="241"/>
      <c r="K38" s="9"/>
      <c r="L38" s="5"/>
      <c r="M38" s="5"/>
      <c r="N38" s="7"/>
      <c r="O38" s="9"/>
      <c r="P38" s="5"/>
      <c r="Q38" s="5"/>
      <c r="R38" s="5"/>
    </row>
    <row r="39" spans="1:18" x14ac:dyDescent="0.25">
      <c r="A39" s="425">
        <v>13</v>
      </c>
      <c r="B39" s="378"/>
      <c r="C39" s="378" t="s">
        <v>429</v>
      </c>
      <c r="D39" s="378" t="s">
        <v>269</v>
      </c>
      <c r="E39" s="378"/>
      <c r="F39" s="5">
        <f>'Rate DT RTP-P'!F38</f>
        <v>0</v>
      </c>
      <c r="G39" s="2"/>
      <c r="H39" s="5">
        <f>'Rate DT RTP-P'!H38</f>
        <v>0</v>
      </c>
      <c r="I39" s="5"/>
      <c r="J39" s="241" t="str">
        <f t="shared" ref="J39:J43" si="3">IF(H39=0,"-",ROUND((L39/H39)*100,6))</f>
        <v>-</v>
      </c>
      <c r="K39" s="9"/>
      <c r="L39" s="5">
        <f>'Rate DT RTP-P'!L38</f>
        <v>0</v>
      </c>
      <c r="M39" s="5"/>
      <c r="N39" s="125">
        <f>IFERROR(ROUND((L39/L$43)*100,2),0)</f>
        <v>0</v>
      </c>
      <c r="O39" s="9"/>
      <c r="P39" s="5">
        <f>'Rate DT RTP-P'!P38</f>
        <v>0</v>
      </c>
      <c r="Q39" s="5"/>
      <c r="R39" s="5">
        <f>'Rate DT RTP-P'!R38</f>
        <v>0</v>
      </c>
    </row>
    <row r="40" spans="1:18" x14ac:dyDescent="0.25">
      <c r="A40" s="425">
        <v>14</v>
      </c>
      <c r="B40" s="378"/>
      <c r="C40" s="378" t="s">
        <v>430</v>
      </c>
      <c r="D40" s="378" t="s">
        <v>269</v>
      </c>
      <c r="E40" s="378"/>
      <c r="F40" s="5">
        <f>'Rate DT RTP-S'!F39</f>
        <v>24</v>
      </c>
      <c r="G40" s="2"/>
      <c r="H40" s="5">
        <f>'Rate DT RTP-S'!H39</f>
        <v>1569705</v>
      </c>
      <c r="I40" s="5"/>
      <c r="J40" s="241">
        <f t="shared" si="3"/>
        <v>5.6086970000000003</v>
      </c>
      <c r="K40" s="9"/>
      <c r="L40" s="5">
        <f>'Rate DT RTP-S'!L39</f>
        <v>88040</v>
      </c>
      <c r="M40" s="5"/>
      <c r="N40" s="125">
        <f t="shared" ref="N40:N42" si="4">IFERROR(ROUND((L40/L$43)*100,2),0)</f>
        <v>12.51</v>
      </c>
      <c r="O40" s="9"/>
      <c r="P40" s="5">
        <f>'Rate DT RTP-S'!P39</f>
        <v>0</v>
      </c>
      <c r="Q40" s="5"/>
      <c r="R40" s="5">
        <f>'Rate DT RTP-S'!R39</f>
        <v>88040</v>
      </c>
    </row>
    <row r="41" spans="1:18" x14ac:dyDescent="0.25">
      <c r="A41" s="425">
        <v>15</v>
      </c>
      <c r="B41" s="378"/>
      <c r="C41" s="378" t="s">
        <v>298</v>
      </c>
      <c r="D41" s="378" t="s">
        <v>269</v>
      </c>
      <c r="E41" s="378"/>
      <c r="F41" s="5">
        <f>'Rate DS RTP'!F39</f>
        <v>36</v>
      </c>
      <c r="G41" s="2"/>
      <c r="H41" s="5">
        <f>'Rate DS RTP'!H39</f>
        <v>801933</v>
      </c>
      <c r="I41" s="5"/>
      <c r="J41" s="241">
        <f t="shared" si="3"/>
        <v>7.0518359999999998</v>
      </c>
      <c r="K41" s="9"/>
      <c r="L41" s="5">
        <f>'Rate DS RTP'!L39</f>
        <v>56551</v>
      </c>
      <c r="M41" s="5"/>
      <c r="N41" s="125">
        <f t="shared" si="4"/>
        <v>8.0299999999999994</v>
      </c>
      <c r="O41" s="9"/>
      <c r="P41" s="5">
        <f>'Rate DS RTP'!P39</f>
        <v>0</v>
      </c>
      <c r="Q41" s="5"/>
      <c r="R41" s="5">
        <f>'Rate DS RTP'!R39</f>
        <v>56551</v>
      </c>
    </row>
    <row r="42" spans="1:18" x14ac:dyDescent="0.25">
      <c r="A42" s="425">
        <v>16</v>
      </c>
      <c r="B42" s="378"/>
      <c r="C42" s="378" t="s">
        <v>299</v>
      </c>
      <c r="D42" s="378" t="s">
        <v>269</v>
      </c>
      <c r="E42" s="378"/>
      <c r="F42" s="81">
        <f>'Rate TT RTP'!F39</f>
        <v>24</v>
      </c>
      <c r="G42" s="2"/>
      <c r="H42" s="81">
        <f>'Rate TT RTP'!H39</f>
        <v>14214991</v>
      </c>
      <c r="I42" s="5"/>
      <c r="J42" s="241">
        <f t="shared" si="3"/>
        <v>3.9353099999999999</v>
      </c>
      <c r="K42" s="9"/>
      <c r="L42" s="81">
        <f>'Rate TT RTP'!L39</f>
        <v>559404</v>
      </c>
      <c r="M42" s="5"/>
      <c r="N42" s="123">
        <f t="shared" si="4"/>
        <v>79.459999999999994</v>
      </c>
      <c r="O42" s="9"/>
      <c r="P42" s="81">
        <f>'Rate TT RTP'!P39</f>
        <v>0</v>
      </c>
      <c r="Q42" s="5"/>
      <c r="R42" s="81">
        <f>'Rate TT RTP'!R39</f>
        <v>559404</v>
      </c>
    </row>
    <row r="43" spans="1:18" ht="20.100000000000001" customHeight="1" x14ac:dyDescent="0.25">
      <c r="A43" s="425">
        <v>17</v>
      </c>
      <c r="B43" s="378"/>
      <c r="C43" s="444" t="s">
        <v>300</v>
      </c>
      <c r="D43" s="378"/>
      <c r="E43" s="378"/>
      <c r="F43" s="90">
        <f>SUM(F39:F42)</f>
        <v>84</v>
      </c>
      <c r="G43" s="2"/>
      <c r="H43" s="90">
        <f>SUM(H39:H42)</f>
        <v>16586629</v>
      </c>
      <c r="I43" s="5"/>
      <c r="J43" s="241">
        <f t="shared" si="3"/>
        <v>4.2443520000000001</v>
      </c>
      <c r="K43" s="9"/>
      <c r="L43" s="90">
        <f>SUM(L39:L42)</f>
        <v>703995</v>
      </c>
      <c r="M43" s="5"/>
      <c r="N43" s="139">
        <f>ROUND((L43/L$66)*100,2)</f>
        <v>0.17</v>
      </c>
      <c r="O43" s="9"/>
      <c r="P43" s="90">
        <f>SUM(P39:P42)</f>
        <v>0</v>
      </c>
      <c r="Q43" s="5"/>
      <c r="R43" s="90">
        <f>SUM(R39:R42)</f>
        <v>703995</v>
      </c>
    </row>
    <row r="44" spans="1:18" ht="10.5" customHeight="1" x14ac:dyDescent="0.25">
      <c r="A44" s="425"/>
      <c r="B44" s="378"/>
      <c r="C44" s="52"/>
      <c r="D44" s="378"/>
      <c r="E44" s="378"/>
      <c r="F44" s="5"/>
      <c r="G44" s="2"/>
      <c r="H44" s="5"/>
      <c r="I44" s="5"/>
      <c r="J44" s="241"/>
      <c r="K44" s="9"/>
      <c r="L44" s="5"/>
      <c r="M44" s="5"/>
      <c r="N44" s="7"/>
      <c r="O44" s="9"/>
      <c r="P44" s="5"/>
      <c r="Q44" s="5"/>
      <c r="R44" s="5"/>
    </row>
    <row r="45" spans="1:18" ht="15.75" customHeight="1" x14ac:dyDescent="0.25">
      <c r="A45" s="425"/>
      <c r="B45" s="378"/>
      <c r="C45" s="591" t="s">
        <v>484</v>
      </c>
      <c r="D45" s="591"/>
      <c r="E45" s="378"/>
      <c r="F45" s="5"/>
      <c r="G45" s="2"/>
      <c r="H45" s="5"/>
      <c r="I45" s="5"/>
      <c r="J45" s="241"/>
      <c r="K45" s="9"/>
      <c r="L45" s="5"/>
      <c r="M45" s="5"/>
      <c r="N45" s="7"/>
      <c r="O45" s="9"/>
      <c r="P45" s="5"/>
      <c r="Q45" s="5"/>
      <c r="R45" s="5"/>
    </row>
    <row r="46" spans="1:18" x14ac:dyDescent="0.25">
      <c r="A46" s="426">
        <v>18</v>
      </c>
      <c r="B46" s="378"/>
      <c r="C46" s="46" t="s">
        <v>79</v>
      </c>
      <c r="D46" s="52" t="s">
        <v>80</v>
      </c>
      <c r="E46" s="46"/>
      <c r="F46" s="5">
        <f>'Rate SL'!F209</f>
        <v>135466</v>
      </c>
      <c r="G46" s="2"/>
      <c r="H46" s="5">
        <f>'Rate SL'!H209</f>
        <v>10548224</v>
      </c>
      <c r="I46" s="5"/>
      <c r="J46" s="241">
        <f t="shared" ref="J46:J53" si="5">IF(H46=0,"-",ROUND((L46/H46)*100,6))</f>
        <v>16.098634000000001</v>
      </c>
      <c r="K46" s="9"/>
      <c r="L46" s="5">
        <f>'Rate SL'!L209</f>
        <v>1698120</v>
      </c>
      <c r="M46" s="5"/>
      <c r="N46" s="7">
        <f>ROUND((L46/L$53)*100,2)</f>
        <v>73.05</v>
      </c>
      <c r="O46" s="9"/>
      <c r="P46" s="5">
        <f>'Rate SL'!P209</f>
        <v>7183</v>
      </c>
      <c r="Q46" s="5"/>
      <c r="R46" s="5">
        <f>'Rate SL'!R209</f>
        <v>1705305</v>
      </c>
    </row>
    <row r="47" spans="1:18" x14ac:dyDescent="0.25">
      <c r="A47" s="426">
        <v>19</v>
      </c>
      <c r="B47" s="378"/>
      <c r="C47" s="46" t="s">
        <v>83</v>
      </c>
      <c r="D47" s="52" t="s">
        <v>84</v>
      </c>
      <c r="E47" s="46"/>
      <c r="F47" s="5">
        <f>'Rate TL'!F47</f>
        <v>95903</v>
      </c>
      <c r="G47" s="2"/>
      <c r="H47" s="5">
        <f>'Rate TL'!H47</f>
        <v>1445796</v>
      </c>
      <c r="I47" s="5"/>
      <c r="J47" s="241">
        <f t="shared" si="5"/>
        <v>6.111097</v>
      </c>
      <c r="K47" s="9"/>
      <c r="L47" s="5">
        <f>'Rate TL'!L47</f>
        <v>88354</v>
      </c>
      <c r="M47" s="5"/>
      <c r="N47" s="7">
        <f t="shared" ref="N47:N52" si="6">ROUND((L47/L$53)*100,2)</f>
        <v>3.8</v>
      </c>
      <c r="O47" s="9"/>
      <c r="P47" s="5">
        <f>'Rate TL'!P47</f>
        <v>985</v>
      </c>
      <c r="Q47" s="5"/>
      <c r="R47" s="5">
        <f>'Rate TL'!R47</f>
        <v>89339</v>
      </c>
    </row>
    <row r="48" spans="1:18" x14ac:dyDescent="0.25">
      <c r="A48" s="426">
        <v>20</v>
      </c>
      <c r="B48" s="378"/>
      <c r="C48" s="46" t="s">
        <v>261</v>
      </c>
      <c r="D48" s="46" t="s">
        <v>258</v>
      </c>
      <c r="E48" s="46"/>
      <c r="F48" s="5">
        <f>'Rate UOLS'!F28</f>
        <v>89792</v>
      </c>
      <c r="G48" s="2"/>
      <c r="H48" s="5">
        <f>'Rate UOLS'!H28</f>
        <v>4292584</v>
      </c>
      <c r="I48" s="5"/>
      <c r="J48" s="241">
        <f t="shared" si="5"/>
        <v>4.5590950000000001</v>
      </c>
      <c r="K48" s="9"/>
      <c r="L48" s="5">
        <f>'Rate UOLS'!L28</f>
        <v>195703</v>
      </c>
      <c r="M48" s="5"/>
      <c r="N48" s="7">
        <f t="shared" si="6"/>
        <v>8.42</v>
      </c>
      <c r="O48" s="9"/>
      <c r="P48" s="5">
        <f>'Rate UOLS'!P28</f>
        <v>2923</v>
      </c>
      <c r="Q48" s="5"/>
      <c r="R48" s="5">
        <f>'Rate UOLS'!R28</f>
        <v>198626</v>
      </c>
    </row>
    <row r="49" spans="1:24" x14ac:dyDescent="0.25">
      <c r="A49" s="426">
        <v>21</v>
      </c>
      <c r="B49" s="378"/>
      <c r="C49" s="52" t="s">
        <v>92</v>
      </c>
      <c r="D49" s="52" t="s">
        <v>259</v>
      </c>
      <c r="E49" s="46"/>
      <c r="F49" s="5">
        <f>'Rate NSU'!F45</f>
        <v>9196</v>
      </c>
      <c r="G49" s="2"/>
      <c r="H49" s="5">
        <f>'Rate NSU'!H45</f>
        <v>449416</v>
      </c>
      <c r="I49" s="5"/>
      <c r="J49" s="241">
        <f t="shared" si="5"/>
        <v>19.597656000000001</v>
      </c>
      <c r="K49" s="9"/>
      <c r="L49" s="5">
        <f>'Rate NSU'!L45</f>
        <v>88075</v>
      </c>
      <c r="M49" s="5"/>
      <c r="N49" s="7">
        <f t="shared" si="6"/>
        <v>3.79</v>
      </c>
      <c r="O49" s="9"/>
      <c r="P49" s="5">
        <f>'Rate NSU'!P45</f>
        <v>306</v>
      </c>
      <c r="Q49" s="5"/>
      <c r="R49" s="5">
        <f>'Rate NSU'!R45</f>
        <v>88381</v>
      </c>
    </row>
    <row r="50" spans="1:24" x14ac:dyDescent="0.25">
      <c r="A50" s="426">
        <v>22</v>
      </c>
      <c r="B50" s="378"/>
      <c r="C50" s="46" t="s">
        <v>75</v>
      </c>
      <c r="D50" s="46" t="s">
        <v>497</v>
      </c>
      <c r="E50" s="46"/>
      <c r="F50" s="5">
        <f>'Rate SC'!F72</f>
        <v>2065</v>
      </c>
      <c r="G50" s="5"/>
      <c r="H50" s="5">
        <f>'Rate SC'!H72</f>
        <v>97596</v>
      </c>
      <c r="I50" s="5"/>
      <c r="J50" s="241">
        <f t="shared" si="5"/>
        <v>4.5585880000000003</v>
      </c>
      <c r="K50" s="9"/>
      <c r="L50" s="5">
        <f>'Rate SC'!L72</f>
        <v>4449</v>
      </c>
      <c r="M50" s="5"/>
      <c r="N50" s="7">
        <f t="shared" si="6"/>
        <v>0.19</v>
      </c>
      <c r="O50" s="9"/>
      <c r="P50" s="5">
        <f>'Rate SC'!P72</f>
        <v>66</v>
      </c>
      <c r="Q50" s="5"/>
      <c r="R50" s="5">
        <f>'Rate SC'!R72</f>
        <v>4515</v>
      </c>
    </row>
    <row r="51" spans="1:24" x14ac:dyDescent="0.25">
      <c r="A51" s="426">
        <v>23</v>
      </c>
      <c r="B51" s="378"/>
      <c r="C51" s="46" t="s">
        <v>72</v>
      </c>
      <c r="D51" s="46" t="s">
        <v>498</v>
      </c>
      <c r="E51" s="46"/>
      <c r="F51" s="83">
        <f>'Rate SE'!F52</f>
        <v>25036</v>
      </c>
      <c r="G51" s="83"/>
      <c r="H51" s="83">
        <f>'Rate SE'!H52</f>
        <v>1493016</v>
      </c>
      <c r="I51" s="83"/>
      <c r="J51" s="421">
        <f t="shared" si="5"/>
        <v>16.746371</v>
      </c>
      <c r="K51" s="85"/>
      <c r="L51" s="83">
        <f>'Rate SE'!L52</f>
        <v>250026</v>
      </c>
      <c r="M51" s="83"/>
      <c r="N51" s="125">
        <f t="shared" si="6"/>
        <v>10.76</v>
      </c>
      <c r="O51" s="85"/>
      <c r="P51" s="83">
        <f>'Rate SE'!P52</f>
        <v>1018</v>
      </c>
      <c r="Q51" s="83"/>
      <c r="R51" s="83">
        <f>'Rate SE'!R52</f>
        <v>251045</v>
      </c>
    </row>
    <row r="52" spans="1:24" x14ac:dyDescent="0.25">
      <c r="A52" s="426">
        <v>24</v>
      </c>
      <c r="B52" s="378"/>
      <c r="C52" s="46" t="s">
        <v>673</v>
      </c>
      <c r="D52" s="46" t="s">
        <v>698</v>
      </c>
      <c r="E52" s="46"/>
      <c r="F52" s="81">
        <f>'Rate LED'!F141</f>
        <v>0</v>
      </c>
      <c r="G52" s="5"/>
      <c r="H52" s="81">
        <f>'Rate LED'!H141</f>
        <v>0</v>
      </c>
      <c r="I52" s="5"/>
      <c r="J52" s="241"/>
      <c r="K52" s="9"/>
      <c r="L52" s="81">
        <f>'Rate LED'!L141</f>
        <v>0</v>
      </c>
      <c r="M52" s="5"/>
      <c r="N52" s="125">
        <f t="shared" si="6"/>
        <v>0</v>
      </c>
      <c r="O52" s="9"/>
      <c r="P52" s="81">
        <f>'Rate LED'!P141</f>
        <v>0</v>
      </c>
      <c r="Q52" s="5"/>
      <c r="R52" s="81">
        <f>'Rate LED'!R141</f>
        <v>0</v>
      </c>
    </row>
    <row r="53" spans="1:24" ht="20.100000000000001" customHeight="1" x14ac:dyDescent="0.25">
      <c r="A53" s="426">
        <v>25</v>
      </c>
      <c r="B53" s="378"/>
      <c r="C53" s="444" t="s">
        <v>175</v>
      </c>
      <c r="D53" s="218"/>
      <c r="E53" s="378"/>
      <c r="F53" s="90">
        <f>SUM(F46:F52)</f>
        <v>357458</v>
      </c>
      <c r="G53" s="2"/>
      <c r="H53" s="90">
        <f>SUM(H46:H52)</f>
        <v>18326632</v>
      </c>
      <c r="I53" s="5"/>
      <c r="J53" s="241">
        <f t="shared" si="5"/>
        <v>12.684965999999999</v>
      </c>
      <c r="K53" s="9"/>
      <c r="L53" s="90">
        <f>SUM(L46:L52)</f>
        <v>2324727</v>
      </c>
      <c r="M53" s="5"/>
      <c r="N53" s="139">
        <f>ROUND((L53/L$66)*100,2)</f>
        <v>0.55000000000000004</v>
      </c>
      <c r="O53" s="9"/>
      <c r="P53" s="90">
        <f>SUM(P46:P52)</f>
        <v>12481</v>
      </c>
      <c r="Q53" s="5"/>
      <c r="R53" s="90">
        <f>SUM(R46:R52)</f>
        <v>2337211</v>
      </c>
    </row>
    <row r="54" spans="1:24" ht="16.5" customHeight="1" x14ac:dyDescent="0.25">
      <c r="A54" s="425"/>
      <c r="B54" s="378"/>
      <c r="C54" s="378"/>
      <c r="D54" s="378"/>
      <c r="E54" s="378"/>
      <c r="F54" s="2"/>
      <c r="G54" s="2"/>
      <c r="H54" s="2"/>
      <c r="I54" s="2"/>
      <c r="J54" s="242"/>
      <c r="K54" s="2"/>
      <c r="L54" s="2"/>
      <c r="M54" s="2"/>
      <c r="N54" s="112"/>
      <c r="O54" s="2"/>
      <c r="P54" s="2"/>
      <c r="Q54" s="2"/>
      <c r="R54" s="2"/>
    </row>
    <row r="55" spans="1:24" ht="15.75" customHeight="1" x14ac:dyDescent="0.25">
      <c r="A55" s="425"/>
      <c r="B55" s="378"/>
      <c r="C55" s="589" t="s">
        <v>485</v>
      </c>
      <c r="D55" s="589"/>
      <c r="E55" s="378"/>
      <c r="F55" s="2"/>
      <c r="G55" s="2"/>
      <c r="H55" s="2"/>
      <c r="I55" s="2"/>
      <c r="J55" s="242"/>
      <c r="K55" s="2"/>
      <c r="L55" s="2"/>
      <c r="M55" s="2"/>
      <c r="N55" s="112"/>
      <c r="O55" s="2"/>
      <c r="P55" s="2"/>
      <c r="Q55" s="2"/>
      <c r="R55" s="2"/>
    </row>
    <row r="56" spans="1:24" x14ac:dyDescent="0.25">
      <c r="A56" s="197">
        <v>26</v>
      </c>
      <c r="B56" s="194"/>
      <c r="C56" s="194" t="s">
        <v>413</v>
      </c>
      <c r="D56" s="194" t="s">
        <v>382</v>
      </c>
      <c r="E56" s="46"/>
      <c r="F56" s="382">
        <f>'SCH M-2.2'!F56</f>
        <v>12</v>
      </c>
      <c r="G56" s="116"/>
      <c r="H56" s="382">
        <f>'SCH M-2.2'!H56</f>
        <v>882413</v>
      </c>
      <c r="I56" s="84"/>
      <c r="J56" s="241">
        <f t="shared" ref="J56:J66" si="7">IF(H56=0,"-",ROUND((L56/H56)*100,2))</f>
        <v>8.65</v>
      </c>
      <c r="K56" s="84"/>
      <c r="L56" s="382">
        <v>76356.103216155578</v>
      </c>
      <c r="M56" s="83"/>
      <c r="N56" s="7">
        <f t="shared" ref="N56:N62" si="8">ROUND((L56/L$64)*100,2)</f>
        <v>0.42</v>
      </c>
      <c r="O56" s="85"/>
      <c r="P56" s="382">
        <f>'SCH M-2.2'!T56</f>
        <v>601</v>
      </c>
      <c r="Q56" s="97"/>
      <c r="R56" s="83">
        <f>L56+P56</f>
        <v>76957.103216155578</v>
      </c>
    </row>
    <row r="57" spans="1:24" x14ac:dyDescent="0.25">
      <c r="A57" s="197">
        <v>27</v>
      </c>
      <c r="B57" s="194"/>
      <c r="C57" s="196"/>
      <c r="D57" s="196" t="s">
        <v>623</v>
      </c>
      <c r="E57" s="46"/>
      <c r="F57" s="382">
        <f>'SCH M-2.2'!F57</f>
        <v>0</v>
      </c>
      <c r="G57" s="116"/>
      <c r="H57" s="382">
        <f>'SCH M-2.2'!H57</f>
        <v>0</v>
      </c>
      <c r="I57" s="94"/>
      <c r="J57" s="241" t="str">
        <f t="shared" si="7"/>
        <v>-</v>
      </c>
      <c r="K57" s="85"/>
      <c r="L57" s="382">
        <f>'SCH M-2.2'!L57</f>
        <v>3468212</v>
      </c>
      <c r="M57" s="83"/>
      <c r="N57" s="7">
        <f t="shared" si="8"/>
        <v>18.899999999999999</v>
      </c>
      <c r="O57" s="85"/>
      <c r="P57" s="382">
        <f>'SCH M-2.2'!T57</f>
        <v>0</v>
      </c>
      <c r="Q57" s="94"/>
      <c r="R57" s="83">
        <f t="shared" ref="R57:R63" si="9">L57+P57</f>
        <v>3468212</v>
      </c>
    </row>
    <row r="58" spans="1:24" ht="18" customHeight="1" x14ac:dyDescent="0.25">
      <c r="A58" s="197">
        <v>28</v>
      </c>
      <c r="B58" s="194"/>
      <c r="C58" s="194"/>
      <c r="D58" s="195" t="s">
        <v>260</v>
      </c>
      <c r="E58" s="378"/>
      <c r="F58" s="382">
        <f>'SCH M-2.2'!F58</f>
        <v>0</v>
      </c>
      <c r="G58" s="116"/>
      <c r="H58" s="382">
        <f>'SCH M-2.2'!H58</f>
        <v>0</v>
      </c>
      <c r="I58" s="5"/>
      <c r="J58" s="241" t="str">
        <f t="shared" si="7"/>
        <v>-</v>
      </c>
      <c r="K58" s="9"/>
      <c r="L58" s="382">
        <f>'SCH M-2.2'!L58</f>
        <v>34903</v>
      </c>
      <c r="M58" s="5"/>
      <c r="N58" s="7">
        <f t="shared" si="8"/>
        <v>0.19</v>
      </c>
      <c r="O58" s="9"/>
      <c r="P58" s="382">
        <f>'SCH M-2.2'!T58</f>
        <v>0</v>
      </c>
      <c r="Q58" s="5"/>
      <c r="R58" s="83">
        <f t="shared" si="9"/>
        <v>34903</v>
      </c>
    </row>
    <row r="59" spans="1:24" ht="18" customHeight="1" x14ac:dyDescent="0.25">
      <c r="A59" s="197">
        <v>29</v>
      </c>
      <c r="B59" s="194"/>
      <c r="C59" s="194"/>
      <c r="D59" s="196" t="s">
        <v>263</v>
      </c>
      <c r="E59" s="378"/>
      <c r="F59" s="382">
        <f>'SCH M-2.2'!F59</f>
        <v>0</v>
      </c>
      <c r="G59" s="116"/>
      <c r="H59" s="382">
        <f>'SCH M-2.2'!H59</f>
        <v>0</v>
      </c>
      <c r="I59" s="5"/>
      <c r="J59" s="241" t="str">
        <f t="shared" si="7"/>
        <v>-</v>
      </c>
      <c r="K59" s="9"/>
      <c r="L59" s="382">
        <v>52646</v>
      </c>
      <c r="M59" s="5"/>
      <c r="N59" s="7">
        <f t="shared" si="8"/>
        <v>0.28999999999999998</v>
      </c>
      <c r="O59" s="9"/>
      <c r="P59" s="382">
        <f>'SCH M-2.2'!T59</f>
        <v>0</v>
      </c>
      <c r="Q59" s="5"/>
      <c r="R59" s="83">
        <f t="shared" si="9"/>
        <v>52646</v>
      </c>
    </row>
    <row r="60" spans="1:24" ht="18" customHeight="1" x14ac:dyDescent="0.25">
      <c r="A60" s="197">
        <v>30</v>
      </c>
      <c r="B60" s="194"/>
      <c r="C60" s="194"/>
      <c r="D60" s="196" t="s">
        <v>570</v>
      </c>
      <c r="E60" s="378"/>
      <c r="F60" s="382">
        <f>'SCH M-2.2'!F60</f>
        <v>0</v>
      </c>
      <c r="G60" s="116"/>
      <c r="H60" s="382">
        <f>'SCH M-2.2'!H60</f>
        <v>0</v>
      </c>
      <c r="I60" s="5"/>
      <c r="J60" s="241" t="str">
        <f t="shared" ref="J60" si="10">IF(H60=0,"-",ROUND((L60/H60)*100,2))</f>
        <v>-</v>
      </c>
      <c r="K60" s="9"/>
      <c r="L60" s="382">
        <v>703039</v>
      </c>
      <c r="M60" s="5"/>
      <c r="N60" s="7">
        <f t="shared" ref="N60" si="11">ROUND((L60/L$64)*100,2)</f>
        <v>3.83</v>
      </c>
      <c r="O60" s="9"/>
      <c r="P60" s="382">
        <f>'SCH M-2.2'!T60</f>
        <v>0</v>
      </c>
      <c r="Q60" s="5"/>
      <c r="R60" s="83">
        <f t="shared" ref="R60" si="12">L60+P60</f>
        <v>703039</v>
      </c>
      <c r="S60" s="103"/>
      <c r="T60" s="83"/>
      <c r="U60" s="83"/>
      <c r="V60" s="83"/>
      <c r="W60" s="83"/>
      <c r="X60" s="383"/>
    </row>
    <row r="61" spans="1:24" ht="18" customHeight="1" x14ac:dyDescent="0.25">
      <c r="A61" s="197">
        <v>31</v>
      </c>
      <c r="B61" s="194"/>
      <c r="C61" s="194"/>
      <c r="D61" s="196" t="s">
        <v>262</v>
      </c>
      <c r="E61" s="378"/>
      <c r="F61" s="382">
        <f>'SCH M-2.2'!F61</f>
        <v>0</v>
      </c>
      <c r="G61" s="116"/>
      <c r="H61" s="382">
        <f>'SCH M-2.2'!H61</f>
        <v>0</v>
      </c>
      <c r="I61" s="5"/>
      <c r="J61" s="241" t="str">
        <f t="shared" si="7"/>
        <v>-</v>
      </c>
      <c r="K61" s="9"/>
      <c r="L61" s="382">
        <f>'SCH M-2.2'!L61</f>
        <v>1005121</v>
      </c>
      <c r="M61" s="5"/>
      <c r="N61" s="7">
        <f t="shared" si="8"/>
        <v>5.48</v>
      </c>
      <c r="O61" s="9"/>
      <c r="P61" s="382">
        <f>'SCH M-2.2'!T61</f>
        <v>0</v>
      </c>
      <c r="Q61" s="5"/>
      <c r="R61" s="83">
        <f t="shared" si="9"/>
        <v>1005121</v>
      </c>
    </row>
    <row r="62" spans="1:24" x14ac:dyDescent="0.25">
      <c r="A62" s="197">
        <v>32</v>
      </c>
      <c r="B62" s="194"/>
      <c r="C62" s="194" t="s">
        <v>385</v>
      </c>
      <c r="D62" s="196" t="s">
        <v>383</v>
      </c>
      <c r="E62" s="46"/>
      <c r="F62" s="382">
        <f>'SCH M-2.2'!F62</f>
        <v>132</v>
      </c>
      <c r="G62" s="116"/>
      <c r="H62" s="382">
        <f>'SCH M-2.2'!H62</f>
        <v>349821</v>
      </c>
      <c r="I62" s="5"/>
      <c r="J62" s="241">
        <f t="shared" si="7"/>
        <v>5.32</v>
      </c>
      <c r="K62" s="9"/>
      <c r="L62" s="382">
        <f>R62-P62</f>
        <v>18610.477200000001</v>
      </c>
      <c r="M62" s="86"/>
      <c r="N62" s="7">
        <f t="shared" si="8"/>
        <v>0.1</v>
      </c>
      <c r="O62" s="9"/>
      <c r="P62" s="382">
        <f>'SCH M-2.2'!T62</f>
        <v>238</v>
      </c>
      <c r="Q62" s="5"/>
      <c r="R62" s="83">
        <f>H62*INPUT!D203+P62</f>
        <v>18848.477200000001</v>
      </c>
    </row>
    <row r="63" spans="1:24" x14ac:dyDescent="0.25">
      <c r="A63" s="197">
        <v>33</v>
      </c>
      <c r="B63" s="194"/>
      <c r="C63" s="194"/>
      <c r="D63" s="196" t="s">
        <v>103</v>
      </c>
      <c r="E63" s="46"/>
      <c r="F63" s="382">
        <f>'SCH M-2.2'!F63</f>
        <v>0</v>
      </c>
      <c r="G63" s="116"/>
      <c r="H63" s="382">
        <f>'SCH M-2.2'!H63</f>
        <v>0</v>
      </c>
      <c r="I63" s="5"/>
      <c r="J63" s="241" t="str">
        <f t="shared" si="7"/>
        <v>-</v>
      </c>
      <c r="K63" s="9"/>
      <c r="L63" s="382">
        <f>'SCH M-2.2'!L63</f>
        <v>12987072</v>
      </c>
      <c r="M63" s="86"/>
      <c r="N63" s="7">
        <f>ROUND((L63/L$64)*100,2)</f>
        <v>70.790000000000006</v>
      </c>
      <c r="O63" s="9"/>
      <c r="P63" s="382">
        <f>'SCH M-2.2'!T63</f>
        <v>0</v>
      </c>
      <c r="Q63" s="5"/>
      <c r="R63" s="83">
        <f t="shared" si="9"/>
        <v>12987072</v>
      </c>
    </row>
    <row r="64" spans="1:24" ht="20.100000000000001" customHeight="1" x14ac:dyDescent="0.25">
      <c r="A64" s="197">
        <v>34</v>
      </c>
      <c r="B64" s="378"/>
      <c r="C64" s="222" t="s">
        <v>486</v>
      </c>
      <c r="D64" s="378"/>
      <c r="E64" s="378"/>
      <c r="F64" s="90">
        <f>SUM(F56:F63)</f>
        <v>144</v>
      </c>
      <c r="G64" s="2"/>
      <c r="H64" s="90">
        <f>SUM(H56:H63)</f>
        <v>1232234</v>
      </c>
      <c r="I64" s="5"/>
      <c r="J64" s="241">
        <f t="shared" si="7"/>
        <v>1488.84</v>
      </c>
      <c r="K64" s="9"/>
      <c r="L64" s="90">
        <f>SUM(L56:L63)</f>
        <v>18345959.580416154</v>
      </c>
      <c r="M64" s="5"/>
      <c r="N64" s="139">
        <f>ROUND((L64/L$66)*100,2)</f>
        <v>4.37</v>
      </c>
      <c r="O64" s="9"/>
      <c r="P64" s="90">
        <f>SUM(P56:P63)</f>
        <v>839</v>
      </c>
      <c r="Q64" s="5"/>
      <c r="R64" s="90">
        <f>SUM(R56:R63)</f>
        <v>18346798.580416154</v>
      </c>
    </row>
    <row r="65" spans="1:18" ht="10.5" customHeight="1" x14ac:dyDescent="0.25">
      <c r="A65" s="425"/>
      <c r="B65" s="378"/>
      <c r="C65" s="378"/>
      <c r="D65" s="378"/>
      <c r="E65" s="378"/>
      <c r="F65" s="5"/>
      <c r="G65" s="2"/>
      <c r="H65" s="5"/>
      <c r="I65" s="5"/>
      <c r="J65" s="241"/>
      <c r="K65" s="9"/>
      <c r="L65" s="5"/>
      <c r="M65" s="5"/>
      <c r="N65" s="7"/>
      <c r="O65" s="9"/>
      <c r="P65" s="5"/>
      <c r="Q65" s="5"/>
      <c r="R65" s="5"/>
    </row>
    <row r="66" spans="1:18" ht="20.100000000000001" customHeight="1" thickBot="1" x14ac:dyDescent="0.3">
      <c r="A66" s="426">
        <v>35</v>
      </c>
      <c r="B66" s="378"/>
      <c r="C66" s="222" t="s">
        <v>104</v>
      </c>
      <c r="D66" s="378"/>
      <c r="E66" s="378"/>
      <c r="F66" s="82">
        <f>F64+F53+F43+F36+F32+F22</f>
        <v>2070852</v>
      </c>
      <c r="G66" s="2"/>
      <c r="H66" s="82">
        <f>H64+H53+H43+H36+H32+H22</f>
        <v>4013009079</v>
      </c>
      <c r="I66" s="5"/>
      <c r="J66" s="241">
        <f t="shared" si="7"/>
        <v>10.46</v>
      </c>
      <c r="K66" s="9"/>
      <c r="L66" s="82">
        <f>L64+L53+L43+L36+L32+L22</f>
        <v>419775365.58041614</v>
      </c>
      <c r="M66" s="5"/>
      <c r="N66" s="124">
        <v>100</v>
      </c>
      <c r="O66" s="9"/>
      <c r="P66" s="82">
        <f>P64+P53+P43+P36+P32+P22</f>
        <v>2721564</v>
      </c>
      <c r="Q66" s="5"/>
      <c r="R66" s="82">
        <f>R64+R53+R43+R36+R32+R22</f>
        <v>422496932.58041614</v>
      </c>
    </row>
    <row r="67" spans="1:18" ht="24" customHeight="1" thickTop="1" x14ac:dyDescent="0.25">
      <c r="A67" s="378"/>
      <c r="B67" s="378"/>
      <c r="C67" s="52" t="s">
        <v>700</v>
      </c>
      <c r="D67" s="378"/>
      <c r="E67" s="378"/>
      <c r="F67" s="2"/>
      <c r="G67" s="2"/>
      <c r="H67" s="2"/>
      <c r="I67" s="2"/>
      <c r="J67" s="128"/>
      <c r="K67" s="2"/>
      <c r="L67" s="2"/>
      <c r="M67" s="2"/>
      <c r="N67" s="112"/>
      <c r="O67" s="2"/>
      <c r="P67" s="2"/>
      <c r="Q67" s="2"/>
      <c r="R67" s="2"/>
    </row>
    <row r="68" spans="1:18" x14ac:dyDescent="0.25">
      <c r="A68" s="378"/>
      <c r="B68" s="378"/>
      <c r="D68" s="378"/>
      <c r="E68" s="378"/>
      <c r="F68" s="378"/>
      <c r="G68" s="378"/>
      <c r="H68" s="378"/>
      <c r="I68" s="378"/>
      <c r="J68" s="425"/>
      <c r="K68" s="378"/>
      <c r="L68" s="48"/>
      <c r="M68" s="48"/>
      <c r="N68" s="76"/>
      <c r="O68" s="378"/>
      <c r="P68" s="48"/>
      <c r="Q68" s="48"/>
      <c r="R68" s="48"/>
    </row>
    <row r="69" spans="1:18" x14ac:dyDescent="0.25">
      <c r="A69" s="46"/>
      <c r="B69" s="378"/>
      <c r="C69" s="378"/>
      <c r="D69" s="378"/>
      <c r="E69" s="378"/>
      <c r="F69" s="378"/>
      <c r="G69" s="378"/>
      <c r="H69" s="378"/>
      <c r="I69" s="378"/>
      <c r="J69" s="425"/>
      <c r="K69" s="378"/>
      <c r="L69" s="48"/>
      <c r="M69" s="48"/>
      <c r="N69" s="76"/>
      <c r="O69" s="378"/>
      <c r="P69" s="48"/>
      <c r="Q69" s="48"/>
      <c r="R69" s="48"/>
    </row>
    <row r="70" spans="1:18" x14ac:dyDescent="0.25">
      <c r="A70" s="378"/>
      <c r="B70" s="378"/>
      <c r="C70" s="378"/>
      <c r="D70" s="378"/>
      <c r="E70" s="378"/>
      <c r="F70" s="378"/>
      <c r="G70" s="378"/>
      <c r="H70" s="378"/>
      <c r="I70" s="378"/>
      <c r="J70" s="425"/>
      <c r="K70" s="378"/>
      <c r="L70" s="48"/>
      <c r="M70" s="48"/>
      <c r="N70" s="378"/>
      <c r="O70" s="378"/>
      <c r="P70" s="48"/>
      <c r="Q70" s="48"/>
      <c r="R70" s="48"/>
    </row>
    <row r="71" spans="1:18" x14ac:dyDescent="0.25">
      <c r="A71" s="378"/>
      <c r="B71" s="378"/>
      <c r="C71" s="378"/>
      <c r="D71" s="378"/>
      <c r="E71" s="378"/>
      <c r="F71" s="378"/>
      <c r="G71" s="378"/>
      <c r="H71" s="378"/>
      <c r="I71" s="378"/>
      <c r="J71" s="425"/>
      <c r="K71" s="378"/>
      <c r="L71" s="48"/>
      <c r="M71" s="48"/>
      <c r="N71" s="378"/>
      <c r="O71" s="378"/>
      <c r="P71" s="48"/>
      <c r="Q71" s="48"/>
      <c r="R71" s="48"/>
    </row>
    <row r="72" spans="1:18" x14ac:dyDescent="0.25">
      <c r="A72" s="378"/>
      <c r="B72" s="378"/>
      <c r="C72" s="378"/>
      <c r="D72" s="378"/>
      <c r="E72" s="378"/>
      <c r="F72" s="378"/>
      <c r="G72" s="378"/>
      <c r="H72" s="378"/>
      <c r="I72" s="378"/>
      <c r="J72" s="425"/>
      <c r="K72" s="378"/>
      <c r="L72" s="48"/>
      <c r="M72" s="48"/>
      <c r="N72" s="378"/>
      <c r="O72" s="378"/>
      <c r="P72" s="48"/>
      <c r="Q72" s="48"/>
      <c r="R72" s="48"/>
    </row>
    <row r="73" spans="1:18" x14ac:dyDescent="0.25">
      <c r="A73" s="378"/>
      <c r="B73" s="378"/>
      <c r="C73" s="378"/>
      <c r="D73" s="378"/>
      <c r="E73" s="378"/>
      <c r="F73" s="378"/>
      <c r="G73" s="378"/>
      <c r="H73" s="378"/>
      <c r="I73" s="378"/>
      <c r="J73" s="425"/>
      <c r="K73" s="378"/>
      <c r="L73" s="48"/>
      <c r="M73" s="48"/>
      <c r="N73" s="378"/>
      <c r="O73" s="378"/>
      <c r="P73" s="48"/>
      <c r="Q73" s="48"/>
      <c r="R73" s="48"/>
    </row>
    <row r="74" spans="1:18" x14ac:dyDescent="0.25">
      <c r="A74" s="378"/>
      <c r="B74" s="378"/>
      <c r="C74" s="378"/>
      <c r="D74" s="378"/>
      <c r="E74" s="378"/>
      <c r="F74" s="378"/>
      <c r="G74" s="378"/>
      <c r="H74" s="378"/>
      <c r="I74" s="378"/>
      <c r="J74" s="425"/>
      <c r="K74" s="378"/>
      <c r="L74" s="48"/>
      <c r="M74" s="48"/>
      <c r="N74" s="378"/>
      <c r="O74" s="378"/>
      <c r="P74" s="48"/>
      <c r="Q74" s="48"/>
      <c r="R74" s="48"/>
    </row>
    <row r="75" spans="1:18" x14ac:dyDescent="0.25">
      <c r="A75" s="378"/>
      <c r="B75" s="378"/>
      <c r="C75" s="378"/>
      <c r="D75" s="378"/>
      <c r="E75" s="378"/>
      <c r="F75" s="378"/>
      <c r="G75" s="378"/>
      <c r="H75" s="378"/>
      <c r="I75" s="378"/>
      <c r="J75" s="425"/>
      <c r="K75" s="378"/>
      <c r="L75" s="378"/>
      <c r="M75" s="378"/>
      <c r="N75" s="378"/>
      <c r="O75" s="378"/>
      <c r="P75" s="378"/>
      <c r="Q75" s="378"/>
      <c r="R75" s="378"/>
    </row>
    <row r="76" spans="1:18" x14ac:dyDescent="0.25">
      <c r="A76" s="378"/>
      <c r="B76" s="378"/>
      <c r="C76" s="378"/>
      <c r="D76" s="378"/>
      <c r="E76" s="378"/>
      <c r="F76" s="378"/>
      <c r="G76" s="378"/>
      <c r="H76" s="378"/>
      <c r="I76" s="378"/>
      <c r="J76" s="425"/>
      <c r="K76" s="378"/>
      <c r="L76" s="378"/>
      <c r="M76" s="378"/>
      <c r="N76" s="378"/>
      <c r="O76" s="378"/>
      <c r="P76" s="378"/>
      <c r="Q76" s="378"/>
      <c r="R76" s="378"/>
    </row>
    <row r="77" spans="1:18" x14ac:dyDescent="0.25">
      <c r="A77" s="378"/>
      <c r="B77" s="378"/>
      <c r="C77" s="378"/>
      <c r="D77" s="378"/>
      <c r="E77" s="378"/>
      <c r="F77" s="378"/>
      <c r="G77" s="378"/>
      <c r="H77" s="378"/>
      <c r="I77" s="378"/>
      <c r="J77" s="425"/>
      <c r="K77" s="378"/>
      <c r="L77" s="378"/>
      <c r="M77" s="378"/>
      <c r="N77" s="378"/>
      <c r="O77" s="378"/>
      <c r="P77" s="378"/>
      <c r="Q77" s="378"/>
      <c r="R77" s="378"/>
    </row>
    <row r="78" spans="1:18" x14ac:dyDescent="0.25">
      <c r="A78" s="378"/>
      <c r="B78" s="378"/>
      <c r="C78" s="378"/>
      <c r="D78" s="378"/>
      <c r="E78" s="378"/>
      <c r="F78" s="378"/>
      <c r="G78" s="378"/>
      <c r="H78" s="378"/>
      <c r="I78" s="378"/>
      <c r="J78" s="425"/>
      <c r="K78" s="378"/>
      <c r="L78" s="378"/>
      <c r="M78" s="378"/>
      <c r="N78" s="378"/>
      <c r="O78" s="378"/>
      <c r="P78" s="378"/>
      <c r="Q78" s="378"/>
      <c r="R78" s="378"/>
    </row>
    <row r="79" spans="1:18" x14ac:dyDescent="0.25">
      <c r="A79" s="378"/>
      <c r="B79" s="378"/>
      <c r="C79" s="378"/>
      <c r="D79" s="378"/>
      <c r="E79" s="378"/>
      <c r="F79" s="378"/>
      <c r="G79" s="378"/>
      <c r="H79" s="378"/>
      <c r="I79" s="378"/>
      <c r="J79" s="425"/>
      <c r="K79" s="378"/>
      <c r="L79" s="378"/>
      <c r="M79" s="378"/>
      <c r="N79" s="378"/>
      <c r="O79" s="378"/>
      <c r="P79" s="378"/>
      <c r="Q79" s="378"/>
      <c r="R79" s="378"/>
    </row>
    <row r="80" spans="1:18" x14ac:dyDescent="0.25">
      <c r="A80" s="378"/>
      <c r="B80" s="378"/>
      <c r="C80" s="378"/>
      <c r="D80" s="378"/>
      <c r="E80" s="378"/>
      <c r="F80" s="378"/>
      <c r="G80" s="378"/>
      <c r="H80" s="378"/>
      <c r="I80" s="378"/>
      <c r="J80" s="378"/>
      <c r="K80" s="378"/>
      <c r="L80" s="378"/>
      <c r="M80" s="378"/>
      <c r="N80" s="378"/>
      <c r="O80" s="378"/>
      <c r="P80" s="378"/>
      <c r="Q80" s="378"/>
      <c r="R80" s="378"/>
    </row>
    <row r="81" spans="1:18" x14ac:dyDescent="0.25">
      <c r="A81" s="378"/>
      <c r="B81" s="378"/>
      <c r="C81" s="378"/>
      <c r="D81" s="378"/>
      <c r="E81" s="378"/>
      <c r="F81" s="378"/>
      <c r="G81" s="378"/>
      <c r="H81" s="378"/>
      <c r="I81" s="378"/>
      <c r="J81" s="378"/>
      <c r="K81" s="378"/>
      <c r="L81" s="378"/>
      <c r="M81" s="378"/>
      <c r="N81" s="378"/>
      <c r="O81" s="378"/>
      <c r="P81" s="378"/>
      <c r="Q81" s="378"/>
      <c r="R81" s="378"/>
    </row>
    <row r="82" spans="1:18" x14ac:dyDescent="0.25">
      <c r="A82" s="378"/>
      <c r="B82" s="378"/>
      <c r="C82" s="378"/>
      <c r="D82" s="378"/>
      <c r="E82" s="378"/>
      <c r="F82" s="378"/>
      <c r="G82" s="378"/>
      <c r="H82" s="378"/>
      <c r="I82" s="378"/>
      <c r="J82" s="378"/>
      <c r="K82" s="378"/>
      <c r="L82" s="378"/>
      <c r="M82" s="378"/>
      <c r="N82" s="378"/>
      <c r="O82" s="378"/>
      <c r="P82" s="378"/>
      <c r="Q82" s="378"/>
      <c r="R82" s="378"/>
    </row>
    <row r="83" spans="1:18" x14ac:dyDescent="0.25">
      <c r="A83" s="378"/>
      <c r="B83" s="378"/>
      <c r="C83" s="378"/>
      <c r="D83" s="378"/>
      <c r="E83" s="378"/>
      <c r="F83" s="378"/>
      <c r="G83" s="378"/>
      <c r="H83" s="378"/>
      <c r="I83" s="378"/>
      <c r="J83" s="378"/>
      <c r="K83" s="378"/>
      <c r="L83" s="378"/>
      <c r="M83" s="378"/>
      <c r="N83" s="378"/>
      <c r="O83" s="378"/>
      <c r="P83" s="378"/>
      <c r="Q83" s="378"/>
      <c r="R83" s="378"/>
    </row>
    <row r="84" spans="1:18" x14ac:dyDescent="0.25">
      <c r="A84" s="378"/>
      <c r="B84" s="378"/>
      <c r="C84" s="378"/>
      <c r="D84" s="378"/>
      <c r="E84" s="378"/>
      <c r="F84" s="378"/>
      <c r="G84" s="378"/>
      <c r="H84" s="378"/>
      <c r="I84" s="378"/>
      <c r="J84" s="378"/>
      <c r="K84" s="378"/>
      <c r="L84" s="378"/>
      <c r="M84" s="378"/>
      <c r="N84" s="378"/>
      <c r="O84" s="378"/>
      <c r="P84" s="378"/>
      <c r="Q84" s="378"/>
      <c r="R84" s="378"/>
    </row>
    <row r="85" spans="1:18" x14ac:dyDescent="0.25">
      <c r="A85" s="378"/>
      <c r="B85" s="378"/>
      <c r="C85" s="378"/>
      <c r="D85" s="378"/>
      <c r="E85" s="378"/>
      <c r="F85" s="378"/>
      <c r="G85" s="378"/>
      <c r="H85" s="378"/>
      <c r="I85" s="378"/>
      <c r="J85" s="378"/>
      <c r="K85" s="378"/>
      <c r="L85" s="378"/>
      <c r="M85" s="378"/>
      <c r="N85" s="378"/>
      <c r="O85" s="378"/>
      <c r="P85" s="378"/>
      <c r="Q85" s="378"/>
      <c r="R85" s="378"/>
    </row>
    <row r="86" spans="1:18" x14ac:dyDescent="0.25">
      <c r="A86" s="378"/>
      <c r="B86" s="378"/>
      <c r="C86" s="378"/>
      <c r="D86" s="378"/>
      <c r="E86" s="378"/>
      <c r="F86" s="378"/>
      <c r="G86" s="378"/>
      <c r="H86" s="378"/>
      <c r="I86" s="378"/>
      <c r="J86" s="378"/>
      <c r="K86" s="378"/>
      <c r="L86" s="378"/>
      <c r="M86" s="378"/>
      <c r="N86" s="378"/>
      <c r="O86" s="378"/>
      <c r="P86" s="378"/>
      <c r="Q86" s="378"/>
      <c r="R86" s="378"/>
    </row>
    <row r="87" spans="1:18" x14ac:dyDescent="0.25">
      <c r="A87" s="378"/>
      <c r="B87" s="378"/>
      <c r="C87" s="378"/>
      <c r="D87" s="378"/>
      <c r="E87" s="378"/>
      <c r="F87" s="378"/>
      <c r="G87" s="378"/>
      <c r="H87" s="378"/>
      <c r="I87" s="378"/>
      <c r="J87" s="378"/>
      <c r="K87" s="378"/>
      <c r="L87" s="378"/>
      <c r="M87" s="378"/>
      <c r="N87" s="378"/>
      <c r="O87" s="378"/>
      <c r="P87" s="378"/>
      <c r="Q87" s="378"/>
      <c r="R87" s="378"/>
    </row>
    <row r="88" spans="1:18" x14ac:dyDescent="0.25">
      <c r="A88" s="378"/>
      <c r="B88" s="378"/>
      <c r="C88" s="378"/>
      <c r="D88" s="378"/>
      <c r="E88" s="378"/>
      <c r="F88" s="378"/>
      <c r="G88" s="378"/>
      <c r="H88" s="378"/>
      <c r="I88" s="378"/>
      <c r="J88" s="378"/>
      <c r="K88" s="378"/>
      <c r="L88" s="378"/>
      <c r="M88" s="378"/>
      <c r="N88" s="378"/>
      <c r="O88" s="378"/>
      <c r="P88" s="378"/>
      <c r="Q88" s="378"/>
      <c r="R88" s="378"/>
    </row>
    <row r="89" spans="1:18" x14ac:dyDescent="0.25">
      <c r="A89" s="378"/>
      <c r="B89" s="378"/>
      <c r="C89" s="378"/>
      <c r="D89" s="378"/>
      <c r="E89" s="378"/>
      <c r="F89" s="378"/>
      <c r="G89" s="378"/>
      <c r="H89" s="378"/>
      <c r="I89" s="378"/>
      <c r="J89" s="378"/>
      <c r="K89" s="378"/>
      <c r="L89" s="378"/>
      <c r="M89" s="378"/>
      <c r="N89" s="378"/>
      <c r="O89" s="378"/>
      <c r="P89" s="378"/>
      <c r="Q89" s="378"/>
      <c r="R89" s="378"/>
    </row>
    <row r="90" spans="1:18" x14ac:dyDescent="0.25">
      <c r="A90" s="378"/>
      <c r="B90" s="378"/>
      <c r="C90" s="378"/>
      <c r="D90" s="378"/>
      <c r="E90" s="378"/>
      <c r="F90" s="378"/>
      <c r="G90" s="378"/>
      <c r="H90" s="378"/>
      <c r="I90" s="378"/>
      <c r="J90" s="378"/>
      <c r="K90" s="378"/>
      <c r="L90" s="378"/>
      <c r="M90" s="378"/>
      <c r="N90" s="378"/>
      <c r="O90" s="378"/>
      <c r="P90" s="378"/>
      <c r="Q90" s="378"/>
      <c r="R90" s="378"/>
    </row>
    <row r="91" spans="1:18" x14ac:dyDescent="0.25">
      <c r="A91" s="378"/>
      <c r="B91" s="378"/>
      <c r="C91" s="378"/>
      <c r="D91" s="378"/>
      <c r="E91" s="378"/>
      <c r="F91" s="378"/>
      <c r="G91" s="378"/>
      <c r="H91" s="378"/>
      <c r="I91" s="378"/>
      <c r="J91" s="378"/>
      <c r="K91" s="378"/>
      <c r="L91" s="378"/>
      <c r="M91" s="378"/>
      <c r="N91" s="378"/>
      <c r="O91" s="378"/>
      <c r="P91" s="378"/>
      <c r="Q91" s="378"/>
      <c r="R91" s="378"/>
    </row>
    <row r="92" spans="1:18" x14ac:dyDescent="0.25">
      <c r="A92" s="378"/>
      <c r="B92" s="378"/>
      <c r="C92" s="378"/>
      <c r="D92" s="378"/>
      <c r="E92" s="378"/>
      <c r="F92" s="378"/>
      <c r="G92" s="378"/>
      <c r="H92" s="378"/>
      <c r="I92" s="378"/>
      <c r="J92" s="378"/>
      <c r="K92" s="378"/>
      <c r="L92" s="378"/>
      <c r="M92" s="378"/>
      <c r="N92" s="378"/>
      <c r="O92" s="378"/>
      <c r="P92" s="378"/>
      <c r="Q92" s="378"/>
      <c r="R92" s="378"/>
    </row>
    <row r="93" spans="1:18" x14ac:dyDescent="0.25">
      <c r="A93" s="378"/>
      <c r="B93" s="378"/>
      <c r="C93" s="378"/>
      <c r="D93" s="378"/>
      <c r="E93" s="378"/>
      <c r="F93" s="378"/>
      <c r="G93" s="378"/>
      <c r="H93" s="378"/>
      <c r="I93" s="378"/>
      <c r="J93" s="378"/>
      <c r="K93" s="378"/>
      <c r="L93" s="378"/>
      <c r="M93" s="378"/>
      <c r="N93" s="378"/>
      <c r="O93" s="378"/>
      <c r="P93" s="378"/>
      <c r="Q93" s="378"/>
      <c r="R93" s="378"/>
    </row>
    <row r="94" spans="1:18" x14ac:dyDescent="0.25">
      <c r="A94" s="378"/>
      <c r="B94" s="378"/>
      <c r="C94" s="378"/>
      <c r="D94" s="378"/>
      <c r="E94" s="378"/>
      <c r="F94" s="378"/>
      <c r="G94" s="378"/>
      <c r="H94" s="378"/>
      <c r="I94" s="378"/>
      <c r="J94" s="378"/>
      <c r="K94" s="378"/>
      <c r="L94" s="378"/>
      <c r="M94" s="378"/>
      <c r="N94" s="378"/>
      <c r="O94" s="378"/>
      <c r="P94" s="378"/>
      <c r="Q94" s="378"/>
      <c r="R94" s="378"/>
    </row>
    <row r="95" spans="1:18" x14ac:dyDescent="0.25">
      <c r="A95" s="378"/>
      <c r="B95" s="378"/>
      <c r="C95" s="378"/>
      <c r="D95" s="378"/>
      <c r="E95" s="378"/>
      <c r="F95" s="378"/>
      <c r="G95" s="378"/>
      <c r="H95" s="378"/>
      <c r="I95" s="378"/>
      <c r="J95" s="378"/>
      <c r="K95" s="378"/>
      <c r="L95" s="378"/>
      <c r="M95" s="378"/>
      <c r="N95" s="378"/>
      <c r="O95" s="378"/>
      <c r="P95" s="378"/>
      <c r="Q95" s="378"/>
      <c r="R95" s="378"/>
    </row>
    <row r="96" spans="1:18" x14ac:dyDescent="0.25">
      <c r="A96" s="378"/>
      <c r="B96" s="378"/>
      <c r="C96" s="378"/>
      <c r="D96" s="378"/>
      <c r="E96" s="378"/>
      <c r="F96" s="378"/>
      <c r="G96" s="378"/>
      <c r="H96" s="378"/>
      <c r="I96" s="378"/>
      <c r="J96" s="378"/>
      <c r="K96" s="378"/>
      <c r="L96" s="378"/>
      <c r="M96" s="378"/>
      <c r="N96" s="378"/>
      <c r="O96" s="378"/>
      <c r="P96" s="378"/>
      <c r="Q96" s="378"/>
      <c r="R96" s="378"/>
    </row>
    <row r="97" spans="1:18" x14ac:dyDescent="0.25">
      <c r="A97" s="378"/>
      <c r="B97" s="378"/>
      <c r="C97" s="378"/>
      <c r="D97" s="378"/>
      <c r="E97" s="378"/>
      <c r="F97" s="378"/>
      <c r="G97" s="378"/>
      <c r="H97" s="378"/>
      <c r="I97" s="378"/>
      <c r="J97" s="378"/>
      <c r="K97" s="378"/>
      <c r="L97" s="378"/>
      <c r="M97" s="378"/>
      <c r="N97" s="378"/>
      <c r="O97" s="378"/>
      <c r="P97" s="378"/>
      <c r="Q97" s="378"/>
      <c r="R97" s="378"/>
    </row>
  </sheetData>
  <customSheetViews>
    <customSheetView guid="{195DF303-1BBD-4236-94B5-47432850B006}" scale="75" fitToPage="1" showRuler="0"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1"/>
      <headerFooter alignWithMargins="0"/>
    </customSheetView>
    <customSheetView guid="{0C49E549-011E-46F4-A82E-2CC8951A9C1E}" scale="75" fitToPage="1" showRuler="0" topLeftCell="D36">
      <selection activeCell="L56" sqref="L56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2"/>
      <headerFooter alignWithMargins="0"/>
    </customSheetView>
    <customSheetView guid="{4BC93440-BA85-4935-A8C9-66DC6AE5DE5E}" scale="75" fitToPage="1" showRuler="0">
      <selection sqref="A1:R65"/>
      <rowBreaks count="1" manualBreakCount="1">
        <brk id="62" max="17" man="1"/>
      </rowBreaks>
      <pageMargins left="0.5" right="0.5" top="1" bottom="0" header="0.5" footer="0.5"/>
      <printOptions horizontalCentered="1"/>
      <pageSetup scale="58" orientation="landscape" horizontalDpi="300" verticalDpi="300" r:id="rId3"/>
      <headerFooter alignWithMargins="0"/>
    </customSheetView>
    <customSheetView guid="{2431C9E5-7CC2-4B8D-99C3-962247B1DBF5}" scale="75" fitToPage="1" showRuler="0">
      <selection activeCell="L50" sqref="L50"/>
      <rowBreaks count="1" manualBreakCount="1">
        <brk id="62" max="17" man="1"/>
      </rowBreaks>
      <pageMargins left="0.5" right="0.5" top="1" bottom="0" header="0.5" footer="0.5"/>
      <printOptions horizontalCentered="1"/>
      <pageSetup scale="58" orientation="landscape" horizontalDpi="300" verticalDpi="300" r:id="rId4"/>
      <headerFooter alignWithMargins="0"/>
    </customSheetView>
    <customSheetView guid="{2EA35095-1ADC-4CC7-8C3C-B487D65FA247}" scale="75" fitToPage="1" showRuler="0">
      <selection sqref="A1:R64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5"/>
      <headerFooter alignWithMargins="0"/>
    </customSheetView>
    <customSheetView guid="{8FC77C99-DBF7-40B8-99B8-01B75826CDCB}" scale="75" showPageBreaks="1" fitToPage="1" printArea="1" showRuler="0">
      <selection sqref="A1:R64"/>
      <rowBreaks count="1" manualBreakCount="1">
        <brk id="61" max="17" man="1"/>
      </rowBreaks>
      <pageMargins left="0.5" right="0.5" top="1" bottom="0" header="0.5" footer="0.5"/>
      <printOptions horizontalCentered="1"/>
      <pageSetup scale="53" orientation="landscape" horizontalDpi="300" verticalDpi="300" r:id="rId6"/>
      <headerFooter alignWithMargins="0"/>
    </customSheetView>
    <customSheetView guid="{8FB94551-8874-4095-B8FB-5316E0D2FD2C}" scale="75" fitToPage="1" showRuler="0"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7"/>
      <headerFooter alignWithMargins="0"/>
    </customSheetView>
    <customSheetView guid="{6B3D5C27-2FDE-4561-9575-1E98BFB869D0}" scale="75" fitToPage="1" showRuler="0" topLeftCell="F9">
      <selection activeCell="D33" sqref="D33"/>
      <rowBreaks count="1" manualBreakCount="1">
        <brk id="61" max="17" man="1"/>
      </rowBreaks>
      <pageMargins left="0.5" right="0.5" top="1" bottom="0" header="0.5" footer="0.5"/>
      <printOptions horizontalCentered="1"/>
      <pageSetup scale="53" orientation="landscape" horizontalDpi="300" verticalDpi="300" r:id="rId8"/>
      <headerFooter alignWithMargins="0"/>
    </customSheetView>
    <customSheetView guid="{0BC1F393-8A13-47D5-BC6C-0C99615B5AB9}" scale="75" fitToPage="1" showRuler="0" topLeftCell="A33">
      <selection activeCell="H55" sqref="H55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9"/>
      <headerFooter alignWithMargins="0"/>
    </customSheetView>
    <customSheetView guid="{18BDED73-BFA0-442E-87EC-CED86EE4CF94}" scale="75" fitToPage="1" showRuler="0" topLeftCell="A33">
      <selection activeCell="L56" sqref="L56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10"/>
      <headerFooter alignWithMargins="0"/>
    </customSheetView>
    <customSheetView guid="{35F19056-2E6F-4935-B863-78836FE990BF}" scale="75" fitToPage="1" showRuler="0" topLeftCell="F29">
      <selection activeCell="L59" sqref="L59"/>
      <rowBreaks count="1" manualBreakCount="1">
        <brk id="61" max="17" man="1"/>
      </rowBreaks>
      <pageMargins left="0.5" right="0.5" top="1" bottom="0" header="0.5" footer="0.5"/>
      <printOptions horizontalCentered="1"/>
      <pageSetup scale="60" orientation="landscape" horizontalDpi="300" verticalDpi="300" r:id="rId11"/>
      <headerFooter alignWithMargins="0"/>
    </customSheetView>
    <customSheetView guid="{F562D92E-120C-4AE9-9663-89E64D41DC53}" scale="75" fitToPage="1" topLeftCell="F29">
      <selection activeCell="L59" sqref="L59"/>
      <rowBreaks count="1" manualBreakCount="1">
        <brk id="61" max="17" man="1"/>
      </rowBreaks>
      <pageMargins left="0.5" right="0.5" top="1" bottom="0" header="0.5" footer="0.5"/>
      <printOptions horizontalCentered="1"/>
      <pageSetup scale="60" orientation="landscape" horizontalDpi="300" verticalDpi="300" r:id="rId12"/>
      <headerFooter alignWithMargins="0"/>
    </customSheetView>
  </customSheetViews>
  <mergeCells count="6">
    <mergeCell ref="C55:D55"/>
    <mergeCell ref="C20:D20"/>
    <mergeCell ref="C24:D24"/>
    <mergeCell ref="C34:D34"/>
    <mergeCell ref="C38:D38"/>
    <mergeCell ref="C45:D45"/>
  </mergeCells>
  <phoneticPr fontId="9" type="noConversion"/>
  <printOptions horizontalCentered="1"/>
  <pageMargins left="0.75" right="0.75" top="1" bottom="1" header="0.5" footer="0.5"/>
  <pageSetup scale="43" orientation="landscape" horizontalDpi="300" verticalDpi="300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2" transitionEvaluation="1" transitionEntry="1" codeName="Sheet6"/>
  <dimension ref="A1:CW288"/>
  <sheetViews>
    <sheetView tabSelected="1" view="pageBreakPreview" topLeftCell="A22" zoomScale="60" zoomScaleNormal="75" workbookViewId="0">
      <selection sqref="A1:J1"/>
    </sheetView>
  </sheetViews>
  <sheetFormatPr defaultColWidth="9.77734375" defaultRowHeight="15.75" x14ac:dyDescent="0.25"/>
  <cols>
    <col min="1" max="1" width="5.6640625" style="378" customWidth="1"/>
    <col min="2" max="2" width="0.6640625" style="378" customWidth="1"/>
    <col min="3" max="3" width="6.77734375" style="378" customWidth="1"/>
    <col min="4" max="4" width="35.6640625" style="378" customWidth="1"/>
    <col min="5" max="5" width="0.44140625" style="378" customWidth="1"/>
    <col min="6" max="6" width="12.33203125" style="378" customWidth="1"/>
    <col min="7" max="7" width="0.88671875" style="378" customWidth="1"/>
    <col min="8" max="8" width="15.6640625" style="378" customWidth="1"/>
    <col min="9" max="9" width="0.77734375" style="378" customWidth="1"/>
    <col min="10" max="10" width="13" style="378" customWidth="1"/>
    <col min="11" max="11" width="0.6640625" style="378" customWidth="1"/>
    <col min="12" max="12" width="15.6640625" style="378" customWidth="1"/>
    <col min="13" max="13" width="0.77734375" style="378" customWidth="1"/>
    <col min="14" max="14" width="12.77734375" style="378" customWidth="1"/>
    <col min="15" max="15" width="0.6640625" style="378" customWidth="1"/>
    <col min="16" max="16" width="14.6640625" style="378" customWidth="1"/>
    <col min="17" max="17" width="0.88671875" style="378" customWidth="1"/>
    <col min="18" max="18" width="18.21875" style="378" customWidth="1"/>
    <col min="19" max="19" width="13.77734375" style="378" customWidth="1"/>
    <col min="20" max="20" width="5.77734375" style="378" customWidth="1"/>
    <col min="21" max="21" width="0.88671875" style="378" customWidth="1"/>
    <col min="22" max="22" width="6.77734375" style="378" customWidth="1"/>
    <col min="23" max="23" width="37.6640625" style="378" customWidth="1"/>
    <col min="24" max="24" width="12.77734375" style="378" customWidth="1"/>
    <col min="25" max="25" width="1" style="378" customWidth="1"/>
    <col min="26" max="26" width="14.21875" style="378" customWidth="1"/>
    <col min="27" max="27" width="1" style="378" customWidth="1"/>
    <col min="28" max="28" width="11.77734375" style="378" customWidth="1"/>
    <col min="29" max="29" width="0.88671875" style="378" customWidth="1"/>
    <col min="30" max="30" width="15.5546875" style="378" customWidth="1"/>
    <col min="31" max="31" width="0.77734375" style="378" customWidth="1"/>
    <col min="32" max="32" width="11.77734375" style="143" customWidth="1"/>
    <col min="33" max="33" width="0.88671875" style="378" customWidth="1"/>
    <col min="34" max="34" width="15" style="378" customWidth="1"/>
    <col min="35" max="35" width="0.5546875" style="378" customWidth="1"/>
    <col min="36" max="36" width="13.77734375" style="143" customWidth="1"/>
    <col min="37" max="37" width="0.44140625" style="378" customWidth="1"/>
    <col min="38" max="38" width="14.44140625" style="378" customWidth="1"/>
    <col min="39" max="39" width="0.6640625" style="378" customWidth="1"/>
    <col min="40" max="40" width="15.44140625" style="378" customWidth="1"/>
    <col min="41" max="41" width="0.77734375" style="378" customWidth="1"/>
    <col min="42" max="42" width="10.77734375" style="143" customWidth="1"/>
    <col min="43" max="99" width="9.77734375" style="378"/>
    <col min="100" max="100" width="20.77734375" style="378" customWidth="1"/>
    <col min="101" max="16384" width="9.77734375" style="378"/>
  </cols>
  <sheetData>
    <row r="1" spans="1:18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4"/>
      <c r="K1" s="44"/>
      <c r="L1" s="43"/>
      <c r="M1" s="43"/>
      <c r="N1" s="43"/>
      <c r="O1" s="43"/>
      <c r="P1" s="43"/>
      <c r="Q1" s="43"/>
      <c r="R1" s="43"/>
    </row>
    <row r="2" spans="1:18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4"/>
      <c r="K2" s="44"/>
      <c r="L2" s="43"/>
      <c r="M2" s="43"/>
      <c r="N2" s="43"/>
      <c r="O2" s="43"/>
      <c r="P2" s="43"/>
      <c r="Q2" s="43"/>
      <c r="R2" s="43"/>
    </row>
    <row r="3" spans="1:18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1:18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4"/>
      <c r="K4" s="44"/>
      <c r="L4" s="43"/>
      <c r="M4" s="43"/>
      <c r="N4" s="43"/>
      <c r="O4" s="43"/>
      <c r="P4" s="43"/>
      <c r="Q4" s="43"/>
      <c r="R4" s="43"/>
    </row>
    <row r="5" spans="1:18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4"/>
      <c r="M5" s="44"/>
      <c r="N5" s="43"/>
      <c r="O5" s="43"/>
      <c r="P5" s="43"/>
      <c r="Q5" s="43"/>
      <c r="R5" s="43"/>
    </row>
    <row r="6" spans="1:18" x14ac:dyDescent="0.25">
      <c r="A6" s="45" t="str">
        <f>DATA_PERIOD</f>
        <v>DATA: __X__ BASE PERIOD   ____FORECASTED PERIOD</v>
      </c>
      <c r="R6" s="46" t="s">
        <v>163</v>
      </c>
    </row>
    <row r="7" spans="1:18" x14ac:dyDescent="0.25">
      <c r="A7" s="45" t="str">
        <f>TYPE</f>
        <v>TYPE OF FILING: _X_ ORIGINAL   ___UPDATED  ___ REVISED</v>
      </c>
      <c r="R7" s="52" t="str">
        <f>"PAGE 2 OF "&amp;TEXT(Page_Num_2.3,"00")</f>
        <v>PAGE 2 OF 23</v>
      </c>
    </row>
    <row r="8" spans="1:18" x14ac:dyDescent="0.25">
      <c r="A8" s="46" t="s">
        <v>177</v>
      </c>
      <c r="R8" s="46" t="s">
        <v>3</v>
      </c>
    </row>
    <row r="9" spans="1:18" x14ac:dyDescent="0.25">
      <c r="A9" s="222" t="str">
        <f>TIME</f>
        <v>6 Months Actual and 6 Months Projected with Riders</v>
      </c>
      <c r="R9" s="45" t="str">
        <f>WIT</f>
        <v>J. L. Kern</v>
      </c>
    </row>
    <row r="10" spans="1:18" x14ac:dyDescent="0.25">
      <c r="A10" s="222" t="str">
        <f>INPUT!B5</f>
        <v>6 Months Actual Ending May 31, 2019</v>
      </c>
      <c r="R10" s="45"/>
    </row>
    <row r="11" spans="1:18" x14ac:dyDescent="0.25">
      <c r="A11" s="44" t="s">
        <v>136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</row>
    <row r="12" spans="1:18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18" ht="18" customHeight="1" x14ac:dyDescent="0.25">
      <c r="L13" s="426" t="s">
        <v>6</v>
      </c>
      <c r="M13" s="426"/>
      <c r="N13" s="426" t="s">
        <v>7</v>
      </c>
      <c r="O13" s="426"/>
      <c r="R13" s="426" t="s">
        <v>6</v>
      </c>
    </row>
    <row r="14" spans="1:18" x14ac:dyDescent="0.25">
      <c r="L14" s="426" t="s">
        <v>12</v>
      </c>
      <c r="M14" s="426"/>
      <c r="N14" s="426" t="s">
        <v>13</v>
      </c>
      <c r="O14" s="426"/>
      <c r="R14" s="426" t="s">
        <v>11</v>
      </c>
    </row>
    <row r="15" spans="1:18" x14ac:dyDescent="0.25">
      <c r="A15" s="426" t="s">
        <v>17</v>
      </c>
      <c r="C15" s="426" t="s">
        <v>18</v>
      </c>
      <c r="D15" s="426" t="s">
        <v>19</v>
      </c>
      <c r="E15" s="426"/>
      <c r="F15" s="426" t="s">
        <v>20</v>
      </c>
      <c r="J15" s="426" t="s">
        <v>6</v>
      </c>
      <c r="K15" s="426"/>
      <c r="L15" s="426" t="s">
        <v>21</v>
      </c>
      <c r="M15" s="426"/>
      <c r="N15" s="426" t="s">
        <v>21</v>
      </c>
      <c r="O15" s="426"/>
      <c r="P15" s="426" t="s">
        <v>21</v>
      </c>
      <c r="Q15" s="426"/>
      <c r="R15" s="426" t="s">
        <v>9</v>
      </c>
    </row>
    <row r="16" spans="1:18" x14ac:dyDescent="0.25">
      <c r="A16" s="426" t="s">
        <v>24</v>
      </c>
      <c r="C16" s="426" t="s">
        <v>25</v>
      </c>
      <c r="D16" s="426" t="s">
        <v>26</v>
      </c>
      <c r="E16" s="426"/>
      <c r="F16" s="426" t="s">
        <v>27</v>
      </c>
      <c r="H16" s="426" t="s">
        <v>28</v>
      </c>
      <c r="I16" s="426"/>
      <c r="J16" s="426" t="s">
        <v>29</v>
      </c>
      <c r="K16" s="426"/>
      <c r="L16" s="426" t="s">
        <v>426</v>
      </c>
      <c r="M16" s="426"/>
      <c r="N16" s="426" t="s">
        <v>9</v>
      </c>
      <c r="O16" s="426"/>
      <c r="P16" s="426" t="s">
        <v>379</v>
      </c>
      <c r="Q16" s="426"/>
      <c r="R16" s="265" t="s">
        <v>30</v>
      </c>
    </row>
    <row r="17" spans="1:19" x14ac:dyDescent="0.25">
      <c r="C17" s="265" t="s">
        <v>35</v>
      </c>
      <c r="D17" s="265" t="s">
        <v>36</v>
      </c>
      <c r="E17" s="265"/>
      <c r="F17" s="265" t="s">
        <v>37</v>
      </c>
      <c r="G17" s="218"/>
      <c r="H17" s="265" t="s">
        <v>38</v>
      </c>
      <c r="I17" s="265"/>
      <c r="J17" s="265" t="s">
        <v>39</v>
      </c>
      <c r="K17" s="265"/>
      <c r="L17" s="265" t="s">
        <v>40</v>
      </c>
      <c r="M17" s="265"/>
      <c r="N17" s="265" t="s">
        <v>41</v>
      </c>
      <c r="O17" s="265"/>
      <c r="P17" s="265" t="s">
        <v>42</v>
      </c>
      <c r="Q17" s="265"/>
      <c r="R17" s="265" t="s">
        <v>43</v>
      </c>
    </row>
    <row r="18" spans="1:19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</row>
    <row r="19" spans="1:19" ht="17.100000000000001" customHeight="1" x14ac:dyDescent="0.25">
      <c r="H19" s="441" t="s">
        <v>51</v>
      </c>
      <c r="I19" s="441"/>
      <c r="J19" s="442" t="s">
        <v>368</v>
      </c>
      <c r="K19" s="441"/>
      <c r="L19" s="441" t="s">
        <v>52</v>
      </c>
      <c r="M19" s="441"/>
      <c r="N19" s="441" t="s">
        <v>53</v>
      </c>
      <c r="O19" s="441"/>
      <c r="P19" s="441" t="s">
        <v>52</v>
      </c>
      <c r="Q19" s="441"/>
      <c r="R19" s="441" t="s">
        <v>52</v>
      </c>
    </row>
    <row r="20" spans="1:19" x14ac:dyDescent="0.25">
      <c r="A20" s="45">
        <v>1</v>
      </c>
      <c r="C20" s="222" t="s">
        <v>54</v>
      </c>
      <c r="D20" s="222" t="s">
        <v>55</v>
      </c>
      <c r="E20" s="4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19" x14ac:dyDescent="0.25">
      <c r="A21" s="45"/>
      <c r="C21" s="46"/>
      <c r="D21" s="46"/>
      <c r="E21" s="4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</row>
    <row r="22" spans="1:19" x14ac:dyDescent="0.25">
      <c r="A22" s="378">
        <v>2</v>
      </c>
      <c r="C22" s="218" t="s">
        <v>140</v>
      </c>
      <c r="F22" s="86"/>
      <c r="G22" s="2"/>
      <c r="H22" s="86"/>
      <c r="I22" s="86"/>
      <c r="J22" s="446"/>
      <c r="K22" s="446"/>
      <c r="L22" s="5"/>
      <c r="M22" s="5"/>
      <c r="N22" s="6"/>
      <c r="O22" s="6"/>
      <c r="P22" s="5"/>
      <c r="Q22" s="5"/>
      <c r="R22" s="5"/>
      <c r="S22" s="48"/>
    </row>
    <row r="23" spans="1:19" x14ac:dyDescent="0.25">
      <c r="A23" s="45">
        <v>3</v>
      </c>
      <c r="C23" s="216" t="s">
        <v>57</v>
      </c>
      <c r="F23" s="449">
        <v>1552696</v>
      </c>
      <c r="G23" s="2"/>
      <c r="H23" s="86"/>
      <c r="I23" s="86"/>
      <c r="J23" s="450">
        <f>INPUT!D43</f>
        <v>14</v>
      </c>
      <c r="K23" s="96"/>
      <c r="L23" s="83">
        <f>ROUND(F23*J23,0)</f>
        <v>21737744</v>
      </c>
      <c r="M23" s="83"/>
      <c r="N23" s="383">
        <f>ROUND((L23/$L$38)*100,1)</f>
        <v>13.2</v>
      </c>
      <c r="O23" s="91"/>
      <c r="P23" s="83"/>
      <c r="Q23" s="83"/>
      <c r="R23" s="83">
        <f>L23+P23</f>
        <v>21737744</v>
      </c>
      <c r="S23" s="48"/>
    </row>
    <row r="24" spans="1:19" x14ac:dyDescent="0.25">
      <c r="A24" s="45"/>
      <c r="C24" s="46"/>
      <c r="F24" s="94"/>
      <c r="G24" s="2"/>
      <c r="H24" s="86"/>
      <c r="I24" s="86"/>
      <c r="J24" s="96"/>
      <c r="K24" s="96"/>
      <c r="L24" s="83"/>
      <c r="M24" s="5"/>
      <c r="N24" s="383"/>
      <c r="O24" s="6"/>
      <c r="P24" s="83"/>
      <c r="Q24" s="5"/>
      <c r="R24" s="83"/>
      <c r="S24" s="48"/>
    </row>
    <row r="25" spans="1:19" x14ac:dyDescent="0.25">
      <c r="A25" s="378">
        <v>4</v>
      </c>
      <c r="C25" s="218" t="s">
        <v>432</v>
      </c>
      <c r="F25" s="451"/>
      <c r="G25" s="2"/>
      <c r="H25" s="451"/>
      <c r="I25" s="451"/>
      <c r="J25" s="446"/>
      <c r="K25" s="446"/>
      <c r="L25" s="5"/>
      <c r="M25" s="5"/>
      <c r="N25" s="149"/>
      <c r="O25" s="6"/>
      <c r="P25" s="2"/>
      <c r="Q25" s="2"/>
      <c r="R25" s="5"/>
    </row>
    <row r="26" spans="1:19" x14ac:dyDescent="0.25">
      <c r="A26" s="45">
        <v>5</v>
      </c>
      <c r="C26" s="216" t="s">
        <v>129</v>
      </c>
      <c r="F26" s="87"/>
      <c r="G26" s="2"/>
      <c r="H26" s="452">
        <v>1474920684</v>
      </c>
      <c r="I26" s="86"/>
      <c r="J26" s="453">
        <f>INPUT!D44</f>
        <v>8.4272E-2</v>
      </c>
      <c r="K26" s="454"/>
      <c r="L26" s="81">
        <f>ROUND(H26*J26,0)</f>
        <v>124294516</v>
      </c>
      <c r="M26" s="5"/>
      <c r="N26" s="148">
        <f>ROUND((L26/$L$38)*100,1)</f>
        <v>75.400000000000006</v>
      </c>
      <c r="O26" s="6"/>
      <c r="P26" s="81"/>
      <c r="Q26" s="5"/>
      <c r="R26" s="81">
        <f>L26+P26</f>
        <v>124294516</v>
      </c>
      <c r="S26" s="48"/>
    </row>
    <row r="27" spans="1:19" x14ac:dyDescent="0.25">
      <c r="A27" s="45"/>
      <c r="C27" s="216"/>
      <c r="F27" s="94"/>
      <c r="G27" s="2"/>
      <c r="H27" s="449"/>
      <c r="I27" s="86"/>
      <c r="J27" s="455"/>
      <c r="K27" s="454"/>
      <c r="L27" s="83"/>
      <c r="M27" s="5"/>
      <c r="N27" s="383"/>
      <c r="O27" s="6"/>
      <c r="P27" s="83"/>
      <c r="Q27" s="5"/>
      <c r="R27" s="83"/>
      <c r="S27" s="48"/>
    </row>
    <row r="28" spans="1:19" ht="17.100000000000001" customHeight="1" x14ac:dyDescent="0.25">
      <c r="A28" s="45">
        <v>6</v>
      </c>
      <c r="C28" s="444" t="s">
        <v>505</v>
      </c>
      <c r="F28" s="87">
        <f>F23</f>
        <v>1552696</v>
      </c>
      <c r="G28" s="2"/>
      <c r="H28" s="87">
        <f>H26</f>
        <v>1474920684</v>
      </c>
      <c r="I28" s="86"/>
      <c r="J28" s="455"/>
      <c r="K28" s="454"/>
      <c r="L28" s="81">
        <f>SUM(L23:L26)</f>
        <v>146032260</v>
      </c>
      <c r="M28" s="5"/>
      <c r="N28" s="148">
        <f>ROUND((L28/$L$38)*100,1)</f>
        <v>88.6</v>
      </c>
      <c r="O28" s="6"/>
      <c r="P28" s="81"/>
      <c r="Q28" s="5"/>
      <c r="R28" s="81">
        <f>SUM(R23:R26)</f>
        <v>146032260</v>
      </c>
      <c r="S28" s="48"/>
    </row>
    <row r="29" spans="1:19" x14ac:dyDescent="0.25">
      <c r="A29" s="45"/>
      <c r="C29" s="216"/>
      <c r="F29" s="94"/>
      <c r="G29" s="2"/>
      <c r="H29" s="449"/>
      <c r="I29" s="86"/>
      <c r="J29" s="455"/>
      <c r="K29" s="454"/>
      <c r="L29" s="83"/>
      <c r="M29" s="5"/>
      <c r="N29" s="383"/>
      <c r="O29" s="6"/>
      <c r="P29" s="83"/>
      <c r="Q29" s="5"/>
      <c r="R29" s="83"/>
      <c r="S29" s="48"/>
    </row>
    <row r="30" spans="1:19" x14ac:dyDescent="0.25">
      <c r="A30" s="45">
        <v>7</v>
      </c>
      <c r="C30" s="222" t="s">
        <v>504</v>
      </c>
      <c r="F30" s="94"/>
      <c r="G30" s="2"/>
      <c r="H30" s="449"/>
      <c r="I30" s="86"/>
      <c r="J30" s="455"/>
      <c r="K30" s="454"/>
      <c r="L30" s="83"/>
      <c r="M30" s="5"/>
      <c r="N30" s="383"/>
      <c r="O30" s="6"/>
      <c r="P30" s="83"/>
      <c r="Q30" s="5"/>
      <c r="R30" s="83"/>
      <c r="S30" s="48"/>
    </row>
    <row r="31" spans="1:19" x14ac:dyDescent="0.25">
      <c r="A31" s="45">
        <v>8</v>
      </c>
      <c r="C31" s="216" t="str">
        <f>HEA_Name</f>
        <v>HOME ENERGY ASSISTANCE (HEA)</v>
      </c>
      <c r="F31" s="94"/>
      <c r="G31" s="2"/>
      <c r="H31" s="449"/>
      <c r="I31" s="86"/>
      <c r="J31" s="450">
        <f>DSM_RS_CUST</f>
        <v>0.1</v>
      </c>
      <c r="K31" s="454"/>
      <c r="L31" s="83">
        <f>ROUND(F23*J31,0)</f>
        <v>155270</v>
      </c>
      <c r="M31" s="5"/>
      <c r="N31" s="383">
        <f t="shared" ref="N31:N36" si="0">ROUND((L31/$L$38)*100,1)</f>
        <v>0.1</v>
      </c>
      <c r="O31" s="6"/>
      <c r="P31" s="83"/>
      <c r="Q31" s="5"/>
      <c r="R31" s="83">
        <f>L31+P31</f>
        <v>155270</v>
      </c>
      <c r="S31" s="48"/>
    </row>
    <row r="32" spans="1:19" x14ac:dyDescent="0.25">
      <c r="A32" s="45">
        <v>9</v>
      </c>
      <c r="C32" s="216" t="str">
        <f>DSMR_Name</f>
        <v>DEMAND SIDE MANAGEMENT RIDER (DSMR)</v>
      </c>
      <c r="F32" s="94"/>
      <c r="G32" s="2"/>
      <c r="H32" s="449"/>
      <c r="I32" s="86"/>
      <c r="J32" s="453">
        <f>PRO_DSM_RES</f>
        <v>3.0349999999999999E-3</v>
      </c>
      <c r="K32" s="454"/>
      <c r="L32" s="83">
        <f>ROUND(H26*J32,0)</f>
        <v>4476384</v>
      </c>
      <c r="M32" s="5"/>
      <c r="N32" s="383">
        <f t="shared" si="0"/>
        <v>2.7</v>
      </c>
      <c r="O32" s="6"/>
      <c r="P32" s="83"/>
      <c r="Q32" s="5"/>
      <c r="R32" s="83">
        <f>L32+P32</f>
        <v>4476384</v>
      </c>
      <c r="S32" s="48"/>
    </row>
    <row r="33" spans="1:42" x14ac:dyDescent="0.25">
      <c r="A33" s="45">
        <v>10</v>
      </c>
      <c r="C33" s="216" t="str">
        <f>ESM_Name</f>
        <v>ENVIRONMENTAL SURCHARGE MECHANISM RIDER (ESM)</v>
      </c>
      <c r="F33" s="94"/>
      <c r="G33" s="2"/>
      <c r="H33" s="449"/>
      <c r="I33" s="86"/>
      <c r="J33" s="453"/>
      <c r="K33" s="454"/>
      <c r="L33" s="83">
        <f>AD74</f>
        <v>14436308</v>
      </c>
      <c r="M33" s="5"/>
      <c r="N33" s="383">
        <f t="shared" si="0"/>
        <v>8.8000000000000007</v>
      </c>
      <c r="O33" s="6"/>
      <c r="P33" s="83"/>
      <c r="Q33" s="5"/>
      <c r="R33" s="83">
        <f>L33+P33</f>
        <v>14436308</v>
      </c>
      <c r="S33" s="48"/>
    </row>
    <row r="34" spans="1:42" x14ac:dyDescent="0.25">
      <c r="A34" s="45">
        <v>11</v>
      </c>
      <c r="C34" s="216" t="str">
        <f>FAC_Name</f>
        <v>FUEL ADJUSTMENT CLAUSE (FAC)</v>
      </c>
      <c r="F34" s="94"/>
      <c r="G34" s="2"/>
      <c r="H34" s="449"/>
      <c r="I34" s="86"/>
      <c r="J34" s="453">
        <f>PRO_FAC</f>
        <v>6.8099999999999996E-4</v>
      </c>
      <c r="K34" s="454"/>
      <c r="L34" s="83"/>
      <c r="M34" s="5"/>
      <c r="N34" s="383">
        <f t="shared" si="0"/>
        <v>0</v>
      </c>
      <c r="O34" s="6"/>
      <c r="P34" s="83">
        <f>ROUND($H$26*PRO_FAC,0)</f>
        <v>1004421</v>
      </c>
      <c r="Q34" s="5"/>
      <c r="R34" s="83">
        <f t="shared" ref="R34" si="1">L34+P34</f>
        <v>1004421</v>
      </c>
      <c r="S34" s="48"/>
    </row>
    <row r="35" spans="1:42" x14ac:dyDescent="0.25">
      <c r="A35" s="45">
        <v>12</v>
      </c>
      <c r="C35" s="216" t="str">
        <f>PSM_Name</f>
        <v>PROFIT SHARING MECHANISM (PSM)</v>
      </c>
      <c r="F35" s="94"/>
      <c r="G35" s="2"/>
      <c r="H35" s="449"/>
      <c r="I35" s="86"/>
      <c r="J35" s="453">
        <f>PRO_PSM</f>
        <v>-1.63E-4</v>
      </c>
      <c r="K35" s="454"/>
      <c r="L35" s="81">
        <f>ROUND(H26*J35,0)</f>
        <v>-240412</v>
      </c>
      <c r="M35" s="5"/>
      <c r="N35" s="148">
        <f t="shared" si="0"/>
        <v>-0.1</v>
      </c>
      <c r="O35" s="6"/>
      <c r="P35" s="81"/>
      <c r="Q35" s="5"/>
      <c r="R35" s="81">
        <f t="shared" ref="R35" si="2">L35+P35</f>
        <v>-240412</v>
      </c>
      <c r="S35" s="48"/>
    </row>
    <row r="36" spans="1:42" ht="18" customHeight="1" x14ac:dyDescent="0.25">
      <c r="A36" s="45">
        <v>13</v>
      </c>
      <c r="C36" s="222" t="s">
        <v>510</v>
      </c>
      <c r="F36" s="87"/>
      <c r="G36" s="2"/>
      <c r="H36" s="452"/>
      <c r="I36" s="86"/>
      <c r="J36" s="455"/>
      <c r="K36" s="454"/>
      <c r="L36" s="90">
        <f>SUM(L31:L35)</f>
        <v>18827550</v>
      </c>
      <c r="M36" s="5"/>
      <c r="N36" s="150">
        <f t="shared" si="0"/>
        <v>11.4</v>
      </c>
      <c r="O36" s="6"/>
      <c r="P36" s="90">
        <f>SUM(P31:P35)</f>
        <v>1004421</v>
      </c>
      <c r="Q36" s="5"/>
      <c r="R36" s="90">
        <f>SUM(R31:R35)</f>
        <v>19831971</v>
      </c>
      <c r="S36" s="48"/>
    </row>
    <row r="37" spans="1:42" x14ac:dyDescent="0.25">
      <c r="A37" s="45"/>
      <c r="C37" s="46"/>
      <c r="F37" s="2"/>
      <c r="G37" s="2"/>
      <c r="H37" s="2"/>
      <c r="I37" s="2"/>
      <c r="J37" s="9"/>
      <c r="K37" s="9"/>
      <c r="L37" s="5"/>
      <c r="M37" s="5"/>
      <c r="N37" s="149"/>
      <c r="O37" s="6"/>
      <c r="P37" s="5"/>
      <c r="Q37" s="5"/>
      <c r="R37" s="5"/>
      <c r="S37" s="48"/>
    </row>
    <row r="38" spans="1:42" ht="24.95" customHeight="1" thickBot="1" x14ac:dyDescent="0.3">
      <c r="A38" s="45">
        <v>14</v>
      </c>
      <c r="C38" s="444" t="s">
        <v>511</v>
      </c>
      <c r="F38" s="82">
        <f>F23</f>
        <v>1552696</v>
      </c>
      <c r="G38" s="2"/>
      <c r="H38" s="82">
        <f>H26</f>
        <v>1474920684</v>
      </c>
      <c r="I38" s="5"/>
      <c r="J38" s="9"/>
      <c r="K38" s="9"/>
      <c r="L38" s="82">
        <f>L28+L36</f>
        <v>164859810</v>
      </c>
      <c r="M38" s="5"/>
      <c r="N38" s="151">
        <v>100</v>
      </c>
      <c r="O38" s="6"/>
      <c r="P38" s="82">
        <f>P36</f>
        <v>1004421</v>
      </c>
      <c r="Q38" s="86"/>
      <c r="R38" s="82">
        <f>R28+R36</f>
        <v>165864231</v>
      </c>
      <c r="S38" s="48"/>
    </row>
    <row r="39" spans="1:42" ht="24.95" customHeight="1" thickTop="1" x14ac:dyDescent="0.25">
      <c r="A39" s="45"/>
      <c r="C39" s="52"/>
      <c r="F39" s="83"/>
      <c r="G39" s="2"/>
      <c r="H39" s="83"/>
      <c r="I39" s="5"/>
      <c r="J39" s="9"/>
      <c r="K39" s="9"/>
      <c r="L39" s="83"/>
      <c r="M39" s="5"/>
      <c r="N39" s="91"/>
      <c r="O39" s="6"/>
      <c r="P39" s="83"/>
      <c r="Q39" s="86"/>
      <c r="R39" s="83"/>
      <c r="S39" s="48"/>
    </row>
    <row r="40" spans="1:42" x14ac:dyDescent="0.25">
      <c r="C40" s="243" t="s">
        <v>61</v>
      </c>
      <c r="L40" s="48"/>
      <c r="M40" s="48"/>
      <c r="N40" s="48"/>
      <c r="O40" s="48"/>
      <c r="P40" s="48"/>
      <c r="Q40" s="48"/>
      <c r="R40" s="48"/>
      <c r="S40" s="48"/>
    </row>
    <row r="41" spans="1:42" x14ac:dyDescent="0.25">
      <c r="C41" s="243" t="str">
        <f>"(2) REFLECTS FUEL ADJUSTMENT CLAUSE (FAC) OF "&amp;TEXT(PRO_FAC,"$0.000000;($0.000000)")&amp;"  PER KWH."</f>
        <v>(2) REFLECTS FUEL ADJUSTMENT CLAUSE (FAC) OF $0.000681  PER KWH.</v>
      </c>
    </row>
    <row r="42" spans="1:42" x14ac:dyDescent="0.25">
      <c r="C42" s="243" t="str">
        <f>"(3) REFLECTS FUEL COST RECOVERY INCLUDED IN BASE RATES OF "&amp;TEXT(PRO_BASE_FUEL,"$0.000000;($0.000000)")&amp;"  PER KWH."</f>
        <v>(3) REFLECTS FUEL COST RECOVERY INCLUDED IN BASE RATES OF $0.023837  PER KWH.</v>
      </c>
      <c r="T42" s="43" t="str">
        <f>NAME</f>
        <v>DUKE ENERGY KENTUCKY, INC.</v>
      </c>
      <c r="U42" s="43"/>
      <c r="V42" s="43"/>
      <c r="W42" s="43"/>
      <c r="X42" s="43"/>
      <c r="Y42" s="43"/>
      <c r="Z42" s="43"/>
      <c r="AA42" s="43"/>
      <c r="AB42" s="44"/>
      <c r="AC42" s="44"/>
      <c r="AD42" s="43"/>
      <c r="AE42" s="43"/>
      <c r="AF42" s="144"/>
      <c r="AG42" s="43"/>
      <c r="AH42" s="43"/>
      <c r="AI42" s="43"/>
      <c r="AJ42" s="144"/>
      <c r="AK42" s="43"/>
      <c r="AL42" s="43"/>
      <c r="AM42" s="43"/>
      <c r="AN42" s="43"/>
      <c r="AO42" s="43"/>
      <c r="AP42" s="144"/>
    </row>
    <row r="43" spans="1:42" x14ac:dyDescent="0.25">
      <c r="T43" s="43" t="str">
        <f>CASE_NO</f>
        <v>CASE NO.   2019-000271</v>
      </c>
      <c r="U43" s="43"/>
      <c r="V43" s="43"/>
      <c r="W43" s="43"/>
      <c r="X43" s="43"/>
      <c r="Y43" s="43"/>
      <c r="Z43" s="43"/>
      <c r="AA43" s="43"/>
      <c r="AB43" s="44"/>
      <c r="AC43" s="44"/>
      <c r="AD43" s="43"/>
      <c r="AE43" s="43"/>
      <c r="AF43" s="144"/>
      <c r="AG43" s="43"/>
      <c r="AH43" s="43"/>
      <c r="AI43" s="43"/>
      <c r="AJ43" s="144"/>
      <c r="AK43" s="43"/>
      <c r="AL43" s="43"/>
      <c r="AM43" s="43"/>
      <c r="AN43" s="43"/>
      <c r="AO43" s="43"/>
      <c r="AP43" s="144"/>
    </row>
    <row r="44" spans="1:42" x14ac:dyDescent="0.25">
      <c r="F44" s="200"/>
      <c r="G44" s="200"/>
      <c r="H44" s="200"/>
      <c r="T44" s="44" t="str">
        <f>TITLE</f>
        <v>ANNUALIZED BASE YEAR REVENUES AT PROPOSED VS. MOST CURRENT RATES</v>
      </c>
      <c r="U44" s="43"/>
      <c r="V44" s="43"/>
      <c r="W44" s="43"/>
      <c r="X44" s="43"/>
      <c r="Y44" s="43"/>
      <c r="Z44" s="44"/>
      <c r="AA44" s="44"/>
      <c r="AB44" s="43"/>
      <c r="AC44" s="43"/>
      <c r="AD44" s="43"/>
      <c r="AE44" s="43"/>
      <c r="AF44" s="144"/>
      <c r="AG44" s="43"/>
      <c r="AH44" s="43"/>
      <c r="AI44" s="43"/>
      <c r="AJ44" s="144"/>
      <c r="AK44" s="43"/>
      <c r="AL44" s="43"/>
      <c r="AM44" s="43"/>
      <c r="AN44" s="43"/>
      <c r="AO44" s="43"/>
      <c r="AP44" s="144"/>
    </row>
    <row r="45" spans="1:42" x14ac:dyDescent="0.25">
      <c r="T45" s="43" t="str">
        <f>DATE</f>
        <v>FOR THE TWELVE MONTHS ENDED November 30, 2019</v>
      </c>
      <c r="U45" s="43"/>
      <c r="V45" s="43"/>
      <c r="W45" s="43"/>
      <c r="X45" s="43"/>
      <c r="Y45" s="43"/>
      <c r="Z45" s="43"/>
      <c r="AA45" s="43"/>
      <c r="AB45" s="44"/>
      <c r="AC45" s="44"/>
      <c r="AD45" s="43"/>
      <c r="AE45" s="43"/>
      <c r="AF45" s="144"/>
      <c r="AG45" s="43"/>
      <c r="AH45" s="43"/>
      <c r="AI45" s="43"/>
      <c r="AJ45" s="144"/>
      <c r="AK45" s="43"/>
      <c r="AL45" s="43"/>
      <c r="AM45" s="43"/>
      <c r="AN45" s="43"/>
      <c r="AO45" s="43"/>
      <c r="AP45" s="144"/>
    </row>
    <row r="46" spans="1:42" x14ac:dyDescent="0.25">
      <c r="F46" s="376"/>
      <c r="T46" s="43" t="str">
        <f>SERVICE</f>
        <v>(ELECTRIC SERVICE)</v>
      </c>
      <c r="U46" s="43"/>
      <c r="V46" s="43"/>
      <c r="W46" s="43"/>
      <c r="X46" s="43"/>
      <c r="Y46" s="43"/>
      <c r="Z46" s="43"/>
      <c r="AA46" s="43"/>
      <c r="AB46" s="43"/>
      <c r="AC46" s="43"/>
      <c r="AD46" s="44"/>
      <c r="AE46" s="44"/>
      <c r="AF46" s="144"/>
      <c r="AG46" s="43"/>
      <c r="AH46" s="43"/>
      <c r="AI46" s="43"/>
      <c r="AJ46" s="144"/>
      <c r="AK46" s="43"/>
      <c r="AL46" s="43"/>
      <c r="AM46" s="43"/>
      <c r="AN46" s="43"/>
      <c r="AO46" s="43"/>
      <c r="AP46" s="144"/>
    </row>
    <row r="47" spans="1:42" x14ac:dyDescent="0.25">
      <c r="T47" s="45" t="str">
        <f>DATA_PERIOD</f>
        <v>DATA: __X__ BASE PERIOD   ____FORECASTED PERIOD</v>
      </c>
      <c r="AN47" s="46" t="s">
        <v>164</v>
      </c>
      <c r="AO47" s="46"/>
    </row>
    <row r="48" spans="1:42" x14ac:dyDescent="0.25">
      <c r="C48" s="216"/>
      <c r="T48" s="45" t="str">
        <f>TYPE</f>
        <v>TYPE OF FILING: _X_ ORIGINAL   ___UPDATED  ___ REVISED</v>
      </c>
      <c r="AN48" s="52" t="str">
        <f>"PAGE 2 OF "&amp;TEXT(Page_Num_2.2,"00")</f>
        <v>PAGE 2 OF 22</v>
      </c>
      <c r="AO48" s="46"/>
    </row>
    <row r="49" spans="20:42" x14ac:dyDescent="0.25">
      <c r="T49" s="46" t="s">
        <v>177</v>
      </c>
      <c r="AN49" s="46" t="s">
        <v>3</v>
      </c>
      <c r="AO49" s="46"/>
    </row>
    <row r="50" spans="20:42" x14ac:dyDescent="0.25">
      <c r="T50" s="222" t="str">
        <f>TIME</f>
        <v>6 Months Actual and 6 Months Projected with Riders</v>
      </c>
      <c r="AN50" s="46" t="str">
        <f>WIT</f>
        <v>J. L. Kern</v>
      </c>
      <c r="AO50" s="46"/>
    </row>
    <row r="51" spans="20:42" x14ac:dyDescent="0.25">
      <c r="T51" s="222" t="str">
        <f>INPUT!B5</f>
        <v>6 Months Actual Ending May 31, 2019</v>
      </c>
      <c r="AN51" s="46"/>
      <c r="AO51" s="46"/>
    </row>
    <row r="52" spans="20:42" x14ac:dyDescent="0.25">
      <c r="AD52" s="46" t="s">
        <v>5</v>
      </c>
      <c r="AE52" s="46"/>
      <c r="AN52" s="45"/>
      <c r="AO52" s="45"/>
    </row>
    <row r="53" spans="20:42" x14ac:dyDescent="0.25"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145"/>
      <c r="AG53" s="47"/>
      <c r="AH53" s="47"/>
      <c r="AI53" s="47"/>
      <c r="AJ53" s="145"/>
      <c r="AK53" s="47"/>
      <c r="AL53" s="47"/>
      <c r="AM53" s="47"/>
      <c r="AN53" s="47"/>
      <c r="AO53" s="47"/>
      <c r="AP53" s="145"/>
    </row>
    <row r="54" spans="20:42" ht="18" customHeight="1" x14ac:dyDescent="0.25">
      <c r="AD54" s="426" t="s">
        <v>8</v>
      </c>
      <c r="AE54" s="426"/>
      <c r="AF54" s="146" t="s">
        <v>7</v>
      </c>
      <c r="AG54" s="426"/>
      <c r="AH54" s="426" t="s">
        <v>9</v>
      </c>
      <c r="AI54" s="426"/>
      <c r="AJ54" s="146" t="s">
        <v>10</v>
      </c>
      <c r="AK54" s="426"/>
      <c r="AN54" s="426" t="s">
        <v>8</v>
      </c>
      <c r="AO54" s="426"/>
      <c r="AP54" s="146" t="s">
        <v>11</v>
      </c>
    </row>
    <row r="55" spans="20:42" x14ac:dyDescent="0.25">
      <c r="AB55" s="426" t="s">
        <v>14</v>
      </c>
      <c r="AC55" s="426"/>
      <c r="AD55" s="426" t="s">
        <v>12</v>
      </c>
      <c r="AE55" s="426"/>
      <c r="AF55" s="146" t="s">
        <v>13</v>
      </c>
      <c r="AG55" s="426"/>
      <c r="AH55" s="426" t="s">
        <v>15</v>
      </c>
      <c r="AI55" s="426"/>
      <c r="AJ55" s="146" t="s">
        <v>16</v>
      </c>
      <c r="AK55" s="426"/>
      <c r="AN55" s="426" t="s">
        <v>11</v>
      </c>
      <c r="AO55" s="426"/>
      <c r="AP55" s="146" t="s">
        <v>9</v>
      </c>
    </row>
    <row r="56" spans="20:42" x14ac:dyDescent="0.25">
      <c r="T56" s="426" t="s">
        <v>17</v>
      </c>
      <c r="V56" s="426" t="s">
        <v>18</v>
      </c>
      <c r="W56" s="426" t="s">
        <v>19</v>
      </c>
      <c r="X56" s="426" t="s">
        <v>20</v>
      </c>
      <c r="AB56" s="426" t="s">
        <v>8</v>
      </c>
      <c r="AC56" s="426"/>
      <c r="AD56" s="426" t="s">
        <v>21</v>
      </c>
      <c r="AE56" s="426"/>
      <c r="AF56" s="146" t="s">
        <v>21</v>
      </c>
      <c r="AG56" s="426"/>
      <c r="AH56" s="426" t="s">
        <v>22</v>
      </c>
      <c r="AI56" s="426"/>
      <c r="AJ56" s="146" t="s">
        <v>22</v>
      </c>
      <c r="AK56" s="426"/>
      <c r="AL56" s="426" t="s">
        <v>21</v>
      </c>
      <c r="AM56" s="426"/>
      <c r="AN56" s="426" t="s">
        <v>9</v>
      </c>
      <c r="AO56" s="426"/>
      <c r="AP56" s="146" t="s">
        <v>23</v>
      </c>
    </row>
    <row r="57" spans="20:42" x14ac:dyDescent="0.25">
      <c r="T57" s="426" t="s">
        <v>24</v>
      </c>
      <c r="V57" s="426" t="s">
        <v>25</v>
      </c>
      <c r="W57" s="426" t="s">
        <v>26</v>
      </c>
      <c r="X57" s="426" t="s">
        <v>27</v>
      </c>
      <c r="Z57" s="426" t="s">
        <v>28</v>
      </c>
      <c r="AA57" s="426"/>
      <c r="AB57" s="426" t="s">
        <v>29</v>
      </c>
      <c r="AC57" s="426"/>
      <c r="AD57" s="426" t="s">
        <v>9</v>
      </c>
      <c r="AE57" s="426"/>
      <c r="AF57" s="146" t="s">
        <v>9</v>
      </c>
      <c r="AG57" s="426"/>
      <c r="AH57" s="265" t="s">
        <v>31</v>
      </c>
      <c r="AI57" s="265"/>
      <c r="AJ57" s="440" t="s">
        <v>32</v>
      </c>
      <c r="AK57" s="426"/>
      <c r="AL57" s="426" t="s">
        <v>379</v>
      </c>
      <c r="AM57" s="426"/>
      <c r="AN57" s="265" t="s">
        <v>33</v>
      </c>
      <c r="AO57" s="265"/>
      <c r="AP57" s="440" t="s">
        <v>34</v>
      </c>
    </row>
    <row r="58" spans="20:42" x14ac:dyDescent="0.25">
      <c r="V58" s="265" t="s">
        <v>35</v>
      </c>
      <c r="W58" s="265" t="s">
        <v>36</v>
      </c>
      <c r="X58" s="265" t="s">
        <v>37</v>
      </c>
      <c r="Y58" s="218"/>
      <c r="Z58" s="265" t="s">
        <v>38</v>
      </c>
      <c r="AA58" s="265"/>
      <c r="AB58" s="265" t="s">
        <v>44</v>
      </c>
      <c r="AC58" s="265"/>
      <c r="AD58" s="265" t="s">
        <v>45</v>
      </c>
      <c r="AE58" s="265"/>
      <c r="AF58" s="440" t="s">
        <v>46</v>
      </c>
      <c r="AG58" s="265"/>
      <c r="AH58" s="265" t="s">
        <v>47</v>
      </c>
      <c r="AI58" s="265"/>
      <c r="AJ58" s="440" t="s">
        <v>48</v>
      </c>
      <c r="AK58" s="265"/>
      <c r="AL58" s="265" t="s">
        <v>42</v>
      </c>
      <c r="AM58" s="265"/>
      <c r="AN58" s="265" t="s">
        <v>49</v>
      </c>
      <c r="AO58" s="265"/>
      <c r="AP58" s="440" t="s">
        <v>50</v>
      </c>
    </row>
    <row r="59" spans="20:42" ht="17.100000000000001" customHeight="1" x14ac:dyDescent="0.25"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145"/>
      <c r="AG59" s="47"/>
      <c r="AH59" s="47"/>
      <c r="AI59" s="47"/>
      <c r="AJ59" s="145"/>
      <c r="AK59" s="47"/>
      <c r="AL59" s="47"/>
      <c r="AM59" s="47"/>
      <c r="AN59" s="47"/>
      <c r="AO59" s="47"/>
      <c r="AP59" s="145"/>
    </row>
    <row r="60" spans="20:42" ht="17.100000000000001" customHeight="1" x14ac:dyDescent="0.25">
      <c r="Z60" s="441" t="s">
        <v>51</v>
      </c>
      <c r="AA60" s="441"/>
      <c r="AB60" s="442" t="s">
        <v>368</v>
      </c>
      <c r="AC60" s="441"/>
      <c r="AD60" s="441" t="s">
        <v>52</v>
      </c>
      <c r="AE60" s="441"/>
      <c r="AF60" s="443" t="s">
        <v>53</v>
      </c>
      <c r="AG60" s="441"/>
      <c r="AH60" s="441" t="s">
        <v>52</v>
      </c>
      <c r="AI60" s="441"/>
      <c r="AJ60" s="443" t="s">
        <v>53</v>
      </c>
      <c r="AK60" s="441"/>
      <c r="AL60" s="441" t="s">
        <v>52</v>
      </c>
      <c r="AM60" s="441"/>
      <c r="AN60" s="441" t="s">
        <v>52</v>
      </c>
      <c r="AO60" s="441"/>
      <c r="AP60" s="443" t="s">
        <v>53</v>
      </c>
    </row>
    <row r="61" spans="20:42" x14ac:dyDescent="0.25">
      <c r="T61" s="45">
        <v>1</v>
      </c>
      <c r="V61" s="222" t="s">
        <v>54</v>
      </c>
      <c r="W61" s="222" t="s">
        <v>55</v>
      </c>
      <c r="X61" s="2"/>
      <c r="Y61" s="2"/>
      <c r="Z61" s="2"/>
      <c r="AA61" s="2"/>
      <c r="AB61" s="2"/>
      <c r="AC61" s="2"/>
      <c r="AD61" s="2"/>
      <c r="AE61" s="2"/>
      <c r="AF61" s="147"/>
      <c r="AG61" s="2"/>
      <c r="AH61" s="2"/>
      <c r="AI61" s="2"/>
      <c r="AJ61" s="147"/>
      <c r="AK61" s="2"/>
      <c r="AL61" s="2"/>
      <c r="AM61" s="2"/>
      <c r="AN61" s="2"/>
      <c r="AO61" s="2"/>
      <c r="AP61" s="147"/>
    </row>
    <row r="62" spans="20:42" x14ac:dyDescent="0.25">
      <c r="T62" s="45"/>
      <c r="V62" s="46"/>
      <c r="W62" s="46"/>
      <c r="X62" s="2"/>
      <c r="Y62" s="2"/>
      <c r="Z62" s="2"/>
      <c r="AA62" s="2"/>
      <c r="AB62" s="2"/>
      <c r="AC62" s="2"/>
      <c r="AD62" s="2"/>
      <c r="AE62" s="2"/>
      <c r="AF62" s="147"/>
      <c r="AG62" s="2"/>
      <c r="AH62" s="2"/>
      <c r="AI62" s="2"/>
      <c r="AJ62" s="147"/>
      <c r="AK62" s="2"/>
      <c r="AL62" s="2"/>
      <c r="AM62" s="2"/>
      <c r="AN62" s="2"/>
      <c r="AO62" s="2"/>
      <c r="AP62" s="147"/>
    </row>
    <row r="63" spans="20:42" x14ac:dyDescent="0.25">
      <c r="T63" s="378">
        <v>2</v>
      </c>
      <c r="V63" s="218" t="s">
        <v>140</v>
      </c>
      <c r="X63" s="86"/>
      <c r="Y63" s="2"/>
      <c r="Z63" s="86"/>
      <c r="AA63" s="86"/>
      <c r="AB63" s="446"/>
      <c r="AC63" s="446"/>
      <c r="AD63" s="5"/>
      <c r="AE63" s="5"/>
      <c r="AF63" s="149"/>
      <c r="AG63" s="6"/>
      <c r="AH63" s="5"/>
      <c r="AI63" s="5"/>
      <c r="AJ63" s="147"/>
      <c r="AK63" s="2"/>
      <c r="AL63" s="5"/>
      <c r="AM63" s="5"/>
      <c r="AN63" s="5"/>
      <c r="AO63" s="5"/>
      <c r="AP63" s="149"/>
    </row>
    <row r="64" spans="20:42" x14ac:dyDescent="0.25">
      <c r="T64" s="45">
        <v>3</v>
      </c>
      <c r="V64" s="216" t="s">
        <v>57</v>
      </c>
      <c r="X64" s="83">
        <f>F23</f>
        <v>1552696</v>
      </c>
      <c r="Y64" s="2"/>
      <c r="Z64" s="86"/>
      <c r="AA64" s="86"/>
      <c r="AB64" s="450">
        <f>INPUT!C43</f>
        <v>11</v>
      </c>
      <c r="AC64" s="96"/>
      <c r="AD64" s="83">
        <f>ROUND(X64*AB64,0)</f>
        <v>17079656</v>
      </c>
      <c r="AE64" s="83"/>
      <c r="AF64" s="383">
        <f>ROUND((AD64/$AD$79)*100,1)</f>
        <v>12.1</v>
      </c>
      <c r="AG64" s="91"/>
      <c r="AH64" s="83">
        <f>L23-AD64</f>
        <v>4658088</v>
      </c>
      <c r="AI64" s="83"/>
      <c r="AJ64" s="383">
        <f>ROUND((AH64/AD64)*100,1)</f>
        <v>27.3</v>
      </c>
      <c r="AK64" s="91"/>
      <c r="AL64" s="83"/>
      <c r="AM64" s="83"/>
      <c r="AN64" s="83">
        <f>AD64+AL64</f>
        <v>17079656</v>
      </c>
      <c r="AO64" s="5"/>
      <c r="AP64" s="149">
        <f>ROUND((AH64/AN64)*100,1)</f>
        <v>27.3</v>
      </c>
    </row>
    <row r="65" spans="20:42" x14ac:dyDescent="0.25">
      <c r="T65" s="45"/>
      <c r="V65" s="46"/>
      <c r="X65" s="83"/>
      <c r="Y65" s="2"/>
      <c r="Z65" s="86"/>
      <c r="AA65" s="86"/>
      <c r="AB65" s="96"/>
      <c r="AC65" s="96"/>
      <c r="AD65" s="83"/>
      <c r="AE65" s="5"/>
      <c r="AF65" s="383"/>
      <c r="AG65" s="6"/>
      <c r="AH65" s="83"/>
      <c r="AI65" s="5"/>
      <c r="AJ65" s="383"/>
      <c r="AK65" s="6"/>
      <c r="AL65" s="83"/>
      <c r="AM65" s="5"/>
      <c r="AN65" s="83"/>
      <c r="AO65" s="5"/>
      <c r="AP65" s="149"/>
    </row>
    <row r="66" spans="20:42" x14ac:dyDescent="0.25">
      <c r="T66" s="378">
        <v>4</v>
      </c>
      <c r="V66" s="218" t="s">
        <v>432</v>
      </c>
      <c r="X66" s="451"/>
      <c r="Y66" s="2"/>
      <c r="Z66" s="451"/>
      <c r="AA66" s="451"/>
      <c r="AB66" s="446"/>
      <c r="AC66" s="446"/>
      <c r="AD66" s="5"/>
      <c r="AE66" s="5"/>
      <c r="AF66" s="149"/>
      <c r="AG66" s="6"/>
      <c r="AH66" s="5"/>
      <c r="AI66" s="5"/>
      <c r="AJ66" s="149"/>
      <c r="AK66" s="6"/>
      <c r="AL66" s="2"/>
      <c r="AM66" s="2"/>
      <c r="AN66" s="5"/>
      <c r="AO66" s="5"/>
      <c r="AP66" s="149"/>
    </row>
    <row r="67" spans="20:42" x14ac:dyDescent="0.25">
      <c r="T67" s="45">
        <v>5</v>
      </c>
      <c r="V67" s="216" t="s">
        <v>129</v>
      </c>
      <c r="X67" s="87"/>
      <c r="Y67" s="2"/>
      <c r="Z67" s="81">
        <f>H26</f>
        <v>1474920684</v>
      </c>
      <c r="AA67" s="5"/>
      <c r="AB67" s="453">
        <f>INPUT!C44</f>
        <v>7.1650000000000005E-2</v>
      </c>
      <c r="AC67" s="456"/>
      <c r="AD67" s="81">
        <f>ROUND((Z67*AB67),0)</f>
        <v>105678067</v>
      </c>
      <c r="AE67" s="5"/>
      <c r="AF67" s="148">
        <f>ROUND((AD67/$AD$79)*100,1)</f>
        <v>74.599999999999994</v>
      </c>
      <c r="AG67" s="6"/>
      <c r="AH67" s="81">
        <f>L26-AD67</f>
        <v>18616449</v>
      </c>
      <c r="AI67" s="5"/>
      <c r="AJ67" s="148">
        <f>ROUND((AH67/AD67)*100,1)</f>
        <v>17.600000000000001</v>
      </c>
      <c r="AK67" s="6"/>
      <c r="AL67" s="81"/>
      <c r="AM67" s="5"/>
      <c r="AN67" s="81">
        <f>AD67+AL67</f>
        <v>105678067</v>
      </c>
      <c r="AO67" s="5"/>
      <c r="AP67" s="149">
        <f>ROUND((AH67/AN67)*100,1)</f>
        <v>17.600000000000001</v>
      </c>
    </row>
    <row r="68" spans="20:42" x14ac:dyDescent="0.25">
      <c r="T68" s="45"/>
      <c r="V68" s="46"/>
      <c r="X68" s="2"/>
      <c r="Y68" s="2"/>
      <c r="Z68" s="2"/>
      <c r="AA68" s="2"/>
      <c r="AB68" s="446"/>
      <c r="AC68" s="446"/>
      <c r="AD68" s="5"/>
      <c r="AE68" s="5"/>
      <c r="AF68" s="149"/>
      <c r="AG68" s="6"/>
      <c r="AH68" s="5"/>
      <c r="AI68" s="5"/>
      <c r="AJ68" s="149"/>
      <c r="AK68" s="6"/>
      <c r="AL68" s="5"/>
      <c r="AM68" s="5"/>
      <c r="AN68" s="5"/>
      <c r="AO68" s="5"/>
      <c r="AP68" s="149"/>
    </row>
    <row r="69" spans="20:42" x14ac:dyDescent="0.25">
      <c r="T69" s="45">
        <v>6</v>
      </c>
      <c r="V69" s="444" t="s">
        <v>505</v>
      </c>
      <c r="X69" s="105">
        <f>X64</f>
        <v>1552696</v>
      </c>
      <c r="Y69" s="2"/>
      <c r="Z69" s="105">
        <f>Z67</f>
        <v>1474920684</v>
      </c>
      <c r="AA69" s="2"/>
      <c r="AB69" s="446"/>
      <c r="AC69" s="446"/>
      <c r="AD69" s="81">
        <f>SUM(AD64:AD67)</f>
        <v>122757723</v>
      </c>
      <c r="AE69" s="5"/>
      <c r="AF69" s="148">
        <f>ROUND((AD69/$AD$79)*100,1)</f>
        <v>86.7</v>
      </c>
      <c r="AG69" s="6"/>
      <c r="AH69" s="81">
        <f>SUM(AH64:AH67)</f>
        <v>23274537</v>
      </c>
      <c r="AI69" s="5"/>
      <c r="AJ69" s="148">
        <f>ROUND((AH69/AD69)*100,1)</f>
        <v>19</v>
      </c>
      <c r="AK69" s="6"/>
      <c r="AL69" s="81"/>
      <c r="AM69" s="5"/>
      <c r="AN69" s="81">
        <f>SUM(AN64:AN67)</f>
        <v>122757723</v>
      </c>
      <c r="AO69" s="5"/>
      <c r="AP69" s="149">
        <f>ROUND((AH69/AN69)*100,1)</f>
        <v>19</v>
      </c>
    </row>
    <row r="70" spans="20:42" x14ac:dyDescent="0.25">
      <c r="T70" s="45"/>
      <c r="V70" s="216"/>
      <c r="X70" s="2"/>
      <c r="Y70" s="2"/>
      <c r="Z70" s="2"/>
      <c r="AA70" s="2"/>
      <c r="AB70" s="446"/>
      <c r="AC70" s="446"/>
      <c r="AD70" s="5"/>
      <c r="AE70" s="5"/>
      <c r="AF70" s="149"/>
      <c r="AG70" s="6"/>
      <c r="AH70" s="5"/>
      <c r="AI70" s="5"/>
      <c r="AJ70" s="149"/>
      <c r="AK70" s="6"/>
      <c r="AL70" s="5"/>
      <c r="AM70" s="5"/>
      <c r="AN70" s="5"/>
      <c r="AO70" s="5"/>
      <c r="AP70" s="149"/>
    </row>
    <row r="71" spans="20:42" x14ac:dyDescent="0.25">
      <c r="T71" s="45">
        <v>7</v>
      </c>
      <c r="V71" s="222" t="s">
        <v>504</v>
      </c>
      <c r="X71" s="2"/>
      <c r="Y71" s="2"/>
      <c r="Z71" s="2"/>
      <c r="AA71" s="2"/>
      <c r="AB71" s="446"/>
      <c r="AC71" s="446"/>
      <c r="AD71" s="5"/>
      <c r="AE71" s="5"/>
      <c r="AF71" s="149"/>
      <c r="AG71" s="6"/>
      <c r="AH71" s="5"/>
      <c r="AI71" s="5"/>
      <c r="AJ71" s="149"/>
      <c r="AK71" s="6"/>
      <c r="AL71" s="5"/>
      <c r="AM71" s="5"/>
      <c r="AN71" s="5"/>
      <c r="AO71" s="5"/>
      <c r="AP71" s="149"/>
    </row>
    <row r="72" spans="20:42" x14ac:dyDescent="0.25">
      <c r="T72" s="394">
        <f t="shared" ref="T72:T77" si="3">A31</f>
        <v>8</v>
      </c>
      <c r="V72" s="216" t="str">
        <f>C31</f>
        <v>HOME ENERGY ASSISTANCE (HEA)</v>
      </c>
      <c r="X72" s="2"/>
      <c r="Y72" s="2"/>
      <c r="Z72" s="2"/>
      <c r="AA72" s="2"/>
      <c r="AB72" s="450">
        <f>DSM_RS_CUST</f>
        <v>0.1</v>
      </c>
      <c r="AC72" s="446"/>
      <c r="AD72" s="83">
        <f>ROUND(X64*AB72,0)</f>
        <v>155270</v>
      </c>
      <c r="AE72" s="5"/>
      <c r="AF72" s="383">
        <f>ROUND((AD72/$AD$79)*100,1)</f>
        <v>0.1</v>
      </c>
      <c r="AG72" s="91"/>
      <c r="AH72" s="83">
        <f>L31-AD72</f>
        <v>0</v>
      </c>
      <c r="AI72" s="83"/>
      <c r="AJ72" s="383">
        <f t="shared" ref="AJ72:AJ77" si="4">ROUND((AH72/AD72)*100,1)</f>
        <v>0</v>
      </c>
      <c r="AK72" s="91"/>
      <c r="AL72" s="83"/>
      <c r="AM72" s="83"/>
      <c r="AN72" s="83">
        <f t="shared" ref="AN72:AN76" si="5">AD72+AL72</f>
        <v>155270</v>
      </c>
      <c r="AO72" s="5"/>
      <c r="AP72" s="149">
        <f t="shared" ref="AP72:AP76" si="6">ROUND((AH72/AN72)*100,1)</f>
        <v>0</v>
      </c>
    </row>
    <row r="73" spans="20:42" x14ac:dyDescent="0.25">
      <c r="T73" s="394">
        <f t="shared" si="3"/>
        <v>9</v>
      </c>
      <c r="V73" s="216" t="str">
        <f>C32</f>
        <v>DEMAND SIDE MANAGEMENT RIDER (DSMR)</v>
      </c>
      <c r="X73" s="2"/>
      <c r="Y73" s="2"/>
      <c r="Z73" s="2"/>
      <c r="AA73" s="2"/>
      <c r="AB73" s="457">
        <f>DSM_RES</f>
        <v>3.0349999999999999E-3</v>
      </c>
      <c r="AC73" s="446"/>
      <c r="AD73" s="83">
        <f>ROUND(Z67*AB73,0)</f>
        <v>4476384</v>
      </c>
      <c r="AE73" s="5"/>
      <c r="AF73" s="383">
        <f>ROUND((AD73/$AD$79)*100,1)</f>
        <v>3.2</v>
      </c>
      <c r="AG73" s="91"/>
      <c r="AH73" s="83">
        <f>L32-AD73</f>
        <v>0</v>
      </c>
      <c r="AI73" s="83"/>
      <c r="AJ73" s="383">
        <f t="shared" si="4"/>
        <v>0</v>
      </c>
      <c r="AK73" s="91"/>
      <c r="AL73" s="83"/>
      <c r="AM73" s="83"/>
      <c r="AN73" s="83">
        <f t="shared" si="5"/>
        <v>4476384</v>
      </c>
      <c r="AO73" s="5"/>
      <c r="AP73" s="149">
        <f t="shared" si="6"/>
        <v>0</v>
      </c>
    </row>
    <row r="74" spans="20:42" x14ac:dyDescent="0.25">
      <c r="T74" s="394">
        <f t="shared" si="3"/>
        <v>10</v>
      </c>
      <c r="V74" s="216" t="str">
        <f>C33</f>
        <v>ENVIRONMENTAL SURCHARGE MECHANISM RIDER (ESM)</v>
      </c>
      <c r="X74" s="2"/>
      <c r="Y74" s="2"/>
      <c r="Z74" s="2"/>
      <c r="AA74" s="2"/>
      <c r="AB74" s="458">
        <f>CUR_ESM</f>
        <v>0.1176</v>
      </c>
      <c r="AC74" s="446"/>
      <c r="AD74" s="83">
        <f>ROUND(AN69*AB74,0)</f>
        <v>14436308</v>
      </c>
      <c r="AE74" s="5"/>
      <c r="AF74" s="383">
        <f>ROUND((AD74/$AD$79)*100,1)</f>
        <v>10.199999999999999</v>
      </c>
      <c r="AG74" s="91"/>
      <c r="AH74" s="83">
        <f>L33-AD74</f>
        <v>0</v>
      </c>
      <c r="AI74" s="83"/>
      <c r="AJ74" s="383">
        <f>IFERROR(ROUND((AH74/AD74)*100,1),0)</f>
        <v>0</v>
      </c>
      <c r="AK74" s="91"/>
      <c r="AL74" s="83"/>
      <c r="AM74" s="83"/>
      <c r="AN74" s="83">
        <f t="shared" si="5"/>
        <v>14436308</v>
      </c>
      <c r="AO74" s="5"/>
      <c r="AP74" s="149">
        <f>IFERROR(ROUND((AH74/AN74)*100,1),0)</f>
        <v>0</v>
      </c>
    </row>
    <row r="75" spans="20:42" x14ac:dyDescent="0.25">
      <c r="T75" s="394">
        <f t="shared" si="3"/>
        <v>11</v>
      </c>
      <c r="V75" s="216" t="str">
        <f>C34</f>
        <v>FUEL ADJUSTMENT CLAUSE (FAC)</v>
      </c>
      <c r="X75" s="2"/>
      <c r="Y75" s="2"/>
      <c r="Z75" s="2"/>
      <c r="AA75" s="2"/>
      <c r="AB75" s="457">
        <f>CUR_FAC</f>
        <v>6.8099999999999996E-4</v>
      </c>
      <c r="AC75" s="446"/>
      <c r="AD75" s="83"/>
      <c r="AE75" s="5"/>
      <c r="AF75" s="383"/>
      <c r="AG75" s="91"/>
      <c r="AH75" s="83"/>
      <c r="AI75" s="83"/>
      <c r="AJ75" s="383"/>
      <c r="AK75" s="91"/>
      <c r="AL75" s="83">
        <f>ROUND(Z67*CUR_FAC,0)</f>
        <v>1004421</v>
      </c>
      <c r="AM75" s="83"/>
      <c r="AN75" s="83">
        <f t="shared" si="5"/>
        <v>1004421</v>
      </c>
      <c r="AO75" s="5"/>
      <c r="AP75" s="149">
        <f>ROUND(((R34-AN75)/AN75)*100,1)</f>
        <v>0</v>
      </c>
    </row>
    <row r="76" spans="20:42" x14ac:dyDescent="0.25">
      <c r="T76" s="394">
        <f t="shared" si="3"/>
        <v>12</v>
      </c>
      <c r="V76" s="216" t="str">
        <f>C35</f>
        <v>PROFIT SHARING MECHANISM (PSM)</v>
      </c>
      <c r="X76" s="84"/>
      <c r="Y76" s="84"/>
      <c r="Z76" s="84"/>
      <c r="AA76" s="2"/>
      <c r="AB76" s="457">
        <f>RS_PSM</f>
        <v>-1.63E-4</v>
      </c>
      <c r="AC76" s="446"/>
      <c r="AD76" s="81">
        <f>ROUND(Z67*AB76,0)</f>
        <v>-240412</v>
      </c>
      <c r="AE76" s="5"/>
      <c r="AF76" s="148">
        <f>ROUND((AD76/$AD$79)*100,1)</f>
        <v>-0.2</v>
      </c>
      <c r="AG76" s="91"/>
      <c r="AH76" s="81">
        <f>L35-AD76</f>
        <v>0</v>
      </c>
      <c r="AI76" s="83"/>
      <c r="AJ76" s="148">
        <f t="shared" si="4"/>
        <v>0</v>
      </c>
      <c r="AK76" s="91"/>
      <c r="AL76" s="81"/>
      <c r="AM76" s="83"/>
      <c r="AN76" s="81">
        <f t="shared" si="5"/>
        <v>-240412</v>
      </c>
      <c r="AO76" s="5"/>
      <c r="AP76" s="149">
        <f t="shared" si="6"/>
        <v>0</v>
      </c>
    </row>
    <row r="77" spans="20:42" ht="18" customHeight="1" x14ac:dyDescent="0.25">
      <c r="T77" s="394">
        <f t="shared" si="3"/>
        <v>13</v>
      </c>
      <c r="V77" s="222" t="s">
        <v>510</v>
      </c>
      <c r="X77" s="10"/>
      <c r="Y77" s="2"/>
      <c r="Z77" s="10"/>
      <c r="AA77" s="2"/>
      <c r="AB77" s="446"/>
      <c r="AC77" s="446"/>
      <c r="AD77" s="90">
        <f>SUM(AD72:AD76)</f>
        <v>18827550</v>
      </c>
      <c r="AE77" s="5"/>
      <c r="AF77" s="150">
        <f>ROUND((AD77/$AD$79)*100,1)</f>
        <v>13.3</v>
      </c>
      <c r="AG77" s="6"/>
      <c r="AH77" s="90">
        <f>SUM(AH72:AH76)</f>
        <v>0</v>
      </c>
      <c r="AI77" s="5"/>
      <c r="AJ77" s="150">
        <f t="shared" si="4"/>
        <v>0</v>
      </c>
      <c r="AK77" s="6"/>
      <c r="AL77" s="90">
        <f>SUM(AL72:AL76)</f>
        <v>1004421</v>
      </c>
      <c r="AM77" s="5"/>
      <c r="AN77" s="90">
        <f>SUM(AN72:AN76)</f>
        <v>19831971</v>
      </c>
      <c r="AO77" s="5"/>
      <c r="AP77" s="149">
        <f>ROUND((AH77/AN77)*100,1)</f>
        <v>0</v>
      </c>
    </row>
    <row r="78" spans="20:42" x14ac:dyDescent="0.25">
      <c r="T78" s="45"/>
      <c r="V78" s="46"/>
      <c r="X78" s="2"/>
      <c r="Y78" s="2"/>
      <c r="Z78" s="2"/>
      <c r="AA78" s="2"/>
      <c r="AB78" s="446"/>
      <c r="AC78" s="446"/>
      <c r="AD78" s="5"/>
      <c r="AE78" s="5"/>
      <c r="AF78" s="149"/>
      <c r="AG78" s="6"/>
      <c r="AH78" s="5"/>
      <c r="AI78" s="5"/>
      <c r="AJ78" s="149"/>
      <c r="AK78" s="6"/>
      <c r="AL78" s="5"/>
      <c r="AM78" s="5"/>
      <c r="AN78" s="5"/>
      <c r="AO78" s="5"/>
      <c r="AP78" s="149"/>
    </row>
    <row r="79" spans="20:42" ht="24.95" customHeight="1" thickBot="1" x14ac:dyDescent="0.3">
      <c r="T79" s="394">
        <f>A38</f>
        <v>14</v>
      </c>
      <c r="V79" s="444" t="s">
        <v>511</v>
      </c>
      <c r="X79" s="82">
        <f>X64</f>
        <v>1552696</v>
      </c>
      <c r="Y79" s="2"/>
      <c r="Z79" s="82">
        <f>Z67</f>
        <v>1474920684</v>
      </c>
      <c r="AA79" s="5"/>
      <c r="AB79" s="446"/>
      <c r="AC79" s="446"/>
      <c r="AD79" s="82">
        <f>AD69+AD77</f>
        <v>141585273</v>
      </c>
      <c r="AE79" s="5"/>
      <c r="AF79" s="151">
        <v>100</v>
      </c>
      <c r="AG79" s="6"/>
      <c r="AH79" s="82">
        <f>AH69+AH77</f>
        <v>23274537</v>
      </c>
      <c r="AI79" s="5"/>
      <c r="AJ79" s="151">
        <f>ROUND((AH79/AD79)*100,1)</f>
        <v>16.399999999999999</v>
      </c>
      <c r="AK79" s="6"/>
      <c r="AL79" s="82">
        <f>AL69+AL77</f>
        <v>1004421</v>
      </c>
      <c r="AM79" s="5"/>
      <c r="AN79" s="82">
        <f>AN69+AN77</f>
        <v>142589694</v>
      </c>
      <c r="AO79" s="5"/>
      <c r="AP79" s="149">
        <f>ROUND((AH79/AN79)*100,1)</f>
        <v>16.3</v>
      </c>
    </row>
    <row r="80" spans="20:42" ht="24.95" customHeight="1" thickTop="1" x14ac:dyDescent="0.25">
      <c r="T80" s="45"/>
      <c r="V80" s="52"/>
      <c r="X80" s="83"/>
      <c r="Y80" s="2"/>
      <c r="Z80" s="83"/>
      <c r="AA80" s="5"/>
      <c r="AB80" s="446"/>
      <c r="AC80" s="446"/>
      <c r="AD80" s="83"/>
      <c r="AE80" s="5"/>
      <c r="AF80" s="383"/>
      <c r="AG80" s="6"/>
      <c r="AH80" s="83"/>
      <c r="AI80" s="5"/>
      <c r="AJ80" s="383"/>
      <c r="AK80" s="6"/>
      <c r="AL80" s="83"/>
      <c r="AM80" s="5"/>
      <c r="AN80" s="83"/>
      <c r="AO80" s="5"/>
      <c r="AP80" s="149"/>
    </row>
    <row r="81" spans="22:41" x14ac:dyDescent="0.25">
      <c r="V81" s="243" t="s">
        <v>61</v>
      </c>
      <c r="AD81" s="48"/>
      <c r="AE81" s="48"/>
      <c r="AF81" s="152"/>
      <c r="AG81" s="48"/>
      <c r="AL81" s="48"/>
      <c r="AM81" s="48"/>
      <c r="AN81" s="48"/>
      <c r="AO81" s="48"/>
    </row>
    <row r="82" spans="22:41" x14ac:dyDescent="0.25">
      <c r="V82" s="243" t="str">
        <f>"(2) REFLECTS FUEL ADJUSTMENT CLAUSE (FAC) OF "&amp;TEXT(CUR_FAC,"$0.000000;($0.000000)")&amp;"  PER KWH."</f>
        <v>(2) REFLECTS FUEL ADJUSTMENT CLAUSE (FAC) OF $0.000681  PER KWH.</v>
      </c>
    </row>
    <row r="83" spans="22:41" x14ac:dyDescent="0.25">
      <c r="V83" s="243" t="str">
        <f>"(3) REFLECTS FUEL COST RECOVERY INCLUDED IN BASE RATES OF "&amp;TEXT(CUR_BASE_FUEL,"$0.000000;($0.000000)")&amp;"  PER KWH."</f>
        <v>(3) REFLECTS FUEL COST RECOVERY INCLUDED IN BASE RATES OF $0.023837  PER KWH.</v>
      </c>
    </row>
    <row r="196" spans="1:101" x14ac:dyDescent="0.25">
      <c r="A196" s="46"/>
    </row>
    <row r="197" spans="1:101" x14ac:dyDescent="0.25">
      <c r="A197" s="46"/>
    </row>
    <row r="198" spans="1:101" x14ac:dyDescent="0.25">
      <c r="A198" s="46"/>
    </row>
    <row r="199" spans="1:101" x14ac:dyDescent="0.25">
      <c r="A199" s="46"/>
    </row>
    <row r="200" spans="1:101" x14ac:dyDescent="0.25">
      <c r="A200" s="46"/>
    </row>
    <row r="201" spans="1:101" x14ac:dyDescent="0.25">
      <c r="A201" s="46"/>
    </row>
    <row r="202" spans="1:101" x14ac:dyDescent="0.25">
      <c r="A202" s="46"/>
    </row>
    <row r="203" spans="1:101" x14ac:dyDescent="0.25">
      <c r="A203" s="46"/>
    </row>
    <row r="204" spans="1:101" x14ac:dyDescent="0.25">
      <c r="A204" s="46"/>
      <c r="CV204" s="46"/>
      <c r="CW204" s="46"/>
    </row>
    <row r="205" spans="1:101" x14ac:dyDescent="0.25">
      <c r="A205" s="46"/>
      <c r="CV205" s="46"/>
      <c r="CW205" s="46"/>
    </row>
    <row r="206" spans="1:101" x14ac:dyDescent="0.25">
      <c r="A206" s="46"/>
      <c r="CV206" s="46"/>
      <c r="CW206" s="46"/>
    </row>
    <row r="207" spans="1:101" x14ac:dyDescent="0.25">
      <c r="CV207" s="46"/>
      <c r="CW207" s="46"/>
    </row>
    <row r="208" spans="1:101" x14ac:dyDescent="0.25">
      <c r="CV208" s="46"/>
      <c r="CW208" s="46"/>
    </row>
    <row r="209" spans="1:101" x14ac:dyDescent="0.25">
      <c r="CV209" s="46"/>
      <c r="CW209" s="46"/>
    </row>
    <row r="210" spans="1:101" x14ac:dyDescent="0.25">
      <c r="CV210" s="46"/>
      <c r="CW210" s="46"/>
    </row>
    <row r="211" spans="1:101" x14ac:dyDescent="0.25">
      <c r="A211" s="46"/>
      <c r="CV211" s="46"/>
      <c r="CW211" s="46"/>
    </row>
    <row r="212" spans="1:101" x14ac:dyDescent="0.25">
      <c r="A212" s="46"/>
      <c r="CV212" s="46"/>
      <c r="CW212" s="46"/>
    </row>
    <row r="213" spans="1:101" x14ac:dyDescent="0.25">
      <c r="CV213" s="46"/>
      <c r="CW213" s="46"/>
    </row>
    <row r="214" spans="1:101" x14ac:dyDescent="0.25">
      <c r="CV214" s="46"/>
      <c r="CW214" s="46"/>
    </row>
    <row r="215" spans="1:101" x14ac:dyDescent="0.25">
      <c r="A215" s="46"/>
      <c r="CV215" s="46"/>
      <c r="CW215" s="46"/>
    </row>
    <row r="216" spans="1:101" x14ac:dyDescent="0.25">
      <c r="CV216" s="46"/>
      <c r="CW216" s="46"/>
    </row>
    <row r="217" spans="1:101" x14ac:dyDescent="0.25">
      <c r="A217" s="46"/>
      <c r="CV217" s="46"/>
      <c r="CW217" s="46"/>
    </row>
    <row r="218" spans="1:101" x14ac:dyDescent="0.25">
      <c r="CV218" s="46"/>
      <c r="CW218" s="46"/>
    </row>
    <row r="219" spans="1:101" x14ac:dyDescent="0.25">
      <c r="A219" s="46"/>
      <c r="CV219" s="46"/>
      <c r="CW219" s="46"/>
    </row>
    <row r="220" spans="1:101" x14ac:dyDescent="0.25">
      <c r="CV220" s="46"/>
      <c r="CW220" s="46"/>
    </row>
    <row r="221" spans="1:101" x14ac:dyDescent="0.25">
      <c r="A221" s="46"/>
      <c r="CV221" s="46"/>
      <c r="CW221" s="46"/>
    </row>
    <row r="222" spans="1:101" x14ac:dyDescent="0.25">
      <c r="CV222" s="46"/>
      <c r="CW222" s="46"/>
    </row>
    <row r="223" spans="1:101" x14ac:dyDescent="0.25">
      <c r="CV223" s="46"/>
      <c r="CW223" s="46"/>
    </row>
    <row r="224" spans="1:101" x14ac:dyDescent="0.25">
      <c r="A224" s="46"/>
      <c r="CV224" s="46"/>
      <c r="CW224" s="46"/>
    </row>
    <row r="225" spans="1:101" x14ac:dyDescent="0.25">
      <c r="A225" s="46"/>
      <c r="CV225" s="46"/>
      <c r="CW225" s="46"/>
    </row>
    <row r="226" spans="1:101" x14ac:dyDescent="0.25">
      <c r="A226" s="46"/>
      <c r="CV226" s="46"/>
      <c r="CW226" s="46"/>
    </row>
    <row r="227" spans="1:101" x14ac:dyDescent="0.25">
      <c r="A227" s="46"/>
      <c r="CV227" s="46"/>
      <c r="CW227" s="46"/>
    </row>
    <row r="228" spans="1:101" x14ac:dyDescent="0.25">
      <c r="A228" s="46"/>
      <c r="CV228" s="46"/>
      <c r="CW228" s="46"/>
    </row>
    <row r="229" spans="1:101" x14ac:dyDescent="0.25">
      <c r="A229" s="46"/>
      <c r="CV229" s="46"/>
      <c r="CW229" s="46"/>
    </row>
    <row r="230" spans="1:101" x14ac:dyDescent="0.25">
      <c r="A230" s="46"/>
      <c r="CV230" s="46"/>
      <c r="CW230" s="46"/>
    </row>
    <row r="231" spans="1:101" x14ac:dyDescent="0.25">
      <c r="A231" s="46"/>
      <c r="CV231" s="46"/>
      <c r="CW231" s="46"/>
    </row>
    <row r="232" spans="1:101" x14ac:dyDescent="0.25">
      <c r="CV232" s="46"/>
      <c r="CW232" s="46"/>
    </row>
    <row r="233" spans="1:101" x14ac:dyDescent="0.25">
      <c r="CV233" s="46"/>
      <c r="CW233" s="46"/>
    </row>
    <row r="234" spans="1:101" x14ac:dyDescent="0.25">
      <c r="CV234" s="46"/>
      <c r="CW234" s="46"/>
    </row>
    <row r="235" spans="1:101" x14ac:dyDescent="0.25">
      <c r="CV235" s="46"/>
      <c r="CW235" s="46"/>
    </row>
    <row r="236" spans="1:101" x14ac:dyDescent="0.25">
      <c r="CV236" s="46"/>
      <c r="CW236" s="46"/>
    </row>
    <row r="237" spans="1:101" x14ac:dyDescent="0.25">
      <c r="CV237" s="46"/>
      <c r="CW237" s="46"/>
    </row>
    <row r="238" spans="1:101" x14ac:dyDescent="0.25">
      <c r="CV238" s="46"/>
      <c r="CW238" s="46"/>
    </row>
    <row r="239" spans="1:101" x14ac:dyDescent="0.25">
      <c r="CV239" s="46"/>
      <c r="CW239" s="46"/>
    </row>
    <row r="240" spans="1:101" x14ac:dyDescent="0.25">
      <c r="CV240" s="46"/>
      <c r="CW240" s="46"/>
    </row>
    <row r="241" spans="100:101" x14ac:dyDescent="0.25">
      <c r="CV241" s="46"/>
      <c r="CW241" s="46"/>
    </row>
    <row r="242" spans="100:101" x14ac:dyDescent="0.25">
      <c r="CV242" s="46"/>
      <c r="CW242" s="46"/>
    </row>
    <row r="243" spans="100:101" x14ac:dyDescent="0.25">
      <c r="CV243" s="46"/>
      <c r="CW243" s="46"/>
    </row>
    <row r="244" spans="100:101" x14ac:dyDescent="0.25">
      <c r="CV244" s="46"/>
      <c r="CW244" s="46"/>
    </row>
    <row r="245" spans="100:101" x14ac:dyDescent="0.25">
      <c r="CV245" s="46"/>
      <c r="CW245" s="46"/>
    </row>
    <row r="246" spans="100:101" x14ac:dyDescent="0.25">
      <c r="CV246" s="46"/>
      <c r="CW246" s="46"/>
    </row>
    <row r="247" spans="100:101" x14ac:dyDescent="0.25">
      <c r="CV247" s="46"/>
      <c r="CW247" s="46"/>
    </row>
    <row r="248" spans="100:101" x14ac:dyDescent="0.25">
      <c r="CV248" s="46"/>
      <c r="CW248" s="46"/>
    </row>
    <row r="249" spans="100:101" x14ac:dyDescent="0.25">
      <c r="CV249" s="46"/>
      <c r="CW249" s="46"/>
    </row>
    <row r="250" spans="100:101" x14ac:dyDescent="0.25">
      <c r="CV250" s="46"/>
      <c r="CW250" s="46"/>
    </row>
    <row r="251" spans="100:101" x14ac:dyDescent="0.25">
      <c r="CV251" s="46"/>
      <c r="CW251" s="46"/>
    </row>
    <row r="252" spans="100:101" x14ac:dyDescent="0.25">
      <c r="CV252" s="46"/>
      <c r="CW252" s="46"/>
    </row>
    <row r="253" spans="100:101" x14ac:dyDescent="0.25">
      <c r="CV253" s="46"/>
      <c r="CW253" s="46"/>
    </row>
    <row r="254" spans="100:101" x14ac:dyDescent="0.25">
      <c r="CV254" s="46"/>
      <c r="CW254" s="46"/>
    </row>
    <row r="255" spans="100:101" x14ac:dyDescent="0.25">
      <c r="CV255" s="46"/>
      <c r="CW255" s="46"/>
    </row>
    <row r="256" spans="100:101" x14ac:dyDescent="0.25">
      <c r="CV256" s="46"/>
      <c r="CW256" s="46"/>
    </row>
    <row r="257" spans="100:101" x14ac:dyDescent="0.25">
      <c r="CV257" s="46"/>
      <c r="CW257" s="46"/>
    </row>
    <row r="258" spans="100:101" x14ac:dyDescent="0.25">
      <c r="CV258" s="46"/>
      <c r="CW258" s="46"/>
    </row>
    <row r="259" spans="100:101" x14ac:dyDescent="0.25">
      <c r="CV259" s="46"/>
      <c r="CW259" s="46"/>
    </row>
    <row r="260" spans="100:101" x14ac:dyDescent="0.25">
      <c r="CV260" s="46"/>
      <c r="CW260" s="46"/>
    </row>
    <row r="261" spans="100:101" x14ac:dyDescent="0.25">
      <c r="CV261" s="46"/>
      <c r="CW261" s="46"/>
    </row>
    <row r="262" spans="100:101" x14ac:dyDescent="0.25">
      <c r="CV262" s="46"/>
      <c r="CW262" s="46"/>
    </row>
    <row r="263" spans="100:101" x14ac:dyDescent="0.25">
      <c r="CV263" s="46"/>
      <c r="CW263" s="46"/>
    </row>
    <row r="264" spans="100:101" x14ac:dyDescent="0.25">
      <c r="CV264" s="46"/>
      <c r="CW264" s="46"/>
    </row>
    <row r="265" spans="100:101" x14ac:dyDescent="0.25">
      <c r="CV265" s="46"/>
      <c r="CW265" s="46"/>
    </row>
    <row r="266" spans="100:101" x14ac:dyDescent="0.25">
      <c r="CV266" s="46"/>
      <c r="CW266" s="46"/>
    </row>
    <row r="267" spans="100:101" x14ac:dyDescent="0.25">
      <c r="CV267" s="46"/>
      <c r="CW267" s="46"/>
    </row>
    <row r="268" spans="100:101" x14ac:dyDescent="0.25">
      <c r="CV268" s="46"/>
      <c r="CW268" s="46"/>
    </row>
    <row r="269" spans="100:101" x14ac:dyDescent="0.25">
      <c r="CV269" s="46"/>
      <c r="CW269" s="46"/>
    </row>
    <row r="270" spans="100:101" x14ac:dyDescent="0.25">
      <c r="CV270" s="46"/>
      <c r="CW270" s="46"/>
    </row>
    <row r="271" spans="100:101" x14ac:dyDescent="0.25">
      <c r="CV271" s="46"/>
      <c r="CW271" s="46"/>
    </row>
    <row r="272" spans="100:101" x14ac:dyDescent="0.25">
      <c r="CV272" s="46"/>
      <c r="CW272" s="46"/>
    </row>
    <row r="273" spans="100:101" x14ac:dyDescent="0.25">
      <c r="CV273" s="46"/>
      <c r="CW273" s="46"/>
    </row>
    <row r="274" spans="100:101" x14ac:dyDescent="0.25">
      <c r="CV274" s="46"/>
      <c r="CW274" s="46"/>
    </row>
    <row r="275" spans="100:101" x14ac:dyDescent="0.25">
      <c r="CV275" s="46"/>
      <c r="CW275" s="46"/>
    </row>
    <row r="276" spans="100:101" x14ac:dyDescent="0.25">
      <c r="CV276" s="46"/>
      <c r="CW276" s="46"/>
    </row>
    <row r="277" spans="100:101" x14ac:dyDescent="0.25">
      <c r="CV277" s="46"/>
      <c r="CW277" s="46"/>
    </row>
    <row r="278" spans="100:101" x14ac:dyDescent="0.25">
      <c r="CV278" s="46"/>
      <c r="CW278" s="46"/>
    </row>
    <row r="279" spans="100:101" x14ac:dyDescent="0.25">
      <c r="CV279" s="46"/>
      <c r="CW279" s="46"/>
    </row>
    <row r="280" spans="100:101" x14ac:dyDescent="0.25">
      <c r="CV280" s="46"/>
      <c r="CW280" s="46"/>
    </row>
    <row r="281" spans="100:101" x14ac:dyDescent="0.25">
      <c r="CV281" s="46"/>
      <c r="CW281" s="46"/>
    </row>
    <row r="282" spans="100:101" x14ac:dyDescent="0.25">
      <c r="CV282" s="46"/>
      <c r="CW282" s="46"/>
    </row>
    <row r="283" spans="100:101" x14ac:dyDescent="0.25">
      <c r="CV283" s="46"/>
      <c r="CW283" s="46"/>
    </row>
    <row r="284" spans="100:101" x14ac:dyDescent="0.25">
      <c r="CV284" s="46"/>
      <c r="CW284" s="46"/>
    </row>
    <row r="285" spans="100:101" x14ac:dyDescent="0.25">
      <c r="CV285" s="46"/>
      <c r="CW285" s="46"/>
    </row>
    <row r="286" spans="100:101" x14ac:dyDescent="0.25">
      <c r="CV286" s="46"/>
      <c r="CW286" s="46"/>
    </row>
    <row r="287" spans="100:101" x14ac:dyDescent="0.25">
      <c r="CV287" s="46"/>
      <c r="CW287" s="46"/>
    </row>
    <row r="288" spans="100:101" x14ac:dyDescent="0.25">
      <c r="CV288" s="46"/>
      <c r="CW288" s="46"/>
    </row>
  </sheetData>
  <customSheetViews>
    <customSheetView guid="{195DF303-1BBD-4236-94B5-47432850B006}" scale="75" fitToPage="1" showRuler="0"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"/>
      <headerFooter alignWithMargins="0"/>
    </customSheetView>
    <customSheetView guid="{0C49E549-011E-46F4-A82E-2CC8951A9C1E}" scale="75" fitToPage="1" showRuler="0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2"/>
      <headerFooter alignWithMargins="0"/>
    </customSheetView>
    <customSheetView guid="{4BC93440-BA85-4935-A8C9-66DC6AE5DE5E}" scale="75" fitToPage="1" showRuler="0" topLeftCell="I32">
      <selection activeCell="P47" sqref="P47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3"/>
      <headerFooter alignWithMargins="0"/>
    </customSheetView>
    <customSheetView guid="{2431C9E5-7CC2-4B8D-99C3-962247B1DBF5}" scale="75" fitToPage="1" showRuler="0" topLeftCell="I32">
      <selection activeCell="P47" sqref="P47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4"/>
      <headerFooter alignWithMargins="0"/>
    </customSheetView>
    <customSheetView guid="{2EA35095-1ADC-4CC7-8C3C-B487D65FA247}" scale="75" fitToPage="1" showRuler="0" topLeftCell="A26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5"/>
      <headerFooter alignWithMargins="0"/>
    </customSheetView>
    <customSheetView guid="{8FC77C99-DBF7-40B8-99B8-01B75826CDCB}" scale="75" fitToPage="1" showRuler="0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6"/>
      <headerFooter alignWithMargins="0"/>
    </customSheetView>
    <customSheetView guid="{8FB94551-8874-4095-B8FB-5316E0D2FD2C}" scale="75" fitToPage="1" showRuler="0"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7"/>
      <headerFooter alignWithMargins="0"/>
    </customSheetView>
    <customSheetView guid="{6B3D5C27-2FDE-4561-9575-1E98BFB869D0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8"/>
      <headerFooter alignWithMargins="0"/>
    </customSheetView>
    <customSheetView guid="{0BC1F393-8A13-47D5-BC6C-0C99615B5AB9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9"/>
      <headerFooter alignWithMargins="0"/>
    </customSheetView>
    <customSheetView guid="{18BDED73-BFA0-442E-87EC-CED86EE4CF94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0"/>
      <headerFooter alignWithMargins="0"/>
    </customSheetView>
    <customSheetView guid="{35F19056-2E6F-4935-B863-78836FE990BF}" scale="75" fitToPage="1" showRuler="0" topLeftCell="A16">
      <selection activeCell="J22" sqref="J22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1"/>
      <headerFooter alignWithMargins="0"/>
    </customSheetView>
    <customSheetView guid="{F562D92E-120C-4AE9-9663-89E64D41DC53}" scale="75" fitToPage="1" printArea="1">
      <selection activeCell="L16" sqref="L16"/>
      <rowBreaks count="3" manualBreakCount="3">
        <brk id="30" max="17" man="1"/>
        <brk id="69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2"/>
      <headerFooter alignWithMargins="0"/>
    </customSheetView>
  </customSheetViews>
  <phoneticPr fontId="9" type="noConversion"/>
  <pageMargins left="0.75" right="0.75" top="1" bottom="1" header="0.5" footer="0.5"/>
  <pageSetup scale="43" orientation="landscape" horizontalDpi="300" verticalDpi="300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" manualBreakCount="1">
    <brk id="133" max="65535" man="1"/>
  </rowBreaks>
  <colBreaks count="1" manualBreakCount="1">
    <brk id="1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2" transitionEvaluation="1" transitionEntry="1" codeName="Sheet7"/>
  <dimension ref="A1:BX1139"/>
  <sheetViews>
    <sheetView tabSelected="1" view="pageBreakPreview" topLeftCell="A22" zoomScale="60" zoomScaleNormal="75" workbookViewId="0">
      <selection sqref="A1:J1"/>
    </sheetView>
  </sheetViews>
  <sheetFormatPr defaultColWidth="9.77734375" defaultRowHeight="15.75" x14ac:dyDescent="0.25"/>
  <cols>
    <col min="1" max="1" width="4" style="380" customWidth="1"/>
    <col min="2" max="2" width="0.6640625" style="380" customWidth="1"/>
    <col min="3" max="3" width="6.77734375" style="380" customWidth="1"/>
    <col min="4" max="4" width="37.77734375" style="380" customWidth="1"/>
    <col min="5" max="5" width="0.4414062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0.6640625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2.77734375" style="380" customWidth="1"/>
    <col min="15" max="15" width="0.5546875" style="380" customWidth="1"/>
    <col min="16" max="16" width="14.77734375" style="380" customWidth="1"/>
    <col min="17" max="17" width="0.5546875" style="380" customWidth="1"/>
    <col min="18" max="18" width="16" style="380" customWidth="1"/>
    <col min="19" max="19" width="8.77734375" style="380" customWidth="1"/>
    <col min="20" max="20" width="5.44140625" style="380" customWidth="1"/>
    <col min="21" max="21" width="0.5546875" style="380" customWidth="1"/>
    <col min="22" max="22" width="4.5546875" style="380" customWidth="1"/>
    <col min="23" max="23" width="39.88671875" style="380" customWidth="1"/>
    <col min="24" max="24" width="0.44140625" style="380" customWidth="1"/>
    <col min="25" max="25" width="9.6640625" style="380" customWidth="1"/>
    <col min="26" max="26" width="0.6640625" style="380" customWidth="1"/>
    <col min="27" max="27" width="13.33203125" style="380" customWidth="1"/>
    <col min="28" max="28" width="0.6640625" style="380" customWidth="1"/>
    <col min="29" max="29" width="11.44140625" style="380" customWidth="1"/>
    <col min="30" max="30" width="0.5546875" style="380" customWidth="1"/>
    <col min="31" max="31" width="12.88671875" style="380" customWidth="1"/>
    <col min="32" max="32" width="0.77734375" style="380" customWidth="1"/>
    <col min="33" max="33" width="13.6640625" style="153" customWidth="1"/>
    <col min="34" max="34" width="0.6640625" style="380" customWidth="1"/>
    <col min="35" max="35" width="14.33203125" style="380" customWidth="1"/>
    <col min="36" max="36" width="0.88671875" style="380" customWidth="1"/>
    <col min="37" max="37" width="14.5546875" style="153" customWidth="1"/>
    <col min="38" max="38" width="0.6640625" style="380" customWidth="1"/>
    <col min="39" max="39" width="12.109375" style="380" customWidth="1"/>
    <col min="40" max="40" width="0.5546875" style="380" customWidth="1"/>
    <col min="41" max="41" width="13.21875" style="380" customWidth="1"/>
    <col min="42" max="42" width="0.6640625" style="380" customWidth="1"/>
    <col min="43" max="43" width="11.21875" style="153" customWidth="1"/>
    <col min="44" max="44" width="14.77734375" style="380" customWidth="1"/>
    <col min="45" max="45" width="4.77734375" style="380" customWidth="1"/>
    <col min="46" max="46" width="5.77734375" style="380" customWidth="1"/>
    <col min="47" max="47" width="10.77734375" style="380" customWidth="1"/>
    <col min="48" max="48" width="11.77734375" style="380" customWidth="1"/>
    <col min="49" max="49" width="12.77734375" style="380" customWidth="1"/>
    <col min="50" max="52" width="15.77734375" style="380" customWidth="1"/>
    <col min="53" max="53" width="12.77734375" style="380" customWidth="1"/>
    <col min="54" max="56" width="15.77734375" style="380" customWidth="1"/>
    <col min="57" max="57" width="12.77734375" style="380" customWidth="1"/>
    <col min="58" max="59" width="9.77734375" style="380"/>
    <col min="60" max="62" width="12.77734375" style="380" customWidth="1"/>
    <col min="63" max="63" width="14.77734375" style="380" customWidth="1"/>
    <col min="64" max="65" width="9.77734375" style="380"/>
    <col min="66" max="68" width="12.77734375" style="380" customWidth="1"/>
    <col min="69" max="69" width="14.77734375" style="380" customWidth="1"/>
    <col min="70" max="76" width="9.77734375" style="380"/>
    <col min="77" max="77" width="1.77734375" style="380" customWidth="1"/>
    <col min="78" max="79" width="9.77734375" style="380"/>
    <col min="80" max="80" width="10.77734375" style="380" customWidth="1"/>
    <col min="81" max="82" width="9.77734375" style="380"/>
    <col min="83" max="83" width="7.77734375" style="380" customWidth="1"/>
    <col min="84" max="16384" width="9.77734375" style="380"/>
  </cols>
  <sheetData>
    <row r="1" spans="1:40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4"/>
      <c r="K1" s="44"/>
      <c r="L1" s="43"/>
      <c r="M1" s="43"/>
      <c r="N1" s="43"/>
      <c r="O1" s="43"/>
      <c r="P1" s="43"/>
      <c r="Q1" s="43"/>
      <c r="R1" s="43"/>
      <c r="Z1" s="53"/>
    </row>
    <row r="2" spans="1:40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4"/>
      <c r="K2" s="44"/>
      <c r="L2" s="43"/>
      <c r="M2" s="43"/>
      <c r="N2" s="43"/>
      <c r="O2" s="43"/>
      <c r="P2" s="43"/>
      <c r="Q2" s="43"/>
      <c r="R2" s="43"/>
      <c r="Z2" s="53"/>
    </row>
    <row r="3" spans="1:40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Y3" s="54"/>
    </row>
    <row r="4" spans="1:4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4"/>
      <c r="K4" s="44"/>
      <c r="L4" s="43"/>
      <c r="M4" s="43"/>
      <c r="N4" s="43"/>
      <c r="O4" s="43"/>
      <c r="P4" s="43"/>
      <c r="Q4" s="43"/>
      <c r="R4" s="43"/>
      <c r="Z4" s="53"/>
    </row>
    <row r="5" spans="1:4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4"/>
      <c r="M5" s="44"/>
      <c r="N5" s="43"/>
      <c r="O5" s="43"/>
      <c r="P5" s="43"/>
      <c r="Q5" s="43"/>
      <c r="R5" s="43"/>
      <c r="AA5" s="54"/>
      <c r="AB5" s="54"/>
    </row>
    <row r="6" spans="1:40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K6" s="161"/>
      <c r="AL6" s="54"/>
    </row>
    <row r="7" spans="1:40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3 OF "&amp;TEXT(Page_Num_2.3,"00")</f>
        <v>PAGE 3 OF 23</v>
      </c>
      <c r="AK7" s="161"/>
      <c r="AL7" s="54"/>
    </row>
    <row r="8" spans="1:40" x14ac:dyDescent="0.25">
      <c r="A8" s="46" t="s">
        <v>177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K8" s="161"/>
      <c r="AL8" s="54"/>
    </row>
    <row r="9" spans="1:40" x14ac:dyDescent="0.25">
      <c r="A9" s="222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45" t="str">
        <f>WIT</f>
        <v>J. L. Kern</v>
      </c>
      <c r="AK9" s="161"/>
      <c r="AL9" s="54"/>
    </row>
    <row r="10" spans="1:40" x14ac:dyDescent="0.25">
      <c r="A10" s="222" t="str">
        <f>INPUT!B5</f>
        <v>6 Months Actual Ending May 31, 2019</v>
      </c>
      <c r="B10" s="378"/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78"/>
      <c r="P10" s="378"/>
      <c r="Q10" s="378"/>
      <c r="R10" s="45"/>
      <c r="AK10" s="161"/>
      <c r="AL10" s="54"/>
    </row>
    <row r="11" spans="1:40" x14ac:dyDescent="0.25">
      <c r="A11" s="44" t="s">
        <v>136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AA11" s="54"/>
      <c r="AB11" s="54"/>
      <c r="AK11" s="156"/>
      <c r="AL11" s="53"/>
    </row>
    <row r="12" spans="1:40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154"/>
      <c r="AH12" s="55"/>
      <c r="AI12" s="55"/>
      <c r="AJ12" s="55"/>
      <c r="AK12" s="154"/>
      <c r="AL12" s="55"/>
      <c r="AM12" s="55"/>
      <c r="AN12" s="55"/>
    </row>
    <row r="13" spans="1:40" ht="18" customHeight="1" x14ac:dyDescent="0.25">
      <c r="A13" s="378"/>
      <c r="B13" s="378"/>
      <c r="C13" s="378"/>
      <c r="D13" s="378"/>
      <c r="E13" s="378"/>
      <c r="F13" s="378"/>
      <c r="G13" s="378"/>
      <c r="H13" s="378"/>
      <c r="I13" s="378"/>
      <c r="J13" s="378"/>
      <c r="K13" s="378"/>
      <c r="L13" s="426" t="s">
        <v>6</v>
      </c>
      <c r="M13" s="426"/>
      <c r="N13" s="426" t="s">
        <v>7</v>
      </c>
      <c r="O13" s="426"/>
      <c r="P13" s="378"/>
      <c r="Q13" s="378"/>
      <c r="R13" s="426" t="s">
        <v>6</v>
      </c>
      <c r="AA13" s="56"/>
      <c r="AB13" s="56"/>
      <c r="AC13" s="56"/>
      <c r="AD13" s="56"/>
      <c r="AE13" s="56"/>
      <c r="AF13" s="56"/>
      <c r="AG13" s="155"/>
      <c r="AH13" s="56"/>
      <c r="AK13" s="155"/>
      <c r="AL13" s="56"/>
      <c r="AM13" s="56"/>
      <c r="AN13" s="56"/>
    </row>
    <row r="14" spans="1:40" x14ac:dyDescent="0.25">
      <c r="A14" s="378"/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426" t="s">
        <v>12</v>
      </c>
      <c r="M14" s="426"/>
      <c r="N14" s="426" t="s">
        <v>13</v>
      </c>
      <c r="O14" s="426"/>
      <c r="P14" s="378"/>
      <c r="Q14" s="378"/>
      <c r="R14" s="426" t="s">
        <v>11</v>
      </c>
      <c r="Z14" s="56"/>
      <c r="AA14" s="56"/>
      <c r="AB14" s="56"/>
      <c r="AC14" s="56"/>
      <c r="AD14" s="56"/>
      <c r="AE14" s="56"/>
      <c r="AF14" s="56"/>
      <c r="AG14" s="155"/>
      <c r="AH14" s="56"/>
      <c r="AK14" s="155"/>
      <c r="AL14" s="56"/>
      <c r="AM14" s="56"/>
      <c r="AN14" s="56"/>
    </row>
    <row r="15" spans="1:40" x14ac:dyDescent="0.25">
      <c r="A15" s="426" t="s">
        <v>17</v>
      </c>
      <c r="B15" s="378"/>
      <c r="C15" s="426" t="s">
        <v>18</v>
      </c>
      <c r="D15" s="426" t="s">
        <v>19</v>
      </c>
      <c r="E15" s="426"/>
      <c r="F15" s="426" t="s">
        <v>20</v>
      </c>
      <c r="G15" s="378"/>
      <c r="H15" s="378"/>
      <c r="I15" s="378"/>
      <c r="J15" s="426" t="s">
        <v>6</v>
      </c>
      <c r="K15" s="426"/>
      <c r="L15" s="426" t="s">
        <v>21</v>
      </c>
      <c r="M15" s="426"/>
      <c r="N15" s="426" t="s">
        <v>21</v>
      </c>
      <c r="O15" s="426"/>
      <c r="P15" s="426" t="s">
        <v>21</v>
      </c>
      <c r="Q15" s="426"/>
      <c r="R15" s="426" t="s">
        <v>9</v>
      </c>
      <c r="T15" s="56"/>
      <c r="U15" s="56"/>
      <c r="V15" s="56"/>
      <c r="Z15" s="56"/>
      <c r="AA15" s="56"/>
      <c r="AB15" s="56"/>
      <c r="AC15" s="56"/>
      <c r="AD15" s="56"/>
      <c r="AE15" s="56"/>
      <c r="AF15" s="56"/>
      <c r="AG15" s="155"/>
      <c r="AH15" s="56"/>
      <c r="AI15" s="56"/>
      <c r="AJ15" s="56"/>
      <c r="AK15" s="155"/>
      <c r="AL15" s="56"/>
      <c r="AM15" s="56"/>
      <c r="AN15" s="56"/>
    </row>
    <row r="16" spans="1:40" x14ac:dyDescent="0.25">
      <c r="A16" s="426" t="s">
        <v>24</v>
      </c>
      <c r="B16" s="378"/>
      <c r="C16" s="426" t="s">
        <v>25</v>
      </c>
      <c r="D16" s="426" t="s">
        <v>26</v>
      </c>
      <c r="E16" s="426"/>
      <c r="F16" s="426" t="s">
        <v>27</v>
      </c>
      <c r="G16" s="378"/>
      <c r="H16" s="426" t="s">
        <v>28</v>
      </c>
      <c r="I16" s="426"/>
      <c r="J16" s="426" t="s">
        <v>29</v>
      </c>
      <c r="K16" s="426"/>
      <c r="L16" s="426" t="s">
        <v>9</v>
      </c>
      <c r="M16" s="426"/>
      <c r="N16" s="426" t="s">
        <v>9</v>
      </c>
      <c r="O16" s="426"/>
      <c r="P16" s="426" t="s">
        <v>379</v>
      </c>
      <c r="Q16" s="426"/>
      <c r="R16" s="265" t="s">
        <v>30</v>
      </c>
      <c r="T16" s="56"/>
      <c r="U16" s="56"/>
      <c r="V16" s="56"/>
      <c r="Y16" s="56"/>
      <c r="Z16" s="56"/>
      <c r="AA16" s="56"/>
      <c r="AB16" s="56"/>
      <c r="AC16" s="56"/>
      <c r="AD16" s="56"/>
      <c r="AE16" s="56"/>
      <c r="AF16" s="56"/>
      <c r="AG16" s="155"/>
      <c r="AH16" s="56"/>
      <c r="AI16" s="56"/>
      <c r="AJ16" s="56"/>
      <c r="AK16" s="155"/>
      <c r="AL16" s="56"/>
      <c r="AM16" s="56"/>
      <c r="AN16" s="56"/>
    </row>
    <row r="17" spans="1:40" x14ac:dyDescent="0.25">
      <c r="A17" s="378"/>
      <c r="B17" s="378"/>
      <c r="C17" s="265" t="s">
        <v>35</v>
      </c>
      <c r="D17" s="265" t="s">
        <v>36</v>
      </c>
      <c r="E17" s="265"/>
      <c r="F17" s="265" t="s">
        <v>37</v>
      </c>
      <c r="G17" s="218"/>
      <c r="H17" s="265" t="s">
        <v>38</v>
      </c>
      <c r="I17" s="265"/>
      <c r="J17" s="265" t="s">
        <v>39</v>
      </c>
      <c r="K17" s="265"/>
      <c r="L17" s="265" t="s">
        <v>40</v>
      </c>
      <c r="M17" s="265"/>
      <c r="N17" s="265" t="s">
        <v>41</v>
      </c>
      <c r="O17" s="265"/>
      <c r="P17" s="265" t="s">
        <v>42</v>
      </c>
      <c r="Q17" s="265"/>
      <c r="R17" s="265" t="s">
        <v>43</v>
      </c>
      <c r="T17" s="56"/>
      <c r="U17" s="56"/>
      <c r="V17" s="56"/>
      <c r="Y17" s="56"/>
      <c r="Z17" s="56"/>
      <c r="AA17" s="56"/>
      <c r="AB17" s="56"/>
      <c r="AC17" s="56"/>
      <c r="AD17" s="56"/>
      <c r="AE17" s="56"/>
      <c r="AF17" s="56"/>
      <c r="AG17" s="155"/>
      <c r="AH17" s="56"/>
      <c r="AI17" s="56"/>
      <c r="AJ17" s="56"/>
      <c r="AK17" s="155"/>
      <c r="AL17" s="56"/>
      <c r="AM17" s="56"/>
      <c r="AN17" s="56"/>
    </row>
    <row r="18" spans="1:40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154"/>
      <c r="AH18" s="55"/>
      <c r="AI18" s="55"/>
      <c r="AJ18" s="55"/>
      <c r="AK18" s="154"/>
      <c r="AL18" s="55"/>
      <c r="AM18" s="55"/>
      <c r="AN18" s="55"/>
    </row>
    <row r="19" spans="1:40" ht="17.100000000000001" customHeight="1" x14ac:dyDescent="0.25">
      <c r="A19" s="378"/>
      <c r="B19" s="378"/>
      <c r="C19" s="378"/>
      <c r="D19" s="378"/>
      <c r="E19" s="378"/>
      <c r="F19" s="378"/>
      <c r="G19" s="378"/>
      <c r="H19" s="442" t="s">
        <v>203</v>
      </c>
      <c r="I19" s="441"/>
      <c r="J19" s="442" t="s">
        <v>390</v>
      </c>
      <c r="K19" s="441"/>
      <c r="L19" s="441" t="s">
        <v>52</v>
      </c>
      <c r="M19" s="441"/>
      <c r="N19" s="441" t="s">
        <v>53</v>
      </c>
      <c r="O19" s="441"/>
      <c r="P19" s="441" t="s">
        <v>52</v>
      </c>
      <c r="Q19" s="441"/>
      <c r="R19" s="441" t="s">
        <v>52</v>
      </c>
      <c r="Y19" s="56"/>
      <c r="Z19" s="56"/>
      <c r="AA19" s="56"/>
      <c r="AB19" s="56"/>
      <c r="AC19" s="56"/>
      <c r="AD19" s="56"/>
      <c r="AE19" s="56"/>
      <c r="AF19" s="56"/>
      <c r="AG19" s="155"/>
      <c r="AH19" s="56"/>
      <c r="AI19" s="56"/>
      <c r="AJ19" s="56"/>
      <c r="AK19" s="155"/>
      <c r="AL19" s="56"/>
      <c r="AM19" s="56"/>
      <c r="AN19" s="56"/>
    </row>
    <row r="20" spans="1:40" x14ac:dyDescent="0.25">
      <c r="A20" s="45">
        <v>1</v>
      </c>
      <c r="B20" s="378"/>
      <c r="C20" s="222" t="s">
        <v>97</v>
      </c>
      <c r="D20" s="222" t="s">
        <v>138</v>
      </c>
      <c r="E20" s="46"/>
      <c r="F20" s="2"/>
      <c r="G20" s="2"/>
      <c r="H20" s="459"/>
      <c r="I20" s="459"/>
      <c r="J20" s="460" t="s">
        <v>384</v>
      </c>
      <c r="K20" s="459"/>
      <c r="L20" s="459"/>
      <c r="M20" s="459"/>
      <c r="N20" s="459"/>
      <c r="O20" s="459"/>
      <c r="P20" s="459"/>
      <c r="Q20" s="459"/>
      <c r="R20" s="459"/>
      <c r="T20" s="54"/>
      <c r="U20" s="54"/>
    </row>
    <row r="21" spans="1:40" x14ac:dyDescent="0.25">
      <c r="A21" s="45">
        <v>2</v>
      </c>
      <c r="B21" s="378"/>
      <c r="C21" s="218"/>
      <c r="D21" s="222" t="s">
        <v>139</v>
      </c>
      <c r="E21" s="4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T21" s="54"/>
    </row>
    <row r="22" spans="1:40" x14ac:dyDescent="0.25">
      <c r="A22" s="378"/>
      <c r="B22" s="378"/>
      <c r="C22" s="378"/>
      <c r="D22" s="378"/>
      <c r="E22" s="37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40" x14ac:dyDescent="0.25">
      <c r="A23" s="45">
        <v>3</v>
      </c>
      <c r="B23" s="378"/>
      <c r="C23" s="222" t="s">
        <v>140</v>
      </c>
      <c r="D23" s="378"/>
      <c r="E23" s="37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379"/>
      <c r="T23" s="54"/>
      <c r="V23" s="379"/>
      <c r="Y23" s="379"/>
      <c r="Z23" s="461"/>
      <c r="AA23" s="379"/>
      <c r="AB23" s="379"/>
      <c r="AC23" s="50"/>
      <c r="AD23" s="50"/>
      <c r="AE23" s="379"/>
      <c r="AF23" s="379"/>
      <c r="AG23" s="156"/>
      <c r="AH23" s="50"/>
      <c r="AI23" s="379"/>
      <c r="AJ23" s="379"/>
      <c r="AK23" s="156"/>
      <c r="AL23" s="379"/>
      <c r="AM23" s="50"/>
      <c r="AN23" s="50"/>
    </row>
    <row r="24" spans="1:40" x14ac:dyDescent="0.25">
      <c r="A24" s="45">
        <v>4</v>
      </c>
      <c r="B24" s="378"/>
      <c r="C24" s="52" t="s">
        <v>414</v>
      </c>
      <c r="D24" s="378"/>
      <c r="E24" s="378"/>
      <c r="F24" s="398">
        <v>1839</v>
      </c>
      <c r="G24" s="2"/>
      <c r="H24" s="2"/>
      <c r="I24" s="2"/>
      <c r="J24" s="462">
        <f>INPUT!D63</f>
        <v>5</v>
      </c>
      <c r="K24" s="2"/>
      <c r="L24" s="5">
        <f>ROUND(F24*J24,0)</f>
        <v>9195</v>
      </c>
      <c r="M24" s="5"/>
      <c r="N24" s="6">
        <f>ROUND((L24/L$50)*100,1)</f>
        <v>0</v>
      </c>
      <c r="O24" s="6"/>
      <c r="P24" s="5"/>
      <c r="Q24" s="1"/>
      <c r="R24" s="5">
        <f>L24+P24</f>
        <v>9195</v>
      </c>
      <c r="S24" s="379"/>
      <c r="T24" s="54"/>
      <c r="V24" s="379"/>
      <c r="Y24" s="379"/>
      <c r="Z24" s="461"/>
      <c r="AA24" s="379"/>
      <c r="AB24" s="379"/>
      <c r="AC24" s="50"/>
      <c r="AD24" s="50"/>
      <c r="AE24" s="379"/>
      <c r="AF24" s="379"/>
      <c r="AG24" s="156"/>
      <c r="AH24" s="50"/>
      <c r="AI24" s="379"/>
      <c r="AJ24" s="379"/>
      <c r="AK24" s="156"/>
      <c r="AL24" s="379"/>
      <c r="AM24" s="50"/>
      <c r="AN24" s="50"/>
    </row>
    <row r="25" spans="1:40" x14ac:dyDescent="0.25">
      <c r="A25" s="45">
        <v>5</v>
      </c>
      <c r="B25" s="378"/>
      <c r="C25" s="46" t="s">
        <v>141</v>
      </c>
      <c r="D25" s="378"/>
      <c r="E25" s="378"/>
      <c r="F25" s="392">
        <v>84503</v>
      </c>
      <c r="G25" s="2"/>
      <c r="H25" s="86"/>
      <c r="I25" s="86"/>
      <c r="J25" s="450">
        <f>INPUT!D48</f>
        <v>15</v>
      </c>
      <c r="K25" s="96"/>
      <c r="L25" s="5">
        <f>ROUND(F25*J25,0)</f>
        <v>1267545</v>
      </c>
      <c r="M25" s="5"/>
      <c r="N25" s="6">
        <f>ROUND((L25/L$50)*100,1)</f>
        <v>1.1000000000000001</v>
      </c>
      <c r="O25" s="6"/>
      <c r="P25" s="5"/>
      <c r="Q25" s="1"/>
      <c r="R25" s="5">
        <f>L25+P25</f>
        <v>1267545</v>
      </c>
      <c r="S25" s="379"/>
      <c r="V25" s="381"/>
      <c r="Y25" s="379"/>
      <c r="Z25" s="449"/>
      <c r="AA25" s="379"/>
      <c r="AB25" s="379"/>
      <c r="AC25" s="50"/>
      <c r="AD25" s="50"/>
      <c r="AE25" s="379"/>
      <c r="AF25" s="379"/>
      <c r="AI25" s="379"/>
      <c r="AJ25" s="379"/>
      <c r="AK25" s="156"/>
      <c r="AL25" s="379"/>
    </row>
    <row r="26" spans="1:40" x14ac:dyDescent="0.25">
      <c r="A26" s="45">
        <v>6</v>
      </c>
      <c r="B26" s="378"/>
      <c r="C26" s="46" t="s">
        <v>142</v>
      </c>
      <c r="D26" s="378"/>
      <c r="E26" s="378"/>
      <c r="F26" s="392">
        <v>72169</v>
      </c>
      <c r="G26" s="2"/>
      <c r="H26" s="86"/>
      <c r="I26" s="86"/>
      <c r="J26" s="450">
        <f>INPUT!D49</f>
        <v>30</v>
      </c>
      <c r="K26" s="96"/>
      <c r="L26" s="5">
        <f>ROUND(F26*J26,0)</f>
        <v>2165070</v>
      </c>
      <c r="M26" s="5"/>
      <c r="N26" s="6">
        <f>ROUND((L26/L$50)*100,1)</f>
        <v>1.9</v>
      </c>
      <c r="O26" s="6"/>
      <c r="P26" s="5"/>
      <c r="Q26" s="1"/>
      <c r="R26" s="5">
        <f>L26+P26</f>
        <v>2165070</v>
      </c>
      <c r="S26" s="379"/>
      <c r="V26" s="379"/>
      <c r="Y26" s="379"/>
      <c r="Z26" s="449"/>
      <c r="AA26" s="379"/>
      <c r="AB26" s="379"/>
      <c r="AC26" s="50"/>
      <c r="AD26" s="50"/>
      <c r="AE26" s="379"/>
      <c r="AF26" s="379"/>
      <c r="AI26" s="379"/>
      <c r="AJ26" s="379"/>
      <c r="AK26" s="156"/>
      <c r="AL26" s="379"/>
    </row>
    <row r="27" spans="1:40" ht="20.100000000000001" customHeight="1" x14ac:dyDescent="0.25">
      <c r="A27" s="45">
        <v>7</v>
      </c>
      <c r="B27" s="378"/>
      <c r="C27" s="222" t="s">
        <v>143</v>
      </c>
      <c r="D27" s="378"/>
      <c r="E27" s="378"/>
      <c r="F27" s="90">
        <f>SUM(F25:F26)</f>
        <v>156672</v>
      </c>
      <c r="G27" s="2"/>
      <c r="H27" s="5"/>
      <c r="I27" s="5"/>
      <c r="J27" s="446"/>
      <c r="K27" s="446"/>
      <c r="L27" s="90">
        <f>SUM(L24:L26)</f>
        <v>3441810</v>
      </c>
      <c r="M27" s="5"/>
      <c r="N27" s="93">
        <f>ROUND((L27/L$50)*100,1)</f>
        <v>2.9</v>
      </c>
      <c r="O27" s="6"/>
      <c r="P27" s="90"/>
      <c r="Q27" s="5"/>
      <c r="R27" s="90">
        <f>SUM(R24:R26)</f>
        <v>3441810</v>
      </c>
      <c r="S27" s="379"/>
      <c r="T27" s="54"/>
      <c r="V27" s="379"/>
      <c r="Y27" s="379"/>
      <c r="Z27" s="463"/>
      <c r="AA27" s="379"/>
      <c r="AB27" s="379"/>
      <c r="AC27" s="50"/>
      <c r="AD27" s="50"/>
      <c r="AE27" s="379"/>
      <c r="AF27" s="379"/>
      <c r="AG27" s="156"/>
      <c r="AH27" s="50"/>
      <c r="AI27" s="379"/>
      <c r="AJ27" s="379"/>
      <c r="AK27" s="156"/>
      <c r="AL27" s="379"/>
      <c r="AM27" s="50"/>
      <c r="AN27" s="50"/>
    </row>
    <row r="28" spans="1:40" x14ac:dyDescent="0.25">
      <c r="A28" s="378"/>
      <c r="B28" s="378"/>
      <c r="C28" s="378"/>
      <c r="D28" s="378"/>
      <c r="E28" s="378"/>
      <c r="F28" s="5"/>
      <c r="G28" s="2"/>
      <c r="H28" s="5"/>
      <c r="I28" s="5"/>
      <c r="J28" s="446"/>
      <c r="K28" s="446"/>
      <c r="L28" s="5"/>
      <c r="M28" s="5"/>
      <c r="N28" s="6"/>
      <c r="O28" s="6"/>
      <c r="P28" s="5"/>
      <c r="Q28" s="5"/>
      <c r="R28" s="5"/>
      <c r="S28" s="379"/>
      <c r="T28" s="54"/>
      <c r="V28" s="379"/>
      <c r="Y28" s="379"/>
      <c r="Z28" s="464"/>
      <c r="AA28" s="379"/>
      <c r="AB28" s="379"/>
      <c r="AC28" s="50"/>
      <c r="AD28" s="50"/>
      <c r="AE28" s="379"/>
      <c r="AF28" s="379"/>
      <c r="AG28" s="156"/>
      <c r="AH28" s="50"/>
      <c r="AI28" s="379"/>
      <c r="AJ28" s="379"/>
      <c r="AK28" s="156"/>
      <c r="AL28" s="379"/>
      <c r="AM28" s="50"/>
      <c r="AN28" s="50"/>
    </row>
    <row r="29" spans="1:40" x14ac:dyDescent="0.25">
      <c r="A29" s="45">
        <v>8</v>
      </c>
      <c r="B29" s="378"/>
      <c r="C29" s="222" t="s">
        <v>65</v>
      </c>
      <c r="D29" s="378"/>
      <c r="E29" s="378"/>
      <c r="F29" s="5"/>
      <c r="G29" s="2"/>
      <c r="H29" s="5"/>
      <c r="I29" s="5"/>
      <c r="J29" s="446"/>
      <c r="K29" s="446"/>
      <c r="L29" s="5"/>
      <c r="M29" s="5"/>
      <c r="N29" s="6"/>
      <c r="O29" s="6"/>
      <c r="P29" s="5"/>
      <c r="Q29" s="5"/>
      <c r="R29" s="5"/>
      <c r="S29" s="379"/>
      <c r="V29" s="381"/>
      <c r="Y29" s="381"/>
      <c r="Z29" s="464"/>
      <c r="AA29" s="381"/>
      <c r="AB29" s="381"/>
      <c r="AC29" s="381"/>
      <c r="AD29" s="381"/>
      <c r="AE29" s="381"/>
      <c r="AF29" s="381"/>
      <c r="AI29" s="381"/>
      <c r="AJ29" s="381"/>
      <c r="AK29" s="162"/>
      <c r="AL29" s="381"/>
      <c r="AM29" s="50"/>
      <c r="AN29" s="50"/>
    </row>
    <row r="30" spans="1:40" x14ac:dyDescent="0.25">
      <c r="A30" s="45">
        <v>9</v>
      </c>
      <c r="B30" s="378"/>
      <c r="C30" s="46" t="s">
        <v>144</v>
      </c>
      <c r="D30" s="378"/>
      <c r="E30" s="378"/>
      <c r="F30" s="86"/>
      <c r="G30" s="2"/>
      <c r="H30" s="391">
        <v>1421459.7899999991</v>
      </c>
      <c r="I30" s="86"/>
      <c r="J30" s="450">
        <f>INPUT!D55</f>
        <v>0</v>
      </c>
      <c r="K30" s="96"/>
      <c r="L30" s="5">
        <f>ROUND(H30*J30,0)</f>
        <v>0</v>
      </c>
      <c r="M30" s="5"/>
      <c r="N30" s="6">
        <f>ROUND((L30/L$50)*100,1)</f>
        <v>0</v>
      </c>
      <c r="O30" s="6"/>
      <c r="P30" s="5"/>
      <c r="Q30" s="5"/>
      <c r="R30" s="5">
        <f>L30+P30</f>
        <v>0</v>
      </c>
      <c r="S30" s="379"/>
      <c r="T30" s="54"/>
      <c r="V30" s="449"/>
      <c r="Y30" s="449"/>
      <c r="Z30" s="464"/>
      <c r="AA30" s="379"/>
      <c r="AB30" s="379"/>
      <c r="AC30" s="50"/>
      <c r="AD30" s="50"/>
      <c r="AE30" s="379"/>
      <c r="AF30" s="379"/>
      <c r="AI30" s="379"/>
      <c r="AJ30" s="379"/>
      <c r="AK30" s="156"/>
      <c r="AL30" s="379"/>
      <c r="AM30" s="50"/>
      <c r="AN30" s="50"/>
    </row>
    <row r="31" spans="1:40" x14ac:dyDescent="0.25">
      <c r="A31" s="45">
        <v>10</v>
      </c>
      <c r="B31" s="378"/>
      <c r="C31" s="46" t="s">
        <v>145</v>
      </c>
      <c r="D31" s="378"/>
      <c r="E31" s="378"/>
      <c r="F31" s="86"/>
      <c r="G31" s="2"/>
      <c r="H31" s="391">
        <v>2431792.7299999995</v>
      </c>
      <c r="I31" s="86"/>
      <c r="J31" s="450">
        <f>INPUT!D56</f>
        <v>9.3800000000000008</v>
      </c>
      <c r="K31" s="96"/>
      <c r="L31" s="5">
        <f>ROUND(H31*J31,0)</f>
        <v>22810216</v>
      </c>
      <c r="M31" s="5"/>
      <c r="N31" s="6">
        <f>ROUND((L31/L$50)*100,1)</f>
        <v>19.5</v>
      </c>
      <c r="O31" s="6"/>
      <c r="P31" s="5"/>
      <c r="Q31" s="5"/>
      <c r="R31" s="5">
        <f>L31+P31</f>
        <v>22810216</v>
      </c>
      <c r="S31" s="379"/>
      <c r="V31" s="449"/>
      <c r="W31" s="400"/>
      <c r="Y31" s="449"/>
      <c r="Z31" s="464"/>
      <c r="AA31" s="379"/>
      <c r="AB31" s="379"/>
      <c r="AC31" s="50"/>
      <c r="AD31" s="50"/>
      <c r="AE31" s="379"/>
      <c r="AF31" s="379"/>
      <c r="AI31" s="379"/>
      <c r="AJ31" s="379"/>
      <c r="AK31" s="156"/>
      <c r="AL31" s="379"/>
      <c r="AM31" s="50"/>
      <c r="AN31" s="50"/>
    </row>
    <row r="32" spans="1:40" ht="20.100000000000001" customHeight="1" x14ac:dyDescent="0.25">
      <c r="A32" s="45">
        <v>11</v>
      </c>
      <c r="B32" s="378"/>
      <c r="C32" s="222" t="s">
        <v>68</v>
      </c>
      <c r="D32" s="378"/>
      <c r="E32" s="378"/>
      <c r="F32" s="5"/>
      <c r="G32" s="2"/>
      <c r="H32" s="90">
        <f>SUM(H30:H31)</f>
        <v>3853252.5199999986</v>
      </c>
      <c r="I32" s="5"/>
      <c r="J32" s="446"/>
      <c r="K32" s="446"/>
      <c r="L32" s="90">
        <f>SUM(L30:L31)</f>
        <v>22810216</v>
      </c>
      <c r="M32" s="5"/>
      <c r="N32" s="93">
        <f>ROUND((L32/L$50)*100,1)</f>
        <v>19.5</v>
      </c>
      <c r="O32" s="6"/>
      <c r="P32" s="90"/>
      <c r="Q32" s="5"/>
      <c r="R32" s="90">
        <f>SUM(R30:R31)</f>
        <v>22810216</v>
      </c>
      <c r="S32" s="379"/>
      <c r="V32" s="381"/>
      <c r="Y32" s="449"/>
      <c r="Z32" s="464"/>
      <c r="AA32" s="379"/>
      <c r="AB32" s="379"/>
      <c r="AC32" s="50"/>
      <c r="AD32" s="50"/>
      <c r="AE32" s="379"/>
      <c r="AF32" s="379"/>
      <c r="AG32" s="156"/>
      <c r="AH32" s="50"/>
      <c r="AI32" s="379"/>
      <c r="AJ32" s="379"/>
      <c r="AK32" s="156"/>
      <c r="AL32" s="379"/>
      <c r="AM32" s="50"/>
      <c r="AN32" s="50"/>
    </row>
    <row r="33" spans="1:40" x14ac:dyDescent="0.25">
      <c r="A33" s="45"/>
      <c r="B33" s="378"/>
      <c r="C33" s="46"/>
      <c r="D33" s="378"/>
      <c r="E33" s="378"/>
      <c r="F33" s="5"/>
      <c r="G33" s="2"/>
      <c r="H33" s="83"/>
      <c r="I33" s="5"/>
      <c r="J33" s="446"/>
      <c r="K33" s="446"/>
      <c r="L33" s="83"/>
      <c r="M33" s="5"/>
      <c r="N33" s="91"/>
      <c r="O33" s="6"/>
      <c r="P33" s="83"/>
      <c r="Q33" s="5"/>
      <c r="R33" s="83"/>
      <c r="S33" s="379"/>
      <c r="V33" s="381"/>
      <c r="Y33" s="449"/>
      <c r="Z33" s="464"/>
      <c r="AA33" s="379"/>
      <c r="AB33" s="379"/>
      <c r="AC33" s="50"/>
      <c r="AD33" s="50"/>
      <c r="AE33" s="379"/>
      <c r="AF33" s="379"/>
      <c r="AG33" s="156"/>
      <c r="AH33" s="50"/>
      <c r="AI33" s="379"/>
      <c r="AJ33" s="379"/>
      <c r="AK33" s="156"/>
      <c r="AL33" s="379"/>
      <c r="AM33" s="50"/>
      <c r="AN33" s="50"/>
    </row>
    <row r="34" spans="1:40" x14ac:dyDescent="0.25">
      <c r="A34" s="45">
        <v>12</v>
      </c>
      <c r="B34" s="378"/>
      <c r="C34" s="222" t="s">
        <v>432</v>
      </c>
      <c r="D34" s="378"/>
      <c r="E34" s="378"/>
      <c r="F34" s="5"/>
      <c r="G34" s="2"/>
      <c r="H34" s="5"/>
      <c r="I34" s="5"/>
      <c r="J34" s="9"/>
      <c r="K34" s="9"/>
      <c r="L34" s="5"/>
      <c r="M34" s="5"/>
      <c r="N34" s="6"/>
      <c r="O34" s="6"/>
      <c r="P34" s="5"/>
      <c r="Q34" s="5"/>
      <c r="R34" s="5"/>
      <c r="S34" s="379"/>
      <c r="T34" s="54"/>
      <c r="V34" s="449"/>
      <c r="Y34" s="379"/>
      <c r="Z34" s="463"/>
      <c r="AA34" s="379"/>
      <c r="AB34" s="379"/>
      <c r="AC34" s="50"/>
      <c r="AD34" s="50"/>
      <c r="AE34" s="379"/>
      <c r="AF34" s="379"/>
      <c r="AG34" s="156"/>
      <c r="AH34" s="50"/>
      <c r="AI34" s="379"/>
      <c r="AJ34" s="379"/>
      <c r="AK34" s="156"/>
      <c r="AL34" s="379"/>
      <c r="AM34" s="50"/>
      <c r="AN34" s="50"/>
    </row>
    <row r="35" spans="1:40" x14ac:dyDescent="0.25">
      <c r="A35" s="45">
        <v>13</v>
      </c>
      <c r="B35" s="378"/>
      <c r="C35" s="46" t="s">
        <v>146</v>
      </c>
      <c r="D35" s="378"/>
      <c r="E35" s="378"/>
      <c r="F35" s="86"/>
      <c r="G35" s="2"/>
      <c r="H35" s="392">
        <v>384317296</v>
      </c>
      <c r="I35" s="86"/>
      <c r="J35" s="457">
        <f>INPUT!D51</f>
        <v>9.1238E-2</v>
      </c>
      <c r="K35" s="454"/>
      <c r="L35" s="5">
        <f>ROUND(H35*J35,0)</f>
        <v>35064341</v>
      </c>
      <c r="M35" s="5"/>
      <c r="N35" s="6">
        <f>ROUND((L35/L$50)*100,1)</f>
        <v>30</v>
      </c>
      <c r="O35" s="6"/>
      <c r="P35" s="86"/>
      <c r="Q35" s="86"/>
      <c r="R35" s="5">
        <f t="shared" ref="R35:R39" si="0">L35+P35</f>
        <v>35064341</v>
      </c>
      <c r="S35" s="379"/>
      <c r="T35" s="54"/>
      <c r="V35" s="449"/>
      <c r="Y35" s="379"/>
      <c r="Z35" s="463"/>
      <c r="AA35" s="379"/>
      <c r="AB35" s="379"/>
      <c r="AC35" s="50"/>
      <c r="AD35" s="50"/>
      <c r="AE35" s="379"/>
      <c r="AF35" s="379"/>
      <c r="AG35" s="156"/>
      <c r="AH35" s="50"/>
      <c r="AI35" s="379"/>
      <c r="AJ35" s="379"/>
      <c r="AK35" s="156"/>
      <c r="AL35" s="379"/>
      <c r="AM35" s="50"/>
      <c r="AN35" s="50"/>
    </row>
    <row r="36" spans="1:40" x14ac:dyDescent="0.25">
      <c r="A36" s="45">
        <v>14</v>
      </c>
      <c r="B36" s="378"/>
      <c r="C36" s="46" t="s">
        <v>147</v>
      </c>
      <c r="D36" s="378"/>
      <c r="E36" s="378"/>
      <c r="F36" s="86"/>
      <c r="G36" s="2"/>
      <c r="H36" s="392">
        <v>595505603</v>
      </c>
      <c r="I36" s="86"/>
      <c r="J36" s="457">
        <f>INPUT!D52</f>
        <v>5.6008000000000002E-2</v>
      </c>
      <c r="K36" s="454"/>
      <c r="L36" s="5">
        <f t="shared" ref="L36:L39" si="1">ROUND(H36*J36,0)</f>
        <v>33353078</v>
      </c>
      <c r="M36" s="5"/>
      <c r="N36" s="6">
        <f>ROUND((L36/L$50)*100,1)-0.1</f>
        <v>28.4</v>
      </c>
      <c r="O36" s="6"/>
      <c r="P36" s="86"/>
      <c r="Q36" s="86"/>
      <c r="R36" s="5">
        <f t="shared" si="0"/>
        <v>33353078</v>
      </c>
      <c r="S36" s="379"/>
      <c r="V36" s="381"/>
      <c r="Y36" s="381"/>
      <c r="Z36" s="464"/>
      <c r="AA36" s="381"/>
      <c r="AB36" s="381"/>
      <c r="AC36" s="381"/>
      <c r="AD36" s="381"/>
      <c r="AE36" s="381"/>
      <c r="AF36" s="381"/>
      <c r="AI36" s="381"/>
      <c r="AJ36" s="381"/>
      <c r="AK36" s="162"/>
      <c r="AL36" s="381"/>
      <c r="AM36" s="50"/>
      <c r="AN36" s="50"/>
    </row>
    <row r="37" spans="1:40" x14ac:dyDescent="0.25">
      <c r="A37" s="45">
        <v>15</v>
      </c>
      <c r="B37" s="378"/>
      <c r="C37" s="46" t="s">
        <v>148</v>
      </c>
      <c r="D37" s="378"/>
      <c r="E37" s="378"/>
      <c r="F37" s="86"/>
      <c r="G37" s="2"/>
      <c r="H37" s="392">
        <v>107688276</v>
      </c>
      <c r="I37" s="86"/>
      <c r="J37" s="457">
        <f>INPUT!D53</f>
        <v>4.5865999999999997E-2</v>
      </c>
      <c r="K37" s="454"/>
      <c r="L37" s="5">
        <f t="shared" si="1"/>
        <v>4939230</v>
      </c>
      <c r="M37" s="5"/>
      <c r="N37" s="6">
        <f>ROUND((L37/L$50)*100,1)</f>
        <v>4.2</v>
      </c>
      <c r="O37" s="6"/>
      <c r="P37" s="86"/>
      <c r="Q37" s="86"/>
      <c r="R37" s="5">
        <f t="shared" si="0"/>
        <v>4939230</v>
      </c>
      <c r="S37" s="379"/>
      <c r="T37" s="54"/>
      <c r="V37" s="379"/>
      <c r="Y37" s="379"/>
      <c r="Z37" s="464"/>
      <c r="AA37" s="379"/>
      <c r="AB37" s="379"/>
      <c r="AC37" s="50"/>
      <c r="AD37" s="50"/>
      <c r="AE37" s="379"/>
      <c r="AF37" s="379"/>
      <c r="AG37" s="156"/>
      <c r="AH37" s="50"/>
      <c r="AI37" s="379"/>
      <c r="AJ37" s="379"/>
      <c r="AK37" s="156"/>
      <c r="AL37" s="379"/>
      <c r="AM37" s="50"/>
      <c r="AN37" s="50"/>
    </row>
    <row r="38" spans="1:40" x14ac:dyDescent="0.25">
      <c r="A38" s="45">
        <v>16</v>
      </c>
      <c r="B38" s="378"/>
      <c r="C38" s="46" t="s">
        <v>421</v>
      </c>
      <c r="D38" s="378"/>
      <c r="E38" s="378"/>
      <c r="F38" s="2"/>
      <c r="G38" s="2"/>
      <c r="H38" s="392">
        <v>1443626</v>
      </c>
      <c r="I38" s="86"/>
      <c r="J38" s="457">
        <f>INPUT!D58</f>
        <v>0.26952100000000001</v>
      </c>
      <c r="K38" s="454"/>
      <c r="L38" s="5">
        <f t="shared" si="1"/>
        <v>389088</v>
      </c>
      <c r="M38" s="5"/>
      <c r="N38" s="6">
        <f>ROUND((L38/L$50)*100,1)</f>
        <v>0.3</v>
      </c>
      <c r="O38" s="6"/>
      <c r="P38" s="86"/>
      <c r="Q38" s="86"/>
      <c r="R38" s="5">
        <f t="shared" si="0"/>
        <v>389088</v>
      </c>
      <c r="S38" s="379"/>
      <c r="V38" s="381"/>
      <c r="Y38" s="381"/>
      <c r="Z38" s="464"/>
      <c r="AA38" s="381"/>
      <c r="AB38" s="381"/>
      <c r="AC38" s="381"/>
      <c r="AD38" s="381"/>
      <c r="AE38" s="381"/>
      <c r="AF38" s="381"/>
      <c r="AI38" s="381"/>
      <c r="AJ38" s="381"/>
      <c r="AK38" s="162"/>
      <c r="AL38" s="381"/>
      <c r="AM38" s="50"/>
      <c r="AN38" s="50"/>
    </row>
    <row r="39" spans="1:40" x14ac:dyDescent="0.25">
      <c r="A39" s="45">
        <v>17</v>
      </c>
      <c r="B39" s="378"/>
      <c r="C39" s="46" t="s">
        <v>422</v>
      </c>
      <c r="D39" s="378"/>
      <c r="E39" s="378"/>
      <c r="F39" s="84"/>
      <c r="G39" s="2"/>
      <c r="H39" s="392">
        <v>268250</v>
      </c>
      <c r="I39" s="86"/>
      <c r="J39" s="457">
        <f>INPUT!D59</f>
        <v>0.165461</v>
      </c>
      <c r="K39" s="454"/>
      <c r="L39" s="5">
        <f t="shared" si="1"/>
        <v>44385</v>
      </c>
      <c r="M39" s="5"/>
      <c r="N39" s="6">
        <f>ROUND((L39/L$50)*100,1)</f>
        <v>0</v>
      </c>
      <c r="O39" s="6"/>
      <c r="P39" s="87"/>
      <c r="Q39" s="86"/>
      <c r="R39" s="5">
        <f t="shared" si="0"/>
        <v>44385</v>
      </c>
      <c r="S39" s="379"/>
      <c r="T39" s="54"/>
      <c r="Z39" s="464"/>
      <c r="AA39" s="379"/>
      <c r="AB39" s="379"/>
      <c r="AC39" s="50"/>
      <c r="AD39" s="50"/>
      <c r="AE39" s="379"/>
      <c r="AF39" s="379"/>
      <c r="AG39" s="156"/>
      <c r="AH39" s="50"/>
      <c r="AI39" s="379"/>
      <c r="AJ39" s="379"/>
      <c r="AK39" s="156"/>
      <c r="AL39" s="379"/>
      <c r="AM39" s="50"/>
      <c r="AN39" s="50"/>
    </row>
    <row r="40" spans="1:40" ht="21.75" customHeight="1" x14ac:dyDescent="0.25">
      <c r="A40" s="45">
        <v>18</v>
      </c>
      <c r="B40" s="378"/>
      <c r="C40" s="222" t="s">
        <v>149</v>
      </c>
      <c r="D40" s="378"/>
      <c r="E40" s="378"/>
      <c r="F40" s="81"/>
      <c r="G40" s="2"/>
      <c r="H40" s="90">
        <f>SUM(H35:H39)</f>
        <v>1089223051</v>
      </c>
      <c r="I40" s="5"/>
      <c r="J40" s="267"/>
      <c r="K40" s="9"/>
      <c r="L40" s="90">
        <f>SUM(L35:L39)</f>
        <v>73790122</v>
      </c>
      <c r="M40" s="5"/>
      <c r="N40" s="93">
        <f>ROUND((L40/L$50)*100,1)</f>
        <v>63.2</v>
      </c>
      <c r="O40" s="6"/>
      <c r="P40" s="81"/>
      <c r="Q40" s="5"/>
      <c r="R40" s="90">
        <f>SUM(R35:R39)</f>
        <v>73790122</v>
      </c>
      <c r="S40" s="379"/>
      <c r="V40" s="381"/>
      <c r="Y40" s="381"/>
      <c r="Z40" s="464"/>
      <c r="AA40" s="381"/>
      <c r="AB40" s="381"/>
      <c r="AC40" s="381"/>
      <c r="AD40" s="381"/>
      <c r="AE40" s="381"/>
      <c r="AF40" s="381"/>
      <c r="AI40" s="381"/>
      <c r="AJ40" s="381"/>
      <c r="AK40" s="162"/>
      <c r="AL40" s="381"/>
    </row>
    <row r="41" spans="1:40" ht="21.75" customHeight="1" x14ac:dyDescent="0.25">
      <c r="A41" s="45">
        <v>19</v>
      </c>
      <c r="B41" s="378"/>
      <c r="C41" s="222" t="s">
        <v>512</v>
      </c>
      <c r="D41" s="378"/>
      <c r="E41" s="378"/>
      <c r="F41" s="81">
        <f>F27</f>
        <v>156672</v>
      </c>
      <c r="G41" s="2"/>
      <c r="H41" s="90">
        <f>H40</f>
        <v>1089223051</v>
      </c>
      <c r="I41" s="5"/>
      <c r="J41" s="267"/>
      <c r="K41" s="9"/>
      <c r="L41" s="90">
        <f>L27+L32+L40</f>
        <v>100042148</v>
      </c>
      <c r="M41" s="5"/>
      <c r="N41" s="93">
        <f>ROUND((L41/L$50)*100,1)</f>
        <v>85.6</v>
      </c>
      <c r="O41" s="6"/>
      <c r="P41" s="90"/>
      <c r="Q41" s="5"/>
      <c r="R41" s="90">
        <f>R27+R32+R40</f>
        <v>100042148</v>
      </c>
      <c r="S41" s="379"/>
      <c r="V41" s="381"/>
      <c r="Y41" s="381"/>
      <c r="Z41" s="464"/>
      <c r="AA41" s="381"/>
      <c r="AB41" s="381"/>
      <c r="AC41" s="381"/>
      <c r="AD41" s="381"/>
      <c r="AE41" s="381"/>
      <c r="AF41" s="381"/>
      <c r="AI41" s="381"/>
      <c r="AJ41" s="381"/>
      <c r="AK41" s="162"/>
      <c r="AL41" s="381"/>
    </row>
    <row r="42" spans="1:40" ht="15.75" customHeight="1" x14ac:dyDescent="0.25">
      <c r="A42" s="45"/>
      <c r="B42" s="378"/>
      <c r="C42" s="222"/>
      <c r="D42" s="378"/>
      <c r="E42" s="378"/>
      <c r="F42" s="83"/>
      <c r="G42" s="2"/>
      <c r="H42" s="83"/>
      <c r="I42" s="5"/>
      <c r="J42" s="267"/>
      <c r="K42" s="9"/>
      <c r="L42" s="83"/>
      <c r="M42" s="5"/>
      <c r="N42" s="91"/>
      <c r="O42" s="6"/>
      <c r="P42" s="83"/>
      <c r="Q42" s="5"/>
      <c r="R42" s="83"/>
      <c r="S42" s="379"/>
      <c r="V42" s="381"/>
      <c r="Y42" s="381"/>
      <c r="Z42" s="464"/>
      <c r="AA42" s="381"/>
      <c r="AB42" s="381"/>
      <c r="AC42" s="381"/>
      <c r="AD42" s="381"/>
      <c r="AE42" s="381"/>
      <c r="AF42" s="381"/>
      <c r="AI42" s="381"/>
      <c r="AJ42" s="381"/>
      <c r="AK42" s="162"/>
      <c r="AL42" s="381"/>
    </row>
    <row r="43" spans="1:40" ht="15.75" customHeight="1" x14ac:dyDescent="0.25">
      <c r="A43" s="45">
        <v>20</v>
      </c>
      <c r="B43" s="378"/>
      <c r="C43" s="222" t="s">
        <v>504</v>
      </c>
      <c r="D43" s="378"/>
      <c r="E43" s="378"/>
      <c r="F43" s="83"/>
      <c r="G43" s="2"/>
      <c r="H43" s="83"/>
      <c r="I43" s="5"/>
      <c r="J43" s="267"/>
      <c r="K43" s="9"/>
      <c r="L43" s="83"/>
      <c r="M43" s="5"/>
      <c r="N43" s="91"/>
      <c r="O43" s="6"/>
      <c r="P43" s="83"/>
      <c r="Q43" s="5"/>
      <c r="R43" s="83"/>
      <c r="S43" s="379"/>
      <c r="V43" s="381"/>
      <c r="Y43" s="381"/>
      <c r="Z43" s="464"/>
      <c r="AA43" s="381"/>
      <c r="AB43" s="381"/>
      <c r="AC43" s="381"/>
      <c r="AD43" s="381"/>
      <c r="AE43" s="381"/>
      <c r="AF43" s="381"/>
      <c r="AI43" s="381"/>
      <c r="AJ43" s="381"/>
      <c r="AK43" s="162"/>
      <c r="AL43" s="381"/>
    </row>
    <row r="44" spans="1:40" ht="15.75" customHeight="1" x14ac:dyDescent="0.25">
      <c r="A44" s="45">
        <v>21</v>
      </c>
      <c r="B44" s="378"/>
      <c r="C44" s="216" t="str">
        <f>DSMR_Name</f>
        <v>DEMAND SIDE MANAGEMENT RIDER (DSMR)</v>
      </c>
      <c r="D44" s="378"/>
      <c r="E44" s="378"/>
      <c r="F44" s="83"/>
      <c r="G44" s="2"/>
      <c r="H44" s="83"/>
      <c r="I44" s="5"/>
      <c r="J44" s="465">
        <f>PRO_DSM_DIST</f>
        <v>5.091E-3</v>
      </c>
      <c r="K44" s="9"/>
      <c r="L44" s="83">
        <f>ROUND($H$41*J44,0)</f>
        <v>5545235</v>
      </c>
      <c r="M44" s="5"/>
      <c r="N44" s="149">
        <f>ROUND((L44/L$50)*100,1)</f>
        <v>4.7</v>
      </c>
      <c r="O44" s="6"/>
      <c r="P44" s="83"/>
      <c r="Q44" s="5"/>
      <c r="R44" s="5">
        <f t="shared" ref="R44:R47" si="2">L44+P44</f>
        <v>5545235</v>
      </c>
      <c r="S44" s="379"/>
      <c r="V44" s="381"/>
      <c r="Y44" s="381"/>
      <c r="Z44" s="464"/>
      <c r="AA44" s="381"/>
      <c r="AB44" s="381"/>
      <c r="AC44" s="381"/>
      <c r="AD44" s="381"/>
      <c r="AE44" s="381"/>
      <c r="AF44" s="381"/>
      <c r="AI44" s="381"/>
      <c r="AJ44" s="381"/>
      <c r="AK44" s="162"/>
      <c r="AL44" s="381"/>
    </row>
    <row r="45" spans="1:40" ht="15.75" customHeight="1" x14ac:dyDescent="0.25">
      <c r="A45" s="45">
        <v>22</v>
      </c>
      <c r="B45" s="378"/>
      <c r="C45" s="216" t="str">
        <f>ESM_Name</f>
        <v>ENVIRONMENTAL SURCHARGE MECHANISM RIDER (ESM)</v>
      </c>
      <c r="D45" s="378"/>
      <c r="E45" s="378"/>
      <c r="F45" s="83"/>
      <c r="G45" s="2"/>
      <c r="H45" s="83"/>
      <c r="I45" s="5"/>
      <c r="J45" s="453"/>
      <c r="K45" s="9"/>
      <c r="L45" s="83">
        <f>AE100</f>
        <v>11421349</v>
      </c>
      <c r="M45" s="5"/>
      <c r="N45" s="149">
        <f>ROUND((L45/L$50)*100,1)</f>
        <v>9.8000000000000007</v>
      </c>
      <c r="O45" s="6"/>
      <c r="P45" s="83"/>
      <c r="Q45" s="5"/>
      <c r="R45" s="5">
        <f t="shared" si="2"/>
        <v>11421349</v>
      </c>
      <c r="S45" s="379"/>
      <c r="V45" s="381"/>
      <c r="Y45" s="381"/>
      <c r="Z45" s="464"/>
      <c r="AA45" s="381"/>
      <c r="AB45" s="381"/>
      <c r="AC45" s="381"/>
      <c r="AD45" s="381"/>
      <c r="AE45" s="381"/>
      <c r="AF45" s="381"/>
      <c r="AI45" s="381"/>
      <c r="AJ45" s="381"/>
      <c r="AK45" s="162"/>
      <c r="AL45" s="381"/>
    </row>
    <row r="46" spans="1:40" ht="15.75" customHeight="1" x14ac:dyDescent="0.25">
      <c r="A46" s="45">
        <v>23</v>
      </c>
      <c r="B46" s="378"/>
      <c r="C46" s="216" t="str">
        <f>FAC_Name</f>
        <v>FUEL ADJUSTMENT CLAUSE (FAC)</v>
      </c>
      <c r="D46" s="378"/>
      <c r="E46" s="378"/>
      <c r="F46" s="83"/>
      <c r="G46" s="2"/>
      <c r="H46" s="83"/>
      <c r="I46" s="5"/>
      <c r="J46" s="465">
        <f>PRO_FAC</f>
        <v>6.8099999999999996E-4</v>
      </c>
      <c r="K46" s="9"/>
      <c r="L46" s="83"/>
      <c r="M46" s="5"/>
      <c r="N46" s="149"/>
      <c r="O46" s="6"/>
      <c r="P46" s="83">
        <f>ROUND(H40*J46,0)</f>
        <v>741761</v>
      </c>
      <c r="Q46" s="5"/>
      <c r="R46" s="5">
        <f t="shared" si="2"/>
        <v>741761</v>
      </c>
      <c r="S46" s="379"/>
      <c r="V46" s="381"/>
      <c r="Y46" s="381"/>
      <c r="Z46" s="464"/>
      <c r="AA46" s="381"/>
      <c r="AB46" s="381"/>
      <c r="AC46" s="381"/>
      <c r="AD46" s="381"/>
      <c r="AE46" s="381"/>
      <c r="AF46" s="381"/>
      <c r="AI46" s="381"/>
      <c r="AJ46" s="381"/>
      <c r="AK46" s="162"/>
      <c r="AL46" s="381"/>
    </row>
    <row r="47" spans="1:40" ht="15.75" customHeight="1" x14ac:dyDescent="0.25">
      <c r="A47" s="45">
        <v>24</v>
      </c>
      <c r="B47" s="378"/>
      <c r="C47" s="216" t="str">
        <f>PSM_Name</f>
        <v>PROFIT SHARING MECHANISM (PSM)</v>
      </c>
      <c r="D47" s="378"/>
      <c r="E47" s="378"/>
      <c r="F47" s="83"/>
      <c r="G47" s="2"/>
      <c r="H47" s="83"/>
      <c r="I47" s="5"/>
      <c r="J47" s="465">
        <f>PRO_PSM</f>
        <v>-1.63E-4</v>
      </c>
      <c r="K47" s="9"/>
      <c r="L47" s="81">
        <f>ROUND(H41*J47,0)</f>
        <v>-177543</v>
      </c>
      <c r="M47" s="5"/>
      <c r="N47" s="148">
        <f>ROUND((L47/L$50)*100,1)</f>
        <v>-0.2</v>
      </c>
      <c r="O47" s="6"/>
      <c r="P47" s="81"/>
      <c r="Q47" s="5"/>
      <c r="R47" s="81">
        <f t="shared" si="2"/>
        <v>-177543</v>
      </c>
      <c r="S47" s="379"/>
      <c r="V47" s="381"/>
      <c r="Y47" s="381"/>
      <c r="Z47" s="464"/>
      <c r="AA47" s="381"/>
      <c r="AB47" s="381"/>
      <c r="AC47" s="381"/>
      <c r="AD47" s="381"/>
      <c r="AE47" s="381"/>
      <c r="AF47" s="381"/>
      <c r="AI47" s="381"/>
      <c r="AJ47" s="381"/>
      <c r="AK47" s="162"/>
      <c r="AL47" s="381"/>
    </row>
    <row r="48" spans="1:40" ht="18" customHeight="1" x14ac:dyDescent="0.25">
      <c r="A48" s="380">
        <v>25</v>
      </c>
      <c r="B48" s="378"/>
      <c r="C48" s="222" t="s">
        <v>510</v>
      </c>
      <c r="D48" s="378"/>
      <c r="E48" s="378"/>
      <c r="F48" s="81"/>
      <c r="G48" s="2"/>
      <c r="H48" s="81"/>
      <c r="I48" s="5"/>
      <c r="J48" s="9"/>
      <c r="K48" s="9"/>
      <c r="L48" s="90">
        <f>SUM(L44:L47)</f>
        <v>16789041</v>
      </c>
      <c r="M48" s="5"/>
      <c r="N48" s="150">
        <f>ROUND((L48/L$50)*100,1)</f>
        <v>14.4</v>
      </c>
      <c r="O48" s="6"/>
      <c r="P48" s="90">
        <f>SUM(P44:P47)</f>
        <v>741761</v>
      </c>
      <c r="Q48" s="5"/>
      <c r="R48" s="90">
        <f>SUM(R44:R47)</f>
        <v>17530802</v>
      </c>
      <c r="S48" s="379"/>
      <c r="V48" s="381"/>
      <c r="Y48" s="381"/>
      <c r="Z48" s="464"/>
      <c r="AA48" s="381"/>
      <c r="AB48" s="381"/>
      <c r="AC48" s="381"/>
      <c r="AD48" s="381"/>
      <c r="AE48" s="381"/>
      <c r="AF48" s="381"/>
      <c r="AI48" s="381"/>
      <c r="AJ48" s="381"/>
      <c r="AK48" s="162"/>
      <c r="AL48" s="381"/>
    </row>
    <row r="49" spans="1:43" x14ac:dyDescent="0.25">
      <c r="A49" s="45"/>
      <c r="B49" s="378"/>
      <c r="C49" s="46"/>
      <c r="D49" s="378"/>
      <c r="E49" s="378"/>
      <c r="F49" s="83"/>
      <c r="G49" s="2"/>
      <c r="H49" s="83"/>
      <c r="I49" s="5"/>
      <c r="J49" s="9"/>
      <c r="K49" s="9"/>
      <c r="L49" s="83"/>
      <c r="M49" s="5"/>
      <c r="N49" s="91"/>
      <c r="O49" s="6"/>
      <c r="P49" s="83"/>
      <c r="Q49" s="5"/>
      <c r="R49" s="83"/>
      <c r="S49" s="379"/>
      <c r="V49" s="381"/>
      <c r="Y49" s="381"/>
      <c r="Z49" s="464"/>
      <c r="AA49" s="381"/>
      <c r="AB49" s="381"/>
      <c r="AC49" s="381"/>
      <c r="AD49" s="381"/>
      <c r="AE49" s="381"/>
      <c r="AF49" s="381"/>
      <c r="AI49" s="381"/>
      <c r="AJ49" s="381"/>
      <c r="AK49" s="162"/>
      <c r="AL49" s="381"/>
    </row>
    <row r="50" spans="1:43" ht="20.100000000000001" customHeight="1" thickBot="1" x14ac:dyDescent="0.3">
      <c r="A50" s="45">
        <v>26</v>
      </c>
      <c r="B50" s="378"/>
      <c r="C50" s="444" t="s">
        <v>513</v>
      </c>
      <c r="D50" s="378"/>
      <c r="E50" s="378"/>
      <c r="F50" s="82">
        <f>F41</f>
        <v>156672</v>
      </c>
      <c r="G50" s="2"/>
      <c r="H50" s="82">
        <f>H41</f>
        <v>1089223051</v>
      </c>
      <c r="I50" s="5"/>
      <c r="J50" s="9"/>
      <c r="K50" s="9"/>
      <c r="L50" s="82">
        <f>L41+L48</f>
        <v>116831189</v>
      </c>
      <c r="M50" s="5"/>
      <c r="N50" s="92">
        <v>100</v>
      </c>
      <c r="O50" s="6"/>
      <c r="P50" s="82">
        <f>P48</f>
        <v>741761</v>
      </c>
      <c r="Q50" s="5"/>
      <c r="R50" s="82">
        <f>R41+R48</f>
        <v>117572950</v>
      </c>
      <c r="S50" s="379"/>
      <c r="AA50" s="379"/>
      <c r="AB50" s="379"/>
      <c r="AC50" s="379"/>
      <c r="AD50" s="379"/>
      <c r="AI50" s="379"/>
      <c r="AJ50" s="379"/>
      <c r="AK50" s="156"/>
      <c r="AL50" s="379"/>
    </row>
    <row r="51" spans="1:43" ht="15.2" customHeight="1" thickTop="1" x14ac:dyDescent="0.25">
      <c r="A51" s="378"/>
      <c r="B51" s="378"/>
      <c r="C51" s="378"/>
      <c r="D51" s="378"/>
      <c r="E51" s="378"/>
      <c r="F51" s="5"/>
      <c r="G51" s="2"/>
      <c r="H51" s="5"/>
      <c r="I51" s="5"/>
      <c r="J51" s="9"/>
      <c r="K51" s="9"/>
      <c r="L51" s="5"/>
      <c r="M51" s="5"/>
      <c r="N51" s="5"/>
      <c r="O51" s="5"/>
      <c r="P51" s="5"/>
      <c r="Q51" s="5"/>
      <c r="R51" s="5"/>
      <c r="Z51" s="53"/>
    </row>
    <row r="52" spans="1:43" x14ac:dyDescent="0.25">
      <c r="A52" s="378"/>
      <c r="B52" s="378"/>
      <c r="C52" s="243" t="s">
        <v>61</v>
      </c>
      <c r="D52" s="378"/>
      <c r="E52" s="378"/>
      <c r="F52" s="48"/>
      <c r="G52" s="378"/>
      <c r="H52" s="48"/>
      <c r="I52" s="48"/>
      <c r="J52" s="51"/>
      <c r="K52" s="51"/>
      <c r="L52" s="48"/>
      <c r="M52" s="48"/>
      <c r="N52" s="48"/>
      <c r="O52" s="48"/>
      <c r="P52" s="48"/>
      <c r="Q52" s="48"/>
      <c r="R52" s="48"/>
      <c r="Y52" s="54"/>
    </row>
    <row r="53" spans="1:43" x14ac:dyDescent="0.25">
      <c r="A53" s="46"/>
      <c r="B53" s="378"/>
      <c r="C53" s="243" t="str">
        <f>"(2) REFLECTS FUEL ADJUSTMENT CLAUSE OF "&amp;TEXT(PRO_FAC,"$0.000000;($0.000000)")&amp;"  PER KWH."</f>
        <v>(2) REFLECTS FUEL ADJUSTMENT CLAUSE OF $0.000681  PER KWH.</v>
      </c>
      <c r="D53" s="378"/>
      <c r="E53" s="378"/>
      <c r="F53" s="48"/>
      <c r="G53" s="378"/>
      <c r="H53" s="48"/>
      <c r="I53" s="48"/>
      <c r="J53" s="51"/>
      <c r="K53" s="51"/>
      <c r="L53" s="48"/>
      <c r="M53" s="48"/>
      <c r="N53" s="48"/>
      <c r="O53" s="48"/>
      <c r="P53" s="48"/>
      <c r="Q53" s="48"/>
      <c r="R53" s="48"/>
      <c r="Z53" s="53"/>
    </row>
    <row r="54" spans="1:43" x14ac:dyDescent="0.25">
      <c r="C54" s="243" t="str">
        <f>"(3) REFLECTS FUEL COST RECOVERY INCLUDED IN BASE RATES OF "&amp;TEXT(PRO_BASE_FUEL,"$0.000000;($0.000000)")&amp;"  PER KWH."</f>
        <v>(3) REFLECTS FUEL COST RECOVERY INCLUDED IN BASE RATES OF $0.023837  PER KWH.</v>
      </c>
      <c r="L54" s="54"/>
      <c r="M54" s="54"/>
      <c r="AA54" s="54"/>
      <c r="AB54" s="54"/>
    </row>
    <row r="55" spans="1:43" x14ac:dyDescent="0.25">
      <c r="A55" s="53"/>
      <c r="R55" s="54"/>
      <c r="AK55" s="161"/>
      <c r="AL55" s="54"/>
    </row>
    <row r="56" spans="1:43" x14ac:dyDescent="0.25">
      <c r="A56" s="53"/>
      <c r="F56" s="374"/>
      <c r="H56" s="382"/>
      <c r="R56" s="54"/>
      <c r="T56" s="43" t="str">
        <f>NAME</f>
        <v>DUKE ENERGY KENTUCKY, INC.</v>
      </c>
      <c r="U56" s="43"/>
      <c r="V56" s="43"/>
      <c r="W56" s="43"/>
      <c r="X56" s="43"/>
      <c r="Y56" s="43"/>
      <c r="Z56" s="43"/>
      <c r="AA56" s="43"/>
      <c r="AB56" s="43"/>
      <c r="AC56" s="44"/>
      <c r="AD56" s="44"/>
      <c r="AE56" s="43"/>
      <c r="AF56" s="57"/>
      <c r="AG56" s="144"/>
      <c r="AH56" s="57"/>
      <c r="AI56" s="43"/>
      <c r="AJ56" s="43"/>
      <c r="AK56" s="144"/>
      <c r="AL56" s="43"/>
      <c r="AM56" s="43"/>
      <c r="AN56" s="57"/>
      <c r="AO56" s="43"/>
      <c r="AP56" s="43"/>
      <c r="AQ56" s="144"/>
    </row>
    <row r="57" spans="1:43" x14ac:dyDescent="0.25">
      <c r="A57" s="53"/>
      <c r="R57" s="54"/>
      <c r="T57" s="43" t="str">
        <f>CASE_NO</f>
        <v>CASE NO.   2019-000271</v>
      </c>
      <c r="U57" s="43"/>
      <c r="V57" s="43"/>
      <c r="W57" s="43"/>
      <c r="X57" s="43"/>
      <c r="Y57" s="43"/>
      <c r="Z57" s="43"/>
      <c r="AA57" s="43"/>
      <c r="AB57" s="43"/>
      <c r="AC57" s="44"/>
      <c r="AD57" s="44"/>
      <c r="AE57" s="43"/>
      <c r="AF57" s="57"/>
      <c r="AG57" s="144"/>
      <c r="AH57" s="57"/>
      <c r="AI57" s="43"/>
      <c r="AJ57" s="43"/>
      <c r="AK57" s="144"/>
      <c r="AL57" s="43"/>
      <c r="AM57" s="43"/>
      <c r="AN57" s="57"/>
      <c r="AO57" s="43"/>
      <c r="AP57" s="43"/>
      <c r="AQ57" s="144"/>
    </row>
    <row r="58" spans="1:43" x14ac:dyDescent="0.25">
      <c r="A58" s="54"/>
      <c r="H58" s="382"/>
      <c r="R58" s="54"/>
      <c r="T58" s="44" t="str">
        <f>TITLE</f>
        <v>ANNUALIZED BASE YEAR REVENUES AT PROPOSED VS. MOST CURRENT RATES</v>
      </c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57"/>
      <c r="AG58" s="144"/>
      <c r="AH58" s="57"/>
      <c r="AI58" s="43"/>
      <c r="AJ58" s="43"/>
      <c r="AK58" s="144"/>
      <c r="AL58" s="43"/>
      <c r="AM58" s="43"/>
      <c r="AN58" s="57"/>
      <c r="AO58" s="43"/>
      <c r="AP58" s="43"/>
      <c r="AQ58" s="144"/>
    </row>
    <row r="59" spans="1:43" x14ac:dyDescent="0.25">
      <c r="L59" s="54"/>
      <c r="M59" s="54"/>
      <c r="R59" s="53"/>
      <c r="T59" s="43" t="str">
        <f>DATE</f>
        <v>FOR THE TWELVE MONTHS ENDED November 30, 2019</v>
      </c>
      <c r="U59" s="43"/>
      <c r="V59" s="43"/>
      <c r="W59" s="43"/>
      <c r="X59" s="43"/>
      <c r="Y59" s="43"/>
      <c r="Z59" s="43"/>
      <c r="AA59" s="43"/>
      <c r="AB59" s="43"/>
      <c r="AC59" s="44"/>
      <c r="AD59" s="44"/>
      <c r="AE59" s="43"/>
      <c r="AF59" s="57"/>
      <c r="AG59" s="144"/>
      <c r="AH59" s="57"/>
      <c r="AI59" s="43"/>
      <c r="AJ59" s="43"/>
      <c r="AK59" s="144"/>
      <c r="AL59" s="43"/>
      <c r="AM59" s="43"/>
      <c r="AN59" s="57"/>
      <c r="AO59" s="43"/>
      <c r="AP59" s="43"/>
      <c r="AQ59" s="144"/>
    </row>
    <row r="60" spans="1:43" x14ac:dyDescent="0.25">
      <c r="A60" s="55"/>
      <c r="B60" s="55"/>
      <c r="C60" s="55"/>
      <c r="D60" s="55"/>
      <c r="E60" s="55"/>
      <c r="F60" s="377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T60" s="43" t="str">
        <f>SERVICE</f>
        <v>(ELECTRIC SERVICE)</v>
      </c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4"/>
      <c r="AF60" s="58"/>
      <c r="AG60" s="144"/>
      <c r="AH60" s="57"/>
      <c r="AI60" s="43"/>
      <c r="AJ60" s="43"/>
      <c r="AK60" s="144"/>
      <c r="AL60" s="43"/>
      <c r="AM60" s="43"/>
      <c r="AN60" s="57"/>
      <c r="AO60" s="43"/>
      <c r="AP60" s="43"/>
      <c r="AQ60" s="144"/>
    </row>
    <row r="61" spans="1:43" x14ac:dyDescent="0.25">
      <c r="L61" s="56"/>
      <c r="M61" s="56"/>
      <c r="N61" s="56"/>
      <c r="O61" s="56"/>
      <c r="R61" s="56"/>
      <c r="T61" s="45" t="str">
        <f>DATA_PERIOD</f>
        <v>DATA: __X__ BASE PERIOD   ____FORECASTED PERIOD</v>
      </c>
      <c r="U61" s="378"/>
      <c r="V61" s="378"/>
      <c r="W61" s="378"/>
      <c r="X61" s="378"/>
      <c r="Y61" s="378"/>
      <c r="Z61" s="378"/>
      <c r="AA61" s="378"/>
      <c r="AB61" s="378"/>
      <c r="AC61" s="378"/>
      <c r="AD61" s="378"/>
      <c r="AE61" s="378"/>
      <c r="AG61" s="143"/>
      <c r="AI61" s="378"/>
      <c r="AJ61" s="378"/>
      <c r="AK61" s="143"/>
      <c r="AL61" s="378"/>
      <c r="AM61" s="378"/>
      <c r="AO61" s="46" t="s">
        <v>164</v>
      </c>
      <c r="AP61" s="46"/>
      <c r="AQ61" s="143"/>
    </row>
    <row r="62" spans="1:43" x14ac:dyDescent="0.25">
      <c r="L62" s="56"/>
      <c r="M62" s="56"/>
      <c r="N62" s="56"/>
      <c r="O62" s="56"/>
      <c r="R62" s="56"/>
      <c r="T62" s="45" t="str">
        <f>TYPE</f>
        <v>TYPE OF FILING: _X_ ORIGINAL   ___UPDATED  ___ REVISED</v>
      </c>
      <c r="U62" s="378"/>
      <c r="V62" s="378"/>
      <c r="W62" s="378"/>
      <c r="X62" s="378"/>
      <c r="Y62" s="378"/>
      <c r="Z62" s="378"/>
      <c r="AA62" s="378"/>
      <c r="AB62" s="378"/>
      <c r="AC62" s="378"/>
      <c r="AD62" s="378"/>
      <c r="AE62" s="378"/>
      <c r="AG62" s="143"/>
      <c r="AI62" s="378"/>
      <c r="AJ62" s="378"/>
      <c r="AK62" s="143"/>
      <c r="AL62" s="378"/>
      <c r="AM62" s="378"/>
      <c r="AO62" s="52" t="str">
        <f>"PAGE 3 OF "&amp;TEXT(Page_Num_2.2,"00")</f>
        <v>PAGE 3 OF 22</v>
      </c>
      <c r="AP62" s="46"/>
      <c r="AQ62" s="143"/>
    </row>
    <row r="63" spans="1:43" x14ac:dyDescent="0.25">
      <c r="A63" s="56"/>
      <c r="C63" s="56"/>
      <c r="D63" s="56"/>
      <c r="E63" s="56"/>
      <c r="F63" s="56"/>
      <c r="J63" s="56"/>
      <c r="K63" s="56"/>
      <c r="L63" s="56"/>
      <c r="M63" s="56"/>
      <c r="N63" s="56"/>
      <c r="O63" s="56"/>
      <c r="P63" s="56"/>
      <c r="Q63" s="56"/>
      <c r="R63" s="56"/>
      <c r="T63" s="46" t="s">
        <v>177</v>
      </c>
      <c r="U63" s="378"/>
      <c r="V63" s="378"/>
      <c r="W63" s="378"/>
      <c r="X63" s="378"/>
      <c r="Y63" s="378"/>
      <c r="Z63" s="378"/>
      <c r="AA63" s="378"/>
      <c r="AB63" s="378"/>
      <c r="AC63" s="378"/>
      <c r="AD63" s="378"/>
      <c r="AE63" s="378"/>
      <c r="AG63" s="143"/>
      <c r="AI63" s="378"/>
      <c r="AJ63" s="378"/>
      <c r="AK63" s="143"/>
      <c r="AL63" s="378"/>
      <c r="AM63" s="378"/>
      <c r="AO63" s="46" t="s">
        <v>3</v>
      </c>
      <c r="AP63" s="46"/>
      <c r="AQ63" s="143"/>
    </row>
    <row r="64" spans="1:43" x14ac:dyDescent="0.25">
      <c r="A64" s="56"/>
      <c r="C64" s="56"/>
      <c r="D64" s="56"/>
      <c r="E64" s="56"/>
      <c r="F64" s="56"/>
      <c r="J64" s="56"/>
      <c r="K64" s="56"/>
      <c r="L64" s="56"/>
      <c r="M64" s="56"/>
      <c r="N64" s="56"/>
      <c r="O64" s="56"/>
      <c r="P64" s="56"/>
      <c r="Q64" s="56"/>
      <c r="R64" s="56"/>
      <c r="T64" s="222" t="str">
        <f>TIME</f>
        <v>6 Months Actual and 6 Months Projected with Riders</v>
      </c>
      <c r="U64" s="378"/>
      <c r="V64" s="378"/>
      <c r="W64" s="378"/>
      <c r="X64" s="378"/>
      <c r="Y64" s="378"/>
      <c r="Z64" s="378"/>
      <c r="AA64" s="378"/>
      <c r="AB64" s="378"/>
      <c r="AC64" s="378"/>
      <c r="AD64" s="378"/>
      <c r="AE64" s="378"/>
      <c r="AG64" s="143"/>
      <c r="AI64" s="378"/>
      <c r="AJ64" s="378"/>
      <c r="AK64" s="143"/>
      <c r="AL64" s="378"/>
      <c r="AM64" s="378"/>
      <c r="AO64" s="45" t="str">
        <f>WIT</f>
        <v>J. L. Kern</v>
      </c>
      <c r="AP64" s="45"/>
      <c r="AQ64" s="143"/>
    </row>
    <row r="65" spans="1:76" x14ac:dyDescent="0.25">
      <c r="A65" s="56"/>
      <c r="C65" s="56"/>
      <c r="D65" s="56"/>
      <c r="E65" s="56"/>
      <c r="F65" s="56"/>
      <c r="J65" s="56"/>
      <c r="K65" s="56"/>
      <c r="L65" s="56"/>
      <c r="M65" s="56"/>
      <c r="N65" s="56"/>
      <c r="O65" s="56"/>
      <c r="P65" s="56"/>
      <c r="Q65" s="56"/>
      <c r="R65" s="56"/>
      <c r="T65" s="222" t="str">
        <f>INPUT!B5</f>
        <v>6 Months Actual Ending May 31, 2019</v>
      </c>
      <c r="U65" s="378"/>
      <c r="V65" s="378"/>
      <c r="W65" s="378"/>
      <c r="X65" s="378"/>
      <c r="Y65" s="378"/>
      <c r="Z65" s="378"/>
      <c r="AA65" s="378"/>
      <c r="AB65" s="378"/>
      <c r="AC65" s="378"/>
      <c r="AD65" s="378"/>
      <c r="AE65" s="378"/>
      <c r="AG65" s="143"/>
      <c r="AI65" s="378"/>
      <c r="AJ65" s="378"/>
      <c r="AK65" s="143"/>
      <c r="AL65" s="378"/>
      <c r="AM65" s="378"/>
      <c r="AO65" s="45"/>
      <c r="AP65" s="45"/>
      <c r="AQ65" s="143"/>
    </row>
    <row r="66" spans="1:76" x14ac:dyDescent="0.25">
      <c r="A66" s="56"/>
      <c r="C66" s="56"/>
      <c r="D66" s="56"/>
      <c r="E66" s="56"/>
      <c r="F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T66" s="44" t="s">
        <v>137</v>
      </c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57"/>
      <c r="AG66" s="144"/>
      <c r="AH66" s="57"/>
      <c r="AI66" s="43"/>
      <c r="AJ66" s="43"/>
      <c r="AK66" s="144"/>
      <c r="AL66" s="43"/>
      <c r="AM66" s="43"/>
      <c r="AN66" s="57"/>
      <c r="AO66" s="43"/>
      <c r="AP66" s="43"/>
      <c r="AQ66" s="144"/>
    </row>
    <row r="67" spans="1:76" x14ac:dyDescent="0.25">
      <c r="C67" s="56"/>
      <c r="D67" s="56"/>
      <c r="E67" s="56"/>
      <c r="F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145"/>
      <c r="AH67" s="47"/>
      <c r="AI67" s="47"/>
      <c r="AJ67" s="47"/>
      <c r="AK67" s="145"/>
      <c r="AL67" s="47"/>
      <c r="AM67" s="47"/>
      <c r="AN67" s="47"/>
      <c r="AO67" s="47"/>
      <c r="AP67" s="47"/>
      <c r="AQ67" s="145"/>
    </row>
    <row r="68" spans="1:76" ht="18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T68" s="378"/>
      <c r="U68" s="378"/>
      <c r="V68" s="378"/>
      <c r="W68" s="378"/>
      <c r="X68" s="378"/>
      <c r="Y68" s="378"/>
      <c r="Z68" s="378"/>
      <c r="AA68" s="378"/>
      <c r="AB68" s="378"/>
      <c r="AC68" s="378"/>
      <c r="AD68" s="378"/>
      <c r="AE68" s="426" t="s">
        <v>8</v>
      </c>
      <c r="AF68" s="56"/>
      <c r="AG68" s="146" t="s">
        <v>7</v>
      </c>
      <c r="AH68" s="56"/>
      <c r="AI68" s="426" t="s">
        <v>9</v>
      </c>
      <c r="AJ68" s="426"/>
      <c r="AK68" s="146" t="s">
        <v>10</v>
      </c>
      <c r="AL68" s="426"/>
      <c r="AM68" s="378"/>
      <c r="AO68" s="426" t="s">
        <v>8</v>
      </c>
      <c r="AP68" s="426"/>
      <c r="AQ68" s="146" t="s">
        <v>11</v>
      </c>
    </row>
    <row r="69" spans="1:76" x14ac:dyDescent="0.25"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T69" s="378"/>
      <c r="U69" s="378"/>
      <c r="V69" s="378"/>
      <c r="W69" s="378"/>
      <c r="X69" s="378"/>
      <c r="Y69" s="378"/>
      <c r="Z69" s="378"/>
      <c r="AA69" s="378"/>
      <c r="AB69" s="378"/>
      <c r="AC69" s="426" t="s">
        <v>14</v>
      </c>
      <c r="AD69" s="426"/>
      <c r="AE69" s="426" t="s">
        <v>12</v>
      </c>
      <c r="AF69" s="56"/>
      <c r="AG69" s="146" t="s">
        <v>13</v>
      </c>
      <c r="AH69" s="56"/>
      <c r="AI69" s="426" t="s">
        <v>15</v>
      </c>
      <c r="AJ69" s="426"/>
      <c r="AK69" s="146" t="s">
        <v>16</v>
      </c>
      <c r="AL69" s="426"/>
      <c r="AM69" s="378"/>
      <c r="AO69" s="426" t="s">
        <v>11</v>
      </c>
      <c r="AP69" s="426"/>
      <c r="AQ69" s="146" t="s">
        <v>9</v>
      </c>
    </row>
    <row r="70" spans="1:76" x14ac:dyDescent="0.25">
      <c r="A70" s="53"/>
      <c r="C70" s="54"/>
      <c r="D70" s="54"/>
      <c r="E70" s="54"/>
      <c r="T70" s="426" t="s">
        <v>17</v>
      </c>
      <c r="U70" s="378"/>
      <c r="V70" s="426" t="s">
        <v>18</v>
      </c>
      <c r="W70" s="426" t="s">
        <v>19</v>
      </c>
      <c r="X70" s="426"/>
      <c r="Y70" s="426" t="s">
        <v>20</v>
      </c>
      <c r="Z70" s="378"/>
      <c r="AA70" s="378"/>
      <c r="AB70" s="378"/>
      <c r="AC70" s="426" t="s">
        <v>8</v>
      </c>
      <c r="AD70" s="426"/>
      <c r="AE70" s="426" t="s">
        <v>21</v>
      </c>
      <c r="AF70" s="56"/>
      <c r="AG70" s="146" t="s">
        <v>21</v>
      </c>
      <c r="AH70" s="56"/>
      <c r="AI70" s="426" t="s">
        <v>22</v>
      </c>
      <c r="AJ70" s="426"/>
      <c r="AK70" s="146" t="s">
        <v>22</v>
      </c>
      <c r="AL70" s="426"/>
      <c r="AM70" s="426" t="s">
        <v>21</v>
      </c>
      <c r="AN70" s="56"/>
      <c r="AO70" s="426" t="s">
        <v>9</v>
      </c>
      <c r="AP70" s="426"/>
      <c r="AQ70" s="146" t="s">
        <v>23</v>
      </c>
    </row>
    <row r="71" spans="1:76" x14ac:dyDescent="0.25">
      <c r="A71" s="53"/>
      <c r="D71" s="54"/>
      <c r="E71" s="54"/>
      <c r="T71" s="426" t="s">
        <v>24</v>
      </c>
      <c r="U71" s="378"/>
      <c r="V71" s="426" t="s">
        <v>25</v>
      </c>
      <c r="W71" s="426" t="s">
        <v>26</v>
      </c>
      <c r="X71" s="426"/>
      <c r="Y71" s="426" t="s">
        <v>27</v>
      </c>
      <c r="Z71" s="378"/>
      <c r="AA71" s="426" t="s">
        <v>28</v>
      </c>
      <c r="AB71" s="426"/>
      <c r="AC71" s="426" t="s">
        <v>29</v>
      </c>
      <c r="AD71" s="426"/>
      <c r="AE71" s="426" t="s">
        <v>9</v>
      </c>
      <c r="AF71" s="56"/>
      <c r="AG71" s="146" t="s">
        <v>9</v>
      </c>
      <c r="AH71" s="56"/>
      <c r="AI71" s="265" t="s">
        <v>31</v>
      </c>
      <c r="AJ71" s="426"/>
      <c r="AK71" s="440" t="s">
        <v>32</v>
      </c>
      <c r="AL71" s="426"/>
      <c r="AM71" s="426" t="s">
        <v>379</v>
      </c>
      <c r="AN71" s="56"/>
      <c r="AO71" s="265" t="s">
        <v>33</v>
      </c>
      <c r="AP71" s="265"/>
      <c r="AQ71" s="440" t="s">
        <v>34</v>
      </c>
    </row>
    <row r="72" spans="1:76" x14ac:dyDescent="0.25">
      <c r="T72" s="378"/>
      <c r="U72" s="378"/>
      <c r="V72" s="265" t="s">
        <v>35</v>
      </c>
      <c r="W72" s="265" t="s">
        <v>36</v>
      </c>
      <c r="X72" s="265"/>
      <c r="Y72" s="265" t="s">
        <v>37</v>
      </c>
      <c r="Z72" s="218"/>
      <c r="AA72" s="265" t="s">
        <v>38</v>
      </c>
      <c r="AB72" s="265"/>
      <c r="AC72" s="265" t="s">
        <v>44</v>
      </c>
      <c r="AD72" s="265"/>
      <c r="AE72" s="265" t="s">
        <v>45</v>
      </c>
      <c r="AF72" s="466"/>
      <c r="AG72" s="440" t="s">
        <v>46</v>
      </c>
      <c r="AH72" s="466"/>
      <c r="AI72" s="265" t="s">
        <v>47</v>
      </c>
      <c r="AJ72" s="265"/>
      <c r="AK72" s="440" t="s">
        <v>48</v>
      </c>
      <c r="AL72" s="265"/>
      <c r="AM72" s="265" t="s">
        <v>42</v>
      </c>
      <c r="AN72" s="466"/>
      <c r="AO72" s="265" t="s">
        <v>49</v>
      </c>
      <c r="AP72" s="265"/>
      <c r="AQ72" s="440" t="s">
        <v>50</v>
      </c>
    </row>
    <row r="73" spans="1:76" x14ac:dyDescent="0.25">
      <c r="A73" s="53"/>
      <c r="C73" s="54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145"/>
      <c r="AH73" s="47"/>
      <c r="AI73" s="47"/>
      <c r="AJ73" s="47"/>
      <c r="AK73" s="145"/>
      <c r="AL73" s="47"/>
      <c r="AM73" s="47"/>
      <c r="AN73" s="47"/>
      <c r="AO73" s="47"/>
      <c r="AP73" s="47"/>
      <c r="AQ73" s="145"/>
    </row>
    <row r="74" spans="1:76" ht="17.100000000000001" customHeight="1" x14ac:dyDescent="0.25">
      <c r="A74" s="53"/>
      <c r="C74" s="54"/>
      <c r="F74" s="449"/>
      <c r="H74" s="449"/>
      <c r="I74" s="449"/>
      <c r="J74" s="461"/>
      <c r="K74" s="461"/>
      <c r="L74" s="379"/>
      <c r="M74" s="379"/>
      <c r="N74" s="50"/>
      <c r="O74" s="50"/>
      <c r="P74" s="53"/>
      <c r="Q74" s="53"/>
      <c r="R74" s="379"/>
      <c r="T74" s="378"/>
      <c r="U74" s="378"/>
      <c r="V74" s="378"/>
      <c r="W74" s="378"/>
      <c r="X74" s="378"/>
      <c r="Y74" s="378"/>
      <c r="Z74" s="378"/>
      <c r="AA74" s="442" t="s">
        <v>203</v>
      </c>
      <c r="AB74" s="441"/>
      <c r="AC74" s="442" t="s">
        <v>390</v>
      </c>
      <c r="AD74" s="441"/>
      <c r="AE74" s="441" t="s">
        <v>52</v>
      </c>
      <c r="AF74" s="467"/>
      <c r="AG74" s="443" t="s">
        <v>53</v>
      </c>
      <c r="AH74" s="467"/>
      <c r="AI74" s="441" t="s">
        <v>52</v>
      </c>
      <c r="AJ74" s="441"/>
      <c r="AK74" s="443" t="s">
        <v>53</v>
      </c>
      <c r="AL74" s="441"/>
      <c r="AM74" s="441" t="s">
        <v>52</v>
      </c>
      <c r="AN74" s="467"/>
      <c r="AO74" s="441" t="s">
        <v>52</v>
      </c>
      <c r="AP74" s="441"/>
      <c r="AQ74" s="443" t="s">
        <v>53</v>
      </c>
    </row>
    <row r="75" spans="1:76" x14ac:dyDescent="0.25">
      <c r="A75" s="53"/>
      <c r="C75" s="54"/>
      <c r="F75" s="449"/>
      <c r="H75" s="449"/>
      <c r="I75" s="449"/>
      <c r="J75" s="461"/>
      <c r="K75" s="461"/>
      <c r="L75" s="379"/>
      <c r="M75" s="379"/>
      <c r="N75" s="50"/>
      <c r="O75" s="50"/>
      <c r="P75" s="53"/>
      <c r="Q75" s="53"/>
      <c r="R75" s="379"/>
      <c r="T75" s="45">
        <f t="shared" ref="T75:T96" si="3">A20</f>
        <v>1</v>
      </c>
      <c r="U75" s="378"/>
      <c r="V75" s="222" t="s">
        <v>97</v>
      </c>
      <c r="W75" s="222" t="s">
        <v>150</v>
      </c>
      <c r="X75" s="46"/>
      <c r="Y75" s="2"/>
      <c r="Z75" s="2"/>
      <c r="AA75" s="459"/>
      <c r="AB75" s="459"/>
      <c r="AC75" s="460" t="s">
        <v>384</v>
      </c>
      <c r="AD75" s="459"/>
      <c r="AE75" s="459"/>
      <c r="AF75" s="468"/>
      <c r="AG75" s="469"/>
      <c r="AH75" s="468"/>
      <c r="AI75" s="459"/>
      <c r="AJ75" s="459"/>
      <c r="AK75" s="469"/>
      <c r="AL75" s="459"/>
      <c r="AM75" s="459"/>
      <c r="AN75" s="468"/>
      <c r="AO75" s="459"/>
      <c r="AP75" s="459"/>
      <c r="AQ75" s="469"/>
    </row>
    <row r="76" spans="1:76" x14ac:dyDescent="0.25">
      <c r="F76" s="381"/>
      <c r="H76" s="379"/>
      <c r="I76" s="379"/>
      <c r="J76" s="464"/>
      <c r="K76" s="464"/>
      <c r="L76" s="381"/>
      <c r="M76" s="381"/>
      <c r="N76" s="381"/>
      <c r="O76" s="381"/>
      <c r="P76" s="381"/>
      <c r="Q76" s="381"/>
      <c r="R76" s="381"/>
      <c r="T76" s="45">
        <f t="shared" si="3"/>
        <v>2</v>
      </c>
      <c r="U76" s="378"/>
      <c r="V76" s="218"/>
      <c r="W76" s="222" t="s">
        <v>139</v>
      </c>
      <c r="X76" s="46"/>
      <c r="Y76" s="2"/>
      <c r="Z76" s="2"/>
      <c r="AA76" s="2"/>
      <c r="AB76" s="2"/>
      <c r="AC76" s="2"/>
      <c r="AD76" s="2"/>
      <c r="AE76" s="2"/>
      <c r="AF76" s="84"/>
      <c r="AG76" s="147"/>
      <c r="AH76" s="84"/>
      <c r="AI76" s="2"/>
      <c r="AJ76" s="2"/>
      <c r="AK76" s="147"/>
      <c r="AL76" s="2"/>
      <c r="AM76" s="2"/>
      <c r="AN76" s="84"/>
      <c r="AO76" s="2"/>
      <c r="AP76" s="2"/>
      <c r="AQ76" s="147"/>
    </row>
    <row r="77" spans="1:76" x14ac:dyDescent="0.25">
      <c r="A77" s="53"/>
      <c r="C77" s="54"/>
      <c r="F77" s="379"/>
      <c r="H77" s="379"/>
      <c r="I77" s="379"/>
      <c r="J77" s="464"/>
      <c r="K77" s="464"/>
      <c r="L77" s="379"/>
      <c r="M77" s="379"/>
      <c r="N77" s="50"/>
      <c r="O77" s="50"/>
      <c r="P77" s="379"/>
      <c r="Q77" s="379"/>
      <c r="R77" s="379"/>
      <c r="T77" s="45"/>
      <c r="U77" s="378"/>
      <c r="V77" s="378"/>
      <c r="W77" s="378"/>
      <c r="X77" s="378"/>
      <c r="Y77" s="2"/>
      <c r="Z77" s="2"/>
      <c r="AA77" s="2"/>
      <c r="AB77" s="2"/>
      <c r="AC77" s="2"/>
      <c r="AD77" s="2"/>
      <c r="AE77" s="2"/>
      <c r="AF77" s="84"/>
      <c r="AG77" s="147"/>
      <c r="AH77" s="84"/>
      <c r="AI77" s="2"/>
      <c r="AJ77" s="2"/>
      <c r="AK77" s="147"/>
      <c r="AL77" s="2"/>
      <c r="AM77" s="2"/>
      <c r="AN77" s="84"/>
      <c r="AO77" s="2"/>
      <c r="AP77" s="2"/>
      <c r="AQ77" s="147"/>
    </row>
    <row r="78" spans="1:76" x14ac:dyDescent="0.25">
      <c r="F78" s="381"/>
      <c r="H78" s="379"/>
      <c r="I78" s="379"/>
      <c r="J78" s="464"/>
      <c r="K78" s="464"/>
      <c r="L78" s="381"/>
      <c r="M78" s="381"/>
      <c r="N78" s="381"/>
      <c r="O78" s="381"/>
      <c r="P78" s="381"/>
      <c r="Q78" s="381"/>
      <c r="R78" s="381"/>
      <c r="T78" s="45">
        <f t="shared" si="3"/>
        <v>3</v>
      </c>
      <c r="U78" s="378"/>
      <c r="V78" s="222" t="s">
        <v>140</v>
      </c>
      <c r="W78" s="378"/>
      <c r="X78" s="378"/>
      <c r="Y78" s="2"/>
      <c r="Z78" s="2"/>
      <c r="AA78" s="2"/>
      <c r="AB78" s="2"/>
      <c r="AC78" s="2"/>
      <c r="AD78" s="2"/>
      <c r="AE78" s="2"/>
      <c r="AF78" s="84"/>
      <c r="AG78" s="147"/>
      <c r="AH78" s="84"/>
      <c r="AI78" s="2"/>
      <c r="AJ78" s="2"/>
      <c r="AK78" s="147"/>
      <c r="AL78" s="2"/>
      <c r="AM78" s="2"/>
      <c r="AN78" s="84"/>
      <c r="AO78" s="2"/>
      <c r="AP78" s="2"/>
      <c r="AQ78" s="147"/>
    </row>
    <row r="79" spans="1:76" x14ac:dyDescent="0.25">
      <c r="F79" s="381"/>
      <c r="H79" s="379"/>
      <c r="I79" s="379"/>
      <c r="J79" s="464"/>
      <c r="K79" s="464"/>
      <c r="L79" s="381"/>
      <c r="M79" s="381"/>
      <c r="N79" s="381"/>
      <c r="O79" s="381"/>
      <c r="P79" s="381"/>
      <c r="Q79" s="381"/>
      <c r="R79" s="381"/>
      <c r="T79" s="45">
        <f t="shared" si="3"/>
        <v>4</v>
      </c>
      <c r="U79" s="378"/>
      <c r="V79" s="52" t="s">
        <v>414</v>
      </c>
      <c r="W79" s="378"/>
      <c r="X79" s="378"/>
      <c r="Y79" s="5">
        <f>F24</f>
        <v>1839</v>
      </c>
      <c r="Z79" s="2"/>
      <c r="AA79" s="2"/>
      <c r="AB79" s="2"/>
      <c r="AC79" s="450">
        <f>INPUT!C63</f>
        <v>5</v>
      </c>
      <c r="AD79" s="2"/>
      <c r="AE79" s="5">
        <f>ROUND(Y79*AC79,0)</f>
        <v>9195</v>
      </c>
      <c r="AF79" s="83"/>
      <c r="AG79" s="149">
        <f>ROUND((AE79/AE$105)*100,1)</f>
        <v>0</v>
      </c>
      <c r="AH79" s="91"/>
      <c r="AI79" s="5">
        <f>L24-AE79</f>
        <v>0</v>
      </c>
      <c r="AJ79" s="5"/>
      <c r="AK79" s="149">
        <f>ROUND((AI79/AE79)*100,1)</f>
        <v>0</v>
      </c>
      <c r="AL79" s="8"/>
      <c r="AM79" s="5"/>
      <c r="AN79" s="97"/>
      <c r="AO79" s="5">
        <f>AE79+AM79</f>
        <v>9195</v>
      </c>
      <c r="AP79" s="5"/>
      <c r="AQ79" s="164">
        <f>IF(AO79=0,"0.0 ",ROUND((AI79/AO79)*100,1))</f>
        <v>0</v>
      </c>
    </row>
    <row r="80" spans="1:76" x14ac:dyDescent="0.25">
      <c r="F80" s="379"/>
      <c r="H80" s="379"/>
      <c r="I80" s="379"/>
      <c r="J80" s="464"/>
      <c r="K80" s="464"/>
      <c r="L80" s="379"/>
      <c r="M80" s="379"/>
      <c r="N80" s="50"/>
      <c r="O80" s="50"/>
      <c r="P80" s="379"/>
      <c r="Q80" s="379"/>
      <c r="R80" s="379"/>
      <c r="T80" s="45">
        <f t="shared" si="3"/>
        <v>5</v>
      </c>
      <c r="U80" s="378"/>
      <c r="V80" s="46" t="s">
        <v>141</v>
      </c>
      <c r="W80" s="378"/>
      <c r="X80" s="378"/>
      <c r="Y80" s="5">
        <f>F25</f>
        <v>84503</v>
      </c>
      <c r="Z80" s="2"/>
      <c r="AA80" s="86"/>
      <c r="AB80" s="86"/>
      <c r="AC80" s="450">
        <f>INPUT!C48</f>
        <v>17.14</v>
      </c>
      <c r="AD80" s="96"/>
      <c r="AE80" s="5">
        <f>ROUND(Y80*AC80,0)</f>
        <v>1448381</v>
      </c>
      <c r="AF80" s="83"/>
      <c r="AG80" s="149">
        <f>ROUND((AE80/AE$105)*100,1)</f>
        <v>1.4</v>
      </c>
      <c r="AH80" s="91"/>
      <c r="AI80" s="5">
        <f>L25-AE80</f>
        <v>-180836</v>
      </c>
      <c r="AJ80" s="5"/>
      <c r="AK80" s="149">
        <f>ROUND((AI80/AE80)*100,1)</f>
        <v>-12.5</v>
      </c>
      <c r="AL80" s="8"/>
      <c r="AM80" s="5"/>
      <c r="AN80" s="97"/>
      <c r="AO80" s="5">
        <f>AE80+AM80</f>
        <v>1448381</v>
      </c>
      <c r="AP80" s="5"/>
      <c r="AQ80" s="164">
        <f>IF(AO80=0,"0.0 ",ROUND((AI80/AO80)*100,1))</f>
        <v>-12.5</v>
      </c>
      <c r="BX80" s="470"/>
    </row>
    <row r="81" spans="1:46" x14ac:dyDescent="0.25">
      <c r="A81" s="53"/>
      <c r="C81" s="54"/>
      <c r="F81" s="379"/>
      <c r="H81" s="379"/>
      <c r="I81" s="379"/>
      <c r="J81" s="464"/>
      <c r="K81" s="464"/>
      <c r="L81" s="379"/>
      <c r="M81" s="379"/>
      <c r="N81" s="50"/>
      <c r="O81" s="50"/>
      <c r="P81" s="379"/>
      <c r="Q81" s="379"/>
      <c r="R81" s="379"/>
      <c r="T81" s="45">
        <f t="shared" si="3"/>
        <v>6</v>
      </c>
      <c r="U81" s="378"/>
      <c r="V81" s="46" t="s">
        <v>142</v>
      </c>
      <c r="W81" s="378"/>
      <c r="X81" s="378"/>
      <c r="Y81" s="5">
        <f>F26</f>
        <v>72169</v>
      </c>
      <c r="Z81" s="2"/>
      <c r="AA81" s="86"/>
      <c r="AB81" s="86"/>
      <c r="AC81" s="450">
        <f>INPUT!C49</f>
        <v>34.28</v>
      </c>
      <c r="AD81" s="96"/>
      <c r="AE81" s="5">
        <f>ROUND(Y81*AC81,0)</f>
        <v>2473953</v>
      </c>
      <c r="AF81" s="83"/>
      <c r="AG81" s="148">
        <f>ROUND((AE81/AE$105)*100,1)</f>
        <v>2.2999999999999998</v>
      </c>
      <c r="AH81" s="91"/>
      <c r="AI81" s="5">
        <f>L26-AE81</f>
        <v>-308883</v>
      </c>
      <c r="AJ81" s="5"/>
      <c r="AK81" s="148">
        <f>ROUND((AI81/AE81)*100,1)</f>
        <v>-12.5</v>
      </c>
      <c r="AL81" s="8"/>
      <c r="AM81" s="5"/>
      <c r="AN81" s="97"/>
      <c r="AO81" s="5">
        <f>AE81+AM81</f>
        <v>2473953</v>
      </c>
      <c r="AP81" s="5"/>
      <c r="AQ81" s="164">
        <f>IF(AO81=0,"0.0 ",ROUND((AI81/AO81)*100,1))</f>
        <v>-12.5</v>
      </c>
    </row>
    <row r="82" spans="1:46" ht="20.100000000000001" customHeight="1" x14ac:dyDescent="0.25">
      <c r="A82" s="53"/>
      <c r="C82" s="54"/>
      <c r="F82" s="449"/>
      <c r="H82" s="449"/>
      <c r="I82" s="449"/>
      <c r="J82" s="461"/>
      <c r="K82" s="461"/>
      <c r="L82" s="379"/>
      <c r="M82" s="379"/>
      <c r="N82" s="50"/>
      <c r="O82" s="50"/>
      <c r="P82" s="379"/>
      <c r="Q82" s="379"/>
      <c r="R82" s="379"/>
      <c r="T82" s="45">
        <f t="shared" si="3"/>
        <v>7</v>
      </c>
      <c r="U82" s="378"/>
      <c r="V82" s="222" t="s">
        <v>143</v>
      </c>
      <c r="W82" s="378"/>
      <c r="X82" s="378"/>
      <c r="Y82" s="90">
        <f>F27</f>
        <v>156672</v>
      </c>
      <c r="Z82" s="2"/>
      <c r="AA82" s="5"/>
      <c r="AB82" s="5"/>
      <c r="AC82" s="9"/>
      <c r="AD82" s="9"/>
      <c r="AE82" s="90">
        <f>SUM(AE79:AE81)</f>
        <v>3931529</v>
      </c>
      <c r="AF82" s="83"/>
      <c r="AG82" s="150">
        <f>ROUND((AE82/AE$105)*100,1)</f>
        <v>3.7</v>
      </c>
      <c r="AH82" s="91"/>
      <c r="AI82" s="90">
        <f>SUM(AI79:AI81)</f>
        <v>-489719</v>
      </c>
      <c r="AJ82" s="83"/>
      <c r="AK82" s="150">
        <f>ROUND((AI82/AE82)*100,1)</f>
        <v>-12.5</v>
      </c>
      <c r="AL82" s="8"/>
      <c r="AM82" s="90"/>
      <c r="AN82" s="83"/>
      <c r="AO82" s="90">
        <f>SUM(AO79:AO81)</f>
        <v>3931529</v>
      </c>
      <c r="AP82" s="83"/>
      <c r="AQ82" s="164">
        <f>IF(AO82=0,"0.0 ",ROUND((AI82/AO82)*100,1))</f>
        <v>-12.5</v>
      </c>
    </row>
    <row r="83" spans="1:46" x14ac:dyDescent="0.25">
      <c r="A83" s="53"/>
      <c r="C83" s="54"/>
      <c r="F83" s="379"/>
      <c r="H83" s="379"/>
      <c r="I83" s="379"/>
      <c r="J83" s="464"/>
      <c r="K83" s="464"/>
      <c r="L83" s="379"/>
      <c r="M83" s="379"/>
      <c r="N83" s="50"/>
      <c r="O83" s="50"/>
      <c r="P83" s="379"/>
      <c r="Q83" s="379"/>
      <c r="R83" s="379"/>
      <c r="T83" s="45"/>
      <c r="U83" s="378"/>
      <c r="V83" s="378"/>
      <c r="W83" s="378"/>
      <c r="X83" s="378"/>
      <c r="Y83" s="5"/>
      <c r="Z83" s="2"/>
      <c r="AA83" s="5"/>
      <c r="AB83" s="5"/>
      <c r="AC83" s="9"/>
      <c r="AD83" s="9"/>
      <c r="AE83" s="5"/>
      <c r="AF83" s="83"/>
      <c r="AG83" s="149"/>
      <c r="AH83" s="91"/>
      <c r="AI83" s="5"/>
      <c r="AJ83" s="5"/>
      <c r="AK83" s="149"/>
      <c r="AL83" s="8"/>
      <c r="AM83" s="5"/>
      <c r="AN83" s="83"/>
      <c r="AO83" s="5"/>
      <c r="AP83" s="5"/>
      <c r="AQ83" s="149"/>
    </row>
    <row r="84" spans="1:46" x14ac:dyDescent="0.25">
      <c r="F84" s="379"/>
      <c r="H84" s="381"/>
      <c r="I84" s="381"/>
      <c r="J84" s="464"/>
      <c r="K84" s="464"/>
      <c r="L84" s="381"/>
      <c r="M84" s="381"/>
      <c r="N84" s="381"/>
      <c r="O84" s="381"/>
      <c r="P84" s="381"/>
      <c r="Q84" s="381"/>
      <c r="R84" s="381"/>
      <c r="T84" s="45">
        <f t="shared" si="3"/>
        <v>8</v>
      </c>
      <c r="U84" s="378"/>
      <c r="V84" s="222" t="s">
        <v>65</v>
      </c>
      <c r="W84" s="378"/>
      <c r="X84" s="378"/>
      <c r="Y84" s="5"/>
      <c r="Z84" s="2"/>
      <c r="AA84" s="5"/>
      <c r="AB84" s="5"/>
      <c r="AC84" s="9"/>
      <c r="AD84" s="9"/>
      <c r="AE84" s="5"/>
      <c r="AF84" s="83"/>
      <c r="AG84" s="149"/>
      <c r="AH84" s="91"/>
      <c r="AI84" s="5"/>
      <c r="AJ84" s="5"/>
      <c r="AK84" s="149"/>
      <c r="AL84" s="8"/>
      <c r="AM84" s="5"/>
      <c r="AN84" s="83"/>
      <c r="AO84" s="5"/>
      <c r="AP84" s="5"/>
      <c r="AQ84" s="149"/>
    </row>
    <row r="85" spans="1:46" x14ac:dyDescent="0.25">
      <c r="A85" s="53"/>
      <c r="C85" s="54"/>
      <c r="F85" s="379"/>
      <c r="H85" s="379"/>
      <c r="I85" s="379"/>
      <c r="J85" s="59"/>
      <c r="K85" s="59"/>
      <c r="L85" s="379"/>
      <c r="M85" s="379"/>
      <c r="N85" s="50"/>
      <c r="O85" s="50"/>
      <c r="P85" s="379"/>
      <c r="Q85" s="379"/>
      <c r="R85" s="379"/>
      <c r="T85" s="45">
        <f t="shared" si="3"/>
        <v>9</v>
      </c>
      <c r="U85" s="378"/>
      <c r="V85" s="46" t="s">
        <v>144</v>
      </c>
      <c r="W85" s="378"/>
      <c r="X85" s="378"/>
      <c r="Y85" s="86"/>
      <c r="Z85" s="2"/>
      <c r="AA85" s="5">
        <f>H30</f>
        <v>1421459.7899999991</v>
      </c>
      <c r="AB85" s="5"/>
      <c r="AC85" s="450">
        <f>INPUT!C55</f>
        <v>0</v>
      </c>
      <c r="AD85" s="96"/>
      <c r="AE85" s="5">
        <f>ROUND(AA85*AC85,0)</f>
        <v>0</v>
      </c>
      <c r="AF85" s="83"/>
      <c r="AG85" s="149">
        <f>ROUND((AE85/AE$105)*100,1)</f>
        <v>0</v>
      </c>
      <c r="AH85" s="91"/>
      <c r="AI85" s="5">
        <f>L30-AE85</f>
        <v>0</v>
      </c>
      <c r="AJ85" s="5"/>
      <c r="AK85" s="178">
        <v>0</v>
      </c>
      <c r="AL85" s="471"/>
      <c r="AM85" s="5"/>
      <c r="AN85" s="83"/>
      <c r="AO85" s="5">
        <f>AE85+AM85</f>
        <v>0</v>
      </c>
      <c r="AP85" s="5"/>
      <c r="AQ85" s="164" t="str">
        <f>IF(AO85=0,"0.0 ",ROUND((AI85/AO85)*100,1))</f>
        <v xml:space="preserve">0.0 </v>
      </c>
    </row>
    <row r="86" spans="1:46" x14ac:dyDescent="0.25">
      <c r="A86" s="53"/>
      <c r="C86" s="54"/>
      <c r="F86" s="449"/>
      <c r="H86" s="449"/>
      <c r="I86" s="449"/>
      <c r="J86" s="472"/>
      <c r="K86" s="472"/>
      <c r="L86" s="379"/>
      <c r="M86" s="379"/>
      <c r="N86" s="50"/>
      <c r="O86" s="50"/>
      <c r="P86" s="449"/>
      <c r="Q86" s="449"/>
      <c r="R86" s="379"/>
      <c r="T86" s="45">
        <f t="shared" si="3"/>
        <v>10</v>
      </c>
      <c r="U86" s="378"/>
      <c r="V86" s="46" t="s">
        <v>145</v>
      </c>
      <c r="W86" s="378"/>
      <c r="X86" s="378"/>
      <c r="Y86" s="86"/>
      <c r="Z86" s="2"/>
      <c r="AA86" s="5">
        <f>H31</f>
        <v>2431792.7299999995</v>
      </c>
      <c r="AB86" s="5"/>
      <c r="AC86" s="450">
        <f>INPUT!C56</f>
        <v>8.25</v>
      </c>
      <c r="AD86" s="96"/>
      <c r="AE86" s="5">
        <f>ROUND(AA86*AC86,0)</f>
        <v>20062290</v>
      </c>
      <c r="AF86" s="83"/>
      <c r="AG86" s="148">
        <f>ROUND((AE86/AE$105)*100,1)</f>
        <v>19</v>
      </c>
      <c r="AH86" s="91"/>
      <c r="AI86" s="5">
        <f>L31-AE86</f>
        <v>2747926</v>
      </c>
      <c r="AJ86" s="5"/>
      <c r="AK86" s="148">
        <f>ROUND((AI86/AE86)*100,1)</f>
        <v>13.7</v>
      </c>
      <c r="AL86" s="8"/>
      <c r="AM86" s="5"/>
      <c r="AN86" s="83"/>
      <c r="AO86" s="5">
        <f>AE86+AM86</f>
        <v>20062290</v>
      </c>
      <c r="AP86" s="5"/>
      <c r="AQ86" s="164">
        <f>IF(AO86=0,"0.0 ",ROUND((AI86/AO86)*100,1))</f>
        <v>13.7</v>
      </c>
    </row>
    <row r="87" spans="1:46" ht="20.100000000000001" customHeight="1" x14ac:dyDescent="0.25">
      <c r="A87" s="53"/>
      <c r="C87" s="54"/>
      <c r="F87" s="449"/>
      <c r="H87" s="449"/>
      <c r="I87" s="449"/>
      <c r="J87" s="472"/>
      <c r="K87" s="472"/>
      <c r="L87" s="379"/>
      <c r="M87" s="379"/>
      <c r="N87" s="50"/>
      <c r="O87" s="50"/>
      <c r="P87" s="449"/>
      <c r="Q87" s="449"/>
      <c r="R87" s="379"/>
      <c r="T87" s="45">
        <f t="shared" si="3"/>
        <v>11</v>
      </c>
      <c r="U87" s="378"/>
      <c r="V87" s="222" t="s">
        <v>68</v>
      </c>
      <c r="W87" s="378"/>
      <c r="X87" s="378"/>
      <c r="Y87" s="5"/>
      <c r="Z87" s="2"/>
      <c r="AA87" s="90">
        <f>H32</f>
        <v>3853252.5199999986</v>
      </c>
      <c r="AB87" s="83"/>
      <c r="AC87" s="446"/>
      <c r="AD87" s="446"/>
      <c r="AE87" s="90">
        <f>SUM(AE85:AE86)</f>
        <v>20062290</v>
      </c>
      <c r="AF87" s="83"/>
      <c r="AG87" s="150">
        <f>ROUND((AE87/AE$105)*100,1)</f>
        <v>19</v>
      </c>
      <c r="AH87" s="91"/>
      <c r="AI87" s="90">
        <f>SUM(AI85:AI86)</f>
        <v>2747926</v>
      </c>
      <c r="AJ87" s="83"/>
      <c r="AK87" s="150">
        <f>ROUND((AI87/AE87)*100,1)</f>
        <v>13.7</v>
      </c>
      <c r="AL87" s="8"/>
      <c r="AM87" s="90"/>
      <c r="AN87" s="83"/>
      <c r="AO87" s="90">
        <f>SUM(AO85:AO86)</f>
        <v>20062290</v>
      </c>
      <c r="AP87" s="83"/>
      <c r="AQ87" s="164">
        <f>IF(AO87=0,"0.0 ",ROUND((AI87/AO87)*100,1))</f>
        <v>13.7</v>
      </c>
      <c r="AT87" s="380">
        <f>1-AT95</f>
        <v>0.23623491127542051</v>
      </c>
    </row>
    <row r="88" spans="1:46" x14ac:dyDescent="0.25">
      <c r="A88" s="53"/>
      <c r="C88" s="54"/>
      <c r="F88" s="449"/>
      <c r="H88" s="449"/>
      <c r="I88" s="449"/>
      <c r="J88" s="472"/>
      <c r="K88" s="472"/>
      <c r="L88" s="379"/>
      <c r="M88" s="379"/>
      <c r="N88" s="50"/>
      <c r="O88" s="50"/>
      <c r="P88" s="449"/>
      <c r="Q88" s="449"/>
      <c r="R88" s="379"/>
      <c r="T88" s="45"/>
      <c r="U88" s="378"/>
      <c r="V88" s="46"/>
      <c r="W88" s="378"/>
      <c r="X88" s="378"/>
      <c r="Y88" s="5"/>
      <c r="Z88" s="2"/>
      <c r="AA88" s="83"/>
      <c r="AB88" s="83"/>
      <c r="AC88" s="446"/>
      <c r="AD88" s="446"/>
      <c r="AE88" s="83"/>
      <c r="AF88" s="83"/>
      <c r="AG88" s="383"/>
      <c r="AH88" s="91"/>
      <c r="AI88" s="83"/>
      <c r="AJ88" s="83"/>
      <c r="AK88" s="149"/>
      <c r="AL88" s="8"/>
      <c r="AM88" s="83"/>
      <c r="AN88" s="83"/>
      <c r="AO88" s="83"/>
      <c r="AP88" s="83"/>
      <c r="AQ88" s="149"/>
    </row>
    <row r="89" spans="1:46" ht="16.5" thickBot="1" x14ac:dyDescent="0.3">
      <c r="A89" s="53"/>
      <c r="C89" s="54"/>
      <c r="H89" s="449"/>
      <c r="I89" s="449"/>
      <c r="J89" s="472"/>
      <c r="K89" s="472"/>
      <c r="L89" s="379"/>
      <c r="M89" s="379"/>
      <c r="N89" s="50"/>
      <c r="O89" s="50"/>
      <c r="P89" s="449"/>
      <c r="Q89" s="449"/>
      <c r="R89" s="379"/>
      <c r="T89" s="45">
        <f t="shared" si="3"/>
        <v>12</v>
      </c>
      <c r="U89" s="378"/>
      <c r="V89" s="222" t="s">
        <v>432</v>
      </c>
      <c r="W89" s="378"/>
      <c r="X89" s="378"/>
      <c r="Y89" s="5"/>
      <c r="Z89" s="2"/>
      <c r="AA89" s="5"/>
      <c r="AB89" s="5"/>
      <c r="AC89" s="9"/>
      <c r="AD89" s="9"/>
      <c r="AE89" s="5"/>
      <c r="AF89" s="83"/>
      <c r="AG89" s="149"/>
      <c r="AH89" s="91"/>
      <c r="AI89" s="5"/>
      <c r="AJ89" s="5"/>
      <c r="AK89" s="149"/>
      <c r="AL89" s="8"/>
      <c r="AM89" s="5"/>
      <c r="AN89" s="83"/>
      <c r="AO89" s="5"/>
      <c r="AP89" s="5"/>
      <c r="AQ89" s="149"/>
    </row>
    <row r="90" spans="1:46" x14ac:dyDescent="0.25">
      <c r="F90" s="381"/>
      <c r="H90" s="381"/>
      <c r="I90" s="381"/>
      <c r="J90" s="464"/>
      <c r="K90" s="464"/>
      <c r="L90" s="381"/>
      <c r="M90" s="381"/>
      <c r="N90" s="381"/>
      <c r="O90" s="381"/>
      <c r="P90" s="381"/>
      <c r="Q90" s="381"/>
      <c r="R90" s="381"/>
      <c r="T90" s="45">
        <f t="shared" si="3"/>
        <v>13</v>
      </c>
      <c r="U90" s="378"/>
      <c r="V90" s="46" t="s">
        <v>146</v>
      </c>
      <c r="W90" s="378"/>
      <c r="X90" s="378"/>
      <c r="Y90" s="86"/>
      <c r="Z90" s="2"/>
      <c r="AA90" s="5">
        <f t="shared" ref="AA90:AA95" si="4">H35</f>
        <v>384317296</v>
      </c>
      <c r="AB90" s="5"/>
      <c r="AC90" s="457">
        <f>INPUT!C51</f>
        <v>8.0199999999999994E-2</v>
      </c>
      <c r="AD90" s="456"/>
      <c r="AE90" s="5">
        <f>ROUND((AA90*AC90),0)</f>
        <v>30822247</v>
      </c>
      <c r="AF90" s="83"/>
      <c r="AG90" s="149">
        <f t="shared" ref="AG90:AG96" si="5">ROUND((AE90/AE$105)*100,1)</f>
        <v>29.2</v>
      </c>
      <c r="AH90" s="91"/>
      <c r="AI90" s="5">
        <f>L35-AE90</f>
        <v>4242094</v>
      </c>
      <c r="AJ90" s="5"/>
      <c r="AK90" s="149">
        <f t="shared" ref="AK90:AK103" si="6">ROUND((AI90/AE90)*100,1)</f>
        <v>13.8</v>
      </c>
      <c r="AL90" s="8"/>
      <c r="AM90" s="86"/>
      <c r="AN90" s="94"/>
      <c r="AO90" s="5">
        <f>AE90+AM90</f>
        <v>30822247</v>
      </c>
      <c r="AP90" s="5"/>
      <c r="AQ90" s="164">
        <f t="shared" ref="AQ90:AQ103" si="7">IF(AO90=0,"0.0 ",ROUND((AI90/AO90)*100,1))</f>
        <v>13.8</v>
      </c>
      <c r="AT90" s="406">
        <f>AO90/SUM($AO$90:$AO$94)</f>
        <v>0.47519084875663864</v>
      </c>
    </row>
    <row r="91" spans="1:46" x14ac:dyDescent="0.25">
      <c r="A91" s="53"/>
      <c r="C91" s="54"/>
      <c r="F91" s="379"/>
      <c r="H91" s="379"/>
      <c r="I91" s="379"/>
      <c r="J91" s="59"/>
      <c r="K91" s="59"/>
      <c r="L91" s="379"/>
      <c r="M91" s="379"/>
      <c r="N91" s="50"/>
      <c r="O91" s="50"/>
      <c r="P91" s="379"/>
      <c r="Q91" s="379"/>
      <c r="R91" s="379"/>
      <c r="T91" s="45">
        <f t="shared" si="3"/>
        <v>14</v>
      </c>
      <c r="U91" s="378"/>
      <c r="V91" s="46" t="s">
        <v>147</v>
      </c>
      <c r="W91" s="378"/>
      <c r="X91" s="378"/>
      <c r="Y91" s="86"/>
      <c r="Z91" s="2"/>
      <c r="AA91" s="5">
        <f t="shared" si="4"/>
        <v>595505603</v>
      </c>
      <c r="AB91" s="5"/>
      <c r="AC91" s="457">
        <f>INPUT!C52</f>
        <v>4.9231999999999998E-2</v>
      </c>
      <c r="AD91" s="456"/>
      <c r="AE91" s="5">
        <f>ROUND((AA91*AC91),0)</f>
        <v>29317932</v>
      </c>
      <c r="AF91" s="83"/>
      <c r="AG91" s="149">
        <f t="shared" si="5"/>
        <v>27.8</v>
      </c>
      <c r="AH91" s="91"/>
      <c r="AI91" s="5">
        <f>L36-AE91</f>
        <v>4035146</v>
      </c>
      <c r="AJ91" s="5"/>
      <c r="AK91" s="149">
        <f t="shared" si="6"/>
        <v>13.8</v>
      </c>
      <c r="AL91" s="8"/>
      <c r="AM91" s="86"/>
      <c r="AN91" s="94"/>
      <c r="AO91" s="5">
        <f>AE91+AM91</f>
        <v>29317932</v>
      </c>
      <c r="AP91" s="5"/>
      <c r="AQ91" s="164">
        <f t="shared" si="7"/>
        <v>13.8</v>
      </c>
      <c r="AT91" s="407">
        <f>AO91/SUM($AO$90:$AO$94)</f>
        <v>0.45199861615765441</v>
      </c>
    </row>
    <row r="92" spans="1:46" x14ac:dyDescent="0.25">
      <c r="F92" s="381"/>
      <c r="H92" s="381"/>
      <c r="I92" s="381"/>
      <c r="J92" s="464"/>
      <c r="K92" s="464"/>
      <c r="L92" s="381"/>
      <c r="M92" s="381"/>
      <c r="N92" s="381"/>
      <c r="O92" s="381"/>
      <c r="P92" s="381"/>
      <c r="Q92" s="381"/>
      <c r="R92" s="381"/>
      <c r="T92" s="45">
        <f t="shared" si="3"/>
        <v>15</v>
      </c>
      <c r="U92" s="378"/>
      <c r="V92" s="46" t="s">
        <v>148</v>
      </c>
      <c r="W92" s="378"/>
      <c r="X92" s="378"/>
      <c r="Y92" s="86"/>
      <c r="Z92" s="2"/>
      <c r="AA92" s="5">
        <f t="shared" si="4"/>
        <v>107688276</v>
      </c>
      <c r="AB92" s="5"/>
      <c r="AC92" s="457">
        <f>INPUT!C53</f>
        <v>4.0316999999999999E-2</v>
      </c>
      <c r="AD92" s="456"/>
      <c r="AE92" s="5">
        <f>ROUND((AA92*AC92),0)</f>
        <v>4341668</v>
      </c>
      <c r="AF92" s="83"/>
      <c r="AG92" s="149">
        <f t="shared" si="5"/>
        <v>4.0999999999999996</v>
      </c>
      <c r="AH92" s="91"/>
      <c r="AI92" s="5">
        <f>L37-AE92</f>
        <v>597562</v>
      </c>
      <c r="AJ92" s="5"/>
      <c r="AK92" s="149">
        <f t="shared" si="6"/>
        <v>13.8</v>
      </c>
      <c r="AL92" s="8"/>
      <c r="AM92" s="86"/>
      <c r="AN92" s="94"/>
      <c r="AO92" s="5">
        <f>AE92+AM92</f>
        <v>4341668</v>
      </c>
      <c r="AP92" s="5"/>
      <c r="AQ92" s="164">
        <f t="shared" si="7"/>
        <v>13.8</v>
      </c>
      <c r="AT92" s="407">
        <f>AO92/SUM($AO$90:$AO$94)</f>
        <v>6.6936096577888612E-2</v>
      </c>
    </row>
    <row r="93" spans="1:46" x14ac:dyDescent="0.25">
      <c r="A93" s="53"/>
      <c r="C93" s="54"/>
      <c r="F93" s="379"/>
      <c r="H93" s="379"/>
      <c r="I93" s="379"/>
      <c r="J93" s="59"/>
      <c r="K93" s="59"/>
      <c r="L93" s="379"/>
      <c r="M93" s="379"/>
      <c r="N93" s="50"/>
      <c r="O93" s="50"/>
      <c r="P93" s="379"/>
      <c r="Q93" s="379"/>
      <c r="R93" s="379"/>
      <c r="T93" s="45">
        <f t="shared" si="3"/>
        <v>16</v>
      </c>
      <c r="U93" s="378"/>
      <c r="V93" s="46" t="s">
        <v>421</v>
      </c>
      <c r="W93" s="378"/>
      <c r="X93" s="378"/>
      <c r="Y93" s="2"/>
      <c r="Z93" s="2"/>
      <c r="AA93" s="5">
        <f t="shared" si="4"/>
        <v>1443626</v>
      </c>
      <c r="AB93" s="5"/>
      <c r="AC93" s="457">
        <f>INPUT!C58</f>
        <v>0.23691499999999999</v>
      </c>
      <c r="AD93" s="456"/>
      <c r="AE93" s="5">
        <f>ROUND((AA93*AC93),0)</f>
        <v>342017</v>
      </c>
      <c r="AF93" s="83"/>
      <c r="AG93" s="149">
        <f t="shared" si="5"/>
        <v>0.3</v>
      </c>
      <c r="AH93" s="91"/>
      <c r="AI93" s="5">
        <f>L38-AE93</f>
        <v>47071</v>
      </c>
      <c r="AJ93" s="5"/>
      <c r="AK93" s="149">
        <f t="shared" si="6"/>
        <v>13.8</v>
      </c>
      <c r="AL93" s="8"/>
      <c r="AM93" s="86"/>
      <c r="AN93" s="94"/>
      <c r="AO93" s="5">
        <f>AE93+AM93</f>
        <v>342017</v>
      </c>
      <c r="AP93" s="5"/>
      <c r="AQ93" s="164">
        <f t="shared" si="7"/>
        <v>13.8</v>
      </c>
      <c r="AT93" s="407">
        <f>AO93/SUM($AO$90:$AO$94)</f>
        <v>5.2729234347904377E-3</v>
      </c>
    </row>
    <row r="94" spans="1:46" ht="16.5" thickBot="1" x14ac:dyDescent="0.3">
      <c r="A94" s="53"/>
      <c r="C94" s="54"/>
      <c r="F94" s="379"/>
      <c r="H94" s="379"/>
      <c r="I94" s="379"/>
      <c r="J94" s="59"/>
      <c r="K94" s="59"/>
      <c r="L94" s="379"/>
      <c r="M94" s="379"/>
      <c r="N94" s="50"/>
      <c r="O94" s="50"/>
      <c r="P94" s="379"/>
      <c r="Q94" s="379"/>
      <c r="R94" s="379"/>
      <c r="T94" s="45">
        <f t="shared" si="3"/>
        <v>17</v>
      </c>
      <c r="U94" s="378"/>
      <c r="V94" s="46" t="s">
        <v>422</v>
      </c>
      <c r="W94" s="378"/>
      <c r="X94" s="378"/>
      <c r="Y94" s="84"/>
      <c r="Z94" s="2"/>
      <c r="AA94" s="5">
        <f t="shared" si="4"/>
        <v>268250</v>
      </c>
      <c r="AB94" s="5"/>
      <c r="AC94" s="457">
        <f>INPUT!C59</f>
        <v>0.14544499999999999</v>
      </c>
      <c r="AD94" s="456"/>
      <c r="AE94" s="5">
        <f>ROUND((AA94*AC94),0)</f>
        <v>39016</v>
      </c>
      <c r="AF94" s="83"/>
      <c r="AG94" s="149">
        <f t="shared" si="5"/>
        <v>0</v>
      </c>
      <c r="AH94" s="91"/>
      <c r="AI94" s="5">
        <f>L39-AE94</f>
        <v>5369</v>
      </c>
      <c r="AJ94" s="5"/>
      <c r="AK94" s="148">
        <f t="shared" si="6"/>
        <v>13.8</v>
      </c>
      <c r="AL94" s="8"/>
      <c r="AM94" s="87"/>
      <c r="AN94" s="94"/>
      <c r="AO94" s="5">
        <f>AE94+AM94</f>
        <v>39016</v>
      </c>
      <c r="AP94" s="5"/>
      <c r="AQ94" s="164">
        <f t="shared" si="7"/>
        <v>13.8</v>
      </c>
      <c r="AT94" s="408">
        <f>AO94/SUM($AO$90:$AO$94)</f>
        <v>6.0151507302790127E-4</v>
      </c>
    </row>
    <row r="95" spans="1:46" ht="20.100000000000001" customHeight="1" x14ac:dyDescent="0.25">
      <c r="F95" s="379"/>
      <c r="H95" s="379"/>
      <c r="I95" s="379"/>
      <c r="J95" s="59"/>
      <c r="K95" s="59"/>
      <c r="L95" s="379"/>
      <c r="M95" s="379"/>
      <c r="N95" s="379"/>
      <c r="O95" s="379"/>
      <c r="P95" s="379"/>
      <c r="Q95" s="379"/>
      <c r="R95" s="379"/>
      <c r="T95" s="45">
        <f t="shared" si="3"/>
        <v>18</v>
      </c>
      <c r="U95" s="378"/>
      <c r="V95" s="222" t="s">
        <v>149</v>
      </c>
      <c r="W95" s="378"/>
      <c r="X95" s="378"/>
      <c r="Y95" s="83"/>
      <c r="Z95" s="2"/>
      <c r="AA95" s="90">
        <f t="shared" si="4"/>
        <v>1089223051</v>
      </c>
      <c r="AB95" s="83"/>
      <c r="AC95" s="267"/>
      <c r="AD95" s="9"/>
      <c r="AE95" s="90">
        <f>SUM(AE90:AE94)</f>
        <v>64862880</v>
      </c>
      <c r="AF95" s="83"/>
      <c r="AG95" s="150">
        <f t="shared" si="5"/>
        <v>61.4</v>
      </c>
      <c r="AH95" s="91"/>
      <c r="AI95" s="90">
        <f>SUM(AI90:AI94)</f>
        <v>8927242</v>
      </c>
      <c r="AJ95" s="83"/>
      <c r="AK95" s="150">
        <f t="shared" si="6"/>
        <v>13.8</v>
      </c>
      <c r="AL95" s="8"/>
      <c r="AM95" s="89"/>
      <c r="AN95" s="83"/>
      <c r="AO95" s="90">
        <f>SUM(AO90:AO94)</f>
        <v>64862880</v>
      </c>
      <c r="AP95" s="83"/>
      <c r="AQ95" s="164">
        <f t="shared" si="7"/>
        <v>13.8</v>
      </c>
      <c r="AT95" s="380">
        <f>AO95/(AO95+AO87)</f>
        <v>0.76376508872457949</v>
      </c>
    </row>
    <row r="96" spans="1:46" ht="20.100000000000001" customHeight="1" x14ac:dyDescent="0.25">
      <c r="F96" s="379"/>
      <c r="H96" s="379"/>
      <c r="I96" s="379"/>
      <c r="J96" s="59"/>
      <c r="K96" s="59"/>
      <c r="L96" s="379"/>
      <c r="M96" s="379"/>
      <c r="N96" s="379"/>
      <c r="O96" s="379"/>
      <c r="P96" s="379"/>
      <c r="Q96" s="379"/>
      <c r="R96" s="379"/>
      <c r="T96" s="45">
        <f t="shared" si="3"/>
        <v>19</v>
      </c>
      <c r="U96" s="378"/>
      <c r="V96" s="222" t="s">
        <v>512</v>
      </c>
      <c r="W96" s="378"/>
      <c r="X96" s="378"/>
      <c r="Y96" s="81">
        <f>Y82</f>
        <v>156672</v>
      </c>
      <c r="Z96" s="2"/>
      <c r="AA96" s="90">
        <f>AA95</f>
        <v>1089223051</v>
      </c>
      <c r="AB96" s="83"/>
      <c r="AC96" s="267"/>
      <c r="AD96" s="9"/>
      <c r="AE96" s="90">
        <f>AE82+AE87+AE95</f>
        <v>88856699</v>
      </c>
      <c r="AF96" s="83"/>
      <c r="AG96" s="150">
        <f t="shared" si="5"/>
        <v>84.1</v>
      </c>
      <c r="AH96" s="91"/>
      <c r="AI96" s="90">
        <f>L41-AE96</f>
        <v>11185449</v>
      </c>
      <c r="AJ96" s="83"/>
      <c r="AK96" s="150">
        <f t="shared" si="6"/>
        <v>12.6</v>
      </c>
      <c r="AL96" s="8"/>
      <c r="AM96" s="90"/>
      <c r="AN96" s="83"/>
      <c r="AO96" s="90">
        <f>AO82+AO87+AO95</f>
        <v>88856699</v>
      </c>
      <c r="AP96" s="83"/>
      <c r="AQ96" s="149">
        <f t="shared" si="7"/>
        <v>12.6</v>
      </c>
    </row>
    <row r="97" spans="6:43" x14ac:dyDescent="0.25">
      <c r="F97" s="379"/>
      <c r="H97" s="379"/>
      <c r="I97" s="379"/>
      <c r="J97" s="59"/>
      <c r="K97" s="59"/>
      <c r="L97" s="379"/>
      <c r="M97" s="379"/>
      <c r="N97" s="379"/>
      <c r="O97" s="379"/>
      <c r="P97" s="379"/>
      <c r="Q97" s="379"/>
      <c r="R97" s="379"/>
      <c r="T97" s="45"/>
      <c r="U97" s="378"/>
      <c r="V97" s="46"/>
      <c r="W97" s="378"/>
      <c r="X97" s="378"/>
      <c r="Y97" s="83"/>
      <c r="Z97" s="2"/>
      <c r="AA97" s="83"/>
      <c r="AB97" s="83"/>
      <c r="AC97" s="267"/>
      <c r="AD97" s="9"/>
      <c r="AE97" s="83"/>
      <c r="AF97" s="83"/>
      <c r="AG97" s="383"/>
      <c r="AH97" s="91"/>
      <c r="AI97" s="83"/>
      <c r="AJ97" s="83"/>
      <c r="AK97" s="149"/>
      <c r="AL97" s="8"/>
      <c r="AM97" s="83"/>
      <c r="AN97" s="83"/>
      <c r="AO97" s="83"/>
      <c r="AP97" s="83"/>
      <c r="AQ97" s="149"/>
    </row>
    <row r="98" spans="6:43" x14ac:dyDescent="0.25">
      <c r="F98" s="379"/>
      <c r="H98" s="379"/>
      <c r="I98" s="379"/>
      <c r="J98" s="59"/>
      <c r="K98" s="59"/>
      <c r="L98" s="379"/>
      <c r="M98" s="379"/>
      <c r="N98" s="379"/>
      <c r="O98" s="379"/>
      <c r="P98" s="379"/>
      <c r="Q98" s="379"/>
      <c r="R98" s="379"/>
      <c r="T98" s="45">
        <f t="shared" ref="T98:T103" si="8">A43</f>
        <v>20</v>
      </c>
      <c r="U98" s="378"/>
      <c r="V98" s="222" t="s">
        <v>504</v>
      </c>
      <c r="W98" s="378"/>
      <c r="X98" s="378"/>
      <c r="Y98" s="83"/>
      <c r="Z98" s="2"/>
      <c r="AA98" s="83"/>
      <c r="AB98" s="83"/>
      <c r="AC98" s="267"/>
      <c r="AD98" s="9"/>
      <c r="AE98" s="83"/>
      <c r="AF98" s="83"/>
      <c r="AG98" s="383"/>
      <c r="AH98" s="91"/>
      <c r="AI98" s="83"/>
      <c r="AJ98" s="83"/>
      <c r="AK98" s="149"/>
      <c r="AL98" s="8"/>
      <c r="AM98" s="83"/>
      <c r="AN98" s="83"/>
      <c r="AO98" s="83"/>
      <c r="AP98" s="83"/>
      <c r="AQ98" s="149"/>
    </row>
    <row r="99" spans="6:43" x14ac:dyDescent="0.25">
      <c r="F99" s="379"/>
      <c r="H99" s="379"/>
      <c r="I99" s="379"/>
      <c r="J99" s="59"/>
      <c r="K99" s="59"/>
      <c r="L99" s="379"/>
      <c r="M99" s="379"/>
      <c r="N99" s="379"/>
      <c r="O99" s="379"/>
      <c r="P99" s="379"/>
      <c r="Q99" s="379"/>
      <c r="R99" s="379"/>
      <c r="T99" s="45">
        <f t="shared" si="8"/>
        <v>21</v>
      </c>
      <c r="U99" s="378"/>
      <c r="V99" s="216" t="str">
        <f>C44</f>
        <v>DEMAND SIDE MANAGEMENT RIDER (DSMR)</v>
      </c>
      <c r="W99" s="378"/>
      <c r="X99" s="378"/>
      <c r="Y99" s="83"/>
      <c r="Z99" s="2"/>
      <c r="AA99" s="83"/>
      <c r="AB99" s="5"/>
      <c r="AC99" s="465">
        <f>DSM_DIST</f>
        <v>5.091E-3</v>
      </c>
      <c r="AD99" s="9"/>
      <c r="AE99" s="83">
        <f>ROUND($AA$95*AC99,0)</f>
        <v>5545235</v>
      </c>
      <c r="AF99" s="83"/>
      <c r="AG99" s="149">
        <f>ROUND((AE99/AE$105)*100,1)</f>
        <v>5.2</v>
      </c>
      <c r="AH99" s="91"/>
      <c r="AI99" s="5">
        <f>L44-AE99</f>
        <v>0</v>
      </c>
      <c r="AJ99" s="83"/>
      <c r="AK99" s="149">
        <f t="shared" si="6"/>
        <v>0</v>
      </c>
      <c r="AL99" s="8"/>
      <c r="AM99" s="83"/>
      <c r="AN99" s="83"/>
      <c r="AO99" s="5">
        <f t="shared" ref="AO99:AO102" si="9">AE99+AM99</f>
        <v>5545235</v>
      </c>
      <c r="AP99" s="83"/>
      <c r="AQ99" s="164">
        <f t="shared" si="7"/>
        <v>0</v>
      </c>
    </row>
    <row r="100" spans="6:43" x14ac:dyDescent="0.25">
      <c r="F100" s="379"/>
      <c r="H100" s="379"/>
      <c r="I100" s="379"/>
      <c r="J100" s="59"/>
      <c r="K100" s="59"/>
      <c r="L100" s="379"/>
      <c r="M100" s="379"/>
      <c r="N100" s="379"/>
      <c r="O100" s="379"/>
      <c r="P100" s="379"/>
      <c r="Q100" s="379"/>
      <c r="R100" s="379"/>
      <c r="T100" s="45">
        <f t="shared" si="8"/>
        <v>22</v>
      </c>
      <c r="U100" s="378"/>
      <c r="V100" s="216" t="str">
        <f>C45</f>
        <v>ENVIRONMENTAL SURCHARGE MECHANISM RIDER (ESM)</v>
      </c>
      <c r="W100" s="378"/>
      <c r="X100" s="378"/>
      <c r="Y100" s="83"/>
      <c r="Z100" s="2"/>
      <c r="AA100" s="83"/>
      <c r="AB100" s="5"/>
      <c r="AC100" s="473">
        <f>CUR_ESM_NONRES</f>
        <v>0.18160000000000001</v>
      </c>
      <c r="AD100" s="9"/>
      <c r="AE100" s="83">
        <f>ROUND((AO96-CUR_BASE_FUEL*AA96)*AC100,0)</f>
        <v>11421349</v>
      </c>
      <c r="AF100" s="83"/>
      <c r="AG100" s="149">
        <f>ROUND((AE100/AE$105)*100,1)</f>
        <v>10.8</v>
      </c>
      <c r="AH100" s="91"/>
      <c r="AI100" s="5">
        <f>L45-AE100</f>
        <v>0</v>
      </c>
      <c r="AJ100" s="83"/>
      <c r="AK100" s="149">
        <f>IFERROR(ROUND((AI100/AE100)*100,1),0)</f>
        <v>0</v>
      </c>
      <c r="AL100" s="8"/>
      <c r="AM100" s="83"/>
      <c r="AN100" s="83"/>
      <c r="AO100" s="5">
        <f t="shared" si="9"/>
        <v>11421349</v>
      </c>
      <c r="AP100" s="83"/>
      <c r="AQ100" s="164">
        <f>IF(AO100=0,"0.0 ",ROUND((AI100/AO100)*100,1))</f>
        <v>0</v>
      </c>
    </row>
    <row r="101" spans="6:43" x14ac:dyDescent="0.25">
      <c r="F101" s="379"/>
      <c r="H101" s="379"/>
      <c r="I101" s="379"/>
      <c r="J101" s="59"/>
      <c r="K101" s="59"/>
      <c r="L101" s="379"/>
      <c r="M101" s="379"/>
      <c r="N101" s="379"/>
      <c r="O101" s="379"/>
      <c r="P101" s="379"/>
      <c r="Q101" s="379"/>
      <c r="R101" s="379"/>
      <c r="T101" s="45">
        <f t="shared" si="8"/>
        <v>23</v>
      </c>
      <c r="U101" s="378"/>
      <c r="V101" s="216" t="str">
        <f>C46</f>
        <v>FUEL ADJUSTMENT CLAUSE (FAC)</v>
      </c>
      <c r="W101" s="378"/>
      <c r="X101" s="378"/>
      <c r="Y101" s="83"/>
      <c r="Z101" s="2"/>
      <c r="AA101" s="83"/>
      <c r="AB101" s="5"/>
      <c r="AC101" s="465">
        <f>CUR_FAC</f>
        <v>6.8099999999999996E-4</v>
      </c>
      <c r="AD101" s="9"/>
      <c r="AE101" s="83"/>
      <c r="AF101" s="83"/>
      <c r="AG101" s="149"/>
      <c r="AH101" s="91"/>
      <c r="AI101" s="5"/>
      <c r="AJ101" s="83"/>
      <c r="AK101" s="149"/>
      <c r="AL101" s="8"/>
      <c r="AM101" s="83">
        <f>ROUND(AA95*CUR_FAC,0)</f>
        <v>741761</v>
      </c>
      <c r="AN101" s="83"/>
      <c r="AO101" s="5">
        <f t="shared" si="9"/>
        <v>741761</v>
      </c>
      <c r="AP101" s="83"/>
      <c r="AQ101" s="164">
        <f>IF(AO101=0,"0.0 ",ROUND(((R46-AO101)/AO101)*100,1))</f>
        <v>0</v>
      </c>
    </row>
    <row r="102" spans="6:43" x14ac:dyDescent="0.25">
      <c r="F102" s="379"/>
      <c r="H102" s="379"/>
      <c r="I102" s="379"/>
      <c r="J102" s="59"/>
      <c r="K102" s="59"/>
      <c r="L102" s="379"/>
      <c r="M102" s="379"/>
      <c r="N102" s="379"/>
      <c r="O102" s="379"/>
      <c r="P102" s="379"/>
      <c r="Q102" s="379"/>
      <c r="R102" s="379"/>
      <c r="T102" s="45">
        <f t="shared" si="8"/>
        <v>24</v>
      </c>
      <c r="U102" s="378"/>
      <c r="V102" s="216" t="str">
        <f>C47</f>
        <v>PROFIT SHARING MECHANISM (PSM)</v>
      </c>
      <c r="W102" s="378"/>
      <c r="X102" s="378"/>
      <c r="Y102" s="83"/>
      <c r="Z102" s="2"/>
      <c r="AA102" s="83"/>
      <c r="AB102" s="5"/>
      <c r="AC102" s="465">
        <f>RS_PSM</f>
        <v>-1.63E-4</v>
      </c>
      <c r="AD102" s="9"/>
      <c r="AE102" s="81">
        <f>ROUND(AA95*AC102,0)</f>
        <v>-177543</v>
      </c>
      <c r="AF102" s="83"/>
      <c r="AG102" s="148">
        <f>ROUND((AE102/AE$105)*100,1)</f>
        <v>-0.2</v>
      </c>
      <c r="AH102" s="91"/>
      <c r="AI102" s="81">
        <f>L47-AE102</f>
        <v>0</v>
      </c>
      <c r="AJ102" s="83"/>
      <c r="AK102" s="148">
        <f t="shared" si="6"/>
        <v>0</v>
      </c>
      <c r="AL102" s="8"/>
      <c r="AM102" s="81"/>
      <c r="AN102" s="83"/>
      <c r="AO102" s="81">
        <f t="shared" si="9"/>
        <v>-177543</v>
      </c>
      <c r="AP102" s="83"/>
      <c r="AQ102" s="164">
        <f t="shared" si="7"/>
        <v>0</v>
      </c>
    </row>
    <row r="103" spans="6:43" ht="20.100000000000001" customHeight="1" x14ac:dyDescent="0.25">
      <c r="F103" s="379"/>
      <c r="H103" s="379"/>
      <c r="I103" s="379"/>
      <c r="J103" s="59"/>
      <c r="K103" s="59"/>
      <c r="L103" s="379"/>
      <c r="M103" s="379"/>
      <c r="N103" s="379"/>
      <c r="O103" s="379"/>
      <c r="P103" s="379"/>
      <c r="Q103" s="379"/>
      <c r="R103" s="379"/>
      <c r="T103" s="45">
        <f t="shared" si="8"/>
        <v>25</v>
      </c>
      <c r="U103" s="378"/>
      <c r="V103" s="222" t="s">
        <v>510</v>
      </c>
      <c r="W103" s="378"/>
      <c r="X103" s="378"/>
      <c r="Y103" s="81"/>
      <c r="Z103" s="2"/>
      <c r="AA103" s="81"/>
      <c r="AB103" s="5"/>
      <c r="AC103" s="9"/>
      <c r="AD103" s="9"/>
      <c r="AE103" s="90">
        <f>SUM(AE99:AE102)</f>
        <v>16789041</v>
      </c>
      <c r="AF103" s="83"/>
      <c r="AG103" s="150">
        <f>ROUND((AE103/AE$105)*100,1)</f>
        <v>15.9</v>
      </c>
      <c r="AH103" s="91"/>
      <c r="AI103" s="90">
        <f>SUM(AI99:AI102)</f>
        <v>0</v>
      </c>
      <c r="AJ103" s="83"/>
      <c r="AK103" s="150">
        <f t="shared" si="6"/>
        <v>0</v>
      </c>
      <c r="AL103" s="8"/>
      <c r="AM103" s="90">
        <f>AM101</f>
        <v>741761</v>
      </c>
      <c r="AN103" s="83"/>
      <c r="AO103" s="90">
        <f>SUM(AO99:AO102)</f>
        <v>17530802</v>
      </c>
      <c r="AP103" s="83"/>
      <c r="AQ103" s="164">
        <f t="shared" si="7"/>
        <v>0</v>
      </c>
    </row>
    <row r="104" spans="6:43" x14ac:dyDescent="0.25">
      <c r="F104" s="379"/>
      <c r="H104" s="379"/>
      <c r="I104" s="379"/>
      <c r="J104" s="59"/>
      <c r="K104" s="59"/>
      <c r="L104" s="379"/>
      <c r="M104" s="379"/>
      <c r="N104" s="379"/>
      <c r="O104" s="379"/>
      <c r="P104" s="379"/>
      <c r="Q104" s="379"/>
      <c r="R104" s="379"/>
      <c r="T104" s="45"/>
      <c r="U104" s="378"/>
      <c r="V104" s="46"/>
      <c r="W104" s="378"/>
      <c r="X104" s="378"/>
      <c r="Y104" s="83"/>
      <c r="Z104" s="2"/>
      <c r="AA104" s="83"/>
      <c r="AB104" s="5"/>
      <c r="AC104" s="9"/>
      <c r="AD104" s="9"/>
      <c r="AE104" s="83"/>
      <c r="AF104" s="83"/>
      <c r="AG104" s="383"/>
      <c r="AH104" s="91"/>
      <c r="AI104" s="83"/>
      <c r="AJ104" s="83"/>
      <c r="AK104" s="149"/>
      <c r="AL104" s="8"/>
      <c r="AM104" s="83"/>
      <c r="AN104" s="83"/>
      <c r="AO104" s="83"/>
      <c r="AP104" s="83"/>
      <c r="AQ104" s="149"/>
    </row>
    <row r="105" spans="6:43" ht="20.100000000000001" customHeight="1" thickBot="1" x14ac:dyDescent="0.3">
      <c r="T105" s="45">
        <f>A50</f>
        <v>26</v>
      </c>
      <c r="U105" s="378"/>
      <c r="V105" s="444" t="s">
        <v>513</v>
      </c>
      <c r="W105" s="378"/>
      <c r="X105" s="378"/>
      <c r="Y105" s="82">
        <f>F50</f>
        <v>156672</v>
      </c>
      <c r="Z105" s="2"/>
      <c r="AA105" s="82">
        <f>H50</f>
        <v>1089223051</v>
      </c>
      <c r="AB105" s="83"/>
      <c r="AC105" s="9"/>
      <c r="AD105" s="9"/>
      <c r="AE105" s="82">
        <f>AE96+AE103</f>
        <v>105645740</v>
      </c>
      <c r="AF105" s="83"/>
      <c r="AG105" s="151">
        <v>100</v>
      </c>
      <c r="AH105" s="91"/>
      <c r="AI105" s="82">
        <f>AI96+AI103</f>
        <v>11185449</v>
      </c>
      <c r="AJ105" s="83"/>
      <c r="AK105" s="151">
        <f>ROUND((AI105/AE105)*100,1)</f>
        <v>10.6</v>
      </c>
      <c r="AL105" s="8"/>
      <c r="AM105" s="82">
        <f>AM103</f>
        <v>741761</v>
      </c>
      <c r="AN105" s="83"/>
      <c r="AO105" s="82">
        <f>AO96+AO103</f>
        <v>106387501</v>
      </c>
      <c r="AP105" s="5"/>
      <c r="AQ105" s="164">
        <f>IF(AO105=0,"0.0 ",ROUND((AI105/AO105)*100,1))</f>
        <v>10.5</v>
      </c>
    </row>
    <row r="106" spans="6:43" ht="15.75" customHeight="1" thickTop="1" x14ac:dyDescent="0.25">
      <c r="T106" s="378"/>
      <c r="U106" s="378"/>
      <c r="V106" s="378"/>
      <c r="W106" s="378"/>
      <c r="X106" s="378"/>
      <c r="Y106" s="5"/>
      <c r="Z106" s="2"/>
      <c r="AA106" s="5"/>
      <c r="AB106" s="5"/>
      <c r="AC106" s="9"/>
      <c r="AD106" s="9"/>
      <c r="AE106" s="5"/>
      <c r="AF106" s="83"/>
      <c r="AG106" s="149"/>
      <c r="AH106" s="83"/>
      <c r="AI106" s="2"/>
      <c r="AJ106" s="2"/>
      <c r="AK106" s="147"/>
      <c r="AL106" s="2"/>
      <c r="AM106" s="2"/>
      <c r="AN106" s="84"/>
      <c r="AO106" s="2"/>
      <c r="AP106" s="2"/>
      <c r="AQ106" s="147"/>
    </row>
    <row r="107" spans="6:43" x14ac:dyDescent="0.25">
      <c r="L107" s="379"/>
      <c r="M107" s="379"/>
      <c r="N107" s="379"/>
      <c r="O107" s="379"/>
      <c r="P107" s="379"/>
      <c r="Q107" s="379"/>
      <c r="R107" s="379"/>
      <c r="T107" s="378"/>
      <c r="U107" s="378"/>
      <c r="V107" s="243" t="s">
        <v>61</v>
      </c>
      <c r="W107" s="378"/>
      <c r="X107" s="378"/>
      <c r="Y107" s="48"/>
      <c r="Z107" s="378"/>
      <c r="AA107" s="48"/>
      <c r="AB107" s="48"/>
      <c r="AC107" s="51"/>
      <c r="AD107" s="51"/>
      <c r="AE107" s="48"/>
      <c r="AF107" s="379"/>
      <c r="AG107" s="152"/>
      <c r="AH107" s="379"/>
      <c r="AI107" s="378"/>
      <c r="AJ107" s="378"/>
      <c r="AK107" s="143"/>
      <c r="AL107" s="378"/>
      <c r="AM107" s="378"/>
      <c r="AO107" s="378"/>
      <c r="AP107" s="378"/>
      <c r="AQ107" s="143"/>
    </row>
    <row r="108" spans="6:43" x14ac:dyDescent="0.25">
      <c r="T108" s="46"/>
      <c r="U108" s="378"/>
      <c r="V108" s="243" t="str">
        <f>"(2) REFLECTS FUEL ADJUSTMENT CLAUSE OF "&amp;TEXT(CUR_FAC,"$0.000000;($0.000000)")&amp;"  PER KWH."</f>
        <v>(2) REFLECTS FUEL ADJUSTMENT CLAUSE OF $0.000681  PER KWH.</v>
      </c>
      <c r="W108" s="378"/>
      <c r="X108" s="378"/>
      <c r="Y108" s="48"/>
      <c r="Z108" s="378"/>
      <c r="AA108" s="48"/>
      <c r="AB108" s="48"/>
      <c r="AC108" s="51"/>
      <c r="AD108" s="51"/>
      <c r="AE108" s="48"/>
      <c r="AF108" s="379"/>
      <c r="AG108" s="152"/>
      <c r="AH108" s="379"/>
      <c r="AI108" s="378"/>
      <c r="AJ108" s="378"/>
      <c r="AK108" s="143"/>
      <c r="AL108" s="378"/>
      <c r="AM108" s="378"/>
      <c r="AO108" s="378"/>
      <c r="AP108" s="378"/>
      <c r="AQ108" s="143"/>
    </row>
    <row r="109" spans="6:43" x14ac:dyDescent="0.25">
      <c r="J109" s="53"/>
      <c r="K109" s="53"/>
      <c r="V109" s="243" t="str">
        <f>"(3) REFLECTS FUEL COST RECOVERY INCLUDED IN BASE RATES OF "&amp;TEXT(CUR_BASE_FUEL,"$0.000000;($0.000000)")&amp;"  PER KWH."</f>
        <v>(3) REFLECTS FUEL COST RECOVERY INCLUDED IN BASE RATES OF $0.023837  PER KWH.</v>
      </c>
      <c r="Z109" s="53"/>
    </row>
    <row r="110" spans="6:43" x14ac:dyDescent="0.25">
      <c r="H110" s="54"/>
      <c r="I110" s="54"/>
      <c r="Y110" s="54"/>
    </row>
    <row r="111" spans="6:43" x14ac:dyDescent="0.25">
      <c r="J111" s="53"/>
      <c r="K111" s="53"/>
      <c r="Z111" s="53"/>
    </row>
    <row r="112" spans="6:43" x14ac:dyDescent="0.25">
      <c r="L112" s="54"/>
      <c r="M112" s="54"/>
      <c r="AA112" s="54"/>
      <c r="AB112" s="54"/>
    </row>
    <row r="113" spans="1:40" x14ac:dyDescent="0.25">
      <c r="A113" s="53"/>
      <c r="R113" s="54"/>
      <c r="AK113" s="161"/>
      <c r="AL113" s="54"/>
    </row>
    <row r="114" spans="1:40" x14ac:dyDescent="0.25">
      <c r="A114" s="53"/>
      <c r="R114" s="54"/>
      <c r="AK114" s="161"/>
      <c r="AL114" s="54"/>
    </row>
    <row r="115" spans="1:40" x14ac:dyDescent="0.25">
      <c r="A115" s="54"/>
      <c r="R115" s="54"/>
      <c r="AK115" s="161"/>
      <c r="AL115" s="54"/>
    </row>
    <row r="116" spans="1:40" x14ac:dyDescent="0.25">
      <c r="L116" s="54"/>
      <c r="M116" s="54"/>
      <c r="R116" s="53"/>
      <c r="AA116" s="54"/>
      <c r="AB116" s="54"/>
      <c r="AK116" s="156"/>
      <c r="AL116" s="53"/>
    </row>
    <row r="117" spans="1:40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154"/>
      <c r="AH117" s="55"/>
      <c r="AI117" s="55"/>
      <c r="AJ117" s="55"/>
      <c r="AK117" s="154"/>
      <c r="AL117" s="55"/>
      <c r="AM117" s="55"/>
      <c r="AN117" s="55"/>
    </row>
    <row r="118" spans="1:40" x14ac:dyDescent="0.25">
      <c r="L118" s="56"/>
      <c r="M118" s="56"/>
      <c r="N118" s="56"/>
      <c r="O118" s="56"/>
      <c r="R118" s="56"/>
      <c r="AA118" s="56"/>
      <c r="AB118" s="56"/>
      <c r="AC118" s="56"/>
      <c r="AD118" s="56"/>
      <c r="AE118" s="56"/>
      <c r="AF118" s="56"/>
      <c r="AG118" s="155"/>
      <c r="AH118" s="56"/>
      <c r="AK118" s="155"/>
      <c r="AL118" s="56"/>
      <c r="AM118" s="56"/>
      <c r="AN118" s="56"/>
    </row>
    <row r="119" spans="1:40" x14ac:dyDescent="0.25">
      <c r="L119" s="56"/>
      <c r="M119" s="56"/>
      <c r="N119" s="56"/>
      <c r="O119" s="56"/>
      <c r="R119" s="56"/>
      <c r="Z119" s="56"/>
      <c r="AA119" s="56"/>
      <c r="AB119" s="56"/>
      <c r="AC119" s="56"/>
      <c r="AD119" s="56"/>
      <c r="AE119" s="56"/>
      <c r="AF119" s="56"/>
      <c r="AG119" s="155"/>
      <c r="AH119" s="56"/>
      <c r="AK119" s="155"/>
      <c r="AL119" s="56"/>
      <c r="AM119" s="56"/>
      <c r="AN119" s="56"/>
    </row>
    <row r="120" spans="1:40" x14ac:dyDescent="0.25">
      <c r="A120" s="56"/>
      <c r="C120" s="56"/>
      <c r="D120" s="56"/>
      <c r="E120" s="56"/>
      <c r="F120" s="56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Z120" s="56"/>
      <c r="AA120" s="56"/>
      <c r="AB120" s="56"/>
      <c r="AC120" s="56"/>
      <c r="AD120" s="56"/>
      <c r="AE120" s="56"/>
      <c r="AF120" s="56"/>
      <c r="AG120" s="155"/>
      <c r="AH120" s="56"/>
      <c r="AI120" s="56"/>
      <c r="AJ120" s="56"/>
      <c r="AK120" s="155"/>
      <c r="AL120" s="56"/>
      <c r="AM120" s="56"/>
      <c r="AN120" s="56"/>
    </row>
    <row r="121" spans="1:40" x14ac:dyDescent="0.25">
      <c r="A121" s="56"/>
      <c r="C121" s="56"/>
      <c r="D121" s="56"/>
      <c r="E121" s="56"/>
      <c r="F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Y121" s="56"/>
      <c r="Z121" s="56"/>
      <c r="AA121" s="56"/>
      <c r="AB121" s="56"/>
      <c r="AC121" s="56"/>
      <c r="AD121" s="56"/>
      <c r="AE121" s="56"/>
      <c r="AF121" s="56"/>
      <c r="AG121" s="155"/>
      <c r="AH121" s="56"/>
      <c r="AI121" s="56"/>
      <c r="AJ121" s="56"/>
      <c r="AK121" s="155"/>
      <c r="AL121" s="56"/>
      <c r="AM121" s="56"/>
      <c r="AN121" s="56"/>
    </row>
    <row r="122" spans="1:40" x14ac:dyDescent="0.25">
      <c r="C122" s="56"/>
      <c r="D122" s="56"/>
      <c r="E122" s="56"/>
      <c r="F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Y122" s="56"/>
      <c r="Z122" s="56"/>
      <c r="AA122" s="56"/>
      <c r="AB122" s="56"/>
      <c r="AC122" s="56"/>
      <c r="AD122" s="56"/>
      <c r="AE122" s="56"/>
      <c r="AF122" s="56"/>
      <c r="AG122" s="155"/>
      <c r="AH122" s="56"/>
      <c r="AI122" s="56"/>
      <c r="AJ122" s="56"/>
      <c r="AK122" s="155"/>
      <c r="AL122" s="56"/>
      <c r="AM122" s="56"/>
      <c r="AN122" s="56"/>
    </row>
    <row r="123" spans="1:40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154"/>
      <c r="AH123" s="55"/>
      <c r="AI123" s="55"/>
      <c r="AJ123" s="55"/>
      <c r="AK123" s="154"/>
      <c r="AL123" s="55"/>
      <c r="AM123" s="55"/>
      <c r="AN123" s="55"/>
    </row>
    <row r="124" spans="1:40" x14ac:dyDescent="0.25"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Y124" s="56"/>
      <c r="Z124" s="56"/>
      <c r="AA124" s="56"/>
      <c r="AB124" s="56"/>
      <c r="AC124" s="56"/>
      <c r="AD124" s="56"/>
      <c r="AE124" s="56"/>
      <c r="AF124" s="56"/>
      <c r="AG124" s="155"/>
      <c r="AH124" s="56"/>
      <c r="AI124" s="56"/>
      <c r="AJ124" s="56"/>
      <c r="AK124" s="155"/>
      <c r="AL124" s="56"/>
      <c r="AM124" s="56"/>
      <c r="AN124" s="56"/>
    </row>
    <row r="125" spans="1:40" x14ac:dyDescent="0.25">
      <c r="A125" s="53"/>
      <c r="C125" s="54"/>
      <c r="D125" s="54"/>
      <c r="E125" s="54"/>
      <c r="T125" s="54"/>
      <c r="U125" s="54"/>
    </row>
    <row r="126" spans="1:40" x14ac:dyDescent="0.25">
      <c r="A126" s="53"/>
      <c r="C126" s="54"/>
      <c r="T126" s="54"/>
    </row>
    <row r="128" spans="1:40" x14ac:dyDescent="0.25">
      <c r="A128" s="53"/>
      <c r="C128" s="54"/>
      <c r="T128" s="54"/>
    </row>
    <row r="129" spans="1:40" x14ac:dyDescent="0.25">
      <c r="A129" s="53"/>
      <c r="C129" s="54"/>
      <c r="F129" s="449"/>
      <c r="H129" s="449"/>
      <c r="I129" s="449"/>
      <c r="J129" s="461"/>
      <c r="K129" s="461"/>
      <c r="L129" s="379"/>
      <c r="M129" s="379"/>
      <c r="N129" s="50"/>
      <c r="O129" s="50"/>
      <c r="P129" s="53"/>
      <c r="Q129" s="53"/>
      <c r="R129" s="379"/>
      <c r="T129" s="54"/>
      <c r="V129" s="379"/>
      <c r="Y129" s="449"/>
      <c r="Z129" s="461"/>
      <c r="AA129" s="379"/>
      <c r="AB129" s="379"/>
      <c r="AC129" s="50"/>
      <c r="AD129" s="50"/>
      <c r="AE129" s="379"/>
      <c r="AF129" s="379"/>
      <c r="AG129" s="474"/>
      <c r="AH129" s="475"/>
      <c r="AI129" s="53"/>
      <c r="AJ129" s="53"/>
      <c r="AK129" s="156"/>
      <c r="AL129" s="379"/>
      <c r="AM129" s="476"/>
      <c r="AN129" s="476"/>
    </row>
    <row r="130" spans="1:40" x14ac:dyDescent="0.25">
      <c r="A130" s="53"/>
      <c r="C130" s="54"/>
      <c r="F130" s="449"/>
      <c r="H130" s="449"/>
      <c r="I130" s="449"/>
      <c r="J130" s="461"/>
      <c r="K130" s="461"/>
      <c r="L130" s="379"/>
      <c r="M130" s="379"/>
      <c r="N130" s="50"/>
      <c r="O130" s="50"/>
      <c r="P130" s="53"/>
      <c r="Q130" s="53"/>
      <c r="R130" s="379"/>
      <c r="T130" s="54"/>
      <c r="V130" s="379"/>
      <c r="Y130" s="449"/>
      <c r="Z130" s="461"/>
      <c r="AA130" s="379"/>
      <c r="AB130" s="379"/>
      <c r="AC130" s="50"/>
      <c r="AD130" s="50"/>
      <c r="AE130" s="379"/>
      <c r="AF130" s="379"/>
      <c r="AG130" s="156"/>
      <c r="AH130" s="60"/>
      <c r="AI130" s="53"/>
      <c r="AJ130" s="53"/>
      <c r="AK130" s="156"/>
      <c r="AL130" s="379"/>
      <c r="AM130" s="50"/>
      <c r="AN130" s="50"/>
    </row>
    <row r="131" spans="1:40" x14ac:dyDescent="0.25">
      <c r="A131" s="53"/>
      <c r="C131" s="54"/>
      <c r="F131" s="449"/>
      <c r="H131" s="449"/>
      <c r="I131" s="449"/>
      <c r="J131" s="461"/>
      <c r="K131" s="461"/>
      <c r="L131" s="379"/>
      <c r="M131" s="379"/>
      <c r="N131" s="50"/>
      <c r="O131" s="50"/>
      <c r="P131" s="53"/>
      <c r="Q131" s="53"/>
      <c r="R131" s="379"/>
      <c r="T131" s="54"/>
      <c r="V131" s="379"/>
      <c r="Y131" s="449"/>
      <c r="Z131" s="461"/>
      <c r="AA131" s="379"/>
      <c r="AB131" s="379"/>
      <c r="AC131" s="50"/>
      <c r="AD131" s="50"/>
      <c r="AE131" s="379"/>
      <c r="AF131" s="379"/>
      <c r="AG131" s="156"/>
      <c r="AH131" s="60"/>
      <c r="AI131" s="53"/>
      <c r="AJ131" s="53"/>
      <c r="AK131" s="156"/>
      <c r="AL131" s="379"/>
      <c r="AM131" s="50"/>
      <c r="AN131" s="50"/>
    </row>
    <row r="132" spans="1:40" x14ac:dyDescent="0.25">
      <c r="F132" s="381"/>
      <c r="H132" s="379"/>
      <c r="I132" s="379"/>
      <c r="J132" s="464"/>
      <c r="K132" s="464"/>
      <c r="L132" s="381"/>
      <c r="M132" s="381"/>
      <c r="N132" s="381"/>
      <c r="O132" s="381"/>
      <c r="P132" s="381"/>
      <c r="Q132" s="381"/>
      <c r="R132" s="381"/>
      <c r="V132" s="381"/>
      <c r="Y132" s="379"/>
      <c r="Z132" s="464"/>
      <c r="AA132" s="381"/>
      <c r="AB132" s="381"/>
      <c r="AC132" s="381"/>
      <c r="AD132" s="381"/>
      <c r="AE132" s="381"/>
      <c r="AF132" s="381"/>
      <c r="AI132" s="381"/>
      <c r="AJ132" s="381"/>
      <c r="AK132" s="162"/>
      <c r="AL132" s="381"/>
      <c r="AM132" s="50"/>
      <c r="AN132" s="50"/>
    </row>
    <row r="133" spans="1:40" x14ac:dyDescent="0.25">
      <c r="A133" s="53"/>
      <c r="C133" s="54"/>
      <c r="F133" s="379"/>
      <c r="H133" s="379"/>
      <c r="I133" s="379"/>
      <c r="J133" s="464"/>
      <c r="K133" s="464"/>
      <c r="L133" s="379"/>
      <c r="M133" s="379"/>
      <c r="N133" s="50"/>
      <c r="O133" s="50"/>
      <c r="P133" s="379"/>
      <c r="Q133" s="379"/>
      <c r="R133" s="379"/>
      <c r="T133" s="54"/>
      <c r="V133" s="379"/>
      <c r="Y133" s="379"/>
      <c r="Z133" s="59"/>
      <c r="AA133" s="379"/>
      <c r="AB133" s="379"/>
      <c r="AC133" s="50"/>
      <c r="AD133" s="50"/>
      <c r="AE133" s="379"/>
      <c r="AF133" s="379"/>
      <c r="AG133" s="156"/>
      <c r="AH133" s="60"/>
      <c r="AI133" s="379"/>
      <c r="AJ133" s="379"/>
      <c r="AK133" s="156"/>
      <c r="AL133" s="379"/>
      <c r="AM133" s="50"/>
      <c r="AN133" s="50"/>
    </row>
    <row r="134" spans="1:40" x14ac:dyDescent="0.25">
      <c r="F134" s="381"/>
      <c r="H134" s="379"/>
      <c r="I134" s="379"/>
      <c r="J134" s="464"/>
      <c r="K134" s="464"/>
      <c r="L134" s="381"/>
      <c r="M134" s="381"/>
      <c r="N134" s="381"/>
      <c r="O134" s="381"/>
      <c r="P134" s="381"/>
      <c r="Q134" s="381"/>
      <c r="R134" s="381"/>
      <c r="V134" s="381"/>
      <c r="Y134" s="379"/>
      <c r="Z134" s="464"/>
      <c r="AA134" s="381"/>
      <c r="AB134" s="381"/>
      <c r="AC134" s="381"/>
      <c r="AD134" s="381"/>
      <c r="AE134" s="381"/>
      <c r="AF134" s="381"/>
      <c r="AI134" s="381"/>
      <c r="AJ134" s="381"/>
      <c r="AK134" s="162"/>
      <c r="AL134" s="381"/>
      <c r="AM134" s="50"/>
      <c r="AN134" s="50"/>
    </row>
    <row r="135" spans="1:40" x14ac:dyDescent="0.25">
      <c r="A135" s="53"/>
      <c r="C135" s="54"/>
      <c r="F135" s="449"/>
      <c r="H135" s="449"/>
      <c r="I135" s="449"/>
      <c r="J135" s="477"/>
      <c r="K135" s="477"/>
      <c r="L135" s="379"/>
      <c r="M135" s="379"/>
      <c r="N135" s="50"/>
      <c r="O135" s="50"/>
      <c r="P135" s="379"/>
      <c r="Q135" s="379"/>
      <c r="R135" s="379"/>
      <c r="S135" s="379"/>
      <c r="T135" s="54"/>
      <c r="V135" s="449"/>
      <c r="Y135" s="449"/>
      <c r="Z135" s="477"/>
      <c r="AA135" s="379"/>
      <c r="AB135" s="379"/>
      <c r="AC135" s="50"/>
      <c r="AD135" s="50"/>
      <c r="AE135" s="379"/>
      <c r="AF135" s="379"/>
      <c r="AG135" s="156"/>
      <c r="AH135" s="50"/>
      <c r="AI135" s="379"/>
      <c r="AJ135" s="379"/>
      <c r="AK135" s="156"/>
      <c r="AL135" s="379"/>
      <c r="AM135" s="50"/>
      <c r="AN135" s="50"/>
    </row>
    <row r="136" spans="1:40" x14ac:dyDescent="0.25">
      <c r="A136" s="53"/>
      <c r="C136" s="54"/>
      <c r="F136" s="449"/>
      <c r="H136" s="449"/>
      <c r="I136" s="449"/>
      <c r="J136" s="461"/>
      <c r="K136" s="461"/>
      <c r="L136" s="379"/>
      <c r="M136" s="379"/>
      <c r="N136" s="50"/>
      <c r="O136" s="50"/>
      <c r="P136" s="379"/>
      <c r="Q136" s="379"/>
      <c r="R136" s="379"/>
      <c r="T136" s="54"/>
      <c r="V136" s="449"/>
      <c r="Y136" s="379"/>
      <c r="Z136" s="461"/>
      <c r="AA136" s="379"/>
      <c r="AB136" s="379"/>
      <c r="AC136" s="50"/>
      <c r="AD136" s="50"/>
      <c r="AE136" s="379"/>
      <c r="AF136" s="379"/>
      <c r="AG136" s="156"/>
      <c r="AH136" s="60"/>
      <c r="AI136" s="379"/>
      <c r="AJ136" s="379"/>
      <c r="AK136" s="156"/>
      <c r="AL136" s="379"/>
      <c r="AM136" s="50"/>
      <c r="AN136" s="50"/>
    </row>
    <row r="137" spans="1:40" x14ac:dyDescent="0.25">
      <c r="A137" s="53"/>
      <c r="C137" s="54"/>
      <c r="F137" s="449"/>
      <c r="H137" s="449"/>
      <c r="I137" s="449"/>
      <c r="J137" s="461"/>
      <c r="K137" s="461"/>
      <c r="L137" s="379"/>
      <c r="M137" s="379"/>
      <c r="N137" s="50"/>
      <c r="O137" s="50"/>
      <c r="P137" s="379"/>
      <c r="Q137" s="379"/>
      <c r="R137" s="379"/>
      <c r="T137" s="54"/>
      <c r="V137" s="449"/>
      <c r="Y137" s="379"/>
      <c r="Z137" s="461"/>
      <c r="AA137" s="379"/>
      <c r="AB137" s="379"/>
      <c r="AC137" s="50"/>
      <c r="AD137" s="50"/>
      <c r="AE137" s="379"/>
      <c r="AF137" s="379"/>
      <c r="AG137" s="156"/>
      <c r="AH137" s="60"/>
      <c r="AI137" s="379"/>
      <c r="AJ137" s="379"/>
      <c r="AK137" s="156"/>
      <c r="AL137" s="379"/>
      <c r="AM137" s="50"/>
      <c r="AN137" s="50"/>
    </row>
    <row r="138" spans="1:40" x14ac:dyDescent="0.25">
      <c r="F138" s="379"/>
      <c r="H138" s="381"/>
      <c r="I138" s="381"/>
      <c r="J138" s="464"/>
      <c r="K138" s="464"/>
      <c r="L138" s="381"/>
      <c r="M138" s="381"/>
      <c r="N138" s="381"/>
      <c r="O138" s="381"/>
      <c r="P138" s="381"/>
      <c r="Q138" s="381"/>
      <c r="R138" s="381"/>
      <c r="V138" s="379"/>
      <c r="Y138" s="381"/>
      <c r="Z138" s="464"/>
      <c r="AA138" s="381"/>
      <c r="AB138" s="381"/>
      <c r="AC138" s="381"/>
      <c r="AD138" s="381"/>
      <c r="AE138" s="381"/>
      <c r="AF138" s="381"/>
      <c r="AI138" s="381"/>
      <c r="AJ138" s="381"/>
      <c r="AK138" s="162"/>
      <c r="AL138" s="381"/>
      <c r="AM138" s="50"/>
      <c r="AN138" s="50"/>
    </row>
    <row r="139" spans="1:40" x14ac:dyDescent="0.25">
      <c r="A139" s="53"/>
      <c r="C139" s="54"/>
      <c r="F139" s="379"/>
      <c r="H139" s="379"/>
      <c r="I139" s="379"/>
      <c r="J139" s="464"/>
      <c r="K139" s="464"/>
      <c r="L139" s="379"/>
      <c r="M139" s="379"/>
      <c r="N139" s="50"/>
      <c r="O139" s="50"/>
      <c r="P139" s="379"/>
      <c r="Q139" s="379"/>
      <c r="R139" s="379"/>
      <c r="T139" s="54"/>
      <c r="V139" s="379"/>
      <c r="Y139" s="379"/>
      <c r="Z139" s="464"/>
      <c r="AA139" s="379"/>
      <c r="AB139" s="379"/>
      <c r="AC139" s="50"/>
      <c r="AD139" s="50"/>
      <c r="AE139" s="379"/>
      <c r="AF139" s="379"/>
      <c r="AG139" s="156"/>
      <c r="AH139" s="60"/>
      <c r="AI139" s="379"/>
      <c r="AJ139" s="379"/>
      <c r="AK139" s="156"/>
      <c r="AL139" s="379"/>
      <c r="AM139" s="50"/>
      <c r="AN139" s="50"/>
    </row>
    <row r="140" spans="1:40" x14ac:dyDescent="0.25">
      <c r="F140" s="379"/>
      <c r="H140" s="381"/>
      <c r="I140" s="381"/>
      <c r="J140" s="464"/>
      <c r="K140" s="464"/>
      <c r="L140" s="381"/>
      <c r="M140" s="381"/>
      <c r="N140" s="381"/>
      <c r="O140" s="381"/>
      <c r="P140" s="381"/>
      <c r="Q140" s="381"/>
      <c r="R140" s="381"/>
      <c r="V140" s="379"/>
      <c r="Y140" s="381"/>
      <c r="Z140" s="464"/>
      <c r="AA140" s="381"/>
      <c r="AB140" s="381"/>
      <c r="AC140" s="381"/>
      <c r="AD140" s="381"/>
      <c r="AE140" s="381"/>
      <c r="AF140" s="381"/>
      <c r="AI140" s="381"/>
      <c r="AJ140" s="381"/>
      <c r="AK140" s="162"/>
      <c r="AL140" s="381"/>
      <c r="AM140" s="50"/>
      <c r="AN140" s="50"/>
    </row>
    <row r="141" spans="1:40" x14ac:dyDescent="0.25">
      <c r="A141" s="53"/>
      <c r="C141" s="54"/>
      <c r="F141" s="379"/>
      <c r="H141" s="379"/>
      <c r="I141" s="379"/>
      <c r="J141" s="464"/>
      <c r="K141" s="464"/>
      <c r="L141" s="379"/>
      <c r="M141" s="379"/>
      <c r="N141" s="379"/>
      <c r="O141" s="379"/>
      <c r="P141" s="379"/>
      <c r="Q141" s="379"/>
      <c r="R141" s="379"/>
      <c r="T141" s="54"/>
      <c r="V141" s="379"/>
      <c r="Y141" s="379"/>
      <c r="Z141" s="464"/>
      <c r="AA141" s="379"/>
      <c r="AB141" s="379"/>
      <c r="AC141" s="379"/>
      <c r="AD141" s="379"/>
      <c r="AE141" s="379"/>
      <c r="AF141" s="379"/>
      <c r="AG141" s="156"/>
      <c r="AH141" s="60"/>
      <c r="AI141" s="379"/>
      <c r="AJ141" s="379"/>
      <c r="AK141" s="156"/>
      <c r="AL141" s="379"/>
      <c r="AM141" s="50"/>
      <c r="AN141" s="50"/>
    </row>
    <row r="142" spans="1:40" x14ac:dyDescent="0.25">
      <c r="A142" s="53"/>
      <c r="C142" s="54"/>
      <c r="F142" s="379"/>
      <c r="H142" s="449"/>
      <c r="I142" s="449"/>
      <c r="J142" s="221"/>
      <c r="K142" s="221"/>
      <c r="L142" s="379"/>
      <c r="M142" s="379"/>
      <c r="N142" s="50"/>
      <c r="O142" s="50"/>
      <c r="P142" s="379"/>
      <c r="Q142" s="379"/>
      <c r="R142" s="379"/>
      <c r="T142" s="54"/>
      <c r="V142" s="379"/>
      <c r="Y142" s="379"/>
      <c r="Z142" s="221"/>
      <c r="AA142" s="379"/>
      <c r="AB142" s="379"/>
      <c r="AC142" s="50"/>
      <c r="AD142" s="50"/>
      <c r="AE142" s="379"/>
      <c r="AF142" s="379"/>
      <c r="AG142" s="156"/>
      <c r="AH142" s="60"/>
      <c r="AI142" s="379"/>
      <c r="AJ142" s="379"/>
      <c r="AK142" s="156"/>
      <c r="AL142" s="379"/>
      <c r="AM142" s="50"/>
      <c r="AN142" s="50"/>
    </row>
    <row r="143" spans="1:40" x14ac:dyDescent="0.25">
      <c r="A143" s="53"/>
      <c r="C143" s="54"/>
      <c r="H143" s="449"/>
      <c r="I143" s="449"/>
      <c r="J143" s="221"/>
      <c r="K143" s="221"/>
      <c r="L143" s="379"/>
      <c r="M143" s="379"/>
      <c r="N143" s="50"/>
      <c r="O143" s="50"/>
      <c r="P143" s="379"/>
      <c r="Q143" s="379"/>
      <c r="R143" s="379"/>
      <c r="T143" s="54"/>
      <c r="Y143" s="379"/>
      <c r="Z143" s="221"/>
      <c r="AA143" s="379"/>
      <c r="AB143" s="379"/>
      <c r="AC143" s="50"/>
      <c r="AD143" s="50"/>
      <c r="AE143" s="379"/>
      <c r="AF143" s="379"/>
      <c r="AG143" s="156"/>
      <c r="AH143" s="60"/>
      <c r="AI143" s="379"/>
      <c r="AJ143" s="379"/>
      <c r="AK143" s="156"/>
      <c r="AL143" s="379"/>
      <c r="AM143" s="50"/>
      <c r="AN143" s="50"/>
    </row>
    <row r="144" spans="1:40" x14ac:dyDescent="0.25">
      <c r="F144" s="379"/>
      <c r="H144" s="379"/>
      <c r="I144" s="379"/>
      <c r="J144" s="464"/>
      <c r="K144" s="464"/>
      <c r="L144" s="381"/>
      <c r="M144" s="381"/>
      <c r="N144" s="381"/>
      <c r="O144" s="381"/>
      <c r="P144" s="381"/>
      <c r="Q144" s="381"/>
      <c r="R144" s="381"/>
      <c r="V144" s="379"/>
      <c r="Y144" s="379"/>
      <c r="Z144" s="464"/>
      <c r="AA144" s="381"/>
      <c r="AB144" s="381"/>
      <c r="AC144" s="381"/>
      <c r="AD144" s="381"/>
      <c r="AE144" s="381"/>
      <c r="AF144" s="381"/>
      <c r="AI144" s="381"/>
      <c r="AJ144" s="381"/>
      <c r="AK144" s="162"/>
      <c r="AL144" s="381"/>
      <c r="AM144" s="50"/>
      <c r="AN144" s="50"/>
    </row>
    <row r="145" spans="1:40" x14ac:dyDescent="0.25">
      <c r="A145" s="53"/>
      <c r="C145" s="54"/>
      <c r="F145" s="379"/>
      <c r="H145" s="379"/>
      <c r="I145" s="379"/>
      <c r="J145" s="59"/>
      <c r="K145" s="59"/>
      <c r="L145" s="379"/>
      <c r="M145" s="379"/>
      <c r="N145" s="50"/>
      <c r="O145" s="50"/>
      <c r="P145" s="379"/>
      <c r="Q145" s="379"/>
      <c r="R145" s="379"/>
      <c r="T145" s="54"/>
      <c r="V145" s="379"/>
      <c r="Y145" s="379"/>
      <c r="Z145" s="59"/>
      <c r="AA145" s="379"/>
      <c r="AB145" s="379"/>
      <c r="AC145" s="50"/>
      <c r="AD145" s="50"/>
      <c r="AE145" s="379"/>
      <c r="AF145" s="379"/>
      <c r="AG145" s="156"/>
      <c r="AH145" s="60"/>
      <c r="AI145" s="379"/>
      <c r="AJ145" s="379"/>
      <c r="AK145" s="156"/>
      <c r="AL145" s="379"/>
      <c r="AM145" s="50"/>
      <c r="AN145" s="50"/>
    </row>
    <row r="146" spans="1:40" x14ac:dyDescent="0.25">
      <c r="F146" s="379"/>
      <c r="H146" s="379"/>
      <c r="I146" s="379"/>
      <c r="J146" s="464"/>
      <c r="K146" s="464"/>
      <c r="L146" s="381"/>
      <c r="M146" s="381"/>
      <c r="N146" s="381"/>
      <c r="O146" s="381"/>
      <c r="P146" s="381"/>
      <c r="Q146" s="381"/>
      <c r="R146" s="381"/>
      <c r="V146" s="379"/>
      <c r="Y146" s="379"/>
      <c r="Z146" s="464"/>
      <c r="AA146" s="381"/>
      <c r="AB146" s="381"/>
      <c r="AC146" s="381"/>
      <c r="AD146" s="381"/>
      <c r="AE146" s="381"/>
      <c r="AF146" s="381"/>
      <c r="AI146" s="381"/>
      <c r="AJ146" s="381"/>
      <c r="AK146" s="162"/>
      <c r="AL146" s="381"/>
      <c r="AM146" s="50"/>
      <c r="AN146" s="50"/>
    </row>
    <row r="147" spans="1:40" x14ac:dyDescent="0.25">
      <c r="A147" s="53"/>
      <c r="C147" s="54"/>
      <c r="F147" s="379"/>
      <c r="H147" s="379"/>
      <c r="I147" s="379"/>
      <c r="J147" s="59"/>
      <c r="K147" s="59"/>
      <c r="L147" s="379"/>
      <c r="M147" s="379"/>
      <c r="N147" s="50"/>
      <c r="O147" s="50"/>
      <c r="P147" s="379"/>
      <c r="Q147" s="379"/>
      <c r="R147" s="379"/>
      <c r="T147" s="54"/>
      <c r="V147" s="379"/>
      <c r="Y147" s="379"/>
      <c r="Z147" s="59"/>
      <c r="AA147" s="379"/>
      <c r="AB147" s="379"/>
      <c r="AC147" s="50"/>
      <c r="AD147" s="50"/>
      <c r="AE147" s="379"/>
      <c r="AF147" s="379"/>
      <c r="AG147" s="156"/>
      <c r="AH147" s="60"/>
      <c r="AI147" s="379"/>
      <c r="AJ147" s="379"/>
      <c r="AK147" s="156"/>
      <c r="AL147" s="379"/>
      <c r="AM147" s="50"/>
      <c r="AN147" s="50"/>
    </row>
    <row r="148" spans="1:40" x14ac:dyDescent="0.25">
      <c r="A148" s="53"/>
      <c r="C148" s="54"/>
      <c r="F148" s="379"/>
      <c r="H148" s="449"/>
      <c r="I148" s="449"/>
      <c r="J148" s="472"/>
      <c r="K148" s="472"/>
      <c r="L148" s="379"/>
      <c r="M148" s="379"/>
      <c r="N148" s="50"/>
      <c r="O148" s="50"/>
      <c r="P148" s="379"/>
      <c r="Q148" s="379"/>
      <c r="R148" s="379"/>
      <c r="T148" s="54"/>
      <c r="V148" s="449"/>
      <c r="Y148" s="379"/>
      <c r="Z148" s="472"/>
      <c r="AA148" s="379"/>
      <c r="AB148" s="379"/>
      <c r="AC148" s="50"/>
      <c r="AD148" s="50"/>
      <c r="AE148" s="379"/>
      <c r="AF148" s="379"/>
      <c r="AG148" s="156"/>
      <c r="AH148" s="60"/>
      <c r="AI148" s="379"/>
      <c r="AJ148" s="379"/>
      <c r="AK148" s="156"/>
      <c r="AL148" s="379"/>
      <c r="AM148" s="50"/>
      <c r="AN148" s="50"/>
    </row>
    <row r="149" spans="1:40" x14ac:dyDescent="0.25">
      <c r="F149" s="381"/>
      <c r="H149" s="381"/>
      <c r="I149" s="381"/>
      <c r="J149" s="464"/>
      <c r="K149" s="464"/>
      <c r="L149" s="381"/>
      <c r="M149" s="381"/>
      <c r="N149" s="381"/>
      <c r="O149" s="381"/>
      <c r="P149" s="381"/>
      <c r="Q149" s="381"/>
      <c r="R149" s="381"/>
      <c r="V149" s="381"/>
      <c r="Y149" s="381"/>
      <c r="Z149" s="464"/>
      <c r="AA149" s="381"/>
      <c r="AB149" s="381"/>
      <c r="AC149" s="381"/>
      <c r="AD149" s="381"/>
      <c r="AE149" s="381"/>
      <c r="AF149" s="381"/>
      <c r="AI149" s="381"/>
      <c r="AJ149" s="381"/>
      <c r="AK149" s="162"/>
      <c r="AL149" s="381"/>
      <c r="AM149" s="50"/>
      <c r="AN149" s="50"/>
    </row>
    <row r="150" spans="1:40" x14ac:dyDescent="0.25">
      <c r="A150" s="53"/>
      <c r="C150" s="54"/>
      <c r="F150" s="379"/>
      <c r="H150" s="379"/>
      <c r="I150" s="379"/>
      <c r="J150" s="464"/>
      <c r="K150" s="464"/>
      <c r="L150" s="379"/>
      <c r="M150" s="379"/>
      <c r="N150" s="50"/>
      <c r="O150" s="50"/>
      <c r="P150" s="379"/>
      <c r="Q150" s="379"/>
      <c r="R150" s="379"/>
      <c r="S150" s="379"/>
      <c r="T150" s="54"/>
      <c r="V150" s="379"/>
      <c r="Y150" s="379"/>
      <c r="Z150" s="464"/>
      <c r="AA150" s="379"/>
      <c r="AB150" s="379"/>
      <c r="AC150" s="50"/>
      <c r="AD150" s="50"/>
      <c r="AE150" s="379"/>
      <c r="AF150" s="379"/>
      <c r="AG150" s="156"/>
      <c r="AH150" s="50"/>
      <c r="AI150" s="379"/>
      <c r="AJ150" s="379"/>
      <c r="AK150" s="156"/>
      <c r="AL150" s="379"/>
      <c r="AM150" s="50"/>
      <c r="AN150" s="50"/>
    </row>
    <row r="151" spans="1:40" x14ac:dyDescent="0.25">
      <c r="F151" s="381"/>
      <c r="H151" s="381"/>
      <c r="I151" s="381"/>
      <c r="J151" s="464"/>
      <c r="K151" s="464"/>
      <c r="L151" s="381"/>
      <c r="M151" s="381"/>
      <c r="N151" s="381"/>
      <c r="O151" s="381"/>
      <c r="P151" s="381"/>
      <c r="Q151" s="381"/>
      <c r="R151" s="381"/>
      <c r="S151" s="379"/>
      <c r="V151" s="381"/>
      <c r="Y151" s="381"/>
      <c r="Z151" s="464"/>
      <c r="AA151" s="381"/>
      <c r="AB151" s="381"/>
      <c r="AC151" s="381"/>
      <c r="AD151" s="381"/>
      <c r="AE151" s="381"/>
      <c r="AF151" s="381"/>
      <c r="AI151" s="381"/>
      <c r="AJ151" s="381"/>
      <c r="AK151" s="162"/>
      <c r="AL151" s="381"/>
      <c r="AM151" s="50"/>
      <c r="AN151" s="50"/>
    </row>
    <row r="152" spans="1:40" x14ac:dyDescent="0.25">
      <c r="A152" s="53"/>
      <c r="C152" s="54"/>
      <c r="F152" s="449"/>
      <c r="H152" s="478"/>
      <c r="I152" s="478"/>
      <c r="J152" s="464"/>
      <c r="K152" s="464"/>
      <c r="L152" s="379"/>
      <c r="M152" s="379"/>
      <c r="N152" s="50"/>
      <c r="O152" s="50"/>
      <c r="P152" s="379"/>
      <c r="Q152" s="379"/>
      <c r="R152" s="379"/>
      <c r="S152" s="379"/>
      <c r="T152" s="54"/>
      <c r="V152" s="449"/>
      <c r="Y152" s="449"/>
      <c r="Z152" s="464"/>
      <c r="AA152" s="379"/>
      <c r="AB152" s="379"/>
      <c r="AC152" s="50"/>
      <c r="AD152" s="50"/>
      <c r="AE152" s="379"/>
      <c r="AF152" s="379"/>
      <c r="AI152" s="379"/>
      <c r="AJ152" s="379"/>
      <c r="AK152" s="156"/>
      <c r="AL152" s="379"/>
      <c r="AM152" s="50"/>
      <c r="AN152" s="50"/>
    </row>
    <row r="154" spans="1:40" x14ac:dyDescent="0.25">
      <c r="A154" s="53"/>
      <c r="C154" s="54"/>
      <c r="T154" s="54"/>
    </row>
    <row r="155" spans="1:40" x14ac:dyDescent="0.25">
      <c r="A155" s="53"/>
      <c r="C155" s="54"/>
      <c r="F155" s="449"/>
      <c r="H155" s="449"/>
      <c r="I155" s="449"/>
      <c r="J155" s="461"/>
      <c r="K155" s="461"/>
      <c r="L155" s="379"/>
      <c r="M155" s="379"/>
      <c r="N155" s="50"/>
      <c r="O155" s="50"/>
      <c r="P155" s="53"/>
      <c r="Q155" s="53"/>
      <c r="R155" s="379"/>
      <c r="T155" s="54"/>
      <c r="V155" s="379"/>
      <c r="Y155" s="449"/>
      <c r="Z155" s="461"/>
      <c r="AA155" s="379"/>
      <c r="AB155" s="379"/>
      <c r="AC155" s="50"/>
      <c r="AD155" s="50"/>
      <c r="AE155" s="379"/>
      <c r="AF155" s="379"/>
      <c r="AG155" s="474"/>
      <c r="AH155" s="475"/>
      <c r="AI155" s="53"/>
      <c r="AJ155" s="53"/>
      <c r="AK155" s="156"/>
      <c r="AL155" s="379"/>
      <c r="AM155" s="476"/>
      <c r="AN155" s="476"/>
    </row>
    <row r="156" spans="1:40" x14ac:dyDescent="0.25">
      <c r="A156" s="53"/>
      <c r="C156" s="54"/>
      <c r="F156" s="449"/>
      <c r="H156" s="449"/>
      <c r="I156" s="449"/>
      <c r="J156" s="461"/>
      <c r="K156" s="461"/>
      <c r="L156" s="379"/>
      <c r="M156" s="379"/>
      <c r="N156" s="50"/>
      <c r="O156" s="50"/>
      <c r="P156" s="53"/>
      <c r="Q156" s="53"/>
      <c r="R156" s="379"/>
      <c r="T156" s="54"/>
      <c r="V156" s="379"/>
      <c r="Y156" s="449"/>
      <c r="Z156" s="461"/>
      <c r="AA156" s="379"/>
      <c r="AB156" s="379"/>
      <c r="AC156" s="50"/>
      <c r="AD156" s="50"/>
      <c r="AE156" s="379"/>
      <c r="AF156" s="379"/>
      <c r="AG156" s="156"/>
      <c r="AH156" s="60"/>
      <c r="AI156" s="53"/>
      <c r="AJ156" s="53"/>
      <c r="AK156" s="156"/>
      <c r="AL156" s="379"/>
      <c r="AM156" s="50"/>
      <c r="AN156" s="50"/>
    </row>
    <row r="157" spans="1:40" x14ac:dyDescent="0.25">
      <c r="A157" s="53"/>
      <c r="C157" s="54"/>
      <c r="F157" s="449"/>
      <c r="H157" s="449"/>
      <c r="I157" s="449"/>
      <c r="J157" s="461"/>
      <c r="K157" s="461"/>
      <c r="L157" s="379"/>
      <c r="M157" s="379"/>
      <c r="N157" s="50"/>
      <c r="O157" s="50"/>
      <c r="P157" s="53"/>
      <c r="Q157" s="53"/>
      <c r="R157" s="379"/>
      <c r="T157" s="54"/>
      <c r="V157" s="379"/>
      <c r="Y157" s="449"/>
      <c r="Z157" s="461"/>
      <c r="AA157" s="379"/>
      <c r="AB157" s="379"/>
      <c r="AC157" s="50"/>
      <c r="AD157" s="50"/>
      <c r="AE157" s="379"/>
      <c r="AF157" s="379"/>
      <c r="AG157" s="156"/>
      <c r="AH157" s="60"/>
      <c r="AI157" s="53"/>
      <c r="AJ157" s="53"/>
      <c r="AK157" s="156"/>
      <c r="AL157" s="379"/>
      <c r="AM157" s="50"/>
      <c r="AN157" s="50"/>
    </row>
    <row r="158" spans="1:40" x14ac:dyDescent="0.25">
      <c r="F158" s="381"/>
      <c r="H158" s="379"/>
      <c r="I158" s="379"/>
      <c r="J158" s="464"/>
      <c r="K158" s="464"/>
      <c r="L158" s="381"/>
      <c r="M158" s="381"/>
      <c r="N158" s="381"/>
      <c r="O158" s="381"/>
      <c r="P158" s="381"/>
      <c r="Q158" s="381"/>
      <c r="R158" s="381"/>
      <c r="V158" s="381"/>
      <c r="Y158" s="379"/>
      <c r="Z158" s="464"/>
      <c r="AA158" s="381"/>
      <c r="AB158" s="381"/>
      <c r="AC158" s="381"/>
      <c r="AD158" s="381"/>
      <c r="AE158" s="381"/>
      <c r="AF158" s="381"/>
      <c r="AI158" s="381"/>
      <c r="AJ158" s="381"/>
      <c r="AK158" s="162"/>
      <c r="AL158" s="381"/>
      <c r="AM158" s="50"/>
      <c r="AN158" s="50"/>
    </row>
    <row r="159" spans="1:40" x14ac:dyDescent="0.25">
      <c r="A159" s="53"/>
      <c r="C159" s="54"/>
      <c r="F159" s="379"/>
      <c r="H159" s="379"/>
      <c r="I159" s="379"/>
      <c r="J159" s="464"/>
      <c r="K159" s="464"/>
      <c r="L159" s="379"/>
      <c r="M159" s="379"/>
      <c r="N159" s="50"/>
      <c r="O159" s="50"/>
      <c r="P159" s="379"/>
      <c r="Q159" s="379"/>
      <c r="R159" s="379"/>
      <c r="T159" s="54"/>
      <c r="V159" s="379"/>
      <c r="Y159" s="379"/>
      <c r="Z159" s="464"/>
      <c r="AA159" s="379"/>
      <c r="AB159" s="379"/>
      <c r="AC159" s="50"/>
      <c r="AD159" s="50"/>
      <c r="AE159" s="379"/>
      <c r="AF159" s="379"/>
      <c r="AG159" s="156"/>
      <c r="AH159" s="60"/>
      <c r="AI159" s="379"/>
      <c r="AJ159" s="379"/>
      <c r="AK159" s="156"/>
      <c r="AL159" s="379"/>
      <c r="AM159" s="50"/>
      <c r="AN159" s="50"/>
    </row>
    <row r="160" spans="1:40" x14ac:dyDescent="0.25">
      <c r="F160" s="381"/>
      <c r="H160" s="379"/>
      <c r="I160" s="379"/>
      <c r="J160" s="464"/>
      <c r="K160" s="464"/>
      <c r="L160" s="381"/>
      <c r="M160" s="381"/>
      <c r="N160" s="381"/>
      <c r="O160" s="381"/>
      <c r="P160" s="381"/>
      <c r="Q160" s="381"/>
      <c r="R160" s="381"/>
      <c r="V160" s="381"/>
      <c r="Y160" s="379"/>
      <c r="Z160" s="464"/>
      <c r="AA160" s="381"/>
      <c r="AB160" s="381"/>
      <c r="AC160" s="381"/>
      <c r="AD160" s="381"/>
      <c r="AE160" s="381"/>
      <c r="AF160" s="381"/>
      <c r="AI160" s="381"/>
      <c r="AJ160" s="381"/>
      <c r="AK160" s="162"/>
      <c r="AL160" s="381"/>
      <c r="AM160" s="50"/>
      <c r="AN160" s="50"/>
    </row>
    <row r="161" spans="1:40" x14ac:dyDescent="0.25">
      <c r="A161" s="53"/>
      <c r="C161" s="54"/>
      <c r="F161" s="449"/>
      <c r="H161" s="449"/>
      <c r="I161" s="449"/>
      <c r="J161" s="477"/>
      <c r="K161" s="477"/>
      <c r="L161" s="379"/>
      <c r="M161" s="379"/>
      <c r="N161" s="50"/>
      <c r="O161" s="50"/>
      <c r="P161" s="379"/>
      <c r="Q161" s="379"/>
      <c r="R161" s="379"/>
      <c r="S161" s="379"/>
      <c r="T161" s="54"/>
      <c r="V161" s="449"/>
      <c r="Y161" s="449"/>
      <c r="Z161" s="477"/>
      <c r="AA161" s="379"/>
      <c r="AB161" s="379"/>
      <c r="AC161" s="50"/>
      <c r="AD161" s="50"/>
      <c r="AE161" s="379"/>
      <c r="AF161" s="379"/>
      <c r="AG161" s="156"/>
      <c r="AH161" s="50"/>
      <c r="AI161" s="379"/>
      <c r="AJ161" s="379"/>
      <c r="AK161" s="156"/>
      <c r="AL161" s="379"/>
      <c r="AM161" s="50"/>
      <c r="AN161" s="50"/>
    </row>
    <row r="162" spans="1:40" x14ac:dyDescent="0.25">
      <c r="A162" s="53"/>
      <c r="C162" s="54"/>
      <c r="F162" s="449"/>
      <c r="H162" s="449"/>
      <c r="I162" s="449"/>
      <c r="J162" s="461"/>
      <c r="K162" s="461"/>
      <c r="L162" s="379"/>
      <c r="M162" s="379"/>
      <c r="N162" s="50"/>
      <c r="O162" s="50"/>
      <c r="P162" s="379"/>
      <c r="Q162" s="379"/>
      <c r="R162" s="379"/>
      <c r="T162" s="54"/>
      <c r="V162" s="449"/>
      <c r="Y162" s="379"/>
      <c r="Z162" s="461"/>
      <c r="AA162" s="379"/>
      <c r="AB162" s="379"/>
      <c r="AC162" s="50"/>
      <c r="AD162" s="50"/>
      <c r="AE162" s="379"/>
      <c r="AF162" s="379"/>
      <c r="AG162" s="156"/>
      <c r="AH162" s="60"/>
      <c r="AI162" s="379"/>
      <c r="AJ162" s="379"/>
      <c r="AK162" s="156"/>
      <c r="AL162" s="379"/>
      <c r="AM162" s="50"/>
      <c r="AN162" s="50"/>
    </row>
    <row r="163" spans="1:40" x14ac:dyDescent="0.25">
      <c r="A163" s="53"/>
      <c r="C163" s="54"/>
      <c r="F163" s="449"/>
      <c r="H163" s="449"/>
      <c r="I163" s="449"/>
      <c r="J163" s="461"/>
      <c r="K163" s="461"/>
      <c r="L163" s="379"/>
      <c r="M163" s="379"/>
      <c r="N163" s="50"/>
      <c r="O163" s="50"/>
      <c r="P163" s="379"/>
      <c r="Q163" s="379"/>
      <c r="R163" s="379"/>
      <c r="T163" s="54"/>
      <c r="V163" s="449"/>
      <c r="Y163" s="379"/>
      <c r="Z163" s="461"/>
      <c r="AA163" s="379"/>
      <c r="AB163" s="379"/>
      <c r="AC163" s="50"/>
      <c r="AD163" s="50"/>
      <c r="AE163" s="379"/>
      <c r="AF163" s="379"/>
      <c r="AG163" s="156"/>
      <c r="AH163" s="60"/>
      <c r="AI163" s="379"/>
      <c r="AJ163" s="379"/>
      <c r="AK163" s="156"/>
      <c r="AL163" s="379"/>
      <c r="AM163" s="50"/>
      <c r="AN163" s="50"/>
    </row>
    <row r="164" spans="1:40" x14ac:dyDescent="0.25">
      <c r="F164" s="379"/>
      <c r="H164" s="381"/>
      <c r="I164" s="381"/>
      <c r="J164" s="464"/>
      <c r="K164" s="464"/>
      <c r="L164" s="381"/>
      <c r="M164" s="381"/>
      <c r="N164" s="381"/>
      <c r="O164" s="381"/>
      <c r="P164" s="381"/>
      <c r="Q164" s="381"/>
      <c r="R164" s="381"/>
      <c r="V164" s="379"/>
      <c r="Y164" s="381"/>
      <c r="Z164" s="464"/>
      <c r="AA164" s="381"/>
      <c r="AB164" s="381"/>
      <c r="AC164" s="381"/>
      <c r="AD164" s="381"/>
      <c r="AE164" s="381"/>
      <c r="AF164" s="381"/>
      <c r="AI164" s="381"/>
      <c r="AJ164" s="381"/>
      <c r="AK164" s="162"/>
      <c r="AL164" s="381"/>
      <c r="AM164" s="50"/>
      <c r="AN164" s="50"/>
    </row>
    <row r="165" spans="1:40" x14ac:dyDescent="0.25">
      <c r="A165" s="53"/>
      <c r="C165" s="54"/>
      <c r="F165" s="379"/>
      <c r="H165" s="379"/>
      <c r="I165" s="379"/>
      <c r="J165" s="464"/>
      <c r="K165" s="464"/>
      <c r="L165" s="379"/>
      <c r="M165" s="379"/>
      <c r="N165" s="50"/>
      <c r="O165" s="50"/>
      <c r="P165" s="379"/>
      <c r="Q165" s="379"/>
      <c r="R165" s="379"/>
      <c r="T165" s="54"/>
      <c r="V165" s="379"/>
      <c r="Y165" s="379"/>
      <c r="Z165" s="464"/>
      <c r="AA165" s="379"/>
      <c r="AB165" s="379"/>
      <c r="AC165" s="50"/>
      <c r="AD165" s="50"/>
      <c r="AE165" s="379"/>
      <c r="AF165" s="379"/>
      <c r="AG165" s="156"/>
      <c r="AH165" s="60"/>
      <c r="AI165" s="379"/>
      <c r="AJ165" s="379"/>
      <c r="AK165" s="156"/>
      <c r="AL165" s="379"/>
      <c r="AM165" s="50"/>
      <c r="AN165" s="50"/>
    </row>
    <row r="166" spans="1:40" x14ac:dyDescent="0.25">
      <c r="F166" s="379"/>
      <c r="H166" s="381"/>
      <c r="I166" s="381"/>
      <c r="J166" s="464"/>
      <c r="K166" s="464"/>
      <c r="L166" s="381"/>
      <c r="M166" s="381"/>
      <c r="N166" s="381"/>
      <c r="O166" s="381"/>
      <c r="P166" s="381"/>
      <c r="Q166" s="381"/>
      <c r="R166" s="381"/>
      <c r="V166" s="379"/>
      <c r="Y166" s="381"/>
      <c r="Z166" s="464"/>
      <c r="AA166" s="381"/>
      <c r="AB166" s="381"/>
      <c r="AC166" s="381"/>
      <c r="AD166" s="381"/>
      <c r="AE166" s="381"/>
      <c r="AF166" s="381"/>
      <c r="AI166" s="381"/>
      <c r="AJ166" s="381"/>
      <c r="AK166" s="162"/>
      <c r="AL166" s="381"/>
      <c r="AM166" s="50"/>
      <c r="AN166" s="50"/>
    </row>
    <row r="167" spans="1:40" x14ac:dyDescent="0.25">
      <c r="A167" s="53"/>
      <c r="C167" s="54"/>
      <c r="F167" s="379"/>
      <c r="H167" s="379"/>
      <c r="I167" s="379"/>
      <c r="J167" s="464"/>
      <c r="K167" s="464"/>
      <c r="L167" s="379"/>
      <c r="M167" s="379"/>
      <c r="N167" s="379"/>
      <c r="O167" s="379"/>
      <c r="P167" s="379"/>
      <c r="Q167" s="379"/>
      <c r="R167" s="379"/>
      <c r="T167" s="54"/>
      <c r="V167" s="379"/>
      <c r="Y167" s="379"/>
      <c r="Z167" s="464"/>
      <c r="AA167" s="379"/>
      <c r="AB167" s="379"/>
      <c r="AC167" s="379"/>
      <c r="AD167" s="379"/>
      <c r="AE167" s="379"/>
      <c r="AF167" s="379"/>
      <c r="AG167" s="156"/>
      <c r="AH167" s="60"/>
      <c r="AI167" s="379"/>
      <c r="AJ167" s="379"/>
      <c r="AK167" s="156"/>
      <c r="AL167" s="379"/>
      <c r="AM167" s="50"/>
      <c r="AN167" s="50"/>
    </row>
    <row r="168" spans="1:40" x14ac:dyDescent="0.25">
      <c r="A168" s="53"/>
      <c r="C168" s="54"/>
      <c r="F168" s="379"/>
      <c r="H168" s="449"/>
      <c r="I168" s="449"/>
      <c r="J168" s="221"/>
      <c r="K168" s="221"/>
      <c r="L168" s="379"/>
      <c r="M168" s="379"/>
      <c r="N168" s="50"/>
      <c r="O168" s="50"/>
      <c r="P168" s="379"/>
      <c r="Q168" s="379"/>
      <c r="R168" s="379"/>
      <c r="T168" s="54"/>
      <c r="V168" s="379"/>
      <c r="Y168" s="379"/>
      <c r="Z168" s="221"/>
      <c r="AA168" s="379"/>
      <c r="AB168" s="379"/>
      <c r="AC168" s="50"/>
      <c r="AD168" s="50"/>
      <c r="AE168" s="379"/>
      <c r="AF168" s="379"/>
      <c r="AG168" s="156"/>
      <c r="AH168" s="60"/>
      <c r="AI168" s="379"/>
      <c r="AJ168" s="379"/>
      <c r="AK168" s="156"/>
      <c r="AL168" s="379"/>
      <c r="AM168" s="50"/>
      <c r="AN168" s="50"/>
    </row>
    <row r="169" spans="1:40" x14ac:dyDescent="0.25">
      <c r="A169" s="53"/>
      <c r="C169" s="54"/>
      <c r="H169" s="449"/>
      <c r="I169" s="449"/>
      <c r="J169" s="221"/>
      <c r="K169" s="221"/>
      <c r="L169" s="379"/>
      <c r="M169" s="379"/>
      <c r="N169" s="50"/>
      <c r="O169" s="50"/>
      <c r="P169" s="379"/>
      <c r="Q169" s="379"/>
      <c r="R169" s="379"/>
      <c r="T169" s="54"/>
      <c r="Y169" s="379"/>
      <c r="Z169" s="221"/>
      <c r="AA169" s="379"/>
      <c r="AB169" s="379"/>
      <c r="AC169" s="50"/>
      <c r="AD169" s="50"/>
      <c r="AE169" s="379"/>
      <c r="AF169" s="379"/>
      <c r="AG169" s="156"/>
      <c r="AH169" s="60"/>
      <c r="AI169" s="379"/>
      <c r="AJ169" s="379"/>
      <c r="AK169" s="156"/>
      <c r="AL169" s="379"/>
      <c r="AM169" s="50"/>
      <c r="AN169" s="50"/>
    </row>
    <row r="170" spans="1:40" x14ac:dyDescent="0.25">
      <c r="F170" s="379"/>
      <c r="H170" s="379"/>
      <c r="I170" s="379"/>
      <c r="J170" s="464"/>
      <c r="K170" s="464"/>
      <c r="L170" s="381"/>
      <c r="M170" s="381"/>
      <c r="N170" s="381"/>
      <c r="O170" s="381"/>
      <c r="P170" s="381"/>
      <c r="Q170" s="381"/>
      <c r="R170" s="381"/>
      <c r="V170" s="379"/>
      <c r="Y170" s="379"/>
      <c r="Z170" s="464"/>
      <c r="AA170" s="381"/>
      <c r="AB170" s="381"/>
      <c r="AC170" s="381"/>
      <c r="AD170" s="381"/>
      <c r="AE170" s="381"/>
      <c r="AF170" s="381"/>
      <c r="AI170" s="381"/>
      <c r="AJ170" s="381"/>
      <c r="AK170" s="162"/>
      <c r="AL170" s="381"/>
      <c r="AM170" s="50"/>
      <c r="AN170" s="50"/>
    </row>
    <row r="171" spans="1:40" x14ac:dyDescent="0.25">
      <c r="A171" s="53"/>
      <c r="C171" s="54"/>
      <c r="F171" s="379"/>
      <c r="H171" s="379"/>
      <c r="I171" s="379"/>
      <c r="J171" s="59"/>
      <c r="K171" s="59"/>
      <c r="L171" s="379"/>
      <c r="M171" s="379"/>
      <c r="N171" s="50"/>
      <c r="O171" s="50"/>
      <c r="P171" s="379"/>
      <c r="Q171" s="379"/>
      <c r="R171" s="379"/>
      <c r="T171" s="54"/>
      <c r="V171" s="379"/>
      <c r="Y171" s="379"/>
      <c r="Z171" s="59"/>
      <c r="AA171" s="379"/>
      <c r="AB171" s="379"/>
      <c r="AC171" s="50"/>
      <c r="AD171" s="50"/>
      <c r="AE171" s="379"/>
      <c r="AF171" s="379"/>
      <c r="AG171" s="156"/>
      <c r="AH171" s="60"/>
      <c r="AI171" s="379"/>
      <c r="AJ171" s="379"/>
      <c r="AK171" s="156"/>
      <c r="AL171" s="379"/>
      <c r="AM171" s="50"/>
      <c r="AN171" s="50"/>
    </row>
    <row r="172" spans="1:40" x14ac:dyDescent="0.25">
      <c r="F172" s="379"/>
      <c r="H172" s="379"/>
      <c r="I172" s="379"/>
      <c r="J172" s="464"/>
      <c r="K172" s="464"/>
      <c r="L172" s="381"/>
      <c r="M172" s="381"/>
      <c r="N172" s="381"/>
      <c r="O172" s="381"/>
      <c r="P172" s="381"/>
      <c r="Q172" s="381"/>
      <c r="R172" s="381"/>
      <c r="V172" s="379"/>
      <c r="Y172" s="379"/>
      <c r="Z172" s="464"/>
      <c r="AA172" s="381"/>
      <c r="AB172" s="381"/>
      <c r="AC172" s="381"/>
      <c r="AD172" s="381"/>
      <c r="AE172" s="381"/>
      <c r="AF172" s="381"/>
      <c r="AI172" s="381"/>
      <c r="AJ172" s="381"/>
      <c r="AK172" s="162"/>
      <c r="AL172" s="381"/>
      <c r="AM172" s="50"/>
      <c r="AN172" s="50"/>
    </row>
    <row r="173" spans="1:40" x14ac:dyDescent="0.25">
      <c r="A173" s="53"/>
      <c r="C173" s="54"/>
      <c r="F173" s="379"/>
      <c r="H173" s="379"/>
      <c r="I173" s="379"/>
      <c r="J173" s="59"/>
      <c r="K173" s="59"/>
      <c r="L173" s="379"/>
      <c r="M173" s="379"/>
      <c r="N173" s="50"/>
      <c r="O173" s="50"/>
      <c r="P173" s="379"/>
      <c r="Q173" s="379"/>
      <c r="R173" s="379"/>
      <c r="T173" s="54"/>
      <c r="V173" s="379"/>
      <c r="Y173" s="379"/>
      <c r="Z173" s="59"/>
      <c r="AA173" s="379"/>
      <c r="AB173" s="379"/>
      <c r="AC173" s="50"/>
      <c r="AD173" s="50"/>
      <c r="AE173" s="379"/>
      <c r="AF173" s="379"/>
      <c r="AG173" s="156"/>
      <c r="AH173" s="60"/>
      <c r="AI173" s="379"/>
      <c r="AJ173" s="379"/>
      <c r="AK173" s="156"/>
      <c r="AL173" s="379"/>
      <c r="AM173" s="50"/>
      <c r="AN173" s="50"/>
    </row>
    <row r="174" spans="1:40" x14ac:dyDescent="0.25">
      <c r="A174" s="53"/>
      <c r="C174" s="54"/>
      <c r="F174" s="449"/>
      <c r="H174" s="449"/>
      <c r="I174" s="449"/>
      <c r="J174" s="472"/>
      <c r="K174" s="472"/>
      <c r="L174" s="379"/>
      <c r="M174" s="379"/>
      <c r="N174" s="50"/>
      <c r="O174" s="50"/>
      <c r="P174" s="379"/>
      <c r="Q174" s="379"/>
      <c r="R174" s="379"/>
      <c r="T174" s="54"/>
      <c r="V174" s="449"/>
      <c r="Y174" s="379"/>
      <c r="Z174" s="472"/>
      <c r="AA174" s="379"/>
      <c r="AB174" s="379"/>
      <c r="AC174" s="50"/>
      <c r="AD174" s="50"/>
      <c r="AE174" s="379"/>
      <c r="AF174" s="379"/>
      <c r="AG174" s="156"/>
      <c r="AH174" s="60"/>
      <c r="AI174" s="379"/>
      <c r="AJ174" s="379"/>
      <c r="AK174" s="156"/>
      <c r="AL174" s="379"/>
      <c r="AM174" s="50"/>
      <c r="AN174" s="50"/>
    </row>
    <row r="175" spans="1:40" x14ac:dyDescent="0.25">
      <c r="F175" s="381"/>
      <c r="H175" s="381"/>
      <c r="I175" s="381"/>
      <c r="J175" s="464"/>
      <c r="K175" s="464"/>
      <c r="L175" s="381"/>
      <c r="M175" s="381"/>
      <c r="N175" s="381"/>
      <c r="O175" s="381"/>
      <c r="P175" s="381"/>
      <c r="Q175" s="381"/>
      <c r="R175" s="381"/>
      <c r="V175" s="381"/>
      <c r="Y175" s="381"/>
      <c r="Z175" s="464"/>
      <c r="AA175" s="381"/>
      <c r="AB175" s="381"/>
      <c r="AC175" s="381"/>
      <c r="AD175" s="381"/>
      <c r="AE175" s="381"/>
      <c r="AF175" s="381"/>
      <c r="AI175" s="381"/>
      <c r="AJ175" s="381"/>
      <c r="AK175" s="162"/>
      <c r="AL175" s="381"/>
      <c r="AM175" s="50"/>
      <c r="AN175" s="50"/>
    </row>
    <row r="176" spans="1:40" x14ac:dyDescent="0.25">
      <c r="A176" s="53"/>
      <c r="C176" s="54"/>
      <c r="F176" s="379"/>
      <c r="H176" s="379"/>
      <c r="I176" s="379"/>
      <c r="J176" s="464"/>
      <c r="K176" s="464"/>
      <c r="L176" s="379"/>
      <c r="M176" s="379"/>
      <c r="N176" s="50"/>
      <c r="O176" s="50"/>
      <c r="P176" s="379"/>
      <c r="Q176" s="379"/>
      <c r="R176" s="379"/>
      <c r="S176" s="379"/>
      <c r="T176" s="54"/>
      <c r="V176" s="379"/>
      <c r="Y176" s="379"/>
      <c r="Z176" s="464"/>
      <c r="AA176" s="379"/>
      <c r="AB176" s="379"/>
      <c r="AC176" s="50"/>
      <c r="AD176" s="50"/>
      <c r="AE176" s="379"/>
      <c r="AF176" s="379"/>
      <c r="AG176" s="156"/>
      <c r="AH176" s="50"/>
      <c r="AI176" s="379"/>
      <c r="AJ176" s="379"/>
      <c r="AK176" s="156"/>
      <c r="AL176" s="379"/>
      <c r="AM176" s="50"/>
      <c r="AN176" s="50"/>
    </row>
    <row r="177" spans="1:40" x14ac:dyDescent="0.25">
      <c r="F177" s="381"/>
      <c r="H177" s="381"/>
      <c r="I177" s="381"/>
      <c r="J177" s="464"/>
      <c r="K177" s="464"/>
      <c r="L177" s="381"/>
      <c r="M177" s="381"/>
      <c r="N177" s="381"/>
      <c r="O177" s="381"/>
      <c r="P177" s="381"/>
      <c r="Q177" s="381"/>
      <c r="R177" s="381"/>
      <c r="S177" s="379"/>
      <c r="V177" s="381"/>
      <c r="Y177" s="381"/>
      <c r="Z177" s="464"/>
      <c r="AA177" s="381"/>
      <c r="AB177" s="381"/>
      <c r="AC177" s="381"/>
      <c r="AD177" s="381"/>
      <c r="AE177" s="381"/>
      <c r="AF177" s="381"/>
      <c r="AI177" s="381"/>
      <c r="AJ177" s="381"/>
      <c r="AK177" s="162"/>
      <c r="AL177" s="381"/>
      <c r="AM177" s="50"/>
      <c r="AN177" s="50"/>
    </row>
    <row r="178" spans="1:40" x14ac:dyDescent="0.25">
      <c r="A178" s="53"/>
      <c r="C178" s="54"/>
      <c r="T178" s="54"/>
    </row>
    <row r="179" spans="1:40" x14ac:dyDescent="0.25">
      <c r="A179" s="53"/>
      <c r="C179" s="54"/>
      <c r="F179" s="379"/>
      <c r="H179" s="379"/>
      <c r="I179" s="379"/>
      <c r="L179" s="379"/>
      <c r="M179" s="379"/>
      <c r="N179" s="50"/>
      <c r="O179" s="50"/>
      <c r="P179" s="449"/>
      <c r="Q179" s="449"/>
      <c r="R179" s="379"/>
      <c r="T179" s="54"/>
      <c r="V179" s="379"/>
      <c r="Y179" s="379"/>
      <c r="AA179" s="379"/>
      <c r="AB179" s="379"/>
      <c r="AC179" s="50"/>
      <c r="AD179" s="50"/>
      <c r="AE179" s="379"/>
      <c r="AF179" s="379"/>
      <c r="AG179" s="156"/>
      <c r="AH179" s="50"/>
      <c r="AI179" s="449"/>
      <c r="AJ179" s="449"/>
      <c r="AK179" s="156"/>
      <c r="AL179" s="379"/>
      <c r="AM179" s="50"/>
      <c r="AN179" s="50"/>
    </row>
    <row r="180" spans="1:40" x14ac:dyDescent="0.25">
      <c r="F180" s="381"/>
      <c r="H180" s="381"/>
      <c r="I180" s="381"/>
      <c r="J180" s="464"/>
      <c r="K180" s="464"/>
      <c r="L180" s="381"/>
      <c r="M180" s="381"/>
      <c r="N180" s="381"/>
      <c r="O180" s="381"/>
      <c r="P180" s="381"/>
      <c r="Q180" s="381"/>
      <c r="R180" s="381"/>
      <c r="V180" s="381"/>
      <c r="Y180" s="381"/>
      <c r="Z180" s="464"/>
      <c r="AA180" s="381"/>
      <c r="AB180" s="381"/>
      <c r="AC180" s="381"/>
      <c r="AD180" s="381"/>
      <c r="AE180" s="381"/>
      <c r="AF180" s="381"/>
      <c r="AI180" s="381"/>
      <c r="AJ180" s="381"/>
      <c r="AK180" s="162"/>
      <c r="AL180" s="381"/>
    </row>
    <row r="182" spans="1:40" x14ac:dyDescent="0.25">
      <c r="C182" s="54"/>
      <c r="L182" s="379"/>
      <c r="M182" s="379"/>
      <c r="N182" s="379"/>
      <c r="O182" s="379"/>
      <c r="P182" s="379"/>
      <c r="Q182" s="379"/>
      <c r="R182" s="379"/>
      <c r="S182" s="379"/>
      <c r="T182" s="54"/>
      <c r="AA182" s="379"/>
      <c r="AB182" s="379"/>
      <c r="AC182" s="379"/>
      <c r="AD182" s="379"/>
      <c r="AI182" s="379"/>
      <c r="AJ182" s="379"/>
      <c r="AK182" s="156"/>
      <c r="AL182" s="379"/>
    </row>
    <row r="183" spans="1:40" x14ac:dyDescent="0.25">
      <c r="A183" s="54"/>
    </row>
    <row r="184" spans="1:40" x14ac:dyDescent="0.25">
      <c r="J184" s="53"/>
      <c r="K184" s="53"/>
      <c r="Z184" s="53"/>
    </row>
    <row r="185" spans="1:40" x14ac:dyDescent="0.25">
      <c r="H185" s="54"/>
      <c r="I185" s="54"/>
      <c r="Y185" s="54"/>
    </row>
    <row r="186" spans="1:40" x14ac:dyDescent="0.25">
      <c r="J186" s="53"/>
      <c r="K186" s="53"/>
      <c r="Z186" s="53"/>
    </row>
    <row r="187" spans="1:40" x14ac:dyDescent="0.25">
      <c r="L187" s="54"/>
      <c r="M187" s="54"/>
      <c r="AA187" s="54"/>
      <c r="AB187" s="54"/>
    </row>
    <row r="188" spans="1:40" x14ac:dyDescent="0.25">
      <c r="A188" s="53"/>
      <c r="R188" s="54"/>
      <c r="AK188" s="161"/>
      <c r="AL188" s="54"/>
    </row>
    <row r="189" spans="1:40" x14ac:dyDescent="0.25">
      <c r="A189" s="53"/>
      <c r="R189" s="54"/>
      <c r="AK189" s="161"/>
      <c r="AL189" s="54"/>
    </row>
    <row r="190" spans="1:40" x14ac:dyDescent="0.25">
      <c r="A190" s="54"/>
      <c r="R190" s="54"/>
      <c r="AK190" s="161"/>
      <c r="AL190" s="54"/>
    </row>
    <row r="191" spans="1:40" x14ac:dyDescent="0.25">
      <c r="L191" s="54"/>
      <c r="M191" s="54"/>
      <c r="R191" s="53"/>
      <c r="AA191" s="54"/>
      <c r="AB191" s="54"/>
      <c r="AK191" s="156"/>
      <c r="AL191" s="53"/>
    </row>
    <row r="192" spans="1:40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154"/>
      <c r="AH192" s="55"/>
      <c r="AI192" s="55"/>
      <c r="AJ192" s="55"/>
      <c r="AK192" s="154"/>
      <c r="AL192" s="55"/>
      <c r="AM192" s="55"/>
      <c r="AN192" s="55"/>
    </row>
    <row r="193" spans="1:40" x14ac:dyDescent="0.25">
      <c r="L193" s="56"/>
      <c r="M193" s="56"/>
      <c r="N193" s="56"/>
      <c r="O193" s="56"/>
      <c r="R193" s="56"/>
      <c r="AA193" s="56"/>
      <c r="AB193" s="56"/>
      <c r="AC193" s="56"/>
      <c r="AD193" s="56"/>
      <c r="AE193" s="56"/>
      <c r="AF193" s="56"/>
      <c r="AG193" s="155"/>
      <c r="AH193" s="56"/>
      <c r="AK193" s="155"/>
      <c r="AL193" s="56"/>
      <c r="AM193" s="56"/>
      <c r="AN193" s="56"/>
    </row>
    <row r="194" spans="1:40" x14ac:dyDescent="0.25">
      <c r="L194" s="56"/>
      <c r="M194" s="56"/>
      <c r="N194" s="56"/>
      <c r="O194" s="56"/>
      <c r="R194" s="56"/>
      <c r="Z194" s="56"/>
      <c r="AA194" s="56"/>
      <c r="AB194" s="56"/>
      <c r="AC194" s="56"/>
      <c r="AD194" s="56"/>
      <c r="AE194" s="56"/>
      <c r="AF194" s="56"/>
      <c r="AG194" s="155"/>
      <c r="AH194" s="56"/>
      <c r="AK194" s="155"/>
      <c r="AL194" s="56"/>
      <c r="AM194" s="56"/>
      <c r="AN194" s="56"/>
    </row>
    <row r="195" spans="1:40" x14ac:dyDescent="0.25">
      <c r="A195" s="56"/>
      <c r="C195" s="56"/>
      <c r="D195" s="56"/>
      <c r="E195" s="56"/>
      <c r="F195" s="56"/>
      <c r="J195" s="56"/>
      <c r="K195" s="56"/>
      <c r="L195" s="56"/>
      <c r="M195" s="56"/>
      <c r="N195" s="56"/>
      <c r="O195" s="56"/>
      <c r="P195" s="56"/>
      <c r="Q195" s="56"/>
      <c r="R195" s="56"/>
      <c r="T195" s="56"/>
      <c r="U195" s="56"/>
      <c r="V195" s="56"/>
      <c r="Z195" s="56"/>
      <c r="AA195" s="56"/>
      <c r="AB195" s="56"/>
      <c r="AC195" s="56"/>
      <c r="AD195" s="56"/>
      <c r="AE195" s="56"/>
      <c r="AF195" s="56"/>
      <c r="AG195" s="155"/>
      <c r="AH195" s="56"/>
      <c r="AI195" s="56"/>
      <c r="AJ195" s="56"/>
      <c r="AK195" s="155"/>
      <c r="AL195" s="56"/>
      <c r="AM195" s="56"/>
      <c r="AN195" s="56"/>
    </row>
    <row r="196" spans="1:40" x14ac:dyDescent="0.25">
      <c r="A196" s="56"/>
      <c r="C196" s="56"/>
      <c r="D196" s="56"/>
      <c r="E196" s="56"/>
      <c r="F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T196" s="56"/>
      <c r="U196" s="56"/>
      <c r="V196" s="56"/>
      <c r="Y196" s="56"/>
      <c r="Z196" s="56"/>
      <c r="AA196" s="56"/>
      <c r="AB196" s="56"/>
      <c r="AC196" s="56"/>
      <c r="AD196" s="56"/>
      <c r="AE196" s="56"/>
      <c r="AF196" s="56"/>
      <c r="AG196" s="155"/>
      <c r="AH196" s="56"/>
      <c r="AI196" s="56"/>
      <c r="AJ196" s="56"/>
      <c r="AK196" s="155"/>
      <c r="AL196" s="56"/>
      <c r="AM196" s="56"/>
      <c r="AN196" s="56"/>
    </row>
    <row r="197" spans="1:40" x14ac:dyDescent="0.25">
      <c r="C197" s="56"/>
      <c r="D197" s="56"/>
      <c r="E197" s="56"/>
      <c r="F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T197" s="56"/>
      <c r="U197" s="56"/>
      <c r="V197" s="56"/>
      <c r="Y197" s="56"/>
      <c r="Z197" s="56"/>
      <c r="AA197" s="56"/>
      <c r="AB197" s="56"/>
      <c r="AC197" s="56"/>
      <c r="AD197" s="56"/>
      <c r="AE197" s="56"/>
      <c r="AF197" s="56"/>
      <c r="AG197" s="155"/>
      <c r="AH197" s="56"/>
      <c r="AI197" s="56"/>
      <c r="AJ197" s="56"/>
      <c r="AK197" s="155"/>
      <c r="AL197" s="56"/>
      <c r="AM197" s="56"/>
      <c r="AN197" s="56"/>
    </row>
    <row r="198" spans="1:40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154"/>
      <c r="AH198" s="55"/>
      <c r="AI198" s="55"/>
      <c r="AJ198" s="55"/>
      <c r="AK198" s="154"/>
      <c r="AL198" s="55"/>
      <c r="AM198" s="55"/>
      <c r="AN198" s="55"/>
    </row>
    <row r="199" spans="1:40" x14ac:dyDescent="0.25"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Y199" s="56"/>
      <c r="Z199" s="56"/>
      <c r="AA199" s="56"/>
      <c r="AB199" s="56"/>
      <c r="AC199" s="56"/>
      <c r="AD199" s="56"/>
      <c r="AE199" s="56"/>
      <c r="AF199" s="56"/>
      <c r="AG199" s="155"/>
      <c r="AH199" s="56"/>
      <c r="AI199" s="56"/>
      <c r="AJ199" s="56"/>
      <c r="AK199" s="155"/>
      <c r="AL199" s="56"/>
      <c r="AM199" s="56"/>
      <c r="AN199" s="56"/>
    </row>
    <row r="200" spans="1:40" x14ac:dyDescent="0.25">
      <c r="A200" s="53"/>
      <c r="C200" s="54"/>
      <c r="D200" s="54"/>
      <c r="E200" s="54"/>
      <c r="T200" s="54"/>
      <c r="U200" s="54"/>
    </row>
    <row r="201" spans="1:40" x14ac:dyDescent="0.25">
      <c r="A201" s="53"/>
      <c r="D201" s="54"/>
      <c r="E201" s="54"/>
      <c r="U201" s="54"/>
    </row>
    <row r="203" spans="1:40" x14ac:dyDescent="0.25">
      <c r="A203" s="53"/>
      <c r="C203" s="54"/>
      <c r="F203" s="449"/>
      <c r="H203" s="449"/>
      <c r="I203" s="449"/>
      <c r="J203" s="461"/>
      <c r="K203" s="461"/>
      <c r="L203" s="379"/>
      <c r="M203" s="379"/>
      <c r="N203" s="50"/>
      <c r="O203" s="50"/>
      <c r="R203" s="379"/>
      <c r="T203" s="54"/>
      <c r="V203" s="379"/>
      <c r="Y203" s="449"/>
      <c r="Z203" s="461"/>
      <c r="AA203" s="379"/>
      <c r="AB203" s="379"/>
      <c r="AC203" s="50"/>
      <c r="AD203" s="50"/>
      <c r="AE203" s="379"/>
      <c r="AF203" s="379"/>
      <c r="AG203" s="474"/>
      <c r="AH203" s="475"/>
      <c r="AK203" s="156"/>
      <c r="AL203" s="379"/>
      <c r="AM203" s="476"/>
      <c r="AN203" s="476"/>
    </row>
    <row r="204" spans="1:40" x14ac:dyDescent="0.25">
      <c r="A204" s="53"/>
      <c r="C204" s="54"/>
      <c r="F204" s="449"/>
      <c r="H204" s="449"/>
      <c r="I204" s="449"/>
      <c r="J204" s="461"/>
      <c r="K204" s="461"/>
      <c r="L204" s="379"/>
      <c r="M204" s="379"/>
      <c r="N204" s="50"/>
      <c r="O204" s="50"/>
      <c r="P204" s="53"/>
      <c r="Q204" s="53"/>
      <c r="R204" s="379"/>
      <c r="T204" s="54"/>
      <c r="V204" s="379"/>
      <c r="Y204" s="449"/>
      <c r="Z204" s="461"/>
      <c r="AA204" s="379"/>
      <c r="AB204" s="379"/>
      <c r="AC204" s="50"/>
      <c r="AD204" s="50"/>
      <c r="AE204" s="379"/>
      <c r="AF204" s="379"/>
      <c r="AG204" s="156"/>
      <c r="AH204" s="60"/>
      <c r="AI204" s="53"/>
      <c r="AJ204" s="53"/>
      <c r="AK204" s="156"/>
      <c r="AL204" s="379"/>
      <c r="AM204" s="50"/>
      <c r="AN204" s="50"/>
    </row>
    <row r="205" spans="1:40" x14ac:dyDescent="0.25">
      <c r="F205" s="381"/>
      <c r="H205" s="379"/>
      <c r="I205" s="379"/>
      <c r="J205" s="464"/>
      <c r="K205" s="464"/>
      <c r="L205" s="381"/>
      <c r="M205" s="381"/>
      <c r="N205" s="381"/>
      <c r="O205" s="381"/>
      <c r="P205" s="381"/>
      <c r="Q205" s="381"/>
      <c r="R205" s="381"/>
      <c r="V205" s="381"/>
      <c r="Y205" s="379"/>
      <c r="Z205" s="464"/>
      <c r="AA205" s="381"/>
      <c r="AB205" s="381"/>
      <c r="AC205" s="381"/>
      <c r="AD205" s="381"/>
      <c r="AE205" s="381"/>
      <c r="AF205" s="381"/>
      <c r="AI205" s="381"/>
      <c r="AJ205" s="381"/>
      <c r="AK205" s="162"/>
      <c r="AL205" s="381"/>
      <c r="AM205" s="50"/>
      <c r="AN205" s="50"/>
    </row>
    <row r="206" spans="1:40" x14ac:dyDescent="0.25">
      <c r="A206" s="53"/>
      <c r="C206" s="54"/>
      <c r="F206" s="379"/>
      <c r="H206" s="379"/>
      <c r="I206" s="379"/>
      <c r="J206" s="464"/>
      <c r="K206" s="464"/>
      <c r="L206" s="379"/>
      <c r="M206" s="379"/>
      <c r="N206" s="50"/>
      <c r="O206" s="50"/>
      <c r="P206" s="379"/>
      <c r="Q206" s="379"/>
      <c r="R206" s="379"/>
      <c r="T206" s="54"/>
      <c r="V206" s="379"/>
      <c r="Y206" s="379"/>
      <c r="Z206" s="59"/>
      <c r="AA206" s="379"/>
      <c r="AB206" s="379"/>
      <c r="AC206" s="50"/>
      <c r="AD206" s="50"/>
      <c r="AE206" s="379"/>
      <c r="AF206" s="379"/>
      <c r="AG206" s="156"/>
      <c r="AH206" s="60"/>
      <c r="AI206" s="379"/>
      <c r="AJ206" s="379"/>
      <c r="AK206" s="156"/>
      <c r="AL206" s="379"/>
      <c r="AM206" s="50"/>
      <c r="AN206" s="50"/>
    </row>
    <row r="207" spans="1:40" x14ac:dyDescent="0.25">
      <c r="F207" s="381"/>
      <c r="H207" s="379"/>
      <c r="I207" s="379"/>
      <c r="J207" s="464"/>
      <c r="K207" s="464"/>
      <c r="L207" s="381"/>
      <c r="M207" s="381"/>
      <c r="N207" s="381"/>
      <c r="O207" s="381"/>
      <c r="P207" s="381"/>
      <c r="Q207" s="381"/>
      <c r="R207" s="381"/>
      <c r="V207" s="381"/>
      <c r="Y207" s="379"/>
      <c r="Z207" s="464"/>
      <c r="AA207" s="381"/>
      <c r="AB207" s="381"/>
      <c r="AC207" s="381"/>
      <c r="AD207" s="381"/>
      <c r="AE207" s="381"/>
      <c r="AF207" s="381"/>
      <c r="AI207" s="381"/>
      <c r="AJ207" s="381"/>
      <c r="AK207" s="162"/>
      <c r="AL207" s="381"/>
      <c r="AM207" s="50"/>
      <c r="AN207" s="50"/>
    </row>
    <row r="208" spans="1:40" x14ac:dyDescent="0.25">
      <c r="F208" s="379"/>
      <c r="H208" s="379"/>
      <c r="I208" s="379"/>
      <c r="J208" s="464"/>
      <c r="K208" s="464"/>
      <c r="L208" s="379"/>
      <c r="M208" s="379"/>
      <c r="N208" s="50"/>
      <c r="O208" s="50"/>
      <c r="P208" s="379"/>
      <c r="Q208" s="379"/>
      <c r="R208" s="379"/>
      <c r="V208" s="379"/>
      <c r="Y208" s="379"/>
      <c r="Z208" s="59"/>
      <c r="AA208" s="379"/>
      <c r="AB208" s="379"/>
      <c r="AC208" s="50"/>
      <c r="AD208" s="50"/>
      <c r="AE208" s="379"/>
      <c r="AF208" s="379"/>
      <c r="AG208" s="156"/>
      <c r="AH208" s="60"/>
      <c r="AI208" s="379"/>
      <c r="AJ208" s="379"/>
      <c r="AK208" s="156"/>
      <c r="AL208" s="379"/>
      <c r="AM208" s="50"/>
      <c r="AN208" s="50"/>
    </row>
    <row r="209" spans="1:40" x14ac:dyDescent="0.25">
      <c r="A209" s="53"/>
      <c r="C209" s="54"/>
      <c r="F209" s="449"/>
      <c r="H209" s="449"/>
      <c r="I209" s="449"/>
      <c r="J209" s="461"/>
      <c r="K209" s="461"/>
      <c r="L209" s="379"/>
      <c r="M209" s="379"/>
      <c r="N209" s="50"/>
      <c r="O209" s="50"/>
      <c r="P209" s="379"/>
      <c r="Q209" s="379"/>
      <c r="R209" s="379"/>
      <c r="T209" s="54"/>
      <c r="V209" s="449"/>
      <c r="Y209" s="379"/>
      <c r="Z209" s="461"/>
      <c r="AA209" s="379"/>
      <c r="AB209" s="379"/>
      <c r="AC209" s="50"/>
      <c r="AD209" s="50"/>
      <c r="AE209" s="379"/>
      <c r="AF209" s="379"/>
      <c r="AG209" s="474"/>
      <c r="AH209" s="475"/>
      <c r="AI209" s="379"/>
      <c r="AJ209" s="379"/>
      <c r="AK209" s="156"/>
      <c r="AL209" s="379"/>
      <c r="AM209" s="476"/>
      <c r="AN209" s="476"/>
    </row>
    <row r="210" spans="1:40" x14ac:dyDescent="0.25">
      <c r="A210" s="53"/>
      <c r="C210" s="54"/>
      <c r="F210" s="449"/>
      <c r="H210" s="449"/>
      <c r="I210" s="449"/>
      <c r="J210" s="461"/>
      <c r="K210" s="461"/>
      <c r="L210" s="379"/>
      <c r="M210" s="379"/>
      <c r="N210" s="50"/>
      <c r="O210" s="50"/>
      <c r="P210" s="379"/>
      <c r="Q210" s="379"/>
      <c r="R210" s="379"/>
      <c r="T210" s="54"/>
      <c r="V210" s="449"/>
      <c r="Y210" s="379"/>
      <c r="Z210" s="461"/>
      <c r="AA210" s="379"/>
      <c r="AB210" s="379"/>
      <c r="AC210" s="50"/>
      <c r="AD210" s="50"/>
      <c r="AE210" s="379"/>
      <c r="AF210" s="379"/>
      <c r="AG210" s="156"/>
      <c r="AH210" s="60"/>
      <c r="AI210" s="379"/>
      <c r="AJ210" s="379"/>
      <c r="AK210" s="156"/>
      <c r="AL210" s="379"/>
      <c r="AM210" s="50"/>
      <c r="AN210" s="50"/>
    </row>
    <row r="211" spans="1:40" x14ac:dyDescent="0.25">
      <c r="F211" s="379"/>
      <c r="H211" s="381"/>
      <c r="I211" s="381"/>
      <c r="J211" s="464"/>
      <c r="K211" s="464"/>
      <c r="L211" s="381"/>
      <c r="M211" s="381"/>
      <c r="N211" s="381"/>
      <c r="O211" s="381"/>
      <c r="P211" s="381"/>
      <c r="Q211" s="381"/>
      <c r="R211" s="381"/>
      <c r="V211" s="379"/>
      <c r="Y211" s="381"/>
      <c r="Z211" s="464"/>
      <c r="AA211" s="381"/>
      <c r="AB211" s="381"/>
      <c r="AC211" s="381"/>
      <c r="AD211" s="381"/>
      <c r="AE211" s="381"/>
      <c r="AF211" s="381"/>
      <c r="AI211" s="381"/>
      <c r="AJ211" s="381"/>
      <c r="AK211" s="162"/>
      <c r="AL211" s="381"/>
      <c r="AM211" s="50"/>
      <c r="AN211" s="50"/>
    </row>
    <row r="212" spans="1:40" x14ac:dyDescent="0.25">
      <c r="A212" s="53"/>
      <c r="C212" s="54"/>
      <c r="F212" s="379"/>
      <c r="H212" s="379"/>
      <c r="I212" s="379"/>
      <c r="J212" s="464"/>
      <c r="K212" s="464"/>
      <c r="L212" s="379"/>
      <c r="M212" s="379"/>
      <c r="N212" s="50"/>
      <c r="O212" s="50"/>
      <c r="P212" s="379"/>
      <c r="Q212" s="379"/>
      <c r="R212" s="379"/>
      <c r="T212" s="54"/>
      <c r="V212" s="379"/>
      <c r="Y212" s="379"/>
      <c r="Z212" s="464"/>
      <c r="AA212" s="379"/>
      <c r="AB212" s="379"/>
      <c r="AC212" s="50"/>
      <c r="AD212" s="50"/>
      <c r="AE212" s="379"/>
      <c r="AF212" s="379"/>
      <c r="AG212" s="156"/>
      <c r="AH212" s="60"/>
      <c r="AI212" s="379"/>
      <c r="AJ212" s="379"/>
      <c r="AK212" s="156"/>
      <c r="AL212" s="379"/>
      <c r="AM212" s="50"/>
      <c r="AN212" s="50"/>
    </row>
    <row r="213" spans="1:40" x14ac:dyDescent="0.25">
      <c r="F213" s="379"/>
      <c r="H213" s="381"/>
      <c r="I213" s="381"/>
      <c r="J213" s="464"/>
      <c r="K213" s="464"/>
      <c r="L213" s="381"/>
      <c r="M213" s="381"/>
      <c r="N213" s="381"/>
      <c r="O213" s="381"/>
      <c r="P213" s="381"/>
      <c r="Q213" s="381"/>
      <c r="R213" s="381"/>
      <c r="V213" s="379"/>
      <c r="Y213" s="381"/>
      <c r="Z213" s="464"/>
      <c r="AA213" s="381"/>
      <c r="AB213" s="381"/>
      <c r="AC213" s="381"/>
      <c r="AD213" s="381"/>
      <c r="AE213" s="381"/>
      <c r="AF213" s="381"/>
      <c r="AI213" s="381"/>
      <c r="AJ213" s="381"/>
      <c r="AK213" s="162"/>
      <c r="AL213" s="381"/>
      <c r="AM213" s="50"/>
      <c r="AN213" s="50"/>
    </row>
    <row r="214" spans="1:40" x14ac:dyDescent="0.25">
      <c r="F214" s="379"/>
      <c r="H214" s="379"/>
      <c r="I214" s="379"/>
      <c r="J214" s="464"/>
      <c r="K214" s="464"/>
      <c r="L214" s="379"/>
      <c r="M214" s="379"/>
      <c r="N214" s="379"/>
      <c r="O214" s="379"/>
      <c r="P214" s="379"/>
      <c r="Q214" s="379"/>
      <c r="R214" s="379"/>
      <c r="V214" s="379"/>
      <c r="Y214" s="379"/>
      <c r="Z214" s="464"/>
      <c r="AA214" s="379"/>
      <c r="AB214" s="379"/>
      <c r="AC214" s="379"/>
      <c r="AD214" s="379"/>
      <c r="AE214" s="379"/>
      <c r="AF214" s="379"/>
      <c r="AG214" s="156"/>
      <c r="AH214" s="60"/>
      <c r="AI214" s="379"/>
      <c r="AJ214" s="379"/>
      <c r="AK214" s="156"/>
      <c r="AL214" s="379"/>
      <c r="AM214" s="50"/>
      <c r="AN214" s="50"/>
    </row>
    <row r="215" spans="1:40" x14ac:dyDescent="0.25">
      <c r="A215" s="53"/>
      <c r="C215" s="54"/>
      <c r="F215" s="449"/>
      <c r="H215" s="449"/>
      <c r="I215" s="449"/>
      <c r="J215" s="472"/>
      <c r="K215" s="472"/>
      <c r="L215" s="379"/>
      <c r="M215" s="379"/>
      <c r="N215" s="50"/>
      <c r="O215" s="50"/>
      <c r="P215" s="449"/>
      <c r="Q215" s="449"/>
      <c r="R215" s="379"/>
      <c r="T215" s="54"/>
      <c r="V215" s="449"/>
      <c r="Y215" s="449"/>
      <c r="Z215" s="477"/>
      <c r="AA215" s="379"/>
      <c r="AB215" s="379"/>
      <c r="AC215" s="50"/>
      <c r="AD215" s="50"/>
      <c r="AE215" s="379"/>
      <c r="AF215" s="379"/>
      <c r="AG215" s="156"/>
      <c r="AH215" s="60"/>
      <c r="AI215" s="449"/>
      <c r="AJ215" s="449"/>
      <c r="AK215" s="156"/>
      <c r="AL215" s="379"/>
      <c r="AM215" s="50"/>
      <c r="AN215" s="50"/>
    </row>
    <row r="216" spans="1:40" x14ac:dyDescent="0.25">
      <c r="A216" s="53"/>
      <c r="C216" s="54"/>
      <c r="F216" s="449"/>
      <c r="H216" s="449"/>
      <c r="I216" s="449"/>
      <c r="J216" s="472"/>
      <c r="K216" s="472"/>
      <c r="L216" s="379"/>
      <c r="M216" s="379"/>
      <c r="N216" s="50"/>
      <c r="O216" s="50"/>
      <c r="P216" s="449"/>
      <c r="Q216" s="449"/>
      <c r="R216" s="379"/>
      <c r="T216" s="54"/>
      <c r="V216" s="449"/>
      <c r="Y216" s="379"/>
      <c r="Z216" s="463"/>
      <c r="AA216" s="379"/>
      <c r="AB216" s="379"/>
      <c r="AC216" s="50"/>
      <c r="AD216" s="50"/>
      <c r="AE216" s="379"/>
      <c r="AF216" s="379"/>
      <c r="AG216" s="156"/>
      <c r="AH216" s="60"/>
      <c r="AI216" s="449"/>
      <c r="AJ216" s="449"/>
      <c r="AK216" s="156"/>
      <c r="AL216" s="379"/>
      <c r="AM216" s="50"/>
      <c r="AN216" s="50"/>
    </row>
    <row r="217" spans="1:40" x14ac:dyDescent="0.25">
      <c r="A217" s="53"/>
      <c r="C217" s="54"/>
      <c r="F217" s="449"/>
      <c r="H217" s="449"/>
      <c r="I217" s="449"/>
      <c r="J217" s="472"/>
      <c r="K217" s="472"/>
      <c r="L217" s="379"/>
      <c r="M217" s="379"/>
      <c r="N217" s="50"/>
      <c r="O217" s="50"/>
      <c r="P217" s="449"/>
      <c r="Q217" s="449"/>
      <c r="R217" s="379"/>
      <c r="T217" s="54"/>
      <c r="V217" s="449"/>
      <c r="Y217" s="379"/>
      <c r="Z217" s="463"/>
      <c r="AA217" s="379"/>
      <c r="AB217" s="379"/>
      <c r="AC217" s="50"/>
      <c r="AD217" s="50"/>
      <c r="AE217" s="379"/>
      <c r="AF217" s="379"/>
      <c r="AG217" s="156"/>
      <c r="AH217" s="60"/>
      <c r="AI217" s="449"/>
      <c r="AJ217" s="449"/>
      <c r="AK217" s="156"/>
      <c r="AL217" s="379"/>
      <c r="AM217" s="50"/>
      <c r="AN217" s="50"/>
    </row>
    <row r="218" spans="1:40" x14ac:dyDescent="0.25">
      <c r="F218" s="381"/>
      <c r="H218" s="381"/>
      <c r="I218" s="381"/>
      <c r="J218" s="464"/>
      <c r="K218" s="464"/>
      <c r="L218" s="381"/>
      <c r="M218" s="381"/>
      <c r="N218" s="381"/>
      <c r="O218" s="381"/>
      <c r="P218" s="381"/>
      <c r="Q218" s="381"/>
      <c r="R218" s="381"/>
      <c r="V218" s="381"/>
      <c r="Y218" s="381"/>
      <c r="Z218" s="464"/>
      <c r="AA218" s="381"/>
      <c r="AB218" s="381"/>
      <c r="AC218" s="381"/>
      <c r="AD218" s="381"/>
      <c r="AE218" s="381"/>
      <c r="AF218" s="381"/>
      <c r="AI218" s="381"/>
      <c r="AJ218" s="381"/>
      <c r="AK218" s="162"/>
      <c r="AL218" s="381"/>
      <c r="AM218" s="50"/>
      <c r="AN218" s="50"/>
    </row>
    <row r="219" spans="1:40" x14ac:dyDescent="0.25">
      <c r="A219" s="53"/>
      <c r="C219" s="54"/>
      <c r="F219" s="379"/>
      <c r="H219" s="379"/>
      <c r="I219" s="379"/>
      <c r="J219" s="59"/>
      <c r="K219" s="59"/>
      <c r="L219" s="379"/>
      <c r="M219" s="379"/>
      <c r="N219" s="50"/>
      <c r="O219" s="50"/>
      <c r="P219" s="379"/>
      <c r="Q219" s="379"/>
      <c r="R219" s="379"/>
      <c r="T219" s="54"/>
      <c r="V219" s="379"/>
      <c r="Y219" s="379"/>
      <c r="Z219" s="59"/>
      <c r="AA219" s="379"/>
      <c r="AB219" s="379"/>
      <c r="AC219" s="50"/>
      <c r="AD219" s="50"/>
      <c r="AE219" s="379"/>
      <c r="AF219" s="379"/>
      <c r="AG219" s="156"/>
      <c r="AH219" s="60"/>
      <c r="AI219" s="379"/>
      <c r="AJ219" s="379"/>
      <c r="AK219" s="156"/>
      <c r="AL219" s="379"/>
      <c r="AM219" s="50"/>
      <c r="AN219" s="50"/>
    </row>
    <row r="220" spans="1:40" x14ac:dyDescent="0.25">
      <c r="F220" s="381"/>
      <c r="H220" s="381"/>
      <c r="I220" s="381"/>
      <c r="J220" s="464"/>
      <c r="K220" s="464"/>
      <c r="L220" s="381"/>
      <c r="M220" s="381"/>
      <c r="N220" s="381"/>
      <c r="O220" s="381"/>
      <c r="P220" s="381"/>
      <c r="Q220" s="381"/>
      <c r="R220" s="381"/>
      <c r="V220" s="381"/>
      <c r="Y220" s="381"/>
      <c r="Z220" s="464"/>
      <c r="AA220" s="381"/>
      <c r="AB220" s="381"/>
      <c r="AC220" s="381"/>
      <c r="AD220" s="381"/>
      <c r="AE220" s="381"/>
      <c r="AF220" s="381"/>
      <c r="AI220" s="381"/>
      <c r="AJ220" s="381"/>
      <c r="AK220" s="162"/>
      <c r="AL220" s="381"/>
      <c r="AM220" s="50"/>
      <c r="AN220" s="50"/>
    </row>
    <row r="221" spans="1:40" x14ac:dyDescent="0.25">
      <c r="A221" s="53"/>
      <c r="C221" s="54"/>
      <c r="F221" s="379"/>
      <c r="H221" s="379"/>
      <c r="I221" s="379"/>
      <c r="J221" s="59"/>
      <c r="K221" s="59"/>
      <c r="L221" s="379"/>
      <c r="M221" s="379"/>
      <c r="N221" s="50"/>
      <c r="O221" s="50"/>
      <c r="P221" s="379"/>
      <c r="Q221" s="379"/>
      <c r="R221" s="379"/>
      <c r="T221" s="54"/>
      <c r="V221" s="379"/>
      <c r="Y221" s="379"/>
      <c r="Z221" s="59"/>
      <c r="AA221" s="379"/>
      <c r="AB221" s="379"/>
      <c r="AC221" s="50"/>
      <c r="AD221" s="50"/>
      <c r="AE221" s="379"/>
      <c r="AF221" s="379"/>
      <c r="AG221" s="156"/>
      <c r="AH221" s="60"/>
      <c r="AI221" s="379"/>
      <c r="AJ221" s="379"/>
      <c r="AK221" s="156"/>
      <c r="AL221" s="379"/>
      <c r="AM221" s="50"/>
      <c r="AN221" s="50"/>
    </row>
    <row r="222" spans="1:40" x14ac:dyDescent="0.25">
      <c r="A222" s="53"/>
      <c r="C222" s="54"/>
      <c r="F222" s="379"/>
      <c r="H222" s="379"/>
      <c r="I222" s="379"/>
      <c r="J222" s="59"/>
      <c r="K222" s="59"/>
      <c r="L222" s="379"/>
      <c r="M222" s="379"/>
      <c r="N222" s="50"/>
      <c r="O222" s="50"/>
      <c r="P222" s="379"/>
      <c r="Q222" s="379"/>
      <c r="R222" s="379"/>
      <c r="T222" s="54"/>
      <c r="V222" s="379"/>
      <c r="Y222" s="379"/>
      <c r="Z222" s="59"/>
      <c r="AA222" s="379"/>
      <c r="AB222" s="379"/>
      <c r="AC222" s="50"/>
      <c r="AD222" s="50"/>
      <c r="AE222" s="379"/>
      <c r="AF222" s="379"/>
      <c r="AG222" s="156"/>
      <c r="AH222" s="60"/>
      <c r="AI222" s="379"/>
      <c r="AJ222" s="379"/>
      <c r="AK222" s="156"/>
      <c r="AL222" s="379"/>
      <c r="AM222" s="50"/>
      <c r="AN222" s="50"/>
    </row>
    <row r="223" spans="1:40" x14ac:dyDescent="0.25">
      <c r="F223" s="381"/>
      <c r="H223" s="381"/>
      <c r="I223" s="381"/>
      <c r="J223" s="464"/>
      <c r="K223" s="464"/>
      <c r="L223" s="381"/>
      <c r="M223" s="381"/>
      <c r="N223" s="381"/>
      <c r="O223" s="381"/>
      <c r="P223" s="381"/>
      <c r="Q223" s="381"/>
      <c r="R223" s="381"/>
      <c r="V223" s="381"/>
      <c r="Y223" s="381"/>
      <c r="Z223" s="464"/>
      <c r="AA223" s="381"/>
      <c r="AB223" s="381"/>
      <c r="AC223" s="381"/>
      <c r="AD223" s="381"/>
      <c r="AE223" s="381"/>
      <c r="AF223" s="381"/>
      <c r="AI223" s="381"/>
      <c r="AJ223" s="381"/>
      <c r="AK223" s="162"/>
      <c r="AL223" s="381"/>
      <c r="AM223" s="379"/>
      <c r="AN223" s="379"/>
    </row>
    <row r="224" spans="1:40" x14ac:dyDescent="0.25">
      <c r="F224" s="379"/>
      <c r="H224" s="379"/>
      <c r="I224" s="379"/>
      <c r="J224" s="59"/>
      <c r="K224" s="59"/>
      <c r="L224" s="379"/>
      <c r="M224" s="379"/>
      <c r="N224" s="379"/>
      <c r="O224" s="379"/>
      <c r="P224" s="379"/>
      <c r="Q224" s="379"/>
      <c r="R224" s="379"/>
      <c r="V224" s="379"/>
      <c r="Y224" s="379"/>
      <c r="Z224" s="59"/>
      <c r="AA224" s="379"/>
      <c r="AB224" s="379"/>
      <c r="AC224" s="379"/>
      <c r="AD224" s="379"/>
    </row>
    <row r="225" spans="1:40" x14ac:dyDescent="0.25">
      <c r="C225" s="54"/>
      <c r="F225" s="379"/>
      <c r="H225" s="379"/>
      <c r="I225" s="379"/>
      <c r="J225" s="59"/>
      <c r="K225" s="59"/>
      <c r="L225" s="379"/>
      <c r="M225" s="379"/>
      <c r="N225" s="379"/>
      <c r="O225" s="379"/>
      <c r="P225" s="379"/>
      <c r="Q225" s="379"/>
      <c r="R225" s="379"/>
      <c r="T225" s="54"/>
      <c r="V225" s="379"/>
      <c r="Y225" s="379"/>
      <c r="Z225" s="59"/>
      <c r="AA225" s="379"/>
      <c r="AB225" s="379"/>
      <c r="AC225" s="379"/>
      <c r="AD225" s="379"/>
    </row>
    <row r="226" spans="1:40" x14ac:dyDescent="0.25">
      <c r="A226" s="54"/>
    </row>
    <row r="227" spans="1:40" x14ac:dyDescent="0.25">
      <c r="J227" s="53"/>
      <c r="K227" s="53"/>
      <c r="Z227" s="53"/>
    </row>
    <row r="228" spans="1:40" x14ac:dyDescent="0.25">
      <c r="H228" s="54"/>
      <c r="I228" s="54"/>
      <c r="Y228" s="54"/>
    </row>
    <row r="229" spans="1:40" x14ac:dyDescent="0.25">
      <c r="J229" s="53"/>
      <c r="K229" s="53"/>
      <c r="Z229" s="53"/>
    </row>
    <row r="230" spans="1:40" x14ac:dyDescent="0.25">
      <c r="L230" s="54"/>
      <c r="M230" s="54"/>
      <c r="AA230" s="54"/>
      <c r="AB230" s="54"/>
    </row>
    <row r="231" spans="1:40" x14ac:dyDescent="0.25">
      <c r="A231" s="53"/>
      <c r="R231" s="54"/>
      <c r="AK231" s="161"/>
      <c r="AL231" s="54"/>
    </row>
    <row r="232" spans="1:40" x14ac:dyDescent="0.25">
      <c r="A232" s="53"/>
      <c r="R232" s="54"/>
      <c r="AK232" s="161"/>
      <c r="AL232" s="54"/>
    </row>
    <row r="233" spans="1:40" x14ac:dyDescent="0.25">
      <c r="A233" s="54"/>
      <c r="R233" s="54"/>
      <c r="AK233" s="161"/>
      <c r="AL233" s="54"/>
    </row>
    <row r="234" spans="1:40" x14ac:dyDescent="0.25">
      <c r="L234" s="54"/>
      <c r="M234" s="54"/>
      <c r="R234" s="53"/>
      <c r="AA234" s="54"/>
      <c r="AB234" s="54"/>
      <c r="AK234" s="156"/>
      <c r="AL234" s="53"/>
    </row>
    <row r="235" spans="1:40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154"/>
      <c r="AH235" s="55"/>
      <c r="AI235" s="55"/>
      <c r="AJ235" s="55"/>
      <c r="AK235" s="154"/>
      <c r="AL235" s="55"/>
      <c r="AM235" s="55"/>
      <c r="AN235" s="55"/>
    </row>
    <row r="236" spans="1:40" x14ac:dyDescent="0.25">
      <c r="L236" s="56"/>
      <c r="M236" s="56"/>
      <c r="N236" s="56"/>
      <c r="O236" s="56"/>
      <c r="R236" s="56"/>
      <c r="AA236" s="56"/>
      <c r="AB236" s="56"/>
      <c r="AC236" s="56"/>
      <c r="AD236" s="56"/>
      <c r="AE236" s="56"/>
      <c r="AF236" s="56"/>
      <c r="AG236" s="155"/>
      <c r="AH236" s="56"/>
      <c r="AK236" s="155"/>
      <c r="AL236" s="56"/>
      <c r="AM236" s="56"/>
      <c r="AN236" s="56"/>
    </row>
    <row r="237" spans="1:40" x14ac:dyDescent="0.25">
      <c r="L237" s="56"/>
      <c r="M237" s="56"/>
      <c r="N237" s="56"/>
      <c r="O237" s="56"/>
      <c r="R237" s="56"/>
      <c r="Z237" s="56"/>
      <c r="AA237" s="56"/>
      <c r="AB237" s="56"/>
      <c r="AC237" s="56"/>
      <c r="AD237" s="56"/>
      <c r="AE237" s="56"/>
      <c r="AF237" s="56"/>
      <c r="AG237" s="155"/>
      <c r="AH237" s="56"/>
      <c r="AK237" s="155"/>
      <c r="AL237" s="56"/>
      <c r="AM237" s="56"/>
      <c r="AN237" s="56"/>
    </row>
    <row r="238" spans="1:40" x14ac:dyDescent="0.25">
      <c r="A238" s="56"/>
      <c r="C238" s="56"/>
      <c r="D238" s="56"/>
      <c r="E238" s="56"/>
      <c r="F238" s="56"/>
      <c r="J238" s="56"/>
      <c r="K238" s="56"/>
      <c r="L238" s="56"/>
      <c r="M238" s="56"/>
      <c r="N238" s="56"/>
      <c r="O238" s="56"/>
      <c r="P238" s="56"/>
      <c r="Q238" s="56"/>
      <c r="R238" s="56"/>
      <c r="T238" s="56"/>
      <c r="U238" s="56"/>
      <c r="V238" s="56"/>
      <c r="Z238" s="56"/>
      <c r="AA238" s="56"/>
      <c r="AB238" s="56"/>
      <c r="AC238" s="56"/>
      <c r="AD238" s="56"/>
      <c r="AE238" s="56"/>
      <c r="AF238" s="56"/>
      <c r="AG238" s="155"/>
      <c r="AH238" s="56"/>
      <c r="AI238" s="56"/>
      <c r="AJ238" s="56"/>
      <c r="AK238" s="155"/>
      <c r="AL238" s="56"/>
      <c r="AM238" s="56"/>
      <c r="AN238" s="56"/>
    </row>
    <row r="239" spans="1:40" x14ac:dyDescent="0.25">
      <c r="A239" s="56"/>
      <c r="C239" s="56"/>
      <c r="D239" s="56"/>
      <c r="E239" s="56"/>
      <c r="F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T239" s="56"/>
      <c r="U239" s="56"/>
      <c r="V239" s="56"/>
      <c r="Y239" s="56"/>
      <c r="Z239" s="56"/>
      <c r="AA239" s="56"/>
      <c r="AB239" s="56"/>
      <c r="AC239" s="56"/>
      <c r="AD239" s="56"/>
      <c r="AE239" s="56"/>
      <c r="AF239" s="56"/>
      <c r="AG239" s="155"/>
      <c r="AH239" s="56"/>
      <c r="AI239" s="56"/>
      <c r="AJ239" s="56"/>
      <c r="AK239" s="155"/>
      <c r="AL239" s="56"/>
      <c r="AM239" s="56"/>
      <c r="AN239" s="56"/>
    </row>
    <row r="240" spans="1:40" x14ac:dyDescent="0.25">
      <c r="C240" s="56"/>
      <c r="D240" s="56"/>
      <c r="E240" s="56"/>
      <c r="F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T240" s="56"/>
      <c r="U240" s="56"/>
      <c r="V240" s="56"/>
      <c r="Y240" s="56"/>
      <c r="Z240" s="56"/>
      <c r="AA240" s="56"/>
      <c r="AB240" s="56"/>
      <c r="AC240" s="56"/>
      <c r="AD240" s="56"/>
      <c r="AE240" s="56"/>
      <c r="AF240" s="56"/>
      <c r="AG240" s="155"/>
      <c r="AH240" s="56"/>
      <c r="AI240" s="56"/>
      <c r="AJ240" s="56"/>
      <c r="AK240" s="155"/>
      <c r="AL240" s="56"/>
      <c r="AM240" s="56"/>
      <c r="AN240" s="56"/>
    </row>
    <row r="241" spans="1:40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154"/>
      <c r="AH241" s="55"/>
      <c r="AI241" s="55"/>
      <c r="AJ241" s="55"/>
      <c r="AK241" s="154"/>
      <c r="AL241" s="55"/>
      <c r="AM241" s="55"/>
      <c r="AN241" s="55"/>
    </row>
    <row r="242" spans="1:40" x14ac:dyDescent="0.25"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Y242" s="56"/>
      <c r="Z242" s="56"/>
      <c r="AA242" s="56"/>
      <c r="AB242" s="56"/>
      <c r="AC242" s="56"/>
      <c r="AD242" s="56"/>
      <c r="AE242" s="56"/>
      <c r="AF242" s="56"/>
      <c r="AG242" s="155"/>
      <c r="AH242" s="56"/>
      <c r="AI242" s="56"/>
      <c r="AJ242" s="56"/>
      <c r="AK242" s="155"/>
      <c r="AL242" s="56"/>
      <c r="AM242" s="56"/>
      <c r="AN242" s="56"/>
    </row>
    <row r="243" spans="1:40" x14ac:dyDescent="0.25">
      <c r="A243" s="53"/>
      <c r="C243" s="54"/>
      <c r="D243" s="54"/>
      <c r="E243" s="54"/>
      <c r="T243" s="54"/>
      <c r="U243" s="54"/>
    </row>
    <row r="245" spans="1:40" x14ac:dyDescent="0.25">
      <c r="A245" s="53"/>
      <c r="C245" s="54"/>
      <c r="F245" s="449"/>
      <c r="H245" s="470"/>
      <c r="I245" s="470"/>
      <c r="J245" s="461"/>
      <c r="K245" s="461"/>
      <c r="L245" s="379"/>
      <c r="M245" s="379"/>
      <c r="N245" s="53"/>
      <c r="O245" s="53"/>
      <c r="P245" s="53"/>
      <c r="Q245" s="53"/>
      <c r="R245" s="379"/>
      <c r="T245" s="54"/>
      <c r="V245" s="379"/>
      <c r="Y245" s="53"/>
      <c r="Z245" s="461"/>
      <c r="AA245" s="379"/>
      <c r="AB245" s="379"/>
      <c r="AC245" s="53"/>
      <c r="AD245" s="53"/>
      <c r="AE245" s="379"/>
      <c r="AF245" s="379"/>
      <c r="AG245" s="474"/>
      <c r="AH245" s="475"/>
      <c r="AI245" s="379"/>
      <c r="AJ245" s="379"/>
      <c r="AK245" s="156"/>
      <c r="AL245" s="379"/>
      <c r="AM245" s="476"/>
      <c r="AN245" s="476"/>
    </row>
    <row r="246" spans="1:40" x14ac:dyDescent="0.25">
      <c r="F246" s="449"/>
      <c r="H246" s="470"/>
      <c r="I246" s="470"/>
      <c r="J246" s="470"/>
      <c r="K246" s="470"/>
      <c r="R246" s="379"/>
      <c r="V246" s="379"/>
      <c r="Z246" s="470"/>
    </row>
    <row r="247" spans="1:40" x14ac:dyDescent="0.25">
      <c r="A247" s="53"/>
      <c r="C247" s="54"/>
      <c r="F247" s="449"/>
      <c r="H247" s="449"/>
      <c r="I247" s="449"/>
      <c r="J247" s="472"/>
      <c r="K247" s="472"/>
      <c r="L247" s="379"/>
      <c r="M247" s="379"/>
      <c r="N247" s="50"/>
      <c r="O247" s="50"/>
      <c r="P247" s="449"/>
      <c r="Q247" s="449"/>
      <c r="R247" s="379"/>
      <c r="T247" s="54"/>
      <c r="V247" s="379"/>
      <c r="Y247" s="379"/>
      <c r="Z247" s="463"/>
      <c r="AA247" s="379"/>
      <c r="AB247" s="379"/>
      <c r="AC247" s="50"/>
      <c r="AD247" s="50"/>
      <c r="AE247" s="379"/>
      <c r="AF247" s="379"/>
      <c r="AG247" s="156"/>
      <c r="AH247" s="60"/>
      <c r="AI247" s="449"/>
      <c r="AJ247" s="449"/>
      <c r="AK247" s="156"/>
      <c r="AL247" s="379"/>
      <c r="AM247" s="50"/>
      <c r="AN247" s="50"/>
    </row>
    <row r="248" spans="1:40" x14ac:dyDescent="0.25">
      <c r="F248" s="381"/>
      <c r="H248" s="381"/>
      <c r="I248" s="381"/>
      <c r="J248" s="464"/>
      <c r="K248" s="464"/>
      <c r="L248" s="381"/>
      <c r="M248" s="381"/>
      <c r="N248" s="381"/>
      <c r="O248" s="381"/>
      <c r="P248" s="381"/>
      <c r="Q248" s="381"/>
      <c r="R248" s="381"/>
      <c r="V248" s="381"/>
      <c r="Y248" s="381"/>
      <c r="Z248" s="464"/>
      <c r="AA248" s="381"/>
      <c r="AB248" s="381"/>
      <c r="AC248" s="381"/>
      <c r="AD248" s="381"/>
      <c r="AE248" s="381"/>
      <c r="AF248" s="381"/>
      <c r="AI248" s="381"/>
      <c r="AJ248" s="381"/>
      <c r="AK248" s="162"/>
      <c r="AL248" s="381"/>
    </row>
    <row r="249" spans="1:40" x14ac:dyDescent="0.25">
      <c r="A249" s="53"/>
      <c r="D249" s="54"/>
      <c r="E249" s="54"/>
      <c r="F249" s="379"/>
      <c r="H249" s="379"/>
      <c r="I249" s="379"/>
      <c r="J249" s="59"/>
      <c r="K249" s="59"/>
      <c r="L249" s="379"/>
      <c r="M249" s="379"/>
      <c r="N249" s="50"/>
      <c r="O249" s="50"/>
      <c r="P249" s="379"/>
      <c r="Q249" s="379"/>
      <c r="R249" s="379"/>
      <c r="U249" s="54"/>
      <c r="V249" s="379"/>
      <c r="Y249" s="379"/>
      <c r="Z249" s="59"/>
      <c r="AA249" s="379"/>
      <c r="AB249" s="379"/>
      <c r="AC249" s="50"/>
      <c r="AD249" s="50"/>
      <c r="AE249" s="379"/>
      <c r="AF249" s="379"/>
      <c r="AG249" s="156"/>
      <c r="AH249" s="60"/>
      <c r="AI249" s="379"/>
      <c r="AJ249" s="379"/>
      <c r="AK249" s="156"/>
      <c r="AL249" s="379"/>
      <c r="AM249" s="50"/>
      <c r="AN249" s="50"/>
    </row>
    <row r="250" spans="1:40" x14ac:dyDescent="0.25">
      <c r="F250" s="381"/>
      <c r="H250" s="381"/>
      <c r="I250" s="381"/>
      <c r="J250" s="464"/>
      <c r="K250" s="464"/>
      <c r="L250" s="381"/>
      <c r="M250" s="381"/>
      <c r="N250" s="381"/>
      <c r="O250" s="381"/>
      <c r="P250" s="381"/>
      <c r="Q250" s="381"/>
      <c r="R250" s="381"/>
      <c r="V250" s="381"/>
      <c r="Y250" s="381"/>
      <c r="Z250" s="464"/>
      <c r="AA250" s="381"/>
      <c r="AB250" s="381"/>
      <c r="AC250" s="381"/>
      <c r="AD250" s="381"/>
      <c r="AE250" s="381"/>
      <c r="AF250" s="381"/>
      <c r="AI250" s="381"/>
      <c r="AJ250" s="381"/>
      <c r="AK250" s="162"/>
      <c r="AL250" s="381"/>
    </row>
    <row r="251" spans="1:40" x14ac:dyDescent="0.25">
      <c r="R251" s="379"/>
    </row>
    <row r="252" spans="1:40" x14ac:dyDescent="0.25">
      <c r="R252" s="379"/>
    </row>
    <row r="253" spans="1:40" x14ac:dyDescent="0.25">
      <c r="R253" s="379"/>
    </row>
    <row r="254" spans="1:40" x14ac:dyDescent="0.25">
      <c r="A254" s="53"/>
      <c r="C254" s="54"/>
      <c r="D254" s="54"/>
      <c r="E254" s="54"/>
      <c r="H254" s="379"/>
      <c r="I254" s="379"/>
      <c r="J254" s="59"/>
      <c r="K254" s="59"/>
      <c r="L254" s="379"/>
      <c r="M254" s="379"/>
      <c r="N254" s="50"/>
      <c r="O254" s="50"/>
      <c r="P254" s="379"/>
      <c r="Q254" s="379"/>
      <c r="R254" s="379"/>
      <c r="T254" s="54"/>
      <c r="U254" s="54"/>
      <c r="Y254" s="379"/>
      <c r="Z254" s="59"/>
      <c r="AA254" s="379"/>
      <c r="AB254" s="379"/>
      <c r="AC254" s="50"/>
      <c r="AD254" s="50"/>
    </row>
    <row r="255" spans="1:40" x14ac:dyDescent="0.25">
      <c r="H255" s="379"/>
      <c r="I255" s="379"/>
      <c r="J255" s="59"/>
      <c r="K255" s="59"/>
      <c r="L255" s="379"/>
      <c r="M255" s="379"/>
      <c r="N255" s="50"/>
      <c r="O255" s="50"/>
      <c r="P255" s="379"/>
      <c r="Q255" s="379"/>
      <c r="R255" s="379"/>
      <c r="Y255" s="379"/>
      <c r="Z255" s="59"/>
      <c r="AA255" s="379"/>
      <c r="AB255" s="379"/>
      <c r="AC255" s="50"/>
      <c r="AD255" s="50"/>
    </row>
    <row r="256" spans="1:40" x14ac:dyDescent="0.25">
      <c r="A256" s="53"/>
      <c r="C256" s="54"/>
      <c r="F256" s="449"/>
      <c r="H256" s="449"/>
      <c r="I256" s="449"/>
      <c r="J256" s="61"/>
      <c r="K256" s="61"/>
      <c r="L256" s="449"/>
      <c r="M256" s="449"/>
      <c r="N256" s="50"/>
      <c r="O256" s="50"/>
      <c r="P256" s="379"/>
      <c r="Q256" s="379"/>
      <c r="R256" s="379"/>
      <c r="T256" s="54"/>
      <c r="V256" s="379"/>
      <c r="Y256" s="379"/>
      <c r="Z256" s="61"/>
      <c r="AA256" s="379"/>
      <c r="AB256" s="379"/>
      <c r="AC256" s="50"/>
      <c r="AD256" s="50"/>
      <c r="AE256" s="379"/>
      <c r="AF256" s="379"/>
      <c r="AG256" s="156"/>
      <c r="AH256" s="60"/>
      <c r="AI256" s="379"/>
      <c r="AJ256" s="379"/>
      <c r="AK256" s="156"/>
      <c r="AL256" s="379"/>
      <c r="AM256" s="50"/>
      <c r="AN256" s="50"/>
    </row>
    <row r="257" spans="1:40" x14ac:dyDescent="0.25">
      <c r="F257" s="449"/>
      <c r="H257" s="470"/>
      <c r="I257" s="470"/>
      <c r="J257" s="470"/>
      <c r="K257" s="470"/>
      <c r="R257" s="379"/>
      <c r="V257" s="379"/>
      <c r="Z257" s="470"/>
    </row>
    <row r="258" spans="1:40" x14ac:dyDescent="0.25">
      <c r="A258" s="53"/>
      <c r="C258" s="54"/>
      <c r="F258" s="449"/>
      <c r="H258" s="449"/>
      <c r="I258" s="449"/>
      <c r="J258" s="461"/>
      <c r="K258" s="461"/>
      <c r="L258" s="379"/>
      <c r="M258" s="379"/>
      <c r="N258" s="50"/>
      <c r="O258" s="50"/>
      <c r="P258" s="379"/>
      <c r="Q258" s="379"/>
      <c r="R258" s="379"/>
      <c r="T258" s="54"/>
      <c r="V258" s="379"/>
      <c r="Y258" s="379"/>
      <c r="Z258" s="461"/>
      <c r="AA258" s="379"/>
      <c r="AB258" s="379"/>
      <c r="AC258" s="50"/>
      <c r="AD258" s="50"/>
      <c r="AE258" s="379"/>
      <c r="AF258" s="379"/>
      <c r="AG258" s="156"/>
      <c r="AH258" s="60"/>
      <c r="AI258" s="379"/>
      <c r="AJ258" s="379"/>
      <c r="AK258" s="156"/>
      <c r="AL258" s="379"/>
      <c r="AM258" s="50"/>
      <c r="AN258" s="50"/>
    </row>
    <row r="259" spans="1:40" x14ac:dyDescent="0.25">
      <c r="F259" s="449"/>
      <c r="H259" s="470"/>
      <c r="I259" s="470"/>
      <c r="J259" s="470"/>
      <c r="K259" s="470"/>
      <c r="R259" s="379"/>
      <c r="V259" s="379"/>
      <c r="Z259" s="470"/>
    </row>
    <row r="260" spans="1:40" x14ac:dyDescent="0.25">
      <c r="A260" s="53"/>
      <c r="C260" s="54"/>
      <c r="F260" s="449"/>
      <c r="H260" s="449"/>
      <c r="I260" s="449"/>
      <c r="J260" s="472"/>
      <c r="K260" s="472"/>
      <c r="L260" s="379"/>
      <c r="M260" s="379"/>
      <c r="N260" s="50"/>
      <c r="O260" s="50"/>
      <c r="P260" s="379"/>
      <c r="Q260" s="379"/>
      <c r="R260" s="379"/>
      <c r="T260" s="54"/>
      <c r="V260" s="379"/>
      <c r="Y260" s="379"/>
      <c r="Z260" s="463"/>
      <c r="AA260" s="379"/>
      <c r="AB260" s="379"/>
      <c r="AC260" s="50"/>
      <c r="AD260" s="50"/>
      <c r="AE260" s="379"/>
      <c r="AF260" s="379"/>
      <c r="AG260" s="156"/>
      <c r="AH260" s="60"/>
      <c r="AI260" s="379"/>
      <c r="AJ260" s="379"/>
      <c r="AK260" s="156"/>
      <c r="AL260" s="379"/>
      <c r="AM260" s="50"/>
      <c r="AN260" s="50"/>
    </row>
    <row r="261" spans="1:40" x14ac:dyDescent="0.25">
      <c r="F261" s="381"/>
      <c r="H261" s="381"/>
      <c r="I261" s="381"/>
      <c r="J261" s="464"/>
      <c r="K261" s="464"/>
      <c r="L261" s="381"/>
      <c r="M261" s="381"/>
      <c r="N261" s="381"/>
      <c r="O261" s="381"/>
      <c r="P261" s="381"/>
      <c r="Q261" s="381"/>
      <c r="R261" s="381"/>
      <c r="S261" s="379"/>
      <c r="V261" s="381"/>
      <c r="Y261" s="381"/>
      <c r="Z261" s="464"/>
      <c r="AA261" s="381"/>
      <c r="AB261" s="381"/>
      <c r="AC261" s="381"/>
      <c r="AD261" s="381"/>
      <c r="AE261" s="381"/>
      <c r="AF261" s="381"/>
      <c r="AI261" s="381"/>
      <c r="AJ261" s="381"/>
      <c r="AK261" s="162"/>
      <c r="AL261" s="381"/>
    </row>
    <row r="262" spans="1:40" x14ac:dyDescent="0.25">
      <c r="A262" s="53"/>
      <c r="D262" s="54"/>
      <c r="E262" s="54"/>
      <c r="F262" s="379"/>
      <c r="H262" s="379"/>
      <c r="I262" s="379"/>
      <c r="J262" s="59"/>
      <c r="K262" s="59"/>
      <c r="L262" s="379"/>
      <c r="M262" s="379"/>
      <c r="N262" s="50"/>
      <c r="O262" s="50"/>
      <c r="P262" s="449"/>
      <c r="Q262" s="449"/>
      <c r="R262" s="379"/>
      <c r="S262" s="379"/>
      <c r="U262" s="54"/>
      <c r="V262" s="379"/>
      <c r="Y262" s="379"/>
      <c r="Z262" s="59"/>
      <c r="AA262" s="379"/>
      <c r="AB262" s="379"/>
      <c r="AC262" s="50"/>
      <c r="AD262" s="50"/>
      <c r="AE262" s="379"/>
      <c r="AF262" s="379"/>
      <c r="AG262" s="156"/>
      <c r="AH262" s="60"/>
      <c r="AI262" s="449"/>
      <c r="AJ262" s="449"/>
      <c r="AK262" s="156"/>
      <c r="AL262" s="379"/>
      <c r="AM262" s="50"/>
      <c r="AN262" s="50"/>
    </row>
    <row r="263" spans="1:40" x14ac:dyDescent="0.25">
      <c r="F263" s="381"/>
      <c r="H263" s="381"/>
      <c r="I263" s="381"/>
      <c r="J263" s="464"/>
      <c r="K263" s="464"/>
      <c r="L263" s="381"/>
      <c r="M263" s="381"/>
      <c r="N263" s="381"/>
      <c r="O263" s="381"/>
      <c r="P263" s="381"/>
      <c r="Q263" s="381"/>
      <c r="R263" s="381"/>
      <c r="S263" s="379"/>
      <c r="V263" s="381"/>
      <c r="Y263" s="381"/>
      <c r="Z263" s="464"/>
      <c r="AA263" s="381"/>
      <c r="AB263" s="381"/>
      <c r="AC263" s="381"/>
      <c r="AD263" s="381"/>
      <c r="AE263" s="381"/>
      <c r="AF263" s="381"/>
      <c r="AI263" s="381"/>
      <c r="AJ263" s="381"/>
      <c r="AK263" s="162"/>
      <c r="AL263" s="381"/>
    </row>
    <row r="264" spans="1:40" x14ac:dyDescent="0.25">
      <c r="R264" s="379"/>
    </row>
    <row r="265" spans="1:40" x14ac:dyDescent="0.25">
      <c r="F265" s="379"/>
      <c r="H265" s="379"/>
      <c r="I265" s="379"/>
      <c r="J265" s="59"/>
      <c r="K265" s="59"/>
      <c r="L265" s="379"/>
      <c r="M265" s="379"/>
      <c r="N265" s="379"/>
      <c r="O265" s="379"/>
      <c r="P265" s="379"/>
      <c r="Q265" s="379"/>
      <c r="R265" s="379"/>
      <c r="V265" s="379"/>
      <c r="Y265" s="379"/>
      <c r="Z265" s="59"/>
      <c r="AA265" s="379"/>
      <c r="AB265" s="379"/>
      <c r="AC265" s="379"/>
      <c r="AD265" s="379"/>
    </row>
    <row r="266" spans="1:40" x14ac:dyDescent="0.25">
      <c r="C266" s="54"/>
      <c r="F266" s="379"/>
      <c r="H266" s="379"/>
      <c r="I266" s="379"/>
      <c r="J266" s="59"/>
      <c r="K266" s="59"/>
      <c r="L266" s="379"/>
      <c r="M266" s="379"/>
      <c r="N266" s="379"/>
      <c r="O266" s="379"/>
      <c r="P266" s="379"/>
      <c r="Q266" s="379"/>
      <c r="R266" s="379"/>
      <c r="T266" s="54"/>
      <c r="V266" s="379"/>
      <c r="Y266" s="379"/>
      <c r="Z266" s="59"/>
      <c r="AA266" s="379"/>
      <c r="AB266" s="379"/>
      <c r="AC266" s="379"/>
      <c r="AD266" s="379"/>
    </row>
    <row r="267" spans="1:40" x14ac:dyDescent="0.25">
      <c r="C267" s="54"/>
      <c r="T267" s="54"/>
    </row>
    <row r="268" spans="1:40" x14ac:dyDescent="0.25">
      <c r="A268" s="54"/>
    </row>
    <row r="270" spans="1:40" x14ac:dyDescent="0.25">
      <c r="J270" s="53"/>
      <c r="K270" s="53"/>
      <c r="Z270" s="53"/>
    </row>
    <row r="271" spans="1:40" x14ac:dyDescent="0.25">
      <c r="H271" s="54"/>
      <c r="I271" s="54"/>
      <c r="Y271" s="54"/>
    </row>
    <row r="272" spans="1:40" x14ac:dyDescent="0.25">
      <c r="J272" s="53"/>
      <c r="K272" s="53"/>
      <c r="Z272" s="53"/>
    </row>
    <row r="273" spans="1:40" x14ac:dyDescent="0.25">
      <c r="L273" s="54"/>
      <c r="M273" s="54"/>
      <c r="AA273" s="54"/>
      <c r="AB273" s="54"/>
    </row>
    <row r="274" spans="1:40" x14ac:dyDescent="0.25">
      <c r="A274" s="53"/>
      <c r="R274" s="54"/>
      <c r="AK274" s="161"/>
      <c r="AL274" s="54"/>
    </row>
    <row r="275" spans="1:40" x14ac:dyDescent="0.25">
      <c r="A275" s="53"/>
      <c r="R275" s="54"/>
      <c r="AK275" s="161"/>
      <c r="AL275" s="54"/>
    </row>
    <row r="276" spans="1:40" x14ac:dyDescent="0.25">
      <c r="A276" s="54"/>
      <c r="R276" s="54"/>
      <c r="AK276" s="161"/>
      <c r="AL276" s="54"/>
    </row>
    <row r="277" spans="1:40" x14ac:dyDescent="0.25">
      <c r="L277" s="54"/>
      <c r="M277" s="54"/>
      <c r="R277" s="53"/>
      <c r="AA277" s="54"/>
      <c r="AB277" s="54"/>
      <c r="AK277" s="156"/>
      <c r="AL277" s="53"/>
    </row>
    <row r="278" spans="1:40" x14ac:dyDescent="0.25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154"/>
      <c r="AH278" s="55"/>
      <c r="AI278" s="55"/>
      <c r="AJ278" s="55"/>
      <c r="AK278" s="154"/>
      <c r="AL278" s="55"/>
      <c r="AM278" s="55"/>
      <c r="AN278" s="55"/>
    </row>
    <row r="279" spans="1:40" x14ac:dyDescent="0.25">
      <c r="L279" s="56"/>
      <c r="M279" s="56"/>
      <c r="N279" s="56"/>
      <c r="O279" s="56"/>
      <c r="R279" s="56"/>
      <c r="AA279" s="56"/>
      <c r="AB279" s="56"/>
      <c r="AC279" s="56"/>
      <c r="AD279" s="56"/>
      <c r="AE279" s="56"/>
      <c r="AF279" s="56"/>
      <c r="AG279" s="155"/>
      <c r="AH279" s="56"/>
      <c r="AK279" s="155"/>
      <c r="AL279" s="56"/>
      <c r="AM279" s="56"/>
      <c r="AN279" s="56"/>
    </row>
    <row r="280" spans="1:40" x14ac:dyDescent="0.25">
      <c r="L280" s="56"/>
      <c r="M280" s="56"/>
      <c r="N280" s="56"/>
      <c r="O280" s="56"/>
      <c r="R280" s="56"/>
      <c r="Z280" s="56"/>
      <c r="AA280" s="56"/>
      <c r="AB280" s="56"/>
      <c r="AC280" s="56"/>
      <c r="AD280" s="56"/>
      <c r="AE280" s="56"/>
      <c r="AF280" s="56"/>
      <c r="AG280" s="155"/>
      <c r="AH280" s="56"/>
      <c r="AK280" s="155"/>
      <c r="AL280" s="56"/>
      <c r="AM280" s="56"/>
      <c r="AN280" s="56"/>
    </row>
    <row r="281" spans="1:40" x14ac:dyDescent="0.25">
      <c r="A281" s="56"/>
      <c r="C281" s="56"/>
      <c r="D281" s="56"/>
      <c r="E281" s="56"/>
      <c r="F281" s="56"/>
      <c r="J281" s="56"/>
      <c r="K281" s="56"/>
      <c r="L281" s="56"/>
      <c r="M281" s="56"/>
      <c r="N281" s="56"/>
      <c r="O281" s="56"/>
      <c r="P281" s="56"/>
      <c r="Q281" s="56"/>
      <c r="R281" s="56"/>
      <c r="T281" s="56"/>
      <c r="U281" s="56"/>
      <c r="V281" s="56"/>
      <c r="Z281" s="56"/>
      <c r="AA281" s="56"/>
      <c r="AB281" s="56"/>
      <c r="AC281" s="56"/>
      <c r="AD281" s="56"/>
      <c r="AE281" s="56"/>
      <c r="AF281" s="56"/>
      <c r="AG281" s="155"/>
      <c r="AH281" s="56"/>
      <c r="AI281" s="56"/>
      <c r="AJ281" s="56"/>
      <c r="AK281" s="155"/>
      <c r="AL281" s="56"/>
      <c r="AM281" s="56"/>
      <c r="AN281" s="56"/>
    </row>
    <row r="282" spans="1:40" x14ac:dyDescent="0.25">
      <c r="A282" s="56"/>
      <c r="C282" s="56"/>
      <c r="D282" s="56"/>
      <c r="E282" s="56"/>
      <c r="F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T282" s="56"/>
      <c r="U282" s="56"/>
      <c r="V282" s="56"/>
      <c r="Y282" s="56"/>
      <c r="Z282" s="56"/>
      <c r="AA282" s="56"/>
      <c r="AB282" s="56"/>
      <c r="AC282" s="56"/>
      <c r="AD282" s="56"/>
      <c r="AE282" s="56"/>
      <c r="AF282" s="56"/>
      <c r="AG282" s="155"/>
      <c r="AH282" s="56"/>
      <c r="AI282" s="56"/>
      <c r="AJ282" s="56"/>
      <c r="AK282" s="155"/>
      <c r="AL282" s="56"/>
      <c r="AM282" s="56"/>
      <c r="AN282" s="56"/>
    </row>
    <row r="283" spans="1:40" x14ac:dyDescent="0.25">
      <c r="C283" s="56"/>
      <c r="D283" s="56"/>
      <c r="E283" s="56"/>
      <c r="F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T283" s="56"/>
      <c r="U283" s="56"/>
      <c r="V283" s="56"/>
      <c r="Y283" s="56"/>
      <c r="Z283" s="56"/>
      <c r="AA283" s="56"/>
      <c r="AB283" s="56"/>
      <c r="AC283" s="56"/>
      <c r="AD283" s="56"/>
      <c r="AE283" s="56"/>
      <c r="AF283" s="56"/>
      <c r="AG283" s="155"/>
      <c r="AH283" s="56"/>
      <c r="AI283" s="56"/>
      <c r="AJ283" s="56"/>
      <c r="AK283" s="155"/>
      <c r="AL283" s="56"/>
      <c r="AM283" s="56"/>
      <c r="AN283" s="56"/>
    </row>
    <row r="284" spans="1:40" x14ac:dyDescent="0.25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154"/>
      <c r="AH284" s="55"/>
      <c r="AI284" s="55"/>
      <c r="AJ284" s="55"/>
      <c r="AK284" s="154"/>
      <c r="AL284" s="55"/>
      <c r="AM284" s="55"/>
      <c r="AN284" s="55"/>
    </row>
    <row r="285" spans="1:40" x14ac:dyDescent="0.25"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Y285" s="56"/>
      <c r="Z285" s="56"/>
      <c r="AA285" s="56"/>
      <c r="AB285" s="56"/>
      <c r="AC285" s="56"/>
      <c r="AD285" s="56"/>
      <c r="AE285" s="56"/>
      <c r="AF285" s="56"/>
      <c r="AG285" s="155"/>
      <c r="AH285" s="56"/>
      <c r="AI285" s="56"/>
      <c r="AJ285" s="56"/>
      <c r="AK285" s="155"/>
      <c r="AL285" s="56"/>
      <c r="AM285" s="56"/>
      <c r="AN285" s="56"/>
    </row>
    <row r="286" spans="1:40" x14ac:dyDescent="0.25">
      <c r="A286" s="53"/>
      <c r="C286" s="54"/>
      <c r="D286" s="54"/>
      <c r="E286" s="54"/>
      <c r="T286" s="54"/>
      <c r="U286" s="54"/>
    </row>
    <row r="287" spans="1:40" x14ac:dyDescent="0.25">
      <c r="A287" s="53"/>
      <c r="D287" s="54"/>
      <c r="E287" s="54"/>
      <c r="U287" s="54"/>
    </row>
    <row r="289" spans="1:40" x14ac:dyDescent="0.25">
      <c r="A289" s="53"/>
      <c r="C289" s="54"/>
      <c r="F289" s="379"/>
      <c r="J289" s="62"/>
      <c r="K289" s="62"/>
      <c r="L289" s="379"/>
      <c r="M289" s="379"/>
      <c r="R289" s="379"/>
      <c r="T289" s="54"/>
      <c r="V289" s="379"/>
      <c r="Z289" s="62"/>
      <c r="AA289" s="379"/>
      <c r="AB289" s="379"/>
      <c r="AK289" s="156"/>
      <c r="AL289" s="379"/>
    </row>
    <row r="290" spans="1:40" x14ac:dyDescent="0.25">
      <c r="F290" s="379"/>
      <c r="R290" s="379"/>
      <c r="V290" s="379"/>
      <c r="AK290" s="156"/>
      <c r="AL290" s="379"/>
    </row>
    <row r="291" spans="1:40" x14ac:dyDescent="0.25">
      <c r="A291" s="53"/>
      <c r="C291" s="54"/>
      <c r="F291" s="449"/>
      <c r="H291" s="449"/>
      <c r="I291" s="449"/>
      <c r="J291" s="461"/>
      <c r="K291" s="461"/>
      <c r="L291" s="379"/>
      <c r="M291" s="379"/>
      <c r="N291" s="50"/>
      <c r="O291" s="50"/>
      <c r="P291" s="379"/>
      <c r="Q291" s="379"/>
      <c r="R291" s="379"/>
      <c r="T291" s="54"/>
      <c r="V291" s="379"/>
      <c r="Y291" s="379"/>
      <c r="Z291" s="461"/>
      <c r="AA291" s="379"/>
      <c r="AB291" s="379"/>
      <c r="AC291" s="50"/>
      <c r="AD291" s="50"/>
      <c r="AE291" s="379"/>
      <c r="AF291" s="379"/>
      <c r="AG291" s="156"/>
      <c r="AH291" s="60"/>
      <c r="AI291" s="379"/>
      <c r="AJ291" s="379"/>
      <c r="AK291" s="156"/>
      <c r="AL291" s="379"/>
      <c r="AM291" s="50"/>
      <c r="AN291" s="50"/>
    </row>
    <row r="292" spans="1:40" x14ac:dyDescent="0.25">
      <c r="A292" s="53"/>
      <c r="C292" s="54"/>
      <c r="F292" s="449"/>
      <c r="H292" s="470"/>
      <c r="I292" s="470"/>
      <c r="J292" s="461"/>
      <c r="K292" s="461"/>
      <c r="L292" s="379"/>
      <c r="M292" s="379"/>
      <c r="N292" s="50"/>
      <c r="O292" s="50"/>
      <c r="P292" s="379"/>
      <c r="Q292" s="379"/>
      <c r="R292" s="379"/>
      <c r="T292" s="54"/>
      <c r="V292" s="379"/>
      <c r="Y292" s="379"/>
      <c r="Z292" s="461"/>
      <c r="AA292" s="379"/>
      <c r="AB292" s="379"/>
      <c r="AC292" s="50"/>
      <c r="AD292" s="50"/>
      <c r="AE292" s="379"/>
      <c r="AF292" s="379"/>
      <c r="AG292" s="156"/>
      <c r="AH292" s="60"/>
      <c r="AI292" s="379"/>
      <c r="AJ292" s="379"/>
      <c r="AK292" s="156"/>
      <c r="AL292" s="379"/>
      <c r="AM292" s="50"/>
      <c r="AN292" s="50"/>
    </row>
    <row r="293" spans="1:40" x14ac:dyDescent="0.25">
      <c r="F293" s="381"/>
      <c r="H293" s="379"/>
      <c r="I293" s="379"/>
      <c r="J293" s="464"/>
      <c r="K293" s="464"/>
      <c r="L293" s="381"/>
      <c r="M293" s="381"/>
      <c r="N293" s="381"/>
      <c r="O293" s="381"/>
      <c r="P293" s="381"/>
      <c r="Q293" s="381"/>
      <c r="R293" s="381"/>
      <c r="V293" s="381"/>
      <c r="Y293" s="379"/>
      <c r="Z293" s="464"/>
      <c r="AA293" s="381"/>
      <c r="AB293" s="381"/>
      <c r="AC293" s="381"/>
      <c r="AD293" s="381"/>
      <c r="AE293" s="381"/>
      <c r="AF293" s="381"/>
      <c r="AI293" s="381"/>
      <c r="AJ293" s="381"/>
      <c r="AK293" s="162"/>
      <c r="AL293" s="381"/>
    </row>
    <row r="294" spans="1:40" x14ac:dyDescent="0.25">
      <c r="A294" s="53"/>
      <c r="C294" s="54"/>
      <c r="F294" s="379"/>
      <c r="H294" s="379"/>
      <c r="I294" s="379"/>
      <c r="J294" s="59"/>
      <c r="K294" s="59"/>
      <c r="L294" s="379"/>
      <c r="M294" s="379"/>
      <c r="N294" s="50"/>
      <c r="O294" s="50"/>
      <c r="P294" s="379"/>
      <c r="Q294" s="379"/>
      <c r="R294" s="379"/>
      <c r="T294" s="54"/>
      <c r="V294" s="379"/>
      <c r="Y294" s="379"/>
      <c r="Z294" s="59"/>
      <c r="AA294" s="379"/>
      <c r="AB294" s="379"/>
      <c r="AC294" s="50"/>
      <c r="AD294" s="50"/>
      <c r="AE294" s="379"/>
      <c r="AF294" s="379"/>
      <c r="AG294" s="156"/>
      <c r="AH294" s="60"/>
      <c r="AI294" s="379"/>
      <c r="AJ294" s="379"/>
      <c r="AK294" s="156"/>
      <c r="AL294" s="379"/>
      <c r="AM294" s="50"/>
      <c r="AN294" s="50"/>
    </row>
    <row r="295" spans="1:40" x14ac:dyDescent="0.25">
      <c r="F295" s="381"/>
      <c r="H295" s="379"/>
      <c r="I295" s="379"/>
      <c r="J295" s="464"/>
      <c r="K295" s="464"/>
      <c r="L295" s="381"/>
      <c r="M295" s="381"/>
      <c r="N295" s="381"/>
      <c r="O295" s="381"/>
      <c r="P295" s="381"/>
      <c r="Q295" s="381"/>
      <c r="R295" s="381"/>
      <c r="V295" s="381"/>
      <c r="Y295" s="379"/>
      <c r="Z295" s="464"/>
      <c r="AA295" s="381"/>
      <c r="AB295" s="381"/>
      <c r="AC295" s="381"/>
      <c r="AD295" s="381"/>
      <c r="AE295" s="381"/>
      <c r="AF295" s="381"/>
      <c r="AI295" s="381"/>
      <c r="AJ295" s="381"/>
      <c r="AK295" s="162"/>
      <c r="AL295" s="381"/>
    </row>
    <row r="296" spans="1:40" x14ac:dyDescent="0.25">
      <c r="F296" s="379"/>
      <c r="R296" s="379"/>
      <c r="V296" s="379"/>
      <c r="AK296" s="156"/>
      <c r="AL296" s="379"/>
    </row>
    <row r="297" spans="1:40" x14ac:dyDescent="0.25">
      <c r="A297" s="53"/>
      <c r="C297" s="54"/>
      <c r="F297" s="379"/>
      <c r="R297" s="379"/>
      <c r="T297" s="54"/>
      <c r="V297" s="379"/>
      <c r="AK297" s="156"/>
      <c r="AL297" s="379"/>
    </row>
    <row r="298" spans="1:40" x14ac:dyDescent="0.25">
      <c r="F298" s="379"/>
      <c r="R298" s="379"/>
      <c r="V298" s="379"/>
      <c r="AK298" s="156"/>
      <c r="AL298" s="379"/>
    </row>
    <row r="299" spans="1:40" x14ac:dyDescent="0.25">
      <c r="A299" s="53"/>
      <c r="C299" s="54"/>
      <c r="F299" s="379"/>
      <c r="H299" s="449"/>
      <c r="I299" s="449"/>
      <c r="J299" s="472"/>
      <c r="K299" s="472"/>
      <c r="L299" s="379"/>
      <c r="M299" s="379"/>
      <c r="N299" s="50"/>
      <c r="O299" s="50"/>
      <c r="P299" s="449"/>
      <c r="Q299" s="449"/>
      <c r="R299" s="379"/>
      <c r="T299" s="54"/>
      <c r="V299" s="379"/>
      <c r="Y299" s="379"/>
      <c r="Z299" s="463"/>
      <c r="AA299" s="379"/>
      <c r="AB299" s="379"/>
      <c r="AC299" s="50"/>
      <c r="AD299" s="50"/>
      <c r="AE299" s="379"/>
      <c r="AF299" s="379"/>
      <c r="AG299" s="156"/>
      <c r="AH299" s="60"/>
      <c r="AI299" s="449"/>
      <c r="AJ299" s="449"/>
      <c r="AK299" s="156"/>
      <c r="AL299" s="379"/>
      <c r="AM299" s="50"/>
      <c r="AN299" s="50"/>
    </row>
    <row r="300" spans="1:40" x14ac:dyDescent="0.25">
      <c r="F300" s="381"/>
      <c r="H300" s="381"/>
      <c r="I300" s="381"/>
      <c r="J300" s="464"/>
      <c r="K300" s="464"/>
      <c r="L300" s="381"/>
      <c r="M300" s="381"/>
      <c r="N300" s="381"/>
      <c r="O300" s="381"/>
      <c r="P300" s="381"/>
      <c r="Q300" s="381"/>
      <c r="R300" s="381"/>
      <c r="V300" s="381"/>
      <c r="Y300" s="381"/>
      <c r="Z300" s="464"/>
      <c r="AA300" s="381"/>
      <c r="AB300" s="381"/>
      <c r="AC300" s="381"/>
      <c r="AD300" s="381"/>
      <c r="AE300" s="381"/>
      <c r="AF300" s="381"/>
      <c r="AI300" s="381"/>
      <c r="AJ300" s="381"/>
      <c r="AK300" s="162"/>
      <c r="AL300" s="381"/>
    </row>
    <row r="302" spans="1:40" x14ac:dyDescent="0.25">
      <c r="A302" s="53"/>
      <c r="C302" s="54"/>
      <c r="F302" s="379"/>
      <c r="H302" s="379"/>
      <c r="I302" s="379"/>
      <c r="J302" s="62"/>
      <c r="K302" s="62"/>
      <c r="L302" s="379"/>
      <c r="M302" s="379"/>
      <c r="N302" s="50"/>
      <c r="O302" s="50"/>
      <c r="P302" s="379"/>
      <c r="Q302" s="379"/>
      <c r="R302" s="379"/>
      <c r="T302" s="54"/>
      <c r="V302" s="379"/>
      <c r="Y302" s="379"/>
      <c r="Z302" s="62"/>
      <c r="AA302" s="379"/>
      <c r="AB302" s="379"/>
      <c r="AC302" s="50"/>
      <c r="AD302" s="50"/>
      <c r="AE302" s="379"/>
      <c r="AF302" s="379"/>
      <c r="AG302" s="156"/>
      <c r="AH302" s="60"/>
      <c r="AI302" s="379"/>
      <c r="AJ302" s="379"/>
      <c r="AK302" s="156"/>
      <c r="AL302" s="379"/>
      <c r="AM302" s="50"/>
      <c r="AN302" s="50"/>
    </row>
    <row r="303" spans="1:40" x14ac:dyDescent="0.25">
      <c r="F303" s="381"/>
      <c r="H303" s="381"/>
      <c r="I303" s="381"/>
      <c r="J303" s="464"/>
      <c r="K303" s="464"/>
      <c r="L303" s="381"/>
      <c r="M303" s="381"/>
      <c r="N303" s="381"/>
      <c r="O303" s="381"/>
      <c r="P303" s="381"/>
      <c r="Q303" s="381"/>
      <c r="R303" s="381"/>
      <c r="V303" s="381"/>
      <c r="Y303" s="381"/>
      <c r="Z303" s="464"/>
      <c r="AA303" s="381"/>
      <c r="AB303" s="381"/>
      <c r="AC303" s="381"/>
      <c r="AD303" s="381"/>
      <c r="AE303" s="381"/>
      <c r="AF303" s="381"/>
      <c r="AI303" s="381"/>
      <c r="AJ303" s="381"/>
      <c r="AK303" s="162"/>
      <c r="AL303" s="381"/>
    </row>
    <row r="304" spans="1:40" x14ac:dyDescent="0.25">
      <c r="R304" s="379"/>
      <c r="AG304" s="156"/>
      <c r="AH304" s="379"/>
    </row>
    <row r="305" spans="1:40" x14ac:dyDescent="0.25">
      <c r="F305" s="379"/>
      <c r="H305" s="379"/>
      <c r="I305" s="379"/>
      <c r="J305" s="59"/>
      <c r="K305" s="59"/>
      <c r="L305" s="379"/>
      <c r="M305" s="379"/>
      <c r="N305" s="379"/>
      <c r="O305" s="379"/>
      <c r="P305" s="379"/>
      <c r="Q305" s="379"/>
      <c r="R305" s="379"/>
      <c r="V305" s="379"/>
      <c r="Y305" s="379"/>
      <c r="Z305" s="59"/>
      <c r="AA305" s="379"/>
      <c r="AB305" s="379"/>
      <c r="AC305" s="379"/>
      <c r="AD305" s="379"/>
      <c r="AE305" s="379"/>
      <c r="AF305" s="379"/>
      <c r="AG305" s="156"/>
      <c r="AH305" s="379"/>
    </row>
    <row r="306" spans="1:40" x14ac:dyDescent="0.25">
      <c r="C306" s="54"/>
      <c r="F306" s="379"/>
      <c r="H306" s="379"/>
      <c r="I306" s="379"/>
      <c r="J306" s="59"/>
      <c r="K306" s="59"/>
      <c r="L306" s="379"/>
      <c r="M306" s="379"/>
      <c r="N306" s="379"/>
      <c r="O306" s="379"/>
      <c r="P306" s="379"/>
      <c r="Q306" s="379"/>
      <c r="R306" s="379"/>
      <c r="T306" s="54"/>
      <c r="V306" s="379"/>
      <c r="Y306" s="379"/>
      <c r="Z306" s="59"/>
      <c r="AA306" s="379"/>
      <c r="AB306" s="379"/>
      <c r="AC306" s="379"/>
      <c r="AD306" s="379"/>
      <c r="AE306" s="379"/>
      <c r="AF306" s="379"/>
      <c r="AG306" s="156"/>
      <c r="AH306" s="379"/>
    </row>
    <row r="307" spans="1:40" x14ac:dyDescent="0.25">
      <c r="A307" s="54"/>
    </row>
    <row r="309" spans="1:40" x14ac:dyDescent="0.25">
      <c r="J309" s="53"/>
      <c r="K309" s="53"/>
      <c r="Z309" s="53"/>
    </row>
    <row r="310" spans="1:40" x14ac:dyDescent="0.25">
      <c r="H310" s="54"/>
      <c r="I310" s="54"/>
      <c r="Y310" s="54"/>
    </row>
    <row r="311" spans="1:40" x14ac:dyDescent="0.25">
      <c r="J311" s="53"/>
      <c r="K311" s="53"/>
      <c r="Z311" s="53"/>
    </row>
    <row r="312" spans="1:40" x14ac:dyDescent="0.25">
      <c r="L312" s="54"/>
      <c r="M312" s="54"/>
      <c r="AA312" s="54"/>
      <c r="AB312" s="54"/>
    </row>
    <row r="313" spans="1:40" x14ac:dyDescent="0.25">
      <c r="A313" s="53"/>
      <c r="R313" s="54"/>
      <c r="AK313" s="161"/>
      <c r="AL313" s="54"/>
    </row>
    <row r="314" spans="1:40" x14ac:dyDescent="0.25">
      <c r="A314" s="53"/>
      <c r="R314" s="54"/>
      <c r="AK314" s="161"/>
      <c r="AL314" s="54"/>
    </row>
    <row r="315" spans="1:40" x14ac:dyDescent="0.25">
      <c r="A315" s="54"/>
      <c r="R315" s="54"/>
      <c r="AK315" s="161"/>
      <c r="AL315" s="54"/>
    </row>
    <row r="316" spans="1:40" x14ac:dyDescent="0.25">
      <c r="L316" s="54"/>
      <c r="M316" s="54"/>
      <c r="R316" s="53"/>
      <c r="AA316" s="54"/>
      <c r="AB316" s="54"/>
      <c r="AK316" s="156"/>
      <c r="AL316" s="53"/>
    </row>
    <row r="317" spans="1:40" x14ac:dyDescent="0.25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154"/>
      <c r="AH317" s="55"/>
      <c r="AI317" s="55"/>
      <c r="AJ317" s="55"/>
      <c r="AK317" s="154"/>
      <c r="AL317" s="55"/>
      <c r="AM317" s="55"/>
      <c r="AN317" s="55"/>
    </row>
    <row r="318" spans="1:40" x14ac:dyDescent="0.25">
      <c r="L318" s="56"/>
      <c r="M318" s="56"/>
      <c r="N318" s="56"/>
      <c r="O318" s="56"/>
      <c r="R318" s="56"/>
      <c r="AA318" s="56"/>
      <c r="AB318" s="56"/>
      <c r="AC318" s="56"/>
      <c r="AD318" s="56"/>
      <c r="AE318" s="56"/>
      <c r="AF318" s="56"/>
      <c r="AG318" s="155"/>
      <c r="AH318" s="56"/>
      <c r="AK318" s="155"/>
      <c r="AL318" s="56"/>
      <c r="AM318" s="56"/>
      <c r="AN318" s="56"/>
    </row>
    <row r="319" spans="1:40" x14ac:dyDescent="0.25">
      <c r="L319" s="56"/>
      <c r="M319" s="56"/>
      <c r="N319" s="56"/>
      <c r="O319" s="56"/>
      <c r="R319" s="56"/>
      <c r="Z319" s="56"/>
      <c r="AA319" s="56"/>
      <c r="AB319" s="56"/>
      <c r="AC319" s="56"/>
      <c r="AD319" s="56"/>
      <c r="AE319" s="56"/>
      <c r="AF319" s="56"/>
      <c r="AG319" s="155"/>
      <c r="AH319" s="56"/>
      <c r="AK319" s="155"/>
      <c r="AL319" s="56"/>
      <c r="AM319" s="56"/>
      <c r="AN319" s="56"/>
    </row>
    <row r="320" spans="1:40" x14ac:dyDescent="0.25">
      <c r="A320" s="56"/>
      <c r="C320" s="56"/>
      <c r="D320" s="56"/>
      <c r="E320" s="56"/>
      <c r="F320" s="56"/>
      <c r="J320" s="56"/>
      <c r="K320" s="56"/>
      <c r="L320" s="56"/>
      <c r="M320" s="56"/>
      <c r="N320" s="56"/>
      <c r="O320" s="56"/>
      <c r="P320" s="56"/>
      <c r="Q320" s="56"/>
      <c r="R320" s="56"/>
      <c r="T320" s="56"/>
      <c r="U320" s="56"/>
      <c r="V320" s="56"/>
      <c r="Z320" s="56"/>
      <c r="AA320" s="56"/>
      <c r="AB320" s="56"/>
      <c r="AC320" s="56"/>
      <c r="AD320" s="56"/>
      <c r="AE320" s="56"/>
      <c r="AF320" s="56"/>
      <c r="AG320" s="155"/>
      <c r="AH320" s="56"/>
      <c r="AI320" s="56"/>
      <c r="AJ320" s="56"/>
      <c r="AK320" s="155"/>
      <c r="AL320" s="56"/>
      <c r="AM320" s="56"/>
      <c r="AN320" s="56"/>
    </row>
    <row r="321" spans="1:40" x14ac:dyDescent="0.25">
      <c r="A321" s="56"/>
      <c r="C321" s="56"/>
      <c r="D321" s="56"/>
      <c r="E321" s="56"/>
      <c r="F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T321" s="56"/>
      <c r="U321" s="56"/>
      <c r="V321" s="56"/>
      <c r="Y321" s="56"/>
      <c r="Z321" s="56"/>
      <c r="AA321" s="56"/>
      <c r="AB321" s="56"/>
      <c r="AC321" s="56"/>
      <c r="AD321" s="56"/>
      <c r="AE321" s="56"/>
      <c r="AF321" s="56"/>
      <c r="AG321" s="155"/>
      <c r="AH321" s="56"/>
      <c r="AI321" s="56"/>
      <c r="AJ321" s="56"/>
      <c r="AK321" s="155"/>
      <c r="AL321" s="56"/>
      <c r="AM321" s="56"/>
      <c r="AN321" s="56"/>
    </row>
    <row r="322" spans="1:40" x14ac:dyDescent="0.25">
      <c r="C322" s="56"/>
      <c r="D322" s="56"/>
      <c r="E322" s="56"/>
      <c r="F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T322" s="56"/>
      <c r="U322" s="56"/>
      <c r="V322" s="56"/>
      <c r="Y322" s="56"/>
      <c r="Z322" s="56"/>
      <c r="AA322" s="56"/>
      <c r="AB322" s="56"/>
      <c r="AC322" s="56"/>
      <c r="AD322" s="56"/>
      <c r="AE322" s="56"/>
      <c r="AF322" s="56"/>
      <c r="AG322" s="155"/>
      <c r="AH322" s="56"/>
      <c r="AI322" s="56"/>
      <c r="AJ322" s="56"/>
      <c r="AK322" s="155"/>
      <c r="AL322" s="56"/>
      <c r="AM322" s="56"/>
      <c r="AN322" s="56"/>
    </row>
    <row r="323" spans="1:40" x14ac:dyDescent="0.25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154"/>
      <c r="AH323" s="55"/>
      <c r="AI323" s="55"/>
      <c r="AJ323" s="55"/>
      <c r="AK323" s="154"/>
      <c r="AL323" s="55"/>
      <c r="AM323" s="55"/>
      <c r="AN323" s="55"/>
    </row>
    <row r="324" spans="1:40" x14ac:dyDescent="0.25"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Y324" s="56"/>
      <c r="Z324" s="56"/>
      <c r="AA324" s="56"/>
      <c r="AB324" s="56"/>
      <c r="AC324" s="56"/>
      <c r="AD324" s="56"/>
      <c r="AE324" s="56"/>
      <c r="AF324" s="56"/>
      <c r="AG324" s="155"/>
      <c r="AH324" s="56"/>
      <c r="AI324" s="56"/>
      <c r="AJ324" s="56"/>
      <c r="AK324" s="155"/>
      <c r="AL324" s="56"/>
      <c r="AM324" s="56"/>
      <c r="AN324" s="56"/>
    </row>
    <row r="325" spans="1:40" x14ac:dyDescent="0.25">
      <c r="A325" s="53"/>
      <c r="C325" s="54"/>
      <c r="D325" s="54"/>
      <c r="E325" s="54"/>
      <c r="T325" s="54"/>
      <c r="U325" s="54"/>
    </row>
    <row r="326" spans="1:40" x14ac:dyDescent="0.25">
      <c r="A326" s="53"/>
      <c r="C326" s="54"/>
      <c r="T326" s="54"/>
    </row>
    <row r="328" spans="1:40" x14ac:dyDescent="0.25">
      <c r="A328" s="53"/>
      <c r="C328" s="54"/>
      <c r="F328" s="449"/>
      <c r="H328" s="449"/>
      <c r="I328" s="449"/>
      <c r="J328" s="461"/>
      <c r="K328" s="461"/>
      <c r="L328" s="379"/>
      <c r="M328" s="379"/>
      <c r="N328" s="50"/>
      <c r="O328" s="50"/>
      <c r="P328" s="53"/>
      <c r="Q328" s="53"/>
      <c r="R328" s="379"/>
      <c r="T328" s="54"/>
      <c r="V328" s="379"/>
      <c r="Y328" s="449"/>
      <c r="Z328" s="461"/>
      <c r="AA328" s="379"/>
      <c r="AB328" s="379"/>
      <c r="AC328" s="50"/>
      <c r="AD328" s="50"/>
      <c r="AE328" s="379"/>
      <c r="AF328" s="379"/>
      <c r="AG328" s="156"/>
      <c r="AH328" s="60"/>
      <c r="AI328" s="53"/>
      <c r="AJ328" s="53"/>
      <c r="AK328" s="156"/>
      <c r="AL328" s="379"/>
      <c r="AM328" s="50"/>
      <c r="AN328" s="50"/>
    </row>
    <row r="329" spans="1:40" x14ac:dyDescent="0.25">
      <c r="F329" s="381"/>
      <c r="H329" s="379"/>
      <c r="I329" s="379"/>
      <c r="J329" s="464"/>
      <c r="K329" s="464"/>
      <c r="L329" s="381"/>
      <c r="M329" s="381"/>
      <c r="N329" s="381"/>
      <c r="O329" s="381"/>
      <c r="P329" s="381"/>
      <c r="Q329" s="381"/>
      <c r="R329" s="381"/>
      <c r="V329" s="381"/>
      <c r="Y329" s="379"/>
      <c r="Z329" s="464"/>
      <c r="AA329" s="381"/>
      <c r="AB329" s="381"/>
      <c r="AC329" s="381"/>
      <c r="AD329" s="381"/>
      <c r="AE329" s="381"/>
      <c r="AF329" s="381"/>
      <c r="AI329" s="381"/>
      <c r="AJ329" s="381"/>
      <c r="AK329" s="162"/>
      <c r="AL329" s="381"/>
      <c r="AM329" s="50"/>
      <c r="AN329" s="50"/>
    </row>
    <row r="330" spans="1:40" x14ac:dyDescent="0.25">
      <c r="A330" s="53"/>
      <c r="C330" s="54"/>
      <c r="F330" s="449"/>
      <c r="H330" s="449"/>
      <c r="I330" s="449"/>
      <c r="J330" s="477"/>
      <c r="K330" s="477"/>
      <c r="L330" s="379"/>
      <c r="M330" s="379"/>
      <c r="N330" s="50"/>
      <c r="O330" s="50"/>
      <c r="P330" s="379"/>
      <c r="Q330" s="379"/>
      <c r="R330" s="379"/>
      <c r="S330" s="379"/>
      <c r="T330" s="54"/>
      <c r="V330" s="449"/>
      <c r="Y330" s="449"/>
      <c r="Z330" s="477"/>
      <c r="AA330" s="379"/>
      <c r="AB330" s="379"/>
      <c r="AC330" s="50"/>
      <c r="AD330" s="50"/>
      <c r="AE330" s="379"/>
      <c r="AF330" s="379"/>
      <c r="AG330" s="156"/>
      <c r="AH330" s="50"/>
      <c r="AI330" s="379"/>
      <c r="AJ330" s="379"/>
      <c r="AK330" s="156"/>
      <c r="AL330" s="379"/>
      <c r="AM330" s="50"/>
      <c r="AN330" s="50"/>
    </row>
    <row r="331" spans="1:40" x14ac:dyDescent="0.25">
      <c r="A331" s="53"/>
      <c r="C331" s="54"/>
      <c r="F331" s="449"/>
      <c r="H331" s="449"/>
      <c r="I331" s="449"/>
      <c r="J331" s="461"/>
      <c r="K331" s="461"/>
      <c r="L331" s="379"/>
      <c r="M331" s="379"/>
      <c r="N331" s="50"/>
      <c r="O331" s="50"/>
      <c r="P331" s="379"/>
      <c r="Q331" s="379"/>
      <c r="R331" s="379"/>
      <c r="T331" s="54"/>
      <c r="V331" s="449"/>
      <c r="Y331" s="379"/>
      <c r="Z331" s="461"/>
      <c r="AA331" s="379"/>
      <c r="AB331" s="379"/>
      <c r="AC331" s="50"/>
      <c r="AD331" s="50"/>
      <c r="AE331" s="379"/>
      <c r="AF331" s="379"/>
      <c r="AG331" s="156"/>
      <c r="AH331" s="60"/>
      <c r="AI331" s="379"/>
      <c r="AJ331" s="379"/>
      <c r="AK331" s="156"/>
      <c r="AL331" s="379"/>
      <c r="AM331" s="50"/>
      <c r="AN331" s="50"/>
    </row>
    <row r="332" spans="1:40" x14ac:dyDescent="0.25">
      <c r="A332" s="53"/>
      <c r="C332" s="54"/>
      <c r="F332" s="449"/>
      <c r="H332" s="449"/>
      <c r="I332" s="449"/>
      <c r="J332" s="461"/>
      <c r="K332" s="461"/>
      <c r="L332" s="379"/>
      <c r="M332" s="379"/>
      <c r="N332" s="50"/>
      <c r="O332" s="50"/>
      <c r="P332" s="379"/>
      <c r="Q332" s="379"/>
      <c r="R332" s="379"/>
      <c r="T332" s="54"/>
      <c r="V332" s="449"/>
      <c r="Y332" s="379"/>
      <c r="Z332" s="461"/>
      <c r="AA332" s="379"/>
      <c r="AB332" s="379"/>
      <c r="AC332" s="50"/>
      <c r="AD332" s="50"/>
      <c r="AE332" s="379"/>
      <c r="AF332" s="379"/>
      <c r="AG332" s="156"/>
      <c r="AH332" s="60"/>
      <c r="AI332" s="379"/>
      <c r="AJ332" s="379"/>
      <c r="AK332" s="156"/>
      <c r="AL332" s="379"/>
      <c r="AM332" s="50"/>
      <c r="AN332" s="50"/>
    </row>
    <row r="333" spans="1:40" x14ac:dyDescent="0.25">
      <c r="F333" s="381"/>
      <c r="H333" s="381"/>
      <c r="I333" s="381"/>
      <c r="J333" s="464"/>
      <c r="K333" s="464"/>
      <c r="L333" s="381"/>
      <c r="M333" s="381"/>
      <c r="N333" s="381"/>
      <c r="O333" s="381"/>
      <c r="P333" s="381"/>
      <c r="Q333" s="381"/>
      <c r="R333" s="381"/>
      <c r="V333" s="381"/>
      <c r="Y333" s="381"/>
      <c r="Z333" s="464"/>
      <c r="AA333" s="381"/>
      <c r="AB333" s="381"/>
      <c r="AC333" s="381"/>
      <c r="AD333" s="381"/>
      <c r="AE333" s="381"/>
      <c r="AF333" s="381"/>
      <c r="AI333" s="381"/>
      <c r="AJ333" s="381"/>
      <c r="AK333" s="162"/>
      <c r="AL333" s="381"/>
      <c r="AM333" s="50"/>
      <c r="AN333" s="50"/>
    </row>
    <row r="334" spans="1:40" x14ac:dyDescent="0.25">
      <c r="A334" s="53"/>
      <c r="C334" s="54"/>
      <c r="F334" s="379"/>
      <c r="H334" s="379"/>
      <c r="I334" s="379"/>
      <c r="J334" s="59"/>
      <c r="K334" s="59"/>
      <c r="L334" s="379"/>
      <c r="M334" s="379"/>
      <c r="N334" s="50"/>
      <c r="O334" s="50"/>
      <c r="P334" s="379"/>
      <c r="Q334" s="379"/>
      <c r="R334" s="379"/>
      <c r="T334" s="54"/>
      <c r="V334" s="379"/>
      <c r="Y334" s="379"/>
      <c r="Z334" s="59"/>
      <c r="AA334" s="379"/>
      <c r="AB334" s="379"/>
      <c r="AC334" s="50"/>
      <c r="AD334" s="50"/>
      <c r="AE334" s="379"/>
      <c r="AF334" s="379"/>
      <c r="AG334" s="156"/>
      <c r="AH334" s="60"/>
      <c r="AI334" s="379"/>
      <c r="AJ334" s="379"/>
      <c r="AK334" s="156"/>
      <c r="AL334" s="379"/>
      <c r="AM334" s="50"/>
      <c r="AN334" s="50"/>
    </row>
    <row r="335" spans="1:40" x14ac:dyDescent="0.25">
      <c r="F335" s="381"/>
      <c r="H335" s="381"/>
      <c r="I335" s="381"/>
      <c r="J335" s="464"/>
      <c r="K335" s="464"/>
      <c r="L335" s="381"/>
      <c r="M335" s="381"/>
      <c r="N335" s="381"/>
      <c r="O335" s="381"/>
      <c r="P335" s="381"/>
      <c r="Q335" s="381"/>
      <c r="R335" s="381"/>
      <c r="V335" s="381"/>
      <c r="Y335" s="381"/>
      <c r="Z335" s="464"/>
      <c r="AA335" s="381"/>
      <c r="AB335" s="381"/>
      <c r="AC335" s="381"/>
      <c r="AD335" s="381"/>
      <c r="AE335" s="381"/>
      <c r="AF335" s="381"/>
      <c r="AI335" s="381"/>
      <c r="AJ335" s="381"/>
      <c r="AK335" s="162"/>
      <c r="AL335" s="381"/>
      <c r="AM335" s="50"/>
      <c r="AN335" s="50"/>
    </row>
    <row r="336" spans="1:40" x14ac:dyDescent="0.25">
      <c r="A336" s="53"/>
      <c r="C336" s="54"/>
      <c r="F336" s="379"/>
      <c r="H336" s="379"/>
      <c r="I336" s="379"/>
      <c r="J336" s="59"/>
      <c r="K336" s="59"/>
      <c r="L336" s="379"/>
      <c r="M336" s="379"/>
      <c r="N336" s="50"/>
      <c r="O336" s="50"/>
      <c r="P336" s="379"/>
      <c r="Q336" s="379"/>
      <c r="R336" s="379"/>
      <c r="T336" s="54"/>
      <c r="V336" s="379"/>
      <c r="Y336" s="379"/>
      <c r="Z336" s="59"/>
      <c r="AA336" s="379"/>
      <c r="AB336" s="379"/>
      <c r="AC336" s="50"/>
      <c r="AD336" s="50"/>
      <c r="AE336" s="379"/>
      <c r="AF336" s="379"/>
      <c r="AG336" s="156"/>
      <c r="AH336" s="60"/>
      <c r="AI336" s="379"/>
      <c r="AJ336" s="379"/>
      <c r="AK336" s="156"/>
      <c r="AL336" s="379"/>
      <c r="AM336" s="50"/>
      <c r="AN336" s="50"/>
    </row>
    <row r="337" spans="1:40" x14ac:dyDescent="0.25">
      <c r="A337" s="53"/>
      <c r="C337" s="54"/>
      <c r="F337" s="379"/>
      <c r="H337" s="449"/>
      <c r="I337" s="449"/>
      <c r="J337" s="472"/>
      <c r="K337" s="472"/>
      <c r="L337" s="379"/>
      <c r="M337" s="379"/>
      <c r="N337" s="50"/>
      <c r="O337" s="50"/>
      <c r="P337" s="379"/>
      <c r="Q337" s="379"/>
      <c r="R337" s="379"/>
      <c r="T337" s="54"/>
      <c r="V337" s="379"/>
      <c r="Y337" s="379"/>
      <c r="Z337" s="463"/>
      <c r="AA337" s="379"/>
      <c r="AB337" s="379"/>
      <c r="AC337" s="50"/>
      <c r="AD337" s="50"/>
      <c r="AE337" s="379"/>
      <c r="AF337" s="379"/>
      <c r="AG337" s="156"/>
      <c r="AH337" s="60"/>
      <c r="AI337" s="379"/>
      <c r="AJ337" s="379"/>
      <c r="AK337" s="156"/>
      <c r="AL337" s="379"/>
      <c r="AM337" s="50"/>
      <c r="AN337" s="50"/>
    </row>
    <row r="338" spans="1:40" x14ac:dyDescent="0.25">
      <c r="F338" s="381"/>
      <c r="H338" s="381"/>
      <c r="I338" s="381"/>
      <c r="J338" s="464"/>
      <c r="K338" s="464"/>
      <c r="L338" s="381"/>
      <c r="M338" s="381"/>
      <c r="N338" s="381"/>
      <c r="O338" s="381"/>
      <c r="P338" s="381"/>
      <c r="Q338" s="381"/>
      <c r="R338" s="381"/>
      <c r="V338" s="381"/>
      <c r="Y338" s="381"/>
      <c r="Z338" s="464"/>
      <c r="AA338" s="381"/>
      <c r="AB338" s="381"/>
      <c r="AC338" s="381"/>
      <c r="AD338" s="381"/>
      <c r="AE338" s="381"/>
      <c r="AF338" s="381"/>
      <c r="AI338" s="381"/>
      <c r="AJ338" s="381"/>
      <c r="AK338" s="162"/>
      <c r="AL338" s="381"/>
      <c r="AM338" s="50"/>
      <c r="AN338" s="50"/>
    </row>
    <row r="340" spans="1:40" x14ac:dyDescent="0.25">
      <c r="A340" s="53"/>
      <c r="C340" s="54"/>
      <c r="F340" s="379"/>
      <c r="H340" s="379"/>
      <c r="I340" s="379"/>
      <c r="J340" s="464"/>
      <c r="K340" s="464"/>
      <c r="L340" s="379"/>
      <c r="M340" s="379"/>
      <c r="N340" s="50"/>
      <c r="O340" s="50"/>
      <c r="P340" s="379"/>
      <c r="Q340" s="379"/>
      <c r="R340" s="379"/>
      <c r="S340" s="379"/>
      <c r="T340" s="54"/>
      <c r="V340" s="379"/>
      <c r="Y340" s="379"/>
      <c r="Z340" s="464"/>
      <c r="AA340" s="379"/>
      <c r="AB340" s="379"/>
      <c r="AC340" s="50"/>
      <c r="AD340" s="50"/>
      <c r="AE340" s="379"/>
      <c r="AF340" s="379"/>
      <c r="AG340" s="156"/>
      <c r="AH340" s="50"/>
      <c r="AI340" s="379"/>
      <c r="AJ340" s="379"/>
      <c r="AK340" s="156"/>
      <c r="AL340" s="379"/>
      <c r="AM340" s="50"/>
      <c r="AN340" s="50"/>
    </row>
    <row r="341" spans="1:40" x14ac:dyDescent="0.25">
      <c r="F341" s="381"/>
      <c r="H341" s="381"/>
      <c r="I341" s="381"/>
      <c r="J341" s="464"/>
      <c r="K341" s="464"/>
      <c r="L341" s="381"/>
      <c r="M341" s="381"/>
      <c r="N341" s="381"/>
      <c r="O341" s="381"/>
      <c r="P341" s="381"/>
      <c r="Q341" s="381"/>
      <c r="R341" s="381"/>
      <c r="S341" s="379"/>
      <c r="V341" s="381"/>
      <c r="Y341" s="381"/>
      <c r="Z341" s="464"/>
      <c r="AA341" s="381"/>
      <c r="AB341" s="381"/>
      <c r="AC341" s="381"/>
      <c r="AD341" s="381"/>
      <c r="AE341" s="381"/>
      <c r="AF341" s="381"/>
      <c r="AI341" s="381"/>
      <c r="AJ341" s="381"/>
      <c r="AK341" s="162"/>
      <c r="AL341" s="381"/>
      <c r="AM341" s="50"/>
      <c r="AN341" s="50"/>
    </row>
    <row r="342" spans="1:40" x14ac:dyDescent="0.25">
      <c r="A342" s="53"/>
      <c r="C342" s="54"/>
      <c r="F342" s="449"/>
      <c r="H342" s="449"/>
      <c r="I342" s="449"/>
      <c r="J342" s="464"/>
      <c r="K342" s="464"/>
      <c r="L342" s="379"/>
      <c r="M342" s="379"/>
      <c r="N342" s="50"/>
      <c r="O342" s="50"/>
      <c r="P342" s="379"/>
      <c r="Q342" s="379"/>
      <c r="R342" s="379"/>
      <c r="S342" s="379"/>
      <c r="T342" s="54"/>
      <c r="V342" s="449"/>
      <c r="Y342" s="449"/>
      <c r="Z342" s="464"/>
      <c r="AA342" s="379"/>
      <c r="AB342" s="379"/>
      <c r="AC342" s="50"/>
      <c r="AD342" s="50"/>
      <c r="AE342" s="379"/>
      <c r="AF342" s="379"/>
      <c r="AI342" s="379"/>
      <c r="AJ342" s="379"/>
      <c r="AK342" s="156"/>
      <c r="AL342" s="379"/>
      <c r="AM342" s="50"/>
      <c r="AN342" s="50"/>
    </row>
    <row r="344" spans="1:40" x14ac:dyDescent="0.25">
      <c r="A344" s="53"/>
      <c r="C344" s="54"/>
      <c r="F344" s="449"/>
      <c r="H344" s="449"/>
      <c r="I344" s="449"/>
      <c r="J344" s="461"/>
      <c r="K344" s="461"/>
      <c r="L344" s="379"/>
      <c r="M344" s="379"/>
      <c r="N344" s="50"/>
      <c r="O344" s="50"/>
      <c r="P344" s="53"/>
      <c r="Q344" s="53"/>
      <c r="R344" s="379"/>
      <c r="T344" s="54"/>
      <c r="V344" s="379"/>
      <c r="Y344" s="449"/>
      <c r="Z344" s="461"/>
      <c r="AA344" s="379"/>
      <c r="AB344" s="379"/>
      <c r="AC344" s="50"/>
      <c r="AD344" s="50"/>
      <c r="AE344" s="379"/>
      <c r="AF344" s="379"/>
      <c r="AG344" s="156"/>
      <c r="AH344" s="60"/>
      <c r="AI344" s="53"/>
      <c r="AJ344" s="53"/>
      <c r="AK344" s="156"/>
      <c r="AL344" s="379"/>
      <c r="AM344" s="50"/>
      <c r="AN344" s="50"/>
    </row>
    <row r="345" spans="1:40" x14ac:dyDescent="0.25">
      <c r="F345" s="381"/>
      <c r="H345" s="379"/>
      <c r="I345" s="379"/>
      <c r="J345" s="464"/>
      <c r="K345" s="464"/>
      <c r="L345" s="381"/>
      <c r="M345" s="381"/>
      <c r="N345" s="381"/>
      <c r="O345" s="381"/>
      <c r="P345" s="381"/>
      <c r="Q345" s="381"/>
      <c r="R345" s="381"/>
      <c r="V345" s="381"/>
      <c r="Y345" s="379"/>
      <c r="Z345" s="464"/>
      <c r="AA345" s="381"/>
      <c r="AB345" s="381"/>
      <c r="AC345" s="381"/>
      <c r="AD345" s="381"/>
      <c r="AE345" s="381"/>
      <c r="AF345" s="381"/>
      <c r="AI345" s="381"/>
      <c r="AJ345" s="381"/>
      <c r="AK345" s="162"/>
      <c r="AL345" s="381"/>
      <c r="AM345" s="50"/>
      <c r="AN345" s="50"/>
    </row>
    <row r="346" spans="1:40" x14ac:dyDescent="0.25">
      <c r="A346" s="53"/>
      <c r="C346" s="54"/>
      <c r="F346" s="449"/>
      <c r="H346" s="449"/>
      <c r="I346" s="449"/>
      <c r="J346" s="477"/>
      <c r="K346" s="477"/>
      <c r="L346" s="379"/>
      <c r="M346" s="379"/>
      <c r="N346" s="50"/>
      <c r="O346" s="50"/>
      <c r="P346" s="379"/>
      <c r="Q346" s="379"/>
      <c r="R346" s="379"/>
      <c r="S346" s="379"/>
      <c r="T346" s="54"/>
      <c r="V346" s="449"/>
      <c r="Y346" s="449"/>
      <c r="Z346" s="477"/>
      <c r="AA346" s="379"/>
      <c r="AB346" s="379"/>
      <c r="AC346" s="50"/>
      <c r="AD346" s="50"/>
      <c r="AE346" s="379"/>
      <c r="AF346" s="379"/>
      <c r="AG346" s="156"/>
      <c r="AH346" s="50"/>
      <c r="AI346" s="379"/>
      <c r="AJ346" s="379"/>
      <c r="AK346" s="156"/>
      <c r="AL346" s="379"/>
      <c r="AM346" s="50"/>
      <c r="AN346" s="50"/>
    </row>
    <row r="347" spans="1:40" x14ac:dyDescent="0.25">
      <c r="A347" s="53"/>
      <c r="C347" s="54"/>
      <c r="F347" s="449"/>
      <c r="H347" s="449"/>
      <c r="I347" s="449"/>
      <c r="J347" s="461"/>
      <c r="K347" s="461"/>
      <c r="L347" s="379"/>
      <c r="M347" s="379"/>
      <c r="N347" s="50"/>
      <c r="O347" s="50"/>
      <c r="P347" s="379"/>
      <c r="Q347" s="379"/>
      <c r="R347" s="379"/>
      <c r="T347" s="54"/>
      <c r="V347" s="449"/>
      <c r="Y347" s="379"/>
      <c r="Z347" s="461"/>
      <c r="AA347" s="379"/>
      <c r="AB347" s="379"/>
      <c r="AC347" s="50"/>
      <c r="AD347" s="50"/>
      <c r="AE347" s="379"/>
      <c r="AF347" s="379"/>
      <c r="AG347" s="156"/>
      <c r="AH347" s="60"/>
      <c r="AI347" s="379"/>
      <c r="AJ347" s="379"/>
      <c r="AK347" s="156"/>
      <c r="AL347" s="379"/>
      <c r="AM347" s="50"/>
      <c r="AN347" s="50"/>
    </row>
    <row r="348" spans="1:40" x14ac:dyDescent="0.25">
      <c r="A348" s="53"/>
      <c r="C348" s="54"/>
      <c r="F348" s="449"/>
      <c r="H348" s="449"/>
      <c r="I348" s="449"/>
      <c r="J348" s="461"/>
      <c r="K348" s="461"/>
      <c r="L348" s="379"/>
      <c r="M348" s="379"/>
      <c r="N348" s="50"/>
      <c r="O348" s="50"/>
      <c r="P348" s="379"/>
      <c r="Q348" s="379"/>
      <c r="R348" s="379"/>
      <c r="T348" s="54"/>
      <c r="V348" s="449"/>
      <c r="Y348" s="379"/>
      <c r="Z348" s="461"/>
      <c r="AA348" s="379"/>
      <c r="AB348" s="379"/>
      <c r="AC348" s="50"/>
      <c r="AD348" s="50"/>
      <c r="AE348" s="379"/>
      <c r="AF348" s="379"/>
      <c r="AG348" s="156"/>
      <c r="AH348" s="60"/>
      <c r="AI348" s="379"/>
      <c r="AJ348" s="379"/>
      <c r="AK348" s="156"/>
      <c r="AL348" s="379"/>
      <c r="AM348" s="50"/>
      <c r="AN348" s="50"/>
    </row>
    <row r="349" spans="1:40" x14ac:dyDescent="0.25">
      <c r="F349" s="381"/>
      <c r="H349" s="381"/>
      <c r="I349" s="381"/>
      <c r="J349" s="464"/>
      <c r="K349" s="464"/>
      <c r="L349" s="381"/>
      <c r="M349" s="381"/>
      <c r="N349" s="381"/>
      <c r="O349" s="381"/>
      <c r="P349" s="381"/>
      <c r="Q349" s="381"/>
      <c r="R349" s="381"/>
      <c r="V349" s="381"/>
      <c r="Y349" s="381"/>
      <c r="Z349" s="464"/>
      <c r="AA349" s="381"/>
      <c r="AB349" s="381"/>
      <c r="AC349" s="381"/>
      <c r="AD349" s="381"/>
      <c r="AE349" s="381"/>
      <c r="AF349" s="381"/>
      <c r="AI349" s="381"/>
      <c r="AJ349" s="381"/>
      <c r="AK349" s="162"/>
      <c r="AL349" s="381"/>
      <c r="AM349" s="50"/>
      <c r="AN349" s="50"/>
    </row>
    <row r="350" spans="1:40" x14ac:dyDescent="0.25">
      <c r="A350" s="53"/>
      <c r="C350" s="54"/>
      <c r="F350" s="379"/>
      <c r="H350" s="379"/>
      <c r="I350" s="379"/>
      <c r="J350" s="59"/>
      <c r="K350" s="59"/>
      <c r="L350" s="379"/>
      <c r="M350" s="379"/>
      <c r="N350" s="50"/>
      <c r="O350" s="50"/>
      <c r="P350" s="379"/>
      <c r="Q350" s="379"/>
      <c r="R350" s="379"/>
      <c r="T350" s="54"/>
      <c r="V350" s="379"/>
      <c r="Y350" s="379"/>
      <c r="Z350" s="59"/>
      <c r="AA350" s="379"/>
      <c r="AB350" s="379"/>
      <c r="AC350" s="50"/>
      <c r="AD350" s="50"/>
      <c r="AE350" s="379"/>
      <c r="AF350" s="379"/>
      <c r="AG350" s="156"/>
      <c r="AH350" s="60"/>
      <c r="AI350" s="379"/>
      <c r="AJ350" s="379"/>
      <c r="AK350" s="156"/>
      <c r="AL350" s="379"/>
      <c r="AM350" s="50"/>
      <c r="AN350" s="50"/>
    </row>
    <row r="351" spans="1:40" x14ac:dyDescent="0.25">
      <c r="F351" s="381"/>
      <c r="H351" s="381"/>
      <c r="I351" s="381"/>
      <c r="J351" s="464"/>
      <c r="K351" s="464"/>
      <c r="L351" s="381"/>
      <c r="M351" s="381"/>
      <c r="N351" s="381"/>
      <c r="O351" s="381"/>
      <c r="P351" s="381"/>
      <c r="Q351" s="381"/>
      <c r="R351" s="381"/>
      <c r="V351" s="381"/>
      <c r="Y351" s="381"/>
      <c r="Z351" s="464"/>
      <c r="AA351" s="381"/>
      <c r="AB351" s="381"/>
      <c r="AC351" s="381"/>
      <c r="AD351" s="381"/>
      <c r="AE351" s="381"/>
      <c r="AF351" s="381"/>
      <c r="AI351" s="381"/>
      <c r="AJ351" s="381"/>
      <c r="AK351" s="162"/>
      <c r="AL351" s="381"/>
      <c r="AM351" s="50"/>
      <c r="AN351" s="50"/>
    </row>
    <row r="352" spans="1:40" x14ac:dyDescent="0.25">
      <c r="A352" s="53"/>
      <c r="C352" s="54"/>
      <c r="F352" s="379"/>
      <c r="H352" s="379"/>
      <c r="I352" s="379"/>
      <c r="J352" s="59"/>
      <c r="K352" s="59"/>
      <c r="L352" s="379"/>
      <c r="M352" s="379"/>
      <c r="N352" s="50"/>
      <c r="O352" s="50"/>
      <c r="P352" s="379"/>
      <c r="Q352" s="379"/>
      <c r="R352" s="379"/>
      <c r="T352" s="54"/>
      <c r="V352" s="379"/>
      <c r="Y352" s="379"/>
      <c r="Z352" s="59"/>
      <c r="AA352" s="379"/>
      <c r="AB352" s="379"/>
      <c r="AC352" s="50"/>
      <c r="AD352" s="50"/>
      <c r="AE352" s="379"/>
      <c r="AF352" s="379"/>
      <c r="AG352" s="156"/>
      <c r="AH352" s="60"/>
      <c r="AI352" s="379"/>
      <c r="AJ352" s="379"/>
      <c r="AK352" s="156"/>
      <c r="AL352" s="379"/>
      <c r="AM352" s="50"/>
      <c r="AN352" s="50"/>
    </row>
    <row r="353" spans="1:40" x14ac:dyDescent="0.25">
      <c r="A353" s="53"/>
      <c r="C353" s="54"/>
      <c r="F353" s="379"/>
      <c r="H353" s="449"/>
      <c r="I353" s="449"/>
      <c r="J353" s="472"/>
      <c r="K353" s="472"/>
      <c r="L353" s="379"/>
      <c r="M353" s="379"/>
      <c r="N353" s="50"/>
      <c r="O353" s="50"/>
      <c r="P353" s="379"/>
      <c r="Q353" s="379"/>
      <c r="R353" s="379"/>
      <c r="T353" s="54"/>
      <c r="V353" s="379"/>
      <c r="Y353" s="379"/>
      <c r="Z353" s="463"/>
      <c r="AA353" s="379"/>
      <c r="AB353" s="379"/>
      <c r="AC353" s="50"/>
      <c r="AD353" s="50"/>
      <c r="AE353" s="379"/>
      <c r="AF353" s="379"/>
      <c r="AG353" s="156"/>
      <c r="AH353" s="60"/>
      <c r="AI353" s="379"/>
      <c r="AJ353" s="379"/>
      <c r="AK353" s="156"/>
      <c r="AL353" s="379"/>
      <c r="AM353" s="50"/>
      <c r="AN353" s="50"/>
    </row>
    <row r="354" spans="1:40" x14ac:dyDescent="0.25">
      <c r="F354" s="381"/>
      <c r="H354" s="381"/>
      <c r="I354" s="381"/>
      <c r="J354" s="464"/>
      <c r="K354" s="464"/>
      <c r="L354" s="381"/>
      <c r="M354" s="381"/>
      <c r="N354" s="381"/>
      <c r="O354" s="381"/>
      <c r="P354" s="381"/>
      <c r="Q354" s="381"/>
      <c r="R354" s="381"/>
      <c r="V354" s="381"/>
      <c r="Y354" s="381"/>
      <c r="Z354" s="464"/>
      <c r="AA354" s="381"/>
      <c r="AB354" s="381"/>
      <c r="AC354" s="381"/>
      <c r="AD354" s="381"/>
      <c r="AE354" s="381"/>
      <c r="AF354" s="381"/>
      <c r="AI354" s="381"/>
      <c r="AJ354" s="381"/>
      <c r="AK354" s="162"/>
      <c r="AL354" s="381"/>
      <c r="AM354" s="50"/>
      <c r="AN354" s="50"/>
    </row>
    <row r="356" spans="1:40" x14ac:dyDescent="0.25">
      <c r="A356" s="53"/>
      <c r="C356" s="54"/>
      <c r="F356" s="379"/>
      <c r="H356" s="379"/>
      <c r="I356" s="379"/>
      <c r="J356" s="464"/>
      <c r="K356" s="464"/>
      <c r="L356" s="379"/>
      <c r="M356" s="379"/>
      <c r="N356" s="50"/>
      <c r="O356" s="50"/>
      <c r="P356" s="379"/>
      <c r="Q356" s="379"/>
      <c r="R356" s="379"/>
      <c r="S356" s="379"/>
      <c r="T356" s="54"/>
      <c r="V356" s="379"/>
      <c r="Y356" s="379"/>
      <c r="Z356" s="464"/>
      <c r="AA356" s="379"/>
      <c r="AB356" s="379"/>
      <c r="AC356" s="50"/>
      <c r="AD356" s="50"/>
      <c r="AE356" s="379"/>
      <c r="AF356" s="379"/>
      <c r="AG356" s="156"/>
      <c r="AH356" s="50"/>
      <c r="AI356" s="379"/>
      <c r="AJ356" s="379"/>
      <c r="AK356" s="156"/>
      <c r="AL356" s="379"/>
      <c r="AM356" s="50"/>
      <c r="AN356" s="50"/>
    </row>
    <row r="357" spans="1:40" x14ac:dyDescent="0.25">
      <c r="F357" s="381"/>
      <c r="H357" s="381"/>
      <c r="I357" s="381"/>
      <c r="J357" s="464"/>
      <c r="K357" s="464"/>
      <c r="L357" s="381"/>
      <c r="M357" s="381"/>
      <c r="N357" s="381"/>
      <c r="O357" s="381"/>
      <c r="P357" s="381"/>
      <c r="Q357" s="381"/>
      <c r="R357" s="381"/>
      <c r="S357" s="379"/>
      <c r="V357" s="381"/>
      <c r="Y357" s="381"/>
      <c r="Z357" s="464"/>
      <c r="AA357" s="381"/>
      <c r="AB357" s="381"/>
      <c r="AC357" s="381"/>
      <c r="AD357" s="381"/>
      <c r="AE357" s="381"/>
      <c r="AF357" s="381"/>
      <c r="AI357" s="381"/>
      <c r="AJ357" s="381"/>
      <c r="AK357" s="162"/>
      <c r="AL357" s="381"/>
      <c r="AM357" s="50"/>
      <c r="AN357" s="50"/>
    </row>
    <row r="358" spans="1:40" x14ac:dyDescent="0.25">
      <c r="A358" s="53"/>
      <c r="C358" s="54"/>
      <c r="T358" s="54"/>
    </row>
    <row r="359" spans="1:40" x14ac:dyDescent="0.25">
      <c r="A359" s="53"/>
      <c r="C359" s="54"/>
      <c r="F359" s="379"/>
      <c r="H359" s="379"/>
      <c r="I359" s="379"/>
      <c r="L359" s="379"/>
      <c r="M359" s="379"/>
      <c r="N359" s="50"/>
      <c r="O359" s="50"/>
      <c r="P359" s="449"/>
      <c r="Q359" s="449"/>
      <c r="R359" s="379"/>
      <c r="T359" s="54"/>
      <c r="V359" s="379"/>
      <c r="Y359" s="379"/>
      <c r="AA359" s="379"/>
      <c r="AB359" s="379"/>
      <c r="AC359" s="50"/>
      <c r="AD359" s="50"/>
      <c r="AE359" s="379"/>
      <c r="AF359" s="379"/>
      <c r="AG359" s="156"/>
      <c r="AH359" s="50"/>
      <c r="AI359" s="449"/>
      <c r="AJ359" s="449"/>
      <c r="AK359" s="156"/>
      <c r="AL359" s="379"/>
      <c r="AM359" s="50"/>
      <c r="AN359" s="50"/>
    </row>
    <row r="360" spans="1:40" x14ac:dyDescent="0.25">
      <c r="F360" s="381"/>
      <c r="H360" s="381"/>
      <c r="I360" s="381"/>
      <c r="J360" s="464"/>
      <c r="K360" s="464"/>
      <c r="L360" s="381"/>
      <c r="M360" s="381"/>
      <c r="N360" s="381"/>
      <c r="O360" s="381"/>
      <c r="P360" s="381"/>
      <c r="Q360" s="381"/>
      <c r="R360" s="381"/>
      <c r="V360" s="381"/>
      <c r="Y360" s="381"/>
      <c r="Z360" s="464"/>
      <c r="AA360" s="381"/>
      <c r="AB360" s="381"/>
      <c r="AC360" s="381"/>
      <c r="AD360" s="381"/>
      <c r="AE360" s="381"/>
      <c r="AF360" s="381"/>
      <c r="AI360" s="381"/>
      <c r="AJ360" s="381"/>
      <c r="AK360" s="162"/>
      <c r="AL360" s="381"/>
    </row>
    <row r="362" spans="1:40" x14ac:dyDescent="0.25">
      <c r="C362" s="54"/>
      <c r="L362" s="379"/>
      <c r="M362" s="379"/>
      <c r="N362" s="379"/>
      <c r="O362" s="379"/>
      <c r="P362" s="379"/>
      <c r="Q362" s="379"/>
      <c r="R362" s="379"/>
      <c r="S362" s="379"/>
      <c r="T362" s="54"/>
      <c r="AA362" s="379"/>
      <c r="AB362" s="379"/>
      <c r="AC362" s="379"/>
      <c r="AD362" s="379"/>
      <c r="AI362" s="379"/>
      <c r="AJ362" s="379"/>
      <c r="AK362" s="156"/>
      <c r="AL362" s="379"/>
    </row>
    <row r="363" spans="1:40" x14ac:dyDescent="0.25">
      <c r="A363" s="54"/>
    </row>
    <row r="364" spans="1:40" x14ac:dyDescent="0.25">
      <c r="J364" s="53"/>
      <c r="K364" s="53"/>
      <c r="Z364" s="53"/>
    </row>
    <row r="365" spans="1:40" x14ac:dyDescent="0.25">
      <c r="H365" s="54"/>
      <c r="I365" s="54"/>
      <c r="Y365" s="54"/>
    </row>
    <row r="366" spans="1:40" x14ac:dyDescent="0.25">
      <c r="J366" s="53"/>
      <c r="K366" s="53"/>
      <c r="Z366" s="53"/>
    </row>
    <row r="367" spans="1:40" x14ac:dyDescent="0.25">
      <c r="L367" s="54"/>
      <c r="M367" s="54"/>
      <c r="AA367" s="54"/>
      <c r="AB367" s="54"/>
    </row>
    <row r="368" spans="1:40" x14ac:dyDescent="0.25">
      <c r="A368" s="53"/>
      <c r="R368" s="54"/>
      <c r="AK368" s="161"/>
      <c r="AL368" s="54"/>
    </row>
    <row r="369" spans="1:40" x14ac:dyDescent="0.25">
      <c r="A369" s="53"/>
      <c r="R369" s="54"/>
      <c r="AK369" s="161"/>
      <c r="AL369" s="54"/>
    </row>
    <row r="370" spans="1:40" x14ac:dyDescent="0.25">
      <c r="A370" s="54"/>
      <c r="R370" s="54"/>
      <c r="AK370" s="161"/>
      <c r="AL370" s="54"/>
    </row>
    <row r="371" spans="1:40" x14ac:dyDescent="0.25">
      <c r="L371" s="54"/>
      <c r="M371" s="54"/>
      <c r="R371" s="53"/>
      <c r="AA371" s="54"/>
      <c r="AB371" s="54"/>
      <c r="AK371" s="156"/>
      <c r="AL371" s="53"/>
    </row>
    <row r="372" spans="1:40" x14ac:dyDescent="0.25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154"/>
      <c r="AH372" s="55"/>
      <c r="AI372" s="55"/>
      <c r="AJ372" s="55"/>
      <c r="AK372" s="154"/>
      <c r="AL372" s="55"/>
      <c r="AM372" s="55"/>
      <c r="AN372" s="55"/>
    </row>
    <row r="373" spans="1:40" x14ac:dyDescent="0.25">
      <c r="L373" s="56"/>
      <c r="M373" s="56"/>
      <c r="N373" s="56"/>
      <c r="O373" s="56"/>
      <c r="R373" s="56"/>
      <c r="AA373" s="56"/>
      <c r="AB373" s="56"/>
      <c r="AC373" s="56"/>
      <c r="AD373" s="56"/>
      <c r="AE373" s="56"/>
      <c r="AF373" s="56"/>
      <c r="AG373" s="155"/>
      <c r="AH373" s="56"/>
      <c r="AK373" s="155"/>
      <c r="AL373" s="56"/>
      <c r="AM373" s="56"/>
      <c r="AN373" s="56"/>
    </row>
    <row r="374" spans="1:40" x14ac:dyDescent="0.25">
      <c r="L374" s="56"/>
      <c r="M374" s="56"/>
      <c r="N374" s="56"/>
      <c r="O374" s="56"/>
      <c r="R374" s="56"/>
      <c r="Z374" s="56"/>
      <c r="AA374" s="56"/>
      <c r="AB374" s="56"/>
      <c r="AC374" s="56"/>
      <c r="AD374" s="56"/>
      <c r="AE374" s="56"/>
      <c r="AF374" s="56"/>
      <c r="AG374" s="155"/>
      <c r="AH374" s="56"/>
      <c r="AK374" s="155"/>
      <c r="AL374" s="56"/>
      <c r="AM374" s="56"/>
      <c r="AN374" s="56"/>
    </row>
    <row r="375" spans="1:40" x14ac:dyDescent="0.25">
      <c r="A375" s="56"/>
      <c r="C375" s="56"/>
      <c r="D375" s="56"/>
      <c r="E375" s="56"/>
      <c r="F375" s="56"/>
      <c r="J375" s="56"/>
      <c r="K375" s="56"/>
      <c r="L375" s="56"/>
      <c r="M375" s="56"/>
      <c r="N375" s="56"/>
      <c r="O375" s="56"/>
      <c r="P375" s="56"/>
      <c r="Q375" s="56"/>
      <c r="R375" s="56"/>
      <c r="T375" s="56"/>
      <c r="U375" s="56"/>
      <c r="V375" s="56"/>
      <c r="Z375" s="56"/>
      <c r="AA375" s="56"/>
      <c r="AB375" s="56"/>
      <c r="AC375" s="56"/>
      <c r="AD375" s="56"/>
      <c r="AE375" s="56"/>
      <c r="AF375" s="56"/>
      <c r="AG375" s="155"/>
      <c r="AH375" s="56"/>
      <c r="AI375" s="56"/>
      <c r="AJ375" s="56"/>
      <c r="AK375" s="155"/>
      <c r="AL375" s="56"/>
      <c r="AM375" s="56"/>
      <c r="AN375" s="56"/>
    </row>
    <row r="376" spans="1:40" x14ac:dyDescent="0.25">
      <c r="A376" s="56"/>
      <c r="C376" s="56"/>
      <c r="D376" s="56"/>
      <c r="E376" s="56"/>
      <c r="F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T376" s="56"/>
      <c r="U376" s="56"/>
      <c r="V376" s="56"/>
      <c r="Y376" s="56"/>
      <c r="Z376" s="56"/>
      <c r="AA376" s="56"/>
      <c r="AB376" s="56"/>
      <c r="AC376" s="56"/>
      <c r="AD376" s="56"/>
      <c r="AE376" s="56"/>
      <c r="AF376" s="56"/>
      <c r="AG376" s="155"/>
      <c r="AH376" s="56"/>
      <c r="AI376" s="56"/>
      <c r="AJ376" s="56"/>
      <c r="AK376" s="155"/>
      <c r="AL376" s="56"/>
      <c r="AM376" s="56"/>
      <c r="AN376" s="56"/>
    </row>
    <row r="377" spans="1:40" x14ac:dyDescent="0.25">
      <c r="C377" s="56"/>
      <c r="D377" s="56"/>
      <c r="E377" s="56"/>
      <c r="F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T377" s="56"/>
      <c r="U377" s="56"/>
      <c r="V377" s="56"/>
      <c r="Y377" s="56"/>
      <c r="Z377" s="56"/>
      <c r="AA377" s="56"/>
      <c r="AB377" s="56"/>
      <c r="AC377" s="56"/>
      <c r="AD377" s="56"/>
      <c r="AE377" s="56"/>
      <c r="AF377" s="56"/>
      <c r="AG377" s="155"/>
      <c r="AH377" s="56"/>
      <c r="AI377" s="56"/>
      <c r="AJ377" s="56"/>
      <c r="AK377" s="155"/>
      <c r="AL377" s="56"/>
      <c r="AM377" s="56"/>
      <c r="AN377" s="56"/>
    </row>
    <row r="378" spans="1:40" x14ac:dyDescent="0.25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154"/>
      <c r="AH378" s="55"/>
      <c r="AI378" s="55"/>
      <c r="AJ378" s="55"/>
      <c r="AK378" s="154"/>
      <c r="AL378" s="55"/>
      <c r="AM378" s="55"/>
      <c r="AN378" s="55"/>
    </row>
    <row r="379" spans="1:40" x14ac:dyDescent="0.25"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Y379" s="56"/>
      <c r="Z379" s="56"/>
      <c r="AA379" s="56"/>
      <c r="AB379" s="56"/>
      <c r="AC379" s="56"/>
      <c r="AD379" s="56"/>
      <c r="AE379" s="56"/>
      <c r="AF379" s="56"/>
      <c r="AG379" s="155"/>
      <c r="AH379" s="56"/>
      <c r="AI379" s="56"/>
      <c r="AJ379" s="56"/>
      <c r="AK379" s="155"/>
      <c r="AL379" s="56"/>
      <c r="AM379" s="56"/>
      <c r="AN379" s="56"/>
    </row>
    <row r="380" spans="1:40" x14ac:dyDescent="0.25">
      <c r="A380" s="53"/>
      <c r="C380" s="54"/>
      <c r="D380" s="54"/>
      <c r="E380" s="54"/>
      <c r="T380" s="54"/>
      <c r="U380" s="54"/>
    </row>
    <row r="381" spans="1:40" x14ac:dyDescent="0.25">
      <c r="D381" s="54"/>
      <c r="E381" s="54"/>
      <c r="U381" s="54"/>
    </row>
    <row r="383" spans="1:40" x14ac:dyDescent="0.25">
      <c r="A383" s="53"/>
      <c r="C383" s="54"/>
      <c r="T383" s="54"/>
    </row>
    <row r="384" spans="1:40" x14ac:dyDescent="0.25">
      <c r="A384" s="53"/>
      <c r="C384" s="54"/>
      <c r="F384" s="449"/>
      <c r="H384" s="449"/>
      <c r="I384" s="449"/>
      <c r="J384" s="221"/>
      <c r="K384" s="221"/>
      <c r="L384" s="379"/>
      <c r="M384" s="379"/>
      <c r="N384" s="50"/>
      <c r="O384" s="50"/>
      <c r="P384" s="379"/>
      <c r="Q384" s="379"/>
      <c r="R384" s="379"/>
      <c r="T384" s="54"/>
      <c r="V384" s="449"/>
      <c r="W384" s="379"/>
      <c r="X384" s="379"/>
      <c r="Y384" s="449"/>
      <c r="Z384" s="221"/>
      <c r="AA384" s="379"/>
      <c r="AB384" s="379"/>
      <c r="AC384" s="50"/>
      <c r="AD384" s="50"/>
      <c r="AE384" s="379"/>
      <c r="AF384" s="379"/>
      <c r="AG384" s="156"/>
      <c r="AH384" s="60"/>
      <c r="AI384" s="379"/>
      <c r="AJ384" s="379"/>
      <c r="AK384" s="156"/>
      <c r="AL384" s="379"/>
      <c r="AM384" s="50"/>
      <c r="AN384" s="50"/>
    </row>
    <row r="385" spans="1:40" x14ac:dyDescent="0.25">
      <c r="A385" s="53"/>
      <c r="C385" s="54"/>
      <c r="F385" s="379"/>
      <c r="H385" s="379"/>
      <c r="I385" s="379"/>
      <c r="J385" s="464"/>
      <c r="K385" s="464"/>
      <c r="L385" s="379"/>
      <c r="M385" s="379"/>
      <c r="N385" s="50"/>
      <c r="O385" s="50"/>
      <c r="P385" s="379"/>
      <c r="Q385" s="379"/>
      <c r="R385" s="379"/>
      <c r="T385" s="54"/>
      <c r="V385" s="449"/>
      <c r="W385" s="379"/>
      <c r="X385" s="379"/>
      <c r="Y385" s="449"/>
      <c r="Z385" s="464"/>
      <c r="AA385" s="379"/>
      <c r="AB385" s="379"/>
      <c r="AC385" s="50"/>
      <c r="AD385" s="50"/>
      <c r="AE385" s="379"/>
      <c r="AF385" s="379"/>
      <c r="AG385" s="156"/>
      <c r="AH385" s="60"/>
      <c r="AI385" s="379"/>
      <c r="AJ385" s="379"/>
      <c r="AK385" s="156"/>
      <c r="AL385" s="379"/>
      <c r="AM385" s="50"/>
      <c r="AN385" s="50"/>
    </row>
    <row r="386" spans="1:40" x14ac:dyDescent="0.25">
      <c r="A386" s="53"/>
      <c r="C386" s="54"/>
      <c r="F386" s="449"/>
      <c r="H386" s="449"/>
      <c r="I386" s="449"/>
      <c r="J386" s="221"/>
      <c r="K386" s="221"/>
      <c r="L386" s="379"/>
      <c r="M386" s="379"/>
      <c r="N386" s="50"/>
      <c r="O386" s="50"/>
      <c r="P386" s="379"/>
      <c r="Q386" s="379"/>
      <c r="R386" s="379"/>
      <c r="T386" s="54"/>
      <c r="V386" s="449"/>
      <c r="W386" s="379"/>
      <c r="X386" s="379"/>
      <c r="Y386" s="449"/>
      <c r="Z386" s="221"/>
      <c r="AA386" s="379"/>
      <c r="AB386" s="379"/>
      <c r="AC386" s="50"/>
      <c r="AD386" s="50"/>
      <c r="AE386" s="379"/>
      <c r="AF386" s="379"/>
      <c r="AG386" s="156"/>
      <c r="AH386" s="60"/>
      <c r="AI386" s="379"/>
      <c r="AJ386" s="379"/>
      <c r="AK386" s="156"/>
      <c r="AL386" s="379"/>
      <c r="AM386" s="50"/>
      <c r="AN386" s="50"/>
    </row>
    <row r="387" spans="1:40" x14ac:dyDescent="0.25">
      <c r="A387" s="53"/>
      <c r="C387" s="54"/>
      <c r="F387" s="449"/>
      <c r="H387" s="449"/>
      <c r="I387" s="449"/>
      <c r="J387" s="221"/>
      <c r="K387" s="221"/>
      <c r="L387" s="379"/>
      <c r="M387" s="379"/>
      <c r="N387" s="50"/>
      <c r="O387" s="50"/>
      <c r="P387" s="379"/>
      <c r="Q387" s="379"/>
      <c r="R387" s="379"/>
      <c r="T387" s="54"/>
      <c r="V387" s="449"/>
      <c r="W387" s="379"/>
      <c r="X387" s="379"/>
      <c r="Y387" s="449"/>
      <c r="Z387" s="221"/>
      <c r="AA387" s="379"/>
      <c r="AB387" s="379"/>
      <c r="AC387" s="50"/>
      <c r="AD387" s="50"/>
      <c r="AE387" s="379"/>
      <c r="AF387" s="379"/>
      <c r="AG387" s="156"/>
      <c r="AH387" s="60"/>
      <c r="AI387" s="379"/>
      <c r="AJ387" s="379"/>
      <c r="AK387" s="156"/>
      <c r="AL387" s="379"/>
      <c r="AM387" s="50"/>
      <c r="AN387" s="50"/>
    </row>
    <row r="388" spans="1:40" x14ac:dyDescent="0.25">
      <c r="A388" s="53"/>
      <c r="C388" s="54"/>
      <c r="F388" s="449"/>
      <c r="H388" s="449"/>
      <c r="I388" s="449"/>
      <c r="J388" s="221"/>
      <c r="K388" s="221"/>
      <c r="L388" s="379"/>
      <c r="M388" s="379"/>
      <c r="N388" s="50"/>
      <c r="O388" s="50"/>
      <c r="P388" s="379"/>
      <c r="Q388" s="379"/>
      <c r="R388" s="379"/>
      <c r="T388" s="54"/>
      <c r="V388" s="449"/>
      <c r="W388" s="379"/>
      <c r="X388" s="379"/>
      <c r="Y388" s="449"/>
      <c r="Z388" s="221"/>
      <c r="AA388" s="379"/>
      <c r="AB388" s="379"/>
      <c r="AC388" s="50"/>
      <c r="AD388" s="50"/>
      <c r="AE388" s="379"/>
      <c r="AF388" s="379"/>
      <c r="AG388" s="156"/>
      <c r="AH388" s="60"/>
      <c r="AI388" s="379"/>
      <c r="AJ388" s="379"/>
      <c r="AK388" s="156"/>
      <c r="AL388" s="379"/>
      <c r="AM388" s="50"/>
      <c r="AN388" s="50"/>
    </row>
    <row r="389" spans="1:40" x14ac:dyDescent="0.25">
      <c r="A389" s="53"/>
      <c r="C389" s="54"/>
      <c r="F389" s="379"/>
      <c r="H389" s="379"/>
      <c r="I389" s="379"/>
      <c r="J389" s="221"/>
      <c r="K389" s="221"/>
      <c r="L389" s="379"/>
      <c r="M389" s="379"/>
      <c r="N389" s="50"/>
      <c r="O389" s="50"/>
      <c r="P389" s="379"/>
      <c r="Q389" s="379"/>
      <c r="R389" s="379"/>
      <c r="T389" s="54"/>
      <c r="V389" s="449"/>
      <c r="W389" s="379"/>
      <c r="X389" s="379"/>
      <c r="Y389" s="449"/>
      <c r="Z389" s="221"/>
      <c r="AA389" s="379"/>
      <c r="AB389" s="379"/>
      <c r="AC389" s="50"/>
      <c r="AD389" s="50"/>
      <c r="AE389" s="379"/>
      <c r="AF389" s="379"/>
      <c r="AG389" s="156"/>
      <c r="AH389" s="60"/>
      <c r="AI389" s="379"/>
      <c r="AJ389" s="379"/>
      <c r="AK389" s="156"/>
      <c r="AL389" s="379"/>
      <c r="AM389" s="50"/>
      <c r="AN389" s="50"/>
    </row>
    <row r="390" spans="1:40" x14ac:dyDescent="0.25">
      <c r="A390" s="53"/>
      <c r="C390" s="54"/>
      <c r="F390" s="379"/>
      <c r="H390" s="379"/>
      <c r="I390" s="379"/>
      <c r="J390" s="221"/>
      <c r="K390" s="221"/>
      <c r="L390" s="379"/>
      <c r="M390" s="379"/>
      <c r="N390" s="50"/>
      <c r="O390" s="50"/>
      <c r="P390" s="379"/>
      <c r="Q390" s="379"/>
      <c r="R390" s="379"/>
      <c r="T390" s="54"/>
      <c r="V390" s="449"/>
      <c r="W390" s="379"/>
      <c r="X390" s="379"/>
      <c r="Y390" s="449"/>
      <c r="Z390" s="221"/>
      <c r="AA390" s="379"/>
      <c r="AB390" s="379"/>
      <c r="AC390" s="50"/>
      <c r="AD390" s="50"/>
      <c r="AE390" s="379"/>
      <c r="AF390" s="379"/>
      <c r="AG390" s="156"/>
      <c r="AH390" s="60"/>
      <c r="AI390" s="379"/>
      <c r="AJ390" s="379"/>
      <c r="AK390" s="156"/>
      <c r="AL390" s="379"/>
      <c r="AM390" s="50"/>
      <c r="AN390" s="50"/>
    </row>
    <row r="391" spans="1:40" x14ac:dyDescent="0.25">
      <c r="F391" s="63"/>
      <c r="H391" s="479"/>
      <c r="I391" s="479"/>
      <c r="J391" s="221"/>
      <c r="K391" s="221"/>
      <c r="L391" s="63"/>
      <c r="M391" s="63"/>
      <c r="N391" s="381"/>
      <c r="O391" s="381"/>
      <c r="P391" s="63"/>
      <c r="Q391" s="63"/>
      <c r="R391" s="63"/>
      <c r="V391" s="63"/>
      <c r="W391" s="379"/>
      <c r="X391" s="379"/>
      <c r="Y391" s="63"/>
      <c r="Z391" s="221"/>
      <c r="AA391" s="63"/>
      <c r="AB391" s="63"/>
      <c r="AC391" s="64"/>
      <c r="AD391" s="64"/>
      <c r="AE391" s="63"/>
      <c r="AF391" s="63"/>
      <c r="AG391" s="156"/>
      <c r="AH391" s="60"/>
      <c r="AI391" s="63"/>
      <c r="AJ391" s="63"/>
      <c r="AK391" s="154"/>
      <c r="AL391" s="63"/>
      <c r="AM391" s="50"/>
      <c r="AN391" s="50"/>
    </row>
    <row r="392" spans="1:40" x14ac:dyDescent="0.25">
      <c r="A392" s="53"/>
      <c r="C392" s="54"/>
      <c r="F392" s="379"/>
      <c r="H392" s="379"/>
      <c r="I392" s="379"/>
      <c r="J392" s="221"/>
      <c r="K392" s="221"/>
      <c r="L392" s="379"/>
      <c r="M392" s="379"/>
      <c r="N392" s="60"/>
      <c r="O392" s="60"/>
      <c r="P392" s="379"/>
      <c r="Q392" s="379"/>
      <c r="R392" s="379"/>
      <c r="T392" s="56"/>
      <c r="V392" s="379"/>
      <c r="W392" s="379"/>
      <c r="X392" s="379"/>
      <c r="Y392" s="379"/>
      <c r="Z392" s="221"/>
      <c r="AA392" s="379"/>
      <c r="AB392" s="379"/>
      <c r="AC392" s="60"/>
      <c r="AD392" s="60"/>
      <c r="AE392" s="379"/>
      <c r="AF392" s="379"/>
      <c r="AG392" s="156"/>
      <c r="AH392" s="60"/>
      <c r="AI392" s="379"/>
      <c r="AJ392" s="379"/>
      <c r="AK392" s="156"/>
      <c r="AL392" s="379"/>
      <c r="AM392" s="50"/>
      <c r="AN392" s="50"/>
    </row>
    <row r="393" spans="1:40" x14ac:dyDescent="0.25">
      <c r="F393" s="55"/>
      <c r="H393" s="55"/>
      <c r="I393" s="55"/>
      <c r="L393" s="55"/>
      <c r="M393" s="55"/>
      <c r="N393" s="64"/>
      <c r="O393" s="64"/>
      <c r="P393" s="63"/>
      <c r="Q393" s="63"/>
      <c r="R393" s="63"/>
      <c r="V393" s="63"/>
      <c r="Y393" s="63"/>
      <c r="Z393" s="464"/>
      <c r="AA393" s="63"/>
      <c r="AB393" s="63"/>
      <c r="AC393" s="63"/>
      <c r="AD393" s="63"/>
      <c r="AE393" s="63"/>
      <c r="AF393" s="63"/>
      <c r="AI393" s="63"/>
      <c r="AJ393" s="63"/>
      <c r="AK393" s="154"/>
      <c r="AL393" s="63"/>
      <c r="AM393" s="64"/>
      <c r="AN393" s="64"/>
    </row>
    <row r="394" spans="1:40" x14ac:dyDescent="0.25">
      <c r="AI394" s="53"/>
      <c r="AJ394" s="53"/>
    </row>
    <row r="398" spans="1:40" x14ac:dyDescent="0.25">
      <c r="N398" s="379"/>
      <c r="O398" s="379"/>
      <c r="P398" s="379"/>
      <c r="Q398" s="379"/>
      <c r="R398" s="379"/>
      <c r="V398" s="379"/>
      <c r="Y398" s="379"/>
      <c r="Z398" s="59"/>
      <c r="AA398" s="379"/>
      <c r="AB398" s="379"/>
      <c r="AC398" s="50"/>
      <c r="AD398" s="50"/>
      <c r="AE398" s="379"/>
      <c r="AF398" s="379"/>
      <c r="AG398" s="156"/>
      <c r="AH398" s="60"/>
      <c r="AI398" s="379"/>
      <c r="AJ398" s="379"/>
      <c r="AK398" s="156"/>
      <c r="AL398" s="379"/>
      <c r="AM398" s="50"/>
      <c r="AN398" s="50"/>
    </row>
    <row r="399" spans="1:40" x14ac:dyDescent="0.25">
      <c r="A399" s="53"/>
      <c r="C399" s="54"/>
      <c r="D399" s="54"/>
      <c r="E399" s="54"/>
      <c r="J399" s="65"/>
      <c r="K399" s="65"/>
      <c r="T399" s="54"/>
      <c r="U399" s="54"/>
      <c r="Z399" s="65"/>
      <c r="AE399" s="379"/>
      <c r="AF399" s="379"/>
      <c r="AI399" s="379"/>
      <c r="AJ399" s="379"/>
      <c r="AK399" s="156"/>
      <c r="AL399" s="379"/>
      <c r="AM399" s="50"/>
      <c r="AN399" s="50"/>
    </row>
    <row r="400" spans="1:40" x14ac:dyDescent="0.25">
      <c r="D400" s="54"/>
      <c r="E400" s="54"/>
      <c r="F400" s="379"/>
      <c r="H400" s="379"/>
      <c r="I400" s="379"/>
      <c r="J400" s="221"/>
      <c r="K400" s="221"/>
      <c r="L400" s="379"/>
      <c r="M400" s="379"/>
      <c r="N400" s="50"/>
      <c r="O400" s="50"/>
      <c r="P400" s="379"/>
      <c r="Q400" s="379"/>
      <c r="R400" s="379"/>
      <c r="U400" s="54"/>
      <c r="V400" s="379"/>
      <c r="Y400" s="379"/>
      <c r="Z400" s="221"/>
      <c r="AA400" s="379"/>
      <c r="AB400" s="379"/>
      <c r="AC400" s="50"/>
      <c r="AD400" s="50"/>
      <c r="AE400" s="379"/>
      <c r="AF400" s="379"/>
      <c r="AG400" s="156"/>
      <c r="AH400" s="60"/>
      <c r="AI400" s="379"/>
      <c r="AJ400" s="379"/>
      <c r="AK400" s="156"/>
      <c r="AL400" s="379"/>
      <c r="AM400" s="50"/>
      <c r="AN400" s="50"/>
    </row>
    <row r="401" spans="1:40" x14ac:dyDescent="0.25">
      <c r="F401" s="379"/>
      <c r="H401" s="379"/>
      <c r="I401" s="379"/>
      <c r="J401" s="464"/>
      <c r="K401" s="464"/>
      <c r="L401" s="379"/>
      <c r="M401" s="379"/>
      <c r="N401" s="379"/>
      <c r="O401" s="379"/>
      <c r="P401" s="379"/>
      <c r="Q401" s="379"/>
      <c r="R401" s="379"/>
      <c r="V401" s="379"/>
      <c r="Y401" s="379"/>
      <c r="Z401" s="464"/>
      <c r="AA401" s="379"/>
      <c r="AB401" s="379"/>
      <c r="AC401" s="379"/>
      <c r="AD401" s="379"/>
      <c r="AE401" s="379"/>
      <c r="AF401" s="379"/>
      <c r="AG401" s="156"/>
      <c r="AH401" s="60"/>
      <c r="AI401" s="449"/>
      <c r="AJ401" s="449"/>
      <c r="AK401" s="156"/>
      <c r="AL401" s="379"/>
      <c r="AM401" s="50"/>
      <c r="AN401" s="50"/>
    </row>
    <row r="402" spans="1:40" x14ac:dyDescent="0.25">
      <c r="A402" s="53"/>
      <c r="C402" s="54"/>
      <c r="F402" s="449"/>
      <c r="H402" s="449"/>
      <c r="I402" s="449"/>
      <c r="J402" s="463"/>
      <c r="K402" s="463"/>
      <c r="L402" s="379"/>
      <c r="M402" s="379"/>
      <c r="N402" s="50"/>
      <c r="O402" s="50"/>
      <c r="P402" s="379"/>
      <c r="Q402" s="379"/>
      <c r="R402" s="379"/>
      <c r="T402" s="54"/>
      <c r="V402" s="449"/>
      <c r="Y402" s="449"/>
      <c r="Z402" s="463"/>
      <c r="AA402" s="379"/>
      <c r="AB402" s="379"/>
      <c r="AC402" s="50"/>
      <c r="AD402" s="50"/>
      <c r="AE402" s="379"/>
      <c r="AF402" s="379"/>
      <c r="AG402" s="156"/>
      <c r="AH402" s="60"/>
      <c r="AI402" s="379"/>
      <c r="AJ402" s="379"/>
      <c r="AK402" s="156"/>
      <c r="AL402" s="379"/>
      <c r="AM402" s="50"/>
      <c r="AN402" s="50"/>
    </row>
    <row r="403" spans="1:40" x14ac:dyDescent="0.25">
      <c r="F403" s="55"/>
      <c r="H403" s="55"/>
      <c r="I403" s="55"/>
      <c r="L403" s="55"/>
      <c r="M403" s="55"/>
      <c r="N403" s="55"/>
      <c r="O403" s="55"/>
      <c r="P403" s="55"/>
      <c r="Q403" s="55"/>
      <c r="R403" s="55"/>
      <c r="V403" s="55"/>
      <c r="Y403" s="55"/>
      <c r="AA403" s="55"/>
      <c r="AB403" s="55"/>
      <c r="AC403" s="55"/>
      <c r="AD403" s="55"/>
      <c r="AE403" s="55"/>
      <c r="AF403" s="55"/>
      <c r="AG403" s="154"/>
      <c r="AH403" s="55"/>
      <c r="AI403" s="55"/>
      <c r="AJ403" s="55"/>
      <c r="AK403" s="154"/>
      <c r="AL403" s="55"/>
      <c r="AM403" s="55"/>
      <c r="AN403" s="55"/>
    </row>
    <row r="404" spans="1:40" x14ac:dyDescent="0.25">
      <c r="A404" s="53"/>
      <c r="C404" s="56"/>
      <c r="F404" s="449"/>
      <c r="H404" s="449"/>
      <c r="I404" s="449"/>
      <c r="J404" s="461"/>
      <c r="K404" s="461"/>
      <c r="L404" s="449"/>
      <c r="M404" s="449"/>
      <c r="N404" s="50"/>
      <c r="O404" s="50"/>
      <c r="P404" s="449"/>
      <c r="Q404" s="449"/>
      <c r="R404" s="449"/>
      <c r="T404" s="56"/>
      <c r="V404" s="379"/>
      <c r="Y404" s="379"/>
      <c r="Z404" s="59"/>
      <c r="AA404" s="379"/>
      <c r="AB404" s="379"/>
      <c r="AC404" s="50"/>
      <c r="AD404" s="50"/>
      <c r="AE404" s="53"/>
      <c r="AF404" s="53"/>
      <c r="AG404" s="156"/>
      <c r="AH404" s="60"/>
      <c r="AI404" s="379"/>
      <c r="AJ404" s="379"/>
      <c r="AK404" s="156"/>
      <c r="AL404" s="379"/>
      <c r="AM404" s="50"/>
      <c r="AN404" s="50"/>
    </row>
    <row r="405" spans="1:40" x14ac:dyDescent="0.25">
      <c r="F405" s="63"/>
      <c r="H405" s="63"/>
      <c r="I405" s="63"/>
      <c r="J405" s="464"/>
      <c r="K405" s="464"/>
      <c r="L405" s="63"/>
      <c r="M405" s="63"/>
      <c r="N405" s="63"/>
      <c r="O405" s="63"/>
      <c r="P405" s="63"/>
      <c r="Q405" s="63"/>
      <c r="R405" s="63"/>
      <c r="V405" s="55"/>
      <c r="Y405" s="55"/>
      <c r="AA405" s="55"/>
      <c r="AB405" s="55"/>
      <c r="AC405" s="55"/>
      <c r="AD405" s="55"/>
      <c r="AE405" s="55"/>
      <c r="AF405" s="55"/>
      <c r="AG405" s="154"/>
      <c r="AH405" s="55"/>
      <c r="AI405" s="55"/>
      <c r="AJ405" s="55"/>
      <c r="AK405" s="154"/>
      <c r="AL405" s="55"/>
      <c r="AM405" s="55"/>
      <c r="AN405" s="55"/>
    </row>
    <row r="406" spans="1:40" x14ac:dyDescent="0.25">
      <c r="F406" s="449"/>
      <c r="H406" s="449"/>
      <c r="I406" s="449"/>
      <c r="J406" s="477"/>
      <c r="K406" s="477"/>
      <c r="L406" s="379"/>
      <c r="M406" s="379"/>
      <c r="N406" s="50"/>
      <c r="O406" s="50"/>
      <c r="P406" s="379"/>
      <c r="Q406" s="379"/>
      <c r="R406" s="379"/>
    </row>
    <row r="407" spans="1:40" x14ac:dyDescent="0.25">
      <c r="A407" s="54"/>
      <c r="F407" s="449"/>
      <c r="H407" s="449"/>
      <c r="I407" s="449"/>
      <c r="J407" s="461"/>
      <c r="K407" s="461"/>
      <c r="L407" s="379"/>
      <c r="M407" s="379"/>
      <c r="N407" s="50"/>
      <c r="O407" s="50"/>
      <c r="P407" s="379"/>
      <c r="Q407" s="379"/>
      <c r="R407" s="379"/>
    </row>
    <row r="408" spans="1:40" x14ac:dyDescent="0.25">
      <c r="F408" s="449"/>
      <c r="H408" s="449"/>
      <c r="I408" s="449"/>
      <c r="J408" s="461"/>
      <c r="K408" s="461"/>
      <c r="L408" s="379"/>
      <c r="M408" s="379"/>
      <c r="N408" s="50"/>
      <c r="O408" s="50"/>
      <c r="P408" s="379"/>
      <c r="Q408" s="379"/>
      <c r="R408" s="379"/>
    </row>
    <row r="409" spans="1:40" x14ac:dyDescent="0.25">
      <c r="A409" s="54"/>
    </row>
    <row r="411" spans="1:40" x14ac:dyDescent="0.25">
      <c r="J411" s="53"/>
      <c r="K411" s="53"/>
      <c r="Z411" s="53"/>
    </row>
    <row r="412" spans="1:40" x14ac:dyDescent="0.25">
      <c r="H412" s="54"/>
      <c r="I412" s="54"/>
      <c r="Y412" s="54"/>
    </row>
    <row r="413" spans="1:40" x14ac:dyDescent="0.25">
      <c r="J413" s="53"/>
      <c r="K413" s="53"/>
      <c r="Z413" s="53"/>
    </row>
    <row r="414" spans="1:40" x14ac:dyDescent="0.25">
      <c r="L414" s="54"/>
      <c r="M414" s="54"/>
      <c r="AA414" s="54"/>
      <c r="AB414" s="54"/>
    </row>
    <row r="415" spans="1:40" x14ac:dyDescent="0.25">
      <c r="A415" s="53"/>
      <c r="R415" s="54"/>
      <c r="AK415" s="161"/>
      <c r="AL415" s="54"/>
    </row>
    <row r="416" spans="1:40" x14ac:dyDescent="0.25">
      <c r="A416" s="53"/>
      <c r="R416" s="54"/>
      <c r="AK416" s="161"/>
      <c r="AL416" s="54"/>
    </row>
    <row r="417" spans="1:40" x14ac:dyDescent="0.25">
      <c r="A417" s="54"/>
      <c r="R417" s="54"/>
      <c r="AK417" s="161"/>
      <c r="AL417" s="54"/>
    </row>
    <row r="418" spans="1:40" x14ac:dyDescent="0.25">
      <c r="L418" s="54"/>
      <c r="M418" s="54"/>
      <c r="R418" s="53"/>
      <c r="AA418" s="54"/>
      <c r="AB418" s="54"/>
      <c r="AK418" s="156"/>
      <c r="AL418" s="53"/>
    </row>
    <row r="419" spans="1:40" x14ac:dyDescent="0.25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154"/>
      <c r="AH419" s="55"/>
      <c r="AI419" s="55"/>
      <c r="AJ419" s="55"/>
      <c r="AK419" s="154"/>
      <c r="AL419" s="55"/>
      <c r="AM419" s="55"/>
      <c r="AN419" s="55"/>
    </row>
    <row r="420" spans="1:40" x14ac:dyDescent="0.25">
      <c r="L420" s="56"/>
      <c r="M420" s="56"/>
      <c r="N420" s="56"/>
      <c r="O420" s="56"/>
      <c r="R420" s="56"/>
      <c r="AA420" s="56"/>
      <c r="AB420" s="56"/>
      <c r="AC420" s="56"/>
      <c r="AD420" s="56"/>
      <c r="AE420" s="56"/>
      <c r="AF420" s="56"/>
      <c r="AG420" s="155"/>
      <c r="AH420" s="56"/>
      <c r="AK420" s="155"/>
      <c r="AL420" s="56"/>
      <c r="AM420" s="56"/>
      <c r="AN420" s="56"/>
    </row>
    <row r="421" spans="1:40" x14ac:dyDescent="0.25">
      <c r="L421" s="56"/>
      <c r="M421" s="56"/>
      <c r="N421" s="56"/>
      <c r="O421" s="56"/>
      <c r="R421" s="56"/>
      <c r="Z421" s="56"/>
      <c r="AA421" s="56"/>
      <c r="AB421" s="56"/>
      <c r="AC421" s="56"/>
      <c r="AD421" s="56"/>
      <c r="AE421" s="56"/>
      <c r="AF421" s="56"/>
      <c r="AG421" s="155"/>
      <c r="AH421" s="56"/>
      <c r="AK421" s="155"/>
      <c r="AL421" s="56"/>
      <c r="AM421" s="56"/>
      <c r="AN421" s="56"/>
    </row>
    <row r="422" spans="1:40" x14ac:dyDescent="0.25">
      <c r="A422" s="56"/>
      <c r="C422" s="56"/>
      <c r="D422" s="56"/>
      <c r="E422" s="56"/>
      <c r="F422" s="56"/>
      <c r="J422" s="56"/>
      <c r="K422" s="56"/>
      <c r="L422" s="56"/>
      <c r="M422" s="56"/>
      <c r="N422" s="56"/>
      <c r="O422" s="56"/>
      <c r="P422" s="56"/>
      <c r="Q422" s="56"/>
      <c r="R422" s="56"/>
      <c r="T422" s="56"/>
      <c r="U422" s="56"/>
      <c r="V422" s="56"/>
      <c r="Z422" s="56"/>
      <c r="AA422" s="56"/>
      <c r="AB422" s="56"/>
      <c r="AC422" s="56"/>
      <c r="AD422" s="56"/>
      <c r="AE422" s="56"/>
      <c r="AF422" s="56"/>
      <c r="AG422" s="155"/>
      <c r="AH422" s="56"/>
      <c r="AI422" s="56"/>
      <c r="AJ422" s="56"/>
      <c r="AK422" s="155"/>
      <c r="AL422" s="56"/>
      <c r="AM422" s="56"/>
      <c r="AN422" s="56"/>
    </row>
    <row r="423" spans="1:40" x14ac:dyDescent="0.25">
      <c r="A423" s="56"/>
      <c r="C423" s="56"/>
      <c r="D423" s="56"/>
      <c r="E423" s="56"/>
      <c r="F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T423" s="56"/>
      <c r="U423" s="56"/>
      <c r="V423" s="56"/>
      <c r="Y423" s="56"/>
      <c r="Z423" s="56"/>
      <c r="AA423" s="56"/>
      <c r="AB423" s="56"/>
      <c r="AC423" s="56"/>
      <c r="AD423" s="56"/>
      <c r="AE423" s="56"/>
      <c r="AF423" s="56"/>
      <c r="AG423" s="155"/>
      <c r="AH423" s="56"/>
      <c r="AI423" s="56"/>
      <c r="AJ423" s="56"/>
      <c r="AK423" s="155"/>
      <c r="AL423" s="56"/>
      <c r="AM423" s="56"/>
      <c r="AN423" s="56"/>
    </row>
    <row r="424" spans="1:40" x14ac:dyDescent="0.25">
      <c r="C424" s="56"/>
      <c r="D424" s="56"/>
      <c r="E424" s="56"/>
      <c r="F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T424" s="56"/>
      <c r="U424" s="56"/>
      <c r="V424" s="56"/>
      <c r="Y424" s="56"/>
      <c r="Z424" s="56"/>
      <c r="AA424" s="56"/>
      <c r="AB424" s="56"/>
      <c r="AC424" s="56"/>
      <c r="AD424" s="56"/>
      <c r="AE424" s="56"/>
      <c r="AF424" s="56"/>
      <c r="AG424" s="155"/>
      <c r="AH424" s="56"/>
      <c r="AI424" s="56"/>
      <c r="AJ424" s="56"/>
      <c r="AK424" s="155"/>
      <c r="AL424" s="56"/>
      <c r="AM424" s="56"/>
      <c r="AN424" s="56"/>
    </row>
    <row r="425" spans="1:40" x14ac:dyDescent="0.25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154"/>
      <c r="AH425" s="55"/>
      <c r="AI425" s="55"/>
      <c r="AJ425" s="55"/>
      <c r="AK425" s="154"/>
      <c r="AL425" s="55"/>
      <c r="AM425" s="55"/>
      <c r="AN425" s="55"/>
    </row>
    <row r="426" spans="1:40" x14ac:dyDescent="0.25"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Y426" s="56"/>
      <c r="Z426" s="56"/>
      <c r="AA426" s="56"/>
      <c r="AB426" s="56"/>
      <c r="AC426" s="56"/>
      <c r="AD426" s="56"/>
      <c r="AE426" s="56"/>
      <c r="AF426" s="56"/>
      <c r="AG426" s="155"/>
      <c r="AH426" s="56"/>
      <c r="AI426" s="56"/>
      <c r="AJ426" s="56"/>
      <c r="AK426" s="155"/>
      <c r="AL426" s="56"/>
      <c r="AM426" s="56"/>
      <c r="AN426" s="56"/>
    </row>
    <row r="427" spans="1:40" x14ac:dyDescent="0.25">
      <c r="A427" s="53"/>
      <c r="C427" s="54"/>
      <c r="D427" s="54"/>
      <c r="E427" s="54"/>
      <c r="T427" s="54"/>
      <c r="U427" s="54"/>
    </row>
    <row r="429" spans="1:40" x14ac:dyDescent="0.25">
      <c r="A429" s="53"/>
      <c r="C429" s="54"/>
      <c r="T429" s="54"/>
    </row>
    <row r="430" spans="1:40" x14ac:dyDescent="0.25">
      <c r="A430" s="53"/>
      <c r="C430" s="54"/>
      <c r="F430" s="449"/>
      <c r="H430" s="449"/>
      <c r="I430" s="449"/>
      <c r="J430" s="464"/>
      <c r="K430" s="464"/>
      <c r="L430" s="379"/>
      <c r="M430" s="379"/>
      <c r="N430" s="50"/>
      <c r="O430" s="50"/>
      <c r="P430" s="379"/>
      <c r="Q430" s="379"/>
      <c r="R430" s="379"/>
      <c r="T430" s="54"/>
      <c r="V430" s="449"/>
      <c r="Y430" s="449"/>
      <c r="Z430" s="464"/>
      <c r="AA430" s="379"/>
      <c r="AB430" s="379"/>
      <c r="AC430" s="50"/>
      <c r="AD430" s="50"/>
      <c r="AE430" s="379"/>
      <c r="AF430" s="379"/>
      <c r="AG430" s="156"/>
      <c r="AH430" s="60"/>
      <c r="AI430" s="379"/>
      <c r="AJ430" s="379"/>
      <c r="AK430" s="156"/>
      <c r="AL430" s="379"/>
      <c r="AM430" s="50"/>
      <c r="AN430" s="50"/>
    </row>
    <row r="431" spans="1:40" x14ac:dyDescent="0.25">
      <c r="A431" s="53"/>
      <c r="C431" s="54"/>
      <c r="T431" s="54"/>
    </row>
    <row r="432" spans="1:40" x14ac:dyDescent="0.25">
      <c r="A432" s="53"/>
      <c r="C432" s="54"/>
      <c r="F432" s="449"/>
      <c r="H432" s="449"/>
      <c r="I432" s="449"/>
      <c r="J432" s="221"/>
      <c r="K432" s="221"/>
      <c r="L432" s="379"/>
      <c r="M432" s="379"/>
      <c r="N432" s="50"/>
      <c r="O432" s="50"/>
      <c r="P432" s="379"/>
      <c r="Q432" s="379"/>
      <c r="R432" s="379"/>
      <c r="T432" s="54"/>
      <c r="V432" s="379"/>
      <c r="Y432" s="379"/>
      <c r="Z432" s="221"/>
      <c r="AA432" s="379"/>
      <c r="AB432" s="379"/>
      <c r="AC432" s="50"/>
      <c r="AD432" s="50"/>
      <c r="AE432" s="379"/>
      <c r="AF432" s="379"/>
      <c r="AG432" s="156"/>
      <c r="AH432" s="60"/>
      <c r="AI432" s="379"/>
      <c r="AJ432" s="379"/>
      <c r="AK432" s="156"/>
      <c r="AL432" s="379"/>
      <c r="AM432" s="50"/>
      <c r="AN432" s="50"/>
    </row>
    <row r="433" spans="1:40" x14ac:dyDescent="0.25">
      <c r="A433" s="53"/>
      <c r="C433" s="54"/>
      <c r="F433" s="449"/>
      <c r="H433" s="449"/>
      <c r="I433" s="449"/>
      <c r="J433" s="221"/>
      <c r="K433" s="221"/>
      <c r="L433" s="379"/>
      <c r="M433" s="379"/>
      <c r="N433" s="50"/>
      <c r="O433" s="50"/>
      <c r="P433" s="379"/>
      <c r="Q433" s="379"/>
      <c r="R433" s="379"/>
      <c r="T433" s="54"/>
      <c r="V433" s="379"/>
      <c r="Y433" s="379"/>
      <c r="Z433" s="221"/>
      <c r="AA433" s="379"/>
      <c r="AB433" s="379"/>
      <c r="AC433" s="50"/>
      <c r="AD433" s="50"/>
      <c r="AE433" s="379"/>
      <c r="AF433" s="379"/>
      <c r="AG433" s="156"/>
      <c r="AH433" s="60"/>
      <c r="AI433" s="379"/>
      <c r="AJ433" s="379"/>
      <c r="AK433" s="156"/>
      <c r="AL433" s="379"/>
      <c r="AM433" s="50"/>
      <c r="AN433" s="50"/>
    </row>
    <row r="434" spans="1:40" x14ac:dyDescent="0.25">
      <c r="A434" s="53"/>
      <c r="C434" s="54"/>
      <c r="F434" s="449"/>
      <c r="H434" s="449"/>
      <c r="I434" s="449"/>
      <c r="J434" s="221"/>
      <c r="K434" s="221"/>
      <c r="L434" s="379"/>
      <c r="M434" s="379"/>
      <c r="N434" s="50"/>
      <c r="O434" s="50"/>
      <c r="P434" s="379"/>
      <c r="Q434" s="379"/>
      <c r="R434" s="379"/>
      <c r="T434" s="54"/>
      <c r="V434" s="379"/>
      <c r="Y434" s="379"/>
      <c r="Z434" s="221"/>
      <c r="AA434" s="379"/>
      <c r="AB434" s="379"/>
      <c r="AC434" s="50"/>
      <c r="AD434" s="50"/>
      <c r="AE434" s="379"/>
      <c r="AF434" s="379"/>
      <c r="AG434" s="156"/>
      <c r="AH434" s="60"/>
      <c r="AI434" s="379"/>
      <c r="AJ434" s="379"/>
      <c r="AK434" s="156"/>
      <c r="AL434" s="379"/>
      <c r="AM434" s="50"/>
      <c r="AN434" s="50"/>
    </row>
    <row r="435" spans="1:40" x14ac:dyDescent="0.25">
      <c r="A435" s="53"/>
      <c r="C435" s="54"/>
      <c r="F435" s="449"/>
      <c r="H435" s="449"/>
      <c r="I435" s="449"/>
      <c r="J435" s="221"/>
      <c r="K435" s="221"/>
      <c r="L435" s="379"/>
      <c r="M435" s="379"/>
      <c r="N435" s="50"/>
      <c r="O435" s="50"/>
      <c r="P435" s="379"/>
      <c r="Q435" s="379"/>
      <c r="R435" s="379"/>
      <c r="T435" s="54"/>
      <c r="V435" s="379"/>
      <c r="Y435" s="379"/>
      <c r="Z435" s="221"/>
      <c r="AA435" s="379"/>
      <c r="AB435" s="379"/>
      <c r="AC435" s="50"/>
      <c r="AD435" s="50"/>
      <c r="AE435" s="379"/>
      <c r="AF435" s="379"/>
      <c r="AG435" s="156"/>
      <c r="AH435" s="60"/>
      <c r="AI435" s="379"/>
      <c r="AJ435" s="379"/>
      <c r="AK435" s="156"/>
      <c r="AL435" s="379"/>
      <c r="AM435" s="50"/>
      <c r="AN435" s="50"/>
    </row>
    <row r="436" spans="1:40" x14ac:dyDescent="0.25">
      <c r="A436" s="53"/>
      <c r="C436" s="54"/>
      <c r="J436" s="65"/>
      <c r="K436" s="65"/>
      <c r="T436" s="54"/>
      <c r="Z436" s="65"/>
    </row>
    <row r="437" spans="1:40" x14ac:dyDescent="0.25">
      <c r="A437" s="53"/>
      <c r="C437" s="54"/>
      <c r="F437" s="449"/>
      <c r="H437" s="449"/>
      <c r="I437" s="449"/>
      <c r="J437" s="221"/>
      <c r="K437" s="221"/>
      <c r="L437" s="379"/>
      <c r="M437" s="379"/>
      <c r="N437" s="50"/>
      <c r="O437" s="50"/>
      <c r="P437" s="379"/>
      <c r="Q437" s="379"/>
      <c r="R437" s="379"/>
      <c r="T437" s="54"/>
      <c r="V437" s="379"/>
      <c r="Y437" s="379"/>
      <c r="Z437" s="221"/>
      <c r="AA437" s="379"/>
      <c r="AB437" s="379"/>
      <c r="AC437" s="50"/>
      <c r="AD437" s="50"/>
      <c r="AE437" s="379"/>
      <c r="AF437" s="379"/>
      <c r="AG437" s="156"/>
      <c r="AH437" s="60"/>
      <c r="AI437" s="379"/>
      <c r="AJ437" s="379"/>
      <c r="AK437" s="156"/>
      <c r="AL437" s="379"/>
      <c r="AM437" s="50"/>
      <c r="AN437" s="50"/>
    </row>
    <row r="438" spans="1:40" x14ac:dyDescent="0.25">
      <c r="A438" s="53"/>
      <c r="C438" s="54"/>
      <c r="F438" s="449"/>
      <c r="H438" s="449"/>
      <c r="I438" s="449"/>
      <c r="J438" s="221"/>
      <c r="K438" s="221"/>
      <c r="L438" s="379"/>
      <c r="M438" s="379"/>
      <c r="N438" s="50"/>
      <c r="O438" s="50"/>
      <c r="P438" s="379"/>
      <c r="Q438" s="379"/>
      <c r="R438" s="379"/>
      <c r="T438" s="54"/>
      <c r="V438" s="379"/>
      <c r="Y438" s="379"/>
      <c r="Z438" s="221"/>
      <c r="AA438" s="379"/>
      <c r="AB438" s="379"/>
      <c r="AC438" s="50"/>
      <c r="AD438" s="50"/>
      <c r="AE438" s="379"/>
      <c r="AF438" s="379"/>
      <c r="AG438" s="156"/>
      <c r="AH438" s="60"/>
      <c r="AI438" s="379"/>
      <c r="AJ438" s="379"/>
      <c r="AK438" s="156"/>
      <c r="AL438" s="379"/>
      <c r="AM438" s="50"/>
      <c r="AN438" s="50"/>
    </row>
    <row r="439" spans="1:40" x14ac:dyDescent="0.25">
      <c r="A439" s="53"/>
      <c r="C439" s="54"/>
      <c r="F439" s="449"/>
      <c r="H439" s="449"/>
      <c r="I439" s="449"/>
      <c r="J439" s="221"/>
      <c r="K439" s="221"/>
      <c r="L439" s="379"/>
      <c r="M439" s="379"/>
      <c r="N439" s="50"/>
      <c r="O439" s="50"/>
      <c r="P439" s="379"/>
      <c r="Q439" s="379"/>
      <c r="R439" s="379"/>
      <c r="T439" s="54"/>
      <c r="V439" s="379"/>
      <c r="Y439" s="379"/>
      <c r="Z439" s="221"/>
      <c r="AA439" s="379"/>
      <c r="AB439" s="379"/>
      <c r="AC439" s="50"/>
      <c r="AD439" s="50"/>
      <c r="AE439" s="379"/>
      <c r="AF439" s="379"/>
      <c r="AG439" s="156"/>
      <c r="AH439" s="60"/>
      <c r="AI439" s="379"/>
      <c r="AJ439" s="379"/>
      <c r="AK439" s="156"/>
      <c r="AL439" s="379"/>
      <c r="AM439" s="50"/>
      <c r="AN439" s="50"/>
    </row>
    <row r="440" spans="1:40" x14ac:dyDescent="0.25">
      <c r="A440" s="53"/>
      <c r="C440" s="54"/>
      <c r="J440" s="65"/>
      <c r="K440" s="65"/>
      <c r="T440" s="54"/>
      <c r="Z440" s="65"/>
    </row>
    <row r="441" spans="1:40" x14ac:dyDescent="0.25">
      <c r="A441" s="53"/>
      <c r="C441" s="54"/>
      <c r="F441" s="449"/>
      <c r="H441" s="449"/>
      <c r="I441" s="449"/>
      <c r="J441" s="221"/>
      <c r="K441" s="221"/>
      <c r="L441" s="379"/>
      <c r="M441" s="379"/>
      <c r="N441" s="50"/>
      <c r="O441" s="50"/>
      <c r="P441" s="379"/>
      <c r="Q441" s="379"/>
      <c r="R441" s="379"/>
      <c r="T441" s="54"/>
      <c r="V441" s="379"/>
      <c r="Y441" s="379"/>
      <c r="Z441" s="221"/>
      <c r="AA441" s="379"/>
      <c r="AB441" s="379"/>
      <c r="AC441" s="50"/>
      <c r="AD441" s="50"/>
      <c r="AE441" s="379"/>
      <c r="AF441" s="379"/>
      <c r="AG441" s="156"/>
      <c r="AH441" s="60"/>
      <c r="AI441" s="379"/>
      <c r="AJ441" s="379"/>
      <c r="AK441" s="156"/>
      <c r="AL441" s="379"/>
      <c r="AM441" s="50"/>
      <c r="AN441" s="50"/>
    </row>
    <row r="442" spans="1:40" x14ac:dyDescent="0.25">
      <c r="A442" s="53"/>
      <c r="C442" s="54"/>
      <c r="F442" s="449"/>
      <c r="H442" s="449"/>
      <c r="I442" s="449"/>
      <c r="J442" s="221"/>
      <c r="K442" s="221"/>
      <c r="L442" s="379"/>
      <c r="M442" s="379"/>
      <c r="N442" s="50"/>
      <c r="O442" s="50"/>
      <c r="P442" s="379"/>
      <c r="Q442" s="379"/>
      <c r="R442" s="379"/>
      <c r="T442" s="54"/>
      <c r="V442" s="379"/>
      <c r="Y442" s="379"/>
      <c r="Z442" s="221"/>
      <c r="AA442" s="379"/>
      <c r="AB442" s="379"/>
      <c r="AC442" s="50"/>
      <c r="AD442" s="50"/>
      <c r="AE442" s="379"/>
      <c r="AF442" s="379"/>
      <c r="AG442" s="156"/>
      <c r="AH442" s="60"/>
      <c r="AI442" s="379"/>
      <c r="AJ442" s="379"/>
      <c r="AK442" s="156"/>
      <c r="AL442" s="379"/>
      <c r="AM442" s="50"/>
      <c r="AN442" s="50"/>
    </row>
    <row r="443" spans="1:40" x14ac:dyDescent="0.25">
      <c r="A443" s="53"/>
      <c r="C443" s="54"/>
      <c r="J443" s="65"/>
      <c r="K443" s="65"/>
      <c r="T443" s="54"/>
      <c r="Z443" s="65"/>
    </row>
    <row r="444" spans="1:40" x14ac:dyDescent="0.25">
      <c r="A444" s="53"/>
      <c r="C444" s="54"/>
      <c r="F444" s="449"/>
      <c r="H444" s="449"/>
      <c r="I444" s="449"/>
      <c r="J444" s="221"/>
      <c r="K444" s="221"/>
      <c r="L444" s="379"/>
      <c r="M444" s="379"/>
      <c r="N444" s="50"/>
      <c r="O444" s="50"/>
      <c r="P444" s="379"/>
      <c r="Q444" s="379"/>
      <c r="R444" s="379"/>
      <c r="T444" s="54"/>
      <c r="V444" s="379"/>
      <c r="Y444" s="379"/>
      <c r="Z444" s="221"/>
      <c r="AA444" s="379"/>
      <c r="AB444" s="379"/>
      <c r="AC444" s="50"/>
      <c r="AD444" s="50"/>
      <c r="AE444" s="379"/>
      <c r="AF444" s="379"/>
      <c r="AG444" s="156"/>
      <c r="AH444" s="60"/>
      <c r="AI444" s="379"/>
      <c r="AJ444" s="379"/>
      <c r="AK444" s="156"/>
      <c r="AL444" s="379"/>
      <c r="AM444" s="50"/>
      <c r="AN444" s="50"/>
    </row>
    <row r="445" spans="1:40" x14ac:dyDescent="0.25">
      <c r="A445" s="53"/>
      <c r="C445" s="54"/>
      <c r="F445" s="449"/>
      <c r="H445" s="449"/>
      <c r="I445" s="449"/>
      <c r="J445" s="221"/>
      <c r="K445" s="221"/>
      <c r="L445" s="379"/>
      <c r="M445" s="379"/>
      <c r="N445" s="50"/>
      <c r="O445" s="50"/>
      <c r="P445" s="379"/>
      <c r="Q445" s="379"/>
      <c r="R445" s="379"/>
      <c r="T445" s="54"/>
      <c r="V445" s="379"/>
      <c r="Y445" s="379"/>
      <c r="Z445" s="221"/>
      <c r="AA445" s="379"/>
      <c r="AB445" s="379"/>
      <c r="AC445" s="50"/>
      <c r="AD445" s="50"/>
      <c r="AE445" s="379"/>
      <c r="AF445" s="379"/>
      <c r="AG445" s="156"/>
      <c r="AH445" s="60"/>
      <c r="AI445" s="379"/>
      <c r="AJ445" s="379"/>
      <c r="AK445" s="156"/>
      <c r="AL445" s="379"/>
      <c r="AM445" s="50"/>
      <c r="AN445" s="50"/>
    </row>
    <row r="446" spans="1:40" x14ac:dyDescent="0.25">
      <c r="A446" s="53"/>
      <c r="C446" s="54"/>
      <c r="F446" s="449"/>
      <c r="H446" s="449"/>
      <c r="I446" s="449"/>
      <c r="J446" s="221"/>
      <c r="K446" s="221"/>
      <c r="L446" s="379"/>
      <c r="M446" s="379"/>
      <c r="N446" s="50"/>
      <c r="O446" s="50"/>
      <c r="P446" s="379"/>
      <c r="Q446" s="379"/>
      <c r="R446" s="379"/>
      <c r="T446" s="54"/>
      <c r="V446" s="379"/>
      <c r="Y446" s="379"/>
      <c r="Z446" s="221"/>
      <c r="AA446" s="379"/>
      <c r="AB446" s="379"/>
      <c r="AC446" s="50"/>
      <c r="AD446" s="50"/>
      <c r="AE446" s="379"/>
      <c r="AF446" s="379"/>
      <c r="AG446" s="156"/>
      <c r="AH446" s="60"/>
      <c r="AI446" s="379"/>
      <c r="AJ446" s="379"/>
      <c r="AK446" s="156"/>
      <c r="AL446" s="379"/>
      <c r="AM446" s="50"/>
      <c r="AN446" s="50"/>
    </row>
    <row r="447" spans="1:40" x14ac:dyDescent="0.25">
      <c r="F447" s="381"/>
      <c r="H447" s="381"/>
      <c r="I447" s="381"/>
      <c r="J447" s="221"/>
      <c r="K447" s="221"/>
      <c r="L447" s="381"/>
      <c r="M447" s="381"/>
      <c r="N447" s="381"/>
      <c r="O447" s="381"/>
      <c r="P447" s="381"/>
      <c r="Q447" s="381"/>
      <c r="R447" s="381"/>
      <c r="V447" s="381"/>
      <c r="Y447" s="381"/>
      <c r="Z447" s="221"/>
      <c r="AA447" s="381"/>
      <c r="AB447" s="381"/>
      <c r="AC447" s="381"/>
      <c r="AD447" s="381"/>
      <c r="AE447" s="381"/>
      <c r="AF447" s="381"/>
      <c r="AI447" s="381"/>
      <c r="AJ447" s="381"/>
      <c r="AK447" s="162"/>
      <c r="AL447" s="381"/>
    </row>
    <row r="448" spans="1:40" x14ac:dyDescent="0.25">
      <c r="A448" s="53"/>
      <c r="C448" s="56"/>
      <c r="F448" s="379"/>
      <c r="H448" s="379"/>
      <c r="I448" s="379"/>
      <c r="J448" s="65"/>
      <c r="K448" s="65"/>
      <c r="L448" s="379"/>
      <c r="M448" s="379"/>
      <c r="N448" s="60"/>
      <c r="O448" s="60"/>
      <c r="P448" s="379"/>
      <c r="Q448" s="379"/>
      <c r="R448" s="379"/>
      <c r="T448" s="56"/>
      <c r="V448" s="379"/>
      <c r="Y448" s="379"/>
      <c r="Z448" s="65"/>
      <c r="AA448" s="379"/>
      <c r="AB448" s="379"/>
      <c r="AC448" s="379"/>
      <c r="AD448" s="379"/>
      <c r="AE448" s="379"/>
      <c r="AF448" s="379"/>
      <c r="AG448" s="156"/>
      <c r="AH448" s="60"/>
      <c r="AI448" s="379"/>
      <c r="AJ448" s="379"/>
      <c r="AK448" s="156"/>
      <c r="AL448" s="379"/>
      <c r="AM448" s="50"/>
      <c r="AN448" s="50"/>
    </row>
    <row r="449" spans="1:40" x14ac:dyDescent="0.25">
      <c r="F449" s="381"/>
      <c r="H449" s="381"/>
      <c r="I449" s="381"/>
      <c r="J449" s="221"/>
      <c r="K449" s="221"/>
      <c r="L449" s="381"/>
      <c r="M449" s="381"/>
      <c r="N449" s="381"/>
      <c r="O449" s="381"/>
      <c r="P449" s="381"/>
      <c r="Q449" s="381"/>
      <c r="R449" s="381"/>
      <c r="V449" s="381"/>
      <c r="Y449" s="381"/>
      <c r="Z449" s="221"/>
      <c r="AA449" s="381"/>
      <c r="AB449" s="381"/>
      <c r="AC449" s="381"/>
      <c r="AD449" s="381"/>
      <c r="AE449" s="381"/>
      <c r="AF449" s="381"/>
      <c r="AI449" s="381"/>
      <c r="AJ449" s="381"/>
      <c r="AK449" s="162"/>
      <c r="AL449" s="381"/>
    </row>
    <row r="450" spans="1:40" x14ac:dyDescent="0.25">
      <c r="A450" s="53"/>
      <c r="C450" s="54"/>
      <c r="J450" s="65"/>
      <c r="K450" s="65"/>
      <c r="T450" s="54"/>
      <c r="Z450" s="65"/>
    </row>
    <row r="451" spans="1:40" x14ac:dyDescent="0.25">
      <c r="A451" s="53"/>
      <c r="C451" s="54"/>
      <c r="J451" s="65"/>
      <c r="K451" s="65"/>
      <c r="T451" s="54"/>
      <c r="Z451" s="65"/>
    </row>
    <row r="452" spans="1:40" x14ac:dyDescent="0.25">
      <c r="A452" s="53"/>
      <c r="C452" s="54"/>
      <c r="F452" s="449"/>
      <c r="H452" s="449"/>
      <c r="I452" s="449"/>
      <c r="J452" s="221"/>
      <c r="K452" s="221"/>
      <c r="L452" s="379"/>
      <c r="M452" s="379"/>
      <c r="N452" s="50"/>
      <c r="O452" s="50"/>
      <c r="P452" s="379"/>
      <c r="Q452" s="379"/>
      <c r="R452" s="379"/>
      <c r="T452" s="54"/>
      <c r="V452" s="379"/>
      <c r="Y452" s="379"/>
      <c r="Z452" s="221"/>
      <c r="AA452" s="379"/>
      <c r="AB452" s="379"/>
      <c r="AC452" s="50"/>
      <c r="AD452" s="50"/>
      <c r="AE452" s="379"/>
      <c r="AF452" s="379"/>
      <c r="AG452" s="156"/>
      <c r="AH452" s="60"/>
      <c r="AI452" s="379"/>
      <c r="AJ452" s="379"/>
      <c r="AK452" s="156"/>
      <c r="AL452" s="379"/>
      <c r="AM452" s="50"/>
      <c r="AN452" s="50"/>
    </row>
    <row r="453" spans="1:40" x14ac:dyDescent="0.25">
      <c r="A453" s="53"/>
      <c r="C453" s="54"/>
      <c r="F453" s="449"/>
      <c r="H453" s="449"/>
      <c r="I453" s="449"/>
      <c r="J453" s="221"/>
      <c r="K453" s="221"/>
      <c r="L453" s="379"/>
      <c r="M453" s="379"/>
      <c r="N453" s="50"/>
      <c r="O453" s="50"/>
      <c r="P453" s="379"/>
      <c r="Q453" s="379"/>
      <c r="R453" s="379"/>
      <c r="T453" s="54"/>
      <c r="V453" s="379"/>
      <c r="Y453" s="379"/>
      <c r="Z453" s="221"/>
      <c r="AA453" s="379"/>
      <c r="AB453" s="379"/>
      <c r="AC453" s="50"/>
      <c r="AD453" s="50"/>
      <c r="AE453" s="379"/>
      <c r="AF453" s="379"/>
      <c r="AG453" s="156"/>
      <c r="AH453" s="60"/>
      <c r="AI453" s="379"/>
      <c r="AJ453" s="379"/>
      <c r="AK453" s="156"/>
      <c r="AL453" s="379"/>
      <c r="AM453" s="50"/>
      <c r="AN453" s="50"/>
    </row>
    <row r="454" spans="1:40" x14ac:dyDescent="0.25">
      <c r="A454" s="53"/>
      <c r="C454" s="54"/>
      <c r="F454" s="449"/>
      <c r="H454" s="449"/>
      <c r="I454" s="449"/>
      <c r="J454" s="221"/>
      <c r="K454" s="221"/>
      <c r="L454" s="379"/>
      <c r="M454" s="379"/>
      <c r="N454" s="50"/>
      <c r="O454" s="50"/>
      <c r="P454" s="379"/>
      <c r="Q454" s="379"/>
      <c r="R454" s="379"/>
      <c r="T454" s="54"/>
      <c r="V454" s="379"/>
      <c r="Y454" s="379"/>
      <c r="Z454" s="221"/>
      <c r="AA454" s="379"/>
      <c r="AB454" s="379"/>
      <c r="AC454" s="50"/>
      <c r="AD454" s="50"/>
      <c r="AE454" s="379"/>
      <c r="AF454" s="379"/>
      <c r="AG454" s="156"/>
      <c r="AH454" s="60"/>
      <c r="AI454" s="379"/>
      <c r="AJ454" s="379"/>
      <c r="AK454" s="156"/>
      <c r="AL454" s="379"/>
      <c r="AM454" s="50"/>
      <c r="AN454" s="50"/>
    </row>
    <row r="455" spans="1:40" x14ac:dyDescent="0.25">
      <c r="A455" s="53"/>
      <c r="C455" s="54"/>
      <c r="F455" s="449"/>
      <c r="H455" s="449"/>
      <c r="I455" s="449"/>
      <c r="J455" s="221"/>
      <c r="K455" s="221"/>
      <c r="L455" s="379"/>
      <c r="M455" s="379"/>
      <c r="N455" s="50"/>
      <c r="O455" s="50"/>
      <c r="P455" s="379"/>
      <c r="Q455" s="379"/>
      <c r="R455" s="379"/>
      <c r="T455" s="54"/>
      <c r="V455" s="379"/>
      <c r="Y455" s="379"/>
      <c r="Z455" s="221"/>
      <c r="AA455" s="379"/>
      <c r="AB455" s="379"/>
      <c r="AC455" s="50"/>
      <c r="AD455" s="50"/>
      <c r="AE455" s="379"/>
      <c r="AF455" s="379"/>
      <c r="AG455" s="156"/>
      <c r="AH455" s="60"/>
      <c r="AI455" s="379"/>
      <c r="AJ455" s="379"/>
      <c r="AK455" s="156"/>
      <c r="AL455" s="379"/>
      <c r="AM455" s="50"/>
      <c r="AN455" s="50"/>
    </row>
    <row r="456" spans="1:40" x14ac:dyDescent="0.25">
      <c r="A456" s="53"/>
      <c r="C456" s="54"/>
      <c r="F456" s="449"/>
      <c r="H456" s="449"/>
      <c r="I456" s="449"/>
      <c r="J456" s="221"/>
      <c r="K456" s="221"/>
      <c r="L456" s="379"/>
      <c r="M456" s="379"/>
      <c r="N456" s="50"/>
      <c r="O456" s="50"/>
      <c r="P456" s="379"/>
      <c r="Q456" s="379"/>
      <c r="R456" s="379"/>
      <c r="T456" s="54"/>
      <c r="V456" s="379"/>
      <c r="Y456" s="379"/>
      <c r="Z456" s="221"/>
      <c r="AA456" s="379"/>
      <c r="AB456" s="379"/>
      <c r="AC456" s="50"/>
      <c r="AD456" s="50"/>
      <c r="AE456" s="379"/>
      <c r="AF456" s="379"/>
      <c r="AG456" s="156"/>
      <c r="AH456" s="60"/>
      <c r="AI456" s="379"/>
      <c r="AJ456" s="379"/>
      <c r="AK456" s="156"/>
      <c r="AL456" s="379"/>
      <c r="AM456" s="50"/>
      <c r="AN456" s="50"/>
    </row>
    <row r="457" spans="1:40" x14ac:dyDescent="0.25">
      <c r="A457" s="53"/>
      <c r="C457" s="54"/>
      <c r="F457" s="449"/>
      <c r="H457" s="449"/>
      <c r="I457" s="449"/>
      <c r="J457" s="221"/>
      <c r="K457" s="221"/>
      <c r="L457" s="379"/>
      <c r="M457" s="379"/>
      <c r="N457" s="50"/>
      <c r="O457" s="50"/>
      <c r="P457" s="379"/>
      <c r="Q457" s="379"/>
      <c r="R457" s="379"/>
      <c r="T457" s="54"/>
      <c r="V457" s="379"/>
      <c r="Y457" s="379"/>
      <c r="Z457" s="221"/>
      <c r="AA457" s="379"/>
      <c r="AB457" s="379"/>
      <c r="AC457" s="50"/>
      <c r="AD457" s="50"/>
      <c r="AE457" s="379"/>
      <c r="AF457" s="379"/>
      <c r="AG457" s="156"/>
      <c r="AH457" s="60"/>
      <c r="AI457" s="379"/>
      <c r="AJ457" s="379"/>
      <c r="AK457" s="156"/>
      <c r="AL457" s="379"/>
      <c r="AM457" s="50"/>
      <c r="AN457" s="50"/>
    </row>
    <row r="458" spans="1:40" x14ac:dyDescent="0.25">
      <c r="A458" s="53"/>
      <c r="C458" s="54"/>
      <c r="F458" s="449"/>
      <c r="H458" s="449"/>
      <c r="I458" s="449"/>
      <c r="J458" s="221"/>
      <c r="K458" s="221"/>
      <c r="L458" s="379"/>
      <c r="M458" s="379"/>
      <c r="N458" s="50"/>
      <c r="O458" s="50"/>
      <c r="P458" s="379"/>
      <c r="Q458" s="379"/>
      <c r="R458" s="379"/>
      <c r="T458" s="54"/>
      <c r="V458" s="379"/>
      <c r="Y458" s="379"/>
      <c r="Z458" s="221"/>
      <c r="AA458" s="379"/>
      <c r="AB458" s="379"/>
      <c r="AC458" s="50"/>
      <c r="AD458" s="50"/>
      <c r="AE458" s="379"/>
      <c r="AF458" s="379"/>
      <c r="AG458" s="156"/>
      <c r="AH458" s="60"/>
      <c r="AI458" s="379"/>
      <c r="AJ458" s="379"/>
      <c r="AK458" s="156"/>
      <c r="AL458" s="379"/>
      <c r="AM458" s="50"/>
      <c r="AN458" s="50"/>
    </row>
    <row r="459" spans="1:40" x14ac:dyDescent="0.25">
      <c r="A459" s="53"/>
      <c r="C459" s="54"/>
      <c r="J459" s="65"/>
      <c r="K459" s="65"/>
      <c r="T459" s="54"/>
      <c r="Z459" s="65"/>
    </row>
    <row r="460" spans="1:40" x14ac:dyDescent="0.25">
      <c r="A460" s="53"/>
      <c r="C460" s="54"/>
      <c r="F460" s="449"/>
      <c r="H460" s="449"/>
      <c r="I460" s="449"/>
      <c r="J460" s="221"/>
      <c r="K460" s="221"/>
      <c r="L460" s="379"/>
      <c r="M460" s="379"/>
      <c r="N460" s="50"/>
      <c r="O460" s="50"/>
      <c r="P460" s="379"/>
      <c r="Q460" s="379"/>
      <c r="R460" s="379"/>
      <c r="T460" s="54"/>
      <c r="V460" s="379"/>
      <c r="Y460" s="379"/>
      <c r="Z460" s="221"/>
      <c r="AA460" s="379"/>
      <c r="AB460" s="379"/>
      <c r="AC460" s="50"/>
      <c r="AD460" s="50"/>
      <c r="AE460" s="379"/>
      <c r="AF460" s="379"/>
      <c r="AG460" s="156"/>
      <c r="AH460" s="60"/>
      <c r="AI460" s="379"/>
      <c r="AJ460" s="379"/>
      <c r="AK460" s="156"/>
      <c r="AL460" s="379"/>
      <c r="AM460" s="50"/>
      <c r="AN460" s="50"/>
    </row>
    <row r="461" spans="1:40" x14ac:dyDescent="0.25">
      <c r="A461" s="53"/>
      <c r="C461" s="54"/>
      <c r="F461" s="449"/>
      <c r="H461" s="449"/>
      <c r="I461" s="449"/>
      <c r="J461" s="221"/>
      <c r="K461" s="221"/>
      <c r="L461" s="379"/>
      <c r="M461" s="379"/>
      <c r="N461" s="50"/>
      <c r="O461" s="50"/>
      <c r="P461" s="379"/>
      <c r="Q461" s="379"/>
      <c r="R461" s="379"/>
      <c r="T461" s="54"/>
      <c r="V461" s="379"/>
      <c r="Y461" s="379"/>
      <c r="Z461" s="221"/>
      <c r="AA461" s="379"/>
      <c r="AB461" s="379"/>
      <c r="AC461" s="50"/>
      <c r="AD461" s="50"/>
      <c r="AE461" s="379"/>
      <c r="AF461" s="379"/>
      <c r="AG461" s="156"/>
      <c r="AH461" s="60"/>
      <c r="AI461" s="379"/>
      <c r="AJ461" s="379"/>
      <c r="AK461" s="156"/>
      <c r="AL461" s="379"/>
      <c r="AM461" s="50"/>
      <c r="AN461" s="50"/>
    </row>
    <row r="462" spans="1:40" x14ac:dyDescent="0.25">
      <c r="A462" s="53"/>
      <c r="C462" s="54"/>
      <c r="F462" s="449"/>
      <c r="H462" s="449"/>
      <c r="I462" s="449"/>
      <c r="J462" s="221"/>
      <c r="K462" s="221"/>
      <c r="L462" s="379"/>
      <c r="M462" s="379"/>
      <c r="N462" s="50"/>
      <c r="O462" s="50"/>
      <c r="P462" s="379"/>
      <c r="Q462" s="379"/>
      <c r="R462" s="379"/>
      <c r="T462" s="54"/>
      <c r="V462" s="379"/>
      <c r="Y462" s="379"/>
      <c r="Z462" s="221"/>
      <c r="AA462" s="379"/>
      <c r="AB462" s="379"/>
      <c r="AC462" s="50"/>
      <c r="AD462" s="50"/>
      <c r="AE462" s="379"/>
      <c r="AF462" s="379"/>
      <c r="AG462" s="156"/>
      <c r="AH462" s="60"/>
      <c r="AI462" s="379"/>
      <c r="AJ462" s="379"/>
      <c r="AK462" s="156"/>
      <c r="AL462" s="379"/>
      <c r="AM462" s="50"/>
      <c r="AN462" s="50"/>
    </row>
    <row r="463" spans="1:40" x14ac:dyDescent="0.25">
      <c r="A463" s="53"/>
      <c r="C463" s="54"/>
      <c r="F463" s="449"/>
      <c r="H463" s="449"/>
      <c r="I463" s="449"/>
      <c r="J463" s="221"/>
      <c r="K463" s="221"/>
      <c r="L463" s="379"/>
      <c r="M463" s="379"/>
      <c r="N463" s="50"/>
      <c r="O463" s="50"/>
      <c r="P463" s="379"/>
      <c r="Q463" s="379"/>
      <c r="R463" s="379"/>
      <c r="T463" s="54"/>
      <c r="V463" s="379"/>
      <c r="Y463" s="379"/>
      <c r="Z463" s="221"/>
      <c r="AA463" s="379"/>
      <c r="AB463" s="379"/>
      <c r="AC463" s="50"/>
      <c r="AD463" s="50"/>
      <c r="AE463" s="379"/>
      <c r="AF463" s="379"/>
      <c r="AG463" s="156"/>
      <c r="AH463" s="60"/>
      <c r="AI463" s="379"/>
      <c r="AJ463" s="379"/>
      <c r="AK463" s="156"/>
      <c r="AL463" s="379"/>
      <c r="AM463" s="50"/>
      <c r="AN463" s="50"/>
    </row>
    <row r="464" spans="1:40" x14ac:dyDescent="0.25">
      <c r="A464" s="53"/>
      <c r="C464" s="54"/>
      <c r="J464" s="65"/>
      <c r="K464" s="65"/>
      <c r="T464" s="54"/>
      <c r="Z464" s="65"/>
    </row>
    <row r="465" spans="1:40" x14ac:dyDescent="0.25">
      <c r="A465" s="53"/>
      <c r="C465" s="54"/>
      <c r="F465" s="449"/>
      <c r="H465" s="449"/>
      <c r="I465" s="449"/>
      <c r="J465" s="221"/>
      <c r="K465" s="221"/>
      <c r="L465" s="379"/>
      <c r="M465" s="379"/>
      <c r="N465" s="50"/>
      <c r="O465" s="50"/>
      <c r="P465" s="379"/>
      <c r="Q465" s="379"/>
      <c r="R465" s="379"/>
      <c r="T465" s="54"/>
      <c r="V465" s="379"/>
      <c r="Y465" s="379"/>
      <c r="Z465" s="221"/>
      <c r="AA465" s="379"/>
      <c r="AB465" s="379"/>
      <c r="AC465" s="50"/>
      <c r="AD465" s="50"/>
      <c r="AE465" s="379"/>
      <c r="AF465" s="379"/>
      <c r="AG465" s="156"/>
      <c r="AH465" s="60"/>
      <c r="AI465" s="379"/>
      <c r="AJ465" s="379"/>
      <c r="AK465" s="156"/>
      <c r="AL465" s="379"/>
      <c r="AM465" s="50"/>
      <c r="AN465" s="50"/>
    </row>
    <row r="466" spans="1:40" x14ac:dyDescent="0.25">
      <c r="A466" s="53"/>
      <c r="C466" s="54"/>
      <c r="F466" s="449"/>
      <c r="H466" s="449"/>
      <c r="I466" s="449"/>
      <c r="J466" s="221"/>
      <c r="K466" s="221"/>
      <c r="L466" s="379"/>
      <c r="M466" s="379"/>
      <c r="N466" s="50"/>
      <c r="O466" s="50"/>
      <c r="P466" s="379"/>
      <c r="Q466" s="379"/>
      <c r="R466" s="379"/>
      <c r="T466" s="54"/>
      <c r="V466" s="379"/>
      <c r="Y466" s="379"/>
      <c r="Z466" s="221"/>
      <c r="AA466" s="379"/>
      <c r="AB466" s="379"/>
      <c r="AC466" s="50"/>
      <c r="AD466" s="50"/>
      <c r="AE466" s="379"/>
      <c r="AF466" s="379"/>
      <c r="AG466" s="156"/>
      <c r="AH466" s="60"/>
      <c r="AI466" s="379"/>
      <c r="AJ466" s="379"/>
      <c r="AK466" s="156"/>
      <c r="AL466" s="379"/>
      <c r="AM466" s="50"/>
      <c r="AN466" s="50"/>
    </row>
    <row r="467" spans="1:40" x14ac:dyDescent="0.25">
      <c r="A467" s="53"/>
      <c r="C467" s="54"/>
      <c r="F467" s="449"/>
      <c r="H467" s="449"/>
      <c r="I467" s="449"/>
      <c r="J467" s="221"/>
      <c r="K467" s="221"/>
      <c r="L467" s="379"/>
      <c r="M467" s="379"/>
      <c r="N467" s="50"/>
      <c r="O467" s="50"/>
      <c r="P467" s="379"/>
      <c r="Q467" s="379"/>
      <c r="R467" s="379"/>
      <c r="T467" s="54"/>
      <c r="V467" s="379"/>
      <c r="Y467" s="379"/>
      <c r="Z467" s="221"/>
      <c r="AA467" s="379"/>
      <c r="AB467" s="379"/>
      <c r="AC467" s="50"/>
      <c r="AD467" s="50"/>
      <c r="AE467" s="379"/>
      <c r="AF467" s="379"/>
      <c r="AG467" s="156"/>
      <c r="AH467" s="60"/>
      <c r="AI467" s="379"/>
      <c r="AJ467" s="379"/>
      <c r="AK467" s="156"/>
      <c r="AL467" s="379"/>
      <c r="AM467" s="50"/>
      <c r="AN467" s="50"/>
    </row>
    <row r="468" spans="1:40" x14ac:dyDescent="0.25">
      <c r="A468" s="53"/>
      <c r="C468" s="54"/>
      <c r="F468" s="449"/>
      <c r="H468" s="449"/>
      <c r="I468" s="449"/>
      <c r="J468" s="221"/>
      <c r="K468" s="221"/>
      <c r="L468" s="379"/>
      <c r="M468" s="379"/>
      <c r="N468" s="50"/>
      <c r="O468" s="50"/>
      <c r="P468" s="379"/>
      <c r="Q468" s="379"/>
      <c r="R468" s="379"/>
      <c r="T468" s="54"/>
      <c r="V468" s="379"/>
      <c r="Y468" s="379"/>
      <c r="Z468" s="221"/>
      <c r="AA468" s="379"/>
      <c r="AB468" s="379"/>
      <c r="AC468" s="50"/>
      <c r="AD468" s="50"/>
      <c r="AE468" s="379"/>
      <c r="AF468" s="379"/>
      <c r="AG468" s="156"/>
      <c r="AH468" s="60"/>
      <c r="AI468" s="379"/>
      <c r="AJ468" s="379"/>
      <c r="AK468" s="156"/>
      <c r="AL468" s="379"/>
      <c r="AM468" s="50"/>
      <c r="AN468" s="50"/>
    </row>
    <row r="469" spans="1:40" x14ac:dyDescent="0.25">
      <c r="A469" s="53"/>
      <c r="C469" s="54"/>
      <c r="F469" s="449"/>
      <c r="H469" s="449"/>
      <c r="I469" s="449"/>
      <c r="J469" s="221"/>
      <c r="K469" s="221"/>
      <c r="L469" s="379"/>
      <c r="M469" s="379"/>
      <c r="N469" s="50"/>
      <c r="O469" s="50"/>
      <c r="P469" s="379"/>
      <c r="Q469" s="379"/>
      <c r="R469" s="379"/>
      <c r="T469" s="54"/>
      <c r="V469" s="379"/>
      <c r="Y469" s="379"/>
      <c r="Z469" s="221"/>
      <c r="AA469" s="379"/>
      <c r="AB469" s="379"/>
      <c r="AC469" s="50"/>
      <c r="AD469" s="50"/>
      <c r="AE469" s="379"/>
      <c r="AF469" s="379"/>
      <c r="AG469" s="156"/>
      <c r="AH469" s="60"/>
      <c r="AI469" s="379"/>
      <c r="AJ469" s="379"/>
      <c r="AK469" s="156"/>
      <c r="AL469" s="379"/>
      <c r="AM469" s="50"/>
      <c r="AN469" s="50"/>
    </row>
    <row r="470" spans="1:40" x14ac:dyDescent="0.25">
      <c r="F470" s="381"/>
      <c r="H470" s="381"/>
      <c r="I470" s="381"/>
      <c r="J470" s="464"/>
      <c r="K470" s="464"/>
      <c r="L470" s="381"/>
      <c r="M470" s="381"/>
      <c r="N470" s="381"/>
      <c r="O470" s="381"/>
      <c r="P470" s="381"/>
      <c r="Q470" s="381"/>
      <c r="R470" s="381"/>
      <c r="V470" s="381"/>
      <c r="Y470" s="381"/>
      <c r="Z470" s="221"/>
      <c r="AA470" s="381"/>
      <c r="AB470" s="381"/>
      <c r="AC470" s="381"/>
      <c r="AD470" s="381"/>
      <c r="AE470" s="381"/>
      <c r="AF470" s="381"/>
      <c r="AI470" s="381"/>
      <c r="AJ470" s="381"/>
      <c r="AK470" s="162"/>
      <c r="AL470" s="381"/>
    </row>
    <row r="471" spans="1:40" x14ac:dyDescent="0.25">
      <c r="A471" s="53"/>
      <c r="C471" s="54"/>
      <c r="F471" s="379"/>
      <c r="H471" s="379"/>
      <c r="I471" s="379"/>
      <c r="L471" s="379"/>
      <c r="M471" s="379"/>
      <c r="N471" s="60"/>
      <c r="O471" s="60"/>
      <c r="P471" s="379"/>
      <c r="Q471" s="379"/>
      <c r="R471" s="379"/>
      <c r="T471" s="54"/>
      <c r="V471" s="379"/>
      <c r="Y471" s="379"/>
      <c r="AA471" s="379"/>
      <c r="AB471" s="379"/>
      <c r="AC471" s="50"/>
      <c r="AD471" s="50"/>
      <c r="AE471" s="379"/>
      <c r="AF471" s="379"/>
      <c r="AG471" s="156"/>
      <c r="AH471" s="60"/>
      <c r="AI471" s="379"/>
      <c r="AJ471" s="379"/>
      <c r="AK471" s="156"/>
      <c r="AL471" s="379"/>
      <c r="AM471" s="50"/>
      <c r="AN471" s="50"/>
    </row>
    <row r="472" spans="1:40" x14ac:dyDescent="0.25">
      <c r="F472" s="381"/>
      <c r="H472" s="381"/>
      <c r="I472" s="381"/>
      <c r="J472" s="464"/>
      <c r="K472" s="464"/>
      <c r="L472" s="381"/>
      <c r="M472" s="381"/>
      <c r="N472" s="381"/>
      <c r="O472" s="381"/>
      <c r="P472" s="381"/>
      <c r="Q472" s="381"/>
      <c r="R472" s="381"/>
      <c r="V472" s="381"/>
      <c r="Y472" s="381"/>
      <c r="Z472" s="464"/>
      <c r="AA472" s="381"/>
      <c r="AB472" s="381"/>
      <c r="AC472" s="381"/>
      <c r="AD472" s="381"/>
      <c r="AE472" s="381"/>
      <c r="AF472" s="381"/>
      <c r="AI472" s="381"/>
      <c r="AJ472" s="381"/>
      <c r="AK472" s="162"/>
      <c r="AL472" s="381"/>
    </row>
    <row r="473" spans="1:40" x14ac:dyDescent="0.25">
      <c r="A473" s="53"/>
      <c r="C473" s="54"/>
      <c r="T473" s="54"/>
    </row>
    <row r="474" spans="1:40" x14ac:dyDescent="0.25">
      <c r="A474" s="53"/>
      <c r="C474" s="54"/>
      <c r="F474" s="449"/>
      <c r="H474" s="449"/>
      <c r="I474" s="449"/>
      <c r="J474" s="461"/>
      <c r="K474" s="461"/>
      <c r="L474" s="379"/>
      <c r="M474" s="379"/>
      <c r="N474" s="50"/>
      <c r="O474" s="50"/>
      <c r="P474" s="379"/>
      <c r="Q474" s="379"/>
      <c r="R474" s="379"/>
      <c r="T474" s="54"/>
      <c r="V474" s="379"/>
      <c r="Y474" s="379"/>
      <c r="Z474" s="461"/>
      <c r="AA474" s="379"/>
      <c r="AB474" s="379"/>
      <c r="AC474" s="50"/>
      <c r="AD474" s="50"/>
      <c r="AE474" s="379"/>
      <c r="AF474" s="379"/>
      <c r="AG474" s="156"/>
      <c r="AH474" s="60"/>
      <c r="AI474" s="379"/>
      <c r="AJ474" s="379"/>
      <c r="AK474" s="156"/>
      <c r="AL474" s="379"/>
      <c r="AM474" s="50"/>
      <c r="AN474" s="50"/>
    </row>
    <row r="475" spans="1:40" x14ac:dyDescent="0.25">
      <c r="A475" s="53"/>
      <c r="C475" s="54"/>
      <c r="F475" s="449"/>
      <c r="H475" s="449"/>
      <c r="I475" s="449"/>
      <c r="J475" s="461"/>
      <c r="K475" s="461"/>
      <c r="L475" s="379"/>
      <c r="M475" s="379"/>
      <c r="N475" s="50"/>
      <c r="O475" s="50"/>
      <c r="P475" s="379"/>
      <c r="Q475" s="379"/>
      <c r="R475" s="379"/>
      <c r="T475" s="54"/>
      <c r="V475" s="379"/>
      <c r="Y475" s="379"/>
      <c r="Z475" s="461"/>
      <c r="AA475" s="379"/>
      <c r="AB475" s="379"/>
      <c r="AC475" s="50"/>
      <c r="AD475" s="50"/>
      <c r="AE475" s="379"/>
      <c r="AF475" s="379"/>
      <c r="AG475" s="156"/>
      <c r="AH475" s="60"/>
      <c r="AI475" s="379"/>
      <c r="AJ475" s="379"/>
      <c r="AK475" s="156"/>
      <c r="AL475" s="379"/>
      <c r="AM475" s="50"/>
      <c r="AN475" s="50"/>
    </row>
    <row r="476" spans="1:40" x14ac:dyDescent="0.25">
      <c r="F476" s="381"/>
      <c r="H476" s="379"/>
      <c r="I476" s="379"/>
      <c r="J476" s="464"/>
      <c r="K476" s="464"/>
      <c r="L476" s="381"/>
      <c r="M476" s="381"/>
      <c r="N476" s="381"/>
      <c r="O476" s="381"/>
      <c r="P476" s="381"/>
      <c r="Q476" s="381"/>
      <c r="R476" s="381"/>
      <c r="V476" s="381"/>
      <c r="Y476" s="379"/>
      <c r="Z476" s="464"/>
      <c r="AA476" s="381"/>
      <c r="AB476" s="381"/>
      <c r="AC476" s="381"/>
      <c r="AD476" s="381"/>
      <c r="AE476" s="381"/>
      <c r="AF476" s="381"/>
      <c r="AI476" s="381"/>
      <c r="AJ476" s="381"/>
      <c r="AK476" s="162"/>
      <c r="AL476" s="381"/>
    </row>
    <row r="477" spans="1:40" x14ac:dyDescent="0.25">
      <c r="F477" s="379"/>
      <c r="H477" s="379"/>
      <c r="I477" s="379"/>
      <c r="J477" s="464"/>
      <c r="K477" s="464"/>
      <c r="L477" s="379"/>
      <c r="M477" s="379"/>
      <c r="N477" s="379"/>
      <c r="O477" s="379"/>
      <c r="P477" s="379"/>
      <c r="Q477" s="379"/>
      <c r="R477" s="379"/>
      <c r="V477" s="379"/>
      <c r="Y477" s="379"/>
      <c r="Z477" s="464"/>
      <c r="AA477" s="379"/>
      <c r="AB477" s="379"/>
      <c r="AC477" s="379"/>
      <c r="AD477" s="379"/>
      <c r="AE477" s="379"/>
      <c r="AF477" s="379"/>
      <c r="AI477" s="379"/>
      <c r="AJ477" s="379"/>
      <c r="AK477" s="156"/>
      <c r="AL477" s="379"/>
    </row>
    <row r="478" spans="1:40" x14ac:dyDescent="0.25">
      <c r="A478" s="53"/>
      <c r="C478" s="54"/>
      <c r="F478" s="379"/>
      <c r="H478" s="379"/>
      <c r="I478" s="379"/>
      <c r="L478" s="379"/>
      <c r="M478" s="379"/>
      <c r="N478" s="50"/>
      <c r="O478" s="50"/>
      <c r="P478" s="379"/>
      <c r="Q478" s="379"/>
      <c r="R478" s="379"/>
      <c r="T478" s="54"/>
      <c r="V478" s="379"/>
      <c r="Y478" s="379"/>
      <c r="AA478" s="379"/>
      <c r="AB478" s="379"/>
      <c r="AC478" s="50"/>
      <c r="AD478" s="50"/>
      <c r="AE478" s="379"/>
      <c r="AF478" s="379"/>
      <c r="AG478" s="156"/>
      <c r="AH478" s="60"/>
      <c r="AI478" s="449"/>
      <c r="AJ478" s="449"/>
      <c r="AK478" s="156"/>
      <c r="AL478" s="379"/>
      <c r="AM478" s="50"/>
      <c r="AN478" s="50"/>
    </row>
    <row r="479" spans="1:40" x14ac:dyDescent="0.25">
      <c r="F479" s="381"/>
      <c r="H479" s="381"/>
      <c r="I479" s="381"/>
      <c r="J479" s="464"/>
      <c r="K479" s="464"/>
      <c r="L479" s="381"/>
      <c r="M479" s="381"/>
      <c r="N479" s="381"/>
      <c r="O479" s="381"/>
      <c r="P479" s="381"/>
      <c r="Q479" s="381"/>
      <c r="R479" s="381"/>
      <c r="V479" s="381"/>
      <c r="Y479" s="381"/>
      <c r="Z479" s="464"/>
      <c r="AA479" s="381"/>
      <c r="AB479" s="381"/>
      <c r="AC479" s="381"/>
      <c r="AD479" s="381"/>
      <c r="AE479" s="381"/>
      <c r="AF479" s="381"/>
      <c r="AI479" s="381"/>
      <c r="AJ479" s="381"/>
      <c r="AK479" s="162"/>
      <c r="AL479" s="381"/>
    </row>
    <row r="481" spans="1:38" x14ac:dyDescent="0.25">
      <c r="A481" s="54"/>
      <c r="T481" s="54"/>
    </row>
    <row r="482" spans="1:38" x14ac:dyDescent="0.25">
      <c r="A482" s="54"/>
      <c r="T482" s="54"/>
    </row>
    <row r="483" spans="1:38" x14ac:dyDescent="0.25">
      <c r="A483" s="54"/>
      <c r="T483" s="54"/>
    </row>
    <row r="484" spans="1:38" x14ac:dyDescent="0.25">
      <c r="A484" s="54"/>
      <c r="T484" s="54"/>
    </row>
    <row r="485" spans="1:38" x14ac:dyDescent="0.25">
      <c r="A485" s="54"/>
      <c r="T485" s="54"/>
    </row>
    <row r="486" spans="1:38" x14ac:dyDescent="0.25">
      <c r="A486" s="54"/>
      <c r="T486" s="54"/>
    </row>
    <row r="487" spans="1:38" x14ac:dyDescent="0.25">
      <c r="A487" s="54"/>
      <c r="T487" s="54"/>
    </row>
    <row r="488" spans="1:38" x14ac:dyDescent="0.25">
      <c r="A488" s="54"/>
      <c r="T488" s="54"/>
    </row>
    <row r="489" spans="1:38" x14ac:dyDescent="0.25">
      <c r="A489" s="54"/>
      <c r="T489" s="54"/>
    </row>
    <row r="491" spans="1:38" x14ac:dyDescent="0.25">
      <c r="A491" s="54"/>
    </row>
    <row r="492" spans="1:38" x14ac:dyDescent="0.25">
      <c r="J492" s="53"/>
      <c r="K492" s="53"/>
      <c r="Z492" s="53"/>
    </row>
    <row r="493" spans="1:38" x14ac:dyDescent="0.25">
      <c r="H493" s="54"/>
      <c r="I493" s="54"/>
      <c r="Y493" s="54"/>
    </row>
    <row r="494" spans="1:38" x14ac:dyDescent="0.25">
      <c r="J494" s="53"/>
      <c r="K494" s="53"/>
      <c r="Z494" s="53"/>
    </row>
    <row r="495" spans="1:38" x14ac:dyDescent="0.25">
      <c r="L495" s="54"/>
      <c r="M495" s="54"/>
      <c r="AA495" s="54"/>
      <c r="AB495" s="54"/>
    </row>
    <row r="496" spans="1:38" x14ac:dyDescent="0.25">
      <c r="A496" s="53"/>
      <c r="R496" s="54"/>
      <c r="AK496" s="161"/>
      <c r="AL496" s="54"/>
    </row>
    <row r="497" spans="1:40" x14ac:dyDescent="0.25">
      <c r="A497" s="53"/>
      <c r="R497" s="54"/>
      <c r="AK497" s="161"/>
      <c r="AL497" s="54"/>
    </row>
    <row r="498" spans="1:40" x14ac:dyDescent="0.25">
      <c r="A498" s="54"/>
      <c r="R498" s="54"/>
      <c r="AK498" s="161"/>
      <c r="AL498" s="54"/>
    </row>
    <row r="499" spans="1:40" x14ac:dyDescent="0.25">
      <c r="L499" s="54"/>
      <c r="M499" s="54"/>
      <c r="R499" s="53"/>
      <c r="AA499" s="54"/>
      <c r="AB499" s="54"/>
      <c r="AK499" s="156"/>
      <c r="AL499" s="53"/>
    </row>
    <row r="500" spans="1:40" x14ac:dyDescent="0.25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154"/>
      <c r="AH500" s="55"/>
      <c r="AI500" s="55"/>
      <c r="AJ500" s="55"/>
      <c r="AK500" s="154"/>
      <c r="AL500" s="55"/>
      <c r="AM500" s="55"/>
      <c r="AN500" s="55"/>
    </row>
    <row r="501" spans="1:40" x14ac:dyDescent="0.25">
      <c r="L501" s="56"/>
      <c r="M501" s="56"/>
      <c r="N501" s="56"/>
      <c r="O501" s="56"/>
      <c r="R501" s="56"/>
      <c r="AA501" s="56"/>
      <c r="AB501" s="56"/>
      <c r="AC501" s="56"/>
      <c r="AD501" s="56"/>
      <c r="AE501" s="56"/>
      <c r="AF501" s="56"/>
      <c r="AG501" s="155"/>
      <c r="AH501" s="56"/>
      <c r="AK501" s="155"/>
      <c r="AL501" s="56"/>
      <c r="AM501" s="56"/>
      <c r="AN501" s="56"/>
    </row>
    <row r="502" spans="1:40" x14ac:dyDescent="0.25">
      <c r="L502" s="56"/>
      <c r="M502" s="56"/>
      <c r="N502" s="56"/>
      <c r="O502" s="56"/>
      <c r="R502" s="56"/>
      <c r="Z502" s="56"/>
      <c r="AA502" s="56"/>
      <c r="AB502" s="56"/>
      <c r="AC502" s="56"/>
      <c r="AD502" s="56"/>
      <c r="AE502" s="56"/>
      <c r="AF502" s="56"/>
      <c r="AG502" s="155"/>
      <c r="AH502" s="56"/>
      <c r="AK502" s="155"/>
      <c r="AL502" s="56"/>
      <c r="AM502" s="56"/>
      <c r="AN502" s="56"/>
    </row>
    <row r="503" spans="1:40" x14ac:dyDescent="0.25">
      <c r="A503" s="56"/>
      <c r="C503" s="56"/>
      <c r="D503" s="56"/>
      <c r="E503" s="56"/>
      <c r="F503" s="56"/>
      <c r="J503" s="56"/>
      <c r="K503" s="56"/>
      <c r="L503" s="56"/>
      <c r="M503" s="56"/>
      <c r="N503" s="56"/>
      <c r="O503" s="56"/>
      <c r="P503" s="56"/>
      <c r="Q503" s="56"/>
      <c r="R503" s="56"/>
      <c r="T503" s="56"/>
      <c r="U503" s="56"/>
      <c r="V503" s="56"/>
      <c r="Z503" s="56"/>
      <c r="AA503" s="56"/>
      <c r="AB503" s="56"/>
      <c r="AC503" s="56"/>
      <c r="AD503" s="56"/>
      <c r="AE503" s="56"/>
      <c r="AF503" s="56"/>
      <c r="AG503" s="155"/>
      <c r="AH503" s="56"/>
      <c r="AI503" s="56"/>
      <c r="AJ503" s="56"/>
      <c r="AK503" s="155"/>
      <c r="AL503" s="56"/>
      <c r="AM503" s="56"/>
      <c r="AN503" s="56"/>
    </row>
    <row r="504" spans="1:40" x14ac:dyDescent="0.25">
      <c r="A504" s="56"/>
      <c r="C504" s="56"/>
      <c r="D504" s="56"/>
      <c r="E504" s="56"/>
      <c r="F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T504" s="56"/>
      <c r="U504" s="56"/>
      <c r="V504" s="56"/>
      <c r="Y504" s="56"/>
      <c r="Z504" s="56"/>
      <c r="AA504" s="56"/>
      <c r="AB504" s="56"/>
      <c r="AC504" s="56"/>
      <c r="AD504" s="56"/>
      <c r="AE504" s="56"/>
      <c r="AF504" s="56"/>
      <c r="AG504" s="155"/>
      <c r="AH504" s="56"/>
      <c r="AI504" s="56"/>
      <c r="AJ504" s="56"/>
      <c r="AK504" s="155"/>
      <c r="AL504" s="56"/>
      <c r="AM504" s="56"/>
      <c r="AN504" s="56"/>
    </row>
    <row r="505" spans="1:40" x14ac:dyDescent="0.25">
      <c r="C505" s="56"/>
      <c r="D505" s="56"/>
      <c r="E505" s="56"/>
      <c r="F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T505" s="56"/>
      <c r="U505" s="56"/>
      <c r="V505" s="56"/>
      <c r="Y505" s="56"/>
      <c r="Z505" s="56"/>
      <c r="AA505" s="56"/>
      <c r="AB505" s="56"/>
      <c r="AC505" s="56"/>
      <c r="AD505" s="56"/>
      <c r="AE505" s="56"/>
      <c r="AF505" s="56"/>
      <c r="AG505" s="155"/>
      <c r="AH505" s="56"/>
      <c r="AI505" s="56"/>
      <c r="AJ505" s="56"/>
      <c r="AK505" s="155"/>
      <c r="AL505" s="56"/>
      <c r="AM505" s="56"/>
      <c r="AN505" s="56"/>
    </row>
    <row r="506" spans="1:40" x14ac:dyDescent="0.25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154"/>
      <c r="AH506" s="55"/>
      <c r="AI506" s="55"/>
      <c r="AJ506" s="55"/>
      <c r="AK506" s="154"/>
      <c r="AL506" s="55"/>
      <c r="AM506" s="55"/>
      <c r="AN506" s="55"/>
    </row>
    <row r="507" spans="1:40" x14ac:dyDescent="0.25"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Y507" s="56"/>
      <c r="Z507" s="56"/>
      <c r="AA507" s="56"/>
      <c r="AB507" s="56"/>
      <c r="AC507" s="56"/>
      <c r="AD507" s="56"/>
      <c r="AE507" s="56"/>
      <c r="AF507" s="56"/>
      <c r="AG507" s="155"/>
      <c r="AH507" s="56"/>
      <c r="AI507" s="56"/>
      <c r="AJ507" s="56"/>
      <c r="AK507" s="155"/>
      <c r="AL507" s="56"/>
      <c r="AM507" s="56"/>
      <c r="AN507" s="56"/>
    </row>
    <row r="508" spans="1:40" x14ac:dyDescent="0.25">
      <c r="A508" s="53"/>
      <c r="C508" s="54"/>
      <c r="D508" s="54"/>
      <c r="E508" s="54"/>
      <c r="T508" s="54"/>
      <c r="U508" s="54"/>
    </row>
    <row r="509" spans="1:40" x14ac:dyDescent="0.25">
      <c r="A509" s="53"/>
      <c r="D509" s="54"/>
      <c r="E509" s="54"/>
      <c r="U509" s="54"/>
    </row>
    <row r="511" spans="1:40" x14ac:dyDescent="0.25">
      <c r="A511" s="53"/>
      <c r="C511" s="54"/>
      <c r="F511" s="379"/>
      <c r="J511" s="62"/>
      <c r="K511" s="62"/>
      <c r="L511" s="379"/>
      <c r="M511" s="379"/>
      <c r="R511" s="379"/>
      <c r="T511" s="54"/>
      <c r="V511" s="379"/>
      <c r="Z511" s="62"/>
      <c r="AA511" s="379"/>
      <c r="AB511" s="379"/>
      <c r="AG511" s="156"/>
      <c r="AH511" s="379"/>
      <c r="AK511" s="156"/>
      <c r="AL511" s="379"/>
    </row>
    <row r="512" spans="1:40" x14ac:dyDescent="0.25">
      <c r="A512" s="53"/>
      <c r="C512" s="54"/>
      <c r="F512" s="379"/>
      <c r="R512" s="379"/>
      <c r="T512" s="54"/>
      <c r="V512" s="379"/>
      <c r="AG512" s="156"/>
      <c r="AH512" s="379"/>
      <c r="AK512" s="156"/>
      <c r="AL512" s="379"/>
    </row>
    <row r="513" spans="1:40" x14ac:dyDescent="0.25">
      <c r="AI513" s="379"/>
      <c r="AJ513" s="379"/>
      <c r="AK513" s="156"/>
      <c r="AL513" s="379"/>
      <c r="AM513" s="50"/>
      <c r="AN513" s="50"/>
    </row>
    <row r="514" spans="1:40" x14ac:dyDescent="0.25">
      <c r="A514" s="53"/>
      <c r="C514" s="54"/>
      <c r="F514" s="449"/>
      <c r="H514" s="449"/>
      <c r="I514" s="449"/>
      <c r="J514" s="477"/>
      <c r="K514" s="477"/>
      <c r="L514" s="379"/>
      <c r="M514" s="379"/>
      <c r="N514" s="50"/>
      <c r="O514" s="50"/>
      <c r="P514" s="379"/>
      <c r="Q514" s="379"/>
      <c r="R514" s="379"/>
      <c r="T514" s="54"/>
      <c r="V514" s="379"/>
      <c r="Y514" s="379"/>
      <c r="Z514" s="477"/>
      <c r="AA514" s="379"/>
      <c r="AB514" s="379"/>
      <c r="AC514" s="50"/>
      <c r="AD514" s="50"/>
      <c r="AE514" s="379"/>
      <c r="AF514" s="379"/>
      <c r="AG514" s="156"/>
      <c r="AH514" s="60"/>
      <c r="AI514" s="379"/>
      <c r="AJ514" s="379"/>
      <c r="AK514" s="156"/>
      <c r="AL514" s="379"/>
      <c r="AM514" s="50"/>
      <c r="AN514" s="50"/>
    </row>
    <row r="515" spans="1:40" x14ac:dyDescent="0.25">
      <c r="F515" s="379"/>
      <c r="H515" s="379"/>
      <c r="I515" s="379"/>
      <c r="J515" s="59"/>
      <c r="K515" s="59"/>
      <c r="L515" s="379"/>
      <c r="M515" s="379"/>
      <c r="P515" s="379"/>
      <c r="Q515" s="379"/>
      <c r="R515" s="379"/>
      <c r="V515" s="379"/>
      <c r="Y515" s="379"/>
      <c r="Z515" s="59"/>
      <c r="AA515" s="379"/>
      <c r="AB515" s="379"/>
      <c r="AI515" s="379"/>
      <c r="AJ515" s="379"/>
      <c r="AK515" s="156"/>
      <c r="AL515" s="379"/>
      <c r="AM515" s="50"/>
      <c r="AN515" s="50"/>
    </row>
    <row r="516" spans="1:40" x14ac:dyDescent="0.25">
      <c r="F516" s="379"/>
      <c r="R516" s="379"/>
      <c r="V516" s="379"/>
      <c r="AK516" s="156"/>
      <c r="AL516" s="379"/>
      <c r="AM516" s="50"/>
      <c r="AN516" s="50"/>
    </row>
    <row r="517" spans="1:40" x14ac:dyDescent="0.25">
      <c r="A517" s="53"/>
      <c r="C517" s="54"/>
      <c r="F517" s="379"/>
      <c r="J517" s="62"/>
      <c r="K517" s="62"/>
      <c r="L517" s="379"/>
      <c r="M517" s="379"/>
      <c r="N517" s="50"/>
      <c r="O517" s="50"/>
      <c r="R517" s="379"/>
      <c r="T517" s="54"/>
      <c r="V517" s="379"/>
      <c r="Z517" s="62"/>
      <c r="AA517" s="379"/>
      <c r="AB517" s="379"/>
      <c r="AC517" s="50"/>
      <c r="AD517" s="50"/>
      <c r="AK517" s="156"/>
      <c r="AL517" s="379"/>
      <c r="AM517" s="50"/>
      <c r="AN517" s="50"/>
    </row>
    <row r="518" spans="1:40" x14ac:dyDescent="0.25">
      <c r="A518" s="53"/>
      <c r="C518" s="54"/>
      <c r="F518" s="379"/>
      <c r="H518" s="379"/>
      <c r="I518" s="379"/>
      <c r="J518" s="62"/>
      <c r="K518" s="62"/>
      <c r="L518" s="379"/>
      <c r="M518" s="379"/>
      <c r="N518" s="50"/>
      <c r="O518" s="50"/>
      <c r="P518" s="379"/>
      <c r="Q518" s="379"/>
      <c r="R518" s="379"/>
      <c r="T518" s="54"/>
      <c r="V518" s="379"/>
      <c r="Y518" s="379"/>
      <c r="Z518" s="62"/>
      <c r="AA518" s="379"/>
      <c r="AB518" s="379"/>
      <c r="AC518" s="50"/>
      <c r="AD518" s="50"/>
      <c r="AI518" s="379"/>
      <c r="AJ518" s="379"/>
      <c r="AK518" s="156"/>
      <c r="AL518" s="379"/>
      <c r="AM518" s="50"/>
      <c r="AN518" s="50"/>
    </row>
    <row r="519" spans="1:40" x14ac:dyDescent="0.25">
      <c r="A519" s="53"/>
      <c r="C519" s="54"/>
      <c r="T519" s="54"/>
      <c r="AM519" s="50"/>
      <c r="AN519" s="50"/>
    </row>
    <row r="520" spans="1:40" x14ac:dyDescent="0.25">
      <c r="A520" s="53"/>
      <c r="C520" s="54"/>
      <c r="T520" s="54"/>
      <c r="AM520" s="50"/>
      <c r="AN520" s="50"/>
    </row>
    <row r="521" spans="1:40" x14ac:dyDescent="0.25">
      <c r="AM521" s="50"/>
      <c r="AN521" s="50"/>
    </row>
    <row r="522" spans="1:40" x14ac:dyDescent="0.25">
      <c r="A522" s="53"/>
      <c r="C522" s="54"/>
      <c r="F522" s="449"/>
      <c r="H522" s="449"/>
      <c r="I522" s="449"/>
      <c r="J522" s="477"/>
      <c r="K522" s="477"/>
      <c r="L522" s="379"/>
      <c r="M522" s="379"/>
      <c r="N522" s="50"/>
      <c r="O522" s="50"/>
      <c r="P522" s="379"/>
      <c r="Q522" s="379"/>
      <c r="R522" s="379"/>
      <c r="T522" s="54"/>
      <c r="V522" s="379"/>
      <c r="Y522" s="379"/>
      <c r="Z522" s="477"/>
      <c r="AA522" s="379"/>
      <c r="AB522" s="379"/>
      <c r="AC522" s="50"/>
      <c r="AD522" s="50"/>
      <c r="AE522" s="379"/>
      <c r="AF522" s="379"/>
      <c r="AG522" s="156"/>
      <c r="AH522" s="60"/>
      <c r="AI522" s="379"/>
      <c r="AJ522" s="379"/>
      <c r="AK522" s="156"/>
      <c r="AL522" s="379"/>
      <c r="AM522" s="50"/>
      <c r="AN522" s="50"/>
    </row>
    <row r="523" spans="1:40" x14ac:dyDescent="0.25">
      <c r="F523" s="381"/>
      <c r="H523" s="381"/>
      <c r="I523" s="381"/>
      <c r="J523" s="464"/>
      <c r="K523" s="464"/>
      <c r="L523" s="381"/>
      <c r="M523" s="381"/>
      <c r="N523" s="381"/>
      <c r="O523" s="381"/>
      <c r="P523" s="381"/>
      <c r="Q523" s="381"/>
      <c r="R523" s="381"/>
      <c r="V523" s="381"/>
      <c r="Y523" s="381"/>
      <c r="Z523" s="464"/>
      <c r="AA523" s="381"/>
      <c r="AB523" s="381"/>
      <c r="AC523" s="381"/>
      <c r="AD523" s="381"/>
      <c r="AE523" s="381"/>
      <c r="AF523" s="381"/>
      <c r="AI523" s="381"/>
      <c r="AJ523" s="381"/>
      <c r="AK523" s="162"/>
      <c r="AL523" s="381"/>
      <c r="AM523" s="50"/>
      <c r="AN523" s="50"/>
    </row>
    <row r="524" spans="1:40" x14ac:dyDescent="0.25">
      <c r="H524" s="379"/>
      <c r="I524" s="379"/>
      <c r="Y524" s="379"/>
      <c r="AM524" s="50"/>
      <c r="AN524" s="50"/>
    </row>
    <row r="525" spans="1:40" x14ac:dyDescent="0.25">
      <c r="A525" s="53"/>
      <c r="C525" s="54"/>
      <c r="F525" s="379"/>
      <c r="H525" s="379"/>
      <c r="I525" s="379"/>
      <c r="L525" s="379"/>
      <c r="M525" s="379"/>
      <c r="N525" s="50"/>
      <c r="O525" s="50"/>
      <c r="P525" s="449"/>
      <c r="Q525" s="449"/>
      <c r="R525" s="379"/>
      <c r="T525" s="54"/>
      <c r="V525" s="379"/>
      <c r="Y525" s="379"/>
      <c r="AA525" s="379"/>
      <c r="AB525" s="379"/>
      <c r="AC525" s="50"/>
      <c r="AD525" s="50"/>
      <c r="AE525" s="379"/>
      <c r="AF525" s="379"/>
      <c r="AG525" s="156"/>
      <c r="AH525" s="60"/>
      <c r="AI525" s="449"/>
      <c r="AJ525" s="449"/>
      <c r="AK525" s="156"/>
      <c r="AL525" s="379"/>
      <c r="AM525" s="50"/>
      <c r="AN525" s="50"/>
    </row>
    <row r="526" spans="1:40" x14ac:dyDescent="0.25">
      <c r="F526" s="381"/>
      <c r="H526" s="381"/>
      <c r="I526" s="381"/>
      <c r="J526" s="464"/>
      <c r="K526" s="464"/>
      <c r="L526" s="381"/>
      <c r="M526" s="381"/>
      <c r="N526" s="381"/>
      <c r="O526" s="381"/>
      <c r="P526" s="381"/>
      <c r="Q526" s="381"/>
      <c r="R526" s="381"/>
      <c r="V526" s="381"/>
      <c r="Y526" s="381"/>
      <c r="Z526" s="464"/>
      <c r="AA526" s="381"/>
      <c r="AB526" s="381"/>
      <c r="AC526" s="381"/>
      <c r="AD526" s="381"/>
      <c r="AE526" s="381"/>
      <c r="AF526" s="381"/>
      <c r="AI526" s="381"/>
      <c r="AJ526" s="381"/>
      <c r="AK526" s="162"/>
      <c r="AL526" s="381"/>
      <c r="AM526" s="50"/>
      <c r="AN526" s="50"/>
    </row>
    <row r="528" spans="1:40" x14ac:dyDescent="0.25">
      <c r="F528" s="379"/>
      <c r="H528" s="379"/>
      <c r="I528" s="379"/>
      <c r="J528" s="59"/>
      <c r="K528" s="59"/>
      <c r="L528" s="379"/>
      <c r="M528" s="379"/>
      <c r="N528" s="379"/>
      <c r="O528" s="379"/>
      <c r="P528" s="379"/>
      <c r="Q528" s="379"/>
      <c r="R528" s="379"/>
      <c r="V528" s="379"/>
      <c r="Y528" s="379"/>
      <c r="Z528" s="59"/>
      <c r="AA528" s="379"/>
      <c r="AB528" s="379"/>
      <c r="AC528" s="379"/>
      <c r="AD528" s="379"/>
      <c r="AE528" s="379"/>
      <c r="AF528" s="379"/>
      <c r="AG528" s="156"/>
      <c r="AH528" s="379"/>
      <c r="AI528" s="379"/>
      <c r="AJ528" s="379"/>
      <c r="AK528" s="156"/>
      <c r="AL528" s="379"/>
    </row>
    <row r="529" spans="1:40" x14ac:dyDescent="0.25">
      <c r="A529" s="54"/>
    </row>
    <row r="530" spans="1:40" x14ac:dyDescent="0.25">
      <c r="J530" s="53"/>
      <c r="K530" s="53"/>
      <c r="Z530" s="53"/>
    </row>
    <row r="531" spans="1:40" x14ac:dyDescent="0.25">
      <c r="H531" s="54"/>
      <c r="I531" s="54"/>
      <c r="Y531" s="54"/>
    </row>
    <row r="532" spans="1:40" x14ac:dyDescent="0.25">
      <c r="J532" s="53"/>
      <c r="K532" s="53"/>
      <c r="Z532" s="53"/>
    </row>
    <row r="533" spans="1:40" x14ac:dyDescent="0.25">
      <c r="L533" s="54"/>
      <c r="M533" s="54"/>
      <c r="AA533" s="54"/>
      <c r="AB533" s="54"/>
    </row>
    <row r="534" spans="1:40" x14ac:dyDescent="0.25">
      <c r="A534" s="53"/>
      <c r="R534" s="54"/>
      <c r="AK534" s="161"/>
      <c r="AL534" s="54"/>
    </row>
    <row r="535" spans="1:40" x14ac:dyDescent="0.25">
      <c r="A535" s="53"/>
      <c r="R535" s="54"/>
      <c r="AK535" s="161"/>
      <c r="AL535" s="54"/>
    </row>
    <row r="536" spans="1:40" x14ac:dyDescent="0.25">
      <c r="A536" s="54"/>
      <c r="R536" s="54"/>
      <c r="AK536" s="161"/>
      <c r="AL536" s="54"/>
    </row>
    <row r="537" spans="1:40" x14ac:dyDescent="0.25">
      <c r="L537" s="54"/>
      <c r="M537" s="54"/>
      <c r="R537" s="53"/>
      <c r="AA537" s="54"/>
      <c r="AB537" s="54"/>
      <c r="AK537" s="156"/>
      <c r="AL537" s="53"/>
    </row>
    <row r="538" spans="1:40" x14ac:dyDescent="0.25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154"/>
      <c r="AH538" s="55"/>
      <c r="AI538" s="55"/>
      <c r="AJ538" s="55"/>
      <c r="AK538" s="154"/>
      <c r="AL538" s="55"/>
      <c r="AM538" s="55"/>
      <c r="AN538" s="55"/>
    </row>
    <row r="539" spans="1:40" x14ac:dyDescent="0.25">
      <c r="L539" s="56"/>
      <c r="M539" s="56"/>
      <c r="N539" s="56"/>
      <c r="O539" s="56"/>
      <c r="R539" s="56"/>
      <c r="AA539" s="56"/>
      <c r="AB539" s="56"/>
      <c r="AC539" s="56"/>
      <c r="AD539" s="56"/>
      <c r="AE539" s="56"/>
      <c r="AF539" s="56"/>
      <c r="AG539" s="155"/>
      <c r="AH539" s="56"/>
      <c r="AK539" s="155"/>
      <c r="AL539" s="56"/>
      <c r="AM539" s="56"/>
      <c r="AN539" s="56"/>
    </row>
    <row r="540" spans="1:40" x14ac:dyDescent="0.25">
      <c r="L540" s="56"/>
      <c r="M540" s="56"/>
      <c r="N540" s="56"/>
      <c r="O540" s="56"/>
      <c r="R540" s="56"/>
      <c r="Z540" s="56"/>
      <c r="AA540" s="56"/>
      <c r="AB540" s="56"/>
      <c r="AC540" s="56"/>
      <c r="AD540" s="56"/>
      <c r="AE540" s="56"/>
      <c r="AF540" s="56"/>
      <c r="AG540" s="155"/>
      <c r="AH540" s="56"/>
      <c r="AK540" s="155"/>
      <c r="AL540" s="56"/>
      <c r="AM540" s="56"/>
      <c r="AN540" s="56"/>
    </row>
    <row r="541" spans="1:40" x14ac:dyDescent="0.25">
      <c r="A541" s="56"/>
      <c r="C541" s="56"/>
      <c r="D541" s="56"/>
      <c r="E541" s="56"/>
      <c r="F541" s="56"/>
      <c r="J541" s="56"/>
      <c r="K541" s="56"/>
      <c r="L541" s="56"/>
      <c r="M541" s="56"/>
      <c r="N541" s="56"/>
      <c r="O541" s="56"/>
      <c r="P541" s="56"/>
      <c r="Q541" s="56"/>
      <c r="R541" s="56"/>
      <c r="T541" s="56"/>
      <c r="U541" s="56"/>
      <c r="V541" s="56"/>
      <c r="Z541" s="56"/>
      <c r="AA541" s="56"/>
      <c r="AB541" s="56"/>
      <c r="AC541" s="56"/>
      <c r="AD541" s="56"/>
      <c r="AE541" s="56"/>
      <c r="AF541" s="56"/>
      <c r="AG541" s="155"/>
      <c r="AH541" s="56"/>
      <c r="AI541" s="56"/>
      <c r="AJ541" s="56"/>
      <c r="AK541" s="155"/>
      <c r="AL541" s="56"/>
      <c r="AM541" s="56"/>
      <c r="AN541" s="56"/>
    </row>
    <row r="542" spans="1:40" x14ac:dyDescent="0.25">
      <c r="A542" s="56"/>
      <c r="C542" s="56"/>
      <c r="D542" s="56"/>
      <c r="E542" s="56"/>
      <c r="F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T542" s="56"/>
      <c r="U542" s="56"/>
      <c r="V542" s="56"/>
      <c r="Y542" s="56"/>
      <c r="Z542" s="56"/>
      <c r="AA542" s="56"/>
      <c r="AB542" s="56"/>
      <c r="AC542" s="56"/>
      <c r="AD542" s="56"/>
      <c r="AE542" s="56"/>
      <c r="AF542" s="56"/>
      <c r="AG542" s="155"/>
      <c r="AH542" s="56"/>
      <c r="AI542" s="56"/>
      <c r="AJ542" s="56"/>
      <c r="AK542" s="155"/>
      <c r="AL542" s="56"/>
      <c r="AM542" s="56"/>
      <c r="AN542" s="56"/>
    </row>
    <row r="543" spans="1:40" x14ac:dyDescent="0.25">
      <c r="C543" s="56"/>
      <c r="D543" s="56"/>
      <c r="E543" s="56"/>
      <c r="F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T543" s="56"/>
      <c r="U543" s="56"/>
      <c r="V543" s="56"/>
      <c r="Y543" s="56"/>
      <c r="Z543" s="56"/>
      <c r="AA543" s="56"/>
      <c r="AB543" s="56"/>
      <c r="AC543" s="56"/>
      <c r="AD543" s="56"/>
      <c r="AE543" s="56"/>
      <c r="AF543" s="56"/>
      <c r="AG543" s="155"/>
      <c r="AH543" s="56"/>
      <c r="AI543" s="56"/>
      <c r="AJ543" s="56"/>
      <c r="AK543" s="155"/>
      <c r="AL543" s="56"/>
      <c r="AM543" s="56"/>
      <c r="AN543" s="56"/>
    </row>
    <row r="544" spans="1:40" x14ac:dyDescent="0.25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154"/>
      <c r="AH544" s="55"/>
      <c r="AI544" s="55"/>
      <c r="AJ544" s="55"/>
      <c r="AK544" s="154"/>
      <c r="AL544" s="55"/>
      <c r="AM544" s="55"/>
      <c r="AN544" s="55"/>
    </row>
    <row r="545" spans="1:40" x14ac:dyDescent="0.25"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Y545" s="56"/>
      <c r="Z545" s="56"/>
      <c r="AA545" s="56"/>
      <c r="AB545" s="56"/>
      <c r="AC545" s="56"/>
      <c r="AD545" s="56"/>
      <c r="AE545" s="56"/>
      <c r="AF545" s="56"/>
      <c r="AG545" s="155"/>
      <c r="AH545" s="56"/>
      <c r="AI545" s="56"/>
      <c r="AJ545" s="56"/>
      <c r="AK545" s="155"/>
      <c r="AL545" s="56"/>
      <c r="AM545" s="56"/>
      <c r="AN545" s="56"/>
    </row>
    <row r="546" spans="1:40" x14ac:dyDescent="0.25">
      <c r="A546" s="53"/>
      <c r="C546" s="54"/>
      <c r="D546" s="54"/>
      <c r="E546" s="54"/>
      <c r="T546" s="54"/>
      <c r="U546" s="54"/>
      <c r="V546" s="379"/>
      <c r="W546" s="379"/>
      <c r="X546" s="379"/>
      <c r="Y546" s="379"/>
      <c r="Z546" s="477"/>
    </row>
    <row r="548" spans="1:40" x14ac:dyDescent="0.25">
      <c r="A548" s="53"/>
      <c r="C548" s="54"/>
      <c r="T548" s="54"/>
      <c r="V548" s="379"/>
      <c r="W548" s="379"/>
      <c r="X548" s="379"/>
      <c r="Y548" s="379"/>
      <c r="Z548" s="477"/>
    </row>
    <row r="549" spans="1:40" x14ac:dyDescent="0.25">
      <c r="A549" s="53"/>
      <c r="C549" s="54"/>
      <c r="F549" s="449"/>
      <c r="H549" s="449"/>
      <c r="I549" s="449"/>
      <c r="J549" s="221"/>
      <c r="K549" s="221"/>
      <c r="L549" s="379"/>
      <c r="M549" s="379"/>
      <c r="N549" s="50"/>
      <c r="O549" s="50"/>
      <c r="P549" s="379"/>
      <c r="Q549" s="379"/>
      <c r="R549" s="379"/>
      <c r="T549" s="54"/>
      <c r="V549" s="379"/>
      <c r="W549" s="379"/>
      <c r="X549" s="379"/>
      <c r="Y549" s="379"/>
      <c r="Z549" s="221"/>
      <c r="AA549" s="379"/>
      <c r="AB549" s="379"/>
      <c r="AC549" s="50"/>
      <c r="AD549" s="50"/>
      <c r="AE549" s="379"/>
      <c r="AF549" s="379"/>
      <c r="AG549" s="156"/>
      <c r="AH549" s="60"/>
      <c r="AI549" s="379"/>
      <c r="AJ549" s="379"/>
      <c r="AK549" s="156"/>
      <c r="AL549" s="379"/>
      <c r="AM549" s="50"/>
      <c r="AN549" s="50"/>
    </row>
    <row r="550" spans="1:40" x14ac:dyDescent="0.25">
      <c r="A550" s="53"/>
      <c r="C550" s="54"/>
      <c r="F550" s="449"/>
      <c r="H550" s="449"/>
      <c r="I550" s="449"/>
      <c r="J550" s="221"/>
      <c r="K550" s="221"/>
      <c r="L550" s="379"/>
      <c r="M550" s="379"/>
      <c r="N550" s="50"/>
      <c r="O550" s="50"/>
      <c r="P550" s="379"/>
      <c r="Q550" s="379"/>
      <c r="R550" s="379"/>
      <c r="T550" s="54"/>
      <c r="V550" s="379"/>
      <c r="W550" s="379"/>
      <c r="X550" s="379"/>
      <c r="Y550" s="379"/>
      <c r="Z550" s="221"/>
      <c r="AA550" s="379"/>
      <c r="AB550" s="379"/>
      <c r="AC550" s="50"/>
      <c r="AD550" s="50"/>
      <c r="AE550" s="379"/>
      <c r="AF550" s="379"/>
      <c r="AG550" s="156"/>
      <c r="AH550" s="60"/>
      <c r="AI550" s="379"/>
      <c r="AJ550" s="379"/>
      <c r="AK550" s="156"/>
      <c r="AL550" s="379"/>
      <c r="AM550" s="50"/>
      <c r="AN550" s="50"/>
    </row>
    <row r="551" spans="1:40" x14ac:dyDescent="0.25">
      <c r="A551" s="53"/>
      <c r="C551" s="54"/>
      <c r="F551" s="449"/>
      <c r="H551" s="449"/>
      <c r="I551" s="449"/>
      <c r="J551" s="221"/>
      <c r="K551" s="221"/>
      <c r="L551" s="379"/>
      <c r="M551" s="379"/>
      <c r="N551" s="50"/>
      <c r="O551" s="50"/>
      <c r="P551" s="379"/>
      <c r="Q551" s="379"/>
      <c r="R551" s="379"/>
      <c r="T551" s="54"/>
      <c r="V551" s="379"/>
      <c r="W551" s="379"/>
      <c r="X551" s="379"/>
      <c r="Y551" s="379"/>
      <c r="Z551" s="221"/>
      <c r="AA551" s="379"/>
      <c r="AB551" s="379"/>
      <c r="AC551" s="50"/>
      <c r="AD551" s="50"/>
      <c r="AE551" s="379"/>
      <c r="AF551" s="379"/>
      <c r="AG551" s="156"/>
      <c r="AH551" s="60"/>
      <c r="AI551" s="379"/>
      <c r="AJ551" s="379"/>
      <c r="AK551" s="156"/>
      <c r="AL551" s="379"/>
      <c r="AM551" s="50"/>
      <c r="AN551" s="50"/>
    </row>
    <row r="552" spans="1:40" x14ac:dyDescent="0.25">
      <c r="A552" s="53"/>
      <c r="C552" s="54"/>
      <c r="F552" s="449"/>
      <c r="H552" s="449"/>
      <c r="I552" s="449"/>
      <c r="J552" s="221"/>
      <c r="K552" s="221"/>
      <c r="L552" s="379"/>
      <c r="M552" s="379"/>
      <c r="N552" s="50"/>
      <c r="O552" s="50"/>
      <c r="P552" s="379"/>
      <c r="Q552" s="379"/>
      <c r="R552" s="379"/>
      <c r="T552" s="54"/>
      <c r="V552" s="379"/>
      <c r="W552" s="379"/>
      <c r="X552" s="379"/>
      <c r="Y552" s="379"/>
      <c r="Z552" s="221"/>
      <c r="AA552" s="379"/>
      <c r="AB552" s="379"/>
      <c r="AC552" s="50"/>
      <c r="AD552" s="50"/>
      <c r="AE552" s="379"/>
      <c r="AF552" s="379"/>
      <c r="AG552" s="156"/>
      <c r="AH552" s="60"/>
      <c r="AI552" s="379"/>
      <c r="AJ552" s="379"/>
      <c r="AK552" s="156"/>
      <c r="AL552" s="379"/>
      <c r="AM552" s="50"/>
      <c r="AN552" s="50"/>
    </row>
    <row r="553" spans="1:40" x14ac:dyDescent="0.25">
      <c r="J553" s="65"/>
      <c r="K553" s="65"/>
      <c r="V553" s="379"/>
      <c r="W553" s="379"/>
      <c r="X553" s="379"/>
      <c r="Y553" s="379"/>
      <c r="Z553" s="221"/>
    </row>
    <row r="554" spans="1:40" x14ac:dyDescent="0.25">
      <c r="A554" s="53"/>
      <c r="C554" s="54"/>
      <c r="F554" s="449"/>
      <c r="H554" s="449"/>
      <c r="I554" s="449"/>
      <c r="J554" s="221"/>
      <c r="K554" s="221"/>
      <c r="L554" s="379"/>
      <c r="M554" s="379"/>
      <c r="N554" s="50"/>
      <c r="O554" s="50"/>
      <c r="P554" s="379"/>
      <c r="Q554" s="379"/>
      <c r="R554" s="379"/>
      <c r="T554" s="54"/>
      <c r="V554" s="379"/>
      <c r="W554" s="379"/>
      <c r="X554" s="379"/>
      <c r="Y554" s="379"/>
      <c r="Z554" s="221"/>
      <c r="AA554" s="379"/>
      <c r="AB554" s="379"/>
      <c r="AC554" s="50"/>
      <c r="AD554" s="50"/>
      <c r="AE554" s="379"/>
      <c r="AF554" s="379"/>
      <c r="AG554" s="156"/>
      <c r="AH554" s="60"/>
      <c r="AI554" s="379"/>
      <c r="AJ554" s="379"/>
      <c r="AK554" s="156"/>
      <c r="AL554" s="379"/>
      <c r="AM554" s="60"/>
      <c r="AN554" s="60"/>
    </row>
    <row r="555" spans="1:40" x14ac:dyDescent="0.25">
      <c r="A555" s="53"/>
      <c r="C555" s="54"/>
      <c r="J555" s="65"/>
      <c r="K555" s="65"/>
      <c r="T555" s="54"/>
      <c r="V555" s="379"/>
      <c r="W555" s="379"/>
      <c r="X555" s="379"/>
      <c r="Y555" s="379"/>
      <c r="Z555" s="221"/>
    </row>
    <row r="556" spans="1:40" x14ac:dyDescent="0.25">
      <c r="A556" s="53"/>
      <c r="C556" s="54"/>
      <c r="F556" s="449"/>
      <c r="H556" s="449"/>
      <c r="I556" s="449"/>
      <c r="J556" s="221"/>
      <c r="K556" s="221"/>
      <c r="L556" s="379"/>
      <c r="M556" s="379"/>
      <c r="N556" s="50"/>
      <c r="O556" s="50"/>
      <c r="P556" s="379"/>
      <c r="Q556" s="379"/>
      <c r="R556" s="379"/>
      <c r="T556" s="54"/>
      <c r="V556" s="379"/>
      <c r="W556" s="379"/>
      <c r="X556" s="379"/>
      <c r="Y556" s="379"/>
      <c r="Z556" s="221"/>
      <c r="AA556" s="379"/>
      <c r="AB556" s="379"/>
      <c r="AC556" s="50"/>
      <c r="AD556" s="50"/>
      <c r="AE556" s="379"/>
      <c r="AF556" s="379"/>
      <c r="AG556" s="156"/>
      <c r="AH556" s="60"/>
      <c r="AI556" s="379"/>
      <c r="AJ556" s="379"/>
      <c r="AK556" s="156"/>
      <c r="AL556" s="379"/>
      <c r="AM556" s="60"/>
      <c r="AN556" s="60"/>
    </row>
    <row r="557" spans="1:40" x14ac:dyDescent="0.25">
      <c r="J557" s="65"/>
      <c r="K557" s="65"/>
      <c r="Z557" s="65"/>
    </row>
    <row r="558" spans="1:40" x14ac:dyDescent="0.25">
      <c r="A558" s="53"/>
      <c r="C558" s="54"/>
      <c r="J558" s="65"/>
      <c r="K558" s="65"/>
      <c r="T558" s="54"/>
      <c r="V558" s="379"/>
      <c r="W558" s="379"/>
      <c r="X558" s="379"/>
      <c r="Y558" s="379"/>
      <c r="Z558" s="221"/>
    </row>
    <row r="559" spans="1:40" x14ac:dyDescent="0.25">
      <c r="A559" s="53"/>
      <c r="C559" s="54"/>
      <c r="F559" s="449"/>
      <c r="H559" s="449"/>
      <c r="I559" s="449"/>
      <c r="J559" s="221"/>
      <c r="K559" s="221"/>
      <c r="L559" s="379"/>
      <c r="M559" s="379"/>
      <c r="N559" s="50"/>
      <c r="O559" s="50"/>
      <c r="P559" s="379"/>
      <c r="Q559" s="379"/>
      <c r="R559" s="379"/>
      <c r="T559" s="54"/>
      <c r="V559" s="379"/>
      <c r="W559" s="379"/>
      <c r="X559" s="379"/>
      <c r="Y559" s="379"/>
      <c r="Z559" s="221"/>
      <c r="AA559" s="379"/>
      <c r="AB559" s="379"/>
      <c r="AC559" s="50"/>
      <c r="AD559" s="50"/>
      <c r="AE559" s="379"/>
      <c r="AF559" s="379"/>
      <c r="AG559" s="156"/>
      <c r="AH559" s="60"/>
      <c r="AI559" s="379"/>
      <c r="AJ559" s="379"/>
      <c r="AK559" s="156"/>
      <c r="AL559" s="379"/>
      <c r="AM559" s="60"/>
      <c r="AN559" s="60"/>
    </row>
    <row r="560" spans="1:40" x14ac:dyDescent="0.25">
      <c r="A560" s="53"/>
      <c r="C560" s="54"/>
      <c r="F560" s="449"/>
      <c r="H560" s="449"/>
      <c r="I560" s="449"/>
      <c r="J560" s="221"/>
      <c r="K560" s="221"/>
      <c r="L560" s="379"/>
      <c r="M560" s="379"/>
      <c r="N560" s="50"/>
      <c r="O560" s="50"/>
      <c r="P560" s="379"/>
      <c r="Q560" s="379"/>
      <c r="R560" s="379"/>
      <c r="T560" s="54"/>
      <c r="V560" s="379"/>
      <c r="W560" s="379"/>
      <c r="X560" s="379"/>
      <c r="Y560" s="379"/>
      <c r="Z560" s="221"/>
      <c r="AA560" s="379"/>
      <c r="AB560" s="379"/>
      <c r="AC560" s="50"/>
      <c r="AD560" s="50"/>
      <c r="AE560" s="379"/>
      <c r="AF560" s="379"/>
      <c r="AG560" s="156"/>
      <c r="AH560" s="60"/>
      <c r="AI560" s="379"/>
      <c r="AJ560" s="379"/>
      <c r="AK560" s="156"/>
      <c r="AL560" s="379"/>
      <c r="AM560" s="60"/>
      <c r="AN560" s="60"/>
    </row>
    <row r="561" spans="1:40" x14ac:dyDescent="0.25">
      <c r="F561" s="381"/>
      <c r="H561" s="381"/>
      <c r="I561" s="381"/>
      <c r="J561" s="221"/>
      <c r="K561" s="221"/>
      <c r="L561" s="381"/>
      <c r="M561" s="381"/>
      <c r="N561" s="381"/>
      <c r="O561" s="381"/>
      <c r="P561" s="381"/>
      <c r="Q561" s="381"/>
      <c r="R561" s="381"/>
      <c r="V561" s="381"/>
      <c r="Y561" s="381"/>
      <c r="Z561" s="464"/>
      <c r="AA561" s="381"/>
      <c r="AB561" s="381"/>
      <c r="AC561" s="381"/>
      <c r="AD561" s="381"/>
      <c r="AE561" s="381"/>
      <c r="AF561" s="381"/>
      <c r="AI561" s="381"/>
      <c r="AJ561" s="381"/>
      <c r="AK561" s="162"/>
      <c r="AL561" s="381"/>
    </row>
    <row r="562" spans="1:40" x14ac:dyDescent="0.25">
      <c r="A562" s="53"/>
      <c r="C562" s="54"/>
      <c r="F562" s="379"/>
      <c r="H562" s="379"/>
      <c r="I562" s="379"/>
      <c r="L562" s="379"/>
      <c r="M562" s="379"/>
      <c r="N562" s="50"/>
      <c r="O562" s="50"/>
      <c r="P562" s="449"/>
      <c r="Q562" s="449"/>
      <c r="R562" s="379"/>
      <c r="T562" s="54"/>
      <c r="V562" s="379"/>
      <c r="W562" s="379"/>
      <c r="X562" s="379"/>
      <c r="Y562" s="379"/>
      <c r="Z562" s="477"/>
      <c r="AA562" s="379"/>
      <c r="AB562" s="379"/>
      <c r="AC562" s="50"/>
      <c r="AD562" s="50"/>
      <c r="AE562" s="379"/>
      <c r="AF562" s="379"/>
      <c r="AG562" s="156"/>
      <c r="AH562" s="60"/>
      <c r="AI562" s="449"/>
      <c r="AJ562" s="449"/>
      <c r="AK562" s="156"/>
      <c r="AL562" s="379"/>
      <c r="AM562" s="60"/>
      <c r="AN562" s="60"/>
    </row>
    <row r="563" spans="1:40" x14ac:dyDescent="0.25">
      <c r="F563" s="381"/>
      <c r="H563" s="381"/>
      <c r="I563" s="381"/>
      <c r="J563" s="464"/>
      <c r="K563" s="464"/>
      <c r="L563" s="381"/>
      <c r="M563" s="381"/>
      <c r="N563" s="381"/>
      <c r="O563" s="381"/>
      <c r="P563" s="381"/>
      <c r="Q563" s="381"/>
      <c r="R563" s="381"/>
      <c r="V563" s="381"/>
      <c r="Y563" s="381"/>
      <c r="Z563" s="464"/>
      <c r="AA563" s="381"/>
      <c r="AB563" s="381"/>
      <c r="AC563" s="381"/>
      <c r="AD563" s="381"/>
      <c r="AE563" s="381"/>
      <c r="AF563" s="381"/>
      <c r="AI563" s="381"/>
      <c r="AJ563" s="381"/>
      <c r="AK563" s="162"/>
      <c r="AL563" s="381"/>
    </row>
    <row r="565" spans="1:40" x14ac:dyDescent="0.25">
      <c r="C565" s="53"/>
      <c r="T565" s="53"/>
    </row>
    <row r="566" spans="1:40" x14ac:dyDescent="0.25">
      <c r="A566" s="54"/>
    </row>
    <row r="567" spans="1:40" x14ac:dyDescent="0.25">
      <c r="J567" s="53"/>
      <c r="K567" s="53"/>
      <c r="Z567" s="53"/>
    </row>
    <row r="568" spans="1:40" x14ac:dyDescent="0.25">
      <c r="H568" s="54"/>
      <c r="I568" s="54"/>
      <c r="Y568" s="54"/>
    </row>
    <row r="569" spans="1:40" x14ac:dyDescent="0.25">
      <c r="J569" s="53"/>
      <c r="K569" s="53"/>
      <c r="Z569" s="53"/>
    </row>
    <row r="570" spans="1:40" x14ac:dyDescent="0.25">
      <c r="L570" s="54"/>
      <c r="M570" s="54"/>
      <c r="AA570" s="54"/>
      <c r="AB570" s="54"/>
    </row>
    <row r="571" spans="1:40" x14ac:dyDescent="0.25">
      <c r="A571" s="53"/>
      <c r="R571" s="54"/>
      <c r="AK571" s="161"/>
      <c r="AL571" s="54"/>
    </row>
    <row r="572" spans="1:40" x14ac:dyDescent="0.25">
      <c r="A572" s="53"/>
      <c r="R572" s="54"/>
      <c r="AK572" s="161"/>
      <c r="AL572" s="54"/>
    </row>
    <row r="573" spans="1:40" x14ac:dyDescent="0.25">
      <c r="A573" s="54"/>
      <c r="R573" s="54"/>
      <c r="AK573" s="161"/>
      <c r="AL573" s="54"/>
    </row>
    <row r="574" spans="1:40" x14ac:dyDescent="0.25">
      <c r="L574" s="54"/>
      <c r="M574" s="54"/>
      <c r="R574" s="53"/>
      <c r="AA574" s="54"/>
      <c r="AB574" s="54"/>
      <c r="AK574" s="156"/>
      <c r="AL574" s="53"/>
    </row>
    <row r="575" spans="1:40" x14ac:dyDescent="0.25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154"/>
      <c r="AH575" s="55"/>
      <c r="AI575" s="55"/>
      <c r="AJ575" s="55"/>
      <c r="AK575" s="154"/>
      <c r="AL575" s="55"/>
      <c r="AM575" s="55"/>
      <c r="AN575" s="55"/>
    </row>
    <row r="576" spans="1:40" x14ac:dyDescent="0.25">
      <c r="L576" s="56"/>
      <c r="M576" s="56"/>
      <c r="N576" s="56"/>
      <c r="O576" s="56"/>
      <c r="R576" s="56"/>
      <c r="AA576" s="56"/>
      <c r="AB576" s="56"/>
      <c r="AC576" s="56"/>
      <c r="AD576" s="56"/>
      <c r="AE576" s="56"/>
      <c r="AF576" s="56"/>
      <c r="AG576" s="155"/>
      <c r="AH576" s="56"/>
      <c r="AK576" s="155"/>
      <c r="AL576" s="56"/>
      <c r="AM576" s="56"/>
      <c r="AN576" s="56"/>
    </row>
    <row r="577" spans="1:40" x14ac:dyDescent="0.25">
      <c r="L577" s="56"/>
      <c r="M577" s="56"/>
      <c r="N577" s="56"/>
      <c r="O577" s="56"/>
      <c r="R577" s="56"/>
      <c r="Z577" s="56"/>
      <c r="AA577" s="56"/>
      <c r="AB577" s="56"/>
      <c r="AC577" s="56"/>
      <c r="AD577" s="56"/>
      <c r="AE577" s="56"/>
      <c r="AF577" s="56"/>
      <c r="AG577" s="155"/>
      <c r="AH577" s="56"/>
      <c r="AK577" s="155"/>
      <c r="AL577" s="56"/>
      <c r="AM577" s="56"/>
      <c r="AN577" s="56"/>
    </row>
    <row r="578" spans="1:40" x14ac:dyDescent="0.25">
      <c r="A578" s="56"/>
      <c r="C578" s="56"/>
      <c r="D578" s="56"/>
      <c r="E578" s="56"/>
      <c r="F578" s="56"/>
      <c r="J578" s="56"/>
      <c r="K578" s="56"/>
      <c r="L578" s="56"/>
      <c r="M578" s="56"/>
      <c r="N578" s="56"/>
      <c r="O578" s="56"/>
      <c r="P578" s="56"/>
      <c r="Q578" s="56"/>
      <c r="R578" s="56"/>
      <c r="T578" s="56"/>
      <c r="U578" s="56"/>
      <c r="V578" s="56"/>
      <c r="Z578" s="56"/>
      <c r="AA578" s="56"/>
      <c r="AB578" s="56"/>
      <c r="AC578" s="56"/>
      <c r="AD578" s="56"/>
      <c r="AE578" s="56"/>
      <c r="AF578" s="56"/>
      <c r="AG578" s="155"/>
      <c r="AH578" s="56"/>
      <c r="AI578" s="56"/>
      <c r="AJ578" s="56"/>
      <c r="AK578" s="155"/>
      <c r="AL578" s="56"/>
      <c r="AM578" s="56"/>
      <c r="AN578" s="56"/>
    </row>
    <row r="579" spans="1:40" x14ac:dyDescent="0.25">
      <c r="A579" s="56"/>
      <c r="C579" s="56"/>
      <c r="D579" s="56"/>
      <c r="E579" s="56"/>
      <c r="F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T579" s="56"/>
      <c r="U579" s="56"/>
      <c r="V579" s="56"/>
      <c r="Y579" s="56"/>
      <c r="Z579" s="56"/>
      <c r="AA579" s="56"/>
      <c r="AB579" s="56"/>
      <c r="AC579" s="56"/>
      <c r="AD579" s="56"/>
      <c r="AE579" s="56"/>
      <c r="AF579" s="56"/>
      <c r="AG579" s="155"/>
      <c r="AH579" s="56"/>
      <c r="AI579" s="56"/>
      <c r="AJ579" s="56"/>
      <c r="AK579" s="155"/>
      <c r="AL579" s="56"/>
      <c r="AM579" s="56"/>
      <c r="AN579" s="56"/>
    </row>
    <row r="580" spans="1:40" x14ac:dyDescent="0.25">
      <c r="C580" s="56"/>
      <c r="D580" s="56"/>
      <c r="E580" s="56"/>
      <c r="F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T580" s="56"/>
      <c r="U580" s="56"/>
      <c r="V580" s="56"/>
      <c r="Y580" s="56"/>
      <c r="Z580" s="56"/>
      <c r="AA580" s="56"/>
      <c r="AB580" s="56"/>
      <c r="AC580" s="56"/>
      <c r="AD580" s="56"/>
      <c r="AE580" s="56"/>
      <c r="AF580" s="56"/>
      <c r="AG580" s="155"/>
      <c r="AH580" s="56"/>
      <c r="AI580" s="56"/>
      <c r="AJ580" s="56"/>
      <c r="AK580" s="155"/>
      <c r="AL580" s="56"/>
      <c r="AM580" s="56"/>
      <c r="AN580" s="56"/>
    </row>
    <row r="581" spans="1:40" x14ac:dyDescent="0.25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154"/>
      <c r="AH581" s="55"/>
      <c r="AI581" s="55"/>
      <c r="AJ581" s="55"/>
      <c r="AK581" s="154"/>
      <c r="AL581" s="55"/>
      <c r="AM581" s="55"/>
      <c r="AN581" s="55"/>
    </row>
    <row r="582" spans="1:40" x14ac:dyDescent="0.25"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Y582" s="56"/>
      <c r="Z582" s="56"/>
      <c r="AA582" s="56"/>
      <c r="AB582" s="56"/>
      <c r="AC582" s="56"/>
      <c r="AD582" s="56"/>
      <c r="AE582" s="56"/>
      <c r="AF582" s="56"/>
      <c r="AG582" s="155"/>
      <c r="AH582" s="56"/>
      <c r="AI582" s="56"/>
      <c r="AJ582" s="56"/>
      <c r="AK582" s="155"/>
      <c r="AL582" s="56"/>
      <c r="AM582" s="56"/>
      <c r="AN582" s="56"/>
    </row>
    <row r="583" spans="1:40" x14ac:dyDescent="0.25">
      <c r="A583" s="53"/>
      <c r="C583" s="54"/>
      <c r="D583" s="54"/>
      <c r="E583" s="54"/>
      <c r="T583" s="54"/>
      <c r="U583" s="54"/>
    </row>
    <row r="585" spans="1:40" x14ac:dyDescent="0.25">
      <c r="A585" s="53"/>
      <c r="C585" s="54"/>
      <c r="T585" s="54"/>
    </row>
    <row r="586" spans="1:40" x14ac:dyDescent="0.25">
      <c r="A586" s="53"/>
      <c r="C586" s="54"/>
      <c r="T586" s="54"/>
    </row>
    <row r="587" spans="1:40" x14ac:dyDescent="0.25">
      <c r="A587" s="53"/>
      <c r="C587" s="54"/>
      <c r="F587" s="449"/>
      <c r="H587" s="449"/>
      <c r="I587" s="449"/>
      <c r="J587" s="221"/>
      <c r="K587" s="221"/>
      <c r="L587" s="379"/>
      <c r="M587" s="379"/>
      <c r="N587" s="50"/>
      <c r="O587" s="50"/>
      <c r="P587" s="379"/>
      <c r="Q587" s="379"/>
      <c r="R587" s="379"/>
      <c r="T587" s="54"/>
      <c r="V587" s="379"/>
      <c r="W587" s="379"/>
      <c r="X587" s="379"/>
      <c r="Y587" s="379"/>
      <c r="Z587" s="221"/>
      <c r="AA587" s="379"/>
      <c r="AB587" s="379"/>
      <c r="AC587" s="50"/>
      <c r="AD587" s="50"/>
      <c r="AE587" s="379"/>
      <c r="AF587" s="379"/>
      <c r="AG587" s="156"/>
      <c r="AH587" s="60"/>
      <c r="AI587" s="379"/>
      <c r="AJ587" s="379"/>
      <c r="AK587" s="156"/>
      <c r="AL587" s="379"/>
      <c r="AM587" s="60"/>
      <c r="AN587" s="60"/>
    </row>
    <row r="588" spans="1:40" x14ac:dyDescent="0.25">
      <c r="A588" s="53"/>
      <c r="C588" s="54"/>
      <c r="F588" s="379"/>
      <c r="H588" s="379"/>
      <c r="I588" s="379"/>
      <c r="J588" s="65"/>
      <c r="K588" s="65"/>
      <c r="L588" s="379"/>
      <c r="M588" s="379"/>
      <c r="N588" s="50"/>
      <c r="O588" s="50"/>
      <c r="P588" s="379"/>
      <c r="Q588" s="379"/>
      <c r="R588" s="379"/>
      <c r="T588" s="54"/>
      <c r="V588" s="379"/>
      <c r="W588" s="379"/>
      <c r="X588" s="379"/>
      <c r="Y588" s="379"/>
      <c r="Z588" s="65"/>
      <c r="AA588" s="379"/>
      <c r="AB588" s="379"/>
      <c r="AC588" s="50"/>
      <c r="AD588" s="50"/>
      <c r="AE588" s="379"/>
      <c r="AF588" s="379"/>
      <c r="AG588" s="156"/>
      <c r="AH588" s="60"/>
      <c r="AI588" s="379"/>
      <c r="AJ588" s="379"/>
      <c r="AK588" s="156"/>
      <c r="AL588" s="379"/>
      <c r="AM588" s="60"/>
      <c r="AN588" s="60"/>
    </row>
    <row r="589" spans="1:40" x14ac:dyDescent="0.25">
      <c r="A589" s="53"/>
      <c r="C589" s="54"/>
      <c r="F589" s="379"/>
      <c r="H589" s="379"/>
      <c r="I589" s="379"/>
      <c r="J589" s="65"/>
      <c r="K589" s="65"/>
      <c r="L589" s="379"/>
      <c r="M589" s="379"/>
      <c r="N589" s="50"/>
      <c r="O589" s="50"/>
      <c r="P589" s="379"/>
      <c r="Q589" s="379"/>
      <c r="R589" s="379"/>
      <c r="T589" s="54"/>
      <c r="V589" s="379"/>
      <c r="W589" s="379"/>
      <c r="X589" s="379"/>
      <c r="Y589" s="379"/>
      <c r="Z589" s="65"/>
      <c r="AA589" s="379"/>
      <c r="AB589" s="379"/>
      <c r="AC589" s="50"/>
      <c r="AD589" s="50"/>
      <c r="AE589" s="379"/>
      <c r="AF589" s="379"/>
      <c r="AG589" s="156"/>
      <c r="AH589" s="60"/>
      <c r="AI589" s="379"/>
      <c r="AJ589" s="379"/>
      <c r="AK589" s="156"/>
      <c r="AL589" s="379"/>
      <c r="AM589" s="60"/>
      <c r="AN589" s="60"/>
    </row>
    <row r="590" spans="1:40" x14ac:dyDescent="0.25">
      <c r="A590" s="53"/>
      <c r="C590" s="54"/>
      <c r="F590" s="379"/>
      <c r="H590" s="379"/>
      <c r="I590" s="379"/>
      <c r="J590" s="65"/>
      <c r="K590" s="65"/>
      <c r="T590" s="54"/>
      <c r="V590" s="379"/>
      <c r="Z590" s="65"/>
    </row>
    <row r="591" spans="1:40" x14ac:dyDescent="0.25">
      <c r="A591" s="53"/>
      <c r="C591" s="54"/>
      <c r="F591" s="449"/>
      <c r="H591" s="449"/>
      <c r="I591" s="449"/>
      <c r="J591" s="221"/>
      <c r="K591" s="221"/>
      <c r="L591" s="379"/>
      <c r="M591" s="379"/>
      <c r="N591" s="50"/>
      <c r="O591" s="50"/>
      <c r="P591" s="379"/>
      <c r="Q591" s="379"/>
      <c r="R591" s="379"/>
      <c r="T591" s="54"/>
      <c r="V591" s="379"/>
      <c r="W591" s="379"/>
      <c r="X591" s="379"/>
      <c r="Y591" s="379"/>
      <c r="Z591" s="221"/>
      <c r="AA591" s="379"/>
      <c r="AB591" s="379"/>
      <c r="AC591" s="50"/>
      <c r="AD591" s="50"/>
      <c r="AE591" s="379"/>
      <c r="AF591" s="379"/>
      <c r="AG591" s="156"/>
      <c r="AH591" s="60"/>
      <c r="AI591" s="379"/>
      <c r="AJ591" s="379"/>
      <c r="AK591" s="156"/>
      <c r="AL591" s="379"/>
      <c r="AM591" s="60"/>
      <c r="AN591" s="60"/>
    </row>
    <row r="592" spans="1:40" x14ac:dyDescent="0.25">
      <c r="A592" s="53"/>
      <c r="C592" s="54"/>
      <c r="F592" s="379"/>
      <c r="H592" s="379"/>
      <c r="I592" s="379"/>
      <c r="J592" s="65"/>
      <c r="K592" s="65"/>
      <c r="T592" s="54"/>
      <c r="V592" s="379"/>
      <c r="W592" s="379"/>
      <c r="X592" s="379"/>
      <c r="Y592" s="379"/>
      <c r="Z592" s="65"/>
      <c r="AC592" s="50"/>
      <c r="AD592" s="50"/>
      <c r="AE592" s="379"/>
      <c r="AF592" s="379"/>
      <c r="AG592" s="156"/>
      <c r="AH592" s="60"/>
      <c r="AI592" s="379"/>
      <c r="AJ592" s="379"/>
      <c r="AK592" s="156"/>
      <c r="AL592" s="379"/>
      <c r="AM592" s="60"/>
      <c r="AN592" s="60"/>
    </row>
    <row r="593" spans="1:40" x14ac:dyDescent="0.25">
      <c r="A593" s="53"/>
      <c r="C593" s="54"/>
      <c r="F593" s="449"/>
      <c r="H593" s="449"/>
      <c r="I593" s="449"/>
      <c r="J593" s="221"/>
      <c r="K593" s="221"/>
      <c r="L593" s="379"/>
      <c r="M593" s="379"/>
      <c r="N593" s="50"/>
      <c r="O593" s="50"/>
      <c r="P593" s="379"/>
      <c r="Q593" s="379"/>
      <c r="R593" s="379"/>
      <c r="T593" s="54"/>
      <c r="V593" s="379"/>
      <c r="W593" s="379"/>
      <c r="X593" s="379"/>
      <c r="Y593" s="379"/>
      <c r="Z593" s="221"/>
      <c r="AA593" s="379"/>
      <c r="AB593" s="379"/>
      <c r="AC593" s="50"/>
      <c r="AD593" s="50"/>
      <c r="AE593" s="379"/>
      <c r="AF593" s="379"/>
      <c r="AG593" s="156"/>
      <c r="AH593" s="60"/>
      <c r="AI593" s="379"/>
      <c r="AJ593" s="379"/>
      <c r="AK593" s="156"/>
      <c r="AL593" s="379"/>
      <c r="AM593" s="60"/>
      <c r="AN593" s="60"/>
    </row>
    <row r="594" spans="1:40" x14ac:dyDescent="0.25">
      <c r="A594" s="53"/>
      <c r="C594" s="54"/>
      <c r="F594" s="379"/>
      <c r="H594" s="379"/>
      <c r="I594" s="379"/>
      <c r="J594" s="65"/>
      <c r="K594" s="65"/>
      <c r="L594" s="379"/>
      <c r="M594" s="379"/>
      <c r="N594" s="50"/>
      <c r="O594" s="50"/>
      <c r="P594" s="379"/>
      <c r="Q594" s="379"/>
      <c r="R594" s="379"/>
      <c r="T594" s="54"/>
      <c r="V594" s="379"/>
      <c r="W594" s="379"/>
      <c r="X594" s="379"/>
      <c r="Y594" s="379"/>
      <c r="Z594" s="65"/>
      <c r="AA594" s="379"/>
      <c r="AB594" s="379"/>
      <c r="AC594" s="50"/>
      <c r="AD594" s="50"/>
      <c r="AE594" s="379"/>
      <c r="AF594" s="379"/>
      <c r="AG594" s="156"/>
      <c r="AH594" s="60"/>
      <c r="AI594" s="379"/>
      <c r="AJ594" s="379"/>
      <c r="AK594" s="156"/>
      <c r="AL594" s="379"/>
      <c r="AM594" s="60"/>
      <c r="AN594" s="60"/>
    </row>
    <row r="595" spans="1:40" x14ac:dyDescent="0.25">
      <c r="F595" s="379"/>
      <c r="H595" s="379"/>
      <c r="I595" s="379"/>
      <c r="J595" s="65"/>
      <c r="K595" s="65"/>
      <c r="Z595" s="65"/>
    </row>
    <row r="596" spans="1:40" x14ac:dyDescent="0.25">
      <c r="A596" s="53"/>
      <c r="C596" s="54"/>
      <c r="F596" s="379"/>
      <c r="H596" s="449"/>
      <c r="I596" s="449"/>
      <c r="J596" s="221"/>
      <c r="K596" s="221"/>
      <c r="L596" s="379"/>
      <c r="M596" s="379"/>
      <c r="N596" s="50"/>
      <c r="O596" s="50"/>
      <c r="P596" s="379"/>
      <c r="Q596" s="379"/>
      <c r="R596" s="379"/>
      <c r="T596" s="54"/>
      <c r="V596" s="379"/>
      <c r="W596" s="379"/>
      <c r="X596" s="379"/>
      <c r="Y596" s="379"/>
      <c r="Z596" s="221"/>
      <c r="AA596" s="379"/>
      <c r="AB596" s="379"/>
      <c r="AC596" s="50"/>
      <c r="AD596" s="50"/>
      <c r="AE596" s="379"/>
      <c r="AF596" s="379"/>
      <c r="AG596" s="156"/>
      <c r="AH596" s="60"/>
      <c r="AI596" s="379"/>
      <c r="AJ596" s="379"/>
      <c r="AK596" s="156"/>
      <c r="AL596" s="379"/>
      <c r="AM596" s="60"/>
      <c r="AN596" s="60"/>
    </row>
    <row r="597" spans="1:40" x14ac:dyDescent="0.25">
      <c r="F597" s="381"/>
      <c r="H597" s="381"/>
      <c r="I597" s="381"/>
      <c r="J597" s="221"/>
      <c r="K597" s="221"/>
      <c r="L597" s="381"/>
      <c r="M597" s="381"/>
      <c r="N597" s="381"/>
      <c r="O597" s="381"/>
      <c r="P597" s="381"/>
      <c r="Q597" s="381"/>
      <c r="R597" s="381"/>
      <c r="V597" s="381"/>
      <c r="Y597" s="381"/>
      <c r="Z597" s="221"/>
      <c r="AA597" s="381"/>
      <c r="AB597" s="381"/>
      <c r="AC597" s="381"/>
      <c r="AD597" s="381"/>
      <c r="AE597" s="381"/>
      <c r="AF597" s="381"/>
      <c r="AI597" s="381"/>
      <c r="AJ597" s="381"/>
      <c r="AK597" s="162"/>
      <c r="AL597" s="381"/>
    </row>
    <row r="598" spans="1:40" x14ac:dyDescent="0.25">
      <c r="A598" s="53"/>
      <c r="C598" s="54"/>
      <c r="F598" s="379"/>
      <c r="H598" s="379"/>
      <c r="I598" s="379"/>
      <c r="J598" s="65"/>
      <c r="K598" s="65"/>
      <c r="L598" s="379"/>
      <c r="M598" s="379"/>
      <c r="N598" s="53"/>
      <c r="O598" s="53"/>
      <c r="P598" s="379"/>
      <c r="Q598" s="379"/>
      <c r="R598" s="379"/>
      <c r="T598" s="54"/>
      <c r="V598" s="379"/>
      <c r="Y598" s="379"/>
      <c r="Z598" s="65"/>
      <c r="AA598" s="379"/>
      <c r="AB598" s="379"/>
      <c r="AC598" s="60"/>
      <c r="AD598" s="60"/>
      <c r="AE598" s="379"/>
      <c r="AF598" s="379"/>
      <c r="AG598" s="156"/>
      <c r="AH598" s="60"/>
      <c r="AI598" s="379"/>
      <c r="AJ598" s="379"/>
      <c r="AK598" s="156"/>
      <c r="AL598" s="379"/>
      <c r="AM598" s="60"/>
      <c r="AN598" s="60"/>
    </row>
    <row r="599" spans="1:40" x14ac:dyDescent="0.25">
      <c r="F599" s="381"/>
      <c r="H599" s="381"/>
      <c r="I599" s="381"/>
      <c r="J599" s="221"/>
      <c r="K599" s="221"/>
      <c r="L599" s="381"/>
      <c r="M599" s="381"/>
      <c r="N599" s="381"/>
      <c r="O599" s="381"/>
      <c r="P599" s="381"/>
      <c r="Q599" s="381"/>
      <c r="R599" s="381"/>
      <c r="V599" s="381"/>
      <c r="Y599" s="381"/>
      <c r="Z599" s="221"/>
      <c r="AA599" s="381"/>
      <c r="AB599" s="381"/>
      <c r="AC599" s="381"/>
      <c r="AD599" s="381"/>
      <c r="AE599" s="381"/>
      <c r="AF599" s="381"/>
      <c r="AI599" s="381"/>
      <c r="AJ599" s="381"/>
      <c r="AK599" s="162"/>
      <c r="AL599" s="381"/>
    </row>
    <row r="600" spans="1:40" x14ac:dyDescent="0.25">
      <c r="J600" s="65"/>
      <c r="K600" s="65"/>
      <c r="Z600" s="65"/>
    </row>
    <row r="601" spans="1:40" x14ac:dyDescent="0.25">
      <c r="A601" s="53"/>
      <c r="C601" s="54"/>
      <c r="J601" s="65"/>
      <c r="K601" s="65"/>
      <c r="T601" s="54"/>
      <c r="Z601" s="65"/>
    </row>
    <row r="602" spans="1:40" x14ac:dyDescent="0.25">
      <c r="A602" s="53"/>
      <c r="C602" s="54"/>
      <c r="J602" s="65"/>
      <c r="K602" s="65"/>
      <c r="T602" s="54"/>
      <c r="Z602" s="65"/>
    </row>
    <row r="603" spans="1:40" x14ac:dyDescent="0.25">
      <c r="A603" s="53"/>
      <c r="C603" s="54"/>
      <c r="F603" s="449"/>
      <c r="H603" s="449"/>
      <c r="I603" s="449"/>
      <c r="J603" s="221"/>
      <c r="K603" s="221"/>
      <c r="L603" s="379"/>
      <c r="M603" s="379"/>
      <c r="N603" s="50"/>
      <c r="O603" s="50"/>
      <c r="P603" s="379"/>
      <c r="Q603" s="379"/>
      <c r="R603" s="379"/>
      <c r="T603" s="54"/>
      <c r="V603" s="379"/>
      <c r="W603" s="379"/>
      <c r="X603" s="379"/>
      <c r="Y603" s="379"/>
      <c r="Z603" s="221"/>
      <c r="AA603" s="379"/>
      <c r="AB603" s="379"/>
      <c r="AC603" s="50"/>
      <c r="AD603" s="50"/>
      <c r="AE603" s="379"/>
      <c r="AF603" s="379"/>
      <c r="AG603" s="156"/>
      <c r="AH603" s="60"/>
      <c r="AI603" s="379"/>
      <c r="AJ603" s="379"/>
      <c r="AK603" s="156"/>
      <c r="AL603" s="379"/>
      <c r="AM603" s="60"/>
      <c r="AN603" s="60"/>
    </row>
    <row r="604" spans="1:40" x14ac:dyDescent="0.25">
      <c r="A604" s="53"/>
      <c r="C604" s="54"/>
      <c r="J604" s="65"/>
      <c r="K604" s="65"/>
      <c r="T604" s="54"/>
      <c r="Z604" s="65"/>
    </row>
    <row r="605" spans="1:40" x14ac:dyDescent="0.25">
      <c r="A605" s="53"/>
      <c r="C605" s="54"/>
      <c r="F605" s="449"/>
      <c r="H605" s="449"/>
      <c r="I605" s="449"/>
      <c r="J605" s="221"/>
      <c r="K605" s="221"/>
      <c r="L605" s="379"/>
      <c r="M605" s="379"/>
      <c r="N605" s="50"/>
      <c r="O605" s="50"/>
      <c r="P605" s="379"/>
      <c r="Q605" s="379"/>
      <c r="R605" s="379"/>
      <c r="T605" s="54"/>
      <c r="V605" s="379"/>
      <c r="W605" s="379"/>
      <c r="X605" s="379"/>
      <c r="Y605" s="379"/>
      <c r="Z605" s="221"/>
      <c r="AA605" s="379"/>
      <c r="AB605" s="379"/>
      <c r="AC605" s="50"/>
      <c r="AD605" s="50"/>
      <c r="AE605" s="379"/>
      <c r="AF605" s="379"/>
      <c r="AG605" s="156"/>
      <c r="AH605" s="60"/>
      <c r="AI605" s="379"/>
      <c r="AJ605" s="379"/>
      <c r="AK605" s="156"/>
      <c r="AL605" s="379"/>
      <c r="AM605" s="60"/>
      <c r="AN605" s="60"/>
    </row>
    <row r="606" spans="1:40" x14ac:dyDescent="0.25">
      <c r="F606" s="381"/>
      <c r="H606" s="381"/>
      <c r="I606" s="381"/>
      <c r="J606" s="221"/>
      <c r="K606" s="221"/>
      <c r="L606" s="381"/>
      <c r="M606" s="381"/>
      <c r="N606" s="381"/>
      <c r="O606" s="381"/>
      <c r="P606" s="381"/>
      <c r="Q606" s="381"/>
      <c r="R606" s="381"/>
      <c r="V606" s="381"/>
      <c r="Y606" s="381"/>
      <c r="Z606" s="221"/>
      <c r="AA606" s="381"/>
      <c r="AB606" s="381"/>
      <c r="AC606" s="381"/>
      <c r="AD606" s="381"/>
      <c r="AE606" s="381"/>
      <c r="AF606" s="381"/>
      <c r="AI606" s="381"/>
      <c r="AJ606" s="381"/>
      <c r="AK606" s="162"/>
      <c r="AL606" s="381"/>
    </row>
    <row r="607" spans="1:40" x14ac:dyDescent="0.25">
      <c r="A607" s="53"/>
      <c r="C607" s="54"/>
      <c r="F607" s="379"/>
      <c r="H607" s="379"/>
      <c r="I607" s="379"/>
      <c r="J607" s="65"/>
      <c r="K607" s="65"/>
      <c r="L607" s="379"/>
      <c r="M607" s="379"/>
      <c r="N607" s="60"/>
      <c r="O607" s="60"/>
      <c r="P607" s="379"/>
      <c r="Q607" s="379"/>
      <c r="R607" s="379"/>
      <c r="T607" s="54"/>
      <c r="V607" s="379"/>
      <c r="Y607" s="379"/>
      <c r="Z607" s="65"/>
      <c r="AA607" s="379"/>
      <c r="AB607" s="379"/>
      <c r="AC607" s="60"/>
      <c r="AD607" s="60"/>
      <c r="AE607" s="379"/>
      <c r="AF607" s="379"/>
      <c r="AG607" s="156"/>
      <c r="AH607" s="60"/>
      <c r="AI607" s="379"/>
      <c r="AJ607" s="379"/>
      <c r="AK607" s="156"/>
      <c r="AL607" s="379"/>
      <c r="AM607" s="60"/>
      <c r="AN607" s="60"/>
    </row>
    <row r="608" spans="1:40" x14ac:dyDescent="0.25">
      <c r="F608" s="381"/>
      <c r="H608" s="381"/>
      <c r="I608" s="381"/>
      <c r="J608" s="221"/>
      <c r="K608" s="221"/>
      <c r="L608" s="381"/>
      <c r="M608" s="381"/>
      <c r="N608" s="381"/>
      <c r="O608" s="381"/>
      <c r="P608" s="381"/>
      <c r="Q608" s="381"/>
      <c r="R608" s="381"/>
      <c r="V608" s="381"/>
      <c r="Y608" s="381"/>
      <c r="Z608" s="464"/>
      <c r="AA608" s="381"/>
      <c r="AB608" s="381"/>
      <c r="AC608" s="381"/>
      <c r="AD608" s="381"/>
      <c r="AE608" s="381"/>
      <c r="AF608" s="381"/>
      <c r="AI608" s="381"/>
      <c r="AJ608" s="381"/>
      <c r="AK608" s="162"/>
      <c r="AL608" s="381"/>
    </row>
    <row r="609" spans="1:40" x14ac:dyDescent="0.25">
      <c r="J609" s="65"/>
      <c r="K609" s="65"/>
    </row>
    <row r="610" spans="1:40" x14ac:dyDescent="0.25">
      <c r="A610" s="53"/>
      <c r="C610" s="54"/>
      <c r="F610" s="379"/>
      <c r="H610" s="379"/>
      <c r="I610" s="379"/>
      <c r="J610" s="65"/>
      <c r="K610" s="65"/>
      <c r="L610" s="379"/>
      <c r="M610" s="379"/>
      <c r="N610" s="50"/>
      <c r="O610" s="50"/>
      <c r="P610" s="449"/>
      <c r="Q610" s="449"/>
      <c r="R610" s="379"/>
      <c r="T610" s="54"/>
      <c r="V610" s="379"/>
      <c r="Y610" s="379"/>
      <c r="AA610" s="379"/>
      <c r="AB610" s="379"/>
      <c r="AC610" s="60"/>
      <c r="AD610" s="60"/>
      <c r="AE610" s="379"/>
      <c r="AF610" s="379"/>
      <c r="AG610" s="156"/>
      <c r="AH610" s="60"/>
      <c r="AI610" s="449"/>
      <c r="AJ610" s="449"/>
      <c r="AK610" s="156"/>
      <c r="AL610" s="379"/>
      <c r="AM610" s="60"/>
      <c r="AN610" s="60"/>
    </row>
    <row r="611" spans="1:40" x14ac:dyDescent="0.25">
      <c r="F611" s="381"/>
      <c r="H611" s="381"/>
      <c r="I611" s="381"/>
      <c r="J611" s="221"/>
      <c r="K611" s="221"/>
      <c r="L611" s="381"/>
      <c r="M611" s="381"/>
      <c r="N611" s="381"/>
      <c r="O611" s="381"/>
      <c r="P611" s="381"/>
      <c r="Q611" s="381"/>
      <c r="R611" s="381"/>
      <c r="V611" s="381"/>
      <c r="Y611" s="381"/>
      <c r="Z611" s="464"/>
      <c r="AA611" s="381"/>
      <c r="AB611" s="381"/>
      <c r="AC611" s="381"/>
      <c r="AD611" s="381"/>
      <c r="AE611" s="381"/>
      <c r="AF611" s="381"/>
      <c r="AI611" s="381"/>
      <c r="AJ611" s="381"/>
      <c r="AK611" s="162"/>
      <c r="AL611" s="381"/>
    </row>
    <row r="613" spans="1:40" x14ac:dyDescent="0.25">
      <c r="C613" s="53"/>
      <c r="T613" s="53"/>
    </row>
    <row r="614" spans="1:40" x14ac:dyDescent="0.25">
      <c r="A614" s="54"/>
    </row>
    <row r="615" spans="1:40" x14ac:dyDescent="0.25">
      <c r="J615" s="53"/>
      <c r="K615" s="53"/>
      <c r="Z615" s="53"/>
    </row>
    <row r="616" spans="1:40" x14ac:dyDescent="0.25">
      <c r="H616" s="54"/>
      <c r="I616" s="54"/>
      <c r="Y616" s="54"/>
    </row>
    <row r="617" spans="1:40" x14ac:dyDescent="0.25">
      <c r="J617" s="53"/>
      <c r="K617" s="53"/>
      <c r="Z617" s="53"/>
    </row>
    <row r="618" spans="1:40" x14ac:dyDescent="0.25">
      <c r="L618" s="54"/>
      <c r="M618" s="54"/>
      <c r="AA618" s="54"/>
      <c r="AB618" s="54"/>
    </row>
    <row r="619" spans="1:40" x14ac:dyDescent="0.25">
      <c r="A619" s="53"/>
      <c r="R619" s="54"/>
      <c r="AK619" s="161"/>
      <c r="AL619" s="54"/>
    </row>
    <row r="620" spans="1:40" x14ac:dyDescent="0.25">
      <c r="A620" s="53"/>
      <c r="R620" s="54"/>
      <c r="AK620" s="161"/>
      <c r="AL620" s="54"/>
    </row>
    <row r="621" spans="1:40" x14ac:dyDescent="0.25">
      <c r="A621" s="54"/>
      <c r="R621" s="54"/>
      <c r="AK621" s="161"/>
      <c r="AL621" s="54"/>
    </row>
    <row r="622" spans="1:40" x14ac:dyDescent="0.25">
      <c r="L622" s="54"/>
      <c r="M622" s="54"/>
      <c r="R622" s="53"/>
      <c r="AA622" s="54"/>
      <c r="AB622" s="54"/>
      <c r="AK622" s="156"/>
      <c r="AL622" s="53"/>
    </row>
    <row r="623" spans="1:40" x14ac:dyDescent="0.25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154"/>
      <c r="AH623" s="55"/>
      <c r="AI623" s="55"/>
      <c r="AJ623" s="55"/>
      <c r="AK623" s="154"/>
      <c r="AL623" s="55"/>
      <c r="AM623" s="55"/>
      <c r="AN623" s="55"/>
    </row>
    <row r="624" spans="1:40" x14ac:dyDescent="0.25">
      <c r="L624" s="56"/>
      <c r="M624" s="56"/>
      <c r="N624" s="56"/>
      <c r="O624" s="56"/>
      <c r="R624" s="56"/>
      <c r="AA624" s="56"/>
      <c r="AB624" s="56"/>
      <c r="AC624" s="56"/>
      <c r="AD624" s="56"/>
      <c r="AE624" s="56"/>
      <c r="AF624" s="56"/>
      <c r="AG624" s="155"/>
      <c r="AH624" s="56"/>
      <c r="AK624" s="155"/>
      <c r="AL624" s="56"/>
      <c r="AM624" s="56"/>
      <c r="AN624" s="56"/>
    </row>
    <row r="625" spans="1:40" x14ac:dyDescent="0.25">
      <c r="L625" s="56"/>
      <c r="M625" s="56"/>
      <c r="N625" s="56"/>
      <c r="O625" s="56"/>
      <c r="R625" s="56"/>
      <c r="Z625" s="56"/>
      <c r="AA625" s="56"/>
      <c r="AB625" s="56"/>
      <c r="AC625" s="56"/>
      <c r="AD625" s="56"/>
      <c r="AE625" s="56"/>
      <c r="AF625" s="56"/>
      <c r="AG625" s="155"/>
      <c r="AH625" s="56"/>
      <c r="AK625" s="155"/>
      <c r="AL625" s="56"/>
      <c r="AM625" s="56"/>
      <c r="AN625" s="56"/>
    </row>
    <row r="626" spans="1:40" x14ac:dyDescent="0.25">
      <c r="A626" s="56"/>
      <c r="C626" s="56"/>
      <c r="D626" s="56"/>
      <c r="E626" s="56"/>
      <c r="F626" s="56"/>
      <c r="J626" s="56"/>
      <c r="K626" s="56"/>
      <c r="L626" s="56"/>
      <c r="M626" s="56"/>
      <c r="N626" s="56"/>
      <c r="O626" s="56"/>
      <c r="P626" s="56"/>
      <c r="Q626" s="56"/>
      <c r="R626" s="56"/>
      <c r="T626" s="56"/>
      <c r="U626" s="56"/>
      <c r="V626" s="56"/>
      <c r="Z626" s="56"/>
      <c r="AA626" s="56"/>
      <c r="AB626" s="56"/>
      <c r="AC626" s="56"/>
      <c r="AD626" s="56"/>
      <c r="AE626" s="56"/>
      <c r="AF626" s="56"/>
      <c r="AG626" s="155"/>
      <c r="AH626" s="56"/>
      <c r="AI626" s="56"/>
      <c r="AJ626" s="56"/>
      <c r="AK626" s="155"/>
      <c r="AL626" s="56"/>
      <c r="AM626" s="56"/>
      <c r="AN626" s="56"/>
    </row>
    <row r="627" spans="1:40" x14ac:dyDescent="0.25">
      <c r="A627" s="56"/>
      <c r="C627" s="56"/>
      <c r="D627" s="56"/>
      <c r="E627" s="56"/>
      <c r="F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T627" s="56"/>
      <c r="U627" s="56"/>
      <c r="V627" s="56"/>
      <c r="Y627" s="56"/>
      <c r="Z627" s="56"/>
      <c r="AA627" s="56"/>
      <c r="AB627" s="56"/>
      <c r="AC627" s="56"/>
      <c r="AD627" s="56"/>
      <c r="AE627" s="56"/>
      <c r="AF627" s="56"/>
      <c r="AG627" s="155"/>
      <c r="AH627" s="56"/>
      <c r="AI627" s="56"/>
      <c r="AJ627" s="56"/>
      <c r="AK627" s="155"/>
      <c r="AL627" s="56"/>
      <c r="AM627" s="56"/>
      <c r="AN627" s="56"/>
    </row>
    <row r="628" spans="1:40" x14ac:dyDescent="0.25">
      <c r="C628" s="56"/>
      <c r="D628" s="56"/>
      <c r="E628" s="56"/>
      <c r="F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T628" s="56"/>
      <c r="U628" s="56"/>
      <c r="V628" s="56"/>
      <c r="Y628" s="56"/>
      <c r="Z628" s="56"/>
      <c r="AA628" s="56"/>
      <c r="AB628" s="56"/>
      <c r="AC628" s="56"/>
      <c r="AD628" s="56"/>
      <c r="AE628" s="56"/>
      <c r="AF628" s="56"/>
      <c r="AG628" s="155"/>
      <c r="AH628" s="56"/>
      <c r="AI628" s="56"/>
      <c r="AJ628" s="56"/>
      <c r="AK628" s="155"/>
      <c r="AL628" s="56"/>
      <c r="AM628" s="56"/>
      <c r="AN628" s="56"/>
    </row>
    <row r="629" spans="1:40" x14ac:dyDescent="0.25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154"/>
      <c r="AH629" s="55"/>
      <c r="AI629" s="55"/>
      <c r="AJ629" s="55"/>
      <c r="AK629" s="154"/>
      <c r="AL629" s="55"/>
      <c r="AM629" s="55"/>
      <c r="AN629" s="55"/>
    </row>
    <row r="630" spans="1:40" x14ac:dyDescent="0.25"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Y630" s="56"/>
      <c r="Z630" s="56"/>
      <c r="AA630" s="56"/>
      <c r="AB630" s="56"/>
      <c r="AC630" s="56"/>
      <c r="AD630" s="56"/>
      <c r="AE630" s="56"/>
      <c r="AF630" s="56"/>
      <c r="AG630" s="155"/>
      <c r="AH630" s="56"/>
      <c r="AI630" s="56"/>
      <c r="AJ630" s="56"/>
      <c r="AK630" s="155"/>
      <c r="AL630" s="56"/>
      <c r="AM630" s="56"/>
      <c r="AN630" s="56"/>
    </row>
    <row r="631" spans="1:40" x14ac:dyDescent="0.25">
      <c r="A631" s="53"/>
      <c r="C631" s="54"/>
      <c r="D631" s="54"/>
      <c r="E631" s="54"/>
      <c r="T631" s="54"/>
      <c r="U631" s="54"/>
    </row>
    <row r="633" spans="1:40" x14ac:dyDescent="0.25">
      <c r="A633" s="53"/>
      <c r="C633" s="54"/>
      <c r="D633" s="54"/>
      <c r="E633" s="54"/>
      <c r="T633" s="54"/>
      <c r="U633" s="54"/>
    </row>
    <row r="634" spans="1:40" x14ac:dyDescent="0.25">
      <c r="A634" s="53"/>
      <c r="C634" s="54"/>
      <c r="T634" s="54"/>
    </row>
    <row r="635" spans="1:40" x14ac:dyDescent="0.25">
      <c r="A635" s="53"/>
      <c r="C635" s="54"/>
      <c r="T635" s="54"/>
    </row>
    <row r="636" spans="1:40" x14ac:dyDescent="0.25">
      <c r="A636" s="53"/>
      <c r="C636" s="54"/>
      <c r="F636" s="449"/>
      <c r="H636" s="449"/>
      <c r="I636" s="449"/>
      <c r="J636" s="221"/>
      <c r="K636" s="221"/>
      <c r="L636" s="379"/>
      <c r="M636" s="379"/>
      <c r="N636" s="50"/>
      <c r="O636" s="50"/>
      <c r="P636" s="379"/>
      <c r="Q636" s="379"/>
      <c r="R636" s="379"/>
      <c r="T636" s="54"/>
      <c r="V636" s="379"/>
      <c r="W636" s="379"/>
      <c r="X636" s="379"/>
      <c r="Y636" s="379"/>
      <c r="Z636" s="221"/>
      <c r="AA636" s="379"/>
      <c r="AB636" s="379"/>
      <c r="AC636" s="50"/>
      <c r="AD636" s="50"/>
      <c r="AE636" s="379"/>
      <c r="AF636" s="379"/>
      <c r="AG636" s="156"/>
      <c r="AH636" s="60"/>
      <c r="AI636" s="379"/>
      <c r="AJ636" s="379"/>
      <c r="AK636" s="156"/>
      <c r="AL636" s="379"/>
      <c r="AM636" s="50"/>
      <c r="AN636" s="50"/>
    </row>
    <row r="637" spans="1:40" x14ac:dyDescent="0.25">
      <c r="A637" s="53"/>
      <c r="C637" s="54"/>
      <c r="J637" s="65"/>
      <c r="K637" s="65"/>
      <c r="T637" s="54"/>
      <c r="V637" s="379"/>
      <c r="W637" s="379"/>
      <c r="X637" s="379"/>
      <c r="Y637" s="379"/>
      <c r="Z637" s="221"/>
    </row>
    <row r="638" spans="1:40" x14ac:dyDescent="0.25">
      <c r="A638" s="53"/>
      <c r="C638" s="54"/>
      <c r="F638" s="449"/>
      <c r="H638" s="449"/>
      <c r="I638" s="449"/>
      <c r="J638" s="221"/>
      <c r="K638" s="221"/>
      <c r="L638" s="379"/>
      <c r="M638" s="379"/>
      <c r="N638" s="50"/>
      <c r="O638" s="50"/>
      <c r="P638" s="379"/>
      <c r="Q638" s="379"/>
      <c r="R638" s="379"/>
      <c r="T638" s="54"/>
      <c r="V638" s="379"/>
      <c r="W638" s="379"/>
      <c r="X638" s="379"/>
      <c r="Y638" s="379"/>
      <c r="Z638" s="221"/>
      <c r="AA638" s="379"/>
      <c r="AB638" s="379"/>
      <c r="AC638" s="50"/>
      <c r="AD638" s="50"/>
      <c r="AE638" s="379"/>
      <c r="AF638" s="379"/>
      <c r="AG638" s="156"/>
      <c r="AH638" s="60"/>
      <c r="AI638" s="379"/>
      <c r="AJ638" s="379"/>
      <c r="AK638" s="156"/>
      <c r="AL638" s="379"/>
      <c r="AM638" s="50"/>
      <c r="AN638" s="50"/>
    </row>
    <row r="639" spans="1:40" x14ac:dyDescent="0.25">
      <c r="A639" s="53"/>
      <c r="C639" s="54"/>
      <c r="J639" s="65"/>
      <c r="K639" s="65"/>
      <c r="T639" s="54"/>
      <c r="V639" s="379"/>
      <c r="W639" s="379"/>
      <c r="X639" s="379"/>
      <c r="Y639" s="379"/>
      <c r="Z639" s="221"/>
    </row>
    <row r="640" spans="1:40" x14ac:dyDescent="0.25">
      <c r="A640" s="53"/>
      <c r="C640" s="54"/>
      <c r="F640" s="449"/>
      <c r="H640" s="449"/>
      <c r="I640" s="449"/>
      <c r="J640" s="221"/>
      <c r="K640" s="221"/>
      <c r="L640" s="379"/>
      <c r="M640" s="379"/>
      <c r="N640" s="50"/>
      <c r="O640" s="50"/>
      <c r="P640" s="379"/>
      <c r="Q640" s="379"/>
      <c r="R640" s="379"/>
      <c r="T640" s="54"/>
      <c r="V640" s="379"/>
      <c r="W640" s="379"/>
      <c r="X640" s="379"/>
      <c r="Y640" s="379"/>
      <c r="Z640" s="221"/>
      <c r="AA640" s="379"/>
      <c r="AB640" s="379"/>
      <c r="AC640" s="50"/>
      <c r="AD640" s="50"/>
      <c r="AE640" s="379"/>
      <c r="AF640" s="379"/>
      <c r="AG640" s="156"/>
      <c r="AH640" s="60"/>
      <c r="AI640" s="379"/>
      <c r="AJ640" s="379"/>
      <c r="AK640" s="156"/>
      <c r="AL640" s="379"/>
      <c r="AM640" s="50"/>
      <c r="AN640" s="50"/>
    </row>
    <row r="641" spans="1:40" x14ac:dyDescent="0.25">
      <c r="A641" s="53"/>
      <c r="C641" s="54"/>
      <c r="J641" s="65"/>
      <c r="K641" s="65"/>
      <c r="T641" s="54"/>
      <c r="V641" s="379"/>
      <c r="W641" s="379"/>
      <c r="X641" s="379"/>
      <c r="Y641" s="379"/>
      <c r="Z641" s="221"/>
    </row>
    <row r="642" spans="1:40" x14ac:dyDescent="0.25">
      <c r="A642" s="53"/>
      <c r="C642" s="54"/>
      <c r="F642" s="449"/>
      <c r="H642" s="449"/>
      <c r="I642" s="449"/>
      <c r="J642" s="221"/>
      <c r="K642" s="221"/>
      <c r="L642" s="379"/>
      <c r="M642" s="379"/>
      <c r="N642" s="50"/>
      <c r="O642" s="50"/>
      <c r="P642" s="379"/>
      <c r="Q642" s="379"/>
      <c r="R642" s="379"/>
      <c r="T642" s="54"/>
      <c r="V642" s="379"/>
      <c r="W642" s="379"/>
      <c r="X642" s="379"/>
      <c r="Y642" s="379"/>
      <c r="Z642" s="221"/>
      <c r="AA642" s="379"/>
      <c r="AB642" s="379"/>
      <c r="AC642" s="50"/>
      <c r="AD642" s="50"/>
      <c r="AE642" s="379"/>
      <c r="AF642" s="379"/>
      <c r="AG642" s="156"/>
      <c r="AH642" s="60"/>
      <c r="AI642" s="379"/>
      <c r="AJ642" s="379"/>
      <c r="AK642" s="156"/>
      <c r="AL642" s="379"/>
      <c r="AM642" s="50"/>
      <c r="AN642" s="50"/>
    </row>
    <row r="643" spans="1:40" x14ac:dyDescent="0.25">
      <c r="A643" s="53"/>
      <c r="C643" s="54"/>
      <c r="J643" s="65"/>
      <c r="K643" s="65"/>
      <c r="T643" s="54"/>
      <c r="V643" s="379"/>
      <c r="W643" s="379"/>
      <c r="X643" s="379"/>
      <c r="Y643" s="379"/>
      <c r="Z643" s="221"/>
    </row>
    <row r="644" spans="1:40" x14ac:dyDescent="0.25">
      <c r="A644" s="53"/>
      <c r="C644" s="54"/>
      <c r="F644" s="449"/>
      <c r="H644" s="449"/>
      <c r="I644" s="449"/>
      <c r="J644" s="221"/>
      <c r="K644" s="221"/>
      <c r="L644" s="379"/>
      <c r="M644" s="379"/>
      <c r="N644" s="50"/>
      <c r="O644" s="50"/>
      <c r="P644" s="379"/>
      <c r="Q644" s="379"/>
      <c r="R644" s="379"/>
      <c r="T644" s="54"/>
      <c r="V644" s="379"/>
      <c r="W644" s="379"/>
      <c r="X644" s="379"/>
      <c r="Y644" s="379"/>
      <c r="Z644" s="221"/>
      <c r="AA644" s="379"/>
      <c r="AB644" s="379"/>
      <c r="AC644" s="50"/>
      <c r="AD644" s="50"/>
      <c r="AE644" s="379"/>
      <c r="AF644" s="379"/>
      <c r="AG644" s="156"/>
      <c r="AH644" s="60"/>
      <c r="AI644" s="379"/>
      <c r="AJ644" s="379"/>
      <c r="AK644" s="156"/>
      <c r="AL644" s="379"/>
      <c r="AM644" s="50"/>
      <c r="AN644" s="50"/>
    </row>
    <row r="645" spans="1:40" x14ac:dyDescent="0.25">
      <c r="A645" s="53"/>
      <c r="C645" s="54"/>
      <c r="J645" s="65"/>
      <c r="K645" s="65"/>
      <c r="T645" s="54"/>
      <c r="V645" s="379"/>
      <c r="W645" s="379"/>
      <c r="X645" s="379"/>
      <c r="Y645" s="379"/>
      <c r="Z645" s="221"/>
    </row>
    <row r="646" spans="1:40" x14ac:dyDescent="0.25">
      <c r="A646" s="53"/>
      <c r="C646" s="54"/>
      <c r="F646" s="449"/>
      <c r="H646" s="449"/>
      <c r="I646" s="449"/>
      <c r="J646" s="221"/>
      <c r="K646" s="221"/>
      <c r="L646" s="379"/>
      <c r="M646" s="379"/>
      <c r="N646" s="50"/>
      <c r="O646" s="50"/>
      <c r="P646" s="379"/>
      <c r="Q646" s="379"/>
      <c r="R646" s="379"/>
      <c r="T646" s="54"/>
      <c r="V646" s="379"/>
      <c r="W646" s="379"/>
      <c r="X646" s="379"/>
      <c r="Y646" s="379"/>
      <c r="Z646" s="221"/>
      <c r="AA646" s="379"/>
      <c r="AB646" s="379"/>
      <c r="AC646" s="50"/>
      <c r="AD646" s="50"/>
      <c r="AE646" s="379"/>
      <c r="AF646" s="379"/>
      <c r="AG646" s="156"/>
      <c r="AH646" s="60"/>
      <c r="AI646" s="379"/>
      <c r="AJ646" s="379"/>
      <c r="AK646" s="156"/>
      <c r="AL646" s="379"/>
      <c r="AM646" s="50"/>
      <c r="AN646" s="50"/>
    </row>
    <row r="647" spans="1:40" x14ac:dyDescent="0.25">
      <c r="F647" s="381"/>
      <c r="H647" s="381"/>
      <c r="I647" s="381"/>
      <c r="J647" s="221"/>
      <c r="K647" s="221"/>
      <c r="L647" s="381"/>
      <c r="M647" s="381"/>
      <c r="N647" s="381"/>
      <c r="O647" s="381"/>
      <c r="P647" s="381"/>
      <c r="Q647" s="381"/>
      <c r="R647" s="381"/>
      <c r="V647" s="381"/>
      <c r="Y647" s="381"/>
      <c r="Z647" s="221"/>
      <c r="AA647" s="381"/>
      <c r="AB647" s="381"/>
      <c r="AC647" s="381"/>
      <c r="AD647" s="381"/>
      <c r="AE647" s="381"/>
      <c r="AF647" s="381"/>
      <c r="AI647" s="381"/>
      <c r="AJ647" s="381"/>
      <c r="AK647" s="162"/>
      <c r="AL647" s="381"/>
      <c r="AM647" s="50"/>
      <c r="AN647" s="50"/>
    </row>
    <row r="648" spans="1:40" x14ac:dyDescent="0.25">
      <c r="A648" s="53"/>
      <c r="C648" s="54"/>
      <c r="F648" s="379"/>
      <c r="H648" s="379"/>
      <c r="I648" s="379"/>
      <c r="J648" s="65"/>
      <c r="K648" s="65"/>
      <c r="L648" s="379"/>
      <c r="M648" s="379"/>
      <c r="N648" s="50"/>
      <c r="O648" s="50"/>
      <c r="P648" s="449"/>
      <c r="Q648" s="449"/>
      <c r="R648" s="379"/>
      <c r="T648" s="54"/>
      <c r="V648" s="379"/>
      <c r="W648" s="379"/>
      <c r="X648" s="379"/>
      <c r="Y648" s="379"/>
      <c r="Z648" s="221"/>
      <c r="AA648" s="379"/>
      <c r="AB648" s="379"/>
      <c r="AC648" s="50"/>
      <c r="AD648" s="50"/>
      <c r="AE648" s="379"/>
      <c r="AF648" s="379"/>
      <c r="AG648" s="156"/>
      <c r="AH648" s="60"/>
      <c r="AI648" s="449"/>
      <c r="AJ648" s="449"/>
      <c r="AK648" s="156"/>
      <c r="AL648" s="379"/>
      <c r="AM648" s="50"/>
      <c r="AN648" s="50"/>
    </row>
    <row r="649" spans="1:40" x14ac:dyDescent="0.25">
      <c r="F649" s="381"/>
      <c r="H649" s="381"/>
      <c r="I649" s="381"/>
      <c r="J649" s="221"/>
      <c r="K649" s="221"/>
      <c r="L649" s="381"/>
      <c r="M649" s="381"/>
      <c r="N649" s="381"/>
      <c r="O649" s="381"/>
      <c r="P649" s="381"/>
      <c r="Q649" s="381"/>
      <c r="R649" s="381"/>
      <c r="V649" s="381"/>
      <c r="Y649" s="381"/>
      <c r="Z649" s="221"/>
      <c r="AA649" s="381"/>
      <c r="AB649" s="381"/>
      <c r="AC649" s="381"/>
      <c r="AD649" s="381"/>
      <c r="AE649" s="381"/>
      <c r="AF649" s="381"/>
      <c r="AI649" s="381"/>
      <c r="AJ649" s="381"/>
      <c r="AK649" s="162"/>
      <c r="AL649" s="381"/>
    </row>
    <row r="650" spans="1:40" x14ac:dyDescent="0.25">
      <c r="A650" s="53"/>
      <c r="C650" s="54"/>
      <c r="D650" s="54"/>
      <c r="E650" s="54"/>
      <c r="J650" s="65"/>
      <c r="K650" s="65"/>
      <c r="T650" s="54"/>
      <c r="U650" s="54"/>
      <c r="V650" s="379"/>
      <c r="W650" s="379"/>
      <c r="X650" s="379"/>
      <c r="Y650" s="379"/>
      <c r="Z650" s="221"/>
    </row>
    <row r="651" spans="1:40" x14ac:dyDescent="0.25">
      <c r="A651" s="53"/>
      <c r="C651" s="54"/>
      <c r="J651" s="65"/>
      <c r="K651" s="65"/>
      <c r="T651" s="54"/>
      <c r="V651" s="379"/>
      <c r="W651" s="379"/>
      <c r="X651" s="379"/>
      <c r="Y651" s="379"/>
      <c r="Z651" s="221"/>
    </row>
    <row r="652" spans="1:40" x14ac:dyDescent="0.25">
      <c r="A652" s="53"/>
      <c r="C652" s="54"/>
      <c r="J652" s="65"/>
      <c r="K652" s="65"/>
      <c r="T652" s="54"/>
      <c r="V652" s="379"/>
      <c r="W652" s="379"/>
      <c r="X652" s="379"/>
      <c r="Y652" s="379"/>
      <c r="Z652" s="221"/>
    </row>
    <row r="653" spans="1:40" x14ac:dyDescent="0.25">
      <c r="A653" s="53"/>
      <c r="C653" s="54"/>
      <c r="F653" s="449"/>
      <c r="H653" s="449"/>
      <c r="I653" s="449"/>
      <c r="J653" s="221"/>
      <c r="K653" s="221"/>
      <c r="L653" s="379"/>
      <c r="M653" s="379"/>
      <c r="N653" s="50"/>
      <c r="O653" s="50"/>
      <c r="P653" s="379"/>
      <c r="Q653" s="379"/>
      <c r="R653" s="379"/>
      <c r="T653" s="54"/>
      <c r="V653" s="379"/>
      <c r="W653" s="379"/>
      <c r="X653" s="379"/>
      <c r="Y653" s="379"/>
      <c r="Z653" s="221"/>
      <c r="AA653" s="379"/>
      <c r="AB653" s="379"/>
      <c r="AC653" s="50"/>
      <c r="AD653" s="50"/>
      <c r="AE653" s="379"/>
      <c r="AF653" s="379"/>
      <c r="AG653" s="156"/>
      <c r="AH653" s="60"/>
      <c r="AI653" s="379"/>
      <c r="AJ653" s="379"/>
      <c r="AK653" s="156"/>
      <c r="AL653" s="379"/>
      <c r="AM653" s="50"/>
      <c r="AN653" s="50"/>
    </row>
    <row r="654" spans="1:40" x14ac:dyDescent="0.25">
      <c r="A654" s="53"/>
      <c r="C654" s="54"/>
      <c r="J654" s="65"/>
      <c r="K654" s="65"/>
      <c r="T654" s="54"/>
      <c r="V654" s="379"/>
      <c r="W654" s="379"/>
      <c r="X654" s="379"/>
      <c r="Y654" s="379"/>
      <c r="Z654" s="221"/>
    </row>
    <row r="655" spans="1:40" x14ac:dyDescent="0.25">
      <c r="A655" s="53"/>
      <c r="C655" s="54"/>
      <c r="F655" s="449"/>
      <c r="H655" s="449"/>
      <c r="I655" s="449"/>
      <c r="J655" s="221"/>
      <c r="K655" s="221"/>
      <c r="L655" s="379"/>
      <c r="M655" s="379"/>
      <c r="N655" s="50"/>
      <c r="O655" s="50"/>
      <c r="P655" s="379"/>
      <c r="Q655" s="379"/>
      <c r="R655" s="379"/>
      <c r="T655" s="54"/>
      <c r="V655" s="379"/>
      <c r="W655" s="379"/>
      <c r="X655" s="379"/>
      <c r="Y655" s="379"/>
      <c r="Z655" s="221"/>
      <c r="AA655" s="379"/>
      <c r="AB655" s="379"/>
      <c r="AC655" s="50"/>
      <c r="AD655" s="50"/>
      <c r="AE655" s="379"/>
      <c r="AF655" s="379"/>
      <c r="AG655" s="156"/>
      <c r="AH655" s="60"/>
      <c r="AI655" s="379"/>
      <c r="AJ655" s="379"/>
      <c r="AK655" s="156"/>
      <c r="AL655" s="379"/>
      <c r="AM655" s="50"/>
      <c r="AN655" s="50"/>
    </row>
    <row r="656" spans="1:40" x14ac:dyDescent="0.25">
      <c r="F656" s="381"/>
      <c r="H656" s="381"/>
      <c r="I656" s="381"/>
      <c r="J656" s="221"/>
      <c r="K656" s="221"/>
      <c r="L656" s="381"/>
      <c r="M656" s="381"/>
      <c r="N656" s="381"/>
      <c r="O656" s="381"/>
      <c r="P656" s="381"/>
      <c r="Q656" s="381"/>
      <c r="R656" s="381"/>
      <c r="V656" s="381"/>
      <c r="Y656" s="381"/>
      <c r="Z656" s="464"/>
      <c r="AA656" s="381"/>
      <c r="AB656" s="381"/>
      <c r="AC656" s="381"/>
      <c r="AD656" s="381"/>
      <c r="AE656" s="381"/>
      <c r="AF656" s="381"/>
      <c r="AI656" s="381"/>
      <c r="AJ656" s="381"/>
      <c r="AK656" s="162"/>
      <c r="AL656" s="381"/>
    </row>
    <row r="657" spans="1:40" x14ac:dyDescent="0.25">
      <c r="A657" s="53"/>
      <c r="C657" s="54"/>
      <c r="F657" s="379"/>
      <c r="H657" s="379"/>
      <c r="I657" s="379"/>
      <c r="L657" s="379"/>
      <c r="M657" s="379"/>
      <c r="N657" s="50"/>
      <c r="O657" s="50"/>
      <c r="P657" s="449"/>
      <c r="Q657" s="449"/>
      <c r="R657" s="379"/>
      <c r="T657" s="54"/>
      <c r="V657" s="379"/>
      <c r="W657" s="379"/>
      <c r="X657" s="379"/>
      <c r="Y657" s="379"/>
      <c r="Z657" s="477"/>
      <c r="AA657" s="379"/>
      <c r="AB657" s="379"/>
      <c r="AC657" s="50"/>
      <c r="AD657" s="50"/>
      <c r="AE657" s="379"/>
      <c r="AF657" s="379"/>
      <c r="AG657" s="156"/>
      <c r="AH657" s="60"/>
      <c r="AI657" s="449"/>
      <c r="AJ657" s="449"/>
      <c r="AK657" s="156"/>
      <c r="AL657" s="379"/>
      <c r="AM657" s="50"/>
      <c r="AN657" s="50"/>
    </row>
    <row r="658" spans="1:40" x14ac:dyDescent="0.25">
      <c r="F658" s="381"/>
      <c r="H658" s="381"/>
      <c r="I658" s="381"/>
      <c r="J658" s="464"/>
      <c r="K658" s="464"/>
      <c r="L658" s="381"/>
      <c r="M658" s="381"/>
      <c r="N658" s="381"/>
      <c r="O658" s="381"/>
      <c r="P658" s="381"/>
      <c r="Q658" s="381"/>
      <c r="R658" s="381"/>
      <c r="V658" s="381"/>
      <c r="Y658" s="381"/>
      <c r="Z658" s="464"/>
      <c r="AA658" s="381"/>
      <c r="AB658" s="381"/>
      <c r="AC658" s="381"/>
      <c r="AD658" s="381"/>
      <c r="AE658" s="381"/>
      <c r="AF658" s="381"/>
      <c r="AI658" s="381"/>
      <c r="AJ658" s="381"/>
      <c r="AK658" s="162"/>
      <c r="AL658" s="381"/>
    </row>
    <row r="659" spans="1:40" x14ac:dyDescent="0.25">
      <c r="A659" s="53"/>
      <c r="C659" s="54"/>
      <c r="D659" s="54"/>
      <c r="E659" s="54"/>
      <c r="T659" s="54"/>
      <c r="U659" s="54"/>
      <c r="V659" s="379"/>
      <c r="W659" s="379"/>
      <c r="X659" s="379"/>
      <c r="Y659" s="379"/>
      <c r="Z659" s="477"/>
    </row>
    <row r="660" spans="1:40" x14ac:dyDescent="0.25">
      <c r="A660" s="53"/>
      <c r="C660" s="54"/>
      <c r="T660" s="54"/>
      <c r="V660" s="379"/>
      <c r="W660" s="379"/>
      <c r="X660" s="379"/>
      <c r="Y660" s="379"/>
      <c r="Z660" s="477"/>
    </row>
    <row r="661" spans="1:40" x14ac:dyDescent="0.25">
      <c r="A661" s="53"/>
      <c r="C661" s="54"/>
      <c r="F661" s="449"/>
      <c r="H661" s="449"/>
      <c r="I661" s="449"/>
      <c r="J661" s="477"/>
      <c r="K661" s="477"/>
      <c r="L661" s="379"/>
      <c r="M661" s="379"/>
      <c r="N661" s="50"/>
      <c r="O661" s="50"/>
      <c r="P661" s="379"/>
      <c r="Q661" s="379"/>
      <c r="R661" s="379"/>
      <c r="T661" s="54"/>
      <c r="V661" s="379"/>
      <c r="W661" s="379"/>
      <c r="X661" s="379"/>
      <c r="Y661" s="379"/>
      <c r="Z661" s="477"/>
      <c r="AA661" s="379"/>
      <c r="AB661" s="379"/>
      <c r="AC661" s="50"/>
      <c r="AD661" s="50"/>
      <c r="AE661" s="379"/>
      <c r="AF661" s="379"/>
      <c r="AG661" s="156"/>
      <c r="AH661" s="60"/>
      <c r="AI661" s="379"/>
      <c r="AJ661" s="379"/>
      <c r="AK661" s="156"/>
      <c r="AL661" s="379"/>
      <c r="AM661" s="50"/>
      <c r="AN661" s="50"/>
    </row>
    <row r="662" spans="1:40" x14ac:dyDescent="0.25">
      <c r="A662" s="53"/>
      <c r="C662" s="54"/>
      <c r="T662" s="54"/>
      <c r="V662" s="379"/>
      <c r="W662" s="379"/>
      <c r="X662" s="379"/>
      <c r="Y662" s="379"/>
      <c r="Z662" s="477"/>
    </row>
    <row r="663" spans="1:40" x14ac:dyDescent="0.25">
      <c r="A663" s="53"/>
      <c r="C663" s="54"/>
      <c r="F663" s="449"/>
      <c r="H663" s="449"/>
      <c r="I663" s="449"/>
      <c r="J663" s="477"/>
      <c r="K663" s="477"/>
      <c r="L663" s="379"/>
      <c r="M663" s="379"/>
      <c r="N663" s="50"/>
      <c r="O663" s="50"/>
      <c r="P663" s="379"/>
      <c r="Q663" s="379"/>
      <c r="R663" s="379"/>
      <c r="T663" s="54"/>
      <c r="V663" s="379"/>
      <c r="W663" s="379"/>
      <c r="X663" s="379"/>
      <c r="Y663" s="379"/>
      <c r="Z663" s="477"/>
      <c r="AA663" s="379"/>
      <c r="AB663" s="379"/>
      <c r="AC663" s="50"/>
      <c r="AD663" s="50"/>
      <c r="AE663" s="379"/>
      <c r="AF663" s="379"/>
      <c r="AG663" s="156"/>
      <c r="AH663" s="60"/>
      <c r="AI663" s="379"/>
      <c r="AJ663" s="379"/>
      <c r="AK663" s="156"/>
      <c r="AL663" s="379"/>
      <c r="AM663" s="50"/>
      <c r="AN663" s="50"/>
    </row>
    <row r="664" spans="1:40" x14ac:dyDescent="0.25">
      <c r="A664" s="53"/>
      <c r="C664" s="54"/>
      <c r="T664" s="54"/>
      <c r="V664" s="379"/>
      <c r="W664" s="379"/>
      <c r="X664" s="379"/>
      <c r="Y664" s="379"/>
      <c r="Z664" s="477"/>
    </row>
    <row r="665" spans="1:40" x14ac:dyDescent="0.25">
      <c r="A665" s="53"/>
      <c r="C665" s="54"/>
      <c r="F665" s="449"/>
      <c r="H665" s="449"/>
      <c r="I665" s="449"/>
      <c r="J665" s="477"/>
      <c r="K665" s="477"/>
      <c r="L665" s="379"/>
      <c r="M665" s="379"/>
      <c r="N665" s="50"/>
      <c r="O665" s="50"/>
      <c r="P665" s="379"/>
      <c r="Q665" s="379"/>
      <c r="R665" s="379"/>
      <c r="T665" s="54"/>
      <c r="V665" s="379"/>
      <c r="W665" s="379"/>
      <c r="X665" s="379"/>
      <c r="Y665" s="379"/>
      <c r="Z665" s="477"/>
      <c r="AA665" s="379"/>
      <c r="AB665" s="379"/>
      <c r="AC665" s="50"/>
      <c r="AD665" s="50"/>
      <c r="AE665" s="379"/>
      <c r="AF665" s="379"/>
      <c r="AG665" s="156"/>
      <c r="AH665" s="60"/>
      <c r="AI665" s="379"/>
      <c r="AJ665" s="379"/>
      <c r="AK665" s="156"/>
      <c r="AL665" s="379"/>
      <c r="AM665" s="50"/>
      <c r="AN665" s="50"/>
    </row>
    <row r="666" spans="1:40" x14ac:dyDescent="0.25">
      <c r="A666" s="53"/>
      <c r="C666" s="54"/>
      <c r="T666" s="54"/>
      <c r="V666" s="379"/>
      <c r="W666" s="379"/>
      <c r="X666" s="379"/>
      <c r="Y666" s="379"/>
      <c r="Z666" s="477"/>
    </row>
    <row r="667" spans="1:40" x14ac:dyDescent="0.25">
      <c r="A667" s="53"/>
      <c r="C667" s="54"/>
      <c r="F667" s="449"/>
      <c r="H667" s="449"/>
      <c r="I667" s="449"/>
      <c r="J667" s="477"/>
      <c r="K667" s="477"/>
      <c r="L667" s="379"/>
      <c r="M667" s="379"/>
      <c r="N667" s="50"/>
      <c r="O667" s="50"/>
      <c r="P667" s="379"/>
      <c r="Q667" s="379"/>
      <c r="R667" s="379"/>
      <c r="T667" s="54"/>
      <c r="V667" s="379"/>
      <c r="W667" s="379"/>
      <c r="X667" s="379"/>
      <c r="Y667" s="379"/>
      <c r="Z667" s="477"/>
      <c r="AA667" s="379"/>
      <c r="AB667" s="379"/>
      <c r="AC667" s="50"/>
      <c r="AD667" s="50"/>
      <c r="AE667" s="379"/>
      <c r="AF667" s="379"/>
      <c r="AG667" s="156"/>
      <c r="AH667" s="60"/>
      <c r="AI667" s="379"/>
      <c r="AJ667" s="379"/>
      <c r="AK667" s="156"/>
      <c r="AL667" s="379"/>
      <c r="AM667" s="50"/>
      <c r="AN667" s="50"/>
    </row>
    <row r="668" spans="1:40" x14ac:dyDescent="0.25">
      <c r="F668" s="381"/>
      <c r="H668" s="381"/>
      <c r="I668" s="381"/>
      <c r="J668" s="464"/>
      <c r="K668" s="464"/>
      <c r="L668" s="381"/>
      <c r="M668" s="381"/>
      <c r="N668" s="381"/>
      <c r="O668" s="381"/>
      <c r="P668" s="381"/>
      <c r="Q668" s="381"/>
      <c r="R668" s="381"/>
      <c r="V668" s="381"/>
      <c r="Y668" s="381"/>
      <c r="Z668" s="464"/>
      <c r="AA668" s="381"/>
      <c r="AB668" s="381"/>
      <c r="AC668" s="381"/>
      <c r="AD668" s="381"/>
      <c r="AE668" s="381"/>
      <c r="AF668" s="381"/>
      <c r="AI668" s="381"/>
      <c r="AJ668" s="381"/>
      <c r="AK668" s="162"/>
      <c r="AL668" s="381"/>
    </row>
    <row r="669" spans="1:40" x14ac:dyDescent="0.25">
      <c r="A669" s="53"/>
      <c r="C669" s="54"/>
      <c r="F669" s="379"/>
      <c r="H669" s="379"/>
      <c r="I669" s="379"/>
      <c r="L669" s="379"/>
      <c r="M669" s="379"/>
      <c r="N669" s="50"/>
      <c r="O669" s="50"/>
      <c r="P669" s="449"/>
      <c r="Q669" s="449"/>
      <c r="R669" s="379"/>
      <c r="T669" s="54"/>
      <c r="V669" s="379"/>
      <c r="W669" s="379"/>
      <c r="X669" s="379"/>
      <c r="Y669" s="379"/>
      <c r="Z669" s="477"/>
      <c r="AA669" s="379"/>
      <c r="AB669" s="379"/>
      <c r="AC669" s="50"/>
      <c r="AD669" s="50"/>
      <c r="AE669" s="379"/>
      <c r="AF669" s="379"/>
      <c r="AG669" s="156"/>
      <c r="AH669" s="60"/>
      <c r="AI669" s="449"/>
      <c r="AJ669" s="449"/>
      <c r="AK669" s="156"/>
      <c r="AL669" s="379"/>
      <c r="AM669" s="50"/>
      <c r="AN669" s="50"/>
    </row>
    <row r="670" spans="1:40" x14ac:dyDescent="0.25">
      <c r="F670" s="381"/>
      <c r="H670" s="381"/>
      <c r="I670" s="381"/>
      <c r="J670" s="464"/>
      <c r="K670" s="464"/>
      <c r="L670" s="381"/>
      <c r="M670" s="381"/>
      <c r="N670" s="381"/>
      <c r="O670" s="381"/>
      <c r="P670" s="381"/>
      <c r="Q670" s="381"/>
      <c r="R670" s="381"/>
      <c r="V670" s="381"/>
      <c r="Y670" s="381"/>
      <c r="Z670" s="464"/>
      <c r="AA670" s="381"/>
      <c r="AB670" s="381"/>
      <c r="AC670" s="381"/>
      <c r="AD670" s="381"/>
      <c r="AE670" s="381"/>
      <c r="AF670" s="381"/>
      <c r="AI670" s="381"/>
      <c r="AJ670" s="381"/>
      <c r="AK670" s="162"/>
      <c r="AL670" s="381"/>
    </row>
    <row r="671" spans="1:40" x14ac:dyDescent="0.25">
      <c r="A671" s="53"/>
      <c r="C671" s="54"/>
      <c r="F671" s="379"/>
      <c r="H671" s="379"/>
      <c r="I671" s="379"/>
      <c r="L671" s="379"/>
      <c r="M671" s="379"/>
      <c r="N671" s="50"/>
      <c r="O671" s="50"/>
      <c r="P671" s="379"/>
      <c r="Q671" s="379"/>
      <c r="R671" s="379"/>
      <c r="T671" s="54"/>
      <c r="V671" s="379"/>
      <c r="W671" s="379"/>
      <c r="X671" s="379"/>
      <c r="Y671" s="379"/>
      <c r="AA671" s="379"/>
      <c r="AB671" s="379"/>
      <c r="AC671" s="50"/>
      <c r="AD671" s="50"/>
      <c r="AE671" s="379"/>
      <c r="AF671" s="379"/>
      <c r="AG671" s="156"/>
      <c r="AH671" s="60"/>
      <c r="AI671" s="379"/>
      <c r="AJ671" s="379"/>
      <c r="AK671" s="156"/>
      <c r="AL671" s="379"/>
      <c r="AM671" s="60"/>
      <c r="AN671" s="60"/>
    </row>
    <row r="672" spans="1:40" x14ac:dyDescent="0.25">
      <c r="F672" s="381"/>
      <c r="H672" s="381"/>
      <c r="I672" s="381"/>
      <c r="J672" s="464"/>
      <c r="K672" s="464"/>
      <c r="L672" s="381"/>
      <c r="M672" s="381"/>
      <c r="N672" s="381"/>
      <c r="O672" s="381"/>
      <c r="P672" s="381"/>
      <c r="Q672" s="381"/>
      <c r="R672" s="381"/>
      <c r="V672" s="381"/>
      <c r="Y672" s="381"/>
      <c r="Z672" s="464"/>
      <c r="AA672" s="381"/>
      <c r="AB672" s="381"/>
      <c r="AC672" s="381"/>
      <c r="AD672" s="381"/>
      <c r="AE672" s="381"/>
      <c r="AF672" s="381"/>
      <c r="AI672" s="381"/>
      <c r="AJ672" s="381"/>
      <c r="AK672" s="162"/>
      <c r="AL672" s="381"/>
    </row>
    <row r="674" spans="1:40" x14ac:dyDescent="0.25">
      <c r="C674" s="53"/>
      <c r="T674" s="53"/>
    </row>
    <row r="675" spans="1:40" x14ac:dyDescent="0.25">
      <c r="A675" s="54"/>
    </row>
    <row r="676" spans="1:40" x14ac:dyDescent="0.25">
      <c r="J676" s="53"/>
      <c r="K676" s="53"/>
      <c r="Z676" s="53"/>
    </row>
    <row r="677" spans="1:40" x14ac:dyDescent="0.25">
      <c r="H677" s="54"/>
      <c r="I677" s="54"/>
      <c r="Y677" s="54"/>
    </row>
    <row r="678" spans="1:40" x14ac:dyDescent="0.25">
      <c r="J678" s="53"/>
      <c r="K678" s="53"/>
      <c r="Z678" s="53"/>
    </row>
    <row r="679" spans="1:40" x14ac:dyDescent="0.25">
      <c r="L679" s="54"/>
      <c r="M679" s="54"/>
      <c r="AA679" s="54"/>
      <c r="AB679" s="54"/>
    </row>
    <row r="680" spans="1:40" x14ac:dyDescent="0.25">
      <c r="A680" s="53"/>
      <c r="R680" s="54"/>
      <c r="AK680" s="161"/>
      <c r="AL680" s="54"/>
    </row>
    <row r="681" spans="1:40" x14ac:dyDescent="0.25">
      <c r="A681" s="53"/>
      <c r="R681" s="54"/>
      <c r="AK681" s="161"/>
      <c r="AL681" s="54"/>
    </row>
    <row r="682" spans="1:40" x14ac:dyDescent="0.25">
      <c r="A682" s="54"/>
      <c r="R682" s="54"/>
      <c r="AK682" s="161"/>
      <c r="AL682" s="54"/>
    </row>
    <row r="683" spans="1:40" x14ac:dyDescent="0.25">
      <c r="L683" s="54"/>
      <c r="M683" s="54"/>
      <c r="R683" s="53"/>
      <c r="AA683" s="54"/>
      <c r="AB683" s="54"/>
      <c r="AK683" s="156"/>
      <c r="AL683" s="53"/>
    </row>
    <row r="684" spans="1:40" x14ac:dyDescent="0.25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154"/>
      <c r="AH684" s="55"/>
      <c r="AI684" s="55"/>
      <c r="AJ684" s="55"/>
      <c r="AK684" s="154"/>
      <c r="AL684" s="55"/>
      <c r="AM684" s="55"/>
      <c r="AN684" s="55"/>
    </row>
    <row r="685" spans="1:40" x14ac:dyDescent="0.25">
      <c r="L685" s="56"/>
      <c r="M685" s="56"/>
      <c r="N685" s="56"/>
      <c r="O685" s="56"/>
      <c r="R685" s="56"/>
      <c r="AA685" s="56"/>
      <c r="AB685" s="56"/>
      <c r="AC685" s="56"/>
      <c r="AD685" s="56"/>
      <c r="AE685" s="56"/>
      <c r="AF685" s="56"/>
      <c r="AG685" s="155"/>
      <c r="AH685" s="56"/>
      <c r="AK685" s="155"/>
      <c r="AL685" s="56"/>
      <c r="AM685" s="56"/>
      <c r="AN685" s="56"/>
    </row>
    <row r="686" spans="1:40" x14ac:dyDescent="0.25">
      <c r="L686" s="56"/>
      <c r="M686" s="56"/>
      <c r="N686" s="56"/>
      <c r="O686" s="56"/>
      <c r="R686" s="56"/>
      <c r="Z686" s="56"/>
      <c r="AA686" s="56"/>
      <c r="AB686" s="56"/>
      <c r="AC686" s="56"/>
      <c r="AD686" s="56"/>
      <c r="AE686" s="56"/>
      <c r="AF686" s="56"/>
      <c r="AG686" s="155"/>
      <c r="AH686" s="56"/>
      <c r="AK686" s="155"/>
      <c r="AL686" s="56"/>
      <c r="AM686" s="56"/>
      <c r="AN686" s="56"/>
    </row>
    <row r="687" spans="1:40" x14ac:dyDescent="0.25">
      <c r="A687" s="56"/>
      <c r="C687" s="56"/>
      <c r="D687" s="56"/>
      <c r="E687" s="56"/>
      <c r="F687" s="56"/>
      <c r="J687" s="56"/>
      <c r="K687" s="56"/>
      <c r="L687" s="56"/>
      <c r="M687" s="56"/>
      <c r="N687" s="56"/>
      <c r="O687" s="56"/>
      <c r="P687" s="56"/>
      <c r="Q687" s="56"/>
      <c r="R687" s="56"/>
      <c r="T687" s="56"/>
      <c r="U687" s="56"/>
      <c r="V687" s="56"/>
      <c r="Z687" s="56"/>
      <c r="AA687" s="56"/>
      <c r="AB687" s="56"/>
      <c r="AC687" s="56"/>
      <c r="AD687" s="56"/>
      <c r="AE687" s="56"/>
      <c r="AF687" s="56"/>
      <c r="AG687" s="155"/>
      <c r="AH687" s="56"/>
      <c r="AI687" s="56"/>
      <c r="AJ687" s="56"/>
      <c r="AK687" s="155"/>
      <c r="AL687" s="56"/>
      <c r="AM687" s="56"/>
      <c r="AN687" s="56"/>
    </row>
    <row r="688" spans="1:40" x14ac:dyDescent="0.25">
      <c r="A688" s="56"/>
      <c r="C688" s="56"/>
      <c r="D688" s="56"/>
      <c r="E688" s="56"/>
      <c r="F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T688" s="56"/>
      <c r="U688" s="56"/>
      <c r="V688" s="56"/>
      <c r="Y688" s="56"/>
      <c r="Z688" s="56"/>
      <c r="AA688" s="56"/>
      <c r="AB688" s="56"/>
      <c r="AC688" s="56"/>
      <c r="AD688" s="56"/>
      <c r="AE688" s="56"/>
      <c r="AF688" s="56"/>
      <c r="AG688" s="155"/>
      <c r="AH688" s="56"/>
      <c r="AI688" s="56"/>
      <c r="AJ688" s="56"/>
      <c r="AK688" s="155"/>
      <c r="AL688" s="56"/>
      <c r="AM688" s="56"/>
      <c r="AN688" s="56"/>
    </row>
    <row r="689" spans="1:40" x14ac:dyDescent="0.25">
      <c r="C689" s="56"/>
      <c r="D689" s="56"/>
      <c r="E689" s="56"/>
      <c r="F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T689" s="56"/>
      <c r="U689" s="56"/>
      <c r="V689" s="56"/>
      <c r="Y689" s="56"/>
      <c r="Z689" s="56"/>
      <c r="AA689" s="56"/>
      <c r="AB689" s="56"/>
      <c r="AC689" s="56"/>
      <c r="AD689" s="56"/>
      <c r="AE689" s="56"/>
      <c r="AF689" s="56"/>
      <c r="AG689" s="155"/>
      <c r="AH689" s="56"/>
      <c r="AI689" s="56"/>
      <c r="AJ689" s="56"/>
      <c r="AK689" s="155"/>
      <c r="AL689" s="56"/>
      <c r="AM689" s="56"/>
      <c r="AN689" s="56"/>
    </row>
    <row r="690" spans="1:40" x14ac:dyDescent="0.25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154"/>
      <c r="AH690" s="55"/>
      <c r="AI690" s="55"/>
      <c r="AJ690" s="55"/>
      <c r="AK690" s="154"/>
      <c r="AL690" s="55"/>
      <c r="AM690" s="55"/>
      <c r="AN690" s="55"/>
    </row>
    <row r="691" spans="1:40" x14ac:dyDescent="0.25"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Y691" s="56"/>
      <c r="Z691" s="56"/>
      <c r="AA691" s="56"/>
      <c r="AB691" s="56"/>
      <c r="AC691" s="56"/>
      <c r="AD691" s="56"/>
      <c r="AE691" s="56"/>
      <c r="AF691" s="56"/>
      <c r="AG691" s="155"/>
      <c r="AH691" s="56"/>
      <c r="AI691" s="56"/>
      <c r="AJ691" s="56"/>
      <c r="AK691" s="155"/>
      <c r="AL691" s="56"/>
      <c r="AM691" s="56"/>
      <c r="AN691" s="56"/>
    </row>
    <row r="692" spans="1:40" x14ac:dyDescent="0.25">
      <c r="A692" s="53"/>
      <c r="C692" s="54"/>
      <c r="D692" s="54"/>
      <c r="E692" s="54"/>
      <c r="F692" s="379"/>
      <c r="H692" s="379"/>
      <c r="I692" s="379"/>
      <c r="J692" s="59"/>
      <c r="K692" s="59"/>
      <c r="L692" s="379"/>
      <c r="M692" s="379"/>
      <c r="N692" s="59"/>
      <c r="O692" s="59"/>
      <c r="P692" s="379"/>
      <c r="Q692" s="379"/>
      <c r="R692" s="379"/>
      <c r="T692" s="54"/>
      <c r="U692" s="54"/>
      <c r="V692" s="379"/>
      <c r="Y692" s="379"/>
      <c r="Z692" s="59"/>
      <c r="AA692" s="379"/>
      <c r="AB692" s="379"/>
      <c r="AC692" s="59"/>
      <c r="AD692" s="59"/>
      <c r="AE692" s="379"/>
      <c r="AF692" s="379"/>
      <c r="AG692" s="156"/>
      <c r="AH692" s="60"/>
      <c r="AI692" s="379"/>
      <c r="AJ692" s="379"/>
      <c r="AK692" s="156"/>
      <c r="AL692" s="379"/>
      <c r="AM692" s="50"/>
      <c r="AN692" s="50"/>
    </row>
    <row r="693" spans="1:40" x14ac:dyDescent="0.25">
      <c r="F693" s="381"/>
      <c r="H693" s="381"/>
      <c r="I693" s="381"/>
      <c r="J693" s="464"/>
      <c r="K693" s="464"/>
      <c r="L693" s="381"/>
      <c r="M693" s="381"/>
      <c r="N693" s="381"/>
      <c r="O693" s="381"/>
      <c r="P693" s="381"/>
      <c r="Q693" s="381"/>
      <c r="R693" s="381"/>
      <c r="V693" s="381"/>
      <c r="Y693" s="381"/>
      <c r="Z693" s="464"/>
      <c r="AA693" s="381"/>
      <c r="AB693" s="381"/>
      <c r="AC693" s="381"/>
      <c r="AD693" s="381"/>
      <c r="AE693" s="381"/>
      <c r="AF693" s="381"/>
      <c r="AI693" s="381"/>
      <c r="AJ693" s="381"/>
      <c r="AK693" s="162"/>
      <c r="AL693" s="381"/>
      <c r="AM693" s="50"/>
      <c r="AN693" s="50"/>
    </row>
    <row r="694" spans="1:40" x14ac:dyDescent="0.25">
      <c r="A694" s="53"/>
      <c r="C694" s="54"/>
      <c r="F694" s="379"/>
      <c r="H694" s="379"/>
      <c r="I694" s="379"/>
      <c r="J694" s="59"/>
      <c r="K694" s="59"/>
      <c r="L694" s="379"/>
      <c r="M694" s="379"/>
      <c r="N694" s="59"/>
      <c r="O694" s="59"/>
      <c r="P694" s="379"/>
      <c r="Q694" s="379"/>
      <c r="R694" s="379"/>
      <c r="T694" s="54"/>
      <c r="V694" s="379"/>
      <c r="Y694" s="379"/>
      <c r="Z694" s="59"/>
      <c r="AA694" s="379"/>
      <c r="AB694" s="379"/>
      <c r="AC694" s="59"/>
      <c r="AD694" s="59"/>
      <c r="AE694" s="379"/>
      <c r="AF694" s="379"/>
      <c r="AG694" s="156"/>
      <c r="AH694" s="60"/>
      <c r="AI694" s="379"/>
      <c r="AJ694" s="379"/>
      <c r="AK694" s="156"/>
      <c r="AL694" s="379"/>
      <c r="AM694" s="50"/>
      <c r="AN694" s="50"/>
    </row>
    <row r="695" spans="1:40" x14ac:dyDescent="0.25">
      <c r="F695" s="379"/>
      <c r="H695" s="379"/>
      <c r="I695" s="379"/>
      <c r="J695" s="59"/>
      <c r="K695" s="59"/>
      <c r="L695" s="379"/>
      <c r="M695" s="379"/>
      <c r="N695" s="59"/>
      <c r="O695" s="59"/>
      <c r="P695" s="379"/>
      <c r="Q695" s="379"/>
      <c r="R695" s="379"/>
      <c r="V695" s="379"/>
      <c r="Y695" s="379"/>
      <c r="Z695" s="59"/>
      <c r="AA695" s="379"/>
      <c r="AB695" s="379"/>
      <c r="AC695" s="59"/>
      <c r="AD695" s="59"/>
      <c r="AG695" s="156"/>
      <c r="AH695" s="60"/>
      <c r="AI695" s="379"/>
      <c r="AJ695" s="379"/>
      <c r="AK695" s="156"/>
      <c r="AL695" s="379"/>
      <c r="AM695" s="50"/>
      <c r="AN695" s="50"/>
    </row>
    <row r="696" spans="1:40" x14ac:dyDescent="0.25">
      <c r="A696" s="53"/>
      <c r="C696" s="54"/>
      <c r="D696" s="54"/>
      <c r="E696" s="54"/>
      <c r="F696" s="379"/>
      <c r="H696" s="379"/>
      <c r="I696" s="379"/>
      <c r="J696" s="59"/>
      <c r="K696" s="59"/>
      <c r="L696" s="379"/>
      <c r="M696" s="379"/>
      <c r="N696" s="59"/>
      <c r="O696" s="59"/>
      <c r="P696" s="379"/>
      <c r="Q696" s="379"/>
      <c r="R696" s="379"/>
      <c r="T696" s="54"/>
      <c r="U696" s="54"/>
      <c r="V696" s="379"/>
      <c r="Y696" s="379"/>
      <c r="Z696" s="59"/>
      <c r="AA696" s="379"/>
      <c r="AB696" s="379"/>
      <c r="AC696" s="59"/>
      <c r="AD696" s="59"/>
      <c r="AE696" s="379"/>
      <c r="AF696" s="379"/>
      <c r="AG696" s="156"/>
      <c r="AH696" s="60"/>
      <c r="AI696" s="379"/>
      <c r="AJ696" s="379"/>
      <c r="AK696" s="156"/>
      <c r="AL696" s="379"/>
      <c r="AM696" s="50"/>
      <c r="AN696" s="50"/>
    </row>
    <row r="697" spans="1:40" x14ac:dyDescent="0.25">
      <c r="A697" s="53"/>
      <c r="C697" s="54"/>
      <c r="D697" s="54"/>
      <c r="E697" s="54"/>
      <c r="F697" s="379"/>
      <c r="H697" s="379"/>
      <c r="I697" s="379"/>
      <c r="J697" s="59"/>
      <c r="K697" s="59"/>
      <c r="L697" s="379"/>
      <c r="M697" s="379"/>
      <c r="N697" s="59"/>
      <c r="O697" s="59"/>
      <c r="P697" s="379"/>
      <c r="Q697" s="379"/>
      <c r="R697" s="379"/>
      <c r="T697" s="54"/>
      <c r="U697" s="54"/>
      <c r="V697" s="379"/>
      <c r="Y697" s="379"/>
      <c r="Z697" s="59"/>
      <c r="AA697" s="379"/>
      <c r="AB697" s="379"/>
      <c r="AC697" s="59"/>
      <c r="AD697" s="59"/>
      <c r="AE697" s="379"/>
      <c r="AF697" s="379"/>
      <c r="AG697" s="156"/>
      <c r="AH697" s="60"/>
      <c r="AI697" s="379"/>
      <c r="AJ697" s="379"/>
      <c r="AK697" s="156"/>
      <c r="AL697" s="379"/>
      <c r="AM697" s="50"/>
      <c r="AN697" s="50"/>
    </row>
    <row r="698" spans="1:40" x14ac:dyDescent="0.25">
      <c r="A698" s="53"/>
      <c r="C698" s="54"/>
      <c r="D698" s="54"/>
      <c r="E698" s="54"/>
      <c r="F698" s="379"/>
      <c r="H698" s="379"/>
      <c r="I698" s="379"/>
      <c r="J698" s="59"/>
      <c r="K698" s="59"/>
      <c r="L698" s="379"/>
      <c r="M698" s="379"/>
      <c r="N698" s="59"/>
      <c r="O698" s="59"/>
      <c r="P698" s="379"/>
      <c r="Q698" s="379"/>
      <c r="R698" s="379"/>
      <c r="T698" s="54"/>
      <c r="U698" s="54"/>
      <c r="V698" s="379"/>
      <c r="Y698" s="379"/>
      <c r="Z698" s="59"/>
      <c r="AA698" s="379"/>
      <c r="AB698" s="379"/>
      <c r="AC698" s="59"/>
      <c r="AD698" s="59"/>
      <c r="AE698" s="379"/>
      <c r="AF698" s="379"/>
      <c r="AG698" s="156"/>
      <c r="AH698" s="60"/>
      <c r="AI698" s="379"/>
      <c r="AJ698" s="379"/>
      <c r="AK698" s="156"/>
      <c r="AL698" s="379"/>
      <c r="AM698" s="50"/>
      <c r="AN698" s="50"/>
    </row>
    <row r="699" spans="1:40" x14ac:dyDescent="0.25">
      <c r="A699" s="53"/>
      <c r="C699" s="54"/>
      <c r="D699" s="54"/>
      <c r="E699" s="54"/>
      <c r="F699" s="379"/>
      <c r="H699" s="379"/>
      <c r="I699" s="379"/>
      <c r="J699" s="59"/>
      <c r="K699" s="59"/>
      <c r="L699" s="379"/>
      <c r="M699" s="379"/>
      <c r="N699" s="59"/>
      <c r="O699" s="59"/>
      <c r="P699" s="379"/>
      <c r="Q699" s="379"/>
      <c r="R699" s="379"/>
      <c r="T699" s="54"/>
      <c r="U699" s="54"/>
      <c r="V699" s="379"/>
      <c r="Y699" s="379"/>
      <c r="Z699" s="59"/>
      <c r="AA699" s="379"/>
      <c r="AB699" s="379"/>
      <c r="AC699" s="59"/>
      <c r="AD699" s="59"/>
      <c r="AE699" s="379"/>
      <c r="AF699" s="379"/>
      <c r="AG699" s="156"/>
      <c r="AH699" s="60"/>
      <c r="AI699" s="379"/>
      <c r="AJ699" s="379"/>
      <c r="AK699" s="156"/>
      <c r="AL699" s="379"/>
      <c r="AM699" s="50"/>
      <c r="AN699" s="50"/>
    </row>
    <row r="700" spans="1:40" x14ac:dyDescent="0.25">
      <c r="A700" s="53"/>
      <c r="C700" s="54"/>
      <c r="D700" s="54"/>
      <c r="E700" s="54"/>
      <c r="F700" s="379"/>
      <c r="H700" s="379"/>
      <c r="I700" s="379"/>
      <c r="J700" s="59"/>
      <c r="K700" s="59"/>
      <c r="L700" s="379"/>
      <c r="M700" s="379"/>
      <c r="N700" s="59"/>
      <c r="O700" s="59"/>
      <c r="P700" s="379"/>
      <c r="Q700" s="379"/>
      <c r="R700" s="379"/>
      <c r="T700" s="54"/>
      <c r="U700" s="54"/>
      <c r="V700" s="379"/>
      <c r="Y700" s="379"/>
      <c r="Z700" s="59"/>
      <c r="AA700" s="379"/>
      <c r="AB700" s="379"/>
      <c r="AC700" s="59"/>
      <c r="AD700" s="59"/>
      <c r="AE700" s="379"/>
      <c r="AF700" s="379"/>
      <c r="AG700" s="156"/>
      <c r="AH700" s="60"/>
      <c r="AI700" s="379"/>
      <c r="AJ700" s="379"/>
      <c r="AK700" s="156"/>
      <c r="AL700" s="379"/>
      <c r="AM700" s="50"/>
      <c r="AN700" s="50"/>
    </row>
    <row r="701" spans="1:40" x14ac:dyDescent="0.25">
      <c r="A701" s="53"/>
      <c r="C701" s="54"/>
      <c r="D701" s="54"/>
      <c r="E701" s="54"/>
      <c r="F701" s="379"/>
      <c r="H701" s="379"/>
      <c r="I701" s="379"/>
      <c r="J701" s="59"/>
      <c r="K701" s="59"/>
      <c r="L701" s="379"/>
      <c r="M701" s="379"/>
      <c r="N701" s="59"/>
      <c r="O701" s="59"/>
      <c r="P701" s="379"/>
      <c r="Q701" s="379"/>
      <c r="R701" s="379"/>
      <c r="T701" s="54"/>
      <c r="U701" s="54"/>
      <c r="V701" s="379"/>
      <c r="Y701" s="379"/>
      <c r="Z701" s="59"/>
      <c r="AA701" s="379"/>
      <c r="AB701" s="379"/>
      <c r="AC701" s="59"/>
      <c r="AD701" s="59"/>
      <c r="AE701" s="379"/>
      <c r="AF701" s="379"/>
      <c r="AG701" s="156"/>
      <c r="AH701" s="60"/>
      <c r="AI701" s="379"/>
      <c r="AJ701" s="379"/>
      <c r="AK701" s="156"/>
      <c r="AL701" s="379"/>
      <c r="AM701" s="50"/>
      <c r="AN701" s="50"/>
    </row>
    <row r="702" spans="1:40" x14ac:dyDescent="0.25">
      <c r="F702" s="381"/>
      <c r="H702" s="381"/>
      <c r="I702" s="381"/>
      <c r="J702" s="464"/>
      <c r="K702" s="464"/>
      <c r="L702" s="381"/>
      <c r="M702" s="381"/>
      <c r="N702" s="381"/>
      <c r="O702" s="381"/>
      <c r="P702" s="381"/>
      <c r="Q702" s="381"/>
      <c r="R702" s="381"/>
      <c r="V702" s="381"/>
      <c r="Y702" s="381"/>
      <c r="Z702" s="464"/>
      <c r="AA702" s="381"/>
      <c r="AB702" s="381"/>
      <c r="AC702" s="381"/>
      <c r="AD702" s="381"/>
      <c r="AE702" s="381"/>
      <c r="AF702" s="381"/>
      <c r="AI702" s="381"/>
      <c r="AJ702" s="381"/>
      <c r="AK702" s="162"/>
      <c r="AL702" s="381"/>
      <c r="AM702" s="50"/>
      <c r="AN702" s="50"/>
    </row>
    <row r="703" spans="1:40" x14ac:dyDescent="0.25">
      <c r="A703" s="53"/>
      <c r="C703" s="54"/>
      <c r="F703" s="379"/>
      <c r="H703" s="379"/>
      <c r="I703" s="379"/>
      <c r="J703" s="59"/>
      <c r="K703" s="59"/>
      <c r="L703" s="379"/>
      <c r="M703" s="379"/>
      <c r="N703" s="59"/>
      <c r="O703" s="59"/>
      <c r="P703" s="379"/>
      <c r="Q703" s="379"/>
      <c r="R703" s="379"/>
      <c r="T703" s="54"/>
      <c r="V703" s="379"/>
      <c r="Y703" s="379"/>
      <c r="Z703" s="59"/>
      <c r="AA703" s="379"/>
      <c r="AB703" s="379"/>
      <c r="AC703" s="59"/>
      <c r="AD703" s="59"/>
      <c r="AE703" s="379"/>
      <c r="AF703" s="379"/>
      <c r="AG703" s="156"/>
      <c r="AH703" s="60"/>
      <c r="AI703" s="379"/>
      <c r="AJ703" s="379"/>
      <c r="AK703" s="156"/>
      <c r="AL703" s="379"/>
      <c r="AM703" s="50"/>
      <c r="AN703" s="50"/>
    </row>
    <row r="704" spans="1:40" x14ac:dyDescent="0.25">
      <c r="F704" s="379"/>
      <c r="H704" s="379"/>
      <c r="I704" s="379"/>
      <c r="J704" s="59"/>
      <c r="K704" s="59"/>
      <c r="L704" s="379"/>
      <c r="M704" s="379"/>
      <c r="N704" s="59"/>
      <c r="O704" s="59"/>
      <c r="P704" s="379"/>
      <c r="Q704" s="379"/>
      <c r="R704" s="379"/>
      <c r="V704" s="379"/>
      <c r="Y704" s="379"/>
      <c r="Z704" s="59"/>
      <c r="AA704" s="379"/>
      <c r="AB704" s="379"/>
      <c r="AC704" s="59"/>
      <c r="AD704" s="59"/>
      <c r="AG704" s="156"/>
      <c r="AH704" s="60"/>
      <c r="AI704" s="379"/>
      <c r="AJ704" s="379"/>
      <c r="AK704" s="156"/>
      <c r="AL704" s="379"/>
      <c r="AM704" s="50"/>
      <c r="AN704" s="50"/>
    </row>
    <row r="705" spans="1:40" x14ac:dyDescent="0.25">
      <c r="A705" s="53"/>
      <c r="C705" s="54"/>
      <c r="D705" s="54"/>
      <c r="E705" s="54"/>
      <c r="F705" s="379"/>
      <c r="H705" s="379"/>
      <c r="I705" s="379"/>
      <c r="J705" s="59"/>
      <c r="K705" s="59"/>
      <c r="L705" s="379"/>
      <c r="M705" s="379"/>
      <c r="N705" s="59"/>
      <c r="O705" s="59"/>
      <c r="P705" s="379"/>
      <c r="Q705" s="379"/>
      <c r="R705" s="379"/>
      <c r="T705" s="54"/>
      <c r="U705" s="54"/>
      <c r="V705" s="379"/>
      <c r="Y705" s="379"/>
      <c r="Z705" s="59"/>
      <c r="AA705" s="379"/>
      <c r="AB705" s="379"/>
      <c r="AC705" s="59"/>
      <c r="AD705" s="59"/>
      <c r="AE705" s="379"/>
      <c r="AF705" s="379"/>
      <c r="AG705" s="156"/>
      <c r="AH705" s="60"/>
      <c r="AI705" s="379"/>
      <c r="AJ705" s="379"/>
      <c r="AK705" s="156"/>
      <c r="AL705" s="379"/>
      <c r="AM705" s="50"/>
      <c r="AN705" s="50"/>
    </row>
    <row r="706" spans="1:40" x14ac:dyDescent="0.25">
      <c r="F706" s="381"/>
      <c r="H706" s="381"/>
      <c r="I706" s="381"/>
      <c r="J706" s="464"/>
      <c r="K706" s="464"/>
      <c r="L706" s="381"/>
      <c r="M706" s="381"/>
      <c r="N706" s="381"/>
      <c r="O706" s="381"/>
      <c r="P706" s="381"/>
      <c r="Q706" s="381"/>
      <c r="R706" s="381"/>
      <c r="V706" s="381"/>
      <c r="Y706" s="381"/>
      <c r="Z706" s="464"/>
      <c r="AA706" s="381"/>
      <c r="AB706" s="381"/>
      <c r="AC706" s="381"/>
      <c r="AD706" s="381"/>
      <c r="AE706" s="381"/>
      <c r="AF706" s="381"/>
      <c r="AI706" s="381"/>
      <c r="AJ706" s="381"/>
      <c r="AK706" s="162"/>
      <c r="AL706" s="381"/>
      <c r="AM706" s="50"/>
      <c r="AN706" s="50"/>
    </row>
    <row r="707" spans="1:40" x14ac:dyDescent="0.25">
      <c r="A707" s="53"/>
      <c r="C707" s="54"/>
      <c r="F707" s="379"/>
      <c r="H707" s="379"/>
      <c r="I707" s="379"/>
      <c r="J707" s="59"/>
      <c r="K707" s="59"/>
      <c r="L707" s="379"/>
      <c r="M707" s="379"/>
      <c r="N707" s="59"/>
      <c r="O707" s="59"/>
      <c r="P707" s="379"/>
      <c r="Q707" s="379"/>
      <c r="R707" s="379"/>
      <c r="T707" s="54"/>
      <c r="V707" s="379"/>
      <c r="Y707" s="379"/>
      <c r="Z707" s="59"/>
      <c r="AA707" s="379"/>
      <c r="AB707" s="379"/>
      <c r="AC707" s="59"/>
      <c r="AD707" s="59"/>
      <c r="AE707" s="379"/>
      <c r="AF707" s="379"/>
      <c r="AG707" s="156"/>
      <c r="AH707" s="60"/>
      <c r="AI707" s="379"/>
      <c r="AJ707" s="379"/>
      <c r="AK707" s="156"/>
      <c r="AL707" s="379"/>
      <c r="AM707" s="50"/>
      <c r="AN707" s="50"/>
    </row>
    <row r="708" spans="1:40" x14ac:dyDescent="0.25">
      <c r="F708" s="379"/>
      <c r="H708" s="379"/>
      <c r="I708" s="379"/>
      <c r="J708" s="59"/>
      <c r="K708" s="59"/>
      <c r="L708" s="379"/>
      <c r="M708" s="379"/>
      <c r="N708" s="59"/>
      <c r="O708" s="59"/>
      <c r="P708" s="379"/>
      <c r="Q708" s="379"/>
      <c r="R708" s="379"/>
      <c r="V708" s="379"/>
      <c r="Y708" s="379"/>
      <c r="Z708" s="59"/>
      <c r="AA708" s="379"/>
      <c r="AB708" s="379"/>
      <c r="AC708" s="59"/>
      <c r="AD708" s="59"/>
      <c r="AG708" s="156"/>
      <c r="AH708" s="60"/>
      <c r="AI708" s="379"/>
      <c r="AJ708" s="379"/>
      <c r="AK708" s="156"/>
      <c r="AL708" s="379"/>
      <c r="AM708" s="50"/>
      <c r="AN708" s="50"/>
    </row>
    <row r="709" spans="1:40" x14ac:dyDescent="0.25">
      <c r="A709" s="53"/>
      <c r="C709" s="54"/>
      <c r="D709" s="54"/>
      <c r="E709" s="54"/>
      <c r="F709" s="379"/>
      <c r="H709" s="379"/>
      <c r="I709" s="379"/>
      <c r="J709" s="59"/>
      <c r="K709" s="59"/>
      <c r="L709" s="379"/>
      <c r="M709" s="379"/>
      <c r="N709" s="59"/>
      <c r="O709" s="59"/>
      <c r="P709" s="379"/>
      <c r="Q709" s="379"/>
      <c r="R709" s="379"/>
      <c r="T709" s="54"/>
      <c r="U709" s="54"/>
      <c r="V709" s="379"/>
      <c r="Y709" s="379"/>
      <c r="Z709" s="59"/>
      <c r="AA709" s="379"/>
      <c r="AB709" s="379"/>
      <c r="AC709" s="59"/>
      <c r="AD709" s="59"/>
      <c r="AE709" s="379"/>
      <c r="AF709" s="379"/>
      <c r="AG709" s="156"/>
      <c r="AH709" s="60"/>
      <c r="AI709" s="379"/>
      <c r="AJ709" s="379"/>
      <c r="AK709" s="156"/>
      <c r="AL709" s="379"/>
      <c r="AM709" s="50"/>
      <c r="AN709" s="50"/>
    </row>
    <row r="710" spans="1:40" x14ac:dyDescent="0.25">
      <c r="A710" s="53"/>
      <c r="C710" s="54"/>
      <c r="D710" s="54"/>
      <c r="E710" s="54"/>
      <c r="F710" s="379"/>
      <c r="G710" s="379"/>
      <c r="H710" s="379"/>
      <c r="I710" s="379"/>
      <c r="J710" s="59"/>
      <c r="K710" s="59"/>
      <c r="L710" s="379"/>
      <c r="M710" s="379"/>
      <c r="N710" s="59"/>
      <c r="O710" s="59"/>
      <c r="P710" s="379"/>
      <c r="Q710" s="379"/>
      <c r="R710" s="379"/>
      <c r="T710" s="54"/>
      <c r="U710" s="54"/>
      <c r="V710" s="379"/>
      <c r="W710" s="379"/>
      <c r="X710" s="379"/>
      <c r="Y710" s="379"/>
      <c r="Z710" s="59"/>
      <c r="AA710" s="379"/>
      <c r="AB710" s="379"/>
      <c r="AC710" s="59"/>
      <c r="AD710" s="59"/>
      <c r="AE710" s="379"/>
      <c r="AF710" s="379"/>
      <c r="AG710" s="156"/>
      <c r="AH710" s="60"/>
      <c r="AI710" s="379"/>
      <c r="AJ710" s="379"/>
      <c r="AK710" s="156"/>
      <c r="AL710" s="379"/>
      <c r="AM710" s="50"/>
      <c r="AN710" s="50"/>
    </row>
    <row r="711" spans="1:40" x14ac:dyDescent="0.25">
      <c r="A711" s="53"/>
      <c r="C711" s="54"/>
      <c r="D711" s="54"/>
      <c r="E711" s="54"/>
      <c r="F711" s="379"/>
      <c r="G711" s="379"/>
      <c r="H711" s="379"/>
      <c r="I711" s="379"/>
      <c r="J711" s="59"/>
      <c r="K711" s="59"/>
      <c r="L711" s="379"/>
      <c r="M711" s="379"/>
      <c r="N711" s="59"/>
      <c r="O711" s="59"/>
      <c r="P711" s="379"/>
      <c r="Q711" s="379"/>
      <c r="R711" s="379"/>
      <c r="T711" s="54"/>
      <c r="U711" s="54"/>
      <c r="V711" s="379"/>
      <c r="W711" s="379"/>
      <c r="X711" s="379"/>
      <c r="Y711" s="379"/>
      <c r="Z711" s="59"/>
      <c r="AA711" s="379"/>
      <c r="AB711" s="379"/>
      <c r="AC711" s="59"/>
      <c r="AD711" s="59"/>
      <c r="AE711" s="379"/>
      <c r="AF711" s="379"/>
      <c r="AG711" s="156"/>
      <c r="AH711" s="60"/>
      <c r="AI711" s="379"/>
      <c r="AJ711" s="379"/>
      <c r="AK711" s="156"/>
      <c r="AL711" s="379"/>
      <c r="AM711" s="50"/>
      <c r="AN711" s="50"/>
    </row>
    <row r="712" spans="1:40" x14ac:dyDescent="0.25">
      <c r="A712" s="53"/>
      <c r="C712" s="54"/>
      <c r="D712" s="54"/>
      <c r="E712" s="54"/>
      <c r="F712" s="379"/>
      <c r="H712" s="379"/>
      <c r="I712" s="379"/>
      <c r="J712" s="59"/>
      <c r="K712" s="59"/>
      <c r="L712" s="379"/>
      <c r="M712" s="379"/>
      <c r="N712" s="59"/>
      <c r="O712" s="59"/>
      <c r="P712" s="379"/>
      <c r="Q712" s="379"/>
      <c r="R712" s="379"/>
      <c r="T712" s="54"/>
      <c r="U712" s="54"/>
      <c r="V712" s="379"/>
      <c r="Y712" s="379"/>
      <c r="Z712" s="59"/>
      <c r="AA712" s="379"/>
      <c r="AB712" s="379"/>
      <c r="AC712" s="59"/>
      <c r="AD712" s="59"/>
      <c r="AE712" s="379"/>
      <c r="AF712" s="379"/>
      <c r="AG712" s="156"/>
      <c r="AH712" s="60"/>
      <c r="AI712" s="379"/>
      <c r="AJ712" s="379"/>
      <c r="AK712" s="156"/>
      <c r="AL712" s="379"/>
      <c r="AM712" s="50"/>
      <c r="AN712" s="50"/>
    </row>
    <row r="713" spans="1:40" x14ac:dyDescent="0.25">
      <c r="A713" s="53"/>
      <c r="C713" s="54"/>
      <c r="D713" s="54"/>
      <c r="E713" s="54"/>
      <c r="F713" s="379"/>
      <c r="H713" s="379"/>
      <c r="I713" s="379"/>
      <c r="J713" s="59"/>
      <c r="K713" s="59"/>
      <c r="L713" s="379"/>
      <c r="M713" s="379"/>
      <c r="N713" s="59"/>
      <c r="O713" s="59"/>
      <c r="P713" s="379"/>
      <c r="Q713" s="379"/>
      <c r="R713" s="379"/>
      <c r="T713" s="54"/>
      <c r="U713" s="54"/>
      <c r="V713" s="379"/>
      <c r="Y713" s="379"/>
      <c r="Z713" s="59"/>
      <c r="AA713" s="379"/>
      <c r="AB713" s="379"/>
      <c r="AC713" s="59"/>
      <c r="AD713" s="59"/>
      <c r="AE713" s="379"/>
      <c r="AF713" s="379"/>
      <c r="AG713" s="156"/>
      <c r="AH713" s="60"/>
      <c r="AI713" s="379"/>
      <c r="AJ713" s="379"/>
      <c r="AK713" s="156"/>
      <c r="AL713" s="379"/>
      <c r="AM713" s="50"/>
      <c r="AN713" s="50"/>
    </row>
    <row r="714" spans="1:40" x14ac:dyDescent="0.25">
      <c r="A714" s="53"/>
      <c r="C714" s="54"/>
      <c r="D714" s="54"/>
      <c r="E714" s="54"/>
      <c r="F714" s="379"/>
      <c r="H714" s="379"/>
      <c r="I714" s="379"/>
      <c r="J714" s="59"/>
      <c r="K714" s="59"/>
      <c r="L714" s="379"/>
      <c r="M714" s="379"/>
      <c r="N714" s="59"/>
      <c r="O714" s="59"/>
      <c r="P714" s="379"/>
      <c r="Q714" s="379"/>
      <c r="R714" s="379"/>
      <c r="T714" s="54"/>
      <c r="U714" s="54"/>
      <c r="V714" s="379"/>
      <c r="Y714" s="379"/>
      <c r="Z714" s="59"/>
      <c r="AA714" s="379"/>
      <c r="AB714" s="379"/>
      <c r="AC714" s="59"/>
      <c r="AD714" s="59"/>
      <c r="AE714" s="379"/>
      <c r="AF714" s="379"/>
      <c r="AG714" s="156"/>
      <c r="AH714" s="60"/>
      <c r="AI714" s="379"/>
      <c r="AJ714" s="379"/>
      <c r="AK714" s="156"/>
      <c r="AL714" s="379"/>
      <c r="AM714" s="50"/>
      <c r="AN714" s="50"/>
    </row>
    <row r="715" spans="1:40" x14ac:dyDescent="0.25">
      <c r="A715" s="53"/>
      <c r="C715" s="54"/>
      <c r="D715" s="54"/>
      <c r="E715" s="54"/>
      <c r="F715" s="379"/>
      <c r="H715" s="379"/>
      <c r="I715" s="379"/>
      <c r="J715" s="59"/>
      <c r="K715" s="59"/>
      <c r="L715" s="379"/>
      <c r="M715" s="379"/>
      <c r="N715" s="59"/>
      <c r="O715" s="59"/>
      <c r="P715" s="379"/>
      <c r="Q715" s="379"/>
      <c r="R715" s="379"/>
      <c r="T715" s="54"/>
      <c r="U715" s="54"/>
      <c r="V715" s="379"/>
      <c r="Y715" s="379"/>
      <c r="Z715" s="59"/>
      <c r="AA715" s="379"/>
      <c r="AB715" s="379"/>
      <c r="AC715" s="59"/>
      <c r="AD715" s="59"/>
      <c r="AE715" s="379"/>
      <c r="AF715" s="379"/>
      <c r="AG715" s="156"/>
      <c r="AH715" s="60"/>
      <c r="AI715" s="379"/>
      <c r="AJ715" s="379"/>
      <c r="AK715" s="156"/>
      <c r="AL715" s="379"/>
      <c r="AM715" s="50"/>
      <c r="AN715" s="50"/>
    </row>
    <row r="716" spans="1:40" x14ac:dyDescent="0.25">
      <c r="F716" s="381"/>
      <c r="H716" s="381"/>
      <c r="I716" s="381"/>
      <c r="J716" s="464"/>
      <c r="K716" s="464"/>
      <c r="L716" s="381"/>
      <c r="M716" s="381"/>
      <c r="N716" s="381"/>
      <c r="O716" s="381"/>
      <c r="P716" s="381"/>
      <c r="Q716" s="381"/>
      <c r="R716" s="381"/>
      <c r="V716" s="381"/>
      <c r="Y716" s="381"/>
      <c r="Z716" s="464"/>
      <c r="AA716" s="381"/>
      <c r="AB716" s="381"/>
      <c r="AC716" s="381"/>
      <c r="AD716" s="381"/>
      <c r="AE716" s="381"/>
      <c r="AF716" s="381"/>
      <c r="AI716" s="381"/>
      <c r="AJ716" s="381"/>
      <c r="AK716" s="162"/>
      <c r="AL716" s="381"/>
      <c r="AM716" s="50"/>
      <c r="AN716" s="50"/>
    </row>
    <row r="717" spans="1:40" x14ac:dyDescent="0.25">
      <c r="A717" s="53"/>
      <c r="C717" s="54"/>
      <c r="F717" s="379"/>
      <c r="H717" s="379"/>
      <c r="I717" s="379"/>
      <c r="J717" s="59"/>
      <c r="K717" s="59"/>
      <c r="L717" s="379"/>
      <c r="M717" s="379"/>
      <c r="N717" s="59"/>
      <c r="O717" s="59"/>
      <c r="P717" s="379"/>
      <c r="Q717" s="379"/>
      <c r="R717" s="379"/>
      <c r="T717" s="54"/>
      <c r="V717" s="379"/>
      <c r="Y717" s="379"/>
      <c r="Z717" s="59"/>
      <c r="AA717" s="379"/>
      <c r="AB717" s="379"/>
      <c r="AC717" s="59"/>
      <c r="AD717" s="59"/>
      <c r="AE717" s="379"/>
      <c r="AF717" s="379"/>
      <c r="AG717" s="156"/>
      <c r="AH717" s="60"/>
      <c r="AI717" s="379"/>
      <c r="AJ717" s="379"/>
      <c r="AK717" s="156"/>
      <c r="AL717" s="379"/>
      <c r="AM717" s="50"/>
      <c r="AN717" s="50"/>
    </row>
    <row r="718" spans="1:40" x14ac:dyDescent="0.25">
      <c r="V718" s="379"/>
      <c r="Y718" s="379"/>
      <c r="Z718" s="464"/>
      <c r="AA718" s="379"/>
      <c r="AB718" s="379"/>
      <c r="AC718" s="379"/>
      <c r="AD718" s="379"/>
      <c r="AE718" s="379"/>
      <c r="AF718" s="379"/>
      <c r="AI718" s="379"/>
      <c r="AJ718" s="379"/>
      <c r="AK718" s="156"/>
      <c r="AL718" s="379"/>
      <c r="AM718" s="50"/>
      <c r="AN718" s="50"/>
    </row>
    <row r="719" spans="1:40" x14ac:dyDescent="0.25">
      <c r="A719" s="53"/>
      <c r="C719" s="54"/>
      <c r="D719" s="54"/>
      <c r="E719" s="54"/>
      <c r="L719" s="379"/>
      <c r="M719" s="379"/>
      <c r="N719" s="59"/>
      <c r="O719" s="59"/>
      <c r="P719" s="53"/>
      <c r="Q719" s="53"/>
      <c r="R719" s="379"/>
      <c r="T719" s="54"/>
      <c r="U719" s="54"/>
      <c r="AA719" s="379"/>
      <c r="AB719" s="379"/>
      <c r="AC719" s="59"/>
      <c r="AD719" s="59"/>
      <c r="AE719" s="379"/>
      <c r="AF719" s="379"/>
      <c r="AG719" s="156"/>
      <c r="AH719" s="60"/>
      <c r="AI719" s="53"/>
      <c r="AJ719" s="53"/>
      <c r="AK719" s="156"/>
      <c r="AL719" s="379"/>
      <c r="AM719" s="50"/>
      <c r="AN719" s="50"/>
    </row>
    <row r="720" spans="1:40" x14ac:dyDescent="0.25">
      <c r="A720" s="53"/>
      <c r="D720" s="54"/>
      <c r="E720" s="54"/>
      <c r="F720" s="449"/>
      <c r="H720" s="449"/>
      <c r="I720" s="449"/>
      <c r="J720" s="59"/>
      <c r="K720" s="59"/>
      <c r="L720" s="379"/>
      <c r="M720" s="379"/>
      <c r="N720" s="59"/>
      <c r="O720" s="59"/>
      <c r="P720" s="449"/>
      <c r="Q720" s="449"/>
      <c r="R720" s="379"/>
      <c r="U720" s="54"/>
      <c r="V720" s="379"/>
      <c r="Y720" s="379"/>
      <c r="Z720" s="59"/>
      <c r="AA720" s="379"/>
      <c r="AB720" s="379"/>
      <c r="AC720" s="59"/>
      <c r="AD720" s="59"/>
      <c r="AE720" s="379"/>
      <c r="AF720" s="379"/>
      <c r="AG720" s="156"/>
      <c r="AH720" s="60"/>
      <c r="AI720" s="379"/>
      <c r="AJ720" s="379"/>
      <c r="AK720" s="156"/>
      <c r="AL720" s="379"/>
      <c r="AM720" s="50"/>
      <c r="AN720" s="50"/>
    </row>
    <row r="721" spans="1:40" x14ac:dyDescent="0.25">
      <c r="F721" s="381"/>
      <c r="H721" s="381"/>
      <c r="I721" s="381"/>
      <c r="J721" s="464"/>
      <c r="K721" s="464"/>
      <c r="L721" s="381"/>
      <c r="M721" s="381"/>
      <c r="N721" s="381"/>
      <c r="O721" s="381"/>
      <c r="P721" s="381"/>
      <c r="Q721" s="381"/>
      <c r="R721" s="381"/>
      <c r="V721" s="381"/>
      <c r="Y721" s="381"/>
      <c r="Z721" s="464"/>
      <c r="AA721" s="381"/>
      <c r="AB721" s="381"/>
      <c r="AC721" s="381"/>
      <c r="AD721" s="381"/>
      <c r="AE721" s="381"/>
      <c r="AF721" s="381"/>
      <c r="AI721" s="381"/>
      <c r="AJ721" s="381"/>
      <c r="AK721" s="162"/>
      <c r="AL721" s="381"/>
      <c r="AM721" s="50"/>
      <c r="AN721" s="50"/>
    </row>
    <row r="722" spans="1:40" x14ac:dyDescent="0.25">
      <c r="A722" s="53"/>
      <c r="C722" s="54"/>
      <c r="F722" s="379"/>
      <c r="H722" s="379"/>
      <c r="I722" s="379"/>
      <c r="J722" s="59"/>
      <c r="K722" s="59"/>
      <c r="L722" s="379"/>
      <c r="M722" s="379"/>
      <c r="N722" s="59"/>
      <c r="O722" s="59"/>
      <c r="P722" s="379"/>
      <c r="Q722" s="379"/>
      <c r="R722" s="379"/>
      <c r="T722" s="54"/>
      <c r="V722" s="379"/>
      <c r="Y722" s="379"/>
      <c r="Z722" s="59"/>
      <c r="AA722" s="379"/>
      <c r="AB722" s="379"/>
      <c r="AC722" s="59"/>
      <c r="AD722" s="59"/>
      <c r="AE722" s="379"/>
      <c r="AF722" s="379"/>
      <c r="AG722" s="156"/>
      <c r="AH722" s="60"/>
      <c r="AI722" s="379"/>
      <c r="AJ722" s="379"/>
      <c r="AK722" s="156"/>
      <c r="AL722" s="379"/>
      <c r="AM722" s="50"/>
      <c r="AN722" s="50"/>
    </row>
    <row r="723" spans="1:40" x14ac:dyDescent="0.25">
      <c r="F723" s="379"/>
      <c r="H723" s="379"/>
      <c r="I723" s="379"/>
      <c r="J723" s="59"/>
      <c r="K723" s="59"/>
      <c r="L723" s="379"/>
      <c r="M723" s="379"/>
      <c r="N723" s="59"/>
      <c r="O723" s="59"/>
      <c r="P723" s="379"/>
      <c r="Q723" s="379"/>
      <c r="R723" s="379"/>
      <c r="V723" s="379"/>
      <c r="Y723" s="379"/>
      <c r="Z723" s="59"/>
      <c r="AA723" s="379"/>
      <c r="AB723" s="379"/>
      <c r="AC723" s="59"/>
      <c r="AD723" s="59"/>
      <c r="AG723" s="156"/>
      <c r="AH723" s="60"/>
      <c r="AI723" s="379"/>
      <c r="AJ723" s="379"/>
      <c r="AK723" s="156"/>
      <c r="AL723" s="379"/>
      <c r="AM723" s="50"/>
      <c r="AN723" s="50"/>
    </row>
    <row r="724" spans="1:40" x14ac:dyDescent="0.25">
      <c r="A724" s="53"/>
      <c r="D724" s="54"/>
      <c r="E724" s="54"/>
      <c r="F724" s="379"/>
      <c r="H724" s="379"/>
      <c r="I724" s="379"/>
      <c r="J724" s="59"/>
      <c r="K724" s="59"/>
      <c r="L724" s="449"/>
      <c r="M724" s="449"/>
      <c r="N724" s="59"/>
      <c r="O724" s="59"/>
      <c r="P724" s="379"/>
      <c r="Q724" s="379"/>
      <c r="R724" s="379"/>
      <c r="U724" s="54"/>
      <c r="V724" s="379"/>
      <c r="Y724" s="379"/>
      <c r="Z724" s="59"/>
      <c r="AA724" s="449"/>
      <c r="AB724" s="449"/>
      <c r="AC724" s="59"/>
      <c r="AD724" s="59"/>
      <c r="AE724" s="379"/>
      <c r="AF724" s="379"/>
      <c r="AG724" s="156"/>
      <c r="AH724" s="60"/>
      <c r="AI724" s="379"/>
      <c r="AJ724" s="379"/>
      <c r="AK724" s="156"/>
      <c r="AL724" s="379"/>
      <c r="AM724" s="50"/>
      <c r="AN724" s="50"/>
    </row>
    <row r="725" spans="1:40" x14ac:dyDescent="0.25">
      <c r="A725" s="53"/>
      <c r="D725" s="54"/>
      <c r="E725" s="54"/>
      <c r="F725" s="379"/>
      <c r="H725" s="379"/>
      <c r="I725" s="379"/>
      <c r="J725" s="59"/>
      <c r="K725" s="59"/>
      <c r="L725" s="449"/>
      <c r="M725" s="449"/>
      <c r="N725" s="59"/>
      <c r="O725" s="59"/>
      <c r="P725" s="379"/>
      <c r="Q725" s="379"/>
      <c r="R725" s="379"/>
      <c r="U725" s="54"/>
      <c r="V725" s="379"/>
      <c r="Y725" s="379"/>
      <c r="Z725" s="59"/>
      <c r="AA725" s="449"/>
      <c r="AB725" s="449"/>
      <c r="AC725" s="59"/>
      <c r="AD725" s="59"/>
      <c r="AE725" s="379"/>
      <c r="AF725" s="379"/>
      <c r="AG725" s="156"/>
      <c r="AH725" s="60"/>
      <c r="AI725" s="379"/>
      <c r="AJ725" s="379"/>
      <c r="AK725" s="156"/>
      <c r="AL725" s="379"/>
      <c r="AM725" s="50"/>
      <c r="AN725" s="50"/>
    </row>
    <row r="726" spans="1:40" x14ac:dyDescent="0.25">
      <c r="A726" s="53"/>
      <c r="D726" s="54"/>
      <c r="E726" s="54"/>
      <c r="F726" s="379"/>
      <c r="H726" s="379"/>
      <c r="I726" s="379"/>
      <c r="J726" s="59"/>
      <c r="K726" s="59"/>
      <c r="L726" s="449"/>
      <c r="M726" s="449"/>
      <c r="N726" s="59"/>
      <c r="O726" s="59"/>
      <c r="P726" s="379"/>
      <c r="Q726" s="379"/>
      <c r="R726" s="379"/>
      <c r="U726" s="54"/>
      <c r="V726" s="379"/>
      <c r="Y726" s="379"/>
      <c r="Z726" s="59"/>
      <c r="AA726" s="449"/>
      <c r="AB726" s="449"/>
      <c r="AC726" s="59"/>
      <c r="AD726" s="59"/>
      <c r="AE726" s="379"/>
      <c r="AF726" s="379"/>
      <c r="AG726" s="156"/>
      <c r="AH726" s="60"/>
      <c r="AI726" s="379"/>
      <c r="AJ726" s="379"/>
      <c r="AK726" s="156"/>
      <c r="AL726" s="379"/>
      <c r="AM726" s="50"/>
      <c r="AN726" s="50"/>
    </row>
    <row r="727" spans="1:40" x14ac:dyDescent="0.25">
      <c r="F727" s="381"/>
      <c r="H727" s="381"/>
      <c r="I727" s="381"/>
      <c r="J727" s="464"/>
      <c r="K727" s="464"/>
      <c r="L727" s="381"/>
      <c r="M727" s="381"/>
      <c r="N727" s="381"/>
      <c r="O727" s="381"/>
      <c r="P727" s="381"/>
      <c r="Q727" s="381"/>
      <c r="R727" s="381"/>
      <c r="V727" s="381"/>
      <c r="Y727" s="381"/>
      <c r="Z727" s="464"/>
      <c r="AA727" s="381"/>
      <c r="AB727" s="381"/>
      <c r="AC727" s="381"/>
      <c r="AD727" s="381"/>
      <c r="AE727" s="381"/>
      <c r="AF727" s="381"/>
      <c r="AI727" s="381"/>
      <c r="AJ727" s="381"/>
      <c r="AK727" s="162"/>
      <c r="AL727" s="381"/>
      <c r="AM727" s="50"/>
      <c r="AN727" s="50"/>
    </row>
    <row r="728" spans="1:40" x14ac:dyDescent="0.25">
      <c r="A728" s="53"/>
      <c r="C728" s="54"/>
      <c r="F728" s="379"/>
      <c r="H728" s="379"/>
      <c r="I728" s="379"/>
      <c r="J728" s="59"/>
      <c r="K728" s="59"/>
      <c r="L728" s="379"/>
      <c r="M728" s="379"/>
      <c r="N728" s="59"/>
      <c r="O728" s="59"/>
      <c r="P728" s="379"/>
      <c r="Q728" s="379"/>
      <c r="R728" s="379"/>
      <c r="T728" s="54"/>
      <c r="V728" s="379"/>
      <c r="Y728" s="379"/>
      <c r="Z728" s="59"/>
      <c r="AA728" s="379"/>
      <c r="AB728" s="379"/>
      <c r="AC728" s="59"/>
      <c r="AD728" s="59"/>
      <c r="AE728" s="379"/>
      <c r="AF728" s="379"/>
      <c r="AG728" s="156"/>
      <c r="AH728" s="60"/>
      <c r="AI728" s="379"/>
      <c r="AJ728" s="379"/>
      <c r="AK728" s="156"/>
      <c r="AL728" s="379"/>
      <c r="AM728" s="50"/>
      <c r="AN728" s="50"/>
    </row>
    <row r="729" spans="1:40" x14ac:dyDescent="0.25">
      <c r="F729" s="379"/>
      <c r="H729" s="379"/>
      <c r="I729" s="379"/>
      <c r="J729" s="59"/>
      <c r="K729" s="59"/>
      <c r="L729" s="379"/>
      <c r="M729" s="379"/>
      <c r="N729" s="59"/>
      <c r="O729" s="59"/>
      <c r="P729" s="379"/>
      <c r="Q729" s="379"/>
      <c r="R729" s="379"/>
      <c r="V729" s="379"/>
      <c r="Y729" s="379"/>
      <c r="Z729" s="59"/>
      <c r="AA729" s="379"/>
      <c r="AB729" s="379"/>
      <c r="AC729" s="59"/>
      <c r="AD729" s="59"/>
      <c r="AG729" s="156"/>
      <c r="AH729" s="60"/>
      <c r="AI729" s="379"/>
      <c r="AJ729" s="379"/>
      <c r="AK729" s="156"/>
      <c r="AL729" s="379"/>
      <c r="AM729" s="50"/>
      <c r="AN729" s="50"/>
    </row>
    <row r="730" spans="1:40" x14ac:dyDescent="0.25">
      <c r="A730" s="53"/>
      <c r="C730" s="54"/>
      <c r="F730" s="379"/>
      <c r="H730" s="379"/>
      <c r="I730" s="379"/>
      <c r="J730" s="59"/>
      <c r="K730" s="59"/>
      <c r="L730" s="379"/>
      <c r="M730" s="379"/>
      <c r="N730" s="59"/>
      <c r="O730" s="59"/>
      <c r="P730" s="379"/>
      <c r="Q730" s="379"/>
      <c r="R730" s="379"/>
      <c r="T730" s="54"/>
      <c r="V730" s="379"/>
      <c r="Y730" s="379"/>
      <c r="Z730" s="59"/>
      <c r="AA730" s="379"/>
      <c r="AB730" s="379"/>
      <c r="AC730" s="59"/>
      <c r="AD730" s="59"/>
      <c r="AE730" s="379"/>
      <c r="AF730" s="379"/>
      <c r="AG730" s="156"/>
      <c r="AH730" s="60"/>
      <c r="AI730" s="379"/>
      <c r="AJ730" s="379"/>
      <c r="AK730" s="156"/>
      <c r="AL730" s="379"/>
      <c r="AM730" s="50"/>
      <c r="AN730" s="50"/>
    </row>
    <row r="731" spans="1:40" x14ac:dyDescent="0.25">
      <c r="F731" s="381"/>
      <c r="H731" s="381"/>
      <c r="I731" s="381"/>
      <c r="J731" s="464"/>
      <c r="K731" s="464"/>
      <c r="L731" s="381"/>
      <c r="M731" s="381"/>
      <c r="N731" s="381"/>
      <c r="O731" s="381"/>
      <c r="P731" s="381"/>
      <c r="Q731" s="381"/>
      <c r="R731" s="381"/>
      <c r="V731" s="381"/>
      <c r="Y731" s="381"/>
      <c r="Z731" s="464"/>
      <c r="AA731" s="381"/>
      <c r="AB731" s="381"/>
      <c r="AC731" s="381"/>
      <c r="AD731" s="381"/>
      <c r="AE731" s="381"/>
      <c r="AF731" s="381"/>
      <c r="AI731" s="381"/>
      <c r="AJ731" s="381"/>
      <c r="AK731" s="162"/>
      <c r="AL731" s="381"/>
    </row>
    <row r="733" spans="1:40" x14ac:dyDescent="0.25">
      <c r="C733" s="54"/>
      <c r="L733" s="379"/>
      <c r="M733" s="379"/>
      <c r="P733" s="379"/>
      <c r="Q733" s="379"/>
      <c r="R733" s="379"/>
      <c r="T733" s="54"/>
    </row>
    <row r="734" spans="1:40" x14ac:dyDescent="0.25">
      <c r="A734" s="54"/>
      <c r="L734" s="379"/>
      <c r="M734" s="379"/>
      <c r="P734" s="379"/>
      <c r="Q734" s="379"/>
      <c r="R734" s="379"/>
    </row>
    <row r="735" spans="1:40" x14ac:dyDescent="0.25">
      <c r="L735" s="379"/>
      <c r="M735" s="379"/>
      <c r="P735" s="379"/>
      <c r="Q735" s="379"/>
      <c r="R735" s="379"/>
    </row>
    <row r="736" spans="1:40" x14ac:dyDescent="0.25">
      <c r="L736" s="379"/>
      <c r="M736" s="379"/>
      <c r="P736" s="379"/>
      <c r="Q736" s="379"/>
      <c r="R736" s="379"/>
    </row>
    <row r="737" spans="12:18" x14ac:dyDescent="0.25">
      <c r="L737" s="379"/>
      <c r="M737" s="379"/>
      <c r="P737" s="379"/>
      <c r="Q737" s="379"/>
      <c r="R737" s="379"/>
    </row>
    <row r="738" spans="12:18" x14ac:dyDescent="0.25">
      <c r="L738" s="379"/>
      <c r="M738" s="379"/>
      <c r="P738" s="379"/>
      <c r="Q738" s="379"/>
      <c r="R738" s="379"/>
    </row>
    <row r="739" spans="12:18" x14ac:dyDescent="0.25">
      <c r="L739" s="379"/>
      <c r="M739" s="379"/>
      <c r="P739" s="379"/>
      <c r="Q739" s="379"/>
      <c r="R739" s="379"/>
    </row>
    <row r="772" spans="49:49" x14ac:dyDescent="0.25">
      <c r="AW772" s="379"/>
    </row>
    <row r="773" spans="49:49" x14ac:dyDescent="0.25">
      <c r="AW773" s="379"/>
    </row>
    <row r="774" spans="49:49" x14ac:dyDescent="0.25">
      <c r="AW774" s="379"/>
    </row>
    <row r="775" spans="49:49" x14ac:dyDescent="0.25">
      <c r="AW775" s="379"/>
    </row>
    <row r="776" spans="49:49" x14ac:dyDescent="0.25">
      <c r="AW776" s="379"/>
    </row>
    <row r="777" spans="49:49" x14ac:dyDescent="0.25">
      <c r="AW777" s="379"/>
    </row>
    <row r="780" spans="49:49" x14ac:dyDescent="0.25">
      <c r="AW780" s="379"/>
    </row>
    <row r="781" spans="49:49" x14ac:dyDescent="0.25">
      <c r="AW781" s="379"/>
    </row>
    <row r="782" spans="49:49" x14ac:dyDescent="0.25">
      <c r="AW782" s="379"/>
    </row>
    <row r="783" spans="49:49" x14ac:dyDescent="0.25">
      <c r="AW783" s="379"/>
    </row>
    <row r="784" spans="49:49" x14ac:dyDescent="0.25">
      <c r="AW784" s="379"/>
    </row>
    <row r="785" spans="49:49" x14ac:dyDescent="0.25">
      <c r="AW785" s="379"/>
    </row>
    <row r="786" spans="49:49" x14ac:dyDescent="0.25">
      <c r="AW786" s="379"/>
    </row>
    <row r="787" spans="49:49" x14ac:dyDescent="0.25">
      <c r="AW787" s="379"/>
    </row>
    <row r="790" spans="49:49" x14ac:dyDescent="0.25">
      <c r="AW790" s="379"/>
    </row>
    <row r="791" spans="49:49" x14ac:dyDescent="0.25">
      <c r="AW791" s="379"/>
    </row>
    <row r="794" spans="49:49" x14ac:dyDescent="0.25">
      <c r="AW794" s="379"/>
    </row>
    <row r="795" spans="49:49" x14ac:dyDescent="0.25">
      <c r="AW795" s="379"/>
    </row>
    <row r="796" spans="49:49" x14ac:dyDescent="0.25">
      <c r="AW796" s="379"/>
    </row>
    <row r="797" spans="49:49" x14ac:dyDescent="0.25">
      <c r="AW797" s="379"/>
    </row>
    <row r="803" spans="45:69" x14ac:dyDescent="0.25">
      <c r="AY803" s="53"/>
    </row>
    <row r="804" spans="45:69" x14ac:dyDescent="0.25">
      <c r="AY804" s="53"/>
    </row>
    <row r="805" spans="45:69" x14ac:dyDescent="0.25">
      <c r="AY805" s="54"/>
    </row>
    <row r="806" spans="45:69" x14ac:dyDescent="0.25">
      <c r="AY806" s="54"/>
    </row>
    <row r="807" spans="45:69" x14ac:dyDescent="0.25">
      <c r="AS807" s="53"/>
      <c r="BD807" s="54"/>
    </row>
    <row r="808" spans="45:69" x14ac:dyDescent="0.25">
      <c r="AS808" s="53"/>
      <c r="BD808" s="54"/>
    </row>
    <row r="809" spans="45:69" x14ac:dyDescent="0.25">
      <c r="AS809" s="54"/>
      <c r="BD809" s="54"/>
    </row>
    <row r="810" spans="45:69" x14ac:dyDescent="0.25">
      <c r="BD810" s="53"/>
    </row>
    <row r="811" spans="45:69" x14ac:dyDescent="0.25"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</row>
    <row r="812" spans="45:69" x14ac:dyDescent="0.25">
      <c r="AX812" s="54"/>
    </row>
    <row r="813" spans="45:69" x14ac:dyDescent="0.25">
      <c r="AX813" s="55"/>
      <c r="AY813" s="55"/>
      <c r="AZ813" s="55"/>
      <c r="BA813" s="55"/>
      <c r="BC813" s="56"/>
      <c r="BD813" s="56"/>
    </row>
    <row r="814" spans="45:69" x14ac:dyDescent="0.25">
      <c r="AV814" s="56"/>
      <c r="AW814" s="56"/>
      <c r="AZ814" s="56"/>
      <c r="BA814" s="56"/>
      <c r="BC814" s="56"/>
      <c r="BD814" s="56"/>
      <c r="BE814" s="56"/>
      <c r="BG814" s="55"/>
      <c r="BH814" s="54"/>
      <c r="BK814" s="55"/>
      <c r="BM814" s="55"/>
      <c r="BN814" s="54"/>
      <c r="BQ814" s="55"/>
    </row>
    <row r="815" spans="45:69" x14ac:dyDescent="0.25"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H815" s="56"/>
      <c r="BI815" s="56"/>
      <c r="BJ815" s="56"/>
      <c r="BN815" s="56"/>
      <c r="BO815" s="56"/>
      <c r="BP815" s="56"/>
    </row>
    <row r="816" spans="45:69" x14ac:dyDescent="0.25">
      <c r="AS816" s="56"/>
      <c r="AU816" s="54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G816" s="56"/>
      <c r="BH816" s="56"/>
      <c r="BI816" s="56"/>
      <c r="BJ816" s="56"/>
      <c r="BK816" s="56"/>
      <c r="BM816" s="56"/>
      <c r="BN816" s="56"/>
      <c r="BO816" s="56"/>
      <c r="BP816" s="56"/>
      <c r="BQ816" s="56"/>
    </row>
    <row r="817" spans="45:69" x14ac:dyDescent="0.25">
      <c r="AS817" s="56"/>
      <c r="AU817" s="54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G817" s="56"/>
      <c r="BH817" s="56"/>
      <c r="BI817" s="56"/>
      <c r="BJ817" s="56"/>
      <c r="BK817" s="56"/>
      <c r="BM817" s="56"/>
      <c r="BN817" s="56"/>
      <c r="BO817" s="56"/>
      <c r="BP817" s="56"/>
      <c r="BQ817" s="56"/>
    </row>
    <row r="818" spans="45:69" x14ac:dyDescent="0.25"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G818" s="55"/>
      <c r="BH818" s="55"/>
      <c r="BI818" s="55"/>
      <c r="BJ818" s="55"/>
      <c r="BK818" s="55"/>
      <c r="BM818" s="55"/>
      <c r="BN818" s="55"/>
      <c r="BO818" s="55"/>
      <c r="BP818" s="55"/>
      <c r="BQ818" s="55"/>
    </row>
    <row r="819" spans="45:69" x14ac:dyDescent="0.25"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</row>
    <row r="820" spans="45:69" x14ac:dyDescent="0.25">
      <c r="AS820" s="53"/>
      <c r="AU820" s="54"/>
      <c r="AV820" s="56"/>
      <c r="AY820" s="59"/>
    </row>
    <row r="821" spans="45:69" x14ac:dyDescent="0.25">
      <c r="AS821" s="53"/>
      <c r="AV821" s="56"/>
      <c r="AW821" s="379"/>
      <c r="AX821" s="65"/>
      <c r="AY821" s="65"/>
      <c r="AZ821" s="65"/>
      <c r="BA821" s="50"/>
      <c r="BB821" s="65"/>
      <c r="BC821" s="59"/>
      <c r="BD821" s="59"/>
      <c r="BE821" s="50"/>
      <c r="BG821" s="65"/>
      <c r="BH821" s="65"/>
      <c r="BI821" s="65"/>
      <c r="BJ821" s="65"/>
      <c r="BK821" s="65"/>
      <c r="BM821" s="65"/>
      <c r="BN821" s="65"/>
      <c r="BO821" s="65"/>
      <c r="BP821" s="65"/>
      <c r="BQ821" s="65"/>
    </row>
    <row r="822" spans="45:69" x14ac:dyDescent="0.25">
      <c r="AS822" s="53"/>
      <c r="AV822" s="56"/>
      <c r="AW822" s="379"/>
      <c r="AX822" s="65"/>
      <c r="AY822" s="65"/>
      <c r="AZ822" s="65"/>
      <c r="BA822" s="50"/>
      <c r="BB822" s="65"/>
      <c r="BC822" s="59"/>
      <c r="BD822" s="59"/>
      <c r="BE822" s="50"/>
      <c r="BG822" s="65"/>
      <c r="BH822" s="65"/>
      <c r="BI822" s="65"/>
      <c r="BJ822" s="65"/>
      <c r="BK822" s="65"/>
      <c r="BM822" s="65"/>
      <c r="BN822" s="65"/>
      <c r="BO822" s="65"/>
      <c r="BP822" s="65"/>
      <c r="BQ822" s="65"/>
    </row>
    <row r="823" spans="45:69" x14ac:dyDescent="0.25">
      <c r="AS823" s="53"/>
      <c r="AV823" s="56"/>
      <c r="AW823" s="379"/>
      <c r="AX823" s="65"/>
      <c r="AY823" s="65"/>
      <c r="AZ823" s="65"/>
      <c r="BA823" s="50"/>
      <c r="BB823" s="65"/>
      <c r="BC823" s="59"/>
      <c r="BD823" s="59"/>
      <c r="BE823" s="50"/>
      <c r="BG823" s="65"/>
      <c r="BH823" s="65"/>
      <c r="BI823" s="65"/>
      <c r="BJ823" s="65"/>
      <c r="BK823" s="65"/>
      <c r="BM823" s="65"/>
      <c r="BN823" s="65"/>
      <c r="BO823" s="65"/>
      <c r="BP823" s="65"/>
      <c r="BQ823" s="65"/>
    </row>
    <row r="824" spans="45:69" x14ac:dyDescent="0.25">
      <c r="AS824" s="53"/>
      <c r="AV824" s="56"/>
      <c r="AW824" s="379"/>
      <c r="AX824" s="65"/>
      <c r="AY824" s="65"/>
      <c r="AZ824" s="65"/>
      <c r="BA824" s="50"/>
      <c r="BB824" s="65"/>
      <c r="BC824" s="59"/>
      <c r="BD824" s="59"/>
      <c r="BE824" s="50"/>
      <c r="BG824" s="65"/>
      <c r="BH824" s="65"/>
      <c r="BI824" s="65"/>
      <c r="BJ824" s="65"/>
      <c r="BK824" s="65"/>
      <c r="BM824" s="65"/>
      <c r="BN824" s="65"/>
      <c r="BO824" s="65"/>
      <c r="BP824" s="65"/>
      <c r="BQ824" s="65"/>
    </row>
    <row r="825" spans="45:69" x14ac:dyDescent="0.25">
      <c r="AS825" s="53"/>
      <c r="AV825" s="56"/>
      <c r="AW825" s="379"/>
      <c r="AX825" s="65"/>
      <c r="AY825" s="65"/>
      <c r="AZ825" s="65"/>
      <c r="BA825" s="50"/>
      <c r="BB825" s="65"/>
      <c r="BC825" s="59"/>
      <c r="BD825" s="59"/>
      <c r="BE825" s="50"/>
      <c r="BG825" s="65"/>
      <c r="BH825" s="65"/>
      <c r="BI825" s="65"/>
      <c r="BJ825" s="65"/>
      <c r="BK825" s="65"/>
      <c r="BM825" s="65"/>
      <c r="BN825" s="65"/>
      <c r="BO825" s="65"/>
      <c r="BP825" s="65"/>
      <c r="BQ825" s="65"/>
    </row>
    <row r="826" spans="45:69" x14ac:dyDescent="0.25">
      <c r="AS826" s="53"/>
      <c r="AV826" s="56"/>
      <c r="AW826" s="379"/>
      <c r="AX826" s="65"/>
      <c r="AY826" s="65"/>
      <c r="AZ826" s="65"/>
      <c r="BA826" s="50"/>
      <c r="BB826" s="65"/>
      <c r="BC826" s="59"/>
      <c r="BD826" s="59"/>
      <c r="BE826" s="50"/>
      <c r="BG826" s="65"/>
      <c r="BH826" s="65"/>
      <c r="BI826" s="65"/>
      <c r="BJ826" s="65"/>
      <c r="BK826" s="65"/>
      <c r="BM826" s="65"/>
      <c r="BN826" s="65"/>
      <c r="BO826" s="65"/>
      <c r="BP826" s="65"/>
      <c r="BQ826" s="65"/>
    </row>
    <row r="827" spans="45:69" x14ac:dyDescent="0.25">
      <c r="AS827" s="53"/>
      <c r="AV827" s="56"/>
      <c r="AW827" s="379"/>
      <c r="AX827" s="65"/>
      <c r="AY827" s="65"/>
      <c r="AZ827" s="65"/>
      <c r="BA827" s="50"/>
      <c r="BB827" s="65"/>
      <c r="BC827" s="59"/>
      <c r="BD827" s="59"/>
      <c r="BE827" s="50"/>
      <c r="BG827" s="65"/>
      <c r="BH827" s="65"/>
      <c r="BI827" s="65"/>
      <c r="BJ827" s="65"/>
      <c r="BK827" s="65"/>
      <c r="BM827" s="65"/>
      <c r="BN827" s="65"/>
      <c r="BO827" s="65"/>
      <c r="BP827" s="65"/>
      <c r="BQ827" s="65"/>
    </row>
    <row r="828" spans="45:69" x14ac:dyDescent="0.25">
      <c r="AY828" s="59"/>
      <c r="AZ828" s="65"/>
      <c r="BA828" s="50"/>
      <c r="BB828" s="65"/>
      <c r="BC828" s="59"/>
      <c r="BD828" s="59"/>
      <c r="BE828" s="50"/>
      <c r="BK828" s="65"/>
      <c r="BQ828" s="65"/>
    </row>
    <row r="829" spans="45:69" x14ac:dyDescent="0.25">
      <c r="AS829" s="53"/>
      <c r="AV829" s="56"/>
      <c r="AY829" s="59"/>
      <c r="AZ829" s="65"/>
      <c r="BA829" s="50"/>
      <c r="BB829" s="65"/>
      <c r="BC829" s="59"/>
      <c r="BD829" s="59"/>
      <c r="BE829" s="50"/>
      <c r="BK829" s="65"/>
      <c r="BQ829" s="65"/>
    </row>
    <row r="830" spans="45:69" x14ac:dyDescent="0.25">
      <c r="AS830" s="53"/>
      <c r="AV830" s="56"/>
      <c r="AW830" s="379"/>
      <c r="AX830" s="65"/>
      <c r="AY830" s="65"/>
      <c r="AZ830" s="65"/>
      <c r="BA830" s="50"/>
      <c r="BB830" s="65"/>
      <c r="BC830" s="59"/>
      <c r="BD830" s="59"/>
      <c r="BE830" s="50"/>
      <c r="BG830" s="65"/>
      <c r="BH830" s="65"/>
      <c r="BI830" s="65"/>
      <c r="BJ830" s="65"/>
      <c r="BK830" s="65"/>
      <c r="BM830" s="65"/>
      <c r="BN830" s="65"/>
      <c r="BO830" s="65"/>
      <c r="BP830" s="65"/>
      <c r="BQ830" s="65"/>
    </row>
    <row r="831" spans="45:69" x14ac:dyDescent="0.25">
      <c r="AS831" s="53"/>
      <c r="AV831" s="56"/>
      <c r="AW831" s="379"/>
      <c r="AX831" s="65"/>
      <c r="AY831" s="65"/>
      <c r="AZ831" s="65"/>
      <c r="BA831" s="50"/>
      <c r="BB831" s="65"/>
      <c r="BC831" s="59"/>
      <c r="BD831" s="59"/>
      <c r="BE831" s="50"/>
      <c r="BG831" s="65"/>
      <c r="BH831" s="65"/>
      <c r="BI831" s="65"/>
      <c r="BJ831" s="65"/>
      <c r="BK831" s="65"/>
      <c r="BM831" s="65"/>
      <c r="BN831" s="65"/>
      <c r="BO831" s="65"/>
      <c r="BP831" s="65"/>
      <c r="BQ831" s="65"/>
    </row>
    <row r="832" spans="45:69" x14ac:dyDescent="0.25">
      <c r="AS832" s="53"/>
      <c r="AV832" s="56"/>
      <c r="AW832" s="379"/>
      <c r="AX832" s="65"/>
      <c r="AY832" s="65"/>
      <c r="AZ832" s="65"/>
      <c r="BA832" s="50"/>
      <c r="BB832" s="65"/>
      <c r="BC832" s="59"/>
      <c r="BD832" s="59"/>
      <c r="BE832" s="50"/>
      <c r="BG832" s="65"/>
      <c r="BH832" s="65"/>
      <c r="BI832" s="65"/>
      <c r="BJ832" s="65"/>
      <c r="BK832" s="65"/>
      <c r="BM832" s="65"/>
      <c r="BN832" s="65"/>
      <c r="BO832" s="65"/>
      <c r="BP832" s="65"/>
      <c r="BQ832" s="65"/>
    </row>
    <row r="833" spans="45:69" x14ac:dyDescent="0.25">
      <c r="AS833" s="53"/>
      <c r="AV833" s="56"/>
      <c r="AW833" s="379"/>
      <c r="AX833" s="65"/>
      <c r="AY833" s="65"/>
      <c r="AZ833" s="65"/>
      <c r="BA833" s="50"/>
      <c r="BB833" s="65"/>
      <c r="BC833" s="59"/>
      <c r="BD833" s="59"/>
      <c r="BE833" s="50"/>
      <c r="BG833" s="65"/>
      <c r="BH833" s="65"/>
      <c r="BI833" s="65"/>
      <c r="BJ833" s="65"/>
      <c r="BK833" s="65"/>
      <c r="BM833" s="65"/>
      <c r="BN833" s="65"/>
      <c r="BO833" s="65"/>
      <c r="BP833" s="65"/>
      <c r="BQ833" s="65"/>
    </row>
    <row r="834" spans="45:69" x14ac:dyDescent="0.25">
      <c r="AS834" s="53"/>
      <c r="AV834" s="56"/>
      <c r="AW834" s="379"/>
      <c r="AX834" s="65"/>
      <c r="AY834" s="65"/>
      <c r="AZ834" s="65"/>
      <c r="BA834" s="50"/>
      <c r="BB834" s="65"/>
      <c r="BC834" s="59"/>
      <c r="BD834" s="59"/>
      <c r="BE834" s="50"/>
      <c r="BG834" s="65"/>
      <c r="BH834" s="65"/>
      <c r="BI834" s="65"/>
      <c r="BJ834" s="65"/>
      <c r="BK834" s="65"/>
      <c r="BM834" s="65"/>
      <c r="BN834" s="65"/>
      <c r="BO834" s="65"/>
      <c r="BP834" s="65"/>
      <c r="BQ834" s="65"/>
    </row>
    <row r="835" spans="45:69" x14ac:dyDescent="0.25">
      <c r="AS835" s="53"/>
      <c r="AV835" s="56"/>
      <c r="AW835" s="379"/>
      <c r="AX835" s="65"/>
      <c r="AY835" s="65"/>
      <c r="AZ835" s="65"/>
      <c r="BA835" s="50"/>
      <c r="BB835" s="65"/>
      <c r="BC835" s="59"/>
      <c r="BD835" s="59"/>
      <c r="BE835" s="50"/>
      <c r="BG835" s="65"/>
      <c r="BH835" s="65"/>
      <c r="BI835" s="65"/>
      <c r="BJ835" s="65"/>
      <c r="BK835" s="65"/>
      <c r="BM835" s="65"/>
      <c r="BN835" s="65"/>
      <c r="BO835" s="65"/>
      <c r="BP835" s="65"/>
      <c r="BQ835" s="65"/>
    </row>
    <row r="836" spans="45:69" x14ac:dyDescent="0.25">
      <c r="AS836" s="53"/>
      <c r="AV836" s="56"/>
      <c r="AW836" s="379"/>
      <c r="AX836" s="65"/>
      <c r="AY836" s="65"/>
      <c r="AZ836" s="65"/>
      <c r="BA836" s="50"/>
      <c r="BB836" s="65"/>
      <c r="BC836" s="59"/>
      <c r="BD836" s="59"/>
      <c r="BE836" s="50"/>
      <c r="BG836" s="65"/>
      <c r="BH836" s="65"/>
      <c r="BI836" s="65"/>
      <c r="BJ836" s="65"/>
      <c r="BK836" s="65"/>
      <c r="BM836" s="65"/>
      <c r="BN836" s="65"/>
      <c r="BO836" s="65"/>
      <c r="BP836" s="65"/>
      <c r="BQ836" s="65"/>
    </row>
    <row r="837" spans="45:69" x14ac:dyDescent="0.25">
      <c r="AS837" s="53"/>
      <c r="AV837" s="56"/>
      <c r="AW837" s="379"/>
      <c r="AX837" s="65"/>
      <c r="AY837" s="65"/>
      <c r="AZ837" s="65"/>
      <c r="BA837" s="50"/>
      <c r="BB837" s="65"/>
      <c r="BC837" s="59"/>
      <c r="BD837" s="59"/>
      <c r="BE837" s="50"/>
      <c r="BG837" s="65"/>
      <c r="BH837" s="65"/>
      <c r="BI837" s="65"/>
      <c r="BJ837" s="65"/>
      <c r="BK837" s="65"/>
      <c r="BM837" s="65"/>
      <c r="BN837" s="65"/>
      <c r="BO837" s="65"/>
      <c r="BP837" s="65"/>
      <c r="BQ837" s="65"/>
    </row>
    <row r="838" spans="45:69" x14ac:dyDescent="0.25">
      <c r="AY838" s="59"/>
      <c r="AZ838" s="65"/>
      <c r="BA838" s="50"/>
      <c r="BB838" s="65"/>
      <c r="BC838" s="59"/>
      <c r="BD838" s="59"/>
      <c r="BE838" s="50"/>
      <c r="BK838" s="65"/>
      <c r="BQ838" s="65"/>
    </row>
    <row r="839" spans="45:69" x14ac:dyDescent="0.25">
      <c r="AU839" s="54"/>
      <c r="AZ839" s="65"/>
      <c r="BB839" s="65"/>
      <c r="BG839" s="65"/>
      <c r="BH839" s="65"/>
      <c r="BJ839" s="65"/>
      <c r="BK839" s="65"/>
    </row>
    <row r="840" spans="45:69" x14ac:dyDescent="0.25">
      <c r="AZ840" s="65"/>
      <c r="BB840" s="65"/>
    </row>
    <row r="841" spans="45:69" x14ac:dyDescent="0.25">
      <c r="AS841" s="54"/>
      <c r="AZ841" s="65"/>
      <c r="BB841" s="65"/>
      <c r="BI841" s="65"/>
    </row>
    <row r="842" spans="45:69" x14ac:dyDescent="0.25">
      <c r="AY842" s="53"/>
      <c r="AZ842" s="65"/>
      <c r="BB842" s="65"/>
    </row>
    <row r="843" spans="45:69" x14ac:dyDescent="0.25">
      <c r="AY843" s="65"/>
      <c r="BB843" s="65"/>
    </row>
    <row r="844" spans="45:69" x14ac:dyDescent="0.25">
      <c r="AY844" s="54"/>
      <c r="AZ844" s="65"/>
      <c r="BB844" s="65"/>
    </row>
    <row r="845" spans="45:69" x14ac:dyDescent="0.25">
      <c r="AY845" s="54"/>
      <c r="AZ845" s="65"/>
      <c r="BB845" s="65"/>
    </row>
    <row r="846" spans="45:69" x14ac:dyDescent="0.25">
      <c r="AS846" s="53"/>
      <c r="AZ846" s="65"/>
      <c r="BB846" s="65"/>
      <c r="BD846" s="54"/>
    </row>
    <row r="847" spans="45:69" x14ac:dyDescent="0.25">
      <c r="AS847" s="53"/>
      <c r="AZ847" s="65"/>
      <c r="BB847" s="65"/>
      <c r="BD847" s="54"/>
    </row>
    <row r="848" spans="45:69" x14ac:dyDescent="0.25">
      <c r="AS848" s="54"/>
      <c r="AZ848" s="65"/>
      <c r="BB848" s="65"/>
      <c r="BD848" s="54"/>
    </row>
    <row r="849" spans="45:75" x14ac:dyDescent="0.25">
      <c r="AZ849" s="65"/>
      <c r="BB849" s="65"/>
      <c r="BD849" s="53"/>
    </row>
    <row r="850" spans="45:75" x14ac:dyDescent="0.25">
      <c r="AS850" s="55"/>
      <c r="AT850" s="55"/>
      <c r="AU850" s="55"/>
      <c r="AV850" s="55"/>
      <c r="AW850" s="55"/>
      <c r="AX850" s="55"/>
      <c r="AY850" s="55"/>
      <c r="AZ850" s="66"/>
      <c r="BA850" s="55"/>
      <c r="BB850" s="66"/>
      <c r="BC850" s="55"/>
      <c r="BD850" s="55"/>
      <c r="BE850" s="55"/>
    </row>
    <row r="851" spans="45:75" x14ac:dyDescent="0.25">
      <c r="AX851" s="54"/>
      <c r="AZ851" s="65"/>
      <c r="BB851" s="65"/>
    </row>
    <row r="852" spans="45:75" x14ac:dyDescent="0.25">
      <c r="AX852" s="55"/>
      <c r="AY852" s="55"/>
      <c r="AZ852" s="66"/>
      <c r="BA852" s="55"/>
      <c r="BB852" s="65"/>
      <c r="BC852" s="56"/>
      <c r="BD852" s="56"/>
    </row>
    <row r="853" spans="45:75" x14ac:dyDescent="0.25">
      <c r="AV853" s="56"/>
      <c r="AW853" s="56"/>
      <c r="AZ853" s="67"/>
      <c r="BA853" s="56"/>
      <c r="BB853" s="65"/>
      <c r="BC853" s="56"/>
      <c r="BD853" s="56"/>
      <c r="BE853" s="56"/>
      <c r="BG853" s="55"/>
      <c r="BH853" s="55"/>
      <c r="BI853" s="54"/>
      <c r="BM853" s="55"/>
      <c r="BN853" s="55"/>
      <c r="BP853" s="55"/>
      <c r="BQ853" s="55"/>
      <c r="BR853" s="54"/>
      <c r="BV853" s="55"/>
      <c r="BW853" s="55"/>
    </row>
    <row r="854" spans="45:75" x14ac:dyDescent="0.25">
      <c r="AV854" s="56"/>
      <c r="AW854" s="56"/>
      <c r="AX854" s="56"/>
      <c r="AY854" s="56"/>
      <c r="AZ854" s="67"/>
      <c r="BA854" s="56"/>
      <c r="BB854" s="67"/>
      <c r="BC854" s="56"/>
      <c r="BD854" s="56"/>
      <c r="BE854" s="56"/>
      <c r="BH854" s="56"/>
      <c r="BI854" s="56"/>
      <c r="BJ854" s="56"/>
      <c r="BK854" s="56"/>
      <c r="BL854" s="56"/>
      <c r="BM854" s="56"/>
      <c r="BQ854" s="56"/>
      <c r="BR854" s="56"/>
      <c r="BS854" s="56"/>
      <c r="BT854" s="56"/>
      <c r="BU854" s="56"/>
      <c r="BV854" s="56"/>
    </row>
    <row r="855" spans="45:75" x14ac:dyDescent="0.25">
      <c r="AS855" s="56"/>
      <c r="AU855" s="54"/>
      <c r="AV855" s="56"/>
      <c r="AW855" s="56"/>
      <c r="AX855" s="56"/>
      <c r="AY855" s="56"/>
      <c r="AZ855" s="67"/>
      <c r="BA855" s="56"/>
      <c r="BB855" s="67"/>
      <c r="BC855" s="56"/>
      <c r="BD855" s="56"/>
      <c r="BE855" s="56"/>
      <c r="BG855" s="56"/>
      <c r="BH855" s="56"/>
      <c r="BI855" s="56"/>
      <c r="BJ855" s="56"/>
      <c r="BK855" s="56"/>
      <c r="BL855" s="56"/>
      <c r="BM855" s="56"/>
      <c r="BN855" s="56"/>
      <c r="BP855" s="56"/>
      <c r="BQ855" s="56"/>
      <c r="BR855" s="56"/>
      <c r="BS855" s="56"/>
      <c r="BT855" s="56"/>
      <c r="BU855" s="56"/>
      <c r="BV855" s="56"/>
      <c r="BW855" s="56"/>
    </row>
    <row r="856" spans="45:75" x14ac:dyDescent="0.25">
      <c r="AS856" s="56"/>
      <c r="AU856" s="54"/>
      <c r="AV856" s="56"/>
      <c r="AW856" s="56"/>
      <c r="AX856" s="56"/>
      <c r="AY856" s="56"/>
      <c r="AZ856" s="67"/>
      <c r="BA856" s="56"/>
      <c r="BB856" s="67"/>
      <c r="BC856" s="56"/>
      <c r="BD856" s="56"/>
      <c r="BE856" s="56"/>
      <c r="BG856" s="56"/>
      <c r="BH856" s="56"/>
      <c r="BI856" s="56"/>
      <c r="BJ856" s="56"/>
      <c r="BK856" s="56"/>
      <c r="BL856" s="56"/>
      <c r="BM856" s="56"/>
      <c r="BN856" s="56"/>
      <c r="BP856" s="56"/>
      <c r="BQ856" s="56"/>
      <c r="BR856" s="56"/>
      <c r="BS856" s="56"/>
      <c r="BT856" s="56"/>
      <c r="BU856" s="56"/>
      <c r="BV856" s="56"/>
      <c r="BW856" s="56"/>
    </row>
    <row r="857" spans="45:75" x14ac:dyDescent="0.25">
      <c r="AS857" s="55"/>
      <c r="AT857" s="55"/>
      <c r="AU857" s="55"/>
      <c r="AV857" s="55"/>
      <c r="AW857" s="55"/>
      <c r="AX857" s="55"/>
      <c r="AY857" s="55"/>
      <c r="AZ857" s="66"/>
      <c r="BA857" s="55"/>
      <c r="BB857" s="66"/>
      <c r="BC857" s="55"/>
      <c r="BD857" s="55"/>
      <c r="BE857" s="55"/>
      <c r="BG857" s="55"/>
      <c r="BH857" s="55"/>
      <c r="BI857" s="55"/>
      <c r="BJ857" s="55"/>
      <c r="BK857" s="55"/>
      <c r="BL857" s="55"/>
      <c r="BM857" s="55"/>
      <c r="BN857" s="55"/>
      <c r="BP857" s="55"/>
      <c r="BQ857" s="55"/>
      <c r="BR857" s="55"/>
      <c r="BS857" s="55"/>
      <c r="BT857" s="55"/>
      <c r="BU857" s="55"/>
      <c r="BV857" s="55"/>
      <c r="BW857" s="55"/>
    </row>
    <row r="858" spans="45:75" x14ac:dyDescent="0.25">
      <c r="AV858" s="56"/>
      <c r="AW858" s="56"/>
      <c r="AX858" s="56"/>
      <c r="AY858" s="56"/>
      <c r="AZ858" s="67"/>
      <c r="BA858" s="56"/>
      <c r="BB858" s="67"/>
      <c r="BC858" s="56"/>
      <c r="BD858" s="56"/>
      <c r="BE858" s="56"/>
      <c r="BG858" s="65"/>
      <c r="BH858" s="65"/>
      <c r="BI858" s="65"/>
      <c r="BJ858" s="65"/>
      <c r="BK858" s="65"/>
      <c r="BL858" s="65"/>
      <c r="BM858" s="65"/>
      <c r="BN858" s="65"/>
      <c r="BO858" s="65"/>
      <c r="BP858" s="65"/>
      <c r="BQ858" s="65"/>
      <c r="BR858" s="65"/>
      <c r="BS858" s="65"/>
      <c r="BT858" s="65"/>
      <c r="BU858" s="65"/>
      <c r="BV858" s="65"/>
      <c r="BW858" s="65"/>
    </row>
    <row r="859" spans="45:75" x14ac:dyDescent="0.25">
      <c r="AS859" s="53"/>
      <c r="AU859" s="54"/>
      <c r="AV859" s="53"/>
      <c r="AW859" s="379"/>
      <c r="AX859" s="65"/>
      <c r="AY859" s="65"/>
      <c r="AZ859" s="65"/>
      <c r="BA859" s="60"/>
      <c r="BB859" s="65"/>
      <c r="BC859" s="65"/>
      <c r="BD859" s="65"/>
      <c r="BE859" s="60"/>
      <c r="BG859" s="65"/>
      <c r="BH859" s="65"/>
      <c r="BI859" s="65"/>
      <c r="BJ859" s="65"/>
      <c r="BK859" s="65"/>
      <c r="BL859" s="65"/>
      <c r="BM859" s="65"/>
      <c r="BN859" s="65"/>
      <c r="BO859" s="65"/>
      <c r="BP859" s="65"/>
      <c r="BQ859" s="65"/>
      <c r="BR859" s="65"/>
      <c r="BS859" s="65"/>
      <c r="BT859" s="65"/>
      <c r="BU859" s="65"/>
      <c r="BV859" s="65"/>
      <c r="BW859" s="65"/>
    </row>
    <row r="860" spans="45:75" x14ac:dyDescent="0.25">
      <c r="AS860" s="53"/>
      <c r="AV860" s="53"/>
      <c r="AW860" s="379"/>
      <c r="AX860" s="65"/>
      <c r="AY860" s="65"/>
      <c r="AZ860" s="65"/>
      <c r="BA860" s="60"/>
      <c r="BB860" s="65"/>
      <c r="BC860" s="65"/>
      <c r="BD860" s="65"/>
      <c r="BE860" s="60"/>
      <c r="BG860" s="65"/>
      <c r="BH860" s="65"/>
      <c r="BI860" s="65"/>
      <c r="BJ860" s="65"/>
      <c r="BK860" s="65"/>
      <c r="BL860" s="65"/>
      <c r="BM860" s="65"/>
      <c r="BN860" s="65"/>
      <c r="BO860" s="65"/>
      <c r="BP860" s="65"/>
      <c r="BQ860" s="65"/>
      <c r="BR860" s="65"/>
      <c r="BS860" s="65"/>
      <c r="BT860" s="65"/>
      <c r="BU860" s="65"/>
      <c r="BV860" s="65"/>
      <c r="BW860" s="65"/>
    </row>
    <row r="861" spans="45:75" x14ac:dyDescent="0.25">
      <c r="AS861" s="53"/>
      <c r="AV861" s="53"/>
      <c r="AW861" s="379"/>
      <c r="AX861" s="65"/>
      <c r="AY861" s="65"/>
      <c r="AZ861" s="65"/>
      <c r="BA861" s="60"/>
      <c r="BB861" s="65"/>
      <c r="BC861" s="65"/>
      <c r="BD861" s="65"/>
      <c r="BE861" s="60"/>
      <c r="BG861" s="65"/>
      <c r="BH861" s="65"/>
      <c r="BI861" s="65"/>
      <c r="BJ861" s="65"/>
      <c r="BK861" s="65"/>
      <c r="BL861" s="65"/>
      <c r="BM861" s="65"/>
      <c r="BN861" s="65"/>
      <c r="BO861" s="65"/>
      <c r="BP861" s="65"/>
      <c r="BQ861" s="65"/>
      <c r="BR861" s="65"/>
      <c r="BS861" s="65"/>
      <c r="BT861" s="65"/>
      <c r="BU861" s="65"/>
      <c r="BV861" s="65"/>
      <c r="BW861" s="65"/>
    </row>
    <row r="862" spans="45:75" x14ac:dyDescent="0.25">
      <c r="AS862" s="53"/>
      <c r="AV862" s="53"/>
      <c r="AW862" s="379"/>
      <c r="AX862" s="65"/>
      <c r="AY862" s="65"/>
      <c r="AZ862" s="65"/>
      <c r="BA862" s="60"/>
      <c r="BB862" s="65"/>
      <c r="BC862" s="65"/>
      <c r="BD862" s="65"/>
      <c r="BE862" s="60"/>
      <c r="BG862" s="65"/>
      <c r="BH862" s="65"/>
      <c r="BI862" s="65"/>
      <c r="BJ862" s="65"/>
      <c r="BK862" s="65"/>
      <c r="BL862" s="65"/>
      <c r="BM862" s="65"/>
      <c r="BN862" s="65"/>
      <c r="BO862" s="65"/>
      <c r="BP862" s="65"/>
      <c r="BQ862" s="65"/>
      <c r="BR862" s="65"/>
      <c r="BS862" s="65"/>
      <c r="BT862" s="65"/>
      <c r="BU862" s="65"/>
      <c r="BV862" s="65"/>
      <c r="BW862" s="65"/>
    </row>
    <row r="863" spans="45:75" x14ac:dyDescent="0.25">
      <c r="AS863" s="53"/>
      <c r="AV863" s="53"/>
      <c r="AW863" s="379"/>
      <c r="AX863" s="65"/>
      <c r="AY863" s="65"/>
      <c r="AZ863" s="65"/>
      <c r="BA863" s="60"/>
      <c r="BB863" s="65"/>
      <c r="BC863" s="65"/>
      <c r="BD863" s="65"/>
      <c r="BE863" s="60"/>
      <c r="BG863" s="65"/>
      <c r="BH863" s="65"/>
      <c r="BI863" s="65"/>
      <c r="BJ863" s="65"/>
      <c r="BK863" s="65"/>
      <c r="BL863" s="65"/>
      <c r="BM863" s="65"/>
      <c r="BN863" s="65"/>
      <c r="BO863" s="65"/>
      <c r="BP863" s="65"/>
      <c r="BQ863" s="65"/>
      <c r="BR863" s="65"/>
      <c r="BS863" s="65"/>
      <c r="BT863" s="65"/>
      <c r="BU863" s="65"/>
      <c r="BV863" s="65"/>
      <c r="BW863" s="65"/>
    </row>
    <row r="864" spans="45:75" x14ac:dyDescent="0.25">
      <c r="AS864" s="53"/>
      <c r="AV864" s="53"/>
      <c r="AW864" s="379"/>
      <c r="AX864" s="65"/>
      <c r="AY864" s="65"/>
      <c r="AZ864" s="65"/>
      <c r="BA864" s="60"/>
      <c r="BB864" s="65"/>
      <c r="BC864" s="65"/>
      <c r="BD864" s="65"/>
      <c r="BE864" s="60"/>
      <c r="BG864" s="65"/>
      <c r="BH864" s="65"/>
      <c r="BI864" s="65"/>
      <c r="BJ864" s="65"/>
      <c r="BK864" s="65"/>
      <c r="BL864" s="65"/>
      <c r="BM864" s="65"/>
      <c r="BN864" s="65"/>
      <c r="BO864" s="65"/>
      <c r="BP864" s="65"/>
      <c r="BQ864" s="65"/>
      <c r="BR864" s="65"/>
      <c r="BS864" s="65"/>
      <c r="BT864" s="65"/>
      <c r="BU864" s="65"/>
      <c r="BV864" s="65"/>
      <c r="BW864" s="65"/>
    </row>
    <row r="865" spans="45:75" x14ac:dyDescent="0.25">
      <c r="AS865" s="53"/>
      <c r="AV865" s="53"/>
      <c r="AW865" s="379"/>
      <c r="AX865" s="65"/>
      <c r="AY865" s="65"/>
      <c r="AZ865" s="65"/>
      <c r="BA865" s="60"/>
      <c r="BB865" s="65"/>
      <c r="BC865" s="65"/>
      <c r="BD865" s="65"/>
      <c r="BE865" s="60"/>
      <c r="BG865" s="65"/>
      <c r="BH865" s="65"/>
      <c r="BI865" s="65"/>
      <c r="BJ865" s="65"/>
      <c r="BK865" s="65"/>
      <c r="BL865" s="65"/>
      <c r="BM865" s="65"/>
      <c r="BN865" s="65"/>
      <c r="BO865" s="65"/>
      <c r="BP865" s="65"/>
      <c r="BQ865" s="65"/>
      <c r="BR865" s="65"/>
      <c r="BS865" s="65"/>
      <c r="BT865" s="65"/>
      <c r="BU865" s="65"/>
      <c r="BV865" s="65"/>
      <c r="BW865" s="65"/>
    </row>
    <row r="866" spans="45:75" x14ac:dyDescent="0.25">
      <c r="AS866" s="53"/>
      <c r="AV866" s="53"/>
      <c r="AW866" s="379"/>
      <c r="AX866" s="65"/>
      <c r="AY866" s="65"/>
      <c r="AZ866" s="65"/>
      <c r="BA866" s="60"/>
      <c r="BB866" s="65"/>
      <c r="BC866" s="65"/>
      <c r="BD866" s="65"/>
      <c r="BE866" s="60"/>
      <c r="BG866" s="65"/>
      <c r="BH866" s="65"/>
      <c r="BI866" s="65"/>
      <c r="BJ866" s="65"/>
      <c r="BK866" s="65"/>
      <c r="BL866" s="65"/>
      <c r="BM866" s="65"/>
      <c r="BN866" s="65"/>
      <c r="BO866" s="65"/>
      <c r="BP866" s="65"/>
      <c r="BQ866" s="65"/>
      <c r="BR866" s="65"/>
      <c r="BS866" s="65"/>
      <c r="BT866" s="65"/>
      <c r="BU866" s="65"/>
      <c r="BV866" s="65"/>
      <c r="BW866" s="65"/>
    </row>
    <row r="867" spans="45:75" x14ac:dyDescent="0.25">
      <c r="AS867" s="53"/>
      <c r="AV867" s="53"/>
      <c r="AW867" s="379"/>
      <c r="AX867" s="65"/>
      <c r="AY867" s="65"/>
      <c r="AZ867" s="65"/>
      <c r="BA867" s="60"/>
      <c r="BB867" s="65"/>
      <c r="BC867" s="65"/>
      <c r="BD867" s="65"/>
      <c r="BE867" s="60"/>
      <c r="BG867" s="65"/>
      <c r="BH867" s="65"/>
      <c r="BI867" s="65"/>
      <c r="BJ867" s="65"/>
      <c r="BK867" s="65"/>
      <c r="BL867" s="65"/>
      <c r="BM867" s="65"/>
      <c r="BN867" s="65"/>
      <c r="BO867" s="65"/>
      <c r="BP867" s="65"/>
      <c r="BQ867" s="65"/>
      <c r="BR867" s="65"/>
      <c r="BS867" s="65"/>
      <c r="BT867" s="65"/>
      <c r="BU867" s="65"/>
      <c r="BV867" s="65"/>
      <c r="BW867" s="65"/>
    </row>
    <row r="868" spans="45:75" x14ac:dyDescent="0.25">
      <c r="AS868" s="53"/>
      <c r="AV868" s="53"/>
      <c r="AW868" s="379"/>
      <c r="AX868" s="65"/>
      <c r="AY868" s="65"/>
      <c r="AZ868" s="65"/>
      <c r="BA868" s="60"/>
      <c r="BB868" s="65"/>
      <c r="BC868" s="65"/>
      <c r="BD868" s="65"/>
      <c r="BE868" s="60"/>
      <c r="BG868" s="65"/>
      <c r="BH868" s="65"/>
      <c r="BI868" s="65"/>
      <c r="BJ868" s="65"/>
      <c r="BK868" s="65"/>
      <c r="BL868" s="65"/>
      <c r="BM868" s="65"/>
      <c r="BN868" s="65"/>
      <c r="BO868" s="65"/>
      <c r="BP868" s="65"/>
      <c r="BQ868" s="65"/>
      <c r="BR868" s="65"/>
      <c r="BS868" s="65"/>
      <c r="BT868" s="65"/>
      <c r="BU868" s="65"/>
      <c r="BV868" s="65"/>
      <c r="BW868" s="65"/>
    </row>
    <row r="869" spans="45:75" x14ac:dyDescent="0.25">
      <c r="AS869" s="53"/>
      <c r="AV869" s="53"/>
      <c r="AW869" s="379"/>
      <c r="AX869" s="65"/>
      <c r="AY869" s="65"/>
      <c r="AZ869" s="65"/>
      <c r="BA869" s="60"/>
      <c r="BB869" s="65"/>
      <c r="BC869" s="65"/>
      <c r="BD869" s="65"/>
      <c r="BE869" s="60"/>
      <c r="BG869" s="65"/>
      <c r="BH869" s="65"/>
      <c r="BI869" s="65"/>
      <c r="BJ869" s="65"/>
      <c r="BK869" s="65"/>
      <c r="BL869" s="65"/>
      <c r="BM869" s="65"/>
      <c r="BN869" s="65"/>
      <c r="BO869" s="65"/>
      <c r="BP869" s="65"/>
      <c r="BQ869" s="65"/>
      <c r="BR869" s="65"/>
      <c r="BS869" s="65"/>
      <c r="BT869" s="65"/>
      <c r="BU869" s="65"/>
      <c r="BV869" s="65"/>
      <c r="BW869" s="65"/>
    </row>
    <row r="870" spans="45:75" x14ac:dyDescent="0.25">
      <c r="AS870" s="53"/>
      <c r="AV870" s="53"/>
      <c r="AW870" s="379"/>
      <c r="AX870" s="65"/>
      <c r="AY870" s="65"/>
      <c r="AZ870" s="65"/>
      <c r="BA870" s="60"/>
      <c r="BB870" s="65"/>
      <c r="BC870" s="65"/>
      <c r="BD870" s="65"/>
      <c r="BE870" s="60"/>
      <c r="BG870" s="65"/>
      <c r="BH870" s="65"/>
      <c r="BI870" s="65"/>
      <c r="BJ870" s="65"/>
      <c r="BK870" s="65"/>
      <c r="BL870" s="65"/>
      <c r="BM870" s="65"/>
      <c r="BN870" s="65"/>
      <c r="BO870" s="65"/>
      <c r="BP870" s="65"/>
      <c r="BQ870" s="65"/>
      <c r="BR870" s="65"/>
      <c r="BS870" s="65"/>
      <c r="BT870" s="65"/>
      <c r="BU870" s="65"/>
      <c r="BV870" s="65"/>
      <c r="BW870" s="65"/>
    </row>
    <row r="871" spans="45:75" x14ac:dyDescent="0.25">
      <c r="AS871" s="53"/>
      <c r="AV871" s="53"/>
      <c r="AW871" s="379"/>
      <c r="AX871" s="65"/>
      <c r="AY871" s="65"/>
      <c r="AZ871" s="65"/>
      <c r="BA871" s="60"/>
      <c r="BB871" s="65"/>
      <c r="BC871" s="65"/>
      <c r="BD871" s="65"/>
      <c r="BE871" s="60"/>
      <c r="BG871" s="65"/>
      <c r="BH871" s="65"/>
      <c r="BI871" s="65"/>
      <c r="BJ871" s="65"/>
      <c r="BK871" s="65"/>
      <c r="BL871" s="65"/>
      <c r="BM871" s="65"/>
      <c r="BN871" s="65"/>
      <c r="BO871" s="65"/>
      <c r="BP871" s="65"/>
      <c r="BQ871" s="65"/>
      <c r="BR871" s="65"/>
      <c r="BS871" s="65"/>
      <c r="BT871" s="65"/>
      <c r="BU871" s="65"/>
      <c r="BV871" s="65"/>
      <c r="BW871" s="65"/>
    </row>
    <row r="872" spans="45:75" x14ac:dyDescent="0.25">
      <c r="AS872" s="53"/>
      <c r="AV872" s="53"/>
      <c r="AW872" s="379"/>
      <c r="AX872" s="65"/>
      <c r="AY872" s="65"/>
      <c r="AZ872" s="65"/>
      <c r="BA872" s="60"/>
      <c r="BB872" s="65"/>
      <c r="BC872" s="65"/>
      <c r="BD872" s="65"/>
      <c r="BE872" s="60"/>
      <c r="BG872" s="65"/>
      <c r="BH872" s="65"/>
      <c r="BI872" s="65"/>
      <c r="BJ872" s="65"/>
      <c r="BK872" s="65"/>
      <c r="BL872" s="65"/>
      <c r="BM872" s="65"/>
      <c r="BN872" s="65"/>
      <c r="BO872" s="65"/>
      <c r="BP872" s="65"/>
      <c r="BQ872" s="65"/>
      <c r="BR872" s="65"/>
      <c r="BS872" s="65"/>
      <c r="BT872" s="65"/>
      <c r="BU872" s="65"/>
      <c r="BV872" s="65"/>
      <c r="BW872" s="65"/>
    </row>
    <row r="873" spans="45:75" x14ac:dyDescent="0.25">
      <c r="AS873" s="53"/>
      <c r="AV873" s="53"/>
      <c r="AW873" s="379"/>
      <c r="AX873" s="65"/>
      <c r="AY873" s="65"/>
      <c r="AZ873" s="65"/>
      <c r="BA873" s="60"/>
      <c r="BB873" s="65"/>
      <c r="BC873" s="65"/>
      <c r="BD873" s="65"/>
      <c r="BE873" s="60"/>
      <c r="BG873" s="65"/>
      <c r="BH873" s="65"/>
      <c r="BI873" s="65"/>
      <c r="BJ873" s="65"/>
      <c r="BK873" s="65"/>
      <c r="BL873" s="65"/>
      <c r="BM873" s="65"/>
      <c r="BN873" s="65"/>
      <c r="BO873" s="65"/>
      <c r="BP873" s="65"/>
      <c r="BQ873" s="65"/>
      <c r="BR873" s="65"/>
      <c r="BS873" s="65"/>
      <c r="BT873" s="65"/>
      <c r="BU873" s="65"/>
      <c r="BV873" s="65"/>
      <c r="BW873" s="65"/>
    </row>
    <row r="874" spans="45:75" x14ac:dyDescent="0.25">
      <c r="AS874" s="53"/>
      <c r="AV874" s="53"/>
      <c r="AW874" s="379"/>
      <c r="AX874" s="65"/>
      <c r="AY874" s="65"/>
      <c r="AZ874" s="65"/>
      <c r="BA874" s="60"/>
      <c r="BB874" s="65"/>
      <c r="BC874" s="65"/>
      <c r="BD874" s="65"/>
      <c r="BE874" s="60"/>
      <c r="BG874" s="65"/>
      <c r="BH874" s="65"/>
      <c r="BI874" s="65"/>
      <c r="BJ874" s="65"/>
      <c r="BK874" s="65"/>
      <c r="BL874" s="65"/>
      <c r="BM874" s="65"/>
      <c r="BN874" s="65"/>
      <c r="BO874" s="65"/>
      <c r="BP874" s="65"/>
      <c r="BQ874" s="65"/>
      <c r="BR874" s="65"/>
      <c r="BS874" s="65"/>
      <c r="BT874" s="65"/>
      <c r="BU874" s="65"/>
      <c r="BV874" s="65"/>
      <c r="BW874" s="65"/>
    </row>
    <row r="875" spans="45:75" x14ac:dyDescent="0.25">
      <c r="AS875" s="53"/>
      <c r="AV875" s="53"/>
      <c r="AW875" s="379"/>
      <c r="AX875" s="65"/>
      <c r="AY875" s="65"/>
      <c r="AZ875" s="65"/>
      <c r="BA875" s="60"/>
      <c r="BB875" s="65"/>
      <c r="BC875" s="65"/>
      <c r="BD875" s="65"/>
      <c r="BE875" s="60"/>
      <c r="BG875" s="65"/>
      <c r="BH875" s="65"/>
      <c r="BI875" s="65"/>
      <c r="BJ875" s="65"/>
      <c r="BK875" s="65"/>
      <c r="BL875" s="65"/>
      <c r="BM875" s="65"/>
      <c r="BN875" s="65"/>
      <c r="BO875" s="65"/>
      <c r="BP875" s="65"/>
      <c r="BQ875" s="65"/>
      <c r="BR875" s="65"/>
      <c r="BS875" s="65"/>
      <c r="BT875" s="65"/>
      <c r="BU875" s="65"/>
      <c r="BV875" s="65"/>
      <c r="BW875" s="65"/>
    </row>
    <row r="876" spans="45:75" x14ac:dyDescent="0.25">
      <c r="AS876" s="53"/>
      <c r="AV876" s="53"/>
      <c r="AW876" s="379"/>
      <c r="AX876" s="65"/>
      <c r="AY876" s="65"/>
      <c r="AZ876" s="65"/>
      <c r="BA876" s="60"/>
      <c r="BB876" s="65"/>
      <c r="BC876" s="65"/>
      <c r="BD876" s="65"/>
      <c r="BE876" s="60"/>
      <c r="BG876" s="65"/>
      <c r="BH876" s="65"/>
      <c r="BI876" s="65"/>
      <c r="BJ876" s="65"/>
      <c r="BK876" s="65"/>
      <c r="BL876" s="65"/>
      <c r="BM876" s="65"/>
      <c r="BN876" s="65"/>
      <c r="BO876" s="65"/>
      <c r="BP876" s="65"/>
      <c r="BQ876" s="65"/>
      <c r="BR876" s="65"/>
      <c r="BS876" s="65"/>
      <c r="BT876" s="65"/>
      <c r="BU876" s="65"/>
      <c r="BV876" s="65"/>
      <c r="BW876" s="65"/>
    </row>
    <row r="877" spans="45:75" x14ac:dyDescent="0.25">
      <c r="AS877" s="53"/>
      <c r="AV877" s="53"/>
      <c r="AW877" s="379"/>
      <c r="AX877" s="65"/>
      <c r="AY877" s="65"/>
      <c r="AZ877" s="65"/>
      <c r="BA877" s="60"/>
      <c r="BB877" s="65"/>
      <c r="BC877" s="65"/>
      <c r="BD877" s="65"/>
      <c r="BE877" s="60"/>
      <c r="BG877" s="65"/>
      <c r="BH877" s="65"/>
      <c r="BI877" s="65"/>
      <c r="BJ877" s="65"/>
      <c r="BK877" s="65"/>
      <c r="BL877" s="65"/>
      <c r="BM877" s="65"/>
      <c r="BN877" s="65"/>
      <c r="BO877" s="65"/>
      <c r="BP877" s="65"/>
      <c r="BQ877" s="65"/>
      <c r="BR877" s="65"/>
      <c r="BS877" s="65"/>
      <c r="BT877" s="65"/>
      <c r="BU877" s="65"/>
      <c r="BV877" s="65"/>
      <c r="BW877" s="65"/>
    </row>
    <row r="878" spans="45:75" x14ac:dyDescent="0.25">
      <c r="AS878" s="53"/>
      <c r="AV878" s="53"/>
      <c r="AW878" s="379"/>
      <c r="AX878" s="65"/>
      <c r="AY878" s="65"/>
      <c r="AZ878" s="65"/>
      <c r="BA878" s="60"/>
      <c r="BB878" s="65"/>
      <c r="BC878" s="65"/>
      <c r="BD878" s="65"/>
      <c r="BE878" s="60"/>
      <c r="BG878" s="65"/>
      <c r="BH878" s="65"/>
      <c r="BI878" s="65"/>
      <c r="BJ878" s="65"/>
      <c r="BK878" s="65"/>
      <c r="BL878" s="65"/>
      <c r="BM878" s="65"/>
      <c r="BN878" s="65"/>
      <c r="BO878" s="65"/>
      <c r="BP878" s="65"/>
      <c r="BQ878" s="65"/>
      <c r="BR878" s="65"/>
      <c r="BS878" s="65"/>
      <c r="BT878" s="65"/>
      <c r="BU878" s="65"/>
      <c r="BV878" s="65"/>
      <c r="BW878" s="65"/>
    </row>
    <row r="879" spans="45:75" x14ac:dyDescent="0.25">
      <c r="AS879" s="53"/>
      <c r="AV879" s="53"/>
      <c r="AW879" s="379"/>
      <c r="AX879" s="65"/>
      <c r="AY879" s="65"/>
      <c r="AZ879" s="65"/>
      <c r="BA879" s="60"/>
      <c r="BB879" s="65"/>
      <c r="BC879" s="65"/>
      <c r="BD879" s="65"/>
      <c r="BE879" s="60"/>
      <c r="BG879" s="65"/>
      <c r="BH879" s="65"/>
      <c r="BI879" s="65"/>
      <c r="BJ879" s="65"/>
      <c r="BK879" s="65"/>
      <c r="BL879" s="65"/>
      <c r="BM879" s="65"/>
      <c r="BN879" s="65"/>
      <c r="BO879" s="65"/>
      <c r="BP879" s="65"/>
      <c r="BQ879" s="65"/>
      <c r="BR879" s="65"/>
      <c r="BS879" s="65"/>
      <c r="BT879" s="65"/>
      <c r="BU879" s="65"/>
      <c r="BV879" s="65"/>
      <c r="BW879" s="65"/>
    </row>
    <row r="880" spans="45:75" x14ac:dyDescent="0.25">
      <c r="AW880" s="379"/>
      <c r="AX880" s="65"/>
      <c r="AY880" s="65"/>
      <c r="AZ880" s="65"/>
      <c r="BA880" s="60"/>
      <c r="BB880" s="65"/>
      <c r="BC880" s="65"/>
      <c r="BD880" s="65"/>
      <c r="BE880" s="60"/>
      <c r="BG880" s="55"/>
      <c r="BH880" s="55"/>
      <c r="BI880" s="54"/>
      <c r="BM880" s="55"/>
      <c r="BN880" s="55"/>
      <c r="BO880" s="65"/>
      <c r="BP880" s="55"/>
      <c r="BQ880" s="55"/>
      <c r="BR880" s="54"/>
      <c r="BV880" s="55"/>
      <c r="BW880" s="55"/>
    </row>
    <row r="881" spans="45:75" x14ac:dyDescent="0.25">
      <c r="AS881" s="53"/>
      <c r="AU881" s="54"/>
      <c r="AV881" s="56"/>
      <c r="AW881" s="379"/>
      <c r="AX881" s="65"/>
      <c r="AY881" s="65"/>
      <c r="AZ881" s="65"/>
      <c r="BA881" s="60"/>
      <c r="BB881" s="65"/>
      <c r="BC881" s="65"/>
      <c r="BD881" s="65"/>
      <c r="BE881" s="60"/>
      <c r="BG881" s="67"/>
      <c r="BH881" s="65"/>
      <c r="BI881" s="65"/>
      <c r="BJ881" s="65"/>
      <c r="BK881" s="67"/>
      <c r="BL881" s="68"/>
      <c r="BM881" s="65"/>
      <c r="BN881" s="67"/>
      <c r="BO881" s="65"/>
      <c r="BP881" s="67"/>
      <c r="BQ881" s="65"/>
      <c r="BR881" s="65"/>
      <c r="BS881" s="65"/>
      <c r="BT881" s="67"/>
      <c r="BU881" s="68"/>
      <c r="BV881" s="65"/>
      <c r="BW881" s="67"/>
    </row>
    <row r="882" spans="45:75" x14ac:dyDescent="0.25">
      <c r="AS882" s="53"/>
      <c r="AV882" s="56"/>
      <c r="AW882" s="379"/>
      <c r="AX882" s="65"/>
      <c r="AY882" s="65"/>
      <c r="AZ882" s="65"/>
      <c r="BA882" s="60"/>
      <c r="BB882" s="65"/>
      <c r="BC882" s="65"/>
      <c r="BD882" s="65"/>
      <c r="BE882" s="60"/>
      <c r="BG882" s="65"/>
      <c r="BH882" s="65"/>
      <c r="BI882" s="65"/>
      <c r="BJ882" s="65"/>
      <c r="BK882" s="65"/>
      <c r="BL882" s="68"/>
      <c r="BM882" s="65"/>
      <c r="BN882" s="65"/>
      <c r="BO882" s="65"/>
      <c r="BP882" s="65"/>
      <c r="BQ882" s="65"/>
      <c r="BR882" s="65"/>
      <c r="BS882" s="65"/>
      <c r="BT882" s="65"/>
      <c r="BU882" s="68"/>
      <c r="BV882" s="65"/>
      <c r="BW882" s="65"/>
    </row>
    <row r="883" spans="45:75" x14ac:dyDescent="0.25">
      <c r="AS883" s="53"/>
      <c r="AV883" s="56"/>
      <c r="AW883" s="379"/>
      <c r="AX883" s="65"/>
      <c r="AY883" s="65"/>
      <c r="AZ883" s="65"/>
      <c r="BA883" s="60"/>
      <c r="BB883" s="65"/>
      <c r="BC883" s="65"/>
      <c r="BD883" s="65"/>
      <c r="BE883" s="60"/>
      <c r="BG883" s="65"/>
      <c r="BH883" s="65"/>
      <c r="BI883" s="65"/>
      <c r="BJ883" s="65"/>
      <c r="BK883" s="65"/>
      <c r="BL883" s="68"/>
      <c r="BM883" s="65"/>
      <c r="BN883" s="65"/>
      <c r="BO883" s="65"/>
      <c r="BP883" s="65"/>
      <c r="BQ883" s="65"/>
      <c r="BR883" s="65"/>
      <c r="BS883" s="65"/>
      <c r="BT883" s="65"/>
      <c r="BU883" s="68"/>
      <c r="BV883" s="65"/>
      <c r="BW883" s="65"/>
    </row>
    <row r="884" spans="45:75" x14ac:dyDescent="0.25">
      <c r="AS884" s="53"/>
      <c r="AV884" s="56"/>
      <c r="AW884" s="379"/>
      <c r="AX884" s="65"/>
      <c r="AY884" s="65"/>
      <c r="AZ884" s="65"/>
      <c r="BA884" s="60"/>
      <c r="BB884" s="65"/>
      <c r="BC884" s="65"/>
      <c r="BD884" s="65"/>
      <c r="BE884" s="60"/>
      <c r="BG884" s="65"/>
      <c r="BH884" s="65"/>
      <c r="BI884" s="65"/>
      <c r="BJ884" s="65"/>
      <c r="BK884" s="65"/>
      <c r="BL884" s="68"/>
      <c r="BM884" s="65"/>
      <c r="BN884" s="65"/>
      <c r="BO884" s="65"/>
      <c r="BP884" s="65"/>
      <c r="BQ884" s="65"/>
      <c r="BR884" s="65"/>
      <c r="BS884" s="65"/>
      <c r="BT884" s="65"/>
      <c r="BU884" s="68"/>
      <c r="BV884" s="65"/>
      <c r="BW884" s="65"/>
    </row>
    <row r="885" spans="45:75" x14ac:dyDescent="0.25">
      <c r="AX885" s="65"/>
      <c r="AY885" s="65"/>
      <c r="AZ885" s="65"/>
      <c r="BA885" s="60"/>
      <c r="BB885" s="65"/>
      <c r="BC885" s="65"/>
      <c r="BD885" s="65"/>
      <c r="BE885" s="60"/>
      <c r="BG885" s="65"/>
      <c r="BH885" s="65"/>
      <c r="BI885" s="65"/>
      <c r="BJ885" s="65"/>
      <c r="BK885" s="65"/>
      <c r="BL885" s="65"/>
      <c r="BM885" s="65"/>
      <c r="BN885" s="65"/>
      <c r="BO885" s="65"/>
      <c r="BP885" s="65"/>
      <c r="BQ885" s="65"/>
      <c r="BR885" s="65"/>
      <c r="BS885" s="65"/>
      <c r="BT885" s="65"/>
      <c r="BU885" s="65"/>
      <c r="BV885" s="65"/>
    </row>
    <row r="886" spans="45:75" x14ac:dyDescent="0.25">
      <c r="AU886" s="54"/>
    </row>
    <row r="887" spans="45:75" x14ac:dyDescent="0.25">
      <c r="AU887" s="54"/>
      <c r="AZ887" s="65"/>
      <c r="BA887" s="60"/>
      <c r="BB887" s="65"/>
      <c r="BC887" s="65"/>
      <c r="BD887" s="65"/>
      <c r="BE887" s="60"/>
      <c r="BG887" s="65"/>
      <c r="BH887" s="65"/>
      <c r="BI887" s="65"/>
      <c r="BJ887" s="65"/>
      <c r="BK887" s="65"/>
      <c r="BL887" s="65"/>
      <c r="BM887" s="65"/>
      <c r="BN887" s="65"/>
      <c r="BO887" s="65"/>
      <c r="BP887" s="65"/>
      <c r="BQ887" s="65"/>
      <c r="BR887" s="65"/>
      <c r="BS887" s="65"/>
      <c r="BT887" s="65"/>
      <c r="BU887" s="65"/>
      <c r="BV887" s="65"/>
    </row>
    <row r="888" spans="45:75" x14ac:dyDescent="0.25">
      <c r="AS888" s="54"/>
      <c r="AZ888" s="65"/>
      <c r="BB888" s="65"/>
    </row>
    <row r="889" spans="45:75" x14ac:dyDescent="0.25">
      <c r="AY889" s="53"/>
      <c r="AZ889" s="65"/>
      <c r="BB889" s="65"/>
      <c r="BO889" s="65"/>
      <c r="BP889" s="65"/>
      <c r="BQ889" s="65"/>
      <c r="BR889" s="65"/>
      <c r="BS889" s="65"/>
      <c r="BT889" s="65"/>
      <c r="BU889" s="65"/>
      <c r="BV889" s="65"/>
    </row>
    <row r="890" spans="45:75" x14ac:dyDescent="0.25">
      <c r="AY890" s="65"/>
      <c r="AZ890" s="65"/>
      <c r="BB890" s="65"/>
      <c r="BO890" s="65"/>
      <c r="BP890" s="65"/>
      <c r="BQ890" s="65"/>
      <c r="BR890" s="65"/>
      <c r="BS890" s="65"/>
      <c r="BT890" s="65"/>
      <c r="BU890" s="65"/>
      <c r="BV890" s="65"/>
    </row>
    <row r="891" spans="45:75" x14ac:dyDescent="0.25">
      <c r="AY891" s="54"/>
      <c r="AZ891" s="65"/>
      <c r="BB891" s="65"/>
      <c r="BO891" s="65"/>
      <c r="BP891" s="65"/>
      <c r="BQ891" s="65"/>
      <c r="BR891" s="65"/>
      <c r="BS891" s="65"/>
      <c r="BT891" s="65"/>
      <c r="BU891" s="65"/>
      <c r="BV891" s="65"/>
    </row>
    <row r="892" spans="45:75" x14ac:dyDescent="0.25">
      <c r="AY892" s="54"/>
      <c r="AZ892" s="65"/>
      <c r="BB892" s="65"/>
      <c r="BO892" s="65"/>
      <c r="BP892" s="65"/>
      <c r="BQ892" s="65"/>
      <c r="BR892" s="65"/>
      <c r="BS892" s="65"/>
      <c r="BT892" s="65"/>
      <c r="BU892" s="65"/>
      <c r="BV892" s="65"/>
    </row>
    <row r="893" spans="45:75" x14ac:dyDescent="0.25">
      <c r="AS893" s="53"/>
      <c r="AZ893" s="65"/>
      <c r="BB893" s="65"/>
      <c r="BD893" s="54"/>
      <c r="BO893" s="65"/>
      <c r="BP893" s="65"/>
      <c r="BQ893" s="65"/>
      <c r="BR893" s="65"/>
      <c r="BS893" s="65"/>
      <c r="BT893" s="65"/>
      <c r="BU893" s="65"/>
      <c r="BV893" s="65"/>
    </row>
    <row r="894" spans="45:75" x14ac:dyDescent="0.25">
      <c r="AS894" s="53"/>
      <c r="AZ894" s="65"/>
      <c r="BB894" s="65"/>
      <c r="BD894" s="54"/>
      <c r="BO894" s="65"/>
      <c r="BP894" s="65"/>
      <c r="BQ894" s="65"/>
      <c r="BR894" s="65"/>
      <c r="BS894" s="65"/>
      <c r="BT894" s="65"/>
      <c r="BU894" s="65"/>
      <c r="BV894" s="65"/>
    </row>
    <row r="895" spans="45:75" x14ac:dyDescent="0.25">
      <c r="AS895" s="54"/>
      <c r="AZ895" s="65"/>
      <c r="BB895" s="65"/>
      <c r="BD895" s="54"/>
      <c r="BO895" s="65"/>
      <c r="BP895" s="65"/>
      <c r="BQ895" s="65"/>
      <c r="BR895" s="65"/>
      <c r="BS895" s="65"/>
      <c r="BT895" s="65"/>
      <c r="BU895" s="65"/>
      <c r="BV895" s="65"/>
    </row>
    <row r="896" spans="45:75" x14ac:dyDescent="0.25">
      <c r="AZ896" s="65"/>
      <c r="BB896" s="65"/>
      <c r="BD896" s="53"/>
      <c r="BO896" s="65"/>
      <c r="BP896" s="65"/>
      <c r="BQ896" s="65"/>
      <c r="BR896" s="65"/>
      <c r="BS896" s="65"/>
      <c r="BT896" s="65"/>
      <c r="BU896" s="65"/>
      <c r="BV896" s="65"/>
    </row>
    <row r="897" spans="45:74" x14ac:dyDescent="0.25">
      <c r="AS897" s="55"/>
      <c r="AT897" s="55"/>
      <c r="AU897" s="55"/>
      <c r="AV897" s="55"/>
      <c r="AW897" s="55"/>
      <c r="AX897" s="55"/>
      <c r="AY897" s="55"/>
      <c r="AZ897" s="66"/>
      <c r="BA897" s="55"/>
      <c r="BB897" s="66"/>
      <c r="BC897" s="55"/>
      <c r="BD897" s="55"/>
      <c r="BE897" s="55"/>
      <c r="BO897" s="65"/>
      <c r="BP897" s="65"/>
      <c r="BQ897" s="65"/>
      <c r="BR897" s="65"/>
      <c r="BS897" s="65"/>
      <c r="BT897" s="65"/>
      <c r="BU897" s="65"/>
      <c r="BV897" s="65"/>
    </row>
    <row r="898" spans="45:74" x14ac:dyDescent="0.25">
      <c r="AX898" s="54"/>
      <c r="AZ898" s="65"/>
      <c r="BB898" s="65"/>
      <c r="BO898" s="65"/>
      <c r="BP898" s="65"/>
      <c r="BQ898" s="65"/>
      <c r="BR898" s="65"/>
      <c r="BS898" s="65"/>
      <c r="BT898" s="65"/>
      <c r="BU898" s="65"/>
      <c r="BV898" s="65"/>
    </row>
    <row r="899" spans="45:74" x14ac:dyDescent="0.25">
      <c r="AX899" s="55"/>
      <c r="AY899" s="55"/>
      <c r="AZ899" s="66"/>
      <c r="BA899" s="55"/>
      <c r="BB899" s="65"/>
      <c r="BC899" s="56"/>
      <c r="BD899" s="56"/>
      <c r="BO899" s="65"/>
      <c r="BP899" s="65"/>
      <c r="BQ899" s="65"/>
      <c r="BR899" s="65"/>
      <c r="BS899" s="65"/>
      <c r="BT899" s="65"/>
      <c r="BU899" s="65"/>
      <c r="BV899" s="65"/>
    </row>
    <row r="900" spans="45:74" x14ac:dyDescent="0.25">
      <c r="AV900" s="56"/>
      <c r="AW900" s="56"/>
      <c r="AZ900" s="67"/>
      <c r="BA900" s="56"/>
      <c r="BB900" s="65"/>
      <c r="BC900" s="56"/>
      <c r="BD900" s="56"/>
      <c r="BE900" s="56"/>
      <c r="BG900" s="55"/>
      <c r="BH900" s="54"/>
      <c r="BK900" s="55"/>
      <c r="BM900" s="55"/>
      <c r="BN900" s="54"/>
      <c r="BQ900" s="55"/>
    </row>
    <row r="901" spans="45:74" x14ac:dyDescent="0.25">
      <c r="AV901" s="56"/>
      <c r="AW901" s="56"/>
      <c r="AX901" s="56"/>
      <c r="AY901" s="56"/>
      <c r="AZ901" s="67"/>
      <c r="BA901" s="56"/>
      <c r="BB901" s="67"/>
      <c r="BC901" s="56"/>
      <c r="BD901" s="56"/>
      <c r="BE901" s="56"/>
      <c r="BH901" s="56"/>
      <c r="BI901" s="56"/>
      <c r="BN901" s="56"/>
      <c r="BO901" s="56"/>
    </row>
    <row r="902" spans="45:74" x14ac:dyDescent="0.25">
      <c r="AS902" s="56"/>
      <c r="AU902" s="54"/>
      <c r="AV902" s="56"/>
      <c r="AW902" s="56"/>
      <c r="AX902" s="56"/>
      <c r="AY902" s="56"/>
      <c r="AZ902" s="67"/>
      <c r="BA902" s="56"/>
      <c r="BB902" s="67"/>
      <c r="BC902" s="56"/>
      <c r="BD902" s="56"/>
      <c r="BE902" s="56"/>
      <c r="BG902" s="56"/>
      <c r="BH902" s="56"/>
      <c r="BI902" s="56"/>
      <c r="BJ902" s="56"/>
      <c r="BK902" s="56"/>
      <c r="BM902" s="56"/>
      <c r="BN902" s="56"/>
      <c r="BO902" s="56"/>
      <c r="BP902" s="56"/>
      <c r="BQ902" s="56"/>
    </row>
    <row r="903" spans="45:74" x14ac:dyDescent="0.25">
      <c r="AS903" s="56"/>
      <c r="AU903" s="54"/>
      <c r="AV903" s="56"/>
      <c r="AW903" s="56"/>
      <c r="AX903" s="56"/>
      <c r="AY903" s="56"/>
      <c r="AZ903" s="67"/>
      <c r="BA903" s="56"/>
      <c r="BB903" s="67"/>
      <c r="BC903" s="56"/>
      <c r="BD903" s="56"/>
      <c r="BE903" s="56"/>
      <c r="BG903" s="56"/>
      <c r="BH903" s="56"/>
      <c r="BI903" s="56"/>
      <c r="BJ903" s="56"/>
      <c r="BK903" s="56"/>
      <c r="BM903" s="56"/>
      <c r="BN903" s="56"/>
      <c r="BO903" s="56"/>
      <c r="BP903" s="56"/>
      <c r="BQ903" s="56"/>
    </row>
    <row r="904" spans="45:74" x14ac:dyDescent="0.25">
      <c r="AS904" s="55"/>
      <c r="AT904" s="55"/>
      <c r="AU904" s="55"/>
      <c r="AV904" s="55"/>
      <c r="AW904" s="55"/>
      <c r="AX904" s="55"/>
      <c r="AY904" s="55"/>
      <c r="AZ904" s="66"/>
      <c r="BA904" s="55"/>
      <c r="BB904" s="66"/>
      <c r="BC904" s="55"/>
      <c r="BD904" s="55"/>
      <c r="BE904" s="55"/>
      <c r="BG904" s="55"/>
      <c r="BH904" s="55"/>
      <c r="BI904" s="55"/>
      <c r="BJ904" s="55"/>
      <c r="BK904" s="55"/>
      <c r="BM904" s="55"/>
      <c r="BN904" s="55"/>
      <c r="BO904" s="55"/>
      <c r="BP904" s="55"/>
      <c r="BQ904" s="55"/>
    </row>
    <row r="905" spans="45:74" x14ac:dyDescent="0.25">
      <c r="AV905" s="56"/>
      <c r="AW905" s="56"/>
      <c r="AX905" s="56"/>
      <c r="AY905" s="56"/>
      <c r="AZ905" s="67"/>
      <c r="BA905" s="56"/>
      <c r="BB905" s="67"/>
      <c r="BC905" s="56"/>
      <c r="BD905" s="56"/>
      <c r="BE905" s="56"/>
      <c r="BG905" s="65"/>
      <c r="BH905" s="65"/>
      <c r="BI905" s="65"/>
      <c r="BJ905" s="65"/>
      <c r="BK905" s="65"/>
      <c r="BL905" s="65"/>
      <c r="BM905" s="65"/>
      <c r="BN905" s="65"/>
      <c r="BO905" s="65"/>
      <c r="BP905" s="65"/>
      <c r="BQ905" s="65"/>
    </row>
    <row r="906" spans="45:74" x14ac:dyDescent="0.25">
      <c r="AS906" s="53"/>
      <c r="AT906" s="54"/>
      <c r="AV906" s="379"/>
      <c r="AW906" s="379"/>
      <c r="AX906" s="65"/>
      <c r="AY906" s="65"/>
      <c r="AZ906" s="65"/>
      <c r="BA906" s="60"/>
      <c r="BB906" s="65"/>
      <c r="BC906" s="65"/>
      <c r="BD906" s="65"/>
      <c r="BE906" s="60"/>
      <c r="BG906" s="65"/>
      <c r="BH906" s="65"/>
      <c r="BI906" s="65"/>
      <c r="BJ906" s="65"/>
      <c r="BK906" s="65"/>
      <c r="BL906" s="65"/>
      <c r="BM906" s="65"/>
      <c r="BN906" s="65"/>
      <c r="BO906" s="65"/>
      <c r="BP906" s="65"/>
      <c r="BQ906" s="65"/>
      <c r="BR906" s="65"/>
      <c r="BS906" s="65"/>
    </row>
    <row r="907" spans="45:74" x14ac:dyDescent="0.25">
      <c r="AS907" s="53"/>
      <c r="AV907" s="379"/>
      <c r="AW907" s="379"/>
      <c r="AX907" s="65"/>
      <c r="AY907" s="65"/>
      <c r="AZ907" s="65"/>
      <c r="BA907" s="60"/>
      <c r="BB907" s="65"/>
      <c r="BC907" s="65"/>
      <c r="BD907" s="65"/>
      <c r="BE907" s="60"/>
      <c r="BG907" s="65"/>
      <c r="BH907" s="65"/>
      <c r="BI907" s="65"/>
      <c r="BJ907" s="65"/>
      <c r="BK907" s="65"/>
      <c r="BL907" s="65"/>
      <c r="BM907" s="65"/>
      <c r="BN907" s="65"/>
      <c r="BO907" s="65"/>
      <c r="BP907" s="65"/>
      <c r="BQ907" s="65"/>
      <c r="BR907" s="65"/>
      <c r="BS907" s="65"/>
    </row>
    <row r="908" spans="45:74" x14ac:dyDescent="0.25">
      <c r="AS908" s="53"/>
      <c r="AV908" s="379"/>
      <c r="AW908" s="379"/>
      <c r="AX908" s="65"/>
      <c r="AY908" s="65"/>
      <c r="AZ908" s="65"/>
      <c r="BA908" s="60"/>
      <c r="BB908" s="65"/>
      <c r="BC908" s="65"/>
      <c r="BD908" s="65"/>
      <c r="BE908" s="60"/>
      <c r="BG908" s="65"/>
      <c r="BH908" s="65"/>
      <c r="BI908" s="65"/>
      <c r="BJ908" s="65"/>
      <c r="BK908" s="65"/>
      <c r="BL908" s="65"/>
      <c r="BM908" s="65"/>
      <c r="BN908" s="65"/>
      <c r="BO908" s="65"/>
      <c r="BP908" s="65"/>
      <c r="BQ908" s="65"/>
      <c r="BR908" s="65"/>
      <c r="BS908" s="65"/>
    </row>
    <row r="909" spans="45:74" x14ac:dyDescent="0.25">
      <c r="AS909" s="53"/>
      <c r="AV909" s="379"/>
      <c r="AW909" s="379"/>
      <c r="AX909" s="65"/>
      <c r="AY909" s="65"/>
      <c r="AZ909" s="65"/>
      <c r="BA909" s="60"/>
      <c r="BB909" s="65"/>
      <c r="BC909" s="65"/>
      <c r="BD909" s="65"/>
      <c r="BE909" s="60"/>
      <c r="BG909" s="65"/>
      <c r="BH909" s="65"/>
      <c r="BI909" s="65"/>
      <c r="BJ909" s="65"/>
      <c r="BK909" s="65"/>
      <c r="BL909" s="65"/>
      <c r="BM909" s="65"/>
      <c r="BN909" s="65"/>
      <c r="BO909" s="65"/>
      <c r="BP909" s="65"/>
      <c r="BQ909" s="65"/>
      <c r="BR909" s="65"/>
      <c r="BS909" s="65"/>
    </row>
    <row r="910" spans="45:74" x14ac:dyDescent="0.25">
      <c r="AS910" s="53"/>
      <c r="AV910" s="379"/>
      <c r="AW910" s="379"/>
      <c r="AX910" s="65"/>
      <c r="AY910" s="65"/>
      <c r="AZ910" s="65"/>
      <c r="BA910" s="60"/>
      <c r="BB910" s="65"/>
      <c r="BC910" s="65"/>
      <c r="BD910" s="65"/>
      <c r="BE910" s="60"/>
      <c r="BG910" s="65"/>
      <c r="BH910" s="65"/>
      <c r="BI910" s="65"/>
      <c r="BJ910" s="65"/>
      <c r="BK910" s="65"/>
      <c r="BL910" s="65"/>
      <c r="BM910" s="65"/>
      <c r="BN910" s="65"/>
      <c r="BO910" s="65"/>
      <c r="BP910" s="65"/>
      <c r="BQ910" s="65"/>
      <c r="BR910" s="65"/>
      <c r="BS910" s="65"/>
    </row>
    <row r="911" spans="45:74" x14ac:dyDescent="0.25">
      <c r="AS911" s="53"/>
      <c r="AV911" s="379"/>
      <c r="AW911" s="379"/>
      <c r="AX911" s="65"/>
      <c r="AY911" s="65"/>
      <c r="AZ911" s="65"/>
      <c r="BA911" s="60"/>
      <c r="BB911" s="65"/>
      <c r="BC911" s="65"/>
      <c r="BD911" s="65"/>
      <c r="BE911" s="60"/>
      <c r="BG911" s="65"/>
      <c r="BH911" s="65"/>
      <c r="BI911" s="65"/>
      <c r="BJ911" s="65"/>
      <c r="BK911" s="65"/>
      <c r="BL911" s="65"/>
      <c r="BM911" s="65"/>
      <c r="BN911" s="65"/>
      <c r="BO911" s="65"/>
      <c r="BP911" s="65"/>
      <c r="BQ911" s="65"/>
      <c r="BR911" s="65"/>
      <c r="BS911" s="65"/>
    </row>
    <row r="912" spans="45:74" x14ac:dyDescent="0.25">
      <c r="AS912" s="53"/>
      <c r="AV912" s="379"/>
      <c r="AW912" s="379"/>
      <c r="AX912" s="65"/>
      <c r="AY912" s="65"/>
      <c r="AZ912" s="65"/>
      <c r="BA912" s="60"/>
      <c r="BB912" s="65"/>
      <c r="BC912" s="65"/>
      <c r="BD912" s="65"/>
      <c r="BE912" s="60"/>
      <c r="BG912" s="65"/>
      <c r="BH912" s="65"/>
      <c r="BI912" s="65"/>
      <c r="BJ912" s="65"/>
      <c r="BK912" s="65"/>
      <c r="BL912" s="65"/>
      <c r="BM912" s="65"/>
      <c r="BN912" s="65"/>
      <c r="BO912" s="65"/>
      <c r="BP912" s="65"/>
      <c r="BQ912" s="65"/>
      <c r="BR912" s="65"/>
      <c r="BS912" s="65"/>
    </row>
    <row r="913" spans="45:71" x14ac:dyDescent="0.25">
      <c r="AS913" s="53"/>
      <c r="AV913" s="379"/>
      <c r="AW913" s="379"/>
      <c r="AX913" s="65"/>
      <c r="AY913" s="65"/>
      <c r="AZ913" s="65"/>
      <c r="BA913" s="60"/>
      <c r="BB913" s="65"/>
      <c r="BC913" s="65"/>
      <c r="BD913" s="65"/>
      <c r="BE913" s="60"/>
      <c r="BG913" s="65"/>
      <c r="BH913" s="65"/>
      <c r="BI913" s="65"/>
      <c r="BJ913" s="65"/>
      <c r="BK913" s="65"/>
      <c r="BL913" s="65"/>
      <c r="BM913" s="65"/>
      <c r="BN913" s="65"/>
      <c r="BO913" s="65"/>
      <c r="BP913" s="65"/>
      <c r="BQ913" s="65"/>
      <c r="BR913" s="65"/>
      <c r="BS913" s="65"/>
    </row>
    <row r="914" spans="45:71" x14ac:dyDescent="0.25">
      <c r="AS914" s="53"/>
      <c r="AV914" s="379"/>
      <c r="AW914" s="379"/>
      <c r="AX914" s="65"/>
      <c r="AY914" s="65"/>
      <c r="AZ914" s="65"/>
      <c r="BA914" s="60"/>
      <c r="BB914" s="65"/>
      <c r="BC914" s="65"/>
      <c r="BD914" s="65"/>
      <c r="BE914" s="60"/>
      <c r="BG914" s="65"/>
      <c r="BH914" s="65"/>
      <c r="BI914" s="65"/>
      <c r="BJ914" s="65"/>
      <c r="BK914" s="65"/>
      <c r="BL914" s="65"/>
      <c r="BM914" s="65"/>
      <c r="BN914" s="65"/>
      <c r="BO914" s="65"/>
      <c r="BP914" s="65"/>
      <c r="BQ914" s="65"/>
      <c r="BR914" s="65"/>
      <c r="BS914" s="65"/>
    </row>
    <row r="915" spans="45:71" x14ac:dyDescent="0.25">
      <c r="AS915" s="53"/>
      <c r="AV915" s="379"/>
      <c r="AW915" s="379"/>
      <c r="AX915" s="65"/>
      <c r="AY915" s="65"/>
      <c r="AZ915" s="65"/>
      <c r="BA915" s="60"/>
      <c r="BB915" s="65"/>
      <c r="BC915" s="65"/>
      <c r="BD915" s="65"/>
      <c r="BE915" s="60"/>
      <c r="BG915" s="65"/>
      <c r="BH915" s="65"/>
      <c r="BI915" s="65"/>
      <c r="BJ915" s="65"/>
      <c r="BK915" s="65"/>
      <c r="BL915" s="65"/>
      <c r="BM915" s="65"/>
      <c r="BN915" s="65"/>
      <c r="BO915" s="65"/>
      <c r="BP915" s="65"/>
      <c r="BQ915" s="65"/>
      <c r="BR915" s="65"/>
      <c r="BS915" s="65"/>
    </row>
    <row r="916" spans="45:71" x14ac:dyDescent="0.25">
      <c r="AS916" s="53"/>
      <c r="AV916" s="379"/>
      <c r="AW916" s="379"/>
      <c r="AX916" s="65"/>
      <c r="AY916" s="65"/>
      <c r="AZ916" s="65"/>
      <c r="BA916" s="60"/>
      <c r="BB916" s="65"/>
      <c r="BC916" s="65"/>
      <c r="BD916" s="65"/>
      <c r="BE916" s="60"/>
      <c r="BG916" s="65"/>
      <c r="BH916" s="65"/>
      <c r="BI916" s="65"/>
      <c r="BJ916" s="65"/>
      <c r="BK916" s="65"/>
      <c r="BL916" s="65"/>
      <c r="BM916" s="65"/>
      <c r="BN916" s="65"/>
      <c r="BO916" s="65"/>
      <c r="BP916" s="65"/>
      <c r="BQ916" s="65"/>
      <c r="BR916" s="65"/>
      <c r="BS916" s="65"/>
    </row>
    <row r="917" spans="45:71" x14ac:dyDescent="0.25">
      <c r="AS917" s="53"/>
      <c r="AV917" s="379"/>
      <c r="AW917" s="379"/>
      <c r="AX917" s="65"/>
      <c r="AY917" s="65"/>
      <c r="AZ917" s="65"/>
      <c r="BA917" s="60"/>
      <c r="BB917" s="65"/>
      <c r="BC917" s="65"/>
      <c r="BD917" s="65"/>
      <c r="BE917" s="60"/>
      <c r="BG917" s="65"/>
      <c r="BH917" s="65"/>
      <c r="BI917" s="65"/>
      <c r="BJ917" s="65"/>
      <c r="BK917" s="65"/>
      <c r="BL917" s="65"/>
      <c r="BM917" s="65"/>
      <c r="BN917" s="65"/>
      <c r="BO917" s="65"/>
      <c r="BP917" s="65"/>
      <c r="BQ917" s="65"/>
      <c r="BR917" s="65"/>
      <c r="BS917" s="65"/>
    </row>
    <row r="918" spans="45:71" x14ac:dyDescent="0.25">
      <c r="AS918" s="53"/>
      <c r="AV918" s="379"/>
      <c r="AW918" s="379"/>
      <c r="AX918" s="65"/>
      <c r="AY918" s="65"/>
      <c r="AZ918" s="65"/>
      <c r="BA918" s="60"/>
      <c r="BB918" s="65"/>
      <c r="BC918" s="65"/>
      <c r="BD918" s="65"/>
      <c r="BE918" s="60"/>
      <c r="BG918" s="65"/>
      <c r="BH918" s="65"/>
      <c r="BI918" s="65"/>
      <c r="BJ918" s="65"/>
      <c r="BK918" s="65"/>
      <c r="BL918" s="65"/>
      <c r="BM918" s="65"/>
      <c r="BN918" s="65"/>
      <c r="BO918" s="65"/>
      <c r="BP918" s="65"/>
      <c r="BQ918" s="65"/>
      <c r="BR918" s="65"/>
      <c r="BS918" s="65"/>
    </row>
    <row r="919" spans="45:71" x14ac:dyDescent="0.25">
      <c r="AS919" s="53"/>
      <c r="AV919" s="379"/>
      <c r="AW919" s="379"/>
      <c r="AX919" s="65"/>
      <c r="AY919" s="65"/>
      <c r="AZ919" s="65"/>
      <c r="BA919" s="60"/>
      <c r="BB919" s="65"/>
      <c r="BC919" s="65"/>
      <c r="BD919" s="65"/>
      <c r="BE919" s="60"/>
      <c r="BG919" s="65"/>
      <c r="BH919" s="65"/>
      <c r="BI919" s="65"/>
      <c r="BJ919" s="65"/>
      <c r="BK919" s="65"/>
      <c r="BL919" s="65"/>
      <c r="BM919" s="65"/>
      <c r="BN919" s="65"/>
      <c r="BO919" s="65"/>
      <c r="BP919" s="65"/>
      <c r="BQ919" s="65"/>
      <c r="BR919" s="65"/>
      <c r="BS919" s="65"/>
    </row>
    <row r="920" spans="45:71" x14ac:dyDescent="0.25">
      <c r="AS920" s="53"/>
      <c r="AV920" s="379"/>
      <c r="AW920" s="379"/>
      <c r="AX920" s="65"/>
      <c r="AY920" s="65"/>
      <c r="AZ920" s="65"/>
      <c r="BA920" s="60"/>
      <c r="BB920" s="65"/>
      <c r="BC920" s="65"/>
      <c r="BD920" s="65"/>
      <c r="BE920" s="60"/>
      <c r="BG920" s="65"/>
      <c r="BH920" s="65"/>
      <c r="BI920" s="65"/>
      <c r="BJ920" s="65"/>
      <c r="BK920" s="65"/>
      <c r="BL920" s="65"/>
      <c r="BM920" s="65"/>
      <c r="BN920" s="65"/>
      <c r="BO920" s="65"/>
      <c r="BP920" s="65"/>
      <c r="BQ920" s="65"/>
      <c r="BR920" s="65"/>
      <c r="BS920" s="65"/>
    </row>
    <row r="921" spans="45:71" x14ac:dyDescent="0.25">
      <c r="AS921" s="53"/>
      <c r="AV921" s="379"/>
      <c r="AW921" s="379"/>
      <c r="AX921" s="65"/>
      <c r="AY921" s="65"/>
      <c r="AZ921" s="65"/>
      <c r="BA921" s="60"/>
      <c r="BB921" s="65"/>
      <c r="BC921" s="65"/>
      <c r="BD921" s="65"/>
      <c r="BE921" s="60"/>
      <c r="BG921" s="65"/>
      <c r="BH921" s="65"/>
      <c r="BI921" s="65"/>
      <c r="BJ921" s="65"/>
      <c r="BK921" s="65"/>
      <c r="BL921" s="65"/>
      <c r="BM921" s="65"/>
      <c r="BN921" s="65"/>
      <c r="BO921" s="65"/>
      <c r="BP921" s="65"/>
      <c r="BQ921" s="65"/>
      <c r="BR921" s="65"/>
      <c r="BS921" s="65"/>
    </row>
    <row r="922" spans="45:71" x14ac:dyDescent="0.25">
      <c r="AS922" s="53"/>
      <c r="AV922" s="379"/>
      <c r="AW922" s="379"/>
      <c r="AX922" s="65"/>
      <c r="AY922" s="65"/>
      <c r="AZ922" s="65"/>
      <c r="BA922" s="60"/>
      <c r="BB922" s="65"/>
      <c r="BC922" s="65"/>
      <c r="BD922" s="65"/>
      <c r="BE922" s="60"/>
      <c r="BG922" s="65"/>
      <c r="BH922" s="65"/>
      <c r="BI922" s="65"/>
      <c r="BJ922" s="65"/>
      <c r="BK922" s="65"/>
      <c r="BL922" s="65"/>
      <c r="BM922" s="65"/>
      <c r="BN922" s="65"/>
      <c r="BO922" s="65"/>
      <c r="BP922" s="65"/>
      <c r="BQ922" s="65"/>
      <c r="BR922" s="65"/>
      <c r="BS922" s="65"/>
    </row>
    <row r="923" spans="45:71" x14ac:dyDescent="0.25">
      <c r="AS923" s="53"/>
      <c r="AV923" s="379"/>
      <c r="AW923" s="379"/>
      <c r="AX923" s="65"/>
      <c r="AY923" s="65"/>
      <c r="AZ923" s="65"/>
      <c r="BA923" s="60"/>
      <c r="BB923" s="65"/>
      <c r="BC923" s="65"/>
      <c r="BD923" s="65"/>
      <c r="BE923" s="60"/>
      <c r="BG923" s="65"/>
      <c r="BH923" s="65"/>
      <c r="BI923" s="65"/>
      <c r="BJ923" s="65"/>
      <c r="BK923" s="65"/>
      <c r="BL923" s="65"/>
      <c r="BM923" s="65"/>
      <c r="BN923" s="65"/>
      <c r="BO923" s="65"/>
      <c r="BP923" s="65"/>
      <c r="BQ923" s="65"/>
      <c r="BR923" s="65"/>
      <c r="BS923" s="65"/>
    </row>
    <row r="924" spans="45:71" x14ac:dyDescent="0.25">
      <c r="AZ924" s="65"/>
      <c r="BB924" s="65"/>
      <c r="BC924" s="65"/>
      <c r="BD924" s="65"/>
      <c r="BG924" s="65"/>
      <c r="BH924" s="65"/>
      <c r="BI924" s="65"/>
      <c r="BJ924" s="65"/>
      <c r="BK924" s="65"/>
      <c r="BL924" s="65"/>
      <c r="BM924" s="65"/>
      <c r="BN924" s="65"/>
      <c r="BO924" s="65"/>
      <c r="BP924" s="65"/>
      <c r="BQ924" s="65"/>
      <c r="BR924" s="65"/>
      <c r="BS924" s="65"/>
    </row>
    <row r="925" spans="45:71" x14ac:dyDescent="0.25">
      <c r="AS925" s="53"/>
      <c r="AT925" s="54"/>
      <c r="AV925" s="379"/>
      <c r="AW925" s="379"/>
      <c r="AX925" s="65"/>
      <c r="AY925" s="65"/>
      <c r="AZ925" s="65"/>
      <c r="BA925" s="60"/>
      <c r="BB925" s="65"/>
      <c r="BC925" s="65"/>
      <c r="BD925" s="65"/>
      <c r="BE925" s="60"/>
    </row>
    <row r="926" spans="45:71" x14ac:dyDescent="0.25">
      <c r="AS926" s="53"/>
      <c r="AV926" s="379"/>
      <c r="AW926" s="379"/>
      <c r="AX926" s="65"/>
      <c r="AY926" s="65"/>
      <c r="AZ926" s="65"/>
      <c r="BA926" s="60"/>
      <c r="BB926" s="65"/>
      <c r="BC926" s="65"/>
      <c r="BD926" s="65"/>
      <c r="BE926" s="60"/>
    </row>
    <row r="927" spans="45:71" x14ac:dyDescent="0.25">
      <c r="AS927" s="53"/>
      <c r="AV927" s="379"/>
      <c r="AW927" s="379"/>
      <c r="AX927" s="65"/>
      <c r="AY927" s="65"/>
      <c r="AZ927" s="65"/>
      <c r="BA927" s="60"/>
      <c r="BB927" s="65"/>
      <c r="BC927" s="65"/>
      <c r="BD927" s="65"/>
      <c r="BE927" s="60"/>
    </row>
    <row r="928" spans="45:71" x14ac:dyDescent="0.25">
      <c r="AS928" s="53"/>
      <c r="AV928" s="379"/>
      <c r="AW928" s="379"/>
      <c r="AX928" s="65"/>
      <c r="AY928" s="65"/>
      <c r="AZ928" s="65"/>
      <c r="BA928" s="60"/>
      <c r="BB928" s="65"/>
      <c r="BC928" s="65"/>
      <c r="BD928" s="65"/>
      <c r="BE928" s="60"/>
    </row>
    <row r="929" spans="45:57" x14ac:dyDescent="0.25">
      <c r="AS929" s="53"/>
      <c r="AV929" s="379"/>
      <c r="AW929" s="379"/>
      <c r="AX929" s="65"/>
      <c r="AY929" s="65"/>
      <c r="AZ929" s="65"/>
      <c r="BA929" s="60"/>
      <c r="BB929" s="65"/>
      <c r="BC929" s="65"/>
      <c r="BD929" s="65"/>
      <c r="BE929" s="60"/>
    </row>
    <row r="930" spans="45:57" x14ac:dyDescent="0.25">
      <c r="AS930" s="53"/>
      <c r="AV930" s="379"/>
      <c r="AW930" s="379"/>
      <c r="AX930" s="65"/>
      <c r="AY930" s="65"/>
      <c r="AZ930" s="65"/>
      <c r="BA930" s="60"/>
      <c r="BB930" s="65"/>
      <c r="BC930" s="65"/>
      <c r="BD930" s="65"/>
      <c r="BE930" s="60"/>
    </row>
    <row r="931" spans="45:57" x14ac:dyDescent="0.25">
      <c r="AS931" s="53"/>
      <c r="AV931" s="379"/>
      <c r="AW931" s="379"/>
      <c r="AX931" s="65"/>
      <c r="AY931" s="65"/>
      <c r="AZ931" s="65"/>
      <c r="BA931" s="60"/>
      <c r="BB931" s="65"/>
      <c r="BC931" s="65"/>
      <c r="BD931" s="65"/>
      <c r="BE931" s="60"/>
    </row>
    <row r="932" spans="45:57" x14ac:dyDescent="0.25">
      <c r="AS932" s="53"/>
      <c r="AV932" s="379"/>
      <c r="AW932" s="379"/>
      <c r="AX932" s="65"/>
      <c r="AY932" s="65"/>
      <c r="AZ932" s="65"/>
      <c r="BA932" s="60"/>
      <c r="BB932" s="65"/>
      <c r="BC932" s="65"/>
      <c r="BD932" s="65"/>
      <c r="BE932" s="60"/>
    </row>
    <row r="933" spans="45:57" x14ac:dyDescent="0.25">
      <c r="AS933" s="53"/>
      <c r="AV933" s="379"/>
      <c r="AW933" s="379"/>
      <c r="AX933" s="65"/>
      <c r="AY933" s="65"/>
      <c r="AZ933" s="65"/>
      <c r="BA933" s="60"/>
      <c r="BB933" s="65"/>
      <c r="BC933" s="65"/>
      <c r="BD933" s="65"/>
      <c r="BE933" s="60"/>
    </row>
    <row r="934" spans="45:57" x14ac:dyDescent="0.25">
      <c r="AS934" s="53"/>
      <c r="AV934" s="379"/>
      <c r="AW934" s="379"/>
      <c r="AX934" s="65"/>
      <c r="AY934" s="65"/>
      <c r="AZ934" s="65"/>
      <c r="BA934" s="60"/>
      <c r="BB934" s="65"/>
      <c r="BC934" s="65"/>
      <c r="BD934" s="65"/>
      <c r="BE934" s="60"/>
    </row>
    <row r="935" spans="45:57" x14ac:dyDescent="0.25">
      <c r="AS935" s="53"/>
      <c r="AV935" s="379"/>
      <c r="AW935" s="379"/>
      <c r="AX935" s="65"/>
      <c r="AY935" s="65"/>
      <c r="AZ935" s="65"/>
      <c r="BA935" s="60"/>
      <c r="BB935" s="65"/>
      <c r="BC935" s="65"/>
      <c r="BD935" s="65"/>
      <c r="BE935" s="60"/>
    </row>
    <row r="936" spans="45:57" x14ac:dyDescent="0.25">
      <c r="AS936" s="53"/>
      <c r="AV936" s="379"/>
      <c r="AW936" s="379"/>
      <c r="AX936" s="65"/>
      <c r="AY936" s="65"/>
      <c r="AZ936" s="65"/>
      <c r="BA936" s="60"/>
      <c r="BB936" s="65"/>
      <c r="BC936" s="65"/>
      <c r="BD936" s="65"/>
      <c r="BE936" s="60"/>
    </row>
    <row r="937" spans="45:57" x14ac:dyDescent="0.25">
      <c r="AS937" s="53"/>
      <c r="AV937" s="379"/>
      <c r="AW937" s="379"/>
      <c r="AX937" s="65"/>
      <c r="AY937" s="65"/>
      <c r="AZ937" s="65"/>
      <c r="BA937" s="60"/>
      <c r="BB937" s="65"/>
      <c r="BC937" s="65"/>
      <c r="BD937" s="65"/>
      <c r="BE937" s="60"/>
    </row>
    <row r="938" spans="45:57" x14ac:dyDescent="0.25">
      <c r="AS938" s="53"/>
      <c r="AV938" s="379"/>
      <c r="AW938" s="379"/>
      <c r="AX938" s="65"/>
      <c r="AY938" s="65"/>
      <c r="AZ938" s="65"/>
      <c r="BA938" s="60"/>
      <c r="BB938" s="65"/>
      <c r="BC938" s="65"/>
      <c r="BD938" s="65"/>
      <c r="BE938" s="60"/>
    </row>
    <row r="939" spans="45:57" x14ac:dyDescent="0.25">
      <c r="AS939" s="53"/>
      <c r="AV939" s="379"/>
      <c r="AW939" s="379"/>
      <c r="AX939" s="65"/>
      <c r="AY939" s="65"/>
      <c r="AZ939" s="65"/>
      <c r="BA939" s="60"/>
      <c r="BB939" s="65"/>
      <c r="BC939" s="65"/>
      <c r="BD939" s="65"/>
      <c r="BE939" s="60"/>
    </row>
    <row r="940" spans="45:57" x14ac:dyDescent="0.25">
      <c r="AS940" s="53"/>
      <c r="AV940" s="379"/>
      <c r="AW940" s="379"/>
      <c r="AX940" s="65"/>
      <c r="AY940" s="65"/>
      <c r="AZ940" s="65"/>
      <c r="BA940" s="60"/>
      <c r="BB940" s="65"/>
      <c r="BC940" s="65"/>
      <c r="BD940" s="65"/>
      <c r="BE940" s="60"/>
    </row>
    <row r="941" spans="45:57" x14ac:dyDescent="0.25">
      <c r="AS941" s="53"/>
      <c r="AV941" s="379"/>
      <c r="AW941" s="379"/>
      <c r="AX941" s="65"/>
      <c r="AY941" s="65"/>
      <c r="AZ941" s="65"/>
      <c r="BA941" s="60"/>
      <c r="BB941" s="65"/>
      <c r="BC941" s="65"/>
      <c r="BD941" s="65"/>
      <c r="BE941" s="60"/>
    </row>
    <row r="942" spans="45:57" x14ac:dyDescent="0.25">
      <c r="AS942" s="53"/>
      <c r="AV942" s="379"/>
      <c r="AW942" s="379"/>
      <c r="AX942" s="65"/>
      <c r="AY942" s="65"/>
      <c r="AZ942" s="65"/>
      <c r="BA942" s="60"/>
      <c r="BB942" s="65"/>
      <c r="BC942" s="65"/>
      <c r="BD942" s="65"/>
      <c r="BE942" s="60"/>
    </row>
    <row r="943" spans="45:57" x14ac:dyDescent="0.25">
      <c r="BB943" s="65"/>
    </row>
    <row r="944" spans="45:57" x14ac:dyDescent="0.25">
      <c r="AU944" s="54"/>
      <c r="BB944" s="65"/>
    </row>
    <row r="945" spans="45:57" x14ac:dyDescent="0.25">
      <c r="AU945" s="54"/>
    </row>
    <row r="946" spans="45:57" x14ac:dyDescent="0.25">
      <c r="AU946" s="54"/>
      <c r="BB946" s="65"/>
    </row>
    <row r="947" spans="45:57" x14ac:dyDescent="0.25">
      <c r="AS947" s="54"/>
      <c r="AZ947" s="65"/>
      <c r="BB947" s="65"/>
    </row>
    <row r="948" spans="45:57" x14ac:dyDescent="0.25">
      <c r="AY948" s="53"/>
      <c r="AZ948" s="65"/>
      <c r="BB948" s="65"/>
    </row>
    <row r="949" spans="45:57" x14ac:dyDescent="0.25">
      <c r="AY949" s="65"/>
      <c r="AZ949" s="65"/>
      <c r="BB949" s="65"/>
    </row>
    <row r="950" spans="45:57" x14ac:dyDescent="0.25">
      <c r="AY950" s="54"/>
      <c r="AZ950" s="65"/>
      <c r="BB950" s="65"/>
    </row>
    <row r="951" spans="45:57" x14ac:dyDescent="0.25">
      <c r="AY951" s="54"/>
      <c r="AZ951" s="65"/>
      <c r="BB951" s="65"/>
    </row>
    <row r="952" spans="45:57" x14ac:dyDescent="0.25">
      <c r="AS952" s="53"/>
      <c r="AZ952" s="65"/>
      <c r="BB952" s="65"/>
      <c r="BD952" s="54"/>
    </row>
    <row r="953" spans="45:57" x14ac:dyDescent="0.25">
      <c r="AS953" s="53"/>
      <c r="AZ953" s="65"/>
      <c r="BB953" s="65"/>
      <c r="BD953" s="54"/>
    </row>
    <row r="954" spans="45:57" x14ac:dyDescent="0.25">
      <c r="AS954" s="54"/>
      <c r="AZ954" s="65"/>
      <c r="BB954" s="65"/>
      <c r="BD954" s="54"/>
    </row>
    <row r="955" spans="45:57" x14ac:dyDescent="0.25">
      <c r="AZ955" s="65"/>
      <c r="BB955" s="65"/>
      <c r="BD955" s="53"/>
    </row>
    <row r="956" spans="45:57" x14ac:dyDescent="0.25">
      <c r="AS956" s="55"/>
      <c r="AT956" s="55"/>
      <c r="AU956" s="55"/>
      <c r="AV956" s="55"/>
      <c r="AW956" s="55"/>
      <c r="AX956" s="55"/>
      <c r="AY956" s="55"/>
      <c r="AZ956" s="66"/>
      <c r="BA956" s="55"/>
      <c r="BB956" s="66"/>
      <c r="BC956" s="55"/>
      <c r="BD956" s="55"/>
      <c r="BE956" s="55"/>
    </row>
    <row r="957" spans="45:57" x14ac:dyDescent="0.25">
      <c r="AX957" s="54"/>
      <c r="AZ957" s="65"/>
      <c r="BB957" s="65"/>
    </row>
    <row r="958" spans="45:57" x14ac:dyDescent="0.25">
      <c r="AX958" s="55"/>
      <c r="AY958" s="55"/>
      <c r="AZ958" s="66"/>
      <c r="BA958" s="55"/>
      <c r="BB958" s="65"/>
      <c r="BC958" s="56"/>
      <c r="BD958" s="56"/>
    </row>
    <row r="959" spans="45:57" x14ac:dyDescent="0.25">
      <c r="AV959" s="56"/>
      <c r="AW959" s="56"/>
      <c r="AZ959" s="67"/>
      <c r="BA959" s="56"/>
      <c r="BB959" s="65"/>
      <c r="BC959" s="56"/>
      <c r="BD959" s="56"/>
      <c r="BE959" s="56"/>
    </row>
    <row r="960" spans="45:57" x14ac:dyDescent="0.25">
      <c r="AV960" s="56"/>
      <c r="AW960" s="56"/>
      <c r="AX960" s="56"/>
      <c r="AY960" s="56"/>
      <c r="AZ960" s="67"/>
      <c r="BA960" s="56"/>
      <c r="BB960" s="67"/>
      <c r="BC960" s="56"/>
      <c r="BD960" s="56"/>
      <c r="BE960" s="56"/>
    </row>
    <row r="961" spans="45:57" x14ac:dyDescent="0.25">
      <c r="AS961" s="56"/>
      <c r="AU961" s="54"/>
      <c r="AV961" s="56"/>
      <c r="AW961" s="56"/>
      <c r="AX961" s="56"/>
      <c r="AY961" s="56"/>
      <c r="AZ961" s="67"/>
      <c r="BA961" s="56"/>
      <c r="BB961" s="67"/>
      <c r="BC961" s="56"/>
      <c r="BD961" s="56"/>
      <c r="BE961" s="56"/>
    </row>
    <row r="962" spans="45:57" x14ac:dyDescent="0.25">
      <c r="AS962" s="56"/>
      <c r="AU962" s="54"/>
      <c r="AV962" s="56"/>
      <c r="AW962" s="56"/>
      <c r="AX962" s="56"/>
      <c r="AY962" s="56"/>
      <c r="AZ962" s="67"/>
      <c r="BA962" s="56"/>
      <c r="BB962" s="67"/>
      <c r="BC962" s="56"/>
      <c r="BD962" s="56"/>
      <c r="BE962" s="56"/>
    </row>
    <row r="963" spans="45:57" x14ac:dyDescent="0.25">
      <c r="AS963" s="55"/>
      <c r="AT963" s="55"/>
      <c r="AU963" s="55"/>
      <c r="AV963" s="55"/>
      <c r="AW963" s="55"/>
      <c r="AX963" s="55"/>
      <c r="AY963" s="55"/>
      <c r="AZ963" s="66"/>
      <c r="BA963" s="55"/>
      <c r="BB963" s="66"/>
      <c r="BC963" s="55"/>
      <c r="BD963" s="55"/>
      <c r="BE963" s="55"/>
    </row>
    <row r="964" spans="45:57" x14ac:dyDescent="0.25">
      <c r="AV964" s="56"/>
      <c r="AW964" s="56"/>
      <c r="AX964" s="56"/>
      <c r="AY964" s="56"/>
      <c r="AZ964" s="67"/>
      <c r="BA964" s="56"/>
      <c r="BB964" s="67"/>
      <c r="BC964" s="56"/>
      <c r="BD964" s="56"/>
      <c r="BE964" s="56"/>
    </row>
    <row r="965" spans="45:57" x14ac:dyDescent="0.25">
      <c r="AS965" s="53"/>
      <c r="AT965" s="54"/>
      <c r="AV965" s="379"/>
      <c r="AW965" s="379"/>
      <c r="AX965" s="65"/>
      <c r="AY965" s="65"/>
      <c r="AZ965" s="65"/>
      <c r="BA965" s="60"/>
      <c r="BB965" s="65"/>
      <c r="BC965" s="65"/>
      <c r="BD965" s="65"/>
      <c r="BE965" s="60"/>
    </row>
    <row r="966" spans="45:57" x14ac:dyDescent="0.25">
      <c r="AS966" s="53"/>
      <c r="AV966" s="379"/>
      <c r="AW966" s="379"/>
      <c r="AX966" s="65"/>
      <c r="AY966" s="65"/>
      <c r="AZ966" s="65"/>
      <c r="BA966" s="60"/>
      <c r="BB966" s="65"/>
      <c r="BC966" s="65"/>
      <c r="BD966" s="65"/>
      <c r="BE966" s="60"/>
    </row>
    <row r="967" spans="45:57" x14ac:dyDescent="0.25">
      <c r="AS967" s="53"/>
      <c r="AV967" s="379"/>
      <c r="AW967" s="379"/>
      <c r="AX967" s="65"/>
      <c r="AY967" s="65"/>
      <c r="AZ967" s="65"/>
      <c r="BA967" s="60"/>
      <c r="BB967" s="65"/>
      <c r="BC967" s="65"/>
      <c r="BD967" s="65"/>
      <c r="BE967" s="60"/>
    </row>
    <row r="968" spans="45:57" x14ac:dyDescent="0.25">
      <c r="AS968" s="53"/>
      <c r="AV968" s="379"/>
      <c r="AW968" s="379"/>
      <c r="AX968" s="65"/>
      <c r="AY968" s="65"/>
      <c r="AZ968" s="65"/>
      <c r="BA968" s="60"/>
      <c r="BB968" s="65"/>
      <c r="BC968" s="65"/>
      <c r="BD968" s="65"/>
      <c r="BE968" s="60"/>
    </row>
    <row r="969" spans="45:57" x14ac:dyDescent="0.25">
      <c r="AS969" s="53"/>
      <c r="AV969" s="379"/>
      <c r="AW969" s="379"/>
      <c r="AX969" s="65"/>
      <c r="AY969" s="65"/>
      <c r="AZ969" s="65"/>
      <c r="BA969" s="60"/>
      <c r="BB969" s="65"/>
      <c r="BC969" s="65"/>
      <c r="BD969" s="65"/>
      <c r="BE969" s="60"/>
    </row>
    <row r="970" spans="45:57" x14ac:dyDescent="0.25">
      <c r="AS970" s="53"/>
      <c r="AV970" s="379"/>
      <c r="AW970" s="379"/>
      <c r="AX970" s="65"/>
      <c r="AY970" s="65"/>
      <c r="AZ970" s="65"/>
      <c r="BA970" s="60"/>
      <c r="BB970" s="65"/>
      <c r="BC970" s="65"/>
      <c r="BD970" s="65"/>
      <c r="BE970" s="60"/>
    </row>
    <row r="971" spans="45:57" x14ac:dyDescent="0.25">
      <c r="AS971" s="53"/>
      <c r="AV971" s="379"/>
      <c r="AW971" s="379"/>
      <c r="AX971" s="65"/>
      <c r="AY971" s="65"/>
      <c r="AZ971" s="65"/>
      <c r="BA971" s="60"/>
      <c r="BB971" s="65"/>
      <c r="BC971" s="65"/>
      <c r="BD971" s="65"/>
      <c r="BE971" s="60"/>
    </row>
    <row r="972" spans="45:57" x14ac:dyDescent="0.25">
      <c r="AS972" s="53"/>
      <c r="AV972" s="379"/>
      <c r="AW972" s="379"/>
      <c r="AX972" s="65"/>
      <c r="AY972" s="65"/>
      <c r="AZ972" s="65"/>
      <c r="BA972" s="60"/>
      <c r="BB972" s="65"/>
      <c r="BC972" s="65"/>
      <c r="BD972" s="65"/>
      <c r="BE972" s="60"/>
    </row>
    <row r="973" spans="45:57" x14ac:dyDescent="0.25">
      <c r="AS973" s="53"/>
      <c r="AV973" s="379"/>
      <c r="AW973" s="379"/>
      <c r="AX973" s="65"/>
      <c r="AY973" s="65"/>
      <c r="AZ973" s="65"/>
      <c r="BA973" s="60"/>
      <c r="BB973" s="65"/>
      <c r="BC973" s="65"/>
      <c r="BD973" s="65"/>
      <c r="BE973" s="60"/>
    </row>
    <row r="974" spans="45:57" x14ac:dyDescent="0.25">
      <c r="AS974" s="53"/>
      <c r="AV974" s="379"/>
      <c r="AW974" s="379"/>
      <c r="AX974" s="65"/>
      <c r="AY974" s="65"/>
      <c r="AZ974" s="65"/>
      <c r="BA974" s="60"/>
      <c r="BB974" s="65"/>
      <c r="BC974" s="65"/>
      <c r="BD974" s="65"/>
      <c r="BE974" s="60"/>
    </row>
    <row r="975" spans="45:57" x14ac:dyDescent="0.25">
      <c r="AV975" s="379"/>
      <c r="AW975" s="379"/>
      <c r="BB975" s="65"/>
    </row>
    <row r="976" spans="45:57" x14ac:dyDescent="0.25">
      <c r="AS976" s="53"/>
      <c r="AT976" s="54"/>
      <c r="AV976" s="379"/>
      <c r="AW976" s="379"/>
      <c r="AX976" s="65"/>
      <c r="AY976" s="65"/>
      <c r="AZ976" s="65"/>
      <c r="BA976" s="60"/>
      <c r="BB976" s="65"/>
      <c r="BC976" s="65"/>
      <c r="BD976" s="65"/>
      <c r="BE976" s="60"/>
    </row>
    <row r="977" spans="45:57" x14ac:dyDescent="0.25">
      <c r="AS977" s="53"/>
      <c r="AV977" s="379"/>
      <c r="AW977" s="379"/>
      <c r="AX977" s="65"/>
      <c r="AY977" s="65"/>
      <c r="AZ977" s="65"/>
      <c r="BA977" s="60"/>
      <c r="BB977" s="65"/>
      <c r="BC977" s="65"/>
      <c r="BD977" s="65"/>
      <c r="BE977" s="60"/>
    </row>
    <row r="978" spans="45:57" x14ac:dyDescent="0.25">
      <c r="AS978" s="53"/>
      <c r="AV978" s="379"/>
      <c r="AW978" s="379"/>
      <c r="AX978" s="65"/>
      <c r="AY978" s="65"/>
      <c r="AZ978" s="65"/>
      <c r="BA978" s="60"/>
      <c r="BB978" s="65"/>
      <c r="BC978" s="65"/>
      <c r="BD978" s="65"/>
      <c r="BE978" s="60"/>
    </row>
    <row r="979" spans="45:57" x14ac:dyDescent="0.25">
      <c r="AS979" s="53"/>
      <c r="AV979" s="379"/>
      <c r="AW979" s="379"/>
      <c r="AX979" s="65"/>
      <c r="AY979" s="65"/>
      <c r="AZ979" s="65"/>
      <c r="BA979" s="60"/>
      <c r="BB979" s="65"/>
      <c r="BC979" s="65"/>
      <c r="BD979" s="65"/>
      <c r="BE979" s="60"/>
    </row>
    <row r="980" spans="45:57" x14ac:dyDescent="0.25">
      <c r="AS980" s="53"/>
      <c r="AV980" s="379"/>
      <c r="AW980" s="379"/>
      <c r="AX980" s="65"/>
      <c r="AY980" s="65"/>
      <c r="AZ980" s="65"/>
      <c r="BA980" s="60"/>
      <c r="BB980" s="65"/>
      <c r="BC980" s="65"/>
      <c r="BD980" s="65"/>
      <c r="BE980" s="60"/>
    </row>
    <row r="981" spans="45:57" x14ac:dyDescent="0.25">
      <c r="AS981" s="53"/>
      <c r="AV981" s="379"/>
      <c r="AW981" s="379"/>
      <c r="AX981" s="65"/>
      <c r="AY981" s="65"/>
      <c r="AZ981" s="65"/>
      <c r="BA981" s="60"/>
      <c r="BB981" s="65"/>
      <c r="BC981" s="65"/>
      <c r="BD981" s="65"/>
      <c r="BE981" s="60"/>
    </row>
    <row r="982" spans="45:57" x14ac:dyDescent="0.25">
      <c r="AS982" s="53"/>
      <c r="AV982" s="379"/>
      <c r="AW982" s="379"/>
      <c r="AX982" s="65"/>
      <c r="AY982" s="65"/>
      <c r="AZ982" s="65"/>
      <c r="BA982" s="60"/>
      <c r="BB982" s="65"/>
      <c r="BC982" s="65"/>
      <c r="BD982" s="65"/>
      <c r="BE982" s="60"/>
    </row>
    <row r="983" spans="45:57" x14ac:dyDescent="0.25">
      <c r="AS983" s="53"/>
      <c r="AV983" s="379"/>
      <c r="AW983" s="379"/>
      <c r="AX983" s="65"/>
      <c r="AY983" s="65"/>
      <c r="AZ983" s="65"/>
      <c r="BA983" s="60"/>
      <c r="BB983" s="65"/>
      <c r="BC983" s="65"/>
      <c r="BD983" s="65"/>
      <c r="BE983" s="60"/>
    </row>
    <row r="984" spans="45:57" x14ac:dyDescent="0.25">
      <c r="AS984" s="53"/>
      <c r="AV984" s="379"/>
      <c r="AW984" s="379"/>
      <c r="AX984" s="65"/>
      <c r="AY984" s="65"/>
      <c r="AZ984" s="65"/>
      <c r="BA984" s="60"/>
      <c r="BB984" s="65"/>
      <c r="BC984" s="65"/>
      <c r="BD984" s="65"/>
      <c r="BE984" s="60"/>
    </row>
    <row r="985" spans="45:57" x14ac:dyDescent="0.25">
      <c r="AS985" s="53"/>
      <c r="AV985" s="379"/>
      <c r="AW985" s="379"/>
      <c r="AX985" s="65"/>
      <c r="AY985" s="65"/>
      <c r="AZ985" s="65"/>
      <c r="BA985" s="60"/>
      <c r="BB985" s="65"/>
      <c r="BC985" s="65"/>
      <c r="BD985" s="65"/>
      <c r="BE985" s="60"/>
    </row>
    <row r="987" spans="45:57" x14ac:dyDescent="0.25">
      <c r="AU987" s="54"/>
    </row>
    <row r="988" spans="45:57" x14ac:dyDescent="0.25">
      <c r="AU988" s="54"/>
    </row>
    <row r="989" spans="45:57" x14ac:dyDescent="0.25">
      <c r="AU989" s="54"/>
    </row>
    <row r="990" spans="45:57" x14ac:dyDescent="0.25">
      <c r="AS990" s="54"/>
    </row>
    <row r="1011" spans="52:71" x14ac:dyDescent="0.25">
      <c r="AZ1011" s="65"/>
      <c r="BB1011" s="65"/>
      <c r="BC1011" s="65"/>
      <c r="BD1011" s="65"/>
      <c r="BG1011" s="65"/>
      <c r="BH1011" s="65"/>
      <c r="BI1011" s="65"/>
      <c r="BJ1011" s="65"/>
      <c r="BK1011" s="65"/>
      <c r="BL1011" s="65"/>
      <c r="BM1011" s="65"/>
      <c r="BN1011" s="65"/>
      <c r="BO1011" s="65"/>
      <c r="BP1011" s="65"/>
      <c r="BQ1011" s="65"/>
      <c r="BR1011" s="65"/>
      <c r="BS1011" s="65"/>
    </row>
    <row r="1012" spans="52:71" x14ac:dyDescent="0.25">
      <c r="AZ1012" s="65"/>
      <c r="BB1012" s="65"/>
      <c r="BC1012" s="65"/>
      <c r="BD1012" s="65"/>
      <c r="BG1012" s="65"/>
      <c r="BH1012" s="65"/>
      <c r="BI1012" s="65"/>
      <c r="BJ1012" s="65"/>
      <c r="BK1012" s="65"/>
      <c r="BL1012" s="65"/>
      <c r="BM1012" s="65"/>
      <c r="BN1012" s="65"/>
      <c r="BO1012" s="65"/>
      <c r="BP1012" s="65"/>
      <c r="BQ1012" s="65"/>
      <c r="BR1012" s="65"/>
      <c r="BS1012" s="65"/>
    </row>
    <row r="1013" spans="52:71" x14ac:dyDescent="0.25">
      <c r="AZ1013" s="65"/>
      <c r="BB1013" s="65"/>
      <c r="BC1013" s="65"/>
      <c r="BD1013" s="65"/>
      <c r="BG1013" s="65"/>
      <c r="BH1013" s="65"/>
      <c r="BI1013" s="65"/>
      <c r="BJ1013" s="65"/>
      <c r="BK1013" s="65"/>
      <c r="BL1013" s="65"/>
      <c r="BM1013" s="65"/>
      <c r="BN1013" s="65"/>
      <c r="BO1013" s="65"/>
      <c r="BP1013" s="65"/>
      <c r="BQ1013" s="65"/>
      <c r="BR1013" s="65"/>
      <c r="BS1013" s="65"/>
    </row>
    <row r="1014" spans="52:71" x14ac:dyDescent="0.25">
      <c r="AZ1014" s="65"/>
      <c r="BB1014" s="65"/>
      <c r="BC1014" s="65"/>
      <c r="BD1014" s="65"/>
      <c r="BG1014" s="65"/>
      <c r="BH1014" s="65"/>
      <c r="BI1014" s="65"/>
      <c r="BJ1014" s="65"/>
      <c r="BK1014" s="65"/>
      <c r="BL1014" s="65"/>
      <c r="BM1014" s="65"/>
      <c r="BN1014" s="65"/>
      <c r="BO1014" s="65"/>
      <c r="BP1014" s="65"/>
      <c r="BQ1014" s="65"/>
      <c r="BR1014" s="65"/>
      <c r="BS1014" s="65"/>
    </row>
    <row r="1015" spans="52:71" x14ac:dyDescent="0.25">
      <c r="AZ1015" s="65"/>
      <c r="BB1015" s="65"/>
      <c r="BC1015" s="65"/>
      <c r="BD1015" s="65"/>
      <c r="BG1015" s="65"/>
      <c r="BH1015" s="65"/>
      <c r="BI1015" s="65"/>
      <c r="BJ1015" s="65"/>
      <c r="BK1015" s="65"/>
      <c r="BL1015" s="65"/>
      <c r="BM1015" s="65"/>
      <c r="BN1015" s="65"/>
      <c r="BO1015" s="65"/>
      <c r="BP1015" s="65"/>
      <c r="BQ1015" s="65"/>
      <c r="BR1015" s="65"/>
      <c r="BS1015" s="65"/>
    </row>
    <row r="1016" spans="52:71" x14ac:dyDescent="0.25">
      <c r="AZ1016" s="65"/>
      <c r="BB1016" s="65"/>
      <c r="BC1016" s="65"/>
      <c r="BD1016" s="65"/>
      <c r="BG1016" s="65"/>
      <c r="BH1016" s="65"/>
      <c r="BI1016" s="65"/>
      <c r="BJ1016" s="65"/>
      <c r="BK1016" s="65"/>
      <c r="BL1016" s="65"/>
      <c r="BM1016" s="65"/>
      <c r="BN1016" s="65"/>
      <c r="BO1016" s="65"/>
      <c r="BP1016" s="65"/>
      <c r="BQ1016" s="65"/>
      <c r="BR1016" s="65"/>
      <c r="BS1016" s="65"/>
    </row>
    <row r="1017" spans="52:71" x14ac:dyDescent="0.25">
      <c r="AZ1017" s="65"/>
      <c r="BB1017" s="65"/>
      <c r="BC1017" s="65"/>
      <c r="BD1017" s="65"/>
      <c r="BG1017" s="65"/>
      <c r="BH1017" s="65"/>
      <c r="BI1017" s="65"/>
      <c r="BJ1017" s="65"/>
      <c r="BK1017" s="65"/>
      <c r="BL1017" s="65"/>
      <c r="BM1017" s="65"/>
      <c r="BN1017" s="65"/>
      <c r="BO1017" s="65"/>
      <c r="BP1017" s="65"/>
      <c r="BQ1017" s="65"/>
      <c r="BR1017" s="65"/>
      <c r="BS1017" s="65"/>
    </row>
    <row r="1018" spans="52:71" x14ac:dyDescent="0.25">
      <c r="AZ1018" s="65"/>
      <c r="BB1018" s="65"/>
      <c r="BC1018" s="65"/>
      <c r="BD1018" s="65"/>
      <c r="BG1018" s="65"/>
      <c r="BH1018" s="65"/>
      <c r="BI1018" s="65"/>
      <c r="BJ1018" s="65"/>
      <c r="BK1018" s="65"/>
      <c r="BL1018" s="65"/>
      <c r="BM1018" s="65"/>
      <c r="BN1018" s="65"/>
      <c r="BO1018" s="65"/>
      <c r="BP1018" s="65"/>
      <c r="BQ1018" s="65"/>
      <c r="BR1018" s="65"/>
      <c r="BS1018" s="65"/>
    </row>
    <row r="1019" spans="52:71" x14ac:dyDescent="0.25">
      <c r="AZ1019" s="65"/>
      <c r="BB1019" s="65"/>
      <c r="BC1019" s="65"/>
      <c r="BD1019" s="65"/>
      <c r="BG1019" s="65"/>
      <c r="BH1019" s="65"/>
      <c r="BI1019" s="65"/>
      <c r="BJ1019" s="65"/>
      <c r="BK1019" s="65"/>
      <c r="BL1019" s="65"/>
      <c r="BM1019" s="65"/>
      <c r="BN1019" s="65"/>
      <c r="BO1019" s="65"/>
      <c r="BP1019" s="65"/>
      <c r="BQ1019" s="65"/>
      <c r="BR1019" s="65"/>
      <c r="BS1019" s="65"/>
    </row>
    <row r="1020" spans="52:71" x14ac:dyDescent="0.25">
      <c r="AZ1020" s="65"/>
      <c r="BB1020" s="65"/>
      <c r="BC1020" s="65"/>
      <c r="BD1020" s="65"/>
      <c r="BG1020" s="65"/>
      <c r="BH1020" s="65"/>
      <c r="BI1020" s="65"/>
      <c r="BJ1020" s="65"/>
      <c r="BK1020" s="65"/>
      <c r="BL1020" s="65"/>
      <c r="BM1020" s="65"/>
      <c r="BN1020" s="65"/>
      <c r="BO1020" s="65"/>
      <c r="BP1020" s="65"/>
      <c r="BQ1020" s="65"/>
      <c r="BR1020" s="65"/>
      <c r="BS1020" s="65"/>
    </row>
    <row r="1021" spans="52:71" x14ac:dyDescent="0.25">
      <c r="AZ1021" s="65"/>
      <c r="BB1021" s="65"/>
      <c r="BC1021" s="65"/>
      <c r="BD1021" s="65"/>
      <c r="BG1021" s="65"/>
      <c r="BH1021" s="65"/>
      <c r="BI1021" s="65"/>
      <c r="BJ1021" s="65"/>
      <c r="BK1021" s="65"/>
      <c r="BL1021" s="65"/>
      <c r="BM1021" s="65"/>
      <c r="BN1021" s="65"/>
      <c r="BO1021" s="65"/>
      <c r="BP1021" s="65"/>
      <c r="BQ1021" s="65"/>
      <c r="BR1021" s="65"/>
      <c r="BS1021" s="65"/>
    </row>
    <row r="1022" spans="52:71" x14ac:dyDescent="0.25">
      <c r="AZ1022" s="65"/>
      <c r="BB1022" s="65"/>
      <c r="BC1022" s="65"/>
      <c r="BD1022" s="65"/>
      <c r="BG1022" s="65"/>
      <c r="BH1022" s="65"/>
      <c r="BI1022" s="65"/>
      <c r="BJ1022" s="65"/>
      <c r="BK1022" s="65"/>
      <c r="BL1022" s="65"/>
      <c r="BM1022" s="65"/>
      <c r="BN1022" s="65"/>
      <c r="BO1022" s="65"/>
      <c r="BP1022" s="65"/>
      <c r="BQ1022" s="65"/>
      <c r="BR1022" s="65"/>
      <c r="BS1022" s="65"/>
    </row>
    <row r="1023" spans="52:71" x14ac:dyDescent="0.25">
      <c r="AZ1023" s="65"/>
      <c r="BG1023" s="65"/>
      <c r="BH1023" s="65"/>
      <c r="BI1023" s="65"/>
      <c r="BJ1023" s="65"/>
      <c r="BK1023" s="65"/>
      <c r="BL1023" s="65"/>
      <c r="BM1023" s="65"/>
      <c r="BN1023" s="65"/>
      <c r="BO1023" s="65"/>
      <c r="BP1023" s="65"/>
      <c r="BQ1023" s="65"/>
      <c r="BR1023" s="65"/>
      <c r="BS1023" s="65"/>
    </row>
    <row r="1024" spans="52:71" x14ac:dyDescent="0.25">
      <c r="AZ1024" s="65"/>
      <c r="BG1024" s="65"/>
      <c r="BH1024" s="65"/>
      <c r="BI1024" s="65"/>
      <c r="BJ1024" s="65"/>
      <c r="BK1024" s="65"/>
      <c r="BL1024" s="65"/>
      <c r="BM1024" s="65"/>
      <c r="BN1024" s="65"/>
      <c r="BO1024" s="65"/>
      <c r="BP1024" s="65"/>
      <c r="BQ1024" s="65"/>
      <c r="BR1024" s="65"/>
      <c r="BS1024" s="65"/>
    </row>
    <row r="1025" spans="52:71" x14ac:dyDescent="0.25">
      <c r="AZ1025" s="65"/>
      <c r="BG1025" s="65"/>
      <c r="BH1025" s="65"/>
      <c r="BI1025" s="65"/>
      <c r="BJ1025" s="65"/>
      <c r="BK1025" s="65"/>
      <c r="BL1025" s="65"/>
      <c r="BM1025" s="65"/>
      <c r="BN1025" s="65"/>
      <c r="BO1025" s="65"/>
      <c r="BP1025" s="65"/>
      <c r="BQ1025" s="65"/>
      <c r="BR1025" s="65"/>
      <c r="BS1025" s="65"/>
    </row>
    <row r="1026" spans="52:71" x14ac:dyDescent="0.25">
      <c r="AZ1026" s="65"/>
      <c r="BG1026" s="65"/>
      <c r="BH1026" s="65"/>
      <c r="BI1026" s="65"/>
      <c r="BJ1026" s="65"/>
      <c r="BK1026" s="65"/>
      <c r="BL1026" s="65"/>
      <c r="BM1026" s="65"/>
      <c r="BN1026" s="65"/>
      <c r="BO1026" s="65"/>
      <c r="BP1026" s="65"/>
      <c r="BQ1026" s="65"/>
      <c r="BR1026" s="65"/>
      <c r="BS1026" s="65"/>
    </row>
    <row r="1027" spans="52:71" x14ac:dyDescent="0.25">
      <c r="AZ1027" s="65"/>
      <c r="BG1027" s="65"/>
      <c r="BH1027" s="65"/>
      <c r="BI1027" s="65"/>
      <c r="BJ1027" s="65"/>
      <c r="BK1027" s="65"/>
      <c r="BL1027" s="65"/>
      <c r="BM1027" s="65"/>
      <c r="BN1027" s="65"/>
      <c r="BO1027" s="65"/>
      <c r="BP1027" s="65"/>
      <c r="BQ1027" s="65"/>
      <c r="BR1027" s="65"/>
      <c r="BS1027" s="65"/>
    </row>
    <row r="1028" spans="52:71" x14ac:dyDescent="0.25">
      <c r="AZ1028" s="65"/>
      <c r="BG1028" s="65"/>
      <c r="BH1028" s="65"/>
      <c r="BI1028" s="65"/>
      <c r="BJ1028" s="65"/>
      <c r="BK1028" s="65"/>
      <c r="BL1028" s="65"/>
      <c r="BM1028" s="65"/>
      <c r="BN1028" s="65"/>
      <c r="BO1028" s="65"/>
      <c r="BP1028" s="65"/>
      <c r="BQ1028" s="65"/>
      <c r="BR1028" s="65"/>
      <c r="BS1028" s="65"/>
    </row>
    <row r="1029" spans="52:71" x14ac:dyDescent="0.25">
      <c r="AZ1029" s="65"/>
      <c r="BG1029" s="65"/>
      <c r="BH1029" s="65"/>
      <c r="BI1029" s="65"/>
      <c r="BJ1029" s="65"/>
      <c r="BK1029" s="65"/>
      <c r="BL1029" s="65"/>
      <c r="BM1029" s="65"/>
      <c r="BN1029" s="65"/>
      <c r="BO1029" s="65"/>
      <c r="BP1029" s="65"/>
      <c r="BQ1029" s="65"/>
      <c r="BR1029" s="65"/>
      <c r="BS1029" s="65"/>
    </row>
    <row r="1030" spans="52:71" x14ac:dyDescent="0.25">
      <c r="AZ1030" s="65"/>
    </row>
    <row r="1031" spans="52:71" x14ac:dyDescent="0.25">
      <c r="AZ1031" s="65"/>
    </row>
    <row r="1045" spans="1:28" x14ac:dyDescent="0.25">
      <c r="A1045" s="54"/>
    </row>
    <row r="1048" spans="1:28" x14ac:dyDescent="0.25">
      <c r="Y1048" s="54"/>
    </row>
    <row r="1049" spans="1:28" x14ac:dyDescent="0.25">
      <c r="A1049" s="54"/>
      <c r="H1049" s="54"/>
      <c r="I1049" s="54"/>
    </row>
    <row r="1050" spans="1:28" x14ac:dyDescent="0.25">
      <c r="A1050" s="54"/>
      <c r="V1050" s="56"/>
      <c r="AA1050" s="56"/>
      <c r="AB1050" s="56"/>
    </row>
    <row r="1051" spans="1:28" x14ac:dyDescent="0.25">
      <c r="A1051" s="54"/>
      <c r="V1051" s="55"/>
      <c r="AA1051" s="55"/>
      <c r="AB1051" s="55"/>
    </row>
    <row r="1052" spans="1:28" x14ac:dyDescent="0.25">
      <c r="A1052" s="54"/>
      <c r="U1052" s="54"/>
      <c r="AA1052" s="56"/>
      <c r="AB1052" s="56"/>
    </row>
    <row r="1053" spans="1:28" x14ac:dyDescent="0.25">
      <c r="A1053" s="54"/>
    </row>
    <row r="1054" spans="1:28" x14ac:dyDescent="0.25">
      <c r="A1054" s="54"/>
      <c r="U1054" s="54"/>
      <c r="AA1054" s="56"/>
      <c r="AB1054" s="56"/>
    </row>
    <row r="1055" spans="1:28" x14ac:dyDescent="0.25">
      <c r="A1055" s="54"/>
    </row>
    <row r="1056" spans="1:28" x14ac:dyDescent="0.25">
      <c r="A1056" s="54"/>
      <c r="U1056" s="54"/>
      <c r="V1056" s="480"/>
      <c r="AA1056" s="56"/>
      <c r="AB1056" s="56"/>
    </row>
    <row r="1057" spans="1:28" x14ac:dyDescent="0.25">
      <c r="A1057" s="54"/>
    </row>
    <row r="1058" spans="1:28" x14ac:dyDescent="0.25">
      <c r="A1058" s="54"/>
      <c r="U1058" s="54"/>
      <c r="AA1058" s="56"/>
      <c r="AB1058" s="56"/>
    </row>
    <row r="1059" spans="1:28" x14ac:dyDescent="0.25">
      <c r="A1059" s="54"/>
    </row>
    <row r="1060" spans="1:28" x14ac:dyDescent="0.25">
      <c r="A1060" s="54"/>
      <c r="U1060" s="54"/>
      <c r="AA1060" s="56"/>
      <c r="AB1060" s="56"/>
    </row>
    <row r="1061" spans="1:28" x14ac:dyDescent="0.25">
      <c r="A1061" s="54"/>
    </row>
    <row r="1062" spans="1:28" x14ac:dyDescent="0.25">
      <c r="A1062" s="54"/>
    </row>
    <row r="1063" spans="1:28" x14ac:dyDescent="0.25">
      <c r="A1063" s="54"/>
    </row>
    <row r="1064" spans="1:28" x14ac:dyDescent="0.25">
      <c r="A1064" s="54"/>
    </row>
    <row r="1065" spans="1:28" x14ac:dyDescent="0.25">
      <c r="A1065" s="54"/>
    </row>
    <row r="1066" spans="1:28" x14ac:dyDescent="0.25">
      <c r="A1066" s="54"/>
    </row>
    <row r="1067" spans="1:28" x14ac:dyDescent="0.25">
      <c r="A1067" s="54"/>
    </row>
    <row r="1068" spans="1:28" x14ac:dyDescent="0.25">
      <c r="A1068" s="54"/>
    </row>
    <row r="1069" spans="1:28" x14ac:dyDescent="0.25">
      <c r="A1069" s="54"/>
    </row>
    <row r="1070" spans="1:28" x14ac:dyDescent="0.25">
      <c r="A1070" s="54"/>
    </row>
    <row r="1071" spans="1:28" x14ac:dyDescent="0.25">
      <c r="A1071" s="54"/>
      <c r="H1071" s="54"/>
      <c r="I1071" s="54"/>
    </row>
    <row r="1074" spans="1:1" x14ac:dyDescent="0.25">
      <c r="A1074" s="54"/>
    </row>
    <row r="1077" spans="1:1" x14ac:dyDescent="0.25">
      <c r="A1077" s="54"/>
    </row>
    <row r="1080" spans="1:1" x14ac:dyDescent="0.25">
      <c r="A1080" s="54"/>
    </row>
    <row r="1081" spans="1:1" x14ac:dyDescent="0.25">
      <c r="A1081" s="54"/>
    </row>
    <row r="1082" spans="1:1" x14ac:dyDescent="0.25">
      <c r="A1082" s="54"/>
    </row>
    <row r="1083" spans="1:1" x14ac:dyDescent="0.25">
      <c r="A1083" s="54"/>
    </row>
    <row r="1084" spans="1:1" x14ac:dyDescent="0.25">
      <c r="A1084" s="54"/>
    </row>
    <row r="1085" spans="1:1" x14ac:dyDescent="0.25">
      <c r="A1085" s="54"/>
    </row>
    <row r="1086" spans="1:1" x14ac:dyDescent="0.25">
      <c r="A1086" s="54"/>
    </row>
    <row r="1087" spans="1:1" x14ac:dyDescent="0.25">
      <c r="A1087" s="54"/>
    </row>
    <row r="1088" spans="1:1" x14ac:dyDescent="0.25">
      <c r="A1088" s="54"/>
    </row>
    <row r="1089" spans="1:1" x14ac:dyDescent="0.25">
      <c r="A1089" s="54"/>
    </row>
    <row r="1090" spans="1:1" x14ac:dyDescent="0.25">
      <c r="A1090" s="54"/>
    </row>
    <row r="1091" spans="1:1" x14ac:dyDescent="0.25">
      <c r="A1091" s="54"/>
    </row>
    <row r="1092" spans="1:1" x14ac:dyDescent="0.25">
      <c r="A1092" s="54"/>
    </row>
    <row r="1093" spans="1:1" x14ac:dyDescent="0.25">
      <c r="A1093" s="54"/>
    </row>
    <row r="1094" spans="1:1" x14ac:dyDescent="0.25">
      <c r="A1094" s="54"/>
    </row>
    <row r="1095" spans="1:1" x14ac:dyDescent="0.25">
      <c r="A1095" s="54"/>
    </row>
    <row r="1096" spans="1:1" x14ac:dyDescent="0.25">
      <c r="A1096" s="54"/>
    </row>
    <row r="1097" spans="1:1" x14ac:dyDescent="0.25">
      <c r="A1097" s="54"/>
    </row>
    <row r="1098" spans="1:1" x14ac:dyDescent="0.25">
      <c r="A1098" s="54"/>
    </row>
    <row r="1099" spans="1:1" x14ac:dyDescent="0.25">
      <c r="A1099" s="54"/>
    </row>
    <row r="1100" spans="1:1" x14ac:dyDescent="0.25">
      <c r="A1100" s="54"/>
    </row>
    <row r="1101" spans="1:1" x14ac:dyDescent="0.25">
      <c r="A1101" s="54"/>
    </row>
    <row r="1102" spans="1:1" x14ac:dyDescent="0.25">
      <c r="A1102" s="54"/>
    </row>
    <row r="1103" spans="1:1" x14ac:dyDescent="0.25">
      <c r="A1103" s="54"/>
    </row>
    <row r="1104" spans="1:1" x14ac:dyDescent="0.25">
      <c r="A1104" s="54"/>
    </row>
    <row r="1105" spans="1:1" x14ac:dyDescent="0.25">
      <c r="A1105" s="54"/>
    </row>
    <row r="1106" spans="1:1" x14ac:dyDescent="0.25">
      <c r="A1106" s="54"/>
    </row>
    <row r="1107" spans="1:1" x14ac:dyDescent="0.25">
      <c r="A1107" s="54"/>
    </row>
    <row r="1108" spans="1:1" x14ac:dyDescent="0.25">
      <c r="A1108" s="54"/>
    </row>
    <row r="1109" spans="1:1" x14ac:dyDescent="0.25">
      <c r="A1109" s="54"/>
    </row>
    <row r="1110" spans="1:1" x14ac:dyDescent="0.25">
      <c r="A1110" s="54"/>
    </row>
    <row r="1111" spans="1:1" x14ac:dyDescent="0.25">
      <c r="A1111" s="54"/>
    </row>
    <row r="1112" spans="1:1" x14ac:dyDescent="0.25">
      <c r="A1112" s="54"/>
    </row>
    <row r="1113" spans="1:1" x14ac:dyDescent="0.25">
      <c r="A1113" s="54"/>
    </row>
    <row r="1114" spans="1:1" x14ac:dyDescent="0.25">
      <c r="A1114" s="54"/>
    </row>
    <row r="1119" spans="1:1" x14ac:dyDescent="0.25">
      <c r="A1119" s="54"/>
    </row>
    <row r="1120" spans="1:1" x14ac:dyDescent="0.25">
      <c r="A1120" s="54"/>
    </row>
    <row r="1123" spans="1:1" x14ac:dyDescent="0.25">
      <c r="A1123" s="54"/>
    </row>
    <row r="1125" spans="1:1" x14ac:dyDescent="0.25">
      <c r="A1125" s="54"/>
    </row>
    <row r="1127" spans="1:1" x14ac:dyDescent="0.25">
      <c r="A1127" s="54"/>
    </row>
    <row r="1129" spans="1:1" x14ac:dyDescent="0.25">
      <c r="A1129" s="54"/>
    </row>
    <row r="1132" spans="1:1" x14ac:dyDescent="0.25">
      <c r="A1132" s="54"/>
    </row>
    <row r="1133" spans="1:1" x14ac:dyDescent="0.25">
      <c r="A1133" s="54"/>
    </row>
    <row r="1134" spans="1:1" x14ac:dyDescent="0.25">
      <c r="A1134" s="54"/>
    </row>
    <row r="1135" spans="1:1" x14ac:dyDescent="0.25">
      <c r="A1135" s="54"/>
    </row>
    <row r="1136" spans="1:1" x14ac:dyDescent="0.25">
      <c r="A1136" s="54"/>
    </row>
    <row r="1137" spans="1:1" x14ac:dyDescent="0.25">
      <c r="A1137" s="54"/>
    </row>
    <row r="1138" spans="1:1" x14ac:dyDescent="0.25">
      <c r="A1138" s="54"/>
    </row>
    <row r="1139" spans="1:1" x14ac:dyDescent="0.25">
      <c r="A1139" s="54"/>
    </row>
  </sheetData>
  <customSheetViews>
    <customSheetView guid="{195DF303-1BBD-4236-94B5-47432850B006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"/>
      <headerFooter alignWithMargins="0"/>
    </customSheetView>
    <customSheetView guid="{0C49E549-011E-46F4-A82E-2CC8951A9C1E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2"/>
      <headerFooter alignWithMargins="0"/>
    </customSheetView>
    <customSheetView guid="{4BC93440-BA85-4935-A8C9-66DC6AE5DE5E}" scale="75" fitToPage="1" showRuler="0" topLeftCell="W65">
      <selection activeCell="AE84" sqref="AE84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3"/>
      <headerFooter alignWithMargins="0"/>
    </customSheetView>
    <customSheetView guid="{2431C9E5-7CC2-4B8D-99C3-962247B1DBF5}" scale="75" fitToPage="1" showRuler="0">
      <selection activeCell="L44" sqref="L44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4"/>
      <headerFooter alignWithMargins="0"/>
    </customSheetView>
    <customSheetView guid="{2EA35095-1ADC-4CC7-8C3C-B487D65FA247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5"/>
      <headerFooter alignWithMargins="0"/>
    </customSheetView>
    <customSheetView guid="{8FC77C99-DBF7-40B8-99B8-01B75826CDCB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7"/>
      <headerFooter alignWithMargins="0"/>
    </customSheetView>
    <customSheetView guid="{6B3D5C27-2FDE-4561-9575-1E98BFB869D0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8"/>
      <headerFooter alignWithMargins="0"/>
    </customSheetView>
    <customSheetView guid="{0BC1F393-8A13-47D5-BC6C-0C99615B5AB9}" scale="75" fitToPage="1" showRuler="0" topLeftCell="A17">
      <selection activeCell="P48" sqref="P4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9"/>
      <headerFooter alignWithMargins="0"/>
    </customSheetView>
    <customSheetView guid="{18BDED73-BFA0-442E-87EC-CED86EE4CF94}" scale="75" fitToPage="1" showRuler="0" topLeftCell="A17">
      <selection activeCell="P48" sqref="P4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0"/>
      <headerFooter alignWithMargins="0"/>
    </customSheetView>
    <customSheetView guid="{35F19056-2E6F-4935-B863-78836FE990BF}" scale="75" fitToPage="1" showRuler="0" topLeftCell="A15">
      <selection activeCell="P22" sqref="P22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1"/>
      <headerFooter alignWithMargins="0"/>
    </customSheetView>
    <customSheetView guid="{F562D92E-120C-4AE9-9663-89E64D41DC53}" scale="75" fitToPage="1" topLeftCell="T71">
      <selection activeCell="P42" sqref="P42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2"/>
      <headerFooter alignWithMargins="0"/>
    </customSheetView>
  </customSheetViews>
  <phoneticPr fontId="9" type="noConversion"/>
  <pageMargins left="0.75" right="0.75" top="1" bottom="1" header="0.5" footer="0.5"/>
  <pageSetup scale="43" orientation="landscape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37" transitionEvaluation="1" transitionEntry="1" codeName="Sheet8"/>
  <dimension ref="A1:BW1097"/>
  <sheetViews>
    <sheetView tabSelected="1" view="pageBreakPreview" topLeftCell="A37" zoomScale="60" zoomScaleNormal="75" workbookViewId="0">
      <selection sqref="A1:J1"/>
    </sheetView>
  </sheetViews>
  <sheetFormatPr defaultColWidth="9.77734375" defaultRowHeight="15.75" x14ac:dyDescent="0.25"/>
  <cols>
    <col min="1" max="1" width="5" style="380" customWidth="1"/>
    <col min="2" max="2" width="0.6640625" style="380" customWidth="1"/>
    <col min="3" max="3" width="7.77734375" style="380" customWidth="1"/>
    <col min="4" max="4" width="35.44140625" style="380" customWidth="1"/>
    <col min="5" max="5" width="0.77734375" style="380" customWidth="1"/>
    <col min="6" max="6" width="11.109375" style="380" customWidth="1"/>
    <col min="7" max="7" width="0.6640625" style="380" customWidth="1"/>
    <col min="8" max="8" width="14.5546875" style="380" customWidth="1"/>
    <col min="9" max="9" width="0.6640625" style="380" customWidth="1"/>
    <col min="10" max="10" width="12.6640625" style="380" customWidth="1"/>
    <col min="11" max="11" width="0.6640625" style="380" customWidth="1"/>
    <col min="12" max="12" width="14.6640625" style="380" customWidth="1"/>
    <col min="13" max="13" width="0.33203125" style="380" customWidth="1"/>
    <col min="14" max="14" width="12.77734375" style="380" customWidth="1"/>
    <col min="15" max="15" width="0.5546875" style="380" customWidth="1"/>
    <col min="16" max="16" width="12.77734375" style="380" customWidth="1"/>
    <col min="17" max="17" width="0.5546875" style="380" customWidth="1"/>
    <col min="18" max="18" width="17.21875" style="380" customWidth="1"/>
    <col min="19" max="19" width="6.6640625" style="380" customWidth="1"/>
    <col min="20" max="20" width="5.21875" style="380" customWidth="1"/>
    <col min="21" max="21" width="0.5546875" style="380" customWidth="1"/>
    <col min="22" max="22" width="9.44140625" style="380" customWidth="1"/>
    <col min="23" max="23" width="36.5546875" style="380" customWidth="1"/>
    <col min="24" max="24" width="0.77734375" style="380" customWidth="1"/>
    <col min="25" max="25" width="9.6640625" style="380" customWidth="1"/>
    <col min="26" max="26" width="0.6640625" style="380" customWidth="1"/>
    <col min="27" max="27" width="13.33203125" style="380" customWidth="1"/>
    <col min="28" max="28" width="0.44140625" style="380" customWidth="1"/>
    <col min="29" max="29" width="11.44140625" style="380" customWidth="1"/>
    <col min="30" max="30" width="0.33203125" style="380" customWidth="1"/>
    <col min="31" max="31" width="12.88671875" style="380" customWidth="1"/>
    <col min="32" max="32" width="0.77734375" style="380" customWidth="1"/>
    <col min="33" max="33" width="13.6640625" style="153" customWidth="1"/>
    <col min="34" max="34" width="0.6640625" style="380" customWidth="1"/>
    <col min="35" max="35" width="14.33203125" style="380" customWidth="1"/>
    <col min="36" max="36" width="0.77734375" style="380" customWidth="1"/>
    <col min="37" max="37" width="14.5546875" style="153" customWidth="1"/>
    <col min="38" max="38" width="0.6640625" style="380" customWidth="1"/>
    <col min="39" max="39" width="12.109375" style="380" customWidth="1"/>
    <col min="40" max="40" width="0.5546875" style="380" customWidth="1"/>
    <col min="41" max="41" width="13.21875" style="380" customWidth="1"/>
    <col min="42" max="42" width="0.6640625" style="380" customWidth="1"/>
    <col min="43" max="43" width="11.21875" style="153" customWidth="1"/>
    <col min="44" max="44" width="14.77734375" style="380" customWidth="1"/>
    <col min="45" max="45" width="4.77734375" style="380" customWidth="1"/>
    <col min="46" max="46" width="5.77734375" style="380" customWidth="1"/>
    <col min="47" max="47" width="10.77734375" style="380" customWidth="1"/>
    <col min="48" max="48" width="11.77734375" style="380" customWidth="1"/>
    <col min="49" max="49" width="12.77734375" style="380" customWidth="1"/>
    <col min="50" max="52" width="15.77734375" style="380" customWidth="1"/>
    <col min="53" max="53" width="12.77734375" style="380" customWidth="1"/>
    <col min="54" max="56" width="15.77734375" style="380" customWidth="1"/>
    <col min="57" max="57" width="12.77734375" style="380" customWidth="1"/>
    <col min="58" max="59" width="9.77734375" style="380"/>
    <col min="60" max="62" width="12.77734375" style="380" customWidth="1"/>
    <col min="63" max="63" width="14.77734375" style="380" customWidth="1"/>
    <col min="64" max="65" width="9.77734375" style="380"/>
    <col min="66" max="68" width="12.77734375" style="380" customWidth="1"/>
    <col min="69" max="69" width="14.77734375" style="380" customWidth="1"/>
    <col min="70" max="76" width="9.77734375" style="380"/>
    <col min="77" max="77" width="1.77734375" style="380" customWidth="1"/>
    <col min="78" max="79" width="9.77734375" style="380"/>
    <col min="80" max="80" width="10.77734375" style="380" customWidth="1"/>
    <col min="81" max="82" width="9.77734375" style="380"/>
    <col min="83" max="83" width="7.77734375" style="380" customWidth="1"/>
    <col min="84" max="16384" width="9.77734375" style="380"/>
  </cols>
  <sheetData>
    <row r="1" spans="1:40" x14ac:dyDescent="0.25">
      <c r="A1" s="43" t="str">
        <f>NAME</f>
        <v>DUKE ENERGY KENTUCKY, INC.</v>
      </c>
      <c r="B1" s="43"/>
      <c r="C1" s="43"/>
      <c r="D1" s="43"/>
      <c r="E1" s="43"/>
      <c r="F1" s="43"/>
      <c r="G1" s="43"/>
      <c r="H1" s="43"/>
      <c r="I1" s="43"/>
      <c r="J1" s="44"/>
      <c r="K1" s="44"/>
      <c r="L1" s="43"/>
      <c r="M1" s="43"/>
      <c r="N1" s="43"/>
      <c r="O1" s="43"/>
      <c r="P1" s="43"/>
      <c r="Q1" s="43"/>
      <c r="R1" s="43"/>
      <c r="Z1" s="53"/>
    </row>
    <row r="2" spans="1:40" x14ac:dyDescent="0.25">
      <c r="A2" s="43" t="str">
        <f>CASE_NO</f>
        <v>CASE NO.   2019-000271</v>
      </c>
      <c r="B2" s="43"/>
      <c r="C2" s="43"/>
      <c r="D2" s="43"/>
      <c r="E2" s="43"/>
      <c r="F2" s="43"/>
      <c r="G2" s="43"/>
      <c r="H2" s="43"/>
      <c r="I2" s="43"/>
      <c r="J2" s="44"/>
      <c r="K2" s="44"/>
      <c r="L2" s="43"/>
      <c r="M2" s="43"/>
      <c r="N2" s="43"/>
      <c r="O2" s="43"/>
      <c r="P2" s="43"/>
      <c r="Q2" s="43"/>
      <c r="R2" s="43"/>
      <c r="Z2" s="53"/>
    </row>
    <row r="3" spans="1:40" x14ac:dyDescent="0.25">
      <c r="A3" s="44" t="str">
        <f>TITLE</f>
        <v>ANNUALIZED BASE YEAR REVENUES AT PROPOSED VS. MOST CURRENT RATES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Y3" s="54"/>
    </row>
    <row r="4" spans="1:40" x14ac:dyDescent="0.25">
      <c r="A4" s="43" t="str">
        <f>DATE</f>
        <v>FOR THE TWELVE MONTHS ENDED November 30, 2019</v>
      </c>
      <c r="B4" s="43"/>
      <c r="C4" s="43"/>
      <c r="D4" s="43"/>
      <c r="E4" s="43"/>
      <c r="F4" s="43"/>
      <c r="G4" s="43"/>
      <c r="H4" s="43"/>
      <c r="I4" s="43"/>
      <c r="J4" s="44"/>
      <c r="K4" s="44"/>
      <c r="L4" s="43"/>
      <c r="M4" s="43"/>
      <c r="N4" s="43"/>
      <c r="O4" s="43"/>
      <c r="P4" s="43"/>
      <c r="Q4" s="43"/>
      <c r="R4" s="43"/>
      <c r="Z4" s="53"/>
    </row>
    <row r="5" spans="1:40" x14ac:dyDescent="0.25">
      <c r="A5" s="43" t="str">
        <f>SERVICE</f>
        <v>(ELECTRIC SERVICE)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4"/>
      <c r="M5" s="44"/>
      <c r="N5" s="43"/>
      <c r="O5" s="43"/>
      <c r="P5" s="43"/>
      <c r="Q5" s="43"/>
      <c r="R5" s="43"/>
      <c r="AA5" s="54"/>
      <c r="AB5" s="54"/>
    </row>
    <row r="6" spans="1:40" x14ac:dyDescent="0.25">
      <c r="A6" s="45" t="str">
        <f>DATA_PERIOD</f>
        <v>DATA: __X__ BASE PERIOD   ____FORECASTED PERIOD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46" t="s">
        <v>163</v>
      </c>
      <c r="AK6" s="161"/>
      <c r="AL6" s="54"/>
    </row>
    <row r="7" spans="1:40" x14ac:dyDescent="0.25">
      <c r="A7" s="45" t="str">
        <f>TYPE</f>
        <v>TYPE OF FILING: _X_ ORIGINAL   ___UPDATED  ___ REVISED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52" t="str">
        <f>"PAGE 4 OF "&amp;TEXT(Page_Num_2.3,"00")</f>
        <v>PAGE 4 OF 23</v>
      </c>
      <c r="AK7" s="161"/>
      <c r="AL7" s="54"/>
    </row>
    <row r="8" spans="1:40" x14ac:dyDescent="0.25">
      <c r="A8" s="46" t="s">
        <v>177</v>
      </c>
      <c r="B8" s="378"/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46" t="s">
        <v>3</v>
      </c>
      <c r="AK8" s="161"/>
      <c r="AL8" s="54"/>
    </row>
    <row r="9" spans="1:40" x14ac:dyDescent="0.25">
      <c r="A9" s="222" t="str">
        <f>TIME</f>
        <v>6 Months Actual and 6 Months Projected with Riders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45" t="str">
        <f>WIT</f>
        <v>J. L. Kern</v>
      </c>
      <c r="AK9" s="161"/>
      <c r="AL9" s="54"/>
    </row>
    <row r="10" spans="1:40" x14ac:dyDescent="0.25">
      <c r="A10" s="222" t="str">
        <f>INPUT!B5</f>
        <v>6 Months Actual Ending May 31, 2019</v>
      </c>
      <c r="B10" s="378"/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78"/>
      <c r="P10" s="378"/>
      <c r="Q10" s="378"/>
      <c r="R10" s="45"/>
      <c r="AK10" s="161"/>
      <c r="AL10" s="54"/>
    </row>
    <row r="11" spans="1:40" x14ac:dyDescent="0.25">
      <c r="A11" s="44" t="s">
        <v>136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AA11" s="54"/>
      <c r="AB11" s="54"/>
      <c r="AK11" s="156"/>
      <c r="AL11" s="53"/>
    </row>
    <row r="12" spans="1:40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154"/>
      <c r="AH12" s="55"/>
      <c r="AI12" s="55"/>
      <c r="AJ12" s="55"/>
      <c r="AK12" s="154"/>
      <c r="AL12" s="55"/>
      <c r="AM12" s="55"/>
      <c r="AN12" s="55"/>
    </row>
    <row r="13" spans="1:40" ht="18" customHeight="1" x14ac:dyDescent="0.25">
      <c r="A13" s="378"/>
      <c r="B13" s="378"/>
      <c r="C13" s="378"/>
      <c r="D13" s="378"/>
      <c r="E13" s="378"/>
      <c r="F13" s="378"/>
      <c r="G13" s="378"/>
      <c r="H13" s="378"/>
      <c r="I13" s="378"/>
      <c r="J13" s="378"/>
      <c r="K13" s="378"/>
      <c r="L13" s="426" t="s">
        <v>6</v>
      </c>
      <c r="M13" s="426"/>
      <c r="N13" s="426" t="s">
        <v>7</v>
      </c>
      <c r="O13" s="426"/>
      <c r="P13" s="378"/>
      <c r="Q13" s="378"/>
      <c r="R13" s="426" t="s">
        <v>6</v>
      </c>
      <c r="AA13" s="56"/>
      <c r="AB13" s="56"/>
      <c r="AC13" s="56"/>
      <c r="AD13" s="56"/>
      <c r="AE13" s="56"/>
      <c r="AF13" s="56"/>
      <c r="AG13" s="155"/>
      <c r="AH13" s="56"/>
      <c r="AK13" s="155"/>
      <c r="AL13" s="56"/>
      <c r="AM13" s="56"/>
      <c r="AN13" s="56"/>
    </row>
    <row r="14" spans="1:40" x14ac:dyDescent="0.25">
      <c r="A14" s="378"/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426" t="s">
        <v>12</v>
      </c>
      <c r="M14" s="426"/>
      <c r="N14" s="426" t="s">
        <v>13</v>
      </c>
      <c r="O14" s="426"/>
      <c r="P14" s="378"/>
      <c r="Q14" s="378"/>
      <c r="R14" s="426" t="s">
        <v>11</v>
      </c>
      <c r="Z14" s="56"/>
      <c r="AA14" s="56"/>
      <c r="AB14" s="56"/>
      <c r="AC14" s="56"/>
      <c r="AD14" s="56"/>
      <c r="AE14" s="56"/>
      <c r="AF14" s="56"/>
      <c r="AG14" s="155"/>
      <c r="AH14" s="56"/>
      <c r="AK14" s="155"/>
      <c r="AL14" s="56"/>
      <c r="AM14" s="56"/>
      <c r="AN14" s="56"/>
    </row>
    <row r="15" spans="1:40" x14ac:dyDescent="0.25">
      <c r="A15" s="426" t="s">
        <v>17</v>
      </c>
      <c r="B15" s="378"/>
      <c r="C15" s="426" t="s">
        <v>18</v>
      </c>
      <c r="D15" s="426" t="s">
        <v>19</v>
      </c>
      <c r="E15" s="426"/>
      <c r="F15" s="426" t="s">
        <v>20</v>
      </c>
      <c r="G15" s="378"/>
      <c r="H15" s="378"/>
      <c r="I15" s="378"/>
      <c r="J15" s="426" t="s">
        <v>6</v>
      </c>
      <c r="K15" s="426"/>
      <c r="L15" s="426" t="s">
        <v>21</v>
      </c>
      <c r="M15" s="426"/>
      <c r="N15" s="426" t="s">
        <v>21</v>
      </c>
      <c r="O15" s="426"/>
      <c r="P15" s="426" t="s">
        <v>21</v>
      </c>
      <c r="Q15" s="426"/>
      <c r="R15" s="426" t="s">
        <v>9</v>
      </c>
      <c r="T15" s="56"/>
      <c r="U15" s="56"/>
      <c r="V15" s="56"/>
      <c r="Z15" s="56"/>
      <c r="AA15" s="56"/>
      <c r="AB15" s="56"/>
      <c r="AC15" s="56"/>
      <c r="AD15" s="56"/>
      <c r="AE15" s="56"/>
      <c r="AF15" s="56"/>
      <c r="AG15" s="155"/>
      <c r="AH15" s="56"/>
      <c r="AI15" s="56"/>
      <c r="AJ15" s="56"/>
      <c r="AK15" s="155"/>
      <c r="AL15" s="56"/>
      <c r="AM15" s="56"/>
      <c r="AN15" s="56"/>
    </row>
    <row r="16" spans="1:40" x14ac:dyDescent="0.25">
      <c r="A16" s="426" t="s">
        <v>24</v>
      </c>
      <c r="B16" s="378"/>
      <c r="C16" s="426" t="s">
        <v>25</v>
      </c>
      <c r="D16" s="426" t="s">
        <v>26</v>
      </c>
      <c r="E16" s="426"/>
      <c r="F16" s="426" t="s">
        <v>27</v>
      </c>
      <c r="G16" s="378"/>
      <c r="H16" s="426" t="s">
        <v>28</v>
      </c>
      <c r="I16" s="426"/>
      <c r="J16" s="426" t="s">
        <v>29</v>
      </c>
      <c r="K16" s="426"/>
      <c r="L16" s="426" t="s">
        <v>9</v>
      </c>
      <c r="M16" s="426"/>
      <c r="N16" s="426" t="s">
        <v>9</v>
      </c>
      <c r="O16" s="426"/>
      <c r="P16" s="426" t="s">
        <v>379</v>
      </c>
      <c r="Q16" s="426"/>
      <c r="R16" s="265" t="s">
        <v>30</v>
      </c>
      <c r="T16" s="56"/>
      <c r="U16" s="56"/>
      <c r="V16" s="56"/>
      <c r="Y16" s="56"/>
      <c r="Z16" s="56"/>
      <c r="AA16" s="56"/>
      <c r="AB16" s="56"/>
      <c r="AC16" s="56"/>
      <c r="AD16" s="56"/>
      <c r="AE16" s="56"/>
      <c r="AF16" s="56"/>
      <c r="AG16" s="155"/>
      <c r="AH16" s="56"/>
      <c r="AI16" s="56"/>
      <c r="AJ16" s="56"/>
      <c r="AK16" s="155"/>
      <c r="AL16" s="56"/>
      <c r="AM16" s="56"/>
      <c r="AN16" s="56"/>
    </row>
    <row r="17" spans="1:40" x14ac:dyDescent="0.25">
      <c r="A17" s="378"/>
      <c r="B17" s="378"/>
      <c r="C17" s="265" t="s">
        <v>35</v>
      </c>
      <c r="D17" s="265" t="s">
        <v>36</v>
      </c>
      <c r="E17" s="265"/>
      <c r="F17" s="265" t="s">
        <v>37</v>
      </c>
      <c r="G17" s="218"/>
      <c r="H17" s="265" t="s">
        <v>38</v>
      </c>
      <c r="I17" s="265"/>
      <c r="J17" s="265" t="s">
        <v>39</v>
      </c>
      <c r="K17" s="265"/>
      <c r="L17" s="265" t="s">
        <v>40</v>
      </c>
      <c r="M17" s="265"/>
      <c r="N17" s="265" t="s">
        <v>41</v>
      </c>
      <c r="O17" s="265"/>
      <c r="P17" s="265" t="s">
        <v>42</v>
      </c>
      <c r="Q17" s="265"/>
      <c r="R17" s="265" t="s">
        <v>43</v>
      </c>
      <c r="T17" s="56"/>
      <c r="U17" s="56"/>
      <c r="V17" s="56"/>
      <c r="Y17" s="56"/>
      <c r="Z17" s="56"/>
      <c r="AA17" s="56"/>
      <c r="AB17" s="56"/>
      <c r="AC17" s="56"/>
      <c r="AD17" s="56"/>
      <c r="AE17" s="56"/>
      <c r="AF17" s="56"/>
      <c r="AG17" s="155"/>
      <c r="AH17" s="56"/>
      <c r="AI17" s="56"/>
      <c r="AJ17" s="56"/>
      <c r="AK17" s="155"/>
      <c r="AL17" s="56"/>
      <c r="AM17" s="56"/>
      <c r="AN17" s="56"/>
    </row>
    <row r="18" spans="1:40" x14ac:dyDescent="0.25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154"/>
      <c r="AH18" s="55"/>
      <c r="AI18" s="55"/>
      <c r="AJ18" s="55"/>
      <c r="AK18" s="154"/>
      <c r="AL18" s="55"/>
      <c r="AM18" s="55"/>
      <c r="AN18" s="55"/>
    </row>
    <row r="19" spans="1:40" ht="17.100000000000001" customHeight="1" x14ac:dyDescent="0.25">
      <c r="A19" s="378"/>
      <c r="B19" s="378"/>
      <c r="C19" s="378"/>
      <c r="D19" s="378"/>
      <c r="E19" s="378"/>
      <c r="F19" s="378"/>
      <c r="G19" s="378"/>
      <c r="H19" s="442" t="s">
        <v>203</v>
      </c>
      <c r="I19" s="441"/>
      <c r="J19" s="442" t="s">
        <v>390</v>
      </c>
      <c r="K19" s="441"/>
      <c r="L19" s="441" t="s">
        <v>52</v>
      </c>
      <c r="M19" s="441"/>
      <c r="N19" s="441" t="s">
        <v>53</v>
      </c>
      <c r="O19" s="441"/>
      <c r="P19" s="441" t="s">
        <v>52</v>
      </c>
      <c r="Q19" s="441"/>
      <c r="R19" s="441" t="s">
        <v>52</v>
      </c>
      <c r="Y19" s="56"/>
      <c r="Z19" s="56"/>
      <c r="AA19" s="56"/>
      <c r="AB19" s="56"/>
      <c r="AC19" s="56"/>
      <c r="AD19" s="56"/>
      <c r="AE19" s="56"/>
      <c r="AF19" s="56"/>
      <c r="AG19" s="155"/>
      <c r="AH19" s="56"/>
      <c r="AI19" s="56"/>
      <c r="AJ19" s="56"/>
      <c r="AK19" s="155"/>
      <c r="AL19" s="56"/>
      <c r="AM19" s="56"/>
      <c r="AN19" s="56"/>
    </row>
    <row r="20" spans="1:40" x14ac:dyDescent="0.25">
      <c r="A20" s="45">
        <v>1</v>
      </c>
      <c r="B20" s="378"/>
      <c r="C20" s="222" t="s">
        <v>440</v>
      </c>
      <c r="D20" s="222" t="s">
        <v>437</v>
      </c>
      <c r="E20" s="46"/>
      <c r="F20" s="2"/>
      <c r="G20" s="2"/>
      <c r="H20" s="459"/>
      <c r="I20" s="459"/>
      <c r="J20" s="460" t="s">
        <v>384</v>
      </c>
      <c r="K20" s="459"/>
      <c r="L20" s="459"/>
      <c r="M20" s="459"/>
      <c r="N20" s="459"/>
      <c r="O20" s="459"/>
      <c r="P20" s="468"/>
      <c r="Q20" s="468"/>
      <c r="R20" s="468"/>
      <c r="T20" s="54"/>
      <c r="U20" s="54"/>
    </row>
    <row r="21" spans="1:40" x14ac:dyDescent="0.25">
      <c r="A21" s="45">
        <v>2</v>
      </c>
      <c r="B21" s="378"/>
      <c r="C21" s="222" t="s">
        <v>56</v>
      </c>
      <c r="D21" s="378"/>
      <c r="E21" s="378"/>
      <c r="F21" s="2"/>
      <c r="G21" s="2"/>
      <c r="H21" s="2"/>
      <c r="I21" s="2"/>
      <c r="J21" s="2"/>
      <c r="K21" s="2"/>
      <c r="L21" s="2"/>
      <c r="M21" s="2"/>
      <c r="N21" s="2"/>
      <c r="O21" s="2"/>
      <c r="P21" s="84"/>
      <c r="Q21" s="84"/>
      <c r="R21" s="84"/>
      <c r="T21" s="54"/>
    </row>
    <row r="22" spans="1:40" x14ac:dyDescent="0.25">
      <c r="A22" s="45">
        <v>3</v>
      </c>
      <c r="B22" s="378"/>
      <c r="C22" s="222" t="s">
        <v>140</v>
      </c>
      <c r="D22" s="378"/>
      <c r="E22" s="378"/>
      <c r="F22" s="2"/>
      <c r="G22" s="2"/>
      <c r="H22" s="2"/>
      <c r="I22" s="2"/>
      <c r="J22" s="2"/>
      <c r="K22" s="2"/>
      <c r="L22" s="2"/>
      <c r="M22" s="2"/>
      <c r="N22" s="2"/>
      <c r="O22" s="2"/>
      <c r="P22" s="84"/>
      <c r="Q22" s="84"/>
      <c r="R22" s="84"/>
      <c r="S22" s="379"/>
      <c r="T22" s="54"/>
      <c r="V22" s="379"/>
      <c r="Y22" s="379"/>
      <c r="Z22" s="461"/>
      <c r="AA22" s="379"/>
      <c r="AB22" s="379"/>
      <c r="AC22" s="50"/>
      <c r="AD22" s="50"/>
      <c r="AE22" s="379"/>
      <c r="AF22" s="379"/>
      <c r="AG22" s="156"/>
      <c r="AH22" s="50"/>
      <c r="AI22" s="379"/>
      <c r="AJ22" s="379"/>
      <c r="AK22" s="156"/>
      <c r="AL22" s="379"/>
      <c r="AM22" s="50"/>
      <c r="AN22" s="50"/>
    </row>
    <row r="23" spans="1:40" x14ac:dyDescent="0.25">
      <c r="A23" s="45">
        <v>4</v>
      </c>
      <c r="B23" s="378"/>
      <c r="C23" s="46" t="s">
        <v>151</v>
      </c>
      <c r="D23" s="378"/>
      <c r="E23" s="378"/>
      <c r="F23" s="392">
        <v>152</v>
      </c>
      <c r="G23" s="2"/>
      <c r="H23" s="86"/>
      <c r="I23" s="2"/>
      <c r="J23" s="450">
        <f>INPUT!D70</f>
        <v>138</v>
      </c>
      <c r="K23" s="2"/>
      <c r="L23" s="5">
        <f>ROUND(+F23*J23,0)</f>
        <v>20976</v>
      </c>
      <c r="M23" s="2"/>
      <c r="N23" s="148">
        <f>ROUND((+L23/$L$63)*100,1)</f>
        <v>0.1</v>
      </c>
      <c r="O23" s="2"/>
      <c r="P23" s="5"/>
      <c r="Q23" s="97"/>
      <c r="R23" s="5">
        <f>L23+P23</f>
        <v>20976</v>
      </c>
      <c r="S23" s="379"/>
      <c r="T23" s="54"/>
      <c r="V23" s="379"/>
      <c r="Y23" s="379"/>
      <c r="Z23" s="463"/>
      <c r="AA23" s="379"/>
      <c r="AB23" s="379"/>
      <c r="AC23" s="50"/>
      <c r="AD23" s="50"/>
      <c r="AE23" s="379"/>
      <c r="AF23" s="379"/>
      <c r="AG23" s="156"/>
      <c r="AH23" s="50"/>
      <c r="AI23" s="379"/>
      <c r="AJ23" s="379"/>
      <c r="AK23" s="156"/>
      <c r="AL23" s="379"/>
      <c r="AM23" s="50"/>
      <c r="AN23" s="50"/>
    </row>
    <row r="24" spans="1:40" ht="20.100000000000001" customHeight="1" x14ac:dyDescent="0.25">
      <c r="A24" s="45">
        <v>5</v>
      </c>
      <c r="B24" s="378"/>
      <c r="C24" s="222" t="s">
        <v>143</v>
      </c>
      <c r="D24" s="378"/>
      <c r="E24" s="378"/>
      <c r="F24" s="90">
        <f>SUM(F23:F23)</f>
        <v>152</v>
      </c>
      <c r="G24" s="2"/>
      <c r="H24" s="5"/>
      <c r="I24" s="2"/>
      <c r="J24" s="446"/>
      <c r="K24" s="2"/>
      <c r="L24" s="90">
        <f>SUM(L23:L23)</f>
        <v>20976</v>
      </c>
      <c r="M24" s="2"/>
      <c r="N24" s="150">
        <f>ROUND((+L24/$L$63)*100,1)</f>
        <v>0.1</v>
      </c>
      <c r="O24" s="2"/>
      <c r="P24" s="90"/>
      <c r="Q24" s="83"/>
      <c r="R24" s="90">
        <f>SUM(R23:R23)</f>
        <v>20976</v>
      </c>
      <c r="S24" s="379"/>
      <c r="V24" s="381"/>
      <c r="Y24" s="381"/>
      <c r="Z24" s="464"/>
      <c r="AA24" s="381"/>
      <c r="AB24" s="381"/>
      <c r="AC24" s="381"/>
      <c r="AD24" s="381"/>
      <c r="AE24" s="381"/>
      <c r="AF24" s="381"/>
      <c r="AI24" s="381"/>
      <c r="AJ24" s="381"/>
      <c r="AK24" s="162"/>
      <c r="AL24" s="381"/>
      <c r="AM24" s="50"/>
      <c r="AN24" s="50"/>
    </row>
    <row r="25" spans="1:40" x14ac:dyDescent="0.25">
      <c r="A25" s="45">
        <v>6</v>
      </c>
      <c r="B25" s="378"/>
      <c r="C25" s="222" t="s">
        <v>65</v>
      </c>
      <c r="D25" s="378"/>
      <c r="E25" s="378"/>
      <c r="F25" s="86"/>
      <c r="G25" s="2"/>
      <c r="H25" s="86"/>
      <c r="I25" s="2"/>
      <c r="J25" s="481"/>
      <c r="K25" s="2"/>
      <c r="L25" s="5"/>
      <c r="M25" s="2"/>
      <c r="N25" s="149"/>
      <c r="O25" s="2"/>
      <c r="P25" s="5"/>
      <c r="Q25" s="83"/>
      <c r="R25" s="5"/>
      <c r="S25" s="379"/>
      <c r="V25" s="449"/>
      <c r="Y25" s="449"/>
      <c r="Z25" s="464"/>
      <c r="AA25" s="379"/>
      <c r="AB25" s="379"/>
      <c r="AC25" s="50"/>
      <c r="AD25" s="50"/>
      <c r="AE25" s="379"/>
      <c r="AF25" s="379"/>
      <c r="AI25" s="379"/>
      <c r="AJ25" s="379"/>
      <c r="AK25" s="156"/>
      <c r="AL25" s="379"/>
      <c r="AM25" s="50"/>
      <c r="AN25" s="50"/>
    </row>
    <row r="26" spans="1:40" x14ac:dyDescent="0.25">
      <c r="A26" s="45">
        <v>7</v>
      </c>
      <c r="B26" s="378"/>
      <c r="C26" s="46" t="s">
        <v>66</v>
      </c>
      <c r="D26" s="378"/>
      <c r="E26" s="378"/>
      <c r="F26" s="86"/>
      <c r="G26" s="2"/>
      <c r="H26" s="392">
        <v>315104</v>
      </c>
      <c r="I26" s="2"/>
      <c r="J26" s="450">
        <f>INPUT!D76</f>
        <v>15.45</v>
      </c>
      <c r="K26" s="2"/>
      <c r="L26" s="5">
        <f>ROUND(+H26*J26,0)</f>
        <v>4868357</v>
      </c>
      <c r="M26" s="2"/>
      <c r="N26" s="383">
        <f>ROUND((+L26/$L$63)*100,1)</f>
        <v>12.8</v>
      </c>
      <c r="O26" s="2"/>
      <c r="P26" s="5"/>
      <c r="Q26" s="83"/>
      <c r="R26" s="5">
        <f>L26+P26</f>
        <v>4868357</v>
      </c>
      <c r="S26" s="379"/>
      <c r="V26" s="381"/>
      <c r="Y26" s="449"/>
      <c r="Z26" s="464"/>
      <c r="AA26" s="379"/>
      <c r="AB26" s="379"/>
      <c r="AC26" s="50"/>
      <c r="AD26" s="50"/>
      <c r="AE26" s="379"/>
      <c r="AF26" s="379"/>
      <c r="AG26" s="156"/>
      <c r="AH26" s="50"/>
      <c r="AI26" s="379"/>
      <c r="AJ26" s="379"/>
      <c r="AK26" s="156"/>
      <c r="AL26" s="379"/>
      <c r="AM26" s="50"/>
      <c r="AN26" s="50"/>
    </row>
    <row r="27" spans="1:40" x14ac:dyDescent="0.25">
      <c r="A27" s="45">
        <v>8</v>
      </c>
      <c r="B27" s="378"/>
      <c r="C27" s="46" t="s">
        <v>67</v>
      </c>
      <c r="D27" s="378"/>
      <c r="E27" s="378"/>
      <c r="F27" s="86"/>
      <c r="G27" s="2"/>
      <c r="H27" s="392">
        <v>17816</v>
      </c>
      <c r="I27" s="2"/>
      <c r="J27" s="450">
        <f>INPUT!D77</f>
        <v>1.39</v>
      </c>
      <c r="K27" s="2"/>
      <c r="L27" s="5">
        <f>ROUND(+H27*J27,0)</f>
        <v>24764</v>
      </c>
      <c r="M27" s="2"/>
      <c r="N27" s="148">
        <f>ROUND((+L27/$L$63)*100,1)</f>
        <v>0.1</v>
      </c>
      <c r="O27" s="2"/>
      <c r="P27" s="5"/>
      <c r="Q27" s="83"/>
      <c r="R27" s="5">
        <f>L27+P27</f>
        <v>24764</v>
      </c>
      <c r="S27" s="379"/>
      <c r="T27" s="54"/>
      <c r="V27" s="449"/>
      <c r="Y27" s="379"/>
      <c r="Z27" s="463"/>
      <c r="AA27" s="379"/>
      <c r="AB27" s="379"/>
      <c r="AC27" s="50"/>
      <c r="AD27" s="50"/>
      <c r="AE27" s="379"/>
      <c r="AF27" s="379"/>
      <c r="AG27" s="156"/>
      <c r="AH27" s="50"/>
      <c r="AI27" s="379"/>
      <c r="AJ27" s="379"/>
      <c r="AK27" s="156"/>
      <c r="AL27" s="379"/>
      <c r="AM27" s="50"/>
      <c r="AN27" s="50"/>
    </row>
    <row r="28" spans="1:40" ht="20.100000000000001" customHeight="1" x14ac:dyDescent="0.25">
      <c r="A28" s="45">
        <v>9</v>
      </c>
      <c r="B28" s="378"/>
      <c r="C28" s="222" t="s">
        <v>152</v>
      </c>
      <c r="D28" s="378"/>
      <c r="E28" s="378"/>
      <c r="F28" s="5"/>
      <c r="G28" s="2"/>
      <c r="H28" s="90">
        <f>SUM(H26:H27)</f>
        <v>332920</v>
      </c>
      <c r="I28" s="2"/>
      <c r="J28" s="446"/>
      <c r="K28" s="2"/>
      <c r="L28" s="90">
        <f>SUM(L26:L27)</f>
        <v>4893121</v>
      </c>
      <c r="M28" s="2"/>
      <c r="N28" s="150">
        <f>ROUND((+L28/$L$63)*100,1)</f>
        <v>12.9</v>
      </c>
      <c r="O28" s="2"/>
      <c r="P28" s="90"/>
      <c r="Q28" s="94"/>
      <c r="R28" s="90">
        <f>SUM(R26:R27)</f>
        <v>4893121</v>
      </c>
      <c r="S28" s="379"/>
      <c r="V28" s="381"/>
      <c r="Y28" s="381"/>
      <c r="Z28" s="464"/>
      <c r="AA28" s="381"/>
      <c r="AB28" s="381"/>
      <c r="AC28" s="381"/>
      <c r="AD28" s="381"/>
      <c r="AE28" s="381"/>
      <c r="AF28" s="381"/>
      <c r="AI28" s="381"/>
      <c r="AJ28" s="381"/>
      <c r="AK28" s="162"/>
      <c r="AL28" s="381"/>
      <c r="AM28" s="50"/>
      <c r="AN28" s="50"/>
    </row>
    <row r="29" spans="1:40" x14ac:dyDescent="0.25">
      <c r="A29" s="45">
        <v>10</v>
      </c>
      <c r="B29" s="378"/>
      <c r="C29" s="222" t="s">
        <v>153</v>
      </c>
      <c r="D29" s="378"/>
      <c r="E29" s="378"/>
      <c r="F29" s="5"/>
      <c r="G29" s="2"/>
      <c r="H29" s="5"/>
      <c r="I29" s="2"/>
      <c r="J29" s="446"/>
      <c r="K29" s="2"/>
      <c r="L29" s="5"/>
      <c r="M29" s="2"/>
      <c r="N29" s="149"/>
      <c r="O29" s="2"/>
      <c r="P29" s="5"/>
      <c r="Q29" s="94"/>
      <c r="R29" s="5"/>
      <c r="S29" s="379"/>
      <c r="V29" s="388"/>
      <c r="Y29" s="381"/>
      <c r="Z29" s="464"/>
      <c r="AA29" s="381"/>
      <c r="AB29" s="381"/>
      <c r="AC29" s="381"/>
      <c r="AD29" s="381"/>
      <c r="AE29" s="381"/>
      <c r="AF29" s="381"/>
      <c r="AI29" s="381"/>
      <c r="AJ29" s="381"/>
      <c r="AK29" s="162"/>
      <c r="AL29" s="381"/>
      <c r="AM29" s="50"/>
      <c r="AN29" s="50"/>
    </row>
    <row r="30" spans="1:40" x14ac:dyDescent="0.25">
      <c r="A30" s="45">
        <v>11</v>
      </c>
      <c r="B30" s="378"/>
      <c r="C30" s="216" t="s">
        <v>154</v>
      </c>
      <c r="D30" s="378"/>
      <c r="E30" s="378"/>
      <c r="F30" s="5"/>
      <c r="G30" s="2"/>
      <c r="H30" s="392">
        <v>124908</v>
      </c>
      <c r="I30" s="2"/>
      <c r="J30" s="450">
        <f>INPUT!D80</f>
        <v>-0.78</v>
      </c>
      <c r="K30" s="2"/>
      <c r="L30" s="5">
        <f>ROUND(+H30*J30,0)</f>
        <v>-97428</v>
      </c>
      <c r="M30" s="2"/>
      <c r="N30" s="383">
        <f>ROUND((+L30/$L$63)*100,1)</f>
        <v>-0.3</v>
      </c>
      <c r="O30" s="2"/>
      <c r="P30" s="5"/>
      <c r="Q30" s="94"/>
      <c r="R30" s="5">
        <f>L30+P30</f>
        <v>-97428</v>
      </c>
      <c r="S30" s="379"/>
      <c r="T30" s="54"/>
      <c r="Z30" s="464"/>
      <c r="AA30" s="379"/>
      <c r="AB30" s="379"/>
      <c r="AC30" s="50"/>
      <c r="AD30" s="50"/>
      <c r="AE30" s="379"/>
      <c r="AF30" s="379"/>
      <c r="AG30" s="156"/>
      <c r="AH30" s="50"/>
      <c r="AI30" s="379"/>
      <c r="AJ30" s="379"/>
      <c r="AK30" s="156"/>
      <c r="AL30" s="379"/>
      <c r="AM30" s="50"/>
      <c r="AN30" s="50"/>
    </row>
    <row r="31" spans="1:40" x14ac:dyDescent="0.25">
      <c r="A31" s="45">
        <v>12</v>
      </c>
      <c r="B31" s="378"/>
      <c r="C31" s="216" t="s">
        <v>155</v>
      </c>
      <c r="D31" s="378"/>
      <c r="E31" s="378"/>
      <c r="F31" s="2"/>
      <c r="G31" s="2"/>
      <c r="H31" s="452">
        <v>208011</v>
      </c>
      <c r="I31" s="2"/>
      <c r="J31" s="450">
        <f>INPUT!D81</f>
        <v>-0.61</v>
      </c>
      <c r="K31" s="2"/>
      <c r="L31" s="5">
        <f>ROUND(+H31*J31,0)</f>
        <v>-126887</v>
      </c>
      <c r="M31" s="2"/>
      <c r="N31" s="383">
        <f>ROUND((+L31/$L$63)*100,1)</f>
        <v>-0.3</v>
      </c>
      <c r="O31" s="2"/>
      <c r="P31" s="5"/>
      <c r="Q31" s="83"/>
      <c r="R31" s="5">
        <f>L31+P31</f>
        <v>-126887</v>
      </c>
      <c r="S31" s="379"/>
      <c r="V31" s="381"/>
      <c r="Y31" s="381"/>
      <c r="Z31" s="464"/>
      <c r="AA31" s="381"/>
      <c r="AB31" s="381"/>
      <c r="AC31" s="381"/>
      <c r="AD31" s="381"/>
      <c r="AE31" s="381"/>
      <c r="AF31" s="381"/>
      <c r="AI31" s="381"/>
      <c r="AJ31" s="381"/>
      <c r="AK31" s="162"/>
      <c r="AL31" s="381"/>
    </row>
    <row r="32" spans="1:40" ht="20.100000000000001" customHeight="1" x14ac:dyDescent="0.25">
      <c r="A32" s="45">
        <v>13</v>
      </c>
      <c r="B32" s="378"/>
      <c r="C32" s="222" t="s">
        <v>68</v>
      </c>
      <c r="D32" s="378"/>
      <c r="E32" s="378"/>
      <c r="F32" s="5"/>
      <c r="G32" s="2"/>
      <c r="H32" s="90">
        <f>SUM(H30:H31)</f>
        <v>332919</v>
      </c>
      <c r="I32" s="2"/>
      <c r="J32" s="9"/>
      <c r="K32" s="2"/>
      <c r="L32" s="90">
        <f>L28+L30+L31</f>
        <v>4668806</v>
      </c>
      <c r="M32" s="2"/>
      <c r="N32" s="150">
        <f>ROUND((+L32/$L$63)*100,1)</f>
        <v>12.3</v>
      </c>
      <c r="O32" s="2"/>
      <c r="P32" s="90"/>
      <c r="Q32" s="83"/>
      <c r="R32" s="90">
        <f>R28+R30+R31</f>
        <v>4668806</v>
      </c>
      <c r="S32" s="379"/>
      <c r="AA32" s="379"/>
      <c r="AB32" s="379"/>
      <c r="AC32" s="379"/>
      <c r="AD32" s="379"/>
      <c r="AI32" s="379"/>
      <c r="AJ32" s="379"/>
      <c r="AK32" s="156"/>
      <c r="AL32" s="379"/>
    </row>
    <row r="33" spans="1:43" x14ac:dyDescent="0.25">
      <c r="A33" s="45">
        <v>14</v>
      </c>
      <c r="B33" s="378"/>
      <c r="C33" s="222" t="s">
        <v>432</v>
      </c>
      <c r="D33" s="378"/>
      <c r="E33" s="378"/>
      <c r="F33" s="5"/>
      <c r="G33" s="2"/>
      <c r="H33" s="5"/>
      <c r="I33" s="2"/>
      <c r="J33" s="9"/>
      <c r="K33" s="2"/>
      <c r="L33" s="5"/>
      <c r="M33" s="2"/>
      <c r="N33" s="149"/>
      <c r="O33" s="2"/>
      <c r="P33" s="5"/>
      <c r="Q33" s="83"/>
      <c r="R33" s="5"/>
      <c r="Y33" s="54"/>
    </row>
    <row r="34" spans="1:43" x14ac:dyDescent="0.25">
      <c r="A34" s="45">
        <v>15</v>
      </c>
      <c r="B34" s="378"/>
      <c r="C34" s="46" t="s">
        <v>445</v>
      </c>
      <c r="D34" s="378"/>
      <c r="E34" s="378"/>
      <c r="F34" s="5"/>
      <c r="G34" s="2"/>
      <c r="H34" s="48">
        <v>47227851</v>
      </c>
      <c r="I34" s="2"/>
      <c r="J34" s="453">
        <f>INPUT!D72</f>
        <v>4.8711999999999998E-2</v>
      </c>
      <c r="K34" s="2"/>
      <c r="L34" s="5">
        <f>ROUND((+H34*J34),0)</f>
        <v>2300563</v>
      </c>
      <c r="M34" s="2"/>
      <c r="N34" s="6">
        <f>ROUND((+L34/$L$63)*100,1)</f>
        <v>6</v>
      </c>
      <c r="O34" s="2"/>
      <c r="P34" s="5"/>
      <c r="Q34" s="83"/>
      <c r="R34" s="5">
        <f>L34+P34</f>
        <v>2300563</v>
      </c>
      <c r="Y34" s="54"/>
    </row>
    <row r="35" spans="1:43" x14ac:dyDescent="0.25">
      <c r="A35" s="45">
        <v>16</v>
      </c>
      <c r="B35" s="378"/>
      <c r="C35" s="46" t="s">
        <v>446</v>
      </c>
      <c r="D35" s="378"/>
      <c r="E35" s="378"/>
      <c r="F35" s="81"/>
      <c r="G35" s="2"/>
      <c r="H35" s="452">
        <v>121301918</v>
      </c>
      <c r="I35" s="2"/>
      <c r="J35" s="453">
        <f>INPUT!D74</f>
        <v>3.9890000000000002E-2</v>
      </c>
      <c r="K35" s="2"/>
      <c r="L35" s="81">
        <f>ROUND((+H35*J35),0)</f>
        <v>4838734</v>
      </c>
      <c r="M35" s="2"/>
      <c r="N35" s="88">
        <f>ROUND((+L35/$L$63)*100,1)</f>
        <v>12.7</v>
      </c>
      <c r="O35" s="2"/>
      <c r="P35" s="81"/>
      <c r="Q35" s="83"/>
      <c r="R35" s="81">
        <f>L35+P35</f>
        <v>4838734</v>
      </c>
      <c r="Z35" s="53"/>
    </row>
    <row r="36" spans="1:43" ht="24.75" customHeight="1" x14ac:dyDescent="0.25">
      <c r="A36" s="45">
        <v>17</v>
      </c>
      <c r="B36" s="378"/>
      <c r="C36" s="222" t="s">
        <v>58</v>
      </c>
      <c r="D36" s="378"/>
      <c r="E36" s="378"/>
      <c r="F36" s="90">
        <f>F24</f>
        <v>152</v>
      </c>
      <c r="G36" s="2"/>
      <c r="H36" s="90">
        <f>H34+H35</f>
        <v>168529769</v>
      </c>
      <c r="I36" s="2"/>
      <c r="J36" s="446"/>
      <c r="K36" s="2"/>
      <c r="L36" s="90">
        <f>L24+L32+L34+L35</f>
        <v>11829079</v>
      </c>
      <c r="M36" s="2"/>
      <c r="N36" s="93">
        <f>ROUND((+L36/$L$63)*100,1)</f>
        <v>31.1</v>
      </c>
      <c r="O36" s="2"/>
      <c r="P36" s="482"/>
      <c r="Q36" s="84"/>
      <c r="R36" s="90">
        <f>R24+R32+R34+R35</f>
        <v>11829079</v>
      </c>
      <c r="AK36" s="161"/>
      <c r="AL36" s="54"/>
    </row>
    <row r="37" spans="1:43" x14ac:dyDescent="0.25">
      <c r="A37" s="45"/>
      <c r="B37" s="378"/>
      <c r="C37" s="46"/>
      <c r="D37" s="378"/>
      <c r="E37" s="378"/>
      <c r="F37" s="83"/>
      <c r="G37" s="2"/>
      <c r="H37" s="83"/>
      <c r="I37" s="2"/>
      <c r="J37" s="446"/>
      <c r="K37" s="2"/>
      <c r="L37" s="83"/>
      <c r="M37" s="2"/>
      <c r="N37" s="383"/>
      <c r="O37" s="2"/>
      <c r="P37" s="83"/>
      <c r="Q37" s="84"/>
      <c r="R37" s="83"/>
      <c r="AK37" s="161"/>
      <c r="AL37" s="54"/>
    </row>
    <row r="38" spans="1:43" x14ac:dyDescent="0.25">
      <c r="A38" s="45">
        <v>18</v>
      </c>
      <c r="B38" s="378"/>
      <c r="C38" s="222" t="s">
        <v>59</v>
      </c>
      <c r="D38" s="378"/>
      <c r="E38" s="378"/>
      <c r="F38" s="86"/>
      <c r="G38" s="2"/>
      <c r="H38" s="483">
        <f>185857814-185857934</f>
        <v>-120</v>
      </c>
      <c r="I38" s="2"/>
      <c r="J38" s="446"/>
      <c r="K38" s="2"/>
      <c r="L38" s="5"/>
      <c r="M38" s="2"/>
      <c r="N38" s="149"/>
      <c r="O38" s="2"/>
      <c r="P38" s="5"/>
      <c r="Q38" s="84"/>
      <c r="R38" s="5"/>
      <c r="T38" s="378"/>
      <c r="U38" s="378"/>
      <c r="X38" s="378"/>
      <c r="Y38" s="378"/>
      <c r="Z38" s="378"/>
      <c r="AA38" s="378"/>
      <c r="AB38" s="378"/>
      <c r="AC38" s="378"/>
      <c r="AD38" s="378"/>
      <c r="AE38" s="378"/>
      <c r="AF38" s="378"/>
      <c r="AG38" s="143"/>
      <c r="AH38" s="378"/>
      <c r="AI38" s="378"/>
      <c r="AJ38" s="378"/>
      <c r="AK38" s="143"/>
      <c r="AL38" s="378"/>
      <c r="AM38" s="378"/>
      <c r="AN38" s="378"/>
      <c r="AO38" s="378"/>
      <c r="AP38" s="378"/>
      <c r="AQ38" s="143"/>
    </row>
    <row r="39" spans="1:43" x14ac:dyDescent="0.25">
      <c r="A39" s="45">
        <v>19</v>
      </c>
      <c r="B39" s="378"/>
      <c r="C39" s="222" t="s">
        <v>140</v>
      </c>
      <c r="D39" s="378"/>
      <c r="E39" s="378"/>
      <c r="F39" s="2"/>
      <c r="G39" s="2"/>
      <c r="H39" s="2"/>
      <c r="I39" s="2"/>
      <c r="J39" s="2"/>
      <c r="K39" s="2"/>
      <c r="L39" s="2"/>
      <c r="M39" s="2"/>
      <c r="N39" s="147"/>
      <c r="O39" s="2"/>
      <c r="P39" s="2"/>
      <c r="Q39" s="99"/>
      <c r="R39" s="2"/>
      <c r="T39" s="378"/>
      <c r="U39" s="378"/>
      <c r="V39" s="378"/>
      <c r="W39" s="378"/>
      <c r="X39" s="378"/>
      <c r="Y39" s="378"/>
      <c r="Z39" s="378"/>
      <c r="AA39" s="378"/>
      <c r="AB39" s="378"/>
      <c r="AC39" s="378"/>
      <c r="AD39" s="378"/>
      <c r="AE39" s="378"/>
      <c r="AF39" s="378"/>
      <c r="AG39" s="143"/>
      <c r="AH39" s="378"/>
      <c r="AI39" s="378"/>
      <c r="AJ39" s="378"/>
      <c r="AK39" s="143"/>
      <c r="AL39" s="378"/>
      <c r="AM39" s="378"/>
      <c r="AN39" s="378"/>
      <c r="AO39" s="378"/>
      <c r="AP39" s="378"/>
      <c r="AQ39" s="143"/>
    </row>
    <row r="40" spans="1:43" x14ac:dyDescent="0.25">
      <c r="A40" s="45">
        <v>20</v>
      </c>
      <c r="B40" s="378"/>
      <c r="C40" s="46" t="s">
        <v>151</v>
      </c>
      <c r="D40" s="378"/>
      <c r="E40" s="378"/>
      <c r="F40" s="392">
        <v>303</v>
      </c>
      <c r="G40" s="2"/>
      <c r="H40" s="86"/>
      <c r="I40" s="2"/>
      <c r="J40" s="96">
        <f>J23</f>
        <v>138</v>
      </c>
      <c r="K40" s="2"/>
      <c r="L40" s="5">
        <f>ROUND(+F40*J40,0)</f>
        <v>41814</v>
      </c>
      <c r="M40" s="2"/>
      <c r="N40" s="148">
        <f>ROUND((+L40/$L$63)*100,1)</f>
        <v>0.1</v>
      </c>
      <c r="O40" s="2"/>
      <c r="P40" s="5"/>
      <c r="Q40" s="100"/>
      <c r="R40" s="5">
        <f>L40+P40</f>
        <v>41814</v>
      </c>
      <c r="T40" s="378"/>
      <c r="U40" s="378"/>
      <c r="V40" s="378"/>
      <c r="W40" s="378"/>
      <c r="X40" s="378"/>
      <c r="Y40" s="378"/>
      <c r="Z40" s="378"/>
      <c r="AA40" s="378"/>
      <c r="AB40" s="378"/>
      <c r="AC40" s="378"/>
      <c r="AD40" s="378"/>
      <c r="AE40" s="378"/>
      <c r="AF40" s="378"/>
      <c r="AG40" s="143"/>
      <c r="AH40" s="378"/>
      <c r="AI40" s="378"/>
      <c r="AJ40" s="378"/>
      <c r="AK40" s="143"/>
      <c r="AL40" s="378"/>
      <c r="AM40" s="378"/>
      <c r="AN40" s="378"/>
      <c r="AO40" s="378"/>
      <c r="AP40" s="378"/>
      <c r="AQ40" s="143"/>
    </row>
    <row r="41" spans="1:43" ht="20.100000000000001" customHeight="1" x14ac:dyDescent="0.25">
      <c r="A41" s="45">
        <v>21</v>
      </c>
      <c r="B41" s="378"/>
      <c r="C41" s="222" t="s">
        <v>143</v>
      </c>
      <c r="D41" s="378"/>
      <c r="E41" s="378"/>
      <c r="F41" s="90">
        <f>SUM(F40:F40)</f>
        <v>303</v>
      </c>
      <c r="G41" s="2"/>
      <c r="H41" s="5"/>
      <c r="I41" s="2"/>
      <c r="J41" s="446"/>
      <c r="K41" s="2"/>
      <c r="L41" s="90">
        <f>SUM(L40:L40)</f>
        <v>41814</v>
      </c>
      <c r="M41" s="2"/>
      <c r="N41" s="150">
        <f>ROUND((+L41/$L$63)*100,1)</f>
        <v>0.1</v>
      </c>
      <c r="O41" s="2"/>
      <c r="P41" s="90"/>
      <c r="Q41" s="100"/>
      <c r="R41" s="90">
        <f>SUM(R40:R40)</f>
        <v>41814</v>
      </c>
      <c r="T41" s="378"/>
      <c r="U41" s="378"/>
      <c r="V41" s="378"/>
      <c r="W41" s="378"/>
      <c r="X41" s="378"/>
      <c r="Y41" s="378"/>
      <c r="Z41" s="378"/>
      <c r="AA41" s="378"/>
      <c r="AB41" s="378"/>
      <c r="AC41" s="378"/>
      <c r="AD41" s="378"/>
      <c r="AE41" s="378"/>
      <c r="AF41" s="378"/>
      <c r="AG41" s="143"/>
      <c r="AH41" s="378"/>
      <c r="AI41" s="378"/>
      <c r="AJ41" s="378"/>
      <c r="AK41" s="143"/>
      <c r="AL41" s="378"/>
      <c r="AM41" s="378"/>
      <c r="AN41" s="378"/>
      <c r="AO41" s="378"/>
      <c r="AP41" s="378"/>
      <c r="AQ41" s="143"/>
    </row>
    <row r="42" spans="1:43" x14ac:dyDescent="0.25">
      <c r="A42" s="45">
        <v>22</v>
      </c>
      <c r="B42" s="378"/>
      <c r="C42" s="222" t="s">
        <v>65</v>
      </c>
      <c r="D42" s="378"/>
      <c r="E42" s="378"/>
      <c r="F42" s="86"/>
      <c r="G42" s="2"/>
      <c r="H42" s="86"/>
      <c r="I42" s="2"/>
      <c r="J42" s="481"/>
      <c r="K42" s="2"/>
      <c r="L42" s="5"/>
      <c r="M42" s="2"/>
      <c r="N42" s="149"/>
      <c r="O42" s="2"/>
      <c r="P42" s="5"/>
      <c r="Q42" s="99"/>
      <c r="R42" s="5"/>
      <c r="T42" s="378"/>
      <c r="U42" s="378"/>
      <c r="V42" s="378"/>
      <c r="W42" s="378"/>
      <c r="X42" s="378"/>
      <c r="Y42" s="378"/>
      <c r="Z42" s="378"/>
      <c r="AA42" s="378"/>
      <c r="AB42" s="378"/>
      <c r="AC42" s="378"/>
      <c r="AD42" s="378"/>
      <c r="AE42" s="378"/>
      <c r="AF42" s="378"/>
      <c r="AG42" s="143"/>
      <c r="AH42" s="378"/>
      <c r="AI42" s="378"/>
      <c r="AJ42" s="378"/>
      <c r="AK42" s="143"/>
      <c r="AL42" s="378"/>
      <c r="AM42" s="378"/>
      <c r="AN42" s="378"/>
      <c r="AO42" s="378"/>
      <c r="AP42" s="378"/>
      <c r="AQ42" s="143"/>
    </row>
    <row r="43" spans="1:43" x14ac:dyDescent="0.25">
      <c r="A43" s="45">
        <v>23</v>
      </c>
      <c r="B43" s="378"/>
      <c r="C43" s="46" t="s">
        <v>66</v>
      </c>
      <c r="D43" s="378"/>
      <c r="E43" s="378"/>
      <c r="F43" s="86"/>
      <c r="G43" s="2"/>
      <c r="H43" s="392">
        <v>569529.32999999996</v>
      </c>
      <c r="I43" s="2"/>
      <c r="J43" s="450">
        <f>INPUT!D78</f>
        <v>14.62</v>
      </c>
      <c r="K43" s="2"/>
      <c r="L43" s="5">
        <f>ROUND(+H43*J43,0)</f>
        <v>8326519</v>
      </c>
      <c r="M43" s="2"/>
      <c r="N43" s="149">
        <f>ROUND((+L43/$L$63)*100,1)</f>
        <v>21.9</v>
      </c>
      <c r="O43" s="2"/>
      <c r="P43" s="5"/>
      <c r="Q43" s="100"/>
      <c r="R43" s="5">
        <f>L43+P43</f>
        <v>8326519</v>
      </c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143"/>
      <c r="AH43" s="378"/>
      <c r="AI43" s="378"/>
      <c r="AJ43" s="378"/>
      <c r="AK43" s="143"/>
      <c r="AL43" s="378"/>
      <c r="AM43" s="378"/>
      <c r="AN43" s="378"/>
      <c r="AO43" s="378"/>
      <c r="AP43" s="378"/>
      <c r="AQ43" s="143"/>
    </row>
    <row r="44" spans="1:43" x14ac:dyDescent="0.25">
      <c r="A44" s="45">
        <v>24</v>
      </c>
      <c r="B44" s="378"/>
      <c r="C44" s="46" t="s">
        <v>67</v>
      </c>
      <c r="D44" s="378"/>
      <c r="E44" s="378"/>
      <c r="F44" s="86"/>
      <c r="G44" s="2"/>
      <c r="H44" s="392">
        <v>36585.769999999997</v>
      </c>
      <c r="I44" s="2"/>
      <c r="J44" s="450">
        <f>INPUT!D79</f>
        <v>1.39</v>
      </c>
      <c r="K44" s="2"/>
      <c r="L44" s="5">
        <f>ROUND(+H44*J44,0)</f>
        <v>50854</v>
      </c>
      <c r="M44" s="2"/>
      <c r="N44" s="148">
        <f>ROUND((+L44/$L$63)*100,1)</f>
        <v>0.1</v>
      </c>
      <c r="O44" s="2"/>
      <c r="P44" s="5"/>
      <c r="Q44" s="84"/>
      <c r="R44" s="5">
        <f>L44+P44</f>
        <v>50854</v>
      </c>
      <c r="T44" s="378"/>
      <c r="U44" s="378"/>
      <c r="V44" s="378"/>
      <c r="W44" s="378"/>
      <c r="X44" s="378"/>
      <c r="Y44" s="378"/>
      <c r="Z44" s="378"/>
      <c r="AA44" s="378"/>
      <c r="AB44" s="378"/>
      <c r="AC44" s="378"/>
      <c r="AD44" s="378"/>
      <c r="AE44" s="378"/>
      <c r="AF44" s="378"/>
      <c r="AG44" s="143"/>
      <c r="AH44" s="378"/>
      <c r="AI44" s="378"/>
      <c r="AJ44" s="378"/>
      <c r="AK44" s="143"/>
      <c r="AL44" s="378"/>
      <c r="AM44" s="378"/>
      <c r="AN44" s="378"/>
      <c r="AO44" s="378"/>
      <c r="AP44" s="378"/>
      <c r="AQ44" s="143"/>
    </row>
    <row r="45" spans="1:43" ht="20.100000000000001" customHeight="1" x14ac:dyDescent="0.25">
      <c r="A45" s="45">
        <v>25</v>
      </c>
      <c r="B45" s="378"/>
      <c r="C45" s="222" t="s">
        <v>152</v>
      </c>
      <c r="D45" s="378"/>
      <c r="E45" s="378"/>
      <c r="F45" s="5"/>
      <c r="G45" s="2"/>
      <c r="H45" s="90">
        <f>SUM(H43:H44)</f>
        <v>606115.1</v>
      </c>
      <c r="I45" s="2"/>
      <c r="J45" s="446"/>
      <c r="K45" s="2"/>
      <c r="L45" s="90">
        <f>SUM(L43:L44)</f>
        <v>8377373</v>
      </c>
      <c r="M45" s="2"/>
      <c r="N45" s="150">
        <f>ROUND((+L45/$L$63)*100,1)</f>
        <v>22</v>
      </c>
      <c r="O45" s="2"/>
      <c r="P45" s="90"/>
      <c r="Q45" s="84"/>
      <c r="R45" s="90">
        <f>SUM(R43:R44)</f>
        <v>8377373</v>
      </c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143"/>
      <c r="AH45" s="378"/>
      <c r="AI45" s="378"/>
      <c r="AJ45" s="378"/>
      <c r="AK45" s="143"/>
      <c r="AL45" s="378"/>
      <c r="AM45" s="378"/>
      <c r="AN45" s="378"/>
      <c r="AO45" s="378"/>
      <c r="AP45" s="378"/>
      <c r="AQ45" s="143"/>
    </row>
    <row r="46" spans="1:43" x14ac:dyDescent="0.25">
      <c r="A46" s="45">
        <v>26</v>
      </c>
      <c r="B46" s="378"/>
      <c r="C46" s="222" t="s">
        <v>153</v>
      </c>
      <c r="D46" s="378"/>
      <c r="E46" s="378"/>
      <c r="F46" s="5"/>
      <c r="G46" s="2"/>
      <c r="H46" s="5"/>
      <c r="I46" s="2"/>
      <c r="J46" s="446"/>
      <c r="K46" s="2"/>
      <c r="L46" s="5"/>
      <c r="M46" s="2"/>
      <c r="N46" s="149"/>
      <c r="O46" s="2"/>
      <c r="P46" s="5"/>
      <c r="Q46" s="97"/>
      <c r="R46" s="5"/>
      <c r="T46" s="378"/>
      <c r="U46" s="378"/>
      <c r="V46" s="378"/>
      <c r="W46" s="378"/>
      <c r="X46" s="378"/>
      <c r="Y46" s="378"/>
      <c r="Z46" s="378"/>
      <c r="AA46" s="378"/>
      <c r="AB46" s="378"/>
      <c r="AC46" s="378"/>
      <c r="AD46" s="378"/>
      <c r="AE46" s="378"/>
      <c r="AF46" s="378"/>
      <c r="AG46" s="143"/>
      <c r="AH46" s="378"/>
      <c r="AI46" s="378"/>
      <c r="AJ46" s="378"/>
      <c r="AK46" s="143"/>
      <c r="AL46" s="378"/>
      <c r="AM46" s="378"/>
      <c r="AN46" s="378"/>
      <c r="AO46" s="378"/>
      <c r="AP46" s="378"/>
      <c r="AQ46" s="143"/>
    </row>
    <row r="47" spans="1:43" x14ac:dyDescent="0.25">
      <c r="A47" s="45">
        <v>27</v>
      </c>
      <c r="B47" s="378"/>
      <c r="C47" s="216" t="s">
        <v>154</v>
      </c>
      <c r="D47" s="378"/>
      <c r="E47" s="378"/>
      <c r="F47" s="5"/>
      <c r="G47" s="2"/>
      <c r="H47" s="392">
        <v>264574.5</v>
      </c>
      <c r="I47" s="2"/>
      <c r="J47" s="96">
        <f>J30</f>
        <v>-0.78</v>
      </c>
      <c r="K47" s="2"/>
      <c r="L47" s="5">
        <f>ROUND(+H47*J47,0)</f>
        <v>-206368</v>
      </c>
      <c r="M47" s="2"/>
      <c r="N47" s="149">
        <f>ROUND((+L47/$L$63)*100,1)</f>
        <v>-0.5</v>
      </c>
      <c r="O47" s="2"/>
      <c r="P47" s="5"/>
      <c r="Q47" s="97"/>
      <c r="R47" s="5">
        <f>L47+P47</f>
        <v>-206368</v>
      </c>
      <c r="T47" s="378"/>
      <c r="U47" s="378"/>
      <c r="V47" s="378"/>
      <c r="W47" s="378"/>
      <c r="X47" s="378"/>
      <c r="Y47" s="378"/>
      <c r="Z47" s="378"/>
      <c r="AA47" s="378"/>
      <c r="AB47" s="378"/>
      <c r="AC47" s="378"/>
      <c r="AD47" s="378"/>
      <c r="AE47" s="378"/>
      <c r="AF47" s="378"/>
      <c r="AG47" s="143"/>
      <c r="AH47" s="378"/>
      <c r="AI47" s="378"/>
      <c r="AJ47" s="378"/>
      <c r="AK47" s="143"/>
      <c r="AL47" s="378"/>
      <c r="AM47" s="378"/>
      <c r="AN47" s="378"/>
      <c r="AO47" s="378"/>
      <c r="AP47" s="378"/>
      <c r="AQ47" s="143"/>
    </row>
    <row r="48" spans="1:43" x14ac:dyDescent="0.25">
      <c r="A48" s="45">
        <v>28</v>
      </c>
      <c r="B48" s="378"/>
      <c r="C48" s="216" t="s">
        <v>155</v>
      </c>
      <c r="D48" s="378"/>
      <c r="E48" s="378"/>
      <c r="F48" s="2"/>
      <c r="G48" s="2"/>
      <c r="H48" s="452">
        <v>341539.6</v>
      </c>
      <c r="I48" s="2"/>
      <c r="J48" s="96">
        <f>J31</f>
        <v>-0.61</v>
      </c>
      <c r="K48" s="2"/>
      <c r="L48" s="5">
        <f>ROUND(+H48*J48,0)</f>
        <v>-208339</v>
      </c>
      <c r="M48" s="2"/>
      <c r="N48" s="148">
        <f>ROUND((+L48/$L$63)*100,1)</f>
        <v>-0.5</v>
      </c>
      <c r="O48" s="2"/>
      <c r="P48" s="5"/>
      <c r="Q48" s="101"/>
      <c r="R48" s="5">
        <f>L48+P48</f>
        <v>-208339</v>
      </c>
      <c r="T48" s="378"/>
      <c r="U48" s="378"/>
      <c r="V48" s="378"/>
      <c r="W48" s="378"/>
      <c r="X48" s="378"/>
      <c r="Y48" s="378"/>
      <c r="Z48" s="378"/>
      <c r="AA48" s="378"/>
      <c r="AB48" s="378"/>
      <c r="AC48" s="378"/>
      <c r="AD48" s="378"/>
      <c r="AE48" s="378"/>
      <c r="AF48" s="378"/>
      <c r="AG48" s="143"/>
      <c r="AH48" s="378"/>
      <c r="AI48" s="378"/>
      <c r="AJ48" s="378"/>
      <c r="AK48" s="143"/>
      <c r="AL48" s="378"/>
      <c r="AM48" s="378"/>
      <c r="AN48" s="378"/>
      <c r="AO48" s="378"/>
      <c r="AP48" s="378"/>
      <c r="AQ48" s="143"/>
    </row>
    <row r="49" spans="1:43" ht="20.100000000000001" customHeight="1" x14ac:dyDescent="0.25">
      <c r="A49" s="45">
        <v>29</v>
      </c>
      <c r="B49" s="378"/>
      <c r="C49" s="222" t="s">
        <v>68</v>
      </c>
      <c r="D49" s="378"/>
      <c r="E49" s="378"/>
      <c r="F49" s="5"/>
      <c r="G49" s="2"/>
      <c r="H49" s="90">
        <f>SUM(H47:H48)</f>
        <v>606114.1</v>
      </c>
      <c r="I49" s="2"/>
      <c r="J49" s="9"/>
      <c r="K49" s="2"/>
      <c r="L49" s="90">
        <f>L45+L47+L48</f>
        <v>7962666</v>
      </c>
      <c r="M49" s="2"/>
      <c r="N49" s="150">
        <f>ROUND((+L49/$L$63)*100,1)</f>
        <v>20.9</v>
      </c>
      <c r="O49" s="2"/>
      <c r="P49" s="90"/>
      <c r="Q49" s="101"/>
      <c r="R49" s="90">
        <f>R45+R47+R48</f>
        <v>7962666</v>
      </c>
      <c r="T49" s="378"/>
      <c r="U49" s="378"/>
      <c r="V49" s="378"/>
      <c r="W49" s="378"/>
      <c r="X49" s="378"/>
      <c r="Y49" s="378"/>
      <c r="Z49" s="378"/>
      <c r="AA49" s="378"/>
      <c r="AB49" s="378"/>
      <c r="AC49" s="378"/>
      <c r="AD49" s="378"/>
      <c r="AE49" s="378"/>
      <c r="AF49" s="378"/>
      <c r="AG49" s="143"/>
      <c r="AH49" s="378"/>
      <c r="AI49" s="378"/>
      <c r="AJ49" s="378"/>
      <c r="AK49" s="143"/>
      <c r="AL49" s="378"/>
      <c r="AM49" s="378"/>
      <c r="AN49" s="378"/>
      <c r="AO49" s="378"/>
      <c r="AP49" s="378"/>
      <c r="AQ49" s="143"/>
    </row>
    <row r="50" spans="1:43" x14ac:dyDescent="0.25">
      <c r="A50" s="45">
        <v>30</v>
      </c>
      <c r="B50" s="378"/>
      <c r="C50" s="222" t="s">
        <v>432</v>
      </c>
      <c r="D50" s="378"/>
      <c r="E50" s="378"/>
      <c r="F50" s="5"/>
      <c r="G50" s="2"/>
      <c r="H50" s="5"/>
      <c r="I50" s="2"/>
      <c r="J50" s="9"/>
      <c r="K50" s="2"/>
      <c r="L50" s="5"/>
      <c r="M50" s="2"/>
      <c r="N50" s="149"/>
      <c r="O50" s="2"/>
      <c r="P50" s="5"/>
      <c r="Q50" s="83"/>
      <c r="R50" s="5"/>
      <c r="T50" s="378"/>
      <c r="U50" s="378"/>
      <c r="V50" s="378"/>
      <c r="W50" s="378"/>
      <c r="X50" s="378"/>
      <c r="Y50" s="378"/>
      <c r="Z50" s="378"/>
      <c r="AA50" s="378"/>
      <c r="AB50" s="378"/>
      <c r="AC50" s="378"/>
      <c r="AD50" s="378"/>
      <c r="AE50" s="378"/>
      <c r="AF50" s="378"/>
      <c r="AG50" s="143"/>
      <c r="AH50" s="378"/>
      <c r="AI50" s="378"/>
      <c r="AJ50" s="378"/>
      <c r="AK50" s="143"/>
      <c r="AL50" s="378"/>
      <c r="AM50" s="378"/>
      <c r="AN50" s="378"/>
      <c r="AO50" s="378"/>
      <c r="AP50" s="378"/>
      <c r="AQ50" s="143"/>
    </row>
    <row r="51" spans="1:43" x14ac:dyDescent="0.25">
      <c r="A51" s="45">
        <v>31</v>
      </c>
      <c r="B51" s="378"/>
      <c r="C51" s="46" t="s">
        <v>445</v>
      </c>
      <c r="D51" s="378"/>
      <c r="E51" s="378"/>
      <c r="F51" s="5"/>
      <c r="G51" s="2"/>
      <c r="H51" s="48">
        <v>83121332</v>
      </c>
      <c r="I51" s="2"/>
      <c r="J51" s="457">
        <f>INPUT!D73</f>
        <v>4.6498999999999999E-2</v>
      </c>
      <c r="K51" s="2"/>
      <c r="L51" s="5">
        <f>ROUND((+H51*J51),0)</f>
        <v>3865059</v>
      </c>
      <c r="M51" s="2"/>
      <c r="N51" s="6">
        <f>ROUND((+L51/$L$63)*100,1)</f>
        <v>10.199999999999999</v>
      </c>
      <c r="O51" s="2"/>
      <c r="P51" s="5"/>
      <c r="Q51" s="83"/>
      <c r="R51" s="5">
        <f>L51+P51</f>
        <v>3865059</v>
      </c>
      <c r="T51" s="378"/>
      <c r="U51" s="378"/>
      <c r="V51" s="378"/>
      <c r="W51" s="378"/>
      <c r="X51" s="378"/>
      <c r="Y51" s="378"/>
      <c r="Z51" s="378"/>
      <c r="AA51" s="378"/>
      <c r="AB51" s="378"/>
      <c r="AC51" s="378"/>
      <c r="AD51" s="378"/>
      <c r="AE51" s="378"/>
      <c r="AF51" s="378"/>
      <c r="AG51" s="143"/>
      <c r="AH51" s="378"/>
      <c r="AI51" s="378"/>
      <c r="AJ51" s="378"/>
      <c r="AK51" s="143"/>
      <c r="AL51" s="378"/>
      <c r="AM51" s="378"/>
      <c r="AN51" s="378"/>
      <c r="AO51" s="378"/>
      <c r="AP51" s="378"/>
      <c r="AQ51" s="143"/>
    </row>
    <row r="52" spans="1:43" x14ac:dyDescent="0.25">
      <c r="A52" s="45">
        <v>32</v>
      </c>
      <c r="B52" s="378"/>
      <c r="C52" s="46" t="s">
        <v>446</v>
      </c>
      <c r="D52" s="378"/>
      <c r="E52" s="378"/>
      <c r="F52" s="87"/>
      <c r="G52" s="2"/>
      <c r="H52" s="452">
        <v>220999095</v>
      </c>
      <c r="I52" s="2"/>
      <c r="J52" s="268">
        <f>J35</f>
        <v>3.9890000000000002E-2</v>
      </c>
      <c r="K52" s="2"/>
      <c r="L52" s="81">
        <f>ROUND((+H52*J52),0)</f>
        <v>8815654</v>
      </c>
      <c r="M52" s="2"/>
      <c r="N52" s="88">
        <f>ROUND((+L52/$L$63)*100,1)</f>
        <v>23.2</v>
      </c>
      <c r="O52" s="2"/>
      <c r="P52" s="81"/>
      <c r="Q52" s="83"/>
      <c r="R52" s="81">
        <f>L52+P52</f>
        <v>8815654</v>
      </c>
      <c r="T52" s="378"/>
      <c r="U52" s="378"/>
      <c r="V52" s="378"/>
      <c r="W52" s="378"/>
      <c r="X52" s="378"/>
      <c r="Y52" s="378"/>
      <c r="Z52" s="378"/>
      <c r="AA52" s="378"/>
      <c r="AB52" s="378"/>
      <c r="AC52" s="378"/>
      <c r="AD52" s="378"/>
      <c r="AE52" s="378"/>
      <c r="AF52" s="378"/>
      <c r="AG52" s="143"/>
      <c r="AH52" s="378"/>
      <c r="AI52" s="378"/>
      <c r="AJ52" s="378"/>
      <c r="AK52" s="143"/>
      <c r="AL52" s="378"/>
      <c r="AM52" s="378"/>
      <c r="AN52" s="378"/>
      <c r="AO52" s="378"/>
      <c r="AP52" s="378"/>
      <c r="AQ52" s="143"/>
    </row>
    <row r="53" spans="1:43" ht="21.75" customHeight="1" x14ac:dyDescent="0.25">
      <c r="A53" s="45">
        <v>33</v>
      </c>
      <c r="B53" s="378"/>
      <c r="C53" s="222" t="s">
        <v>60</v>
      </c>
      <c r="D53" s="378"/>
      <c r="E53" s="378"/>
      <c r="F53" s="90">
        <f>F41</f>
        <v>303</v>
      </c>
      <c r="G53" s="2"/>
      <c r="H53" s="90">
        <f>H51+H52</f>
        <v>304120427</v>
      </c>
      <c r="I53" s="2"/>
      <c r="J53" s="268"/>
      <c r="K53" s="2"/>
      <c r="L53" s="90">
        <f>L41+L49+L51+L52</f>
        <v>20685193</v>
      </c>
      <c r="M53" s="2"/>
      <c r="N53" s="93">
        <f>ROUND((+L53/$L$63)*100,1)</f>
        <v>54.3</v>
      </c>
      <c r="O53" s="2"/>
      <c r="P53" s="482"/>
      <c r="Q53" s="215"/>
      <c r="R53" s="90">
        <f>R41+R49+R51+R52</f>
        <v>20685193</v>
      </c>
      <c r="T53" s="378"/>
      <c r="U53" s="378"/>
      <c r="V53" s="378"/>
      <c r="W53" s="378"/>
      <c r="X53" s="378"/>
      <c r="Y53" s="378"/>
      <c r="Z53" s="378"/>
      <c r="AA53" s="378"/>
      <c r="AB53" s="378"/>
      <c r="AC53" s="378"/>
      <c r="AD53" s="378"/>
      <c r="AE53" s="378"/>
      <c r="AF53" s="378"/>
      <c r="AG53" s="143"/>
      <c r="AH53" s="378"/>
      <c r="AI53" s="378"/>
      <c r="AJ53" s="378"/>
      <c r="AK53" s="143"/>
      <c r="AL53" s="378"/>
      <c r="AM53" s="378"/>
      <c r="AN53" s="378"/>
      <c r="AO53" s="378"/>
      <c r="AP53" s="378"/>
      <c r="AQ53" s="143"/>
    </row>
    <row r="54" spans="1:43" ht="20.100000000000001" customHeight="1" x14ac:dyDescent="0.25">
      <c r="A54" s="45">
        <v>34</v>
      </c>
      <c r="B54" s="378"/>
      <c r="C54" s="444" t="s">
        <v>514</v>
      </c>
      <c r="D54" s="378"/>
      <c r="E54" s="378"/>
      <c r="F54" s="81">
        <f>F36+F53</f>
        <v>455</v>
      </c>
      <c r="G54" s="2"/>
      <c r="H54" s="81">
        <f>H36+H53</f>
        <v>472650196</v>
      </c>
      <c r="I54" s="2"/>
      <c r="J54" s="268"/>
      <c r="K54" s="2"/>
      <c r="L54" s="90">
        <f>L36+L53</f>
        <v>32514272</v>
      </c>
      <c r="M54" s="84"/>
      <c r="N54" s="93">
        <f>ROUND((+L54/$L$63)*100,1)</f>
        <v>85.4</v>
      </c>
      <c r="O54" s="84"/>
      <c r="P54" s="90"/>
      <c r="Q54" s="101"/>
      <c r="R54" s="90">
        <f>L54+P54</f>
        <v>32514272</v>
      </c>
    </row>
    <row r="55" spans="1:43" x14ac:dyDescent="0.25">
      <c r="A55" s="45"/>
      <c r="B55" s="378"/>
      <c r="C55" s="46"/>
      <c r="D55" s="378"/>
      <c r="E55" s="378"/>
      <c r="F55" s="83"/>
      <c r="G55" s="2"/>
      <c r="H55" s="83"/>
      <c r="I55" s="2"/>
      <c r="J55" s="268"/>
      <c r="K55" s="2"/>
      <c r="L55" s="83"/>
      <c r="M55" s="84"/>
      <c r="N55" s="383"/>
      <c r="O55" s="84"/>
      <c r="P55" s="83"/>
      <c r="Q55" s="101"/>
      <c r="R55" s="83"/>
    </row>
    <row r="56" spans="1:43" x14ac:dyDescent="0.25">
      <c r="A56" s="45">
        <v>35</v>
      </c>
      <c r="B56" s="378"/>
      <c r="C56" s="222" t="s">
        <v>504</v>
      </c>
      <c r="D56" s="378"/>
      <c r="E56" s="378"/>
      <c r="F56" s="83"/>
      <c r="G56" s="2"/>
      <c r="H56" s="83"/>
      <c r="I56" s="2"/>
      <c r="J56" s="268"/>
      <c r="K56" s="2"/>
      <c r="L56" s="83"/>
      <c r="M56" s="84"/>
      <c r="N56" s="383"/>
      <c r="O56" s="84"/>
      <c r="P56" s="83"/>
      <c r="Q56" s="101"/>
      <c r="R56" s="83"/>
    </row>
    <row r="57" spans="1:43" x14ac:dyDescent="0.25">
      <c r="A57" s="45">
        <v>36</v>
      </c>
      <c r="B57" s="378"/>
      <c r="C57" s="216" t="str">
        <f>DSMR_Name</f>
        <v>DEMAND SIDE MANAGEMENT RIDER (DSMR)</v>
      </c>
      <c r="D57" s="378"/>
      <c r="E57" s="378"/>
      <c r="F57" s="83"/>
      <c r="G57" s="2"/>
      <c r="H57" s="83"/>
      <c r="I57" s="2"/>
      <c r="J57" s="465">
        <f>PRO_DSM_DIST</f>
        <v>5.091E-3</v>
      </c>
      <c r="K57" s="2"/>
      <c r="L57" s="83">
        <f>ROUND($H$54*J57,0)</f>
        <v>2406262</v>
      </c>
      <c r="M57" s="84"/>
      <c r="N57" s="149">
        <f>ROUND((+L57/$L$63)*100,1)</f>
        <v>6.3</v>
      </c>
      <c r="O57" s="84"/>
      <c r="P57" s="83"/>
      <c r="Q57" s="101"/>
      <c r="R57" s="5">
        <f t="shared" ref="R57:R60" si="0">L57+P57</f>
        <v>2406262</v>
      </c>
    </row>
    <row r="58" spans="1:43" x14ac:dyDescent="0.25">
      <c r="A58" s="45">
        <v>37</v>
      </c>
      <c r="B58" s="378"/>
      <c r="C58" s="216" t="str">
        <f>ESM_Name</f>
        <v>ENVIRONMENTAL SURCHARGE MECHANISM RIDER (ESM)</v>
      </c>
      <c r="D58" s="378"/>
      <c r="E58" s="378"/>
      <c r="F58" s="83"/>
      <c r="G58" s="2"/>
      <c r="H58" s="83"/>
      <c r="I58" s="2"/>
      <c r="J58" s="453"/>
      <c r="K58" s="2"/>
      <c r="L58" s="83">
        <f>AE128</f>
        <v>3222071</v>
      </c>
      <c r="M58" s="84"/>
      <c r="N58" s="149">
        <f>ROUND((+L58/$L$63)*100,1)</f>
        <v>8.5</v>
      </c>
      <c r="O58" s="84"/>
      <c r="P58" s="83"/>
      <c r="Q58" s="101"/>
      <c r="R58" s="5">
        <f t="shared" si="0"/>
        <v>3222071</v>
      </c>
    </row>
    <row r="59" spans="1:43" x14ac:dyDescent="0.25">
      <c r="A59" s="45">
        <v>38</v>
      </c>
      <c r="B59" s="378"/>
      <c r="C59" s="216" t="str">
        <f>FAC_Name</f>
        <v>FUEL ADJUSTMENT CLAUSE (FAC)</v>
      </c>
      <c r="D59" s="378"/>
      <c r="E59" s="378"/>
      <c r="F59" s="83"/>
      <c r="G59" s="2"/>
      <c r="H59" s="83"/>
      <c r="I59" s="2"/>
      <c r="J59" s="465">
        <f>PRO_FAC</f>
        <v>6.8099999999999996E-4</v>
      </c>
      <c r="K59" s="2"/>
      <c r="L59" s="83"/>
      <c r="M59" s="84"/>
      <c r="N59" s="149"/>
      <c r="O59" s="84"/>
      <c r="P59" s="83">
        <f>ROUND(H54*PRO_FAC,0)</f>
        <v>321875</v>
      </c>
      <c r="Q59" s="101"/>
      <c r="R59" s="5">
        <f t="shared" si="0"/>
        <v>321875</v>
      </c>
    </row>
    <row r="60" spans="1:43" x14ac:dyDescent="0.25">
      <c r="A60" s="45">
        <v>39</v>
      </c>
      <c r="B60" s="378"/>
      <c r="C60" s="216" t="str">
        <f>PSM_Name</f>
        <v>PROFIT SHARING MECHANISM (PSM)</v>
      </c>
      <c r="D60" s="378"/>
      <c r="E60" s="378"/>
      <c r="F60" s="83"/>
      <c r="G60" s="2"/>
      <c r="H60" s="83"/>
      <c r="I60" s="2"/>
      <c r="J60" s="465">
        <f>PRO_PSM</f>
        <v>-1.63E-4</v>
      </c>
      <c r="K60" s="2"/>
      <c r="L60" s="81">
        <f>ROUND(H54*PRO_PSM,0)</f>
        <v>-77042</v>
      </c>
      <c r="M60" s="84"/>
      <c r="N60" s="148">
        <f>ROUND((+L60/$L$63)*100,1)</f>
        <v>-0.2</v>
      </c>
      <c r="O60" s="84"/>
      <c r="P60" s="81"/>
      <c r="Q60" s="101"/>
      <c r="R60" s="5">
        <f t="shared" si="0"/>
        <v>-77042</v>
      </c>
    </row>
    <row r="61" spans="1:43" ht="20.100000000000001" customHeight="1" x14ac:dyDescent="0.25">
      <c r="A61" s="45">
        <v>40</v>
      </c>
      <c r="B61" s="378"/>
      <c r="C61" s="222" t="s">
        <v>510</v>
      </c>
      <c r="D61" s="378"/>
      <c r="E61" s="378"/>
      <c r="F61" s="81"/>
      <c r="G61" s="2"/>
      <c r="H61" s="81"/>
      <c r="I61" s="2"/>
      <c r="J61" s="446"/>
      <c r="K61" s="2"/>
      <c r="L61" s="90">
        <f>SUM(L57:L60)</f>
        <v>5551291</v>
      </c>
      <c r="M61" s="84"/>
      <c r="N61" s="150">
        <f>ROUND((+L61/$L$63)*100,1)</f>
        <v>14.6</v>
      </c>
      <c r="O61" s="84"/>
      <c r="P61" s="90">
        <f>SUM(P57:P60)</f>
        <v>321875</v>
      </c>
      <c r="Q61" s="101"/>
      <c r="R61" s="90">
        <f>SUM(R57:R60)</f>
        <v>5873166</v>
      </c>
    </row>
    <row r="62" spans="1:43" x14ac:dyDescent="0.25">
      <c r="A62" s="45"/>
      <c r="B62" s="378"/>
      <c r="C62" s="46"/>
      <c r="D62" s="378"/>
      <c r="E62" s="378"/>
      <c r="F62" s="83"/>
      <c r="G62" s="2"/>
      <c r="H62" s="83"/>
      <c r="I62" s="2"/>
      <c r="J62" s="446"/>
      <c r="K62" s="2"/>
      <c r="L62" s="83"/>
      <c r="M62" s="84"/>
      <c r="N62" s="383"/>
      <c r="O62" s="84"/>
      <c r="P62" s="83"/>
      <c r="Q62" s="101"/>
      <c r="R62" s="83"/>
    </row>
    <row r="63" spans="1:43" ht="20.100000000000001" customHeight="1" thickBot="1" x14ac:dyDescent="0.3">
      <c r="A63" s="45">
        <v>41</v>
      </c>
      <c r="B63" s="378"/>
      <c r="C63" s="444" t="s">
        <v>515</v>
      </c>
      <c r="D63" s="378"/>
      <c r="E63" s="378"/>
      <c r="F63" s="82">
        <f>F54</f>
        <v>455</v>
      </c>
      <c r="G63" s="2"/>
      <c r="H63" s="82">
        <f>H54</f>
        <v>472650196</v>
      </c>
      <c r="I63" s="2"/>
      <c r="J63" s="2"/>
      <c r="K63" s="2"/>
      <c r="L63" s="82">
        <f>L54+L61</f>
        <v>38065563</v>
      </c>
      <c r="M63" s="2"/>
      <c r="N63" s="151">
        <v>100</v>
      </c>
      <c r="O63" s="2"/>
      <c r="P63" s="82">
        <f>P61</f>
        <v>321875</v>
      </c>
      <c r="Q63" s="94"/>
      <c r="R63" s="82">
        <f>R54+R61</f>
        <v>38387438</v>
      </c>
      <c r="T63" s="378"/>
      <c r="U63" s="378"/>
      <c r="V63" s="378"/>
      <c r="W63" s="378"/>
      <c r="X63" s="378"/>
      <c r="Y63" s="378"/>
      <c r="Z63" s="378"/>
      <c r="AA63" s="378"/>
      <c r="AB63" s="378"/>
      <c r="AC63" s="378"/>
      <c r="AD63" s="378"/>
      <c r="AE63" s="378"/>
      <c r="AF63" s="378"/>
      <c r="AG63" s="143"/>
      <c r="AH63" s="378"/>
      <c r="AI63" s="378"/>
      <c r="AJ63" s="378"/>
      <c r="AK63" s="143"/>
      <c r="AL63" s="378"/>
      <c r="AM63" s="378"/>
      <c r="AN63" s="378"/>
      <c r="AO63" s="378"/>
      <c r="AP63" s="378"/>
      <c r="AQ63" s="143"/>
    </row>
    <row r="64" spans="1:43" ht="16.5" thickTop="1" x14ac:dyDescent="0.25">
      <c r="A64" s="378"/>
      <c r="B64" s="378"/>
      <c r="C64" s="378"/>
      <c r="D64" s="378"/>
      <c r="E64" s="378"/>
      <c r="F64" s="2"/>
      <c r="G64" s="2"/>
      <c r="H64" s="2"/>
      <c r="I64" s="2"/>
      <c r="J64" s="2"/>
      <c r="K64" s="2"/>
      <c r="L64" s="2"/>
      <c r="M64" s="2"/>
      <c r="N64" s="147"/>
      <c r="O64" s="2"/>
      <c r="P64" s="2"/>
      <c r="Q64" s="101"/>
      <c r="R64" s="2"/>
      <c r="T64" s="378"/>
      <c r="U64" s="378"/>
      <c r="V64" s="378"/>
      <c r="W64" s="378"/>
      <c r="X64" s="378"/>
      <c r="Y64" s="378"/>
      <c r="Z64" s="378"/>
      <c r="AA64" s="378"/>
      <c r="AB64" s="378"/>
      <c r="AC64" s="378"/>
      <c r="AD64" s="378"/>
      <c r="AE64" s="378"/>
      <c r="AF64" s="378"/>
      <c r="AG64" s="143"/>
      <c r="AH64" s="378"/>
      <c r="AI64" s="378"/>
      <c r="AJ64" s="378"/>
      <c r="AK64" s="143"/>
      <c r="AL64" s="378"/>
      <c r="AM64" s="378"/>
      <c r="AN64" s="378"/>
      <c r="AO64" s="378"/>
      <c r="AP64" s="378"/>
      <c r="AQ64" s="143"/>
    </row>
    <row r="65" spans="1:43" x14ac:dyDescent="0.25">
      <c r="A65" s="378"/>
      <c r="B65" s="378"/>
      <c r="C65" s="243" t="s">
        <v>61</v>
      </c>
      <c r="D65" s="378"/>
      <c r="E65" s="378"/>
      <c r="F65" s="378"/>
      <c r="G65" s="378"/>
      <c r="H65" s="378"/>
      <c r="I65" s="378"/>
      <c r="J65" s="378"/>
      <c r="K65" s="378"/>
      <c r="L65" s="48"/>
      <c r="M65" s="378"/>
      <c r="N65" s="152"/>
      <c r="O65" s="378"/>
      <c r="P65" s="48"/>
      <c r="Q65" s="379"/>
      <c r="R65" s="48"/>
      <c r="T65" s="378"/>
      <c r="U65" s="378"/>
      <c r="V65" s="378"/>
      <c r="W65" s="378"/>
      <c r="X65" s="378"/>
      <c r="Y65" s="378"/>
      <c r="Z65" s="378"/>
      <c r="AA65" s="378"/>
      <c r="AB65" s="378"/>
      <c r="AC65" s="378"/>
      <c r="AD65" s="378"/>
      <c r="AE65" s="378"/>
      <c r="AF65" s="378"/>
      <c r="AG65" s="143"/>
      <c r="AH65" s="378"/>
      <c r="AI65" s="378"/>
      <c r="AJ65" s="378"/>
      <c r="AK65" s="143"/>
      <c r="AL65" s="378"/>
      <c r="AM65" s="378"/>
      <c r="AN65" s="378"/>
      <c r="AO65" s="378"/>
      <c r="AP65" s="378"/>
      <c r="AQ65" s="143"/>
    </row>
    <row r="66" spans="1:43" x14ac:dyDescent="0.25">
      <c r="A66" s="378"/>
      <c r="B66" s="378"/>
      <c r="C66" s="243" t="str">
        <f>"(2) REFLECTS FUEL COMPONENT OF "&amp;TEXT(PRO_FAC,"$0.000000;($0.000000)")&amp;"  PER KWH."</f>
        <v>(2) REFLECTS FUEL COMPONENT OF $0.000681  PER KWH.</v>
      </c>
      <c r="D66" s="378"/>
      <c r="E66" s="378"/>
      <c r="F66" s="378"/>
      <c r="G66" s="378"/>
      <c r="H66" s="378"/>
      <c r="I66" s="378"/>
      <c r="J66" s="378"/>
      <c r="K66" s="378"/>
      <c r="L66" s="48"/>
      <c r="M66" s="378"/>
      <c r="N66" s="152"/>
      <c r="O66" s="378"/>
      <c r="P66" s="48"/>
      <c r="Q66" s="379"/>
      <c r="R66" s="48"/>
      <c r="T66" s="378"/>
      <c r="U66" s="378"/>
      <c r="V66" s="378"/>
      <c r="W66" s="378"/>
      <c r="X66" s="378"/>
      <c r="Y66" s="378"/>
      <c r="Z66" s="378"/>
      <c r="AA66" s="378"/>
      <c r="AB66" s="378"/>
      <c r="AC66" s="378"/>
      <c r="AD66" s="378"/>
      <c r="AE66" s="378"/>
      <c r="AF66" s="378"/>
      <c r="AG66" s="143"/>
      <c r="AH66" s="378"/>
      <c r="AI66" s="378"/>
      <c r="AJ66" s="378"/>
      <c r="AK66" s="143"/>
      <c r="AL66" s="378"/>
      <c r="AM66" s="378"/>
      <c r="AN66" s="378"/>
      <c r="AO66" s="378"/>
      <c r="AP66" s="378"/>
      <c r="AQ66" s="143"/>
    </row>
    <row r="67" spans="1:43" x14ac:dyDescent="0.25">
      <c r="C67" s="243" t="str">
        <f>"(3) REFLECTS FUEL COST RECOVERY INCLUDED IN BASE RATES OF "&amp;TEXT(PRO_BASE_FUEL,"$0.000000;($0.000000)")&amp;"  PER KWH."</f>
        <v>(3) REFLECTS FUEL COST RECOVERY INCLUDED IN BASE RATES OF $0.023837  PER KWH.</v>
      </c>
      <c r="F67" s="381"/>
      <c r="H67" s="381"/>
      <c r="I67" s="378"/>
      <c r="J67" s="381"/>
      <c r="K67" s="378"/>
      <c r="L67" s="464"/>
      <c r="M67" s="378"/>
      <c r="N67" s="474"/>
      <c r="O67" s="378"/>
      <c r="P67" s="381"/>
      <c r="Q67" s="381"/>
      <c r="R67" s="381"/>
      <c r="T67" s="378"/>
      <c r="U67" s="378"/>
      <c r="V67" s="378"/>
      <c r="W67" s="378"/>
      <c r="X67" s="378"/>
      <c r="Y67" s="378"/>
      <c r="Z67" s="378"/>
      <c r="AA67" s="378"/>
      <c r="AB67" s="378"/>
      <c r="AC67" s="378"/>
      <c r="AD67" s="378"/>
      <c r="AE67" s="378"/>
      <c r="AF67" s="378"/>
      <c r="AG67" s="143"/>
      <c r="AH67" s="378"/>
      <c r="AI67" s="378"/>
      <c r="AJ67" s="378"/>
      <c r="AK67" s="143"/>
      <c r="AL67" s="378"/>
      <c r="AM67" s="378"/>
      <c r="AN67" s="378"/>
      <c r="AO67" s="378"/>
      <c r="AP67" s="378"/>
      <c r="AQ67" s="143"/>
    </row>
    <row r="68" spans="1:43" x14ac:dyDescent="0.25">
      <c r="A68" s="53"/>
      <c r="C68" s="54"/>
      <c r="F68" s="379"/>
      <c r="H68" s="379"/>
      <c r="I68" s="378"/>
      <c r="J68" s="379"/>
      <c r="K68" s="378"/>
      <c r="L68" s="59"/>
      <c r="M68" s="378"/>
      <c r="N68" s="156"/>
      <c r="O68" s="378"/>
      <c r="P68" s="379"/>
      <c r="Q68" s="379"/>
      <c r="R68" s="379"/>
      <c r="T68" s="378"/>
      <c r="U68" s="378"/>
      <c r="V68" s="378"/>
      <c r="W68" s="378"/>
      <c r="X68" s="378"/>
      <c r="Y68" s="378"/>
      <c r="Z68" s="378"/>
      <c r="AA68" s="378"/>
      <c r="AB68" s="378"/>
      <c r="AC68" s="378"/>
      <c r="AD68" s="378"/>
      <c r="AE68" s="378"/>
      <c r="AF68" s="378"/>
      <c r="AG68" s="143"/>
      <c r="AH68" s="378"/>
      <c r="AI68" s="378"/>
      <c r="AJ68" s="378"/>
      <c r="AK68" s="143"/>
      <c r="AL68" s="378"/>
      <c r="AM68" s="378"/>
      <c r="AN68" s="378"/>
      <c r="AO68" s="378"/>
      <c r="AP68" s="378"/>
      <c r="AQ68" s="143"/>
    </row>
    <row r="69" spans="1:43" x14ac:dyDescent="0.25">
      <c r="A69" s="53"/>
      <c r="C69" s="54"/>
      <c r="F69" s="379"/>
      <c r="H69" s="379"/>
      <c r="I69" s="378"/>
      <c r="J69" s="379"/>
      <c r="K69" s="378"/>
      <c r="L69" s="59"/>
      <c r="M69" s="378"/>
      <c r="N69" s="59"/>
      <c r="O69" s="378"/>
      <c r="P69" s="379"/>
      <c r="Q69" s="379"/>
      <c r="R69" s="379"/>
      <c r="T69" s="378"/>
      <c r="U69" s="378"/>
      <c r="V69" s="378"/>
      <c r="W69" s="378"/>
      <c r="X69" s="378"/>
      <c r="Y69" s="378"/>
      <c r="Z69" s="378"/>
      <c r="AA69" s="378"/>
      <c r="AB69" s="378"/>
      <c r="AC69" s="378"/>
      <c r="AD69" s="378"/>
      <c r="AE69" s="378"/>
      <c r="AF69" s="378"/>
      <c r="AG69" s="143"/>
      <c r="AH69" s="378"/>
      <c r="AI69" s="378"/>
      <c r="AJ69" s="378"/>
      <c r="AK69" s="143"/>
      <c r="AL69" s="378"/>
      <c r="AM69" s="378"/>
      <c r="AN69" s="378"/>
      <c r="AO69" s="378"/>
      <c r="AP69" s="378"/>
      <c r="AQ69" s="143"/>
    </row>
    <row r="70" spans="1:43" x14ac:dyDescent="0.25">
      <c r="F70" s="379"/>
      <c r="H70" s="379"/>
      <c r="I70" s="378"/>
      <c r="J70" s="379"/>
      <c r="K70" s="378"/>
      <c r="L70" s="59"/>
      <c r="M70" s="378"/>
      <c r="N70" s="59"/>
      <c r="O70" s="378"/>
      <c r="P70" s="379"/>
      <c r="Q70" s="379"/>
      <c r="R70" s="379"/>
      <c r="T70" s="378"/>
      <c r="U70" s="378"/>
      <c r="V70" s="378"/>
      <c r="W70" s="378"/>
      <c r="X70" s="378"/>
      <c r="Y70" s="378"/>
      <c r="Z70" s="378"/>
      <c r="AA70" s="378"/>
      <c r="AB70" s="378"/>
      <c r="AC70" s="378"/>
      <c r="AD70" s="378"/>
      <c r="AE70" s="378"/>
      <c r="AF70" s="378"/>
      <c r="AG70" s="143"/>
      <c r="AH70" s="378"/>
      <c r="AI70" s="378"/>
      <c r="AJ70" s="378"/>
      <c r="AK70" s="143"/>
      <c r="AL70" s="378"/>
      <c r="AM70" s="378"/>
      <c r="AN70" s="378"/>
      <c r="AO70" s="378"/>
      <c r="AP70" s="378"/>
      <c r="AQ70" s="143"/>
    </row>
    <row r="71" spans="1:43" x14ac:dyDescent="0.25">
      <c r="A71" s="54"/>
      <c r="F71" s="379"/>
      <c r="H71" s="379"/>
      <c r="I71" s="378"/>
      <c r="J71" s="53"/>
      <c r="K71" s="378"/>
      <c r="L71" s="59"/>
      <c r="M71" s="378"/>
      <c r="N71" s="59"/>
      <c r="O71" s="378"/>
      <c r="P71" s="379"/>
      <c r="Q71" s="379"/>
      <c r="R71" s="379"/>
      <c r="T71" s="43" t="str">
        <f>NAME</f>
        <v>DUKE ENERGY KENTUCKY, INC.</v>
      </c>
      <c r="U71" s="43"/>
      <c r="V71" s="43"/>
      <c r="W71" s="43"/>
      <c r="X71" s="43"/>
      <c r="Y71" s="43"/>
      <c r="Z71" s="43"/>
      <c r="AA71" s="43"/>
      <c r="AB71" s="43"/>
      <c r="AC71" s="44"/>
      <c r="AD71" s="44"/>
      <c r="AE71" s="43"/>
      <c r="AF71" s="57"/>
      <c r="AG71" s="144"/>
      <c r="AH71" s="57"/>
      <c r="AI71" s="43"/>
      <c r="AJ71" s="43"/>
      <c r="AK71" s="144"/>
      <c r="AL71" s="43"/>
      <c r="AM71" s="43"/>
      <c r="AN71" s="57"/>
      <c r="AO71" s="43"/>
      <c r="AP71" s="43"/>
      <c r="AQ71" s="144"/>
    </row>
    <row r="72" spans="1:43" x14ac:dyDescent="0.25">
      <c r="A72" s="54"/>
      <c r="F72" s="379"/>
      <c r="H72" s="379"/>
      <c r="I72" s="378"/>
      <c r="J72" s="379"/>
      <c r="K72" s="378"/>
      <c r="L72" s="59"/>
      <c r="M72" s="378"/>
      <c r="N72" s="59"/>
      <c r="O72" s="378"/>
      <c r="P72" s="379"/>
      <c r="Q72" s="379"/>
      <c r="R72" s="379"/>
      <c r="T72" s="43" t="str">
        <f>CASE_NO</f>
        <v>CASE NO.   2019-000271</v>
      </c>
      <c r="U72" s="43"/>
      <c r="V72" s="43"/>
      <c r="W72" s="43"/>
      <c r="X72" s="43"/>
      <c r="Y72" s="43"/>
      <c r="Z72" s="43"/>
      <c r="AA72" s="43"/>
      <c r="AB72" s="43"/>
      <c r="AC72" s="44"/>
      <c r="AD72" s="44"/>
      <c r="AE72" s="43"/>
      <c r="AF72" s="57"/>
      <c r="AG72" s="144"/>
      <c r="AH72" s="57"/>
      <c r="AI72" s="43"/>
      <c r="AJ72" s="43"/>
      <c r="AK72" s="144"/>
      <c r="AL72" s="43"/>
      <c r="AM72" s="43"/>
      <c r="AN72" s="57"/>
      <c r="AO72" s="43"/>
      <c r="AP72" s="43"/>
      <c r="AQ72" s="144"/>
    </row>
    <row r="73" spans="1:43" x14ac:dyDescent="0.25">
      <c r="F73" s="377"/>
      <c r="I73" s="378"/>
      <c r="K73" s="378"/>
      <c r="M73" s="378"/>
      <c r="O73" s="378"/>
      <c r="T73" s="44" t="str">
        <f>TITLE</f>
        <v>ANNUALIZED BASE YEAR REVENUES AT PROPOSED VS. MOST CURRENT RATES</v>
      </c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57"/>
      <c r="AG73" s="144"/>
      <c r="AH73" s="57"/>
      <c r="AI73" s="43"/>
      <c r="AJ73" s="43"/>
      <c r="AK73" s="144"/>
      <c r="AL73" s="43"/>
      <c r="AM73" s="43"/>
      <c r="AN73" s="57"/>
      <c r="AO73" s="43"/>
      <c r="AP73" s="43"/>
      <c r="AQ73" s="144"/>
    </row>
    <row r="74" spans="1:43" x14ac:dyDescent="0.25">
      <c r="I74" s="378"/>
      <c r="K74" s="378"/>
      <c r="M74" s="378"/>
      <c r="O74" s="378"/>
      <c r="T74" s="43" t="str">
        <f>DATE</f>
        <v>FOR THE TWELVE MONTHS ENDED November 30, 2019</v>
      </c>
      <c r="U74" s="43"/>
      <c r="V74" s="43"/>
      <c r="W74" s="43"/>
      <c r="X74" s="43"/>
      <c r="Y74" s="43"/>
      <c r="Z74" s="43"/>
      <c r="AA74" s="43"/>
      <c r="AB74" s="43"/>
      <c r="AC74" s="44"/>
      <c r="AD74" s="44"/>
      <c r="AE74" s="43"/>
      <c r="AF74" s="57"/>
      <c r="AG74" s="144"/>
      <c r="AH74" s="57"/>
      <c r="AI74" s="43"/>
      <c r="AJ74" s="43"/>
      <c r="AK74" s="144"/>
      <c r="AL74" s="43"/>
      <c r="AM74" s="43"/>
      <c r="AN74" s="57"/>
      <c r="AO74" s="43"/>
      <c r="AP74" s="43"/>
      <c r="AQ74" s="144"/>
    </row>
    <row r="75" spans="1:43" x14ac:dyDescent="0.25">
      <c r="I75" s="378"/>
      <c r="K75" s="378"/>
      <c r="M75" s="378"/>
      <c r="O75" s="378"/>
      <c r="P75" s="379"/>
      <c r="Q75" s="379"/>
      <c r="R75" s="379"/>
      <c r="T75" s="43" t="str">
        <f>SERVICE</f>
        <v>(ELECTRIC SERVICE)</v>
      </c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4"/>
      <c r="AF75" s="58"/>
      <c r="AG75" s="144"/>
      <c r="AH75" s="57"/>
      <c r="AI75" s="43"/>
      <c r="AJ75" s="43"/>
      <c r="AK75" s="144"/>
      <c r="AL75" s="43"/>
      <c r="AM75" s="43"/>
      <c r="AN75" s="57"/>
      <c r="AO75" s="43"/>
      <c r="AP75" s="43"/>
      <c r="AQ75" s="144"/>
    </row>
    <row r="76" spans="1:43" x14ac:dyDescent="0.25">
      <c r="I76" s="378"/>
      <c r="K76" s="378"/>
      <c r="M76" s="378"/>
      <c r="O76" s="378"/>
      <c r="T76" s="45" t="str">
        <f>DATA_PERIOD</f>
        <v>DATA: __X__ BASE PERIOD   ____FORECASTED PERIOD</v>
      </c>
      <c r="U76" s="378"/>
      <c r="V76" s="378"/>
      <c r="W76" s="378"/>
      <c r="X76" s="378"/>
      <c r="Y76" s="378"/>
      <c r="Z76" s="378"/>
      <c r="AA76" s="378"/>
      <c r="AB76" s="378"/>
      <c r="AC76" s="378"/>
      <c r="AD76" s="378"/>
      <c r="AE76" s="378"/>
      <c r="AG76" s="143"/>
      <c r="AI76" s="378"/>
      <c r="AJ76" s="378"/>
      <c r="AK76" s="143"/>
      <c r="AL76" s="378"/>
      <c r="AM76" s="378"/>
      <c r="AO76" s="46" t="s">
        <v>164</v>
      </c>
      <c r="AP76" s="46"/>
      <c r="AQ76" s="143"/>
    </row>
    <row r="77" spans="1:43" x14ac:dyDescent="0.25">
      <c r="I77" s="378"/>
      <c r="K77" s="378"/>
      <c r="L77" s="53"/>
      <c r="M77" s="378"/>
      <c r="N77" s="53"/>
      <c r="O77" s="378"/>
      <c r="T77" s="45" t="str">
        <f>TYPE</f>
        <v>TYPE OF FILING: _X_ ORIGINAL   ___UPDATED  ___ REVISED</v>
      </c>
      <c r="U77" s="378"/>
      <c r="V77" s="378"/>
      <c r="W77" s="378"/>
      <c r="X77" s="378"/>
      <c r="Y77" s="378"/>
      <c r="Z77" s="378"/>
      <c r="AA77" s="378"/>
      <c r="AB77" s="378"/>
      <c r="AC77" s="378"/>
      <c r="AD77" s="378"/>
      <c r="AE77" s="378"/>
      <c r="AG77" s="143"/>
      <c r="AI77" s="378"/>
      <c r="AJ77" s="378"/>
      <c r="AK77" s="143"/>
      <c r="AL77" s="378"/>
      <c r="AM77" s="378"/>
      <c r="AO77" s="52" t="str">
        <f>"PAGE 4 OF "&amp;TEXT(Page_Num_2.2,"00")</f>
        <v>PAGE 4 OF 22</v>
      </c>
      <c r="AP77" s="46"/>
      <c r="AQ77" s="143"/>
    </row>
    <row r="78" spans="1:43" x14ac:dyDescent="0.25">
      <c r="H78" s="54"/>
      <c r="I78" s="378"/>
      <c r="J78" s="54"/>
      <c r="K78" s="378"/>
      <c r="M78" s="378"/>
      <c r="O78" s="378"/>
      <c r="T78" s="46" t="s">
        <v>177</v>
      </c>
      <c r="U78" s="378"/>
      <c r="V78" s="378"/>
      <c r="W78" s="378"/>
      <c r="X78" s="378"/>
      <c r="Y78" s="378"/>
      <c r="Z78" s="378"/>
      <c r="AA78" s="378"/>
      <c r="AB78" s="378"/>
      <c r="AC78" s="378"/>
      <c r="AD78" s="378"/>
      <c r="AE78" s="378"/>
      <c r="AG78" s="143"/>
      <c r="AI78" s="378"/>
      <c r="AJ78" s="378"/>
      <c r="AK78" s="143"/>
      <c r="AL78" s="378"/>
      <c r="AM78" s="378"/>
      <c r="AO78" s="46" t="s">
        <v>3</v>
      </c>
      <c r="AP78" s="46"/>
      <c r="AQ78" s="143"/>
    </row>
    <row r="79" spans="1:43" x14ac:dyDescent="0.25">
      <c r="I79" s="378"/>
      <c r="K79" s="378"/>
      <c r="L79" s="53"/>
      <c r="M79" s="378"/>
      <c r="N79" s="53"/>
      <c r="O79" s="378"/>
      <c r="T79" s="222" t="str">
        <f>TIME</f>
        <v>6 Months Actual and 6 Months Projected with Riders</v>
      </c>
      <c r="U79" s="378"/>
      <c r="V79" s="378"/>
      <c r="W79" s="378"/>
      <c r="X79" s="378"/>
      <c r="Y79" s="378"/>
      <c r="Z79" s="378"/>
      <c r="AA79" s="378"/>
      <c r="AB79" s="378"/>
      <c r="AC79" s="378"/>
      <c r="AD79" s="378"/>
      <c r="AE79" s="378"/>
      <c r="AG79" s="143"/>
      <c r="AI79" s="378"/>
      <c r="AJ79" s="378"/>
      <c r="AK79" s="143"/>
      <c r="AL79" s="378"/>
      <c r="AM79" s="378"/>
      <c r="AO79" s="45" t="str">
        <f>WIT</f>
        <v>J. L. Kern</v>
      </c>
      <c r="AP79" s="45"/>
      <c r="AQ79" s="143"/>
    </row>
    <row r="80" spans="1:43" x14ac:dyDescent="0.25">
      <c r="I80" s="378"/>
      <c r="K80" s="378"/>
      <c r="L80" s="53"/>
      <c r="M80" s="378"/>
      <c r="N80" s="53"/>
      <c r="O80" s="378"/>
      <c r="T80" s="222" t="str">
        <f>INPUT!B5</f>
        <v>6 Months Actual Ending May 31, 2019</v>
      </c>
      <c r="U80" s="378"/>
      <c r="V80" s="378"/>
      <c r="W80" s="378"/>
      <c r="X80" s="378"/>
      <c r="Y80" s="378"/>
      <c r="Z80" s="378"/>
      <c r="AA80" s="378"/>
      <c r="AB80" s="378"/>
      <c r="AC80" s="378"/>
      <c r="AD80" s="378"/>
      <c r="AE80" s="378"/>
      <c r="AG80" s="143"/>
      <c r="AI80" s="378"/>
      <c r="AJ80" s="378"/>
      <c r="AK80" s="143"/>
      <c r="AL80" s="378"/>
      <c r="AM80" s="378"/>
      <c r="AO80" s="45"/>
      <c r="AP80" s="45"/>
      <c r="AQ80" s="143"/>
    </row>
    <row r="81" spans="1:43" x14ac:dyDescent="0.25">
      <c r="I81" s="378"/>
      <c r="K81" s="378"/>
      <c r="M81" s="378"/>
      <c r="O81" s="378"/>
      <c r="P81" s="54"/>
      <c r="T81" s="44" t="s">
        <v>137</v>
      </c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57"/>
      <c r="AG81" s="144"/>
      <c r="AH81" s="57"/>
      <c r="AI81" s="43"/>
      <c r="AJ81" s="43"/>
      <c r="AK81" s="144"/>
      <c r="AL81" s="43"/>
      <c r="AM81" s="43"/>
      <c r="AN81" s="57"/>
      <c r="AO81" s="43"/>
      <c r="AP81" s="43"/>
      <c r="AQ81" s="144"/>
    </row>
    <row r="82" spans="1:43" x14ac:dyDescent="0.25">
      <c r="A82" s="53"/>
      <c r="I82" s="378"/>
      <c r="K82" s="378"/>
      <c r="M82" s="378"/>
      <c r="R82" s="54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145"/>
      <c r="AH82" s="47"/>
      <c r="AI82" s="47"/>
      <c r="AJ82" s="47"/>
      <c r="AK82" s="145"/>
      <c r="AL82" s="47"/>
      <c r="AM82" s="47"/>
      <c r="AN82" s="47"/>
      <c r="AO82" s="47"/>
      <c r="AP82" s="47"/>
      <c r="AQ82" s="145"/>
    </row>
    <row r="83" spans="1:43" ht="18" customHeight="1" x14ac:dyDescent="0.25">
      <c r="A83" s="53"/>
      <c r="I83" s="378"/>
      <c r="K83" s="378"/>
      <c r="M83" s="378"/>
      <c r="R83" s="54"/>
      <c r="T83" s="378"/>
      <c r="U83" s="378"/>
      <c r="V83" s="378"/>
      <c r="W83" s="378"/>
      <c r="X83" s="378"/>
      <c r="Y83" s="378"/>
      <c r="Z83" s="378"/>
      <c r="AA83" s="378"/>
      <c r="AB83" s="378"/>
      <c r="AC83" s="378"/>
      <c r="AD83" s="378"/>
      <c r="AE83" s="426" t="s">
        <v>8</v>
      </c>
      <c r="AF83" s="56"/>
      <c r="AG83" s="146" t="s">
        <v>7</v>
      </c>
      <c r="AH83" s="56"/>
      <c r="AI83" s="426" t="s">
        <v>9</v>
      </c>
      <c r="AJ83" s="426"/>
      <c r="AK83" s="146" t="s">
        <v>10</v>
      </c>
      <c r="AL83" s="426"/>
      <c r="AM83" s="378"/>
      <c r="AO83" s="426" t="s">
        <v>8</v>
      </c>
      <c r="AP83" s="426"/>
      <c r="AQ83" s="146" t="s">
        <v>11</v>
      </c>
    </row>
    <row r="84" spans="1:43" x14ac:dyDescent="0.25">
      <c r="A84" s="54"/>
      <c r="I84" s="378"/>
      <c r="K84" s="378"/>
      <c r="M84" s="378"/>
      <c r="R84" s="54"/>
      <c r="T84" s="378"/>
      <c r="U84" s="378"/>
      <c r="V84" s="378"/>
      <c r="W84" s="378"/>
      <c r="X84" s="378"/>
      <c r="Y84" s="378"/>
      <c r="Z84" s="378"/>
      <c r="AA84" s="378"/>
      <c r="AB84" s="378"/>
      <c r="AC84" s="426" t="s">
        <v>14</v>
      </c>
      <c r="AD84" s="426"/>
      <c r="AE84" s="426" t="s">
        <v>12</v>
      </c>
      <c r="AF84" s="56"/>
      <c r="AG84" s="146" t="s">
        <v>13</v>
      </c>
      <c r="AH84" s="56"/>
      <c r="AI84" s="426" t="s">
        <v>15</v>
      </c>
      <c r="AJ84" s="426"/>
      <c r="AK84" s="146" t="s">
        <v>16</v>
      </c>
      <c r="AL84" s="426"/>
      <c r="AM84" s="378"/>
      <c r="AO84" s="426" t="s">
        <v>11</v>
      </c>
      <c r="AP84" s="426"/>
      <c r="AQ84" s="146" t="s">
        <v>9</v>
      </c>
    </row>
    <row r="85" spans="1:43" x14ac:dyDescent="0.25">
      <c r="I85" s="378"/>
      <c r="K85" s="378"/>
      <c r="M85" s="378"/>
      <c r="O85" s="54"/>
      <c r="R85" s="53"/>
      <c r="T85" s="426" t="s">
        <v>17</v>
      </c>
      <c r="U85" s="378"/>
      <c r="V85" s="426" t="s">
        <v>18</v>
      </c>
      <c r="W85" s="426" t="s">
        <v>19</v>
      </c>
      <c r="X85" s="426"/>
      <c r="Y85" s="426" t="s">
        <v>20</v>
      </c>
      <c r="Z85" s="378"/>
      <c r="AA85" s="378"/>
      <c r="AB85" s="378"/>
      <c r="AC85" s="426" t="s">
        <v>8</v>
      </c>
      <c r="AD85" s="426"/>
      <c r="AE85" s="426" t="s">
        <v>21</v>
      </c>
      <c r="AF85" s="56"/>
      <c r="AG85" s="146" t="s">
        <v>21</v>
      </c>
      <c r="AH85" s="56"/>
      <c r="AI85" s="426" t="s">
        <v>22</v>
      </c>
      <c r="AJ85" s="426"/>
      <c r="AK85" s="146" t="s">
        <v>22</v>
      </c>
      <c r="AL85" s="426"/>
      <c r="AM85" s="426" t="s">
        <v>21</v>
      </c>
      <c r="AN85" s="56"/>
      <c r="AO85" s="426" t="s">
        <v>9</v>
      </c>
      <c r="AP85" s="426"/>
      <c r="AQ85" s="146" t="s">
        <v>23</v>
      </c>
    </row>
    <row r="86" spans="1:43" x14ac:dyDescent="0.25">
      <c r="A86" s="55"/>
      <c r="B86" s="55"/>
      <c r="C86" s="55"/>
      <c r="D86" s="55"/>
      <c r="E86" s="55"/>
      <c r="F86" s="55"/>
      <c r="G86" s="55"/>
      <c r="H86" s="55"/>
      <c r="I86" s="378"/>
      <c r="J86" s="55"/>
      <c r="K86" s="378"/>
      <c r="L86" s="55"/>
      <c r="M86" s="378"/>
      <c r="N86" s="55"/>
      <c r="O86" s="55"/>
      <c r="P86" s="55"/>
      <c r="Q86" s="55"/>
      <c r="R86" s="55"/>
      <c r="T86" s="426" t="s">
        <v>24</v>
      </c>
      <c r="U86" s="378"/>
      <c r="V86" s="426" t="s">
        <v>25</v>
      </c>
      <c r="W86" s="426" t="s">
        <v>26</v>
      </c>
      <c r="X86" s="426"/>
      <c r="Y86" s="426" t="s">
        <v>27</v>
      </c>
      <c r="Z86" s="378"/>
      <c r="AA86" s="426" t="s">
        <v>28</v>
      </c>
      <c r="AB86" s="426"/>
      <c r="AC86" s="426" t="s">
        <v>29</v>
      </c>
      <c r="AD86" s="426"/>
      <c r="AE86" s="426" t="s">
        <v>9</v>
      </c>
      <c r="AF86" s="56"/>
      <c r="AG86" s="146" t="s">
        <v>9</v>
      </c>
      <c r="AH86" s="56"/>
      <c r="AI86" s="265" t="s">
        <v>31</v>
      </c>
      <c r="AJ86" s="265"/>
      <c r="AK86" s="440" t="s">
        <v>32</v>
      </c>
      <c r="AL86" s="426"/>
      <c r="AM86" s="426" t="s">
        <v>379</v>
      </c>
      <c r="AN86" s="56"/>
      <c r="AO86" s="265" t="s">
        <v>33</v>
      </c>
      <c r="AP86" s="265"/>
      <c r="AQ86" s="440" t="s">
        <v>34</v>
      </c>
    </row>
    <row r="87" spans="1:43" x14ac:dyDescent="0.25">
      <c r="I87" s="378"/>
      <c r="K87" s="378"/>
      <c r="M87" s="378"/>
      <c r="O87" s="56"/>
      <c r="P87" s="56"/>
      <c r="R87" s="56"/>
      <c r="T87" s="378"/>
      <c r="U87" s="378"/>
      <c r="V87" s="265" t="s">
        <v>35</v>
      </c>
      <c r="W87" s="265" t="s">
        <v>36</v>
      </c>
      <c r="X87" s="265"/>
      <c r="Y87" s="265" t="s">
        <v>37</v>
      </c>
      <c r="Z87" s="218"/>
      <c r="AA87" s="265" t="s">
        <v>38</v>
      </c>
      <c r="AB87" s="265"/>
      <c r="AC87" s="265" t="s">
        <v>44</v>
      </c>
      <c r="AD87" s="265"/>
      <c r="AE87" s="265" t="s">
        <v>45</v>
      </c>
      <c r="AF87" s="466"/>
      <c r="AG87" s="440" t="s">
        <v>46</v>
      </c>
      <c r="AH87" s="466"/>
      <c r="AI87" s="265" t="s">
        <v>47</v>
      </c>
      <c r="AJ87" s="265"/>
      <c r="AK87" s="440" t="s">
        <v>48</v>
      </c>
      <c r="AL87" s="265"/>
      <c r="AM87" s="265" t="s">
        <v>42</v>
      </c>
      <c r="AN87" s="466"/>
      <c r="AO87" s="265" t="s">
        <v>49</v>
      </c>
      <c r="AP87" s="265"/>
      <c r="AQ87" s="440" t="s">
        <v>50</v>
      </c>
    </row>
    <row r="88" spans="1:43" x14ac:dyDescent="0.25">
      <c r="I88" s="378"/>
      <c r="K88" s="378"/>
      <c r="M88" s="378"/>
      <c r="O88" s="56"/>
      <c r="P88" s="56"/>
      <c r="R88" s="56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145"/>
      <c r="AH88" s="47"/>
      <c r="AI88" s="47"/>
      <c r="AJ88" s="47"/>
      <c r="AK88" s="145"/>
      <c r="AL88" s="47"/>
      <c r="AM88" s="47"/>
      <c r="AN88" s="47"/>
      <c r="AO88" s="47"/>
      <c r="AP88" s="47"/>
      <c r="AQ88" s="145"/>
    </row>
    <row r="89" spans="1:43" ht="17.100000000000001" customHeight="1" x14ac:dyDescent="0.25">
      <c r="A89" s="56"/>
      <c r="C89" s="56"/>
      <c r="D89" s="56"/>
      <c r="E89" s="56"/>
      <c r="F89" s="56"/>
      <c r="I89" s="378"/>
      <c r="K89" s="378"/>
      <c r="L89" s="56"/>
      <c r="M89" s="378"/>
      <c r="N89" s="56"/>
      <c r="O89" s="56"/>
      <c r="P89" s="56"/>
      <c r="Q89" s="56"/>
      <c r="R89" s="56"/>
      <c r="T89" s="378"/>
      <c r="U89" s="378"/>
      <c r="V89" s="378"/>
      <c r="W89" s="378"/>
      <c r="X89" s="378"/>
      <c r="Y89" s="378"/>
      <c r="Z89" s="378"/>
      <c r="AA89" s="442" t="s">
        <v>203</v>
      </c>
      <c r="AB89" s="441"/>
      <c r="AC89" s="442" t="s">
        <v>390</v>
      </c>
      <c r="AD89" s="441"/>
      <c r="AE89" s="441" t="s">
        <v>52</v>
      </c>
      <c r="AF89" s="467"/>
      <c r="AG89" s="443" t="s">
        <v>53</v>
      </c>
      <c r="AH89" s="467"/>
      <c r="AI89" s="441" t="s">
        <v>52</v>
      </c>
      <c r="AJ89" s="441"/>
      <c r="AK89" s="443" t="s">
        <v>53</v>
      </c>
      <c r="AL89" s="441"/>
      <c r="AM89" s="441" t="s">
        <v>52</v>
      </c>
      <c r="AN89" s="467"/>
      <c r="AO89" s="441" t="s">
        <v>52</v>
      </c>
      <c r="AP89" s="441"/>
      <c r="AQ89" s="443" t="s">
        <v>53</v>
      </c>
    </row>
    <row r="90" spans="1:43" x14ac:dyDescent="0.25">
      <c r="A90" s="56"/>
      <c r="C90" s="56"/>
      <c r="D90" s="56"/>
      <c r="E90" s="56"/>
      <c r="F90" s="56"/>
      <c r="H90" s="56"/>
      <c r="I90" s="378"/>
      <c r="J90" s="56"/>
      <c r="K90" s="378"/>
      <c r="L90" s="56"/>
      <c r="M90" s="378"/>
      <c r="N90" s="56"/>
      <c r="O90" s="56"/>
      <c r="P90" s="56"/>
      <c r="Q90" s="56"/>
      <c r="R90" s="56"/>
      <c r="T90" s="45">
        <v>1</v>
      </c>
      <c r="U90" s="378"/>
      <c r="V90" s="222" t="s">
        <v>440</v>
      </c>
      <c r="W90" s="222" t="s">
        <v>437</v>
      </c>
      <c r="X90" s="46"/>
      <c r="Y90" s="2"/>
      <c r="Z90" s="2"/>
      <c r="AA90" s="459"/>
      <c r="AB90" s="459"/>
      <c r="AC90" s="460" t="s">
        <v>384</v>
      </c>
      <c r="AD90" s="459"/>
      <c r="AE90" s="459"/>
      <c r="AF90" s="459"/>
      <c r="AG90" s="469"/>
      <c r="AH90" s="459"/>
      <c r="AI90" s="459"/>
      <c r="AJ90" s="459"/>
      <c r="AK90" s="469"/>
      <c r="AL90" s="459"/>
      <c r="AM90" s="459"/>
      <c r="AN90" s="459"/>
      <c r="AO90" s="468"/>
      <c r="AP90" s="468"/>
      <c r="AQ90" s="484"/>
    </row>
    <row r="91" spans="1:43" x14ac:dyDescent="0.25">
      <c r="C91" s="56"/>
      <c r="D91" s="56"/>
      <c r="E91" s="56"/>
      <c r="F91" s="56"/>
      <c r="H91" s="56"/>
      <c r="I91" s="378"/>
      <c r="J91" s="56"/>
      <c r="K91" s="378"/>
      <c r="L91" s="56"/>
      <c r="M91" s="378"/>
      <c r="N91" s="56"/>
      <c r="O91" s="56"/>
      <c r="P91" s="56"/>
      <c r="Q91" s="56"/>
      <c r="R91" s="56"/>
      <c r="T91" s="45">
        <v>2</v>
      </c>
      <c r="U91" s="378"/>
      <c r="V91" s="222" t="s">
        <v>56</v>
      </c>
      <c r="W91" s="378"/>
      <c r="X91" s="378"/>
      <c r="Y91" s="2"/>
      <c r="Z91" s="2"/>
      <c r="AA91" s="2"/>
      <c r="AB91" s="2"/>
      <c r="AC91" s="2"/>
      <c r="AD91" s="2"/>
      <c r="AE91" s="2"/>
      <c r="AF91" s="2"/>
      <c r="AG91" s="147"/>
      <c r="AH91" s="2"/>
      <c r="AI91" s="2"/>
      <c r="AJ91" s="2"/>
      <c r="AK91" s="147"/>
      <c r="AL91" s="2"/>
      <c r="AM91" s="2"/>
      <c r="AN91" s="2"/>
      <c r="AO91" s="84"/>
      <c r="AP91" s="84"/>
      <c r="AQ91" s="167"/>
    </row>
    <row r="92" spans="1:43" x14ac:dyDescent="0.25">
      <c r="H92" s="56"/>
      <c r="I92" s="378"/>
      <c r="J92" s="56"/>
      <c r="K92" s="378"/>
      <c r="L92" s="56"/>
      <c r="M92" s="378"/>
      <c r="N92" s="56"/>
      <c r="O92" s="56"/>
      <c r="P92" s="56"/>
      <c r="Q92" s="56"/>
      <c r="R92" s="56"/>
      <c r="T92" s="45">
        <v>3</v>
      </c>
      <c r="U92" s="378"/>
      <c r="V92" s="222" t="s">
        <v>140</v>
      </c>
      <c r="W92" s="378"/>
      <c r="X92" s="378"/>
      <c r="Y92" s="2"/>
      <c r="Z92" s="2"/>
      <c r="AA92" s="2"/>
      <c r="AB92" s="2"/>
      <c r="AC92" s="2"/>
      <c r="AD92" s="2"/>
      <c r="AE92" s="2"/>
      <c r="AF92" s="2"/>
      <c r="AG92" s="147"/>
      <c r="AH92" s="2"/>
      <c r="AI92" s="2"/>
      <c r="AJ92" s="2"/>
      <c r="AK92" s="147"/>
      <c r="AL92" s="2"/>
      <c r="AM92" s="2"/>
      <c r="AN92" s="2"/>
      <c r="AO92" s="84"/>
      <c r="AP92" s="84"/>
      <c r="AQ92" s="167"/>
    </row>
    <row r="93" spans="1:43" x14ac:dyDescent="0.25">
      <c r="I93" s="378"/>
      <c r="K93" s="378"/>
      <c r="M93" s="378"/>
      <c r="T93" s="45">
        <v>4</v>
      </c>
      <c r="U93" s="378"/>
      <c r="V93" s="46" t="s">
        <v>151</v>
      </c>
      <c r="W93" s="378"/>
      <c r="X93" s="378"/>
      <c r="Y93" s="5">
        <f>F23</f>
        <v>152</v>
      </c>
      <c r="Z93" s="2"/>
      <c r="AA93" s="86"/>
      <c r="AB93" s="86"/>
      <c r="AC93" s="450">
        <f>INPUT!C70</f>
        <v>138</v>
      </c>
      <c r="AD93" s="96"/>
      <c r="AE93" s="5">
        <f>ROUND(+Y93*AC93,0)</f>
        <v>20976</v>
      </c>
      <c r="AF93" s="2"/>
      <c r="AG93" s="148">
        <f>ROUND((+AE93/$AE$133)*100,1)</f>
        <v>0.1</v>
      </c>
      <c r="AH93" s="2"/>
      <c r="AI93" s="5">
        <f>L23-AE93</f>
        <v>0</v>
      </c>
      <c r="AJ93" s="5"/>
      <c r="AK93" s="148">
        <f>IF(AE93=0,0,ROUND((AI93/AE93)*100,1))</f>
        <v>0</v>
      </c>
      <c r="AL93" s="8"/>
      <c r="AM93" s="5"/>
      <c r="AN93" s="2"/>
      <c r="AO93" s="5">
        <f>AE93+AM93</f>
        <v>20976</v>
      </c>
      <c r="AP93" s="2"/>
      <c r="AQ93" s="149">
        <f>ROUND((+AI93/AO93)*100,1)</f>
        <v>0</v>
      </c>
    </row>
    <row r="94" spans="1:43" ht="20.100000000000001" customHeight="1" x14ac:dyDescent="0.25">
      <c r="A94" s="53"/>
      <c r="C94" s="54"/>
      <c r="F94" s="449"/>
      <c r="H94" s="449"/>
      <c r="I94" s="378"/>
      <c r="J94" s="449"/>
      <c r="K94" s="378"/>
      <c r="L94" s="461"/>
      <c r="M94" s="378"/>
      <c r="N94" s="461"/>
      <c r="O94" s="379"/>
      <c r="P94" s="50"/>
      <c r="Q94" s="53"/>
      <c r="R94" s="379"/>
      <c r="T94" s="45">
        <v>5</v>
      </c>
      <c r="U94" s="378"/>
      <c r="V94" s="222" t="s">
        <v>143</v>
      </c>
      <c r="W94" s="378"/>
      <c r="X94" s="378"/>
      <c r="Y94" s="90">
        <f>F24</f>
        <v>152</v>
      </c>
      <c r="Z94" s="2"/>
      <c r="AA94" s="5"/>
      <c r="AB94" s="5"/>
      <c r="AC94" s="9"/>
      <c r="AD94" s="9"/>
      <c r="AE94" s="90">
        <f>SUM(AE93:AE93)</f>
        <v>20976</v>
      </c>
      <c r="AF94" s="2"/>
      <c r="AG94" s="150">
        <f>ROUND((+AE94/$AE$133)*100,1)</f>
        <v>0.1</v>
      </c>
      <c r="AH94" s="2"/>
      <c r="AI94" s="90">
        <f>SUM(AI93:AI93)</f>
        <v>0</v>
      </c>
      <c r="AJ94" s="83"/>
      <c r="AK94" s="150">
        <f>IF(AE94=0,0,ROUND((AI94/AE94)*100,1))</f>
        <v>0</v>
      </c>
      <c r="AL94" s="8"/>
      <c r="AM94" s="90"/>
      <c r="AN94" s="2"/>
      <c r="AO94" s="90">
        <f>SUM(AO93:AO93)</f>
        <v>20976</v>
      </c>
      <c r="AP94" s="2"/>
      <c r="AQ94" s="149">
        <f>ROUND((+AI94/AO94)*100,1)</f>
        <v>0</v>
      </c>
    </row>
    <row r="95" spans="1:43" x14ac:dyDescent="0.25">
      <c r="A95" s="53"/>
      <c r="C95" s="54"/>
      <c r="F95" s="449"/>
      <c r="H95" s="449"/>
      <c r="I95" s="378"/>
      <c r="J95" s="449"/>
      <c r="K95" s="378"/>
      <c r="L95" s="461"/>
      <c r="M95" s="378"/>
      <c r="N95" s="461"/>
      <c r="O95" s="379"/>
      <c r="P95" s="50"/>
      <c r="Q95" s="53"/>
      <c r="R95" s="379"/>
      <c r="T95" s="45">
        <v>6</v>
      </c>
      <c r="U95" s="378"/>
      <c r="V95" s="222" t="s">
        <v>65</v>
      </c>
      <c r="W95" s="378"/>
      <c r="X95" s="378"/>
      <c r="Y95" s="86"/>
      <c r="Z95" s="2"/>
      <c r="AA95" s="86"/>
      <c r="AB95" s="86"/>
      <c r="AC95" s="481"/>
      <c r="AD95" s="481"/>
      <c r="AE95" s="5"/>
      <c r="AF95" s="2"/>
      <c r="AG95" s="149"/>
      <c r="AH95" s="2"/>
      <c r="AI95" s="5"/>
      <c r="AJ95" s="5"/>
      <c r="AK95" s="149"/>
      <c r="AL95" s="6"/>
      <c r="AM95" s="5"/>
      <c r="AN95" s="2"/>
      <c r="AO95" s="5"/>
      <c r="AP95" s="2"/>
      <c r="AQ95" s="149"/>
    </row>
    <row r="96" spans="1:43" x14ac:dyDescent="0.25">
      <c r="F96" s="381"/>
      <c r="H96" s="379"/>
      <c r="I96" s="378"/>
      <c r="J96" s="379"/>
      <c r="K96" s="378"/>
      <c r="L96" s="464"/>
      <c r="M96" s="378"/>
      <c r="N96" s="464"/>
      <c r="O96" s="381"/>
      <c r="P96" s="381"/>
      <c r="Q96" s="381"/>
      <c r="R96" s="381"/>
      <c r="T96" s="45">
        <v>7</v>
      </c>
      <c r="U96" s="378"/>
      <c r="V96" s="46" t="s">
        <v>66</v>
      </c>
      <c r="W96" s="378"/>
      <c r="X96" s="378"/>
      <c r="Y96" s="86"/>
      <c r="Z96" s="2"/>
      <c r="AA96" s="5">
        <f>H26</f>
        <v>315104</v>
      </c>
      <c r="AB96" s="5"/>
      <c r="AC96" s="450">
        <f>INPUT!C76</f>
        <v>13.78</v>
      </c>
      <c r="AD96" s="96"/>
      <c r="AE96" s="5">
        <f>ROUND(+AA96*AC96,0)</f>
        <v>4342133</v>
      </c>
      <c r="AF96" s="2"/>
      <c r="AG96" s="383">
        <f>ROUND((+AE96/$AE$133)*100,1)</f>
        <v>12.6</v>
      </c>
      <c r="AH96" s="2"/>
      <c r="AI96" s="5">
        <f>L26-AE96</f>
        <v>526224</v>
      </c>
      <c r="AJ96" s="5"/>
      <c r="AK96" s="149">
        <f t="shared" ref="AK96:AK106" si="1">IF(AE96=0,0,ROUND((AI96/AE96)*100,1))</f>
        <v>12.1</v>
      </c>
      <c r="AL96" s="8"/>
      <c r="AM96" s="5"/>
      <c r="AN96" s="2"/>
      <c r="AO96" s="5">
        <f>AE96+AM96</f>
        <v>4342133</v>
      </c>
      <c r="AP96" s="2"/>
      <c r="AQ96" s="149">
        <v>0</v>
      </c>
    </row>
    <row r="97" spans="1:43" x14ac:dyDescent="0.25">
      <c r="A97" s="53"/>
      <c r="C97" s="54"/>
      <c r="F97" s="379"/>
      <c r="H97" s="379"/>
      <c r="I97" s="378"/>
      <c r="J97" s="379"/>
      <c r="K97" s="378"/>
      <c r="L97" s="464"/>
      <c r="M97" s="378"/>
      <c r="N97" s="464"/>
      <c r="O97" s="379"/>
      <c r="P97" s="50"/>
      <c r="Q97" s="379"/>
      <c r="R97" s="379"/>
      <c r="T97" s="45">
        <v>8</v>
      </c>
      <c r="U97" s="378"/>
      <c r="V97" s="46" t="s">
        <v>67</v>
      </c>
      <c r="W97" s="378"/>
      <c r="X97" s="378"/>
      <c r="Y97" s="86"/>
      <c r="Z97" s="2"/>
      <c r="AA97" s="81">
        <f>H27</f>
        <v>17816</v>
      </c>
      <c r="AB97" s="5"/>
      <c r="AC97" s="450">
        <f>INPUT!C77</f>
        <v>1.24</v>
      </c>
      <c r="AD97" s="96"/>
      <c r="AE97" s="5">
        <f>ROUND(+AA97*AC97,0)</f>
        <v>22092</v>
      </c>
      <c r="AF97" s="2"/>
      <c r="AG97" s="148">
        <f>ROUND((+AE97/$AE$133)*100,1)</f>
        <v>0.1</v>
      </c>
      <c r="AH97" s="2"/>
      <c r="AI97" s="5">
        <f>L27-AE97</f>
        <v>2672</v>
      </c>
      <c r="AJ97" s="5"/>
      <c r="AK97" s="148">
        <f t="shared" si="1"/>
        <v>12.1</v>
      </c>
      <c r="AL97" s="8"/>
      <c r="AM97" s="5"/>
      <c r="AN97" s="2"/>
      <c r="AO97" s="5">
        <f>AE97+AM97</f>
        <v>22092</v>
      </c>
      <c r="AP97" s="2"/>
      <c r="AQ97" s="149">
        <f>ROUND((+AI97/AO97)*100,1)</f>
        <v>12.1</v>
      </c>
    </row>
    <row r="98" spans="1:43" ht="20.100000000000001" customHeight="1" x14ac:dyDescent="0.25">
      <c r="A98" s="53"/>
      <c r="C98" s="54"/>
      <c r="F98" s="449"/>
      <c r="H98" s="449"/>
      <c r="I98" s="378"/>
      <c r="J98" s="449"/>
      <c r="K98" s="378"/>
      <c r="L98" s="477"/>
      <c r="M98" s="378"/>
      <c r="N98" s="477"/>
      <c r="O98" s="379"/>
      <c r="P98" s="50"/>
      <c r="Q98" s="379"/>
      <c r="R98" s="379"/>
      <c r="S98" s="379"/>
      <c r="T98" s="45">
        <v>9</v>
      </c>
      <c r="U98" s="378"/>
      <c r="V98" s="222" t="s">
        <v>152</v>
      </c>
      <c r="W98" s="378"/>
      <c r="X98" s="378"/>
      <c r="Y98" s="5"/>
      <c r="Z98" s="2"/>
      <c r="AA98" s="90">
        <f>H28</f>
        <v>332920</v>
      </c>
      <c r="AB98" s="5"/>
      <c r="AC98" s="446"/>
      <c r="AD98" s="446"/>
      <c r="AE98" s="90">
        <f>SUM(AE96:AE97)</f>
        <v>4364225</v>
      </c>
      <c r="AF98" s="2"/>
      <c r="AG98" s="150">
        <f>ROUND((+AE98/$AE$133)*100,1)</f>
        <v>12.6</v>
      </c>
      <c r="AH98" s="2"/>
      <c r="AI98" s="90">
        <f>SUM(AI96:AI97)</f>
        <v>528896</v>
      </c>
      <c r="AJ98" s="83"/>
      <c r="AK98" s="150">
        <f t="shared" si="1"/>
        <v>12.1</v>
      </c>
      <c r="AL98" s="8"/>
      <c r="AM98" s="90"/>
      <c r="AN98" s="2"/>
      <c r="AO98" s="90">
        <f>SUM(AO96:AO97)</f>
        <v>4364225</v>
      </c>
      <c r="AP98" s="2"/>
      <c r="AQ98" s="149">
        <f>ROUND((+AI98/AO98)*100,1)</f>
        <v>12.1</v>
      </c>
    </row>
    <row r="99" spans="1:43" x14ac:dyDescent="0.25">
      <c r="A99" s="53"/>
      <c r="C99" s="54"/>
      <c r="F99" s="449"/>
      <c r="H99" s="449"/>
      <c r="I99" s="378"/>
      <c r="J99" s="449"/>
      <c r="K99" s="378"/>
      <c r="L99" s="461"/>
      <c r="M99" s="378"/>
      <c r="N99" s="461"/>
      <c r="O99" s="379"/>
      <c r="P99" s="50"/>
      <c r="Q99" s="379"/>
      <c r="R99" s="379"/>
      <c r="T99" s="45">
        <v>10</v>
      </c>
      <c r="U99" s="378"/>
      <c r="V99" s="222" t="s">
        <v>153</v>
      </c>
      <c r="W99" s="378"/>
      <c r="X99" s="378"/>
      <c r="Y99" s="5"/>
      <c r="Z99" s="2"/>
      <c r="AA99" s="5"/>
      <c r="AB99" s="5"/>
      <c r="AC99" s="446"/>
      <c r="AD99" s="446"/>
      <c r="AE99" s="5"/>
      <c r="AF99" s="2"/>
      <c r="AG99" s="149"/>
      <c r="AH99" s="2"/>
      <c r="AI99" s="5"/>
      <c r="AJ99" s="5"/>
      <c r="AK99" s="149"/>
      <c r="AL99" s="8"/>
      <c r="AM99" s="5"/>
      <c r="AN99" s="2"/>
      <c r="AO99" s="5"/>
      <c r="AP99" s="2"/>
      <c r="AQ99" s="149"/>
    </row>
    <row r="100" spans="1:43" x14ac:dyDescent="0.25">
      <c r="F100" s="379"/>
      <c r="H100" s="381"/>
      <c r="I100" s="378"/>
      <c r="J100" s="381"/>
      <c r="K100" s="378"/>
      <c r="L100" s="464"/>
      <c r="M100" s="378"/>
      <c r="N100" s="464"/>
      <c r="O100" s="381"/>
      <c r="P100" s="381"/>
      <c r="Q100" s="381"/>
      <c r="R100" s="381"/>
      <c r="T100" s="45">
        <v>11</v>
      </c>
      <c r="U100" s="378"/>
      <c r="V100" s="216" t="s">
        <v>154</v>
      </c>
      <c r="W100" s="378"/>
      <c r="X100" s="378"/>
      <c r="Y100" s="5"/>
      <c r="Z100" s="2"/>
      <c r="AA100" s="5">
        <f>H30</f>
        <v>124908</v>
      </c>
      <c r="AB100" s="5"/>
      <c r="AC100" s="450">
        <f>INPUT!C80</f>
        <v>-0.7</v>
      </c>
      <c r="AD100" s="485"/>
      <c r="AE100" s="5">
        <f>ROUND(+AA100*AC100,0)</f>
        <v>-87436</v>
      </c>
      <c r="AF100" s="2"/>
      <c r="AG100" s="383">
        <f>ROUND((+AE100/$AE$133)*100,1)</f>
        <v>-0.3</v>
      </c>
      <c r="AH100" s="2"/>
      <c r="AI100" s="5">
        <f>L30-AE100</f>
        <v>-9992</v>
      </c>
      <c r="AJ100" s="5"/>
      <c r="AK100" s="149">
        <f t="shared" si="1"/>
        <v>11.4</v>
      </c>
      <c r="AL100" s="8"/>
      <c r="AM100" s="5"/>
      <c r="AN100" s="2"/>
      <c r="AO100" s="5">
        <f>AE100+AM100</f>
        <v>-87436</v>
      </c>
      <c r="AP100" s="2"/>
      <c r="AQ100" s="149">
        <f>ROUND((+AI100/AO100)*100,1)</f>
        <v>11.4</v>
      </c>
    </row>
    <row r="101" spans="1:43" x14ac:dyDescent="0.25">
      <c r="A101" s="53"/>
      <c r="C101" s="54"/>
      <c r="F101" s="379"/>
      <c r="H101" s="379"/>
      <c r="I101" s="378"/>
      <c r="J101" s="379"/>
      <c r="K101" s="378"/>
      <c r="L101" s="464"/>
      <c r="M101" s="378"/>
      <c r="N101" s="464"/>
      <c r="O101" s="379"/>
      <c r="P101" s="50"/>
      <c r="Q101" s="379"/>
      <c r="R101" s="379"/>
      <c r="T101" s="45">
        <v>12</v>
      </c>
      <c r="U101" s="378"/>
      <c r="V101" s="216" t="s">
        <v>155</v>
      </c>
      <c r="W101" s="378"/>
      <c r="X101" s="378"/>
      <c r="Y101" s="2"/>
      <c r="Z101" s="2"/>
      <c r="AA101" s="81">
        <f>H31</f>
        <v>208011</v>
      </c>
      <c r="AB101" s="5"/>
      <c r="AC101" s="450">
        <f>INPUT!C81</f>
        <v>-0.54</v>
      </c>
      <c r="AD101" s="485"/>
      <c r="AE101" s="5">
        <f>ROUND(+AA101*AC101,0)</f>
        <v>-112326</v>
      </c>
      <c r="AF101" s="2"/>
      <c r="AG101" s="148">
        <f>ROUND((+AE101/$AE$133)*100,1)</f>
        <v>-0.3</v>
      </c>
      <c r="AH101" s="2"/>
      <c r="AI101" s="5">
        <f>L31-AE101</f>
        <v>-14561</v>
      </c>
      <c r="AJ101" s="5"/>
      <c r="AK101" s="148">
        <f t="shared" si="1"/>
        <v>13</v>
      </c>
      <c r="AL101" s="8"/>
      <c r="AM101" s="5"/>
      <c r="AN101" s="2"/>
      <c r="AO101" s="5">
        <f>AE101+AM101</f>
        <v>-112326</v>
      </c>
      <c r="AP101" s="2"/>
      <c r="AQ101" s="149">
        <f>ROUND((+AI101/AO101)*100,1)</f>
        <v>13</v>
      </c>
    </row>
    <row r="102" spans="1:43" ht="20.100000000000001" customHeight="1" x14ac:dyDescent="0.25">
      <c r="A102" s="53"/>
      <c r="C102" s="54"/>
      <c r="F102" s="379"/>
      <c r="H102" s="379"/>
      <c r="I102" s="378"/>
      <c r="J102" s="379"/>
      <c r="K102" s="378"/>
      <c r="L102" s="464"/>
      <c r="M102" s="378"/>
      <c r="N102" s="464"/>
      <c r="O102" s="379"/>
      <c r="P102" s="379"/>
      <c r="Q102" s="379"/>
      <c r="R102" s="379"/>
      <c r="T102" s="45">
        <v>13</v>
      </c>
      <c r="U102" s="378"/>
      <c r="V102" s="222" t="s">
        <v>68</v>
      </c>
      <c r="W102" s="378"/>
      <c r="X102" s="378"/>
      <c r="Y102" s="5"/>
      <c r="Z102" s="2"/>
      <c r="AA102" s="81">
        <f>H32</f>
        <v>332919</v>
      </c>
      <c r="AB102" s="5"/>
      <c r="AC102" s="9"/>
      <c r="AD102" s="9"/>
      <c r="AE102" s="90">
        <f>AE98+AE100+AE101</f>
        <v>4164463</v>
      </c>
      <c r="AF102" s="2"/>
      <c r="AG102" s="150">
        <f>ROUND((+AE102/$AE$133)*100,1)</f>
        <v>12</v>
      </c>
      <c r="AH102" s="2"/>
      <c r="AI102" s="90">
        <f>AI98+AI100+AI101</f>
        <v>504343</v>
      </c>
      <c r="AJ102" s="83"/>
      <c r="AK102" s="150">
        <f t="shared" si="1"/>
        <v>12.1</v>
      </c>
      <c r="AL102" s="8"/>
      <c r="AM102" s="90"/>
      <c r="AN102" s="2"/>
      <c r="AO102" s="90">
        <f>AO98+AO100+AO101</f>
        <v>4164463</v>
      </c>
      <c r="AP102" s="2"/>
      <c r="AQ102" s="149">
        <f>ROUND((+AI102/AO102)*100,1)</f>
        <v>12.1</v>
      </c>
    </row>
    <row r="103" spans="1:43" x14ac:dyDescent="0.25">
      <c r="A103" s="53"/>
      <c r="C103" s="54"/>
      <c r="H103" s="449"/>
      <c r="I103" s="378"/>
      <c r="J103" s="449"/>
      <c r="K103" s="378"/>
      <c r="L103" s="221"/>
      <c r="M103" s="378"/>
      <c r="N103" s="221"/>
      <c r="O103" s="379"/>
      <c r="P103" s="50"/>
      <c r="Q103" s="379"/>
      <c r="R103" s="379"/>
      <c r="T103" s="45">
        <v>14</v>
      </c>
      <c r="U103" s="378"/>
      <c r="V103" s="222" t="s">
        <v>432</v>
      </c>
      <c r="W103" s="378"/>
      <c r="X103" s="378"/>
      <c r="Y103" s="5"/>
      <c r="Z103" s="2"/>
      <c r="AA103" s="5"/>
      <c r="AB103" s="5"/>
      <c r="AC103" s="9"/>
      <c r="AD103" s="9"/>
      <c r="AE103" s="5"/>
      <c r="AF103" s="2"/>
      <c r="AG103" s="149"/>
      <c r="AH103" s="2"/>
      <c r="AI103" s="5"/>
      <c r="AJ103" s="5"/>
      <c r="AK103" s="149"/>
      <c r="AL103" s="8"/>
      <c r="AM103" s="5"/>
      <c r="AN103" s="2"/>
      <c r="AO103" s="5"/>
      <c r="AP103" s="2"/>
      <c r="AQ103" s="149"/>
    </row>
    <row r="104" spans="1:43" x14ac:dyDescent="0.25">
      <c r="A104" s="53"/>
      <c r="C104" s="54"/>
      <c r="H104" s="449"/>
      <c r="I104" s="378"/>
      <c r="J104" s="449"/>
      <c r="K104" s="378"/>
      <c r="L104" s="221"/>
      <c r="M104" s="378"/>
      <c r="N104" s="221"/>
      <c r="O104" s="379"/>
      <c r="P104" s="50"/>
      <c r="Q104" s="379"/>
      <c r="R104" s="379"/>
      <c r="T104" s="45">
        <v>15</v>
      </c>
      <c r="U104" s="378"/>
      <c r="V104" s="46" t="s">
        <v>445</v>
      </c>
      <c r="W104" s="378"/>
      <c r="X104" s="378"/>
      <c r="Y104" s="5"/>
      <c r="Z104" s="2"/>
      <c r="AA104" s="5">
        <f>H34</f>
        <v>47227851</v>
      </c>
      <c r="AB104" s="2"/>
      <c r="AC104" s="453">
        <f>INPUT!C72</f>
        <v>4.3450000000000003E-2</v>
      </c>
      <c r="AD104" s="9"/>
      <c r="AE104" s="83">
        <f>ROUND((+AA104*AC104),0)</f>
        <v>2052050</v>
      </c>
      <c r="AF104" s="84"/>
      <c r="AG104" s="383">
        <f>ROUND((+AE104/$AE$133)*100,1)</f>
        <v>5.9</v>
      </c>
      <c r="AH104" s="84"/>
      <c r="AI104" s="83">
        <f>L34-AE104</f>
        <v>248513</v>
      </c>
      <c r="AJ104" s="83"/>
      <c r="AK104" s="383">
        <f t="shared" ref="AK104" si="2">IF(AE104=0,0,ROUND((AI104/AE104)*100,1))</f>
        <v>12.1</v>
      </c>
      <c r="AL104" s="103"/>
      <c r="AM104" s="83"/>
      <c r="AN104" s="84"/>
      <c r="AO104" s="83">
        <f>AE104+AM104</f>
        <v>2052050</v>
      </c>
      <c r="AP104" s="2"/>
      <c r="AQ104" s="149">
        <f>ROUND((+AI104/AO104)*100,1)</f>
        <v>12.1</v>
      </c>
    </row>
    <row r="105" spans="1:43" x14ac:dyDescent="0.25">
      <c r="F105" s="379"/>
      <c r="H105" s="379"/>
      <c r="I105" s="378"/>
      <c r="J105" s="379"/>
      <c r="K105" s="378"/>
      <c r="L105" s="464"/>
      <c r="M105" s="378"/>
      <c r="N105" s="464"/>
      <c r="O105" s="381"/>
      <c r="P105" s="381"/>
      <c r="Q105" s="381"/>
      <c r="R105" s="381"/>
      <c r="T105" s="45">
        <v>16</v>
      </c>
      <c r="U105" s="378"/>
      <c r="V105" s="46" t="s">
        <v>446</v>
      </c>
      <c r="W105" s="378"/>
      <c r="X105" s="378"/>
      <c r="Y105" s="87"/>
      <c r="Z105" s="2"/>
      <c r="AA105" s="81">
        <f>H35</f>
        <v>121301918</v>
      </c>
      <c r="AB105" s="5"/>
      <c r="AC105" s="453">
        <f>INPUT!C74</f>
        <v>3.5582000000000003E-2</v>
      </c>
      <c r="AD105" s="454"/>
      <c r="AE105" s="81">
        <f>ROUND((+AA105*AC105),0)</f>
        <v>4316165</v>
      </c>
      <c r="AF105" s="2"/>
      <c r="AG105" s="148">
        <f>ROUND((+AE105/$AE$133)*100,1)</f>
        <v>12.5</v>
      </c>
      <c r="AH105" s="2"/>
      <c r="AI105" s="81">
        <f>L35-AE105</f>
        <v>522569</v>
      </c>
      <c r="AJ105" s="5"/>
      <c r="AK105" s="148">
        <f t="shared" si="1"/>
        <v>12.1</v>
      </c>
      <c r="AL105" s="8"/>
      <c r="AM105" s="81"/>
      <c r="AN105" s="2"/>
      <c r="AO105" s="81">
        <f>AE105+AM105</f>
        <v>4316165</v>
      </c>
      <c r="AP105" s="2"/>
      <c r="AQ105" s="149">
        <f>ROUND((+AI105/AO105)*100,1)</f>
        <v>12.1</v>
      </c>
    </row>
    <row r="106" spans="1:43" ht="22.5" customHeight="1" x14ac:dyDescent="0.25">
      <c r="F106" s="379"/>
      <c r="H106" s="379"/>
      <c r="I106" s="378"/>
      <c r="J106" s="379"/>
      <c r="K106" s="378"/>
      <c r="L106" s="464"/>
      <c r="M106" s="378"/>
      <c r="N106" s="464"/>
      <c r="O106" s="381"/>
      <c r="P106" s="381"/>
      <c r="Q106" s="381"/>
      <c r="R106" s="381"/>
      <c r="T106" s="45">
        <v>17</v>
      </c>
      <c r="U106" s="378"/>
      <c r="V106" s="222" t="s">
        <v>58</v>
      </c>
      <c r="W106" s="378"/>
      <c r="X106" s="378"/>
      <c r="Y106" s="90">
        <f>F36</f>
        <v>152</v>
      </c>
      <c r="Z106" s="2"/>
      <c r="AA106" s="90">
        <f>H36</f>
        <v>168529769</v>
      </c>
      <c r="AB106" s="83"/>
      <c r="AC106" s="446"/>
      <c r="AD106" s="446"/>
      <c r="AE106" s="90">
        <f>AE94+AE102+AE104+AE105</f>
        <v>10553654</v>
      </c>
      <c r="AF106" s="2"/>
      <c r="AG106" s="150">
        <f>ROUND((+AE106/$AE$133)*100,1)</f>
        <v>30.5</v>
      </c>
      <c r="AH106" s="2"/>
      <c r="AI106" s="90">
        <f>AI94+AI102+AI104+AI105</f>
        <v>1275425</v>
      </c>
      <c r="AJ106" s="83"/>
      <c r="AK106" s="150">
        <f t="shared" si="1"/>
        <v>12.1</v>
      </c>
      <c r="AL106" s="8"/>
      <c r="AM106" s="482"/>
      <c r="AN106" s="2"/>
      <c r="AO106" s="90">
        <f>AO94+AO102+AO104+AO105</f>
        <v>10553654</v>
      </c>
      <c r="AP106" s="2"/>
      <c r="AQ106" s="149">
        <f>ROUND((+AI106/AO106)*100,1)</f>
        <v>12.1</v>
      </c>
    </row>
    <row r="107" spans="1:43" x14ac:dyDescent="0.25">
      <c r="F107" s="379"/>
      <c r="H107" s="379"/>
      <c r="I107" s="378"/>
      <c r="J107" s="379"/>
      <c r="K107" s="378"/>
      <c r="L107" s="464"/>
      <c r="M107" s="378"/>
      <c r="N107" s="464"/>
      <c r="O107" s="381"/>
      <c r="P107" s="381"/>
      <c r="Q107" s="381"/>
      <c r="R107" s="381"/>
      <c r="T107" s="45"/>
      <c r="U107" s="378"/>
      <c r="V107" s="46"/>
      <c r="W107" s="378"/>
      <c r="X107" s="378"/>
      <c r="Y107" s="83"/>
      <c r="Z107" s="2"/>
      <c r="AA107" s="83"/>
      <c r="AB107" s="83"/>
      <c r="AC107" s="446"/>
      <c r="AD107" s="446"/>
      <c r="AE107" s="83"/>
      <c r="AF107" s="2"/>
      <c r="AG107" s="383"/>
      <c r="AH107" s="2"/>
      <c r="AI107" s="83"/>
      <c r="AJ107" s="83"/>
      <c r="AK107" s="383"/>
      <c r="AL107" s="8"/>
      <c r="AM107" s="83"/>
      <c r="AN107" s="2"/>
      <c r="AO107" s="83"/>
      <c r="AP107" s="2"/>
      <c r="AQ107" s="149"/>
    </row>
    <row r="108" spans="1:43" x14ac:dyDescent="0.25">
      <c r="A108" s="53"/>
      <c r="C108" s="54"/>
      <c r="F108" s="379"/>
      <c r="H108" s="449"/>
      <c r="I108" s="378"/>
      <c r="J108" s="449"/>
      <c r="K108" s="378"/>
      <c r="L108" s="472"/>
      <c r="M108" s="378"/>
      <c r="N108" s="472"/>
      <c r="O108" s="379"/>
      <c r="P108" s="50"/>
      <c r="Q108" s="379"/>
      <c r="R108" s="379"/>
      <c r="T108" s="45">
        <v>18</v>
      </c>
      <c r="U108" s="378"/>
      <c r="V108" s="222" t="s">
        <v>59</v>
      </c>
      <c r="W108" s="378"/>
      <c r="X108" s="378"/>
      <c r="Y108" s="86"/>
      <c r="Z108" s="2"/>
      <c r="AA108" s="86"/>
      <c r="AB108" s="86"/>
      <c r="AC108" s="446"/>
      <c r="AD108" s="446"/>
      <c r="AE108" s="5"/>
      <c r="AF108" s="2"/>
      <c r="AG108" s="149"/>
      <c r="AH108" s="2"/>
      <c r="AI108" s="5"/>
      <c r="AJ108" s="5"/>
      <c r="AK108" s="147"/>
      <c r="AL108" s="2"/>
      <c r="AM108" s="5"/>
      <c r="AN108" s="2"/>
      <c r="AO108" s="5"/>
      <c r="AP108" s="2"/>
      <c r="AQ108" s="149"/>
    </row>
    <row r="109" spans="1:43" x14ac:dyDescent="0.25">
      <c r="A109" s="53"/>
      <c r="C109" s="54"/>
      <c r="F109" s="379"/>
      <c r="H109" s="379"/>
      <c r="I109" s="378"/>
      <c r="J109" s="379"/>
      <c r="K109" s="378"/>
      <c r="L109" s="464"/>
      <c r="M109" s="378"/>
      <c r="N109" s="464"/>
      <c r="O109" s="379"/>
      <c r="P109" s="50"/>
      <c r="Q109" s="379"/>
      <c r="R109" s="379"/>
      <c r="S109" s="379"/>
      <c r="T109" s="45">
        <v>19</v>
      </c>
      <c r="U109" s="378"/>
      <c r="V109" s="222" t="s">
        <v>140</v>
      </c>
      <c r="W109" s="378"/>
      <c r="X109" s="378"/>
      <c r="Y109" s="2"/>
      <c r="Z109" s="2"/>
      <c r="AA109" s="2"/>
      <c r="AB109" s="2"/>
      <c r="AC109" s="2"/>
      <c r="AD109" s="2"/>
      <c r="AE109" s="2"/>
      <c r="AF109" s="2"/>
      <c r="AG109" s="147"/>
      <c r="AH109" s="2"/>
      <c r="AI109" s="2"/>
      <c r="AJ109" s="2"/>
      <c r="AK109" s="147"/>
      <c r="AL109" s="2"/>
      <c r="AM109" s="2"/>
      <c r="AN109" s="2"/>
      <c r="AO109" s="2"/>
      <c r="AP109" s="2"/>
      <c r="AQ109" s="147"/>
    </row>
    <row r="110" spans="1:43" x14ac:dyDescent="0.25">
      <c r="I110" s="378"/>
      <c r="K110" s="378"/>
      <c r="M110" s="378"/>
      <c r="T110" s="45">
        <v>20</v>
      </c>
      <c r="U110" s="378"/>
      <c r="V110" s="46" t="s">
        <v>151</v>
      </c>
      <c r="W110" s="378"/>
      <c r="X110" s="378"/>
      <c r="Y110" s="5">
        <f>F40</f>
        <v>303</v>
      </c>
      <c r="Z110" s="2"/>
      <c r="AA110" s="86"/>
      <c r="AB110" s="86"/>
      <c r="AC110" s="96">
        <f>AC93</f>
        <v>138</v>
      </c>
      <c r="AD110" s="96"/>
      <c r="AE110" s="5">
        <f>ROUND(+Y110*AC110,0)</f>
        <v>41814</v>
      </c>
      <c r="AF110" s="2"/>
      <c r="AG110" s="148">
        <f>ROUND((+AE110/$AE$133)*100,1)</f>
        <v>0.1</v>
      </c>
      <c r="AH110" s="2"/>
      <c r="AI110" s="5">
        <f>L40-AE110</f>
        <v>0</v>
      </c>
      <c r="AJ110" s="5"/>
      <c r="AK110" s="148">
        <f>IF(AE110=0,0,ROUND((AI110/AE110)*100,1))</f>
        <v>0</v>
      </c>
      <c r="AL110" s="8"/>
      <c r="AM110" s="5"/>
      <c r="AN110" s="2"/>
      <c r="AO110" s="5">
        <f>AE110+AM110</f>
        <v>41814</v>
      </c>
      <c r="AP110" s="2"/>
      <c r="AQ110" s="149">
        <f>ROUND((+AI110/AO110)*100,1)</f>
        <v>0</v>
      </c>
    </row>
    <row r="111" spans="1:43" ht="20.100000000000001" customHeight="1" x14ac:dyDescent="0.25">
      <c r="A111" s="53"/>
      <c r="C111" s="54"/>
      <c r="F111" s="449"/>
      <c r="H111" s="449"/>
      <c r="I111" s="378"/>
      <c r="J111" s="449"/>
      <c r="K111" s="378"/>
      <c r="L111" s="461"/>
      <c r="M111" s="378"/>
      <c r="N111" s="461"/>
      <c r="O111" s="379"/>
      <c r="P111" s="50"/>
      <c r="Q111" s="53"/>
      <c r="R111" s="379"/>
      <c r="T111" s="45">
        <v>21</v>
      </c>
      <c r="U111" s="378"/>
      <c r="V111" s="222" t="s">
        <v>143</v>
      </c>
      <c r="W111" s="378"/>
      <c r="X111" s="378"/>
      <c r="Y111" s="90">
        <f>F41</f>
        <v>303</v>
      </c>
      <c r="Z111" s="2"/>
      <c r="AA111" s="5"/>
      <c r="AB111" s="5"/>
      <c r="AC111" s="446"/>
      <c r="AD111" s="446"/>
      <c r="AE111" s="90">
        <f>SUM(AE110:AE110)</f>
        <v>41814</v>
      </c>
      <c r="AF111" s="2"/>
      <c r="AG111" s="150">
        <f>ROUND((+AE111/$AE$133)*100,1)</f>
        <v>0.1</v>
      </c>
      <c r="AH111" s="2"/>
      <c r="AI111" s="90">
        <f>SUM(AI110:AI110)</f>
        <v>0</v>
      </c>
      <c r="AJ111" s="83"/>
      <c r="AK111" s="150">
        <f>IF(AE111=0,0,ROUND((AI111/AE111)*100,1))</f>
        <v>0</v>
      </c>
      <c r="AL111" s="8"/>
      <c r="AM111" s="90"/>
      <c r="AN111" s="2"/>
      <c r="AO111" s="90">
        <f>SUM(AO110:AO110)</f>
        <v>41814</v>
      </c>
      <c r="AP111" s="2"/>
      <c r="AQ111" s="149">
        <f>ROUND((+AI111/AO111)*100,1)</f>
        <v>0</v>
      </c>
    </row>
    <row r="112" spans="1:43" x14ac:dyDescent="0.25">
      <c r="A112" s="53"/>
      <c r="C112" s="54"/>
      <c r="F112" s="449"/>
      <c r="H112" s="449"/>
      <c r="I112" s="378"/>
      <c r="J112" s="449"/>
      <c r="K112" s="378"/>
      <c r="L112" s="461"/>
      <c r="M112" s="378"/>
      <c r="N112" s="461"/>
      <c r="O112" s="379"/>
      <c r="P112" s="50"/>
      <c r="Q112" s="53"/>
      <c r="R112" s="379"/>
      <c r="T112" s="45">
        <v>22</v>
      </c>
      <c r="U112" s="378"/>
      <c r="V112" s="222" t="s">
        <v>65</v>
      </c>
      <c r="W112" s="378"/>
      <c r="X112" s="378"/>
      <c r="Y112" s="86"/>
      <c r="Z112" s="2"/>
      <c r="AA112" s="86"/>
      <c r="AB112" s="86"/>
      <c r="AC112" s="481"/>
      <c r="AD112" s="481"/>
      <c r="AE112" s="5"/>
      <c r="AF112" s="2"/>
      <c r="AG112" s="149"/>
      <c r="AH112" s="2"/>
      <c r="AI112" s="5"/>
      <c r="AJ112" s="5"/>
      <c r="AK112" s="149"/>
      <c r="AL112" s="6"/>
      <c r="AM112" s="5"/>
      <c r="AN112" s="2"/>
      <c r="AO112" s="5"/>
      <c r="AP112" s="2"/>
      <c r="AQ112" s="149"/>
    </row>
    <row r="113" spans="1:43" x14ac:dyDescent="0.25">
      <c r="F113" s="381"/>
      <c r="H113" s="379"/>
      <c r="I113" s="378"/>
      <c r="J113" s="379"/>
      <c r="K113" s="378"/>
      <c r="L113" s="464"/>
      <c r="M113" s="378"/>
      <c r="N113" s="464"/>
      <c r="O113" s="381"/>
      <c r="P113" s="381"/>
      <c r="Q113" s="381"/>
      <c r="R113" s="381"/>
      <c r="T113" s="45">
        <v>23</v>
      </c>
      <c r="U113" s="378"/>
      <c r="V113" s="46" t="s">
        <v>66</v>
      </c>
      <c r="W113" s="378"/>
      <c r="X113" s="378"/>
      <c r="Y113" s="86"/>
      <c r="Z113" s="2"/>
      <c r="AA113" s="5">
        <f>H43</f>
        <v>569529.32999999996</v>
      </c>
      <c r="AB113" s="5"/>
      <c r="AC113" s="450">
        <f>INPUT!C78</f>
        <v>13.04</v>
      </c>
      <c r="AD113" s="96"/>
      <c r="AE113" s="5">
        <f>ROUND(+AA113*AC113,0)</f>
        <v>7426662</v>
      </c>
      <c r="AF113" s="2"/>
      <c r="AG113" s="383">
        <f>ROUND((+AE113/$AE$133)*100,1)</f>
        <v>21.5</v>
      </c>
      <c r="AH113" s="2"/>
      <c r="AI113" s="5">
        <f>L43-AE113</f>
        <v>899857</v>
      </c>
      <c r="AJ113" s="5"/>
      <c r="AK113" s="149">
        <f>IF(AE113=0,0,ROUND((AI113/AE113)*100,1))</f>
        <v>12.1</v>
      </c>
      <c r="AL113" s="8"/>
      <c r="AM113" s="5"/>
      <c r="AN113" s="2"/>
      <c r="AO113" s="5">
        <f>AE113+AM113</f>
        <v>7426662</v>
      </c>
      <c r="AP113" s="2"/>
      <c r="AQ113" s="149">
        <v>0</v>
      </c>
    </row>
    <row r="114" spans="1:43" x14ac:dyDescent="0.25">
      <c r="A114" s="53"/>
      <c r="C114" s="54"/>
      <c r="F114" s="379"/>
      <c r="H114" s="379"/>
      <c r="I114" s="378"/>
      <c r="J114" s="379"/>
      <c r="K114" s="378"/>
      <c r="L114" s="464"/>
      <c r="M114" s="378"/>
      <c r="N114" s="464"/>
      <c r="O114" s="379"/>
      <c r="P114" s="50"/>
      <c r="Q114" s="379"/>
      <c r="R114" s="379"/>
      <c r="T114" s="45">
        <v>24</v>
      </c>
      <c r="U114" s="378"/>
      <c r="V114" s="46" t="s">
        <v>67</v>
      </c>
      <c r="W114" s="378"/>
      <c r="X114" s="378"/>
      <c r="Y114" s="86"/>
      <c r="Z114" s="2"/>
      <c r="AA114" s="5">
        <f>H44</f>
        <v>36585.769999999997</v>
      </c>
      <c r="AB114" s="5"/>
      <c r="AC114" s="450">
        <f>INPUT!C79</f>
        <v>1.24</v>
      </c>
      <c r="AD114" s="96"/>
      <c r="AE114" s="5">
        <f>ROUND(+AA114*AC114,0)</f>
        <v>45366</v>
      </c>
      <c r="AF114" s="2"/>
      <c r="AG114" s="148">
        <f>ROUND((+AE114/$AE$133)*100,1)</f>
        <v>0.1</v>
      </c>
      <c r="AH114" s="2"/>
      <c r="AI114" s="5">
        <f>L44-AE114</f>
        <v>5488</v>
      </c>
      <c r="AJ114" s="5"/>
      <c r="AK114" s="148">
        <f>IF(AE114=0,0,ROUND((AI114/AE114)*100,1))</f>
        <v>12.1</v>
      </c>
      <c r="AL114" s="8"/>
      <c r="AM114" s="5"/>
      <c r="AN114" s="2"/>
      <c r="AO114" s="5">
        <f>AE114+AM114</f>
        <v>45366</v>
      </c>
      <c r="AP114" s="2"/>
      <c r="AQ114" s="149">
        <f>ROUND((+AI114/AO114)*100,1)</f>
        <v>12.1</v>
      </c>
    </row>
    <row r="115" spans="1:43" ht="20.100000000000001" customHeight="1" x14ac:dyDescent="0.25">
      <c r="A115" s="53"/>
      <c r="C115" s="54"/>
      <c r="F115" s="449"/>
      <c r="H115" s="449"/>
      <c r="I115" s="378"/>
      <c r="J115" s="449"/>
      <c r="K115" s="378"/>
      <c r="L115" s="477"/>
      <c r="M115" s="378"/>
      <c r="N115" s="477"/>
      <c r="O115" s="379"/>
      <c r="P115" s="50"/>
      <c r="Q115" s="379"/>
      <c r="R115" s="379"/>
      <c r="S115" s="379"/>
      <c r="T115" s="45">
        <v>25</v>
      </c>
      <c r="U115" s="378"/>
      <c r="V115" s="222" t="s">
        <v>152</v>
      </c>
      <c r="W115" s="378"/>
      <c r="X115" s="378"/>
      <c r="Y115" s="5"/>
      <c r="Z115" s="2"/>
      <c r="AA115" s="90">
        <f>H45</f>
        <v>606115.1</v>
      </c>
      <c r="AB115" s="83"/>
      <c r="AC115" s="446"/>
      <c r="AD115" s="446"/>
      <c r="AE115" s="90">
        <f>SUM(AE113:AE114)</f>
        <v>7472028</v>
      </c>
      <c r="AF115" s="2"/>
      <c r="AG115" s="150">
        <f>ROUND((+AE115/$AE$133)*100,1)</f>
        <v>21.6</v>
      </c>
      <c r="AH115" s="2"/>
      <c r="AI115" s="90">
        <f>SUM(AI113:AI114)</f>
        <v>905345</v>
      </c>
      <c r="AJ115" s="83"/>
      <c r="AK115" s="150">
        <f>IF(AE115=0,0,ROUND((AI115/AE115)*100,1))</f>
        <v>12.1</v>
      </c>
      <c r="AL115" s="8"/>
      <c r="AM115" s="90"/>
      <c r="AN115" s="2"/>
      <c r="AO115" s="90">
        <f>SUM(AO113:AO114)</f>
        <v>7472028</v>
      </c>
      <c r="AP115" s="2"/>
      <c r="AQ115" s="149">
        <f>ROUND((+AI115/AO115)*100,1)</f>
        <v>12.1</v>
      </c>
    </row>
    <row r="116" spans="1:43" x14ac:dyDescent="0.25">
      <c r="A116" s="53"/>
      <c r="C116" s="54"/>
      <c r="F116" s="449"/>
      <c r="H116" s="449"/>
      <c r="I116" s="378"/>
      <c r="J116" s="449"/>
      <c r="K116" s="378"/>
      <c r="L116" s="461"/>
      <c r="M116" s="378"/>
      <c r="N116" s="461"/>
      <c r="O116" s="379"/>
      <c r="P116" s="50"/>
      <c r="Q116" s="379"/>
      <c r="R116" s="379"/>
      <c r="T116" s="45">
        <v>26</v>
      </c>
      <c r="U116" s="378"/>
      <c r="V116" s="222" t="s">
        <v>153</v>
      </c>
      <c r="W116" s="378"/>
      <c r="X116" s="378"/>
      <c r="Y116" s="5"/>
      <c r="Z116" s="2"/>
      <c r="AA116" s="5"/>
      <c r="AB116" s="5"/>
      <c r="AC116" s="446"/>
      <c r="AD116" s="446"/>
      <c r="AE116" s="5"/>
      <c r="AF116" s="2"/>
      <c r="AG116" s="149"/>
      <c r="AH116" s="2"/>
      <c r="AI116" s="5"/>
      <c r="AJ116" s="5"/>
      <c r="AK116" s="149"/>
      <c r="AL116" s="8"/>
      <c r="AM116" s="5"/>
      <c r="AN116" s="2"/>
      <c r="AO116" s="5"/>
      <c r="AP116" s="2"/>
      <c r="AQ116" s="149"/>
    </row>
    <row r="117" spans="1:43" x14ac:dyDescent="0.25">
      <c r="F117" s="379"/>
      <c r="H117" s="381"/>
      <c r="I117" s="378"/>
      <c r="J117" s="381"/>
      <c r="K117" s="378"/>
      <c r="L117" s="464"/>
      <c r="M117" s="378"/>
      <c r="N117" s="464"/>
      <c r="O117" s="381"/>
      <c r="P117" s="381"/>
      <c r="Q117" s="381"/>
      <c r="R117" s="381"/>
      <c r="T117" s="45">
        <v>27</v>
      </c>
      <c r="U117" s="378"/>
      <c r="V117" s="216" t="s">
        <v>154</v>
      </c>
      <c r="W117" s="378"/>
      <c r="X117" s="378"/>
      <c r="Y117" s="5"/>
      <c r="Z117" s="2"/>
      <c r="AA117" s="5">
        <f>H47</f>
        <v>264574.5</v>
      </c>
      <c r="AB117" s="5"/>
      <c r="AC117" s="96">
        <f>AC100</f>
        <v>-0.7</v>
      </c>
      <c r="AD117" s="485"/>
      <c r="AE117" s="5">
        <f>ROUND(+AA117*AC117,0)</f>
        <v>-185202</v>
      </c>
      <c r="AF117" s="2"/>
      <c r="AG117" s="383">
        <f>ROUND((+AE117/$AE$133)*100,1)</f>
        <v>-0.5</v>
      </c>
      <c r="AH117" s="2"/>
      <c r="AI117" s="5">
        <f>L47-AE117</f>
        <v>-21166</v>
      </c>
      <c r="AJ117" s="5"/>
      <c r="AK117" s="149">
        <f>IF(AE117=0,0,ROUND((AI117/AE117)*100,1))</f>
        <v>11.4</v>
      </c>
      <c r="AL117" s="8"/>
      <c r="AM117" s="5"/>
      <c r="AN117" s="2"/>
      <c r="AO117" s="5">
        <f>AE117+AM117</f>
        <v>-185202</v>
      </c>
      <c r="AP117" s="2"/>
      <c r="AQ117" s="149">
        <f>ROUND((+AI117/AO117)*100,1)</f>
        <v>11.4</v>
      </c>
    </row>
    <row r="118" spans="1:43" ht="20.100000000000001" customHeight="1" x14ac:dyDescent="0.25">
      <c r="A118" s="53"/>
      <c r="C118" s="54"/>
      <c r="F118" s="379"/>
      <c r="H118" s="379"/>
      <c r="I118" s="378"/>
      <c r="J118" s="379"/>
      <c r="K118" s="378"/>
      <c r="L118" s="464"/>
      <c r="M118" s="378"/>
      <c r="N118" s="464"/>
      <c r="O118" s="379"/>
      <c r="P118" s="50"/>
      <c r="Q118" s="379"/>
      <c r="R118" s="379"/>
      <c r="T118" s="45">
        <v>28</v>
      </c>
      <c r="U118" s="378"/>
      <c r="V118" s="216" t="s">
        <v>155</v>
      </c>
      <c r="W118" s="378"/>
      <c r="X118" s="378"/>
      <c r="Y118" s="2"/>
      <c r="Z118" s="2"/>
      <c r="AA118" s="81">
        <f>H48</f>
        <v>341539.6</v>
      </c>
      <c r="AB118" s="5"/>
      <c r="AC118" s="96">
        <f>AC101</f>
        <v>-0.54</v>
      </c>
      <c r="AD118" s="485"/>
      <c r="AE118" s="5">
        <f>ROUND(+AA118*AC118,0)</f>
        <v>-184431</v>
      </c>
      <c r="AF118" s="2"/>
      <c r="AG118" s="148">
        <f>ROUND((+AE118/$AE$133)*100,1)</f>
        <v>-0.5</v>
      </c>
      <c r="AH118" s="2"/>
      <c r="AI118" s="5">
        <f>L48-AE118</f>
        <v>-23908</v>
      </c>
      <c r="AJ118" s="5"/>
      <c r="AK118" s="148">
        <f>IF(AE118=0,0,ROUND((AI118/AE118)*100,1))</f>
        <v>13</v>
      </c>
      <c r="AL118" s="8"/>
      <c r="AM118" s="5"/>
      <c r="AN118" s="2"/>
      <c r="AO118" s="5">
        <f>AE118+AM118</f>
        <v>-184431</v>
      </c>
      <c r="AP118" s="2"/>
      <c r="AQ118" s="149">
        <f>ROUND((+AI118/AO118)*100,1)</f>
        <v>13</v>
      </c>
    </row>
    <row r="119" spans="1:43" ht="20.100000000000001" customHeight="1" x14ac:dyDescent="0.25">
      <c r="A119" s="53"/>
      <c r="C119" s="54"/>
      <c r="F119" s="379"/>
      <c r="H119" s="379"/>
      <c r="I119" s="378"/>
      <c r="J119" s="379"/>
      <c r="K119" s="378"/>
      <c r="L119" s="464"/>
      <c r="M119" s="378"/>
      <c r="N119" s="464"/>
      <c r="O119" s="379"/>
      <c r="P119" s="379"/>
      <c r="Q119" s="379"/>
      <c r="R119" s="379"/>
      <c r="T119" s="45">
        <v>29</v>
      </c>
      <c r="U119" s="378"/>
      <c r="V119" s="222" t="s">
        <v>68</v>
      </c>
      <c r="W119" s="378"/>
      <c r="X119" s="378"/>
      <c r="Y119" s="5"/>
      <c r="Z119" s="2"/>
      <c r="AA119" s="81">
        <f>H49</f>
        <v>606114.1</v>
      </c>
      <c r="AB119" s="5"/>
      <c r="AC119" s="9"/>
      <c r="AD119" s="9"/>
      <c r="AE119" s="90">
        <f>AE115+AE117+AE118</f>
        <v>7102395</v>
      </c>
      <c r="AF119" s="2"/>
      <c r="AG119" s="150">
        <f>ROUND((+AE119/$AE$133)*100,1)</f>
        <v>20.6</v>
      </c>
      <c r="AH119" s="2"/>
      <c r="AI119" s="90">
        <f>AI115+AI117+AI118</f>
        <v>860271</v>
      </c>
      <c r="AJ119" s="83"/>
      <c r="AK119" s="150">
        <f>IF(AE119=0,0,ROUND((AI119/AE119)*100,1))</f>
        <v>12.1</v>
      </c>
      <c r="AL119" s="8"/>
      <c r="AM119" s="90"/>
      <c r="AN119" s="2"/>
      <c r="AO119" s="90">
        <f>AO115+AO117+AO118</f>
        <v>7102395</v>
      </c>
      <c r="AP119" s="2"/>
      <c r="AQ119" s="149">
        <f>ROUND((+AI119/AO119)*100,1)</f>
        <v>12.1</v>
      </c>
    </row>
    <row r="120" spans="1:43" x14ac:dyDescent="0.25">
      <c r="A120" s="53"/>
      <c r="C120" s="54"/>
      <c r="H120" s="449"/>
      <c r="I120" s="378"/>
      <c r="J120" s="449"/>
      <c r="K120" s="378"/>
      <c r="L120" s="221"/>
      <c r="M120" s="378"/>
      <c r="N120" s="221"/>
      <c r="O120" s="379"/>
      <c r="P120" s="50"/>
      <c r="Q120" s="379"/>
      <c r="R120" s="379"/>
      <c r="T120" s="45">
        <v>30</v>
      </c>
      <c r="U120" s="378"/>
      <c r="V120" s="222" t="s">
        <v>432</v>
      </c>
      <c r="W120" s="378"/>
      <c r="X120" s="378"/>
      <c r="Y120" s="5"/>
      <c r="Z120" s="2"/>
      <c r="AA120" s="5"/>
      <c r="AB120" s="5"/>
      <c r="AC120" s="9"/>
      <c r="AD120" s="9"/>
      <c r="AE120" s="5"/>
      <c r="AF120" s="2"/>
      <c r="AG120" s="149"/>
      <c r="AH120" s="2"/>
      <c r="AI120" s="5"/>
      <c r="AJ120" s="5"/>
      <c r="AK120" s="149"/>
      <c r="AL120" s="8"/>
      <c r="AM120" s="5"/>
      <c r="AN120" s="2"/>
      <c r="AO120" s="5"/>
      <c r="AP120" s="2"/>
      <c r="AQ120" s="149"/>
    </row>
    <row r="121" spans="1:43" x14ac:dyDescent="0.25">
      <c r="A121" s="53"/>
      <c r="C121" s="54"/>
      <c r="H121" s="449"/>
      <c r="I121" s="378"/>
      <c r="J121" s="449"/>
      <c r="K121" s="378"/>
      <c r="L121" s="221"/>
      <c r="M121" s="378"/>
      <c r="N121" s="221"/>
      <c r="O121" s="379"/>
      <c r="P121" s="50"/>
      <c r="Q121" s="379"/>
      <c r="R121" s="379"/>
      <c r="T121" s="45">
        <v>31</v>
      </c>
      <c r="U121" s="378"/>
      <c r="V121" s="46" t="s">
        <v>445</v>
      </c>
      <c r="W121" s="378"/>
      <c r="X121" s="378"/>
      <c r="Y121" s="5"/>
      <c r="Z121" s="2"/>
      <c r="AA121" s="5">
        <f>H51</f>
        <v>83121332</v>
      </c>
      <c r="AB121" s="5"/>
      <c r="AC121" s="457">
        <f>INPUT!C73</f>
        <v>4.1479000000000002E-2</v>
      </c>
      <c r="AD121" s="454"/>
      <c r="AE121" s="83">
        <f>ROUND((+AA121*AC121),0)</f>
        <v>3447790</v>
      </c>
      <c r="AF121" s="84"/>
      <c r="AG121" s="383">
        <f>ROUND((+AE121/$AE$133)*100,1)</f>
        <v>10</v>
      </c>
      <c r="AH121" s="84"/>
      <c r="AI121" s="83">
        <f>L51-AE121</f>
        <v>417269</v>
      </c>
      <c r="AJ121" s="83"/>
      <c r="AK121" s="383">
        <f>IF(AE121=0,0,ROUND((AI121/AE121)*100,1))</f>
        <v>12.1</v>
      </c>
      <c r="AL121" s="103"/>
      <c r="AM121" s="83"/>
      <c r="AN121" s="84"/>
      <c r="AO121" s="83">
        <f>AE121+AM121</f>
        <v>3447790</v>
      </c>
      <c r="AP121" s="2"/>
      <c r="AQ121" s="149">
        <f>ROUND((+AI121/AO121)*100,1)</f>
        <v>12.1</v>
      </c>
    </row>
    <row r="122" spans="1:43" x14ac:dyDescent="0.25">
      <c r="F122" s="379"/>
      <c r="H122" s="379"/>
      <c r="I122" s="378"/>
      <c r="J122" s="379"/>
      <c r="K122" s="378"/>
      <c r="L122" s="464"/>
      <c r="M122" s="378"/>
      <c r="N122" s="464"/>
      <c r="O122" s="381"/>
      <c r="P122" s="381"/>
      <c r="Q122" s="381"/>
      <c r="R122" s="381"/>
      <c r="T122" s="45">
        <v>32</v>
      </c>
      <c r="U122" s="378"/>
      <c r="V122" s="46" t="s">
        <v>446</v>
      </c>
      <c r="W122" s="378"/>
      <c r="X122" s="378"/>
      <c r="Y122" s="87"/>
      <c r="Z122" s="2"/>
      <c r="AA122" s="5">
        <f>H52</f>
        <v>220999095</v>
      </c>
      <c r="AB122" s="5"/>
      <c r="AC122" s="268">
        <f>AC105</f>
        <v>3.5582000000000003E-2</v>
      </c>
      <c r="AD122" s="454"/>
      <c r="AE122" s="81">
        <f>ROUND((+AA122*AC122),0)</f>
        <v>7863590</v>
      </c>
      <c r="AF122" s="2"/>
      <c r="AG122" s="148">
        <f>ROUND((+AE122/$AE$133)*100,1)</f>
        <v>22.8</v>
      </c>
      <c r="AH122" s="2"/>
      <c r="AI122" s="81">
        <f>L52-AE122</f>
        <v>952064</v>
      </c>
      <c r="AJ122" s="5"/>
      <c r="AK122" s="148">
        <f>IF(AE122=0,0,ROUND((AI122/AE122)*100,1))</f>
        <v>12.1</v>
      </c>
      <c r="AL122" s="8"/>
      <c r="AM122" s="81"/>
      <c r="AN122" s="2"/>
      <c r="AO122" s="81">
        <f>AE122+AM122</f>
        <v>7863590</v>
      </c>
      <c r="AP122" s="2"/>
      <c r="AQ122" s="149">
        <f>ROUND((+AI122/AO122)*100,1)</f>
        <v>12.1</v>
      </c>
    </row>
    <row r="123" spans="1:43" ht="22.5" customHeight="1" x14ac:dyDescent="0.25">
      <c r="F123" s="379"/>
      <c r="H123" s="379"/>
      <c r="I123" s="378"/>
      <c r="J123" s="379"/>
      <c r="K123" s="378"/>
      <c r="L123" s="464"/>
      <c r="M123" s="378"/>
      <c r="N123" s="464"/>
      <c r="O123" s="381"/>
      <c r="P123" s="381"/>
      <c r="Q123" s="381"/>
      <c r="R123" s="381"/>
      <c r="T123" s="45">
        <v>33</v>
      </c>
      <c r="U123" s="378"/>
      <c r="V123" s="222" t="s">
        <v>60</v>
      </c>
      <c r="W123" s="378"/>
      <c r="X123" s="378"/>
      <c r="Y123" s="90">
        <f>F53</f>
        <v>303</v>
      </c>
      <c r="Z123" s="2"/>
      <c r="AA123" s="90">
        <f>H53</f>
        <v>304120427</v>
      </c>
      <c r="AB123" s="83"/>
      <c r="AC123" s="268"/>
      <c r="AD123" s="446"/>
      <c r="AE123" s="90">
        <f>AE111+AE119+AE121+AE122</f>
        <v>18455589</v>
      </c>
      <c r="AF123" s="2"/>
      <c r="AG123" s="150">
        <f>ROUND((+AE123/$AE$133)*100,1)</f>
        <v>53.4</v>
      </c>
      <c r="AH123" s="2"/>
      <c r="AI123" s="90">
        <f>AI111+AI119+AI121+AI122</f>
        <v>2229604</v>
      </c>
      <c r="AJ123" s="83"/>
      <c r="AK123" s="150">
        <f>IF(AE123=0,0,ROUND((AI123/AE123)*100,1))</f>
        <v>12.1</v>
      </c>
      <c r="AL123" s="8"/>
      <c r="AM123" s="482"/>
      <c r="AN123" s="2"/>
      <c r="AO123" s="90">
        <f>AO111+AO119+AO121+AO122</f>
        <v>18455589</v>
      </c>
      <c r="AP123" s="2"/>
      <c r="AQ123" s="149">
        <f>ROUND((+AI123/AO123)*100,1)</f>
        <v>12.1</v>
      </c>
    </row>
    <row r="124" spans="1:43" ht="22.5" customHeight="1" x14ac:dyDescent="0.25">
      <c r="F124" s="379"/>
      <c r="H124" s="379"/>
      <c r="I124" s="378"/>
      <c r="J124" s="379"/>
      <c r="K124" s="378"/>
      <c r="L124" s="464"/>
      <c r="M124" s="378"/>
      <c r="N124" s="464"/>
      <c r="O124" s="381"/>
      <c r="P124" s="381"/>
      <c r="Q124" s="381"/>
      <c r="R124" s="381"/>
      <c r="T124" s="45">
        <v>34</v>
      </c>
      <c r="U124" s="378"/>
      <c r="V124" s="444" t="s">
        <v>514</v>
      </c>
      <c r="W124" s="378"/>
      <c r="X124" s="378"/>
      <c r="Y124" s="81">
        <f>Y106+Y123</f>
        <v>455</v>
      </c>
      <c r="Z124" s="2"/>
      <c r="AA124" s="81">
        <f>AA106+AA123</f>
        <v>472650196</v>
      </c>
      <c r="AB124" s="2"/>
      <c r="AC124" s="268"/>
      <c r="AD124" s="446"/>
      <c r="AE124" s="90">
        <f>AE123+AE106</f>
        <v>29009243</v>
      </c>
      <c r="AF124" s="2"/>
      <c r="AG124" s="150">
        <f>ROUND((+AE124/$AE$133)*100,1)</f>
        <v>83.9</v>
      </c>
      <c r="AH124" s="2"/>
      <c r="AI124" s="81">
        <f>AI123+AI106</f>
        <v>3505029</v>
      </c>
      <c r="AJ124" s="83"/>
      <c r="AK124" s="150">
        <f>IF(AE124=0,0,ROUND((AI124/AE124)*100,1))</f>
        <v>12.1</v>
      </c>
      <c r="AL124" s="8"/>
      <c r="AM124" s="90">
        <f>AM123+AM106</f>
        <v>0</v>
      </c>
      <c r="AN124" s="2"/>
      <c r="AO124" s="90">
        <f>AO123+AO106</f>
        <v>29009243</v>
      </c>
      <c r="AP124" s="2"/>
      <c r="AQ124" s="149">
        <f>ROUND((+AI124/AO124)*100,1)</f>
        <v>12.1</v>
      </c>
    </row>
    <row r="125" spans="1:43" ht="15.75" customHeight="1" x14ac:dyDescent="0.25">
      <c r="F125" s="379"/>
      <c r="H125" s="379"/>
      <c r="I125" s="378"/>
      <c r="J125" s="379"/>
      <c r="K125" s="378"/>
      <c r="L125" s="464"/>
      <c r="M125" s="378"/>
      <c r="N125" s="464"/>
      <c r="O125" s="381"/>
      <c r="P125" s="381"/>
      <c r="Q125" s="381"/>
      <c r="R125" s="381"/>
      <c r="T125" s="45"/>
      <c r="U125" s="378"/>
      <c r="V125" s="46"/>
      <c r="W125" s="378"/>
      <c r="X125" s="378"/>
      <c r="Y125" s="83"/>
      <c r="Z125" s="2"/>
      <c r="AA125" s="83"/>
      <c r="AB125" s="2"/>
      <c r="AC125" s="268"/>
      <c r="AD125" s="446"/>
      <c r="AE125" s="83"/>
      <c r="AF125" s="2"/>
      <c r="AG125" s="383"/>
      <c r="AH125" s="2"/>
      <c r="AI125" s="83"/>
      <c r="AJ125" s="83"/>
      <c r="AK125" s="383"/>
      <c r="AL125" s="8"/>
      <c r="AM125" s="379"/>
      <c r="AN125" s="2"/>
      <c r="AO125" s="83"/>
      <c r="AP125" s="2"/>
      <c r="AQ125" s="149"/>
    </row>
    <row r="126" spans="1:43" ht="15.75" customHeight="1" x14ac:dyDescent="0.25">
      <c r="F126" s="379"/>
      <c r="H126" s="379"/>
      <c r="I126" s="378"/>
      <c r="J126" s="379"/>
      <c r="K126" s="378"/>
      <c r="L126" s="464"/>
      <c r="M126" s="378"/>
      <c r="N126" s="464"/>
      <c r="O126" s="381"/>
      <c r="P126" s="381"/>
      <c r="Q126" s="381"/>
      <c r="R126" s="381"/>
      <c r="T126" s="45">
        <f t="shared" ref="T126:T131" si="3">A56</f>
        <v>35</v>
      </c>
      <c r="U126" s="378"/>
      <c r="V126" s="222" t="s">
        <v>504</v>
      </c>
      <c r="W126" s="378"/>
      <c r="X126" s="378"/>
      <c r="Y126" s="83"/>
      <c r="Z126" s="2"/>
      <c r="AA126" s="83"/>
      <c r="AB126" s="2"/>
      <c r="AC126" s="268"/>
      <c r="AD126" s="446"/>
      <c r="AE126" s="83"/>
      <c r="AF126" s="2"/>
      <c r="AG126" s="383"/>
      <c r="AH126" s="2"/>
      <c r="AI126" s="83"/>
      <c r="AJ126" s="83"/>
      <c r="AK126" s="383"/>
      <c r="AL126" s="8"/>
      <c r="AM126" s="379"/>
      <c r="AN126" s="2"/>
      <c r="AO126" s="83"/>
      <c r="AP126" s="2"/>
      <c r="AQ126" s="149"/>
    </row>
    <row r="127" spans="1:43" ht="15.75" customHeight="1" x14ac:dyDescent="0.25">
      <c r="F127" s="379"/>
      <c r="H127" s="379"/>
      <c r="I127" s="378"/>
      <c r="J127" s="379"/>
      <c r="K127" s="378"/>
      <c r="L127" s="464"/>
      <c r="M127" s="378"/>
      <c r="N127" s="464"/>
      <c r="O127" s="381"/>
      <c r="P127" s="381"/>
      <c r="Q127" s="381"/>
      <c r="R127" s="381"/>
      <c r="T127" s="45">
        <f t="shared" si="3"/>
        <v>36</v>
      </c>
      <c r="U127" s="378"/>
      <c r="V127" s="216" t="str">
        <f>C57</f>
        <v>DEMAND SIDE MANAGEMENT RIDER (DSMR)</v>
      </c>
      <c r="W127" s="378"/>
      <c r="X127" s="378"/>
      <c r="Y127" s="83"/>
      <c r="Z127" s="2"/>
      <c r="AA127" s="83"/>
      <c r="AB127" s="2"/>
      <c r="AC127" s="465">
        <f>DSM_DIST</f>
        <v>5.091E-3</v>
      </c>
      <c r="AD127" s="446"/>
      <c r="AE127" s="83">
        <f>ROUND($AA$124*AC127,0)</f>
        <v>2406262</v>
      </c>
      <c r="AF127" s="2"/>
      <c r="AG127" s="383">
        <f>ROUND((+AE127/$AE$133)*100,1)</f>
        <v>7</v>
      </c>
      <c r="AH127" s="2"/>
      <c r="AI127" s="83">
        <f>L57-AE127</f>
        <v>0</v>
      </c>
      <c r="AJ127" s="83"/>
      <c r="AK127" s="149">
        <f t="shared" ref="AK127:AK131" si="4">IF(AE127=0,0,ROUND((AI127/AE127)*100,1))</f>
        <v>0</v>
      </c>
      <c r="AL127" s="8"/>
      <c r="AM127" s="379"/>
      <c r="AN127" s="2"/>
      <c r="AO127" s="83">
        <f t="shared" ref="AO127:AO130" si="5">AE127+AM127</f>
        <v>2406262</v>
      </c>
      <c r="AP127" s="2"/>
      <c r="AQ127" s="149">
        <f t="shared" ref="AQ127:AQ131" si="6">ROUND((+AI127/AO127)*100,1)</f>
        <v>0</v>
      </c>
    </row>
    <row r="128" spans="1:43" ht="15.75" customHeight="1" x14ac:dyDescent="0.25">
      <c r="F128" s="379"/>
      <c r="H128" s="379"/>
      <c r="I128" s="378"/>
      <c r="J128" s="379"/>
      <c r="K128" s="378"/>
      <c r="L128" s="464"/>
      <c r="M128" s="378"/>
      <c r="N128" s="464"/>
      <c r="O128" s="381"/>
      <c r="P128" s="381"/>
      <c r="Q128" s="381"/>
      <c r="R128" s="381"/>
      <c r="T128" s="45">
        <f t="shared" si="3"/>
        <v>37</v>
      </c>
      <c r="U128" s="378"/>
      <c r="V128" s="216" t="str">
        <f>C58</f>
        <v>ENVIRONMENTAL SURCHARGE MECHANISM RIDER (ESM)</v>
      </c>
      <c r="W128" s="378"/>
      <c r="X128" s="378"/>
      <c r="Y128" s="83"/>
      <c r="Z128" s="2"/>
      <c r="AA128" s="83"/>
      <c r="AB128" s="2"/>
      <c r="AC128" s="473">
        <f>CUR_ESM_NONRES</f>
        <v>0.18160000000000001</v>
      </c>
      <c r="AD128" s="9"/>
      <c r="AE128" s="83">
        <f>ROUND((AO124-CUR_BASE_FUEL*AA124)*AC128,0)</f>
        <v>3222071</v>
      </c>
      <c r="AF128" s="2"/>
      <c r="AG128" s="383">
        <f>ROUND((+AE128/$AE$133)*100,1)</f>
        <v>9.3000000000000007</v>
      </c>
      <c r="AH128" s="2"/>
      <c r="AI128" s="83">
        <f>L58-AE128</f>
        <v>0</v>
      </c>
      <c r="AJ128" s="83"/>
      <c r="AK128" s="149">
        <f t="shared" si="4"/>
        <v>0</v>
      </c>
      <c r="AL128" s="8"/>
      <c r="AM128" s="379"/>
      <c r="AN128" s="2"/>
      <c r="AO128" s="83">
        <f t="shared" si="5"/>
        <v>3222071</v>
      </c>
      <c r="AP128" s="2"/>
      <c r="AQ128" s="149">
        <f>IF(AO128=0,0,ROUND((+AI128/AO128)*100,1))</f>
        <v>0</v>
      </c>
    </row>
    <row r="129" spans="1:43" ht="15.75" customHeight="1" x14ac:dyDescent="0.25">
      <c r="F129" s="379"/>
      <c r="H129" s="379"/>
      <c r="I129" s="378"/>
      <c r="J129" s="379"/>
      <c r="K129" s="378"/>
      <c r="L129" s="464"/>
      <c r="M129" s="378"/>
      <c r="N129" s="464"/>
      <c r="O129" s="381"/>
      <c r="P129" s="381"/>
      <c r="Q129" s="381"/>
      <c r="R129" s="381"/>
      <c r="T129" s="45">
        <f t="shared" si="3"/>
        <v>38</v>
      </c>
      <c r="U129" s="378"/>
      <c r="V129" s="216" t="str">
        <f>C59</f>
        <v>FUEL ADJUSTMENT CLAUSE (FAC)</v>
      </c>
      <c r="W129" s="378"/>
      <c r="X129" s="378"/>
      <c r="Y129" s="83"/>
      <c r="Z129" s="2"/>
      <c r="AA129" s="83"/>
      <c r="AB129" s="2"/>
      <c r="AC129" s="465">
        <f>CUR_FAC</f>
        <v>6.8099999999999996E-4</v>
      </c>
      <c r="AD129" s="446"/>
      <c r="AE129" s="83"/>
      <c r="AF129" s="2"/>
      <c r="AG129" s="383"/>
      <c r="AH129" s="2"/>
      <c r="AI129" s="83"/>
      <c r="AJ129" s="83"/>
      <c r="AK129" s="149"/>
      <c r="AL129" s="8"/>
      <c r="AM129" s="83">
        <f>ROUND(AA124*CUR_FAC,0)</f>
        <v>321875</v>
      </c>
      <c r="AN129" s="2"/>
      <c r="AO129" s="83">
        <f t="shared" si="5"/>
        <v>321875</v>
      </c>
      <c r="AP129" s="2"/>
      <c r="AQ129" s="149">
        <f>ROUND(((R59-AO129)/AO129)*100,1)</f>
        <v>0</v>
      </c>
    </row>
    <row r="130" spans="1:43" ht="15.75" customHeight="1" x14ac:dyDescent="0.25">
      <c r="F130" s="379"/>
      <c r="H130" s="379"/>
      <c r="I130" s="378"/>
      <c r="J130" s="379"/>
      <c r="K130" s="378"/>
      <c r="L130" s="464"/>
      <c r="M130" s="378"/>
      <c r="N130" s="464"/>
      <c r="O130" s="381"/>
      <c r="P130" s="381"/>
      <c r="Q130" s="381"/>
      <c r="R130" s="381"/>
      <c r="T130" s="45">
        <f t="shared" si="3"/>
        <v>39</v>
      </c>
      <c r="U130" s="378"/>
      <c r="V130" s="216" t="str">
        <f>C60</f>
        <v>PROFIT SHARING MECHANISM (PSM)</v>
      </c>
      <c r="W130" s="378"/>
      <c r="X130" s="378"/>
      <c r="Y130" s="83"/>
      <c r="Z130" s="2"/>
      <c r="AA130" s="83"/>
      <c r="AB130" s="2"/>
      <c r="AC130" s="465">
        <f>RS_PSM</f>
        <v>-1.63E-4</v>
      </c>
      <c r="AD130" s="446"/>
      <c r="AE130" s="81">
        <f>ROUND(AA124*RS_PSM,0)</f>
        <v>-77042</v>
      </c>
      <c r="AF130" s="2"/>
      <c r="AG130" s="148">
        <f>ROUND((+AE130/$AE$133)*100,1)</f>
        <v>-0.2</v>
      </c>
      <c r="AH130" s="2"/>
      <c r="AI130" s="81">
        <f>L60-AE130</f>
        <v>0</v>
      </c>
      <c r="AJ130" s="83"/>
      <c r="AK130" s="148">
        <f t="shared" si="4"/>
        <v>0</v>
      </c>
      <c r="AL130" s="8"/>
      <c r="AM130" s="486"/>
      <c r="AN130" s="2"/>
      <c r="AO130" s="81">
        <f t="shared" si="5"/>
        <v>-77042</v>
      </c>
      <c r="AP130" s="2"/>
      <c r="AQ130" s="149">
        <f t="shared" si="6"/>
        <v>0</v>
      </c>
    </row>
    <row r="131" spans="1:43" ht="22.5" customHeight="1" x14ac:dyDescent="0.25">
      <c r="F131" s="379"/>
      <c r="H131" s="379"/>
      <c r="I131" s="378"/>
      <c r="J131" s="379"/>
      <c r="K131" s="378"/>
      <c r="L131" s="464"/>
      <c r="M131" s="378"/>
      <c r="N131" s="464"/>
      <c r="O131" s="381"/>
      <c r="P131" s="381"/>
      <c r="Q131" s="381"/>
      <c r="R131" s="381"/>
      <c r="T131" s="45">
        <f t="shared" si="3"/>
        <v>40</v>
      </c>
      <c r="U131" s="378"/>
      <c r="V131" s="222" t="s">
        <v>510</v>
      </c>
      <c r="W131" s="378"/>
      <c r="X131" s="378"/>
      <c r="Y131" s="81"/>
      <c r="Z131" s="2"/>
      <c r="AA131" s="81"/>
      <c r="AB131" s="2"/>
      <c r="AC131" s="446"/>
      <c r="AD131" s="446"/>
      <c r="AE131" s="90">
        <f>SUM(AE127:AE130)</f>
        <v>5551291</v>
      </c>
      <c r="AF131" s="2"/>
      <c r="AG131" s="150">
        <f>ROUND((+AE131/$AE$133)*100,1)</f>
        <v>16.100000000000001</v>
      </c>
      <c r="AH131" s="2"/>
      <c r="AI131" s="90">
        <f>SUM(AI127:AI130)</f>
        <v>0</v>
      </c>
      <c r="AJ131" s="83"/>
      <c r="AK131" s="150">
        <f t="shared" si="4"/>
        <v>0</v>
      </c>
      <c r="AL131" s="8"/>
      <c r="AM131" s="90">
        <f>AM129</f>
        <v>321875</v>
      </c>
      <c r="AN131" s="2"/>
      <c r="AO131" s="90">
        <f>SUM(AO127:AO130)</f>
        <v>5873166</v>
      </c>
      <c r="AP131" s="2"/>
      <c r="AQ131" s="149">
        <f t="shared" si="6"/>
        <v>0</v>
      </c>
    </row>
    <row r="132" spans="1:43" x14ac:dyDescent="0.25">
      <c r="F132" s="379"/>
      <c r="H132" s="379"/>
      <c r="I132" s="378"/>
      <c r="J132" s="379"/>
      <c r="K132" s="378"/>
      <c r="L132" s="464"/>
      <c r="M132" s="378"/>
      <c r="N132" s="464"/>
      <c r="O132" s="381"/>
      <c r="P132" s="381"/>
      <c r="Q132" s="381"/>
      <c r="R132" s="381"/>
      <c r="T132" s="45"/>
      <c r="U132" s="378"/>
      <c r="V132" s="46"/>
      <c r="W132" s="378"/>
      <c r="X132" s="378"/>
      <c r="Y132" s="83"/>
      <c r="Z132" s="84"/>
      <c r="AA132" s="83"/>
      <c r="AB132" s="83"/>
      <c r="AC132" s="487"/>
      <c r="AD132" s="487"/>
      <c r="AE132" s="83"/>
      <c r="AF132" s="84"/>
      <c r="AG132" s="383"/>
      <c r="AH132" s="84"/>
      <c r="AI132" s="83"/>
      <c r="AJ132" s="83"/>
      <c r="AK132" s="383"/>
      <c r="AL132" s="103"/>
      <c r="AM132" s="83"/>
      <c r="AN132" s="84"/>
      <c r="AO132" s="83"/>
      <c r="AP132" s="84"/>
      <c r="AQ132" s="149"/>
    </row>
    <row r="133" spans="1:43" ht="20.100000000000001" customHeight="1" thickBot="1" x14ac:dyDescent="0.3">
      <c r="F133" s="381"/>
      <c r="H133" s="381"/>
      <c r="I133" s="378"/>
      <c r="J133" s="381"/>
      <c r="K133" s="378"/>
      <c r="L133" s="464"/>
      <c r="M133" s="378"/>
      <c r="N133" s="464"/>
      <c r="O133" s="381"/>
      <c r="P133" s="381"/>
      <c r="Q133" s="381"/>
      <c r="R133" s="381"/>
      <c r="T133" s="45">
        <f>A63</f>
        <v>41</v>
      </c>
      <c r="U133" s="378"/>
      <c r="V133" s="444" t="s">
        <v>515</v>
      </c>
      <c r="W133" s="378"/>
      <c r="X133" s="378"/>
      <c r="Y133" s="82">
        <f>F63</f>
        <v>455</v>
      </c>
      <c r="Z133" s="2"/>
      <c r="AA133" s="82">
        <f>H63</f>
        <v>472650196</v>
      </c>
      <c r="AB133" s="83"/>
      <c r="AC133" s="2"/>
      <c r="AD133" s="2"/>
      <c r="AE133" s="82">
        <f>AE124+AE131</f>
        <v>34560534</v>
      </c>
      <c r="AF133" s="2"/>
      <c r="AG133" s="151">
        <v>100</v>
      </c>
      <c r="AH133" s="2"/>
      <c r="AI133" s="82">
        <f>AI124+AI131</f>
        <v>3505029</v>
      </c>
      <c r="AJ133" s="83"/>
      <c r="AK133" s="151">
        <f>IF(AE133=0,0,ROUND((AI133/AE133)*100,1))</f>
        <v>10.1</v>
      </c>
      <c r="AL133" s="8"/>
      <c r="AM133" s="82">
        <f>AM124+AM131</f>
        <v>321875</v>
      </c>
      <c r="AN133" s="2"/>
      <c r="AO133" s="82">
        <f>AO124+AO131</f>
        <v>34882409</v>
      </c>
      <c r="AP133" s="2"/>
      <c r="AQ133" s="149">
        <f>ROUND((+AI133/AO133)*100,1)</f>
        <v>10</v>
      </c>
    </row>
    <row r="134" spans="1:43" ht="16.5" thickTop="1" x14ac:dyDescent="0.25">
      <c r="F134" s="381"/>
      <c r="H134" s="381"/>
      <c r="I134" s="378"/>
      <c r="J134" s="381"/>
      <c r="K134" s="464"/>
      <c r="L134" s="464"/>
      <c r="M134" s="378"/>
      <c r="N134" s="381"/>
      <c r="O134" s="381"/>
      <c r="P134" s="381"/>
      <c r="Q134" s="381"/>
      <c r="R134" s="381"/>
      <c r="S134" s="379"/>
      <c r="T134" s="378"/>
      <c r="U134" s="378"/>
      <c r="V134" s="378"/>
      <c r="W134" s="378"/>
      <c r="X134" s="378"/>
      <c r="Y134" s="2"/>
      <c r="Z134" s="2"/>
      <c r="AA134" s="2"/>
      <c r="AB134" s="2"/>
      <c r="AC134" s="2"/>
      <c r="AD134" s="2"/>
      <c r="AE134" s="2"/>
      <c r="AF134" s="2"/>
      <c r="AG134" s="147"/>
      <c r="AH134" s="2"/>
      <c r="AI134" s="2"/>
      <c r="AJ134" s="2"/>
      <c r="AK134" s="147"/>
      <c r="AL134" s="2"/>
      <c r="AM134" s="2"/>
      <c r="AN134" s="2"/>
      <c r="AO134" s="2"/>
      <c r="AP134" s="2"/>
      <c r="AQ134" s="147"/>
    </row>
    <row r="135" spans="1:43" x14ac:dyDescent="0.25">
      <c r="A135" s="53"/>
      <c r="C135" s="54"/>
      <c r="I135" s="378"/>
      <c r="M135" s="378"/>
      <c r="T135" s="378"/>
      <c r="U135" s="378"/>
      <c r="V135" s="243" t="s">
        <v>61</v>
      </c>
      <c r="W135" s="378"/>
      <c r="X135" s="378"/>
      <c r="Y135" s="378"/>
      <c r="Z135" s="378"/>
      <c r="AA135" s="378"/>
      <c r="AB135" s="378"/>
      <c r="AC135" s="378"/>
      <c r="AD135" s="378"/>
      <c r="AE135" s="48"/>
      <c r="AF135" s="48"/>
      <c r="AG135" s="143"/>
      <c r="AH135" s="378"/>
      <c r="AI135" s="378"/>
      <c r="AJ135" s="378"/>
      <c r="AK135" s="143"/>
      <c r="AL135" s="378"/>
      <c r="AM135" s="48"/>
      <c r="AN135" s="378"/>
      <c r="AO135" s="48"/>
      <c r="AP135" s="378"/>
      <c r="AQ135" s="143"/>
    </row>
    <row r="136" spans="1:43" x14ac:dyDescent="0.25">
      <c r="A136" s="53"/>
      <c r="C136" s="54"/>
      <c r="I136" s="378"/>
      <c r="M136" s="378"/>
      <c r="T136" s="378"/>
      <c r="U136" s="378"/>
      <c r="V136" s="243" t="str">
        <f>"(2) REFLECTS FUEL COMPONENT OF "&amp;TEXT(CUR_FAC,"$0.000000;($0.000000)")&amp;"  PER KWH."</f>
        <v>(2) REFLECTS FUEL COMPONENT OF $0.000681  PER KWH.</v>
      </c>
      <c r="W136" s="378"/>
      <c r="X136" s="378"/>
      <c r="Y136" s="378"/>
      <c r="Z136" s="378"/>
      <c r="AA136" s="378"/>
      <c r="AB136" s="378"/>
      <c r="AC136" s="378"/>
      <c r="AD136" s="378"/>
      <c r="AE136" s="48"/>
      <c r="AF136" s="48"/>
      <c r="AG136" s="143"/>
      <c r="AH136" s="378"/>
      <c r="AI136" s="378"/>
      <c r="AJ136" s="378"/>
      <c r="AK136" s="143"/>
      <c r="AL136" s="378"/>
      <c r="AM136" s="48"/>
      <c r="AN136" s="378"/>
      <c r="AO136" s="48"/>
      <c r="AP136" s="378"/>
      <c r="AQ136" s="143"/>
    </row>
    <row r="137" spans="1:43" x14ac:dyDescent="0.25">
      <c r="A137" s="53"/>
      <c r="C137" s="54"/>
      <c r="F137" s="379"/>
      <c r="H137" s="379"/>
      <c r="I137" s="378"/>
      <c r="J137" s="379"/>
      <c r="M137" s="378"/>
      <c r="N137" s="379"/>
      <c r="O137" s="379"/>
      <c r="P137" s="50"/>
      <c r="Q137" s="449"/>
      <c r="R137" s="379"/>
      <c r="T137" s="54"/>
      <c r="V137" s="243" t="str">
        <f>"(3) REFLECTS FUEL COST RECOVERY INCLUDED IN BASE RATES OF "&amp;TEXT(CUR_BASE_FUEL,"$0.000000;($0.000000)")&amp;"  PER KWH."</f>
        <v>(3) REFLECTS FUEL COST RECOVERY INCLUDED IN BASE RATES OF $0.023837  PER KWH.</v>
      </c>
      <c r="Y137" s="379"/>
      <c r="Z137" s="221"/>
      <c r="AA137" s="379"/>
      <c r="AB137" s="379"/>
      <c r="AC137" s="50"/>
      <c r="AD137" s="50"/>
      <c r="AE137" s="379"/>
      <c r="AF137" s="379"/>
      <c r="AG137" s="156"/>
      <c r="AH137" s="378"/>
      <c r="AI137" s="60"/>
      <c r="AJ137" s="60"/>
      <c r="AK137" s="156"/>
      <c r="AL137" s="379"/>
      <c r="AM137" s="378"/>
      <c r="AN137" s="378"/>
      <c r="AO137" s="50"/>
      <c r="AP137" s="378"/>
      <c r="AQ137" s="156"/>
    </row>
    <row r="138" spans="1:43" x14ac:dyDescent="0.25">
      <c r="F138" s="381"/>
      <c r="H138" s="381"/>
      <c r="I138" s="378"/>
      <c r="J138" s="381"/>
      <c r="K138" s="464"/>
      <c r="L138" s="464"/>
      <c r="M138" s="378"/>
      <c r="N138" s="381"/>
      <c r="O138" s="381"/>
      <c r="P138" s="381"/>
      <c r="Q138" s="381"/>
      <c r="R138" s="381"/>
      <c r="V138" s="379"/>
      <c r="Y138" s="379"/>
      <c r="Z138" s="464"/>
      <c r="AA138" s="381"/>
      <c r="AB138" s="381"/>
      <c r="AC138" s="381"/>
      <c r="AD138" s="381"/>
      <c r="AE138" s="381"/>
      <c r="AF138" s="381"/>
      <c r="AH138" s="378"/>
      <c r="AK138" s="162"/>
      <c r="AL138" s="381"/>
      <c r="AM138" s="378"/>
      <c r="AN138" s="378"/>
      <c r="AO138" s="50"/>
      <c r="AP138" s="378"/>
      <c r="AQ138" s="162"/>
    </row>
    <row r="139" spans="1:43" x14ac:dyDescent="0.25">
      <c r="I139" s="378"/>
      <c r="M139" s="378"/>
      <c r="T139" s="54"/>
      <c r="V139" s="379"/>
      <c r="Y139" s="379"/>
      <c r="Z139" s="59"/>
      <c r="AA139" s="379"/>
      <c r="AB139" s="379"/>
      <c r="AC139" s="50"/>
      <c r="AD139" s="50"/>
      <c r="AE139" s="379"/>
      <c r="AF139" s="379"/>
      <c r="AG139" s="156"/>
      <c r="AH139" s="378"/>
      <c r="AI139" s="60"/>
      <c r="AJ139" s="60"/>
      <c r="AK139" s="156"/>
      <c r="AL139" s="379"/>
      <c r="AM139" s="378"/>
      <c r="AN139" s="378"/>
      <c r="AO139" s="50"/>
      <c r="AP139" s="378"/>
      <c r="AQ139" s="156"/>
    </row>
    <row r="140" spans="1:43" x14ac:dyDescent="0.25">
      <c r="C140" s="54"/>
      <c r="I140" s="378"/>
      <c r="M140" s="378"/>
      <c r="N140" s="379"/>
      <c r="O140" s="379"/>
      <c r="P140" s="379"/>
      <c r="Q140" s="379"/>
      <c r="R140" s="379"/>
      <c r="S140" s="379"/>
      <c r="V140" s="379"/>
      <c r="Y140" s="379"/>
      <c r="Z140" s="464"/>
      <c r="AA140" s="381"/>
      <c r="AB140" s="381"/>
      <c r="AC140" s="381"/>
      <c r="AD140" s="381"/>
      <c r="AE140" s="381"/>
      <c r="AF140" s="381"/>
      <c r="AH140" s="378"/>
      <c r="AK140" s="162"/>
      <c r="AL140" s="381"/>
      <c r="AM140" s="378"/>
      <c r="AN140" s="378"/>
      <c r="AO140" s="50"/>
      <c r="AP140" s="378"/>
      <c r="AQ140" s="162"/>
    </row>
    <row r="141" spans="1:43" x14ac:dyDescent="0.25">
      <c r="A141" s="54"/>
      <c r="I141" s="378"/>
      <c r="M141" s="378"/>
      <c r="T141" s="54"/>
      <c r="V141" s="379"/>
      <c r="Y141" s="379"/>
      <c r="Z141" s="59"/>
      <c r="AA141" s="379"/>
      <c r="AB141" s="379"/>
      <c r="AC141" s="50"/>
      <c r="AD141" s="50"/>
      <c r="AE141" s="379"/>
      <c r="AF141" s="379"/>
      <c r="AG141" s="156"/>
      <c r="AH141" s="378"/>
      <c r="AI141" s="60"/>
      <c r="AJ141" s="60"/>
      <c r="AK141" s="156"/>
      <c r="AL141" s="379"/>
      <c r="AM141" s="378"/>
      <c r="AN141" s="378"/>
      <c r="AO141" s="50"/>
      <c r="AP141" s="378"/>
      <c r="AQ141" s="156"/>
    </row>
    <row r="142" spans="1:43" x14ac:dyDescent="0.25">
      <c r="I142" s="378"/>
      <c r="K142" s="53"/>
      <c r="L142" s="53"/>
      <c r="M142" s="378"/>
      <c r="T142" s="54"/>
      <c r="V142" s="449"/>
      <c r="Y142" s="379"/>
      <c r="Z142" s="472"/>
      <c r="AA142" s="379"/>
      <c r="AB142" s="379"/>
      <c r="AC142" s="50"/>
      <c r="AD142" s="50"/>
      <c r="AE142" s="379"/>
      <c r="AF142" s="379"/>
      <c r="AG142" s="156"/>
      <c r="AH142" s="378"/>
      <c r="AI142" s="60"/>
      <c r="AJ142" s="60"/>
      <c r="AK142" s="156"/>
      <c r="AL142" s="379"/>
      <c r="AM142" s="378"/>
      <c r="AN142" s="378"/>
      <c r="AO142" s="50"/>
      <c r="AP142" s="378"/>
      <c r="AQ142" s="156"/>
    </row>
    <row r="143" spans="1:43" x14ac:dyDescent="0.25">
      <c r="H143" s="54"/>
      <c r="I143" s="378"/>
      <c r="J143" s="54"/>
      <c r="M143" s="378"/>
      <c r="V143" s="381"/>
      <c r="Y143" s="381"/>
      <c r="Z143" s="464"/>
      <c r="AA143" s="381"/>
      <c r="AB143" s="381"/>
      <c r="AC143" s="381"/>
      <c r="AD143" s="381"/>
      <c r="AE143" s="381"/>
      <c r="AF143" s="381"/>
      <c r="AH143" s="378"/>
      <c r="AK143" s="162"/>
      <c r="AL143" s="381"/>
      <c r="AM143" s="378"/>
      <c r="AN143" s="378"/>
      <c r="AO143" s="50"/>
      <c r="AP143" s="378"/>
      <c r="AQ143" s="162"/>
    </row>
    <row r="144" spans="1:43" x14ac:dyDescent="0.25">
      <c r="I144" s="378"/>
      <c r="K144" s="53"/>
      <c r="L144" s="53"/>
      <c r="M144" s="378"/>
      <c r="T144" s="54"/>
      <c r="V144" s="379"/>
      <c r="Y144" s="379"/>
      <c r="Z144" s="464"/>
      <c r="AA144" s="379"/>
      <c r="AB144" s="379"/>
      <c r="AC144" s="50"/>
      <c r="AD144" s="50"/>
      <c r="AE144" s="379"/>
      <c r="AF144" s="379"/>
      <c r="AG144" s="156"/>
      <c r="AH144" s="378"/>
      <c r="AI144" s="50"/>
      <c r="AJ144" s="50"/>
      <c r="AK144" s="156"/>
      <c r="AL144" s="379"/>
      <c r="AM144" s="378"/>
      <c r="AN144" s="378"/>
      <c r="AO144" s="50"/>
      <c r="AP144" s="378"/>
      <c r="AQ144" s="156"/>
    </row>
    <row r="145" spans="1:43" x14ac:dyDescent="0.25">
      <c r="I145" s="378"/>
      <c r="M145" s="54"/>
      <c r="N145" s="54"/>
      <c r="V145" s="381"/>
      <c r="Y145" s="381"/>
      <c r="Z145" s="464"/>
      <c r="AA145" s="381"/>
      <c r="AB145" s="381"/>
      <c r="AC145" s="381"/>
      <c r="AD145" s="381"/>
      <c r="AE145" s="381"/>
      <c r="AF145" s="381"/>
      <c r="AH145" s="378"/>
      <c r="AK145" s="162"/>
      <c r="AL145" s="381"/>
      <c r="AM145" s="378"/>
      <c r="AN145" s="378"/>
      <c r="AO145" s="50"/>
      <c r="AP145" s="378"/>
      <c r="AQ145" s="162"/>
    </row>
    <row r="146" spans="1:43" x14ac:dyDescent="0.25">
      <c r="A146" s="53"/>
      <c r="I146" s="378"/>
      <c r="R146" s="54"/>
      <c r="T146" s="54"/>
      <c r="V146" s="449"/>
      <c r="Y146" s="449"/>
      <c r="Z146" s="464"/>
      <c r="AA146" s="379"/>
      <c r="AB146" s="379"/>
      <c r="AC146" s="50"/>
      <c r="AD146" s="50"/>
      <c r="AE146" s="379"/>
      <c r="AF146" s="379"/>
      <c r="AH146" s="378"/>
      <c r="AK146" s="156"/>
      <c r="AL146" s="379"/>
      <c r="AM146" s="378"/>
      <c r="AN146" s="378"/>
      <c r="AO146" s="50"/>
      <c r="AP146" s="378"/>
      <c r="AQ146" s="156"/>
    </row>
    <row r="147" spans="1:43" x14ac:dyDescent="0.25">
      <c r="A147" s="53"/>
      <c r="I147" s="378"/>
      <c r="R147" s="54"/>
      <c r="AH147" s="378"/>
      <c r="AM147" s="378"/>
      <c r="AN147" s="378"/>
      <c r="AP147" s="378"/>
    </row>
    <row r="148" spans="1:43" x14ac:dyDescent="0.25">
      <c r="A148" s="54"/>
      <c r="I148" s="378"/>
      <c r="R148" s="54"/>
      <c r="T148" s="54"/>
      <c r="AH148" s="378"/>
      <c r="AM148" s="378"/>
      <c r="AN148" s="378"/>
      <c r="AP148" s="378"/>
    </row>
    <row r="149" spans="1:43" x14ac:dyDescent="0.25">
      <c r="I149" s="378"/>
      <c r="M149" s="54"/>
      <c r="N149" s="54"/>
      <c r="R149" s="53"/>
      <c r="T149" s="54"/>
      <c r="V149" s="379"/>
      <c r="Y149" s="449"/>
      <c r="Z149" s="461"/>
      <c r="AA149" s="379"/>
      <c r="AB149" s="379"/>
      <c r="AC149" s="50"/>
      <c r="AD149" s="50"/>
      <c r="AE149" s="379"/>
      <c r="AF149" s="379"/>
      <c r="AG149" s="474"/>
      <c r="AH149" s="378"/>
      <c r="AI149" s="475"/>
      <c r="AJ149" s="475"/>
      <c r="AK149" s="156"/>
      <c r="AL149" s="53"/>
      <c r="AM149" s="378"/>
      <c r="AN149" s="378"/>
      <c r="AO149" s="476"/>
      <c r="AP149" s="378"/>
      <c r="AQ149" s="156"/>
    </row>
    <row r="150" spans="1:43" x14ac:dyDescent="0.25">
      <c r="A150" s="55"/>
      <c r="B150" s="55"/>
      <c r="C150" s="55"/>
      <c r="D150" s="55"/>
      <c r="E150" s="55"/>
      <c r="F150" s="55"/>
      <c r="G150" s="55"/>
      <c r="H150" s="55"/>
      <c r="I150" s="378"/>
      <c r="J150" s="55"/>
      <c r="K150" s="55"/>
      <c r="L150" s="55"/>
      <c r="M150" s="55"/>
      <c r="N150" s="55"/>
      <c r="O150" s="55"/>
      <c r="P150" s="55"/>
      <c r="Q150" s="55"/>
      <c r="R150" s="55"/>
      <c r="T150" s="54"/>
      <c r="V150" s="379"/>
      <c r="Y150" s="449"/>
      <c r="Z150" s="461"/>
      <c r="AA150" s="379"/>
      <c r="AB150" s="379"/>
      <c r="AC150" s="50"/>
      <c r="AD150" s="50"/>
      <c r="AE150" s="379"/>
      <c r="AF150" s="379"/>
      <c r="AG150" s="156"/>
      <c r="AH150" s="378"/>
      <c r="AI150" s="60"/>
      <c r="AJ150" s="60"/>
      <c r="AK150" s="156"/>
      <c r="AL150" s="53"/>
      <c r="AM150" s="378"/>
      <c r="AN150" s="378"/>
      <c r="AO150" s="50"/>
      <c r="AP150" s="378"/>
      <c r="AQ150" s="156"/>
    </row>
    <row r="151" spans="1:43" x14ac:dyDescent="0.25">
      <c r="I151" s="378"/>
      <c r="M151" s="56"/>
      <c r="N151" s="56"/>
      <c r="O151" s="56"/>
      <c r="P151" s="56"/>
      <c r="R151" s="56"/>
      <c r="T151" s="54"/>
      <c r="V151" s="379"/>
      <c r="Y151" s="449"/>
      <c r="Z151" s="461"/>
      <c r="AA151" s="379"/>
      <c r="AB151" s="379"/>
      <c r="AC151" s="50"/>
      <c r="AD151" s="50"/>
      <c r="AE151" s="379"/>
      <c r="AF151" s="379"/>
      <c r="AG151" s="156"/>
      <c r="AH151" s="378"/>
      <c r="AI151" s="60"/>
      <c r="AJ151" s="60"/>
      <c r="AK151" s="156"/>
      <c r="AL151" s="53"/>
      <c r="AM151" s="378"/>
      <c r="AN151" s="378"/>
      <c r="AO151" s="50"/>
      <c r="AP151" s="378"/>
      <c r="AQ151" s="156"/>
    </row>
    <row r="152" spans="1:43" x14ac:dyDescent="0.25">
      <c r="I152" s="378"/>
      <c r="M152" s="56"/>
      <c r="N152" s="56"/>
      <c r="O152" s="56"/>
      <c r="P152" s="56"/>
      <c r="R152" s="56"/>
      <c r="V152" s="381"/>
      <c r="Y152" s="379"/>
      <c r="Z152" s="464"/>
      <c r="AA152" s="381"/>
      <c r="AB152" s="381"/>
      <c r="AC152" s="381"/>
      <c r="AD152" s="381"/>
      <c r="AE152" s="381"/>
      <c r="AF152" s="381"/>
      <c r="AH152" s="378"/>
      <c r="AK152" s="162"/>
      <c r="AL152" s="381"/>
      <c r="AM152" s="378"/>
      <c r="AN152" s="378"/>
      <c r="AO152" s="50"/>
      <c r="AP152" s="378"/>
      <c r="AQ152" s="162"/>
    </row>
    <row r="153" spans="1:43" x14ac:dyDescent="0.25">
      <c r="A153" s="56"/>
      <c r="C153" s="56"/>
      <c r="D153" s="56"/>
      <c r="E153" s="56"/>
      <c r="F153" s="56"/>
      <c r="I153" s="378"/>
      <c r="K153" s="56"/>
      <c r="L153" s="56"/>
      <c r="M153" s="56"/>
      <c r="N153" s="56"/>
      <c r="O153" s="56"/>
      <c r="P153" s="56"/>
      <c r="Q153" s="56"/>
      <c r="R153" s="56"/>
      <c r="T153" s="54"/>
      <c r="V153" s="379"/>
      <c r="Y153" s="379"/>
      <c r="Z153" s="464"/>
      <c r="AA153" s="379"/>
      <c r="AB153" s="379"/>
      <c r="AC153" s="50"/>
      <c r="AD153" s="50"/>
      <c r="AE153" s="379"/>
      <c r="AF153" s="379"/>
      <c r="AG153" s="156"/>
      <c r="AH153" s="378"/>
      <c r="AI153" s="60"/>
      <c r="AJ153" s="60"/>
      <c r="AK153" s="156"/>
      <c r="AL153" s="379"/>
      <c r="AM153" s="378"/>
      <c r="AN153" s="378"/>
      <c r="AO153" s="50"/>
      <c r="AP153" s="378"/>
      <c r="AQ153" s="156"/>
    </row>
    <row r="154" spans="1:43" x14ac:dyDescent="0.25">
      <c r="A154" s="56"/>
      <c r="C154" s="56"/>
      <c r="D154" s="56"/>
      <c r="E154" s="56"/>
      <c r="F154" s="56"/>
      <c r="H154" s="56"/>
      <c r="I154" s="378"/>
      <c r="J154" s="56"/>
      <c r="K154" s="56"/>
      <c r="L154" s="56"/>
      <c r="M154" s="56"/>
      <c r="N154" s="56"/>
      <c r="O154" s="56"/>
      <c r="P154" s="56"/>
      <c r="Q154" s="56"/>
      <c r="R154" s="56"/>
      <c r="V154" s="381"/>
      <c r="Y154" s="379"/>
      <c r="Z154" s="464"/>
      <c r="AA154" s="381"/>
      <c r="AB154" s="381"/>
      <c r="AC154" s="381"/>
      <c r="AD154" s="381"/>
      <c r="AE154" s="381"/>
      <c r="AF154" s="381"/>
      <c r="AH154" s="378"/>
      <c r="AK154" s="162"/>
      <c r="AL154" s="381"/>
      <c r="AM154" s="378"/>
      <c r="AN154" s="378"/>
      <c r="AO154" s="50"/>
      <c r="AP154" s="378"/>
      <c r="AQ154" s="162"/>
    </row>
    <row r="155" spans="1:43" x14ac:dyDescent="0.25">
      <c r="C155" s="56"/>
      <c r="D155" s="56"/>
      <c r="E155" s="56"/>
      <c r="F155" s="56"/>
      <c r="H155" s="56"/>
      <c r="I155" s="378"/>
      <c r="J155" s="56"/>
      <c r="K155" s="56"/>
      <c r="L155" s="56"/>
      <c r="M155" s="56"/>
      <c r="N155" s="56"/>
      <c r="O155" s="56"/>
      <c r="P155" s="56"/>
      <c r="Q155" s="56"/>
      <c r="R155" s="56"/>
      <c r="T155" s="54"/>
      <c r="V155" s="449"/>
      <c r="Y155" s="449"/>
      <c r="Z155" s="477"/>
      <c r="AA155" s="379"/>
      <c r="AB155" s="379"/>
      <c r="AC155" s="50"/>
      <c r="AD155" s="50"/>
      <c r="AE155" s="379"/>
      <c r="AF155" s="379"/>
      <c r="AG155" s="156"/>
      <c r="AH155" s="378"/>
      <c r="AI155" s="50"/>
      <c r="AJ155" s="50"/>
      <c r="AK155" s="156"/>
      <c r="AL155" s="379"/>
      <c r="AM155" s="378"/>
      <c r="AN155" s="378"/>
      <c r="AO155" s="50"/>
      <c r="AP155" s="378"/>
      <c r="AQ155" s="156"/>
    </row>
    <row r="156" spans="1:43" x14ac:dyDescent="0.25">
      <c r="A156" s="55"/>
      <c r="B156" s="55"/>
      <c r="C156" s="55"/>
      <c r="D156" s="55"/>
      <c r="E156" s="55"/>
      <c r="F156" s="55"/>
      <c r="G156" s="55"/>
      <c r="H156" s="55"/>
      <c r="I156" s="378"/>
      <c r="J156" s="55"/>
      <c r="K156" s="55"/>
      <c r="L156" s="55"/>
      <c r="M156" s="55"/>
      <c r="N156" s="55"/>
      <c r="O156" s="55"/>
      <c r="P156" s="55"/>
      <c r="Q156" s="55"/>
      <c r="R156" s="55"/>
      <c r="T156" s="54"/>
      <c r="V156" s="449"/>
      <c r="Y156" s="379"/>
      <c r="Z156" s="461"/>
      <c r="AA156" s="379"/>
      <c r="AB156" s="379"/>
      <c r="AC156" s="50"/>
      <c r="AD156" s="50"/>
      <c r="AE156" s="379"/>
      <c r="AF156" s="379"/>
      <c r="AG156" s="156"/>
      <c r="AH156" s="378"/>
      <c r="AI156" s="60"/>
      <c r="AJ156" s="60"/>
      <c r="AK156" s="156"/>
      <c r="AL156" s="379"/>
      <c r="AM156" s="378"/>
      <c r="AN156" s="378"/>
      <c r="AO156" s="50"/>
      <c r="AP156" s="378"/>
      <c r="AQ156" s="156"/>
    </row>
    <row r="157" spans="1:43" x14ac:dyDescent="0.25">
      <c r="H157" s="56"/>
      <c r="I157" s="378"/>
      <c r="J157" s="56"/>
      <c r="K157" s="56"/>
      <c r="L157" s="56"/>
      <c r="M157" s="56"/>
      <c r="N157" s="56"/>
      <c r="O157" s="56"/>
      <c r="P157" s="56"/>
      <c r="Q157" s="56"/>
      <c r="R157" s="56"/>
      <c r="T157" s="54"/>
      <c r="V157" s="449"/>
      <c r="Y157" s="379"/>
      <c r="Z157" s="461"/>
      <c r="AA157" s="379"/>
      <c r="AB157" s="379"/>
      <c r="AC157" s="50"/>
      <c r="AD157" s="50"/>
      <c r="AE157" s="379"/>
      <c r="AF157" s="379"/>
      <c r="AG157" s="156"/>
      <c r="AH157" s="378"/>
      <c r="AI157" s="60"/>
      <c r="AJ157" s="60"/>
      <c r="AK157" s="156"/>
      <c r="AL157" s="379"/>
      <c r="AM157" s="378"/>
      <c r="AN157" s="378"/>
      <c r="AO157" s="50"/>
      <c r="AP157" s="378"/>
      <c r="AQ157" s="156"/>
    </row>
    <row r="158" spans="1:43" x14ac:dyDescent="0.25">
      <c r="A158" s="53"/>
      <c r="C158" s="54"/>
      <c r="D158" s="54"/>
      <c r="E158" s="54"/>
      <c r="I158" s="378"/>
      <c r="V158" s="379"/>
      <c r="Y158" s="381"/>
      <c r="Z158" s="464"/>
      <c r="AA158" s="381"/>
      <c r="AB158" s="381"/>
      <c r="AC158" s="381"/>
      <c r="AD158" s="381"/>
      <c r="AE158" s="381"/>
      <c r="AF158" s="381"/>
      <c r="AH158" s="378"/>
      <c r="AK158" s="162"/>
      <c r="AL158" s="381"/>
      <c r="AM158" s="378"/>
      <c r="AN158" s="378"/>
      <c r="AO158" s="50"/>
      <c r="AP158" s="378"/>
      <c r="AQ158" s="162"/>
    </row>
    <row r="159" spans="1:43" x14ac:dyDescent="0.25">
      <c r="A159" s="53"/>
      <c r="D159" s="54"/>
      <c r="E159" s="54"/>
      <c r="I159" s="378"/>
      <c r="T159" s="54"/>
      <c r="V159" s="379"/>
      <c r="Y159" s="379"/>
      <c r="Z159" s="464"/>
      <c r="AA159" s="379"/>
      <c r="AB159" s="379"/>
      <c r="AC159" s="50"/>
      <c r="AD159" s="50"/>
      <c r="AE159" s="379"/>
      <c r="AF159" s="379"/>
      <c r="AG159" s="156"/>
      <c r="AH159" s="378"/>
      <c r="AI159" s="60"/>
      <c r="AJ159" s="60"/>
      <c r="AK159" s="156"/>
      <c r="AL159" s="379"/>
      <c r="AM159" s="378"/>
      <c r="AN159" s="378"/>
      <c r="AO159" s="50"/>
      <c r="AP159" s="378"/>
      <c r="AQ159" s="156"/>
    </row>
    <row r="160" spans="1:43" x14ac:dyDescent="0.25">
      <c r="I160" s="378"/>
      <c r="V160" s="379"/>
      <c r="Y160" s="381"/>
      <c r="Z160" s="464"/>
      <c r="AA160" s="381"/>
      <c r="AB160" s="381"/>
      <c r="AC160" s="381"/>
      <c r="AD160" s="381"/>
      <c r="AE160" s="381"/>
      <c r="AF160" s="381"/>
      <c r="AH160" s="378"/>
      <c r="AK160" s="162"/>
      <c r="AL160" s="381"/>
      <c r="AM160" s="378"/>
      <c r="AN160" s="378"/>
      <c r="AO160" s="50"/>
      <c r="AP160" s="378"/>
      <c r="AQ160" s="162"/>
    </row>
    <row r="161" spans="1:43" x14ac:dyDescent="0.25">
      <c r="A161" s="53"/>
      <c r="C161" s="54"/>
      <c r="F161" s="449"/>
      <c r="H161" s="449"/>
      <c r="I161" s="378"/>
      <c r="J161" s="449"/>
      <c r="K161" s="461"/>
      <c r="L161" s="461"/>
      <c r="M161" s="379"/>
      <c r="N161" s="379"/>
      <c r="O161" s="50"/>
      <c r="P161" s="50"/>
      <c r="R161" s="379"/>
      <c r="T161" s="54"/>
      <c r="V161" s="379"/>
      <c r="Y161" s="379"/>
      <c r="Z161" s="464"/>
      <c r="AA161" s="379"/>
      <c r="AB161" s="379"/>
      <c r="AC161" s="379"/>
      <c r="AD161" s="379"/>
      <c r="AE161" s="379"/>
      <c r="AF161" s="379"/>
      <c r="AG161" s="156"/>
      <c r="AH161" s="378"/>
      <c r="AI161" s="60"/>
      <c r="AJ161" s="60"/>
      <c r="AK161" s="156"/>
      <c r="AL161" s="379"/>
      <c r="AM161" s="378"/>
      <c r="AN161" s="378"/>
      <c r="AO161" s="50"/>
      <c r="AP161" s="378"/>
      <c r="AQ161" s="156"/>
    </row>
    <row r="162" spans="1:43" x14ac:dyDescent="0.25">
      <c r="A162" s="53"/>
      <c r="C162" s="54"/>
      <c r="F162" s="449"/>
      <c r="H162" s="449"/>
      <c r="I162" s="378"/>
      <c r="J162" s="449"/>
      <c r="K162" s="461"/>
      <c r="L162" s="461"/>
      <c r="M162" s="379"/>
      <c r="N162" s="379"/>
      <c r="O162" s="50"/>
      <c r="P162" s="50"/>
      <c r="Q162" s="53"/>
      <c r="R162" s="379"/>
      <c r="T162" s="54"/>
      <c r="V162" s="379"/>
      <c r="Y162" s="379"/>
      <c r="Z162" s="221"/>
      <c r="AA162" s="379"/>
      <c r="AB162" s="379"/>
      <c r="AC162" s="50"/>
      <c r="AD162" s="50"/>
      <c r="AE162" s="379"/>
      <c r="AF162" s="379"/>
      <c r="AG162" s="156"/>
      <c r="AH162" s="378"/>
      <c r="AI162" s="60"/>
      <c r="AJ162" s="60"/>
      <c r="AK162" s="156"/>
      <c r="AL162" s="379"/>
      <c r="AM162" s="378"/>
      <c r="AN162" s="378"/>
      <c r="AO162" s="50"/>
      <c r="AP162" s="378"/>
      <c r="AQ162" s="156"/>
    </row>
    <row r="163" spans="1:43" x14ac:dyDescent="0.25">
      <c r="F163" s="381"/>
      <c r="H163" s="379"/>
      <c r="I163" s="378"/>
      <c r="J163" s="379"/>
      <c r="K163" s="464"/>
      <c r="L163" s="464"/>
      <c r="M163" s="381"/>
      <c r="N163" s="381"/>
      <c r="O163" s="381"/>
      <c r="P163" s="381"/>
      <c r="Q163" s="381"/>
      <c r="R163" s="381"/>
      <c r="T163" s="54"/>
      <c r="Y163" s="379"/>
      <c r="Z163" s="221"/>
      <c r="AA163" s="379"/>
      <c r="AB163" s="379"/>
      <c r="AC163" s="50"/>
      <c r="AD163" s="50"/>
      <c r="AE163" s="379"/>
      <c r="AF163" s="379"/>
      <c r="AG163" s="156"/>
      <c r="AH163" s="378"/>
      <c r="AI163" s="60"/>
      <c r="AJ163" s="60"/>
      <c r="AK163" s="156"/>
      <c r="AL163" s="379"/>
      <c r="AM163" s="378"/>
      <c r="AN163" s="378"/>
      <c r="AO163" s="50"/>
      <c r="AP163" s="378"/>
      <c r="AQ163" s="156"/>
    </row>
    <row r="164" spans="1:43" x14ac:dyDescent="0.25">
      <c r="A164" s="53"/>
      <c r="C164" s="54"/>
      <c r="F164" s="379"/>
      <c r="H164" s="379"/>
      <c r="I164" s="378"/>
      <c r="J164" s="379"/>
      <c r="K164" s="464"/>
      <c r="L164" s="464"/>
      <c r="M164" s="379"/>
      <c r="N164" s="379"/>
      <c r="O164" s="50"/>
      <c r="P164" s="50"/>
      <c r="Q164" s="379"/>
      <c r="R164" s="379"/>
      <c r="V164" s="379"/>
      <c r="Y164" s="379"/>
      <c r="Z164" s="464"/>
      <c r="AA164" s="381"/>
      <c r="AB164" s="381"/>
      <c r="AC164" s="381"/>
      <c r="AD164" s="381"/>
      <c r="AE164" s="381"/>
      <c r="AF164" s="381"/>
      <c r="AH164" s="378"/>
      <c r="AK164" s="162"/>
      <c r="AL164" s="381"/>
      <c r="AM164" s="378"/>
      <c r="AN164" s="378"/>
      <c r="AO164" s="50"/>
      <c r="AP164" s="378"/>
      <c r="AQ164" s="162"/>
    </row>
    <row r="165" spans="1:43" x14ac:dyDescent="0.25">
      <c r="F165" s="381"/>
      <c r="H165" s="379"/>
      <c r="I165" s="378"/>
      <c r="J165" s="379"/>
      <c r="K165" s="464"/>
      <c r="L165" s="464"/>
      <c r="M165" s="381"/>
      <c r="N165" s="381"/>
      <c r="O165" s="381"/>
      <c r="P165" s="381"/>
      <c r="Q165" s="381"/>
      <c r="R165" s="381"/>
      <c r="T165" s="54"/>
      <c r="V165" s="379"/>
      <c r="Y165" s="379"/>
      <c r="Z165" s="59"/>
      <c r="AA165" s="379"/>
      <c r="AB165" s="379"/>
      <c r="AC165" s="50"/>
      <c r="AD165" s="50"/>
      <c r="AE165" s="379"/>
      <c r="AF165" s="379"/>
      <c r="AG165" s="156"/>
      <c r="AH165" s="378"/>
      <c r="AI165" s="60"/>
      <c r="AJ165" s="60"/>
      <c r="AK165" s="156"/>
      <c r="AL165" s="379"/>
      <c r="AM165" s="378"/>
      <c r="AN165" s="378"/>
      <c r="AO165" s="50"/>
      <c r="AP165" s="378"/>
      <c r="AQ165" s="156"/>
    </row>
    <row r="166" spans="1:43" x14ac:dyDescent="0.25">
      <c r="F166" s="379"/>
      <c r="H166" s="379"/>
      <c r="I166" s="378"/>
      <c r="J166" s="379"/>
      <c r="K166" s="464"/>
      <c r="L166" s="464"/>
      <c r="M166" s="379"/>
      <c r="N166" s="379"/>
      <c r="O166" s="50"/>
      <c r="P166" s="50"/>
      <c r="Q166" s="379"/>
      <c r="R166" s="379"/>
      <c r="V166" s="379"/>
      <c r="Y166" s="379"/>
      <c r="Z166" s="464"/>
      <c r="AA166" s="381"/>
      <c r="AB166" s="381"/>
      <c r="AC166" s="381"/>
      <c r="AD166" s="381"/>
      <c r="AE166" s="381"/>
      <c r="AF166" s="381"/>
      <c r="AH166" s="378"/>
      <c r="AK166" s="162"/>
      <c r="AL166" s="381"/>
      <c r="AM166" s="378"/>
      <c r="AN166" s="378"/>
      <c r="AO166" s="50"/>
      <c r="AP166" s="378"/>
      <c r="AQ166" s="162"/>
    </row>
    <row r="167" spans="1:43" x14ac:dyDescent="0.25">
      <c r="A167" s="53"/>
      <c r="C167" s="54"/>
      <c r="F167" s="449"/>
      <c r="H167" s="449"/>
      <c r="I167" s="378"/>
      <c r="J167" s="449"/>
      <c r="K167" s="461"/>
      <c r="L167" s="461"/>
      <c r="M167" s="379"/>
      <c r="N167" s="379"/>
      <c r="O167" s="50"/>
      <c r="P167" s="50"/>
      <c r="Q167" s="379"/>
      <c r="R167" s="379"/>
      <c r="T167" s="54"/>
      <c r="V167" s="379"/>
      <c r="Y167" s="379"/>
      <c r="Z167" s="59"/>
      <c r="AA167" s="379"/>
      <c r="AB167" s="379"/>
      <c r="AC167" s="50"/>
      <c r="AD167" s="50"/>
      <c r="AE167" s="379"/>
      <c r="AF167" s="379"/>
      <c r="AG167" s="156"/>
      <c r="AH167" s="378"/>
      <c r="AI167" s="60"/>
      <c r="AJ167" s="60"/>
      <c r="AK167" s="156"/>
      <c r="AL167" s="379"/>
      <c r="AM167" s="378"/>
      <c r="AN167" s="378"/>
      <c r="AO167" s="50"/>
      <c r="AP167" s="378"/>
      <c r="AQ167" s="156"/>
    </row>
    <row r="168" spans="1:43" x14ac:dyDescent="0.25">
      <c r="A168" s="53"/>
      <c r="C168" s="54"/>
      <c r="F168" s="449"/>
      <c r="H168" s="449"/>
      <c r="I168" s="378"/>
      <c r="J168" s="449"/>
      <c r="K168" s="461"/>
      <c r="L168" s="461"/>
      <c r="M168" s="379"/>
      <c r="N168" s="379"/>
      <c r="O168" s="50"/>
      <c r="P168" s="50"/>
      <c r="Q168" s="379"/>
      <c r="R168" s="379"/>
      <c r="T168" s="54"/>
      <c r="V168" s="449"/>
      <c r="Y168" s="379"/>
      <c r="Z168" s="472"/>
      <c r="AA168" s="379"/>
      <c r="AB168" s="379"/>
      <c r="AC168" s="50"/>
      <c r="AD168" s="50"/>
      <c r="AE168" s="379"/>
      <c r="AF168" s="379"/>
      <c r="AG168" s="156"/>
      <c r="AH168" s="378"/>
      <c r="AI168" s="60"/>
      <c r="AJ168" s="60"/>
      <c r="AK168" s="156"/>
      <c r="AL168" s="379"/>
      <c r="AM168" s="378"/>
      <c r="AN168" s="378"/>
      <c r="AO168" s="50"/>
      <c r="AP168" s="378"/>
      <c r="AQ168" s="156"/>
    </row>
    <row r="169" spans="1:43" x14ac:dyDescent="0.25">
      <c r="F169" s="379"/>
      <c r="H169" s="381"/>
      <c r="I169" s="378"/>
      <c r="J169" s="381"/>
      <c r="K169" s="464"/>
      <c r="L169" s="464"/>
      <c r="M169" s="381"/>
      <c r="N169" s="381"/>
      <c r="O169" s="381"/>
      <c r="P169" s="381"/>
      <c r="Q169" s="381"/>
      <c r="R169" s="381"/>
      <c r="V169" s="381"/>
      <c r="Y169" s="381"/>
      <c r="Z169" s="464"/>
      <c r="AA169" s="381"/>
      <c r="AB169" s="381"/>
      <c r="AC169" s="381"/>
      <c r="AD169" s="381"/>
      <c r="AE169" s="381"/>
      <c r="AF169" s="381"/>
      <c r="AH169" s="378"/>
      <c r="AK169" s="162"/>
      <c r="AL169" s="381"/>
      <c r="AM169" s="378"/>
      <c r="AN169" s="378"/>
      <c r="AO169" s="50"/>
      <c r="AP169" s="378"/>
      <c r="AQ169" s="162"/>
    </row>
    <row r="170" spans="1:43" x14ac:dyDescent="0.25">
      <c r="A170" s="53"/>
      <c r="C170" s="54"/>
      <c r="F170" s="379"/>
      <c r="H170" s="379"/>
      <c r="I170" s="378"/>
      <c r="J170" s="379"/>
      <c r="K170" s="464"/>
      <c r="L170" s="464"/>
      <c r="M170" s="379"/>
      <c r="N170" s="379"/>
      <c r="O170" s="50"/>
      <c r="P170" s="50"/>
      <c r="Q170" s="379"/>
      <c r="R170" s="379"/>
      <c r="T170" s="54"/>
      <c r="V170" s="379"/>
      <c r="Y170" s="379"/>
      <c r="Z170" s="464"/>
      <c r="AA170" s="379"/>
      <c r="AB170" s="379"/>
      <c r="AC170" s="50"/>
      <c r="AD170" s="50"/>
      <c r="AE170" s="379"/>
      <c r="AF170" s="379"/>
      <c r="AG170" s="156"/>
      <c r="AH170" s="378"/>
      <c r="AI170" s="50"/>
      <c r="AJ170" s="50"/>
      <c r="AK170" s="156"/>
      <c r="AL170" s="379"/>
      <c r="AM170" s="378"/>
      <c r="AN170" s="378"/>
      <c r="AO170" s="50"/>
      <c r="AP170" s="378"/>
      <c r="AQ170" s="156"/>
    </row>
    <row r="171" spans="1:43" x14ac:dyDescent="0.25">
      <c r="F171" s="379"/>
      <c r="H171" s="381"/>
      <c r="I171" s="378"/>
      <c r="J171" s="381"/>
      <c r="K171" s="464"/>
      <c r="L171" s="464"/>
      <c r="M171" s="381"/>
      <c r="N171" s="381"/>
      <c r="O171" s="381"/>
      <c r="P171" s="381"/>
      <c r="Q171" s="381"/>
      <c r="R171" s="381"/>
      <c r="V171" s="381"/>
      <c r="Y171" s="381"/>
      <c r="Z171" s="464"/>
      <c r="AA171" s="381"/>
      <c r="AB171" s="381"/>
      <c r="AC171" s="381"/>
      <c r="AD171" s="381"/>
      <c r="AE171" s="381"/>
      <c r="AF171" s="381"/>
      <c r="AH171" s="378"/>
      <c r="AK171" s="162"/>
      <c r="AL171" s="381"/>
      <c r="AM171" s="378"/>
      <c r="AN171" s="378"/>
      <c r="AO171" s="50"/>
      <c r="AP171" s="378"/>
      <c r="AQ171" s="162"/>
    </row>
    <row r="172" spans="1:43" x14ac:dyDescent="0.25">
      <c r="F172" s="379"/>
      <c r="H172" s="379"/>
      <c r="I172" s="378"/>
      <c r="J172" s="379"/>
      <c r="K172" s="464"/>
      <c r="L172" s="464"/>
      <c r="M172" s="379"/>
      <c r="N172" s="379"/>
      <c r="O172" s="379"/>
      <c r="P172" s="379"/>
      <c r="Q172" s="379"/>
      <c r="R172" s="379"/>
      <c r="T172" s="54"/>
      <c r="AH172" s="378"/>
      <c r="AM172" s="378"/>
      <c r="AN172" s="378"/>
      <c r="AP172" s="378"/>
    </row>
    <row r="173" spans="1:43" x14ac:dyDescent="0.25">
      <c r="A173" s="53"/>
      <c r="C173" s="54"/>
      <c r="F173" s="449"/>
      <c r="H173" s="449"/>
      <c r="I173" s="378"/>
      <c r="J173" s="449"/>
      <c r="K173" s="472"/>
      <c r="L173" s="472"/>
      <c r="M173" s="379"/>
      <c r="N173" s="379"/>
      <c r="O173" s="50"/>
      <c r="P173" s="50"/>
      <c r="Q173" s="449"/>
      <c r="R173" s="379"/>
      <c r="T173" s="54"/>
      <c r="V173" s="379"/>
      <c r="Y173" s="379"/>
      <c r="AA173" s="379"/>
      <c r="AB173" s="379"/>
      <c r="AC173" s="50"/>
      <c r="AD173" s="50"/>
      <c r="AE173" s="379"/>
      <c r="AF173" s="379"/>
      <c r="AG173" s="156"/>
      <c r="AH173" s="378"/>
      <c r="AI173" s="50"/>
      <c r="AJ173" s="50"/>
      <c r="AK173" s="474"/>
      <c r="AL173" s="449"/>
      <c r="AM173" s="378"/>
      <c r="AN173" s="378"/>
      <c r="AO173" s="50"/>
      <c r="AP173" s="378"/>
      <c r="AQ173" s="156"/>
    </row>
    <row r="174" spans="1:43" x14ac:dyDescent="0.25">
      <c r="A174" s="53"/>
      <c r="C174" s="54"/>
      <c r="F174" s="449"/>
      <c r="H174" s="449"/>
      <c r="I174" s="378"/>
      <c r="J174" s="449"/>
      <c r="K174" s="472"/>
      <c r="L174" s="472"/>
      <c r="M174" s="379"/>
      <c r="N174" s="379"/>
      <c r="O174" s="50"/>
      <c r="P174" s="50"/>
      <c r="Q174" s="449"/>
      <c r="R174" s="379"/>
      <c r="V174" s="381"/>
      <c r="Y174" s="381"/>
      <c r="Z174" s="464"/>
      <c r="AA174" s="381"/>
      <c r="AB174" s="381"/>
      <c r="AC174" s="381"/>
      <c r="AD174" s="381"/>
      <c r="AE174" s="381"/>
      <c r="AF174" s="381"/>
      <c r="AH174" s="378"/>
      <c r="AK174" s="162"/>
      <c r="AL174" s="381"/>
      <c r="AM174" s="378"/>
      <c r="AN174" s="378"/>
      <c r="AP174" s="378"/>
      <c r="AQ174" s="162"/>
    </row>
    <row r="175" spans="1:43" x14ac:dyDescent="0.25">
      <c r="A175" s="53"/>
      <c r="C175" s="54"/>
      <c r="F175" s="449"/>
      <c r="H175" s="449"/>
      <c r="I175" s="378"/>
      <c r="J175" s="449"/>
      <c r="K175" s="472"/>
      <c r="L175" s="472"/>
      <c r="M175" s="379"/>
      <c r="N175" s="379"/>
      <c r="O175" s="50"/>
      <c r="P175" s="50"/>
      <c r="Q175" s="449"/>
      <c r="R175" s="379"/>
      <c r="AM175" s="378"/>
      <c r="AN175" s="378"/>
      <c r="AP175" s="378"/>
    </row>
    <row r="176" spans="1:43" x14ac:dyDescent="0.25">
      <c r="F176" s="381"/>
      <c r="H176" s="381"/>
      <c r="I176" s="378"/>
      <c r="J176" s="381"/>
      <c r="K176" s="464"/>
      <c r="L176" s="464"/>
      <c r="M176" s="381"/>
      <c r="N176" s="381"/>
      <c r="O176" s="381"/>
      <c r="P176" s="381"/>
      <c r="Q176" s="381"/>
      <c r="R176" s="381"/>
      <c r="T176" s="54"/>
      <c r="AA176" s="379"/>
      <c r="AB176" s="379"/>
      <c r="AC176" s="379"/>
      <c r="AD176" s="379"/>
      <c r="AI176" s="379"/>
      <c r="AJ176" s="379"/>
      <c r="AK176" s="156"/>
      <c r="AL176" s="379"/>
      <c r="AM176" s="378"/>
      <c r="AN176" s="378"/>
      <c r="AP176" s="378"/>
    </row>
    <row r="177" spans="1:42" x14ac:dyDescent="0.25">
      <c r="A177" s="53"/>
      <c r="C177" s="54"/>
      <c r="F177" s="379"/>
      <c r="H177" s="379"/>
      <c r="I177" s="378"/>
      <c r="J177" s="379"/>
      <c r="K177" s="59"/>
      <c r="L177" s="59"/>
      <c r="M177" s="379"/>
      <c r="N177" s="379"/>
      <c r="O177" s="50"/>
      <c r="P177" s="50"/>
      <c r="Q177" s="379"/>
      <c r="R177" s="379"/>
      <c r="AM177" s="378"/>
      <c r="AN177" s="378"/>
      <c r="AP177" s="378"/>
    </row>
    <row r="178" spans="1:42" x14ac:dyDescent="0.25">
      <c r="F178" s="381"/>
      <c r="H178" s="381"/>
      <c r="I178" s="378"/>
      <c r="J178" s="381"/>
      <c r="K178" s="464"/>
      <c r="L178" s="464"/>
      <c r="M178" s="381"/>
      <c r="N178" s="381"/>
      <c r="O178" s="381"/>
      <c r="P178" s="381"/>
      <c r="Q178" s="381"/>
      <c r="R178" s="381"/>
      <c r="Z178" s="53"/>
      <c r="AM178" s="378"/>
      <c r="AN178" s="378"/>
      <c r="AP178" s="378"/>
    </row>
    <row r="179" spans="1:42" x14ac:dyDescent="0.25">
      <c r="A179" s="53"/>
      <c r="C179" s="54"/>
      <c r="F179" s="379"/>
      <c r="H179" s="379"/>
      <c r="I179" s="378"/>
      <c r="J179" s="379"/>
      <c r="K179" s="59"/>
      <c r="L179" s="59"/>
      <c r="M179" s="379"/>
      <c r="N179" s="379"/>
      <c r="O179" s="50"/>
      <c r="P179" s="50"/>
      <c r="Q179" s="379"/>
      <c r="R179" s="379"/>
      <c r="Y179" s="54"/>
      <c r="AM179" s="378"/>
      <c r="AN179" s="378"/>
      <c r="AP179" s="378"/>
    </row>
    <row r="180" spans="1:42" x14ac:dyDescent="0.25">
      <c r="A180" s="53"/>
      <c r="C180" s="54"/>
      <c r="F180" s="379"/>
      <c r="H180" s="379"/>
      <c r="I180" s="379"/>
      <c r="J180" s="59"/>
      <c r="K180" s="59"/>
      <c r="L180" s="379"/>
      <c r="M180" s="379"/>
      <c r="N180" s="50"/>
      <c r="O180" s="50"/>
      <c r="P180" s="379"/>
      <c r="Q180" s="379"/>
      <c r="R180" s="379"/>
      <c r="Z180" s="53"/>
      <c r="AM180" s="378"/>
      <c r="AN180" s="378"/>
      <c r="AP180" s="378"/>
    </row>
    <row r="181" spans="1:42" x14ac:dyDescent="0.25">
      <c r="F181" s="381"/>
      <c r="H181" s="381"/>
      <c r="I181" s="381"/>
      <c r="J181" s="464"/>
      <c r="K181" s="464"/>
      <c r="L181" s="381"/>
      <c r="M181" s="381"/>
      <c r="N181" s="381"/>
      <c r="O181" s="381"/>
      <c r="P181" s="381"/>
      <c r="Q181" s="381"/>
      <c r="R181" s="381"/>
      <c r="AA181" s="54"/>
      <c r="AB181" s="54"/>
      <c r="AM181" s="378"/>
      <c r="AN181" s="378"/>
      <c r="AP181" s="378"/>
    </row>
    <row r="182" spans="1:42" x14ac:dyDescent="0.25">
      <c r="F182" s="379"/>
      <c r="H182" s="379"/>
      <c r="I182" s="379"/>
      <c r="J182" s="59"/>
      <c r="K182" s="59"/>
      <c r="L182" s="379"/>
      <c r="M182" s="379"/>
      <c r="N182" s="379"/>
      <c r="O182" s="379"/>
      <c r="P182" s="379"/>
      <c r="Q182" s="379"/>
      <c r="R182" s="379"/>
      <c r="AK182" s="161"/>
      <c r="AL182" s="54"/>
      <c r="AM182" s="378"/>
      <c r="AN182" s="378"/>
      <c r="AP182" s="378"/>
    </row>
    <row r="183" spans="1:42" x14ac:dyDescent="0.25">
      <c r="C183" s="54"/>
      <c r="F183" s="379"/>
      <c r="H183" s="379"/>
      <c r="I183" s="379"/>
      <c r="J183" s="59"/>
      <c r="K183" s="59"/>
      <c r="L183" s="379"/>
      <c r="M183" s="379"/>
      <c r="N183" s="379"/>
      <c r="O183" s="379"/>
      <c r="P183" s="379"/>
      <c r="Q183" s="379"/>
      <c r="R183" s="379"/>
      <c r="AK183" s="161"/>
      <c r="AL183" s="54"/>
      <c r="AM183" s="378"/>
      <c r="AN183" s="378"/>
      <c r="AP183" s="378"/>
    </row>
    <row r="184" spans="1:42" x14ac:dyDescent="0.25">
      <c r="A184" s="54"/>
      <c r="AK184" s="161"/>
      <c r="AL184" s="54"/>
      <c r="AM184" s="378"/>
      <c r="AN184" s="378"/>
      <c r="AP184" s="378"/>
    </row>
    <row r="185" spans="1:42" x14ac:dyDescent="0.25">
      <c r="J185" s="53"/>
      <c r="K185" s="53"/>
      <c r="Z185" s="53"/>
      <c r="AM185" s="378"/>
      <c r="AN185" s="378"/>
      <c r="AP185" s="378"/>
    </row>
    <row r="186" spans="1:42" x14ac:dyDescent="0.25">
      <c r="H186" s="54"/>
      <c r="I186" s="54"/>
      <c r="Y186" s="54"/>
      <c r="AM186" s="378"/>
      <c r="AN186" s="378"/>
      <c r="AP186" s="378"/>
    </row>
    <row r="187" spans="1:42" x14ac:dyDescent="0.25">
      <c r="J187" s="53"/>
      <c r="K187" s="53"/>
      <c r="Z187" s="53"/>
      <c r="AM187" s="378"/>
      <c r="AN187" s="378"/>
      <c r="AP187" s="378"/>
    </row>
    <row r="188" spans="1:42" x14ac:dyDescent="0.25">
      <c r="L188" s="54"/>
      <c r="M188" s="54"/>
      <c r="AA188" s="54"/>
      <c r="AB188" s="54"/>
      <c r="AM188" s="378"/>
      <c r="AP188" s="378"/>
    </row>
    <row r="189" spans="1:42" x14ac:dyDescent="0.25">
      <c r="A189" s="53"/>
      <c r="R189" s="54"/>
      <c r="AK189" s="161"/>
      <c r="AL189" s="54"/>
      <c r="AP189" s="378"/>
    </row>
    <row r="190" spans="1:42" x14ac:dyDescent="0.25">
      <c r="A190" s="53"/>
      <c r="R190" s="54"/>
      <c r="AK190" s="161"/>
      <c r="AL190" s="54"/>
      <c r="AP190" s="378"/>
    </row>
    <row r="191" spans="1:42" x14ac:dyDescent="0.25">
      <c r="A191" s="54"/>
      <c r="R191" s="54"/>
      <c r="AK191" s="161"/>
      <c r="AL191" s="54"/>
      <c r="AP191" s="378"/>
    </row>
    <row r="192" spans="1:42" x14ac:dyDescent="0.25">
      <c r="L192" s="54"/>
      <c r="M192" s="54"/>
      <c r="R192" s="53"/>
      <c r="AA192" s="54"/>
      <c r="AB192" s="54"/>
      <c r="AK192" s="156"/>
      <c r="AL192" s="53"/>
      <c r="AP192" s="378"/>
    </row>
    <row r="193" spans="1:42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154"/>
      <c r="AH193" s="55"/>
      <c r="AI193" s="55"/>
      <c r="AJ193" s="55"/>
      <c r="AK193" s="154"/>
      <c r="AL193" s="55"/>
      <c r="AM193" s="55"/>
      <c r="AN193" s="55"/>
      <c r="AP193" s="378"/>
    </row>
    <row r="194" spans="1:42" x14ac:dyDescent="0.25">
      <c r="L194" s="56"/>
      <c r="M194" s="56"/>
      <c r="N194" s="56"/>
      <c r="O194" s="56"/>
      <c r="R194" s="56"/>
      <c r="AA194" s="56"/>
      <c r="AB194" s="56"/>
      <c r="AC194" s="56"/>
      <c r="AD194" s="56"/>
      <c r="AE194" s="56"/>
      <c r="AF194" s="56"/>
      <c r="AG194" s="155"/>
      <c r="AH194" s="56"/>
      <c r="AK194" s="155"/>
      <c r="AL194" s="56"/>
      <c r="AM194" s="56"/>
      <c r="AN194" s="56"/>
      <c r="AP194" s="378"/>
    </row>
    <row r="195" spans="1:42" x14ac:dyDescent="0.25">
      <c r="L195" s="56"/>
      <c r="M195" s="56"/>
      <c r="N195" s="56"/>
      <c r="O195" s="56"/>
      <c r="R195" s="56"/>
      <c r="Z195" s="56"/>
      <c r="AA195" s="56"/>
      <c r="AB195" s="56"/>
      <c r="AC195" s="56"/>
      <c r="AD195" s="56"/>
      <c r="AE195" s="56"/>
      <c r="AF195" s="56"/>
      <c r="AG195" s="155"/>
      <c r="AH195" s="56"/>
      <c r="AK195" s="155"/>
      <c r="AL195" s="56"/>
      <c r="AM195" s="56"/>
      <c r="AN195" s="56"/>
      <c r="AP195" s="378"/>
    </row>
    <row r="196" spans="1:42" x14ac:dyDescent="0.25">
      <c r="A196" s="56"/>
      <c r="C196" s="56"/>
      <c r="D196" s="56"/>
      <c r="E196" s="56"/>
      <c r="F196" s="56"/>
      <c r="J196" s="56"/>
      <c r="K196" s="56"/>
      <c r="L196" s="56"/>
      <c r="M196" s="56"/>
      <c r="N196" s="56"/>
      <c r="O196" s="56"/>
      <c r="P196" s="56"/>
      <c r="Q196" s="56"/>
      <c r="R196" s="56"/>
      <c r="T196" s="56"/>
      <c r="U196" s="56"/>
      <c r="V196" s="56"/>
      <c r="Z196" s="56"/>
      <c r="AA196" s="56"/>
      <c r="AB196" s="56"/>
      <c r="AC196" s="56"/>
      <c r="AD196" s="56"/>
      <c r="AE196" s="56"/>
      <c r="AF196" s="56"/>
      <c r="AG196" s="155"/>
      <c r="AH196" s="56"/>
      <c r="AI196" s="56"/>
      <c r="AJ196" s="56"/>
      <c r="AK196" s="155"/>
      <c r="AL196" s="56"/>
      <c r="AM196" s="56"/>
      <c r="AN196" s="56"/>
      <c r="AP196" s="378"/>
    </row>
    <row r="197" spans="1:42" x14ac:dyDescent="0.25">
      <c r="A197" s="56"/>
      <c r="C197" s="56"/>
      <c r="D197" s="56"/>
      <c r="E197" s="56"/>
      <c r="F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T197" s="56"/>
      <c r="U197" s="56"/>
      <c r="V197" s="56"/>
      <c r="Y197" s="56"/>
      <c r="Z197" s="56"/>
      <c r="AA197" s="56"/>
      <c r="AB197" s="56"/>
      <c r="AC197" s="56"/>
      <c r="AD197" s="56"/>
      <c r="AE197" s="56"/>
      <c r="AF197" s="56"/>
      <c r="AG197" s="155"/>
      <c r="AH197" s="56"/>
      <c r="AI197" s="56"/>
      <c r="AJ197" s="56"/>
      <c r="AK197" s="155"/>
      <c r="AL197" s="56"/>
      <c r="AM197" s="56"/>
      <c r="AN197" s="56"/>
      <c r="AP197" s="378"/>
    </row>
    <row r="198" spans="1:42" x14ac:dyDescent="0.25">
      <c r="C198" s="56"/>
      <c r="D198" s="56"/>
      <c r="E198" s="56"/>
      <c r="F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T198" s="56"/>
      <c r="U198" s="56"/>
      <c r="V198" s="56"/>
      <c r="Y198" s="56"/>
      <c r="Z198" s="56"/>
      <c r="AA198" s="56"/>
      <c r="AB198" s="56"/>
      <c r="AC198" s="56"/>
      <c r="AD198" s="56"/>
      <c r="AE198" s="56"/>
      <c r="AF198" s="56"/>
      <c r="AG198" s="155"/>
      <c r="AH198" s="56"/>
      <c r="AI198" s="56"/>
      <c r="AJ198" s="56"/>
      <c r="AK198" s="155"/>
      <c r="AL198" s="56"/>
      <c r="AM198" s="56"/>
      <c r="AN198" s="56"/>
      <c r="AP198" s="378"/>
    </row>
    <row r="199" spans="1:42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154"/>
      <c r="AH199" s="55"/>
      <c r="AI199" s="55"/>
      <c r="AJ199" s="55"/>
      <c r="AK199" s="154"/>
      <c r="AL199" s="55"/>
      <c r="AM199" s="55"/>
      <c r="AN199" s="55"/>
      <c r="AP199" s="378"/>
    </row>
    <row r="200" spans="1:42" x14ac:dyDescent="0.25"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Y200" s="56"/>
      <c r="Z200" s="56"/>
      <c r="AA200" s="56"/>
      <c r="AB200" s="56"/>
      <c r="AC200" s="56"/>
      <c r="AD200" s="56"/>
      <c r="AE200" s="56"/>
      <c r="AF200" s="56"/>
      <c r="AG200" s="155"/>
      <c r="AH200" s="56"/>
      <c r="AI200" s="56"/>
      <c r="AJ200" s="56"/>
      <c r="AK200" s="155"/>
      <c r="AL200" s="56"/>
      <c r="AM200" s="56"/>
      <c r="AN200" s="56"/>
      <c r="AP200" s="378"/>
    </row>
    <row r="201" spans="1:42" x14ac:dyDescent="0.25">
      <c r="A201" s="53"/>
      <c r="C201" s="54"/>
      <c r="D201" s="54"/>
      <c r="E201" s="54"/>
      <c r="T201" s="54"/>
      <c r="U201" s="54"/>
      <c r="AP201" s="378"/>
    </row>
    <row r="202" spans="1:42" x14ac:dyDescent="0.25">
      <c r="AP202" s="378"/>
    </row>
    <row r="203" spans="1:42" x14ac:dyDescent="0.25">
      <c r="A203" s="53"/>
      <c r="C203" s="54"/>
      <c r="F203" s="449"/>
      <c r="H203" s="470"/>
      <c r="I203" s="470"/>
      <c r="J203" s="461"/>
      <c r="K203" s="461"/>
      <c r="L203" s="379"/>
      <c r="M203" s="379"/>
      <c r="N203" s="53"/>
      <c r="O203" s="53"/>
      <c r="P203" s="53"/>
      <c r="Q203" s="53"/>
      <c r="R203" s="379"/>
      <c r="T203" s="54"/>
      <c r="V203" s="379"/>
      <c r="Y203" s="53"/>
      <c r="Z203" s="461"/>
      <c r="AA203" s="379"/>
      <c r="AB203" s="379"/>
      <c r="AC203" s="53"/>
      <c r="AD203" s="53"/>
      <c r="AE203" s="379"/>
      <c r="AF203" s="379"/>
      <c r="AG203" s="474"/>
      <c r="AH203" s="475"/>
      <c r="AI203" s="379"/>
      <c r="AJ203" s="379"/>
      <c r="AK203" s="156"/>
      <c r="AL203" s="379"/>
      <c r="AM203" s="476"/>
      <c r="AN203" s="476"/>
      <c r="AP203" s="378"/>
    </row>
    <row r="204" spans="1:42" x14ac:dyDescent="0.25">
      <c r="F204" s="449"/>
      <c r="H204" s="470"/>
      <c r="I204" s="470"/>
      <c r="J204" s="470"/>
      <c r="K204" s="470"/>
      <c r="R204" s="379"/>
      <c r="V204" s="379"/>
      <c r="Z204" s="470"/>
      <c r="AP204" s="378"/>
    </row>
    <row r="205" spans="1:42" x14ac:dyDescent="0.25">
      <c r="A205" s="53"/>
      <c r="C205" s="54"/>
      <c r="F205" s="449"/>
      <c r="H205" s="449"/>
      <c r="I205" s="449"/>
      <c r="J205" s="472"/>
      <c r="K205" s="472"/>
      <c r="L205" s="379"/>
      <c r="M205" s="379"/>
      <c r="N205" s="50"/>
      <c r="O205" s="50"/>
      <c r="P205" s="449"/>
      <c r="Q205" s="449"/>
      <c r="R205" s="379"/>
      <c r="T205" s="54"/>
      <c r="V205" s="379"/>
      <c r="Y205" s="379"/>
      <c r="Z205" s="463"/>
      <c r="AA205" s="379"/>
      <c r="AB205" s="379"/>
      <c r="AC205" s="50"/>
      <c r="AD205" s="50"/>
      <c r="AE205" s="379"/>
      <c r="AF205" s="379"/>
      <c r="AG205" s="156"/>
      <c r="AH205" s="60"/>
      <c r="AI205" s="449"/>
      <c r="AJ205" s="449"/>
      <c r="AK205" s="156"/>
      <c r="AL205" s="379"/>
      <c r="AM205" s="50"/>
      <c r="AN205" s="50"/>
      <c r="AP205" s="378"/>
    </row>
    <row r="206" spans="1:42" x14ac:dyDescent="0.25">
      <c r="F206" s="381"/>
      <c r="H206" s="381"/>
      <c r="I206" s="381"/>
      <c r="J206" s="464"/>
      <c r="K206" s="464"/>
      <c r="L206" s="381"/>
      <c r="M206" s="381"/>
      <c r="N206" s="381"/>
      <c r="O206" s="381"/>
      <c r="P206" s="381"/>
      <c r="Q206" s="381"/>
      <c r="R206" s="381"/>
      <c r="V206" s="381"/>
      <c r="Y206" s="381"/>
      <c r="Z206" s="464"/>
      <c r="AA206" s="381"/>
      <c r="AB206" s="381"/>
      <c r="AC206" s="381"/>
      <c r="AD206" s="381"/>
      <c r="AE206" s="381"/>
      <c r="AF206" s="381"/>
      <c r="AI206" s="381"/>
      <c r="AJ206" s="381"/>
      <c r="AK206" s="162"/>
      <c r="AL206" s="381"/>
      <c r="AP206" s="378"/>
    </row>
    <row r="207" spans="1:42" x14ac:dyDescent="0.25">
      <c r="A207" s="53"/>
      <c r="D207" s="54"/>
      <c r="E207" s="54"/>
      <c r="F207" s="379"/>
      <c r="H207" s="379"/>
      <c r="I207" s="379"/>
      <c r="J207" s="59"/>
      <c r="K207" s="59"/>
      <c r="L207" s="379"/>
      <c r="M207" s="379"/>
      <c r="N207" s="50"/>
      <c r="O207" s="50"/>
      <c r="P207" s="379"/>
      <c r="Q207" s="379"/>
      <c r="R207" s="379"/>
      <c r="U207" s="54"/>
      <c r="V207" s="379"/>
      <c r="Y207" s="379"/>
      <c r="Z207" s="59"/>
      <c r="AA207" s="379"/>
      <c r="AB207" s="379"/>
      <c r="AC207" s="50"/>
      <c r="AD207" s="50"/>
      <c r="AE207" s="379"/>
      <c r="AF207" s="379"/>
      <c r="AG207" s="156"/>
      <c r="AH207" s="60"/>
      <c r="AI207" s="379"/>
      <c r="AJ207" s="379"/>
      <c r="AK207" s="156"/>
      <c r="AL207" s="379"/>
      <c r="AM207" s="50"/>
      <c r="AN207" s="50"/>
      <c r="AP207" s="378"/>
    </row>
    <row r="208" spans="1:42" x14ac:dyDescent="0.25">
      <c r="F208" s="381"/>
      <c r="H208" s="381"/>
      <c r="I208" s="381"/>
      <c r="J208" s="464"/>
      <c r="K208" s="464"/>
      <c r="L208" s="381"/>
      <c r="M208" s="381"/>
      <c r="N208" s="381"/>
      <c r="O208" s="381"/>
      <c r="P208" s="381"/>
      <c r="Q208" s="381"/>
      <c r="R208" s="381"/>
      <c r="V208" s="381"/>
      <c r="Y208" s="381"/>
      <c r="Z208" s="464"/>
      <c r="AA208" s="381"/>
      <c r="AB208" s="381"/>
      <c r="AC208" s="381"/>
      <c r="AD208" s="381"/>
      <c r="AE208" s="381"/>
      <c r="AF208" s="381"/>
      <c r="AI208" s="381"/>
      <c r="AJ208" s="381"/>
      <c r="AK208" s="162"/>
      <c r="AL208" s="381"/>
      <c r="AP208" s="378"/>
    </row>
    <row r="209" spans="1:42" x14ac:dyDescent="0.25">
      <c r="R209" s="379"/>
      <c r="AP209" s="378"/>
    </row>
    <row r="210" spans="1:42" x14ac:dyDescent="0.25">
      <c r="R210" s="379"/>
      <c r="AP210" s="378"/>
    </row>
    <row r="211" spans="1:42" x14ac:dyDescent="0.25">
      <c r="R211" s="379"/>
      <c r="AP211" s="378"/>
    </row>
    <row r="212" spans="1:42" x14ac:dyDescent="0.25">
      <c r="A212" s="53"/>
      <c r="C212" s="54"/>
      <c r="D212" s="54"/>
      <c r="E212" s="54"/>
      <c r="H212" s="379"/>
      <c r="I212" s="379"/>
      <c r="J212" s="59"/>
      <c r="K212" s="59"/>
      <c r="L212" s="379"/>
      <c r="M212" s="379"/>
      <c r="N212" s="50"/>
      <c r="O212" s="50"/>
      <c r="P212" s="379"/>
      <c r="Q212" s="379"/>
      <c r="R212" s="379"/>
      <c r="T212" s="54"/>
      <c r="U212" s="54"/>
      <c r="Y212" s="379"/>
      <c r="Z212" s="59"/>
      <c r="AA212" s="379"/>
      <c r="AB212" s="379"/>
      <c r="AC212" s="50"/>
      <c r="AD212" s="50"/>
      <c r="AP212" s="378"/>
    </row>
    <row r="213" spans="1:42" x14ac:dyDescent="0.25">
      <c r="H213" s="379"/>
      <c r="I213" s="379"/>
      <c r="J213" s="59"/>
      <c r="K213" s="59"/>
      <c r="L213" s="379"/>
      <c r="M213" s="379"/>
      <c r="N213" s="50"/>
      <c r="O213" s="50"/>
      <c r="P213" s="379"/>
      <c r="Q213" s="379"/>
      <c r="R213" s="379"/>
      <c r="Y213" s="379"/>
      <c r="Z213" s="59"/>
      <c r="AA213" s="379"/>
      <c r="AB213" s="379"/>
      <c r="AC213" s="50"/>
      <c r="AD213" s="50"/>
      <c r="AP213" s="378"/>
    </row>
    <row r="214" spans="1:42" x14ac:dyDescent="0.25">
      <c r="A214" s="53"/>
      <c r="C214" s="54"/>
      <c r="F214" s="449"/>
      <c r="H214" s="449"/>
      <c r="I214" s="449"/>
      <c r="J214" s="61"/>
      <c r="K214" s="61"/>
      <c r="L214" s="449"/>
      <c r="M214" s="449"/>
      <c r="N214" s="50"/>
      <c r="O214" s="50"/>
      <c r="P214" s="379"/>
      <c r="Q214" s="379"/>
      <c r="R214" s="379"/>
      <c r="T214" s="54"/>
      <c r="V214" s="379"/>
      <c r="Y214" s="379"/>
      <c r="Z214" s="61"/>
      <c r="AA214" s="379"/>
      <c r="AB214" s="379"/>
      <c r="AC214" s="50"/>
      <c r="AD214" s="50"/>
      <c r="AE214" s="379"/>
      <c r="AF214" s="379"/>
      <c r="AG214" s="156"/>
      <c r="AH214" s="60"/>
      <c r="AI214" s="379"/>
      <c r="AJ214" s="379"/>
      <c r="AK214" s="156"/>
      <c r="AL214" s="379"/>
      <c r="AM214" s="50"/>
      <c r="AN214" s="50"/>
      <c r="AP214" s="378"/>
    </row>
    <row r="215" spans="1:42" x14ac:dyDescent="0.25">
      <c r="F215" s="449"/>
      <c r="H215" s="470"/>
      <c r="I215" s="470"/>
      <c r="J215" s="470"/>
      <c r="K215" s="470"/>
      <c r="R215" s="379"/>
      <c r="V215" s="379"/>
      <c r="Z215" s="470"/>
      <c r="AP215" s="378"/>
    </row>
    <row r="216" spans="1:42" x14ac:dyDescent="0.25">
      <c r="A216" s="53"/>
      <c r="C216" s="54"/>
      <c r="F216" s="449"/>
      <c r="H216" s="449"/>
      <c r="I216" s="449"/>
      <c r="J216" s="461"/>
      <c r="K216" s="461"/>
      <c r="L216" s="379"/>
      <c r="M216" s="379"/>
      <c r="N216" s="50"/>
      <c r="O216" s="50"/>
      <c r="P216" s="379"/>
      <c r="Q216" s="379"/>
      <c r="R216" s="379"/>
      <c r="T216" s="54"/>
      <c r="V216" s="379"/>
      <c r="Y216" s="379"/>
      <c r="Z216" s="461"/>
      <c r="AA216" s="379"/>
      <c r="AB216" s="379"/>
      <c r="AC216" s="50"/>
      <c r="AD216" s="50"/>
      <c r="AE216" s="379"/>
      <c r="AF216" s="379"/>
      <c r="AG216" s="156"/>
      <c r="AH216" s="60"/>
      <c r="AI216" s="379"/>
      <c r="AJ216" s="379"/>
      <c r="AK216" s="156"/>
      <c r="AL216" s="379"/>
      <c r="AM216" s="50"/>
      <c r="AN216" s="50"/>
      <c r="AP216" s="378"/>
    </row>
    <row r="217" spans="1:42" x14ac:dyDescent="0.25">
      <c r="F217" s="449"/>
      <c r="H217" s="470"/>
      <c r="I217" s="470"/>
      <c r="J217" s="470"/>
      <c r="K217" s="470"/>
      <c r="R217" s="379"/>
      <c r="V217" s="379"/>
      <c r="Z217" s="470"/>
      <c r="AP217" s="378"/>
    </row>
    <row r="218" spans="1:42" x14ac:dyDescent="0.25">
      <c r="A218" s="53"/>
      <c r="C218" s="54"/>
      <c r="F218" s="449"/>
      <c r="H218" s="449"/>
      <c r="I218" s="449"/>
      <c r="J218" s="472"/>
      <c r="K218" s="472"/>
      <c r="L218" s="379"/>
      <c r="M218" s="379"/>
      <c r="N218" s="50"/>
      <c r="O218" s="50"/>
      <c r="P218" s="379"/>
      <c r="Q218" s="379"/>
      <c r="R218" s="379"/>
      <c r="T218" s="54"/>
      <c r="V218" s="379"/>
      <c r="Y218" s="379"/>
      <c r="Z218" s="463"/>
      <c r="AA218" s="379"/>
      <c r="AB218" s="379"/>
      <c r="AC218" s="50"/>
      <c r="AD218" s="50"/>
      <c r="AE218" s="379"/>
      <c r="AF218" s="379"/>
      <c r="AG218" s="156"/>
      <c r="AH218" s="60"/>
      <c r="AI218" s="379"/>
      <c r="AJ218" s="379"/>
      <c r="AK218" s="156"/>
      <c r="AL218" s="379"/>
      <c r="AM218" s="50"/>
      <c r="AN218" s="50"/>
      <c r="AP218" s="378"/>
    </row>
    <row r="219" spans="1:42" x14ac:dyDescent="0.25">
      <c r="F219" s="381"/>
      <c r="H219" s="381"/>
      <c r="I219" s="381"/>
      <c r="J219" s="464"/>
      <c r="K219" s="464"/>
      <c r="L219" s="381"/>
      <c r="M219" s="381"/>
      <c r="N219" s="381"/>
      <c r="O219" s="381"/>
      <c r="P219" s="381"/>
      <c r="Q219" s="381"/>
      <c r="R219" s="381"/>
      <c r="S219" s="379"/>
      <c r="V219" s="381"/>
      <c r="Y219" s="381"/>
      <c r="Z219" s="464"/>
      <c r="AA219" s="381"/>
      <c r="AB219" s="381"/>
      <c r="AC219" s="381"/>
      <c r="AD219" s="381"/>
      <c r="AE219" s="381"/>
      <c r="AF219" s="381"/>
      <c r="AI219" s="381"/>
      <c r="AJ219" s="381"/>
      <c r="AK219" s="162"/>
      <c r="AL219" s="381"/>
      <c r="AP219" s="378"/>
    </row>
    <row r="220" spans="1:42" x14ac:dyDescent="0.25">
      <c r="A220" s="53"/>
      <c r="D220" s="54"/>
      <c r="E220" s="54"/>
      <c r="F220" s="379"/>
      <c r="H220" s="379"/>
      <c r="I220" s="379"/>
      <c r="J220" s="59"/>
      <c r="K220" s="59"/>
      <c r="L220" s="379"/>
      <c r="M220" s="379"/>
      <c r="N220" s="50"/>
      <c r="O220" s="50"/>
      <c r="P220" s="449"/>
      <c r="Q220" s="449"/>
      <c r="R220" s="379"/>
      <c r="S220" s="379"/>
      <c r="U220" s="54"/>
      <c r="V220" s="379"/>
      <c r="Y220" s="379"/>
      <c r="Z220" s="59"/>
      <c r="AA220" s="379"/>
      <c r="AB220" s="379"/>
      <c r="AC220" s="50"/>
      <c r="AD220" s="50"/>
      <c r="AE220" s="379"/>
      <c r="AF220" s="379"/>
      <c r="AG220" s="156"/>
      <c r="AH220" s="60"/>
      <c r="AI220" s="449"/>
      <c r="AJ220" s="449"/>
      <c r="AK220" s="156"/>
      <c r="AL220" s="379"/>
      <c r="AM220" s="50"/>
      <c r="AN220" s="50"/>
      <c r="AP220" s="378"/>
    </row>
    <row r="221" spans="1:42" x14ac:dyDescent="0.25">
      <c r="F221" s="381"/>
      <c r="H221" s="381"/>
      <c r="I221" s="381"/>
      <c r="J221" s="464"/>
      <c r="K221" s="464"/>
      <c r="L221" s="381"/>
      <c r="M221" s="381"/>
      <c r="N221" s="381"/>
      <c r="O221" s="381"/>
      <c r="P221" s="381"/>
      <c r="Q221" s="381"/>
      <c r="R221" s="381"/>
      <c r="S221" s="379"/>
      <c r="V221" s="381"/>
      <c r="Y221" s="381"/>
      <c r="Z221" s="464"/>
      <c r="AA221" s="381"/>
      <c r="AB221" s="381"/>
      <c r="AC221" s="381"/>
      <c r="AD221" s="381"/>
      <c r="AE221" s="381"/>
      <c r="AF221" s="381"/>
      <c r="AI221" s="381"/>
      <c r="AJ221" s="381"/>
      <c r="AK221" s="162"/>
      <c r="AL221" s="381"/>
      <c r="AP221" s="378"/>
    </row>
    <row r="222" spans="1:42" x14ac:dyDescent="0.25">
      <c r="R222" s="379"/>
      <c r="AP222" s="378"/>
    </row>
    <row r="223" spans="1:42" x14ac:dyDescent="0.25">
      <c r="F223" s="379"/>
      <c r="H223" s="379"/>
      <c r="I223" s="379"/>
      <c r="J223" s="59"/>
      <c r="K223" s="59"/>
      <c r="L223" s="379"/>
      <c r="M223" s="379"/>
      <c r="N223" s="379"/>
      <c r="O223" s="379"/>
      <c r="P223" s="379"/>
      <c r="Q223" s="379"/>
      <c r="R223" s="379"/>
      <c r="V223" s="379"/>
      <c r="Y223" s="379"/>
      <c r="Z223" s="59"/>
      <c r="AA223" s="379"/>
      <c r="AB223" s="379"/>
      <c r="AC223" s="379"/>
      <c r="AD223" s="379"/>
      <c r="AP223" s="378"/>
    </row>
    <row r="224" spans="1:42" x14ac:dyDescent="0.25">
      <c r="C224" s="54"/>
      <c r="F224" s="379"/>
      <c r="H224" s="379"/>
      <c r="I224" s="379"/>
      <c r="J224" s="59"/>
      <c r="K224" s="59"/>
      <c r="L224" s="379"/>
      <c r="M224" s="379"/>
      <c r="N224" s="379"/>
      <c r="O224" s="379"/>
      <c r="P224" s="379"/>
      <c r="Q224" s="379"/>
      <c r="R224" s="379"/>
      <c r="T224" s="54"/>
      <c r="V224" s="379"/>
      <c r="Y224" s="379"/>
      <c r="Z224" s="59"/>
      <c r="AA224" s="379"/>
      <c r="AB224" s="379"/>
      <c r="AC224" s="379"/>
      <c r="AD224" s="379"/>
      <c r="AP224" s="378"/>
    </row>
    <row r="225" spans="1:42" x14ac:dyDescent="0.25">
      <c r="C225" s="54"/>
      <c r="T225" s="54"/>
      <c r="AP225" s="378"/>
    </row>
    <row r="226" spans="1:42" x14ac:dyDescent="0.25">
      <c r="A226" s="54"/>
      <c r="AP226" s="378"/>
    </row>
    <row r="227" spans="1:42" x14ac:dyDescent="0.25">
      <c r="AP227" s="378"/>
    </row>
    <row r="228" spans="1:42" x14ac:dyDescent="0.25">
      <c r="J228" s="53"/>
      <c r="K228" s="53"/>
      <c r="Z228" s="53"/>
      <c r="AP228" s="378"/>
    </row>
    <row r="229" spans="1:42" x14ac:dyDescent="0.25">
      <c r="H229" s="54"/>
      <c r="I229" s="54"/>
      <c r="Y229" s="54"/>
    </row>
    <row r="230" spans="1:42" x14ac:dyDescent="0.25">
      <c r="J230" s="53"/>
      <c r="K230" s="53"/>
      <c r="Z230" s="53"/>
    </row>
    <row r="231" spans="1:42" x14ac:dyDescent="0.25">
      <c r="L231" s="54"/>
      <c r="M231" s="54"/>
      <c r="AA231" s="54"/>
      <c r="AB231" s="54"/>
    </row>
    <row r="232" spans="1:42" x14ac:dyDescent="0.25">
      <c r="A232" s="53"/>
      <c r="R232" s="54"/>
      <c r="AK232" s="161"/>
      <c r="AL232" s="54"/>
    </row>
    <row r="233" spans="1:42" x14ac:dyDescent="0.25">
      <c r="A233" s="53"/>
      <c r="R233" s="54"/>
      <c r="AK233" s="161"/>
      <c r="AL233" s="54"/>
    </row>
    <row r="234" spans="1:42" x14ac:dyDescent="0.25">
      <c r="A234" s="54"/>
      <c r="R234" s="54"/>
      <c r="AK234" s="161"/>
      <c r="AL234" s="54"/>
    </row>
    <row r="235" spans="1:42" x14ac:dyDescent="0.25">
      <c r="L235" s="54"/>
      <c r="M235" s="54"/>
      <c r="R235" s="53"/>
      <c r="AA235" s="54"/>
      <c r="AB235" s="54"/>
      <c r="AK235" s="156"/>
      <c r="AL235" s="53"/>
    </row>
    <row r="236" spans="1:42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154"/>
      <c r="AH236" s="55"/>
      <c r="AI236" s="55"/>
      <c r="AJ236" s="55"/>
      <c r="AK236" s="154"/>
      <c r="AL236" s="55"/>
      <c r="AM236" s="55"/>
      <c r="AN236" s="55"/>
    </row>
    <row r="237" spans="1:42" x14ac:dyDescent="0.25">
      <c r="L237" s="56"/>
      <c r="M237" s="56"/>
      <c r="N237" s="56"/>
      <c r="O237" s="56"/>
      <c r="R237" s="56"/>
      <c r="AA237" s="56"/>
      <c r="AB237" s="56"/>
      <c r="AC237" s="56"/>
      <c r="AD237" s="56"/>
      <c r="AE237" s="56"/>
      <c r="AF237" s="56"/>
      <c r="AG237" s="155"/>
      <c r="AH237" s="56"/>
      <c r="AK237" s="155"/>
      <c r="AL237" s="56"/>
      <c r="AM237" s="56"/>
      <c r="AN237" s="56"/>
    </row>
    <row r="238" spans="1:42" x14ac:dyDescent="0.25">
      <c r="L238" s="56"/>
      <c r="M238" s="56"/>
      <c r="N238" s="56"/>
      <c r="O238" s="56"/>
      <c r="R238" s="56"/>
      <c r="Z238" s="56"/>
      <c r="AA238" s="56"/>
      <c r="AB238" s="56"/>
      <c r="AC238" s="56"/>
      <c r="AD238" s="56"/>
      <c r="AE238" s="56"/>
      <c r="AF238" s="56"/>
      <c r="AG238" s="155"/>
      <c r="AH238" s="56"/>
      <c r="AK238" s="155"/>
      <c r="AL238" s="56"/>
      <c r="AM238" s="56"/>
      <c r="AN238" s="56"/>
    </row>
    <row r="239" spans="1:42" x14ac:dyDescent="0.25">
      <c r="A239" s="56"/>
      <c r="C239" s="56"/>
      <c r="D239" s="56"/>
      <c r="E239" s="56"/>
      <c r="F239" s="56"/>
      <c r="J239" s="56"/>
      <c r="K239" s="56"/>
      <c r="L239" s="56"/>
      <c r="M239" s="56"/>
      <c r="N239" s="56"/>
      <c r="O239" s="56"/>
      <c r="P239" s="56"/>
      <c r="Q239" s="56"/>
      <c r="R239" s="56"/>
      <c r="T239" s="56"/>
      <c r="U239" s="56"/>
      <c r="V239" s="56"/>
      <c r="Z239" s="56"/>
      <c r="AA239" s="56"/>
      <c r="AB239" s="56"/>
      <c r="AC239" s="56"/>
      <c r="AD239" s="56"/>
      <c r="AE239" s="56"/>
      <c r="AF239" s="56"/>
      <c r="AG239" s="155"/>
      <c r="AH239" s="56"/>
      <c r="AI239" s="56"/>
      <c r="AJ239" s="56"/>
      <c r="AK239" s="155"/>
      <c r="AL239" s="56"/>
      <c r="AM239" s="56"/>
      <c r="AN239" s="56"/>
    </row>
    <row r="240" spans="1:42" x14ac:dyDescent="0.25">
      <c r="A240" s="56"/>
      <c r="C240" s="56"/>
      <c r="D240" s="56"/>
      <c r="E240" s="56"/>
      <c r="F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T240" s="56"/>
      <c r="U240" s="56"/>
      <c r="V240" s="56"/>
      <c r="Y240" s="56"/>
      <c r="Z240" s="56"/>
      <c r="AA240" s="56"/>
      <c r="AB240" s="56"/>
      <c r="AC240" s="56"/>
      <c r="AD240" s="56"/>
      <c r="AE240" s="56"/>
      <c r="AF240" s="56"/>
      <c r="AG240" s="155"/>
      <c r="AH240" s="56"/>
      <c r="AI240" s="56"/>
      <c r="AJ240" s="56"/>
      <c r="AK240" s="155"/>
      <c r="AL240" s="56"/>
      <c r="AM240" s="56"/>
      <c r="AN240" s="56"/>
    </row>
    <row r="241" spans="1:40" x14ac:dyDescent="0.25">
      <c r="C241" s="56"/>
      <c r="D241" s="56"/>
      <c r="E241" s="56"/>
      <c r="F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T241" s="56"/>
      <c r="U241" s="56"/>
      <c r="V241" s="56"/>
      <c r="Y241" s="56"/>
      <c r="Z241" s="56"/>
      <c r="AA241" s="56"/>
      <c r="AB241" s="56"/>
      <c r="AC241" s="56"/>
      <c r="AD241" s="56"/>
      <c r="AE241" s="56"/>
      <c r="AF241" s="56"/>
      <c r="AG241" s="155"/>
      <c r="AH241" s="56"/>
      <c r="AI241" s="56"/>
      <c r="AJ241" s="56"/>
      <c r="AK241" s="155"/>
      <c r="AL241" s="56"/>
      <c r="AM241" s="56"/>
      <c r="AN241" s="56"/>
    </row>
    <row r="242" spans="1:40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154"/>
      <c r="AH242" s="55"/>
      <c r="AI242" s="55"/>
      <c r="AJ242" s="55"/>
      <c r="AK242" s="154"/>
      <c r="AL242" s="55"/>
      <c r="AM242" s="55"/>
      <c r="AN242" s="55"/>
    </row>
    <row r="243" spans="1:40" x14ac:dyDescent="0.25"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Y243" s="56"/>
      <c r="Z243" s="56"/>
      <c r="AA243" s="56"/>
      <c r="AB243" s="56"/>
      <c r="AC243" s="56"/>
      <c r="AD243" s="56"/>
      <c r="AE243" s="56"/>
      <c r="AF243" s="56"/>
      <c r="AG243" s="155"/>
      <c r="AH243" s="56"/>
      <c r="AI243" s="56"/>
      <c r="AJ243" s="56"/>
      <c r="AK243" s="155"/>
      <c r="AL243" s="56"/>
      <c r="AM243" s="56"/>
      <c r="AN243" s="56"/>
    </row>
    <row r="244" spans="1:40" x14ac:dyDescent="0.25">
      <c r="A244" s="53"/>
      <c r="C244" s="54"/>
      <c r="D244" s="54"/>
      <c r="E244" s="54"/>
      <c r="T244" s="54"/>
      <c r="U244" s="54"/>
    </row>
    <row r="245" spans="1:40" x14ac:dyDescent="0.25">
      <c r="A245" s="53"/>
      <c r="D245" s="54"/>
      <c r="E245" s="54"/>
      <c r="U245" s="54"/>
    </row>
    <row r="247" spans="1:40" x14ac:dyDescent="0.25">
      <c r="A247" s="53"/>
      <c r="C247" s="54"/>
      <c r="F247" s="379"/>
      <c r="J247" s="62"/>
      <c r="K247" s="62"/>
      <c r="L247" s="379"/>
      <c r="M247" s="379"/>
      <c r="R247" s="379"/>
      <c r="T247" s="54"/>
      <c r="V247" s="379"/>
      <c r="Z247" s="62"/>
      <c r="AA247" s="379"/>
      <c r="AB247" s="379"/>
      <c r="AK247" s="156"/>
      <c r="AL247" s="379"/>
    </row>
    <row r="248" spans="1:40" x14ac:dyDescent="0.25">
      <c r="F248" s="379"/>
      <c r="R248" s="379"/>
      <c r="V248" s="379"/>
      <c r="AK248" s="156"/>
      <c r="AL248" s="379"/>
    </row>
    <row r="249" spans="1:40" x14ac:dyDescent="0.25">
      <c r="A249" s="53"/>
      <c r="C249" s="54"/>
      <c r="F249" s="449"/>
      <c r="H249" s="449"/>
      <c r="I249" s="449"/>
      <c r="J249" s="461"/>
      <c r="K249" s="461"/>
      <c r="L249" s="379"/>
      <c r="M249" s="379"/>
      <c r="N249" s="50"/>
      <c r="O249" s="50"/>
      <c r="P249" s="379"/>
      <c r="Q249" s="379"/>
      <c r="R249" s="379"/>
      <c r="T249" s="54"/>
      <c r="V249" s="379"/>
      <c r="Y249" s="379"/>
      <c r="Z249" s="461"/>
      <c r="AA249" s="379"/>
      <c r="AB249" s="379"/>
      <c r="AC249" s="50"/>
      <c r="AD249" s="50"/>
      <c r="AE249" s="379"/>
      <c r="AF249" s="379"/>
      <c r="AG249" s="156"/>
      <c r="AH249" s="60"/>
      <c r="AI249" s="379"/>
      <c r="AJ249" s="379"/>
      <c r="AK249" s="156"/>
      <c r="AL249" s="379"/>
      <c r="AM249" s="50"/>
      <c r="AN249" s="50"/>
    </row>
    <row r="250" spans="1:40" x14ac:dyDescent="0.25">
      <c r="A250" s="53"/>
      <c r="C250" s="54"/>
      <c r="F250" s="449"/>
      <c r="H250" s="470"/>
      <c r="I250" s="470"/>
      <c r="J250" s="461"/>
      <c r="K250" s="461"/>
      <c r="L250" s="379"/>
      <c r="M250" s="379"/>
      <c r="N250" s="50"/>
      <c r="O250" s="50"/>
      <c r="P250" s="379"/>
      <c r="Q250" s="379"/>
      <c r="R250" s="379"/>
      <c r="T250" s="54"/>
      <c r="V250" s="379"/>
      <c r="Y250" s="379"/>
      <c r="Z250" s="461"/>
      <c r="AA250" s="379"/>
      <c r="AB250" s="379"/>
      <c r="AC250" s="50"/>
      <c r="AD250" s="50"/>
      <c r="AE250" s="379"/>
      <c r="AF250" s="379"/>
      <c r="AG250" s="156"/>
      <c r="AH250" s="60"/>
      <c r="AI250" s="379"/>
      <c r="AJ250" s="379"/>
      <c r="AK250" s="156"/>
      <c r="AL250" s="379"/>
      <c r="AM250" s="50"/>
      <c r="AN250" s="50"/>
    </row>
    <row r="251" spans="1:40" x14ac:dyDescent="0.25">
      <c r="F251" s="381"/>
      <c r="H251" s="379"/>
      <c r="I251" s="379"/>
      <c r="J251" s="464"/>
      <c r="K251" s="464"/>
      <c r="L251" s="381"/>
      <c r="M251" s="381"/>
      <c r="N251" s="381"/>
      <c r="O251" s="381"/>
      <c r="P251" s="381"/>
      <c r="Q251" s="381"/>
      <c r="R251" s="381"/>
      <c r="V251" s="381"/>
      <c r="Y251" s="379"/>
      <c r="Z251" s="464"/>
      <c r="AA251" s="381"/>
      <c r="AB251" s="381"/>
      <c r="AC251" s="381"/>
      <c r="AD251" s="381"/>
      <c r="AE251" s="381"/>
      <c r="AF251" s="381"/>
      <c r="AI251" s="381"/>
      <c r="AJ251" s="381"/>
      <c r="AK251" s="162"/>
      <c r="AL251" s="381"/>
    </row>
    <row r="252" spans="1:40" x14ac:dyDescent="0.25">
      <c r="A252" s="53"/>
      <c r="C252" s="54"/>
      <c r="F252" s="379"/>
      <c r="H252" s="379"/>
      <c r="I252" s="379"/>
      <c r="J252" s="59"/>
      <c r="K252" s="59"/>
      <c r="L252" s="379"/>
      <c r="M252" s="379"/>
      <c r="N252" s="50"/>
      <c r="O252" s="50"/>
      <c r="P252" s="379"/>
      <c r="Q252" s="379"/>
      <c r="R252" s="379"/>
      <c r="T252" s="54"/>
      <c r="V252" s="379"/>
      <c r="Y252" s="379"/>
      <c r="Z252" s="59"/>
      <c r="AA252" s="379"/>
      <c r="AB252" s="379"/>
      <c r="AC252" s="50"/>
      <c r="AD252" s="50"/>
      <c r="AE252" s="379"/>
      <c r="AF252" s="379"/>
      <c r="AG252" s="156"/>
      <c r="AH252" s="60"/>
      <c r="AI252" s="379"/>
      <c r="AJ252" s="379"/>
      <c r="AK252" s="156"/>
      <c r="AL252" s="379"/>
      <c r="AM252" s="50"/>
      <c r="AN252" s="50"/>
    </row>
    <row r="253" spans="1:40" x14ac:dyDescent="0.25">
      <c r="F253" s="381"/>
      <c r="H253" s="379"/>
      <c r="I253" s="379"/>
      <c r="J253" s="464"/>
      <c r="K253" s="464"/>
      <c r="L253" s="381"/>
      <c r="M253" s="381"/>
      <c r="N253" s="381"/>
      <c r="O253" s="381"/>
      <c r="P253" s="381"/>
      <c r="Q253" s="381"/>
      <c r="R253" s="381"/>
      <c r="V253" s="381"/>
      <c r="Y253" s="379"/>
      <c r="Z253" s="464"/>
      <c r="AA253" s="381"/>
      <c r="AB253" s="381"/>
      <c r="AC253" s="381"/>
      <c r="AD253" s="381"/>
      <c r="AE253" s="381"/>
      <c r="AF253" s="381"/>
      <c r="AI253" s="381"/>
      <c r="AJ253" s="381"/>
      <c r="AK253" s="162"/>
      <c r="AL253" s="381"/>
    </row>
    <row r="254" spans="1:40" x14ac:dyDescent="0.25">
      <c r="F254" s="379"/>
      <c r="R254" s="379"/>
      <c r="V254" s="379"/>
      <c r="AK254" s="156"/>
      <c r="AL254" s="379"/>
    </row>
    <row r="255" spans="1:40" x14ac:dyDescent="0.25">
      <c r="A255" s="53"/>
      <c r="C255" s="54"/>
      <c r="F255" s="379"/>
      <c r="R255" s="379"/>
      <c r="T255" s="54"/>
      <c r="V255" s="379"/>
      <c r="AK255" s="156"/>
      <c r="AL255" s="379"/>
    </row>
    <row r="256" spans="1:40" x14ac:dyDescent="0.25">
      <c r="F256" s="379"/>
      <c r="R256" s="379"/>
      <c r="V256" s="379"/>
      <c r="AK256" s="156"/>
      <c r="AL256" s="379"/>
    </row>
    <row r="257" spans="1:40" x14ac:dyDescent="0.25">
      <c r="A257" s="53"/>
      <c r="C257" s="54"/>
      <c r="F257" s="379"/>
      <c r="H257" s="449"/>
      <c r="I257" s="449"/>
      <c r="J257" s="472"/>
      <c r="K257" s="472"/>
      <c r="L257" s="379"/>
      <c r="M257" s="379"/>
      <c r="N257" s="50"/>
      <c r="O257" s="50"/>
      <c r="P257" s="449"/>
      <c r="Q257" s="449"/>
      <c r="R257" s="379"/>
      <c r="T257" s="54"/>
      <c r="V257" s="379"/>
      <c r="Y257" s="379"/>
      <c r="Z257" s="463"/>
      <c r="AA257" s="379"/>
      <c r="AB257" s="379"/>
      <c r="AC257" s="50"/>
      <c r="AD257" s="50"/>
      <c r="AE257" s="379"/>
      <c r="AF257" s="379"/>
      <c r="AG257" s="156"/>
      <c r="AH257" s="60"/>
      <c r="AI257" s="449"/>
      <c r="AJ257" s="449"/>
      <c r="AK257" s="156"/>
      <c r="AL257" s="379"/>
      <c r="AM257" s="50"/>
      <c r="AN257" s="50"/>
    </row>
    <row r="258" spans="1:40" x14ac:dyDescent="0.25">
      <c r="F258" s="381"/>
      <c r="H258" s="381"/>
      <c r="I258" s="381"/>
      <c r="J258" s="464"/>
      <c r="K258" s="464"/>
      <c r="L258" s="381"/>
      <c r="M258" s="381"/>
      <c r="N258" s="381"/>
      <c r="O258" s="381"/>
      <c r="P258" s="381"/>
      <c r="Q258" s="381"/>
      <c r="R258" s="381"/>
      <c r="V258" s="381"/>
      <c r="Y258" s="381"/>
      <c r="Z258" s="464"/>
      <c r="AA258" s="381"/>
      <c r="AB258" s="381"/>
      <c r="AC258" s="381"/>
      <c r="AD258" s="381"/>
      <c r="AE258" s="381"/>
      <c r="AF258" s="381"/>
      <c r="AI258" s="381"/>
      <c r="AJ258" s="381"/>
      <c r="AK258" s="162"/>
      <c r="AL258" s="381"/>
    </row>
    <row r="260" spans="1:40" x14ac:dyDescent="0.25">
      <c r="A260" s="53"/>
      <c r="C260" s="54"/>
      <c r="F260" s="379"/>
      <c r="H260" s="379"/>
      <c r="I260" s="379"/>
      <c r="J260" s="62"/>
      <c r="K260" s="62"/>
      <c r="L260" s="379"/>
      <c r="M260" s="379"/>
      <c r="N260" s="50"/>
      <c r="O260" s="50"/>
      <c r="P260" s="379"/>
      <c r="Q260" s="379"/>
      <c r="R260" s="379"/>
      <c r="T260" s="54"/>
      <c r="V260" s="379"/>
      <c r="Y260" s="379"/>
      <c r="Z260" s="62"/>
      <c r="AA260" s="379"/>
      <c r="AB260" s="379"/>
      <c r="AC260" s="50"/>
      <c r="AD260" s="50"/>
      <c r="AE260" s="379"/>
      <c r="AF260" s="379"/>
      <c r="AG260" s="156"/>
      <c r="AH260" s="60"/>
      <c r="AI260" s="379"/>
      <c r="AJ260" s="379"/>
      <c r="AK260" s="156"/>
      <c r="AL260" s="379"/>
      <c r="AM260" s="50"/>
      <c r="AN260" s="50"/>
    </row>
    <row r="261" spans="1:40" x14ac:dyDescent="0.25">
      <c r="F261" s="381"/>
      <c r="H261" s="381"/>
      <c r="I261" s="381"/>
      <c r="J261" s="464"/>
      <c r="K261" s="464"/>
      <c r="L261" s="381"/>
      <c r="M261" s="381"/>
      <c r="N261" s="381"/>
      <c r="O261" s="381"/>
      <c r="P261" s="381"/>
      <c r="Q261" s="381"/>
      <c r="R261" s="381"/>
      <c r="V261" s="381"/>
      <c r="Y261" s="381"/>
      <c r="Z261" s="464"/>
      <c r="AA261" s="381"/>
      <c r="AB261" s="381"/>
      <c r="AC261" s="381"/>
      <c r="AD261" s="381"/>
      <c r="AE261" s="381"/>
      <c r="AF261" s="381"/>
      <c r="AI261" s="381"/>
      <c r="AJ261" s="381"/>
      <c r="AK261" s="162"/>
      <c r="AL261" s="381"/>
    </row>
    <row r="262" spans="1:40" x14ac:dyDescent="0.25">
      <c r="R262" s="379"/>
      <c r="AG262" s="156"/>
      <c r="AH262" s="379"/>
    </row>
    <row r="263" spans="1:40" x14ac:dyDescent="0.25">
      <c r="F263" s="379"/>
      <c r="H263" s="379"/>
      <c r="I263" s="379"/>
      <c r="J263" s="59"/>
      <c r="K263" s="59"/>
      <c r="L263" s="379"/>
      <c r="M263" s="379"/>
      <c r="N263" s="379"/>
      <c r="O263" s="379"/>
      <c r="P263" s="379"/>
      <c r="Q263" s="379"/>
      <c r="R263" s="379"/>
      <c r="V263" s="379"/>
      <c r="Y263" s="379"/>
      <c r="Z263" s="59"/>
      <c r="AA263" s="379"/>
      <c r="AB263" s="379"/>
      <c r="AC263" s="379"/>
      <c r="AD263" s="379"/>
      <c r="AE263" s="379"/>
      <c r="AF263" s="379"/>
      <c r="AG263" s="156"/>
      <c r="AH263" s="379"/>
    </row>
    <row r="264" spans="1:40" x14ac:dyDescent="0.25">
      <c r="C264" s="54"/>
      <c r="F264" s="379"/>
      <c r="H264" s="379"/>
      <c r="I264" s="379"/>
      <c r="J264" s="59"/>
      <c r="K264" s="59"/>
      <c r="L264" s="379"/>
      <c r="M264" s="379"/>
      <c r="N264" s="379"/>
      <c r="O264" s="379"/>
      <c r="P264" s="379"/>
      <c r="Q264" s="379"/>
      <c r="R264" s="379"/>
      <c r="T264" s="54"/>
      <c r="V264" s="379"/>
      <c r="Y264" s="379"/>
      <c r="Z264" s="59"/>
      <c r="AA264" s="379"/>
      <c r="AB264" s="379"/>
      <c r="AC264" s="379"/>
      <c r="AD264" s="379"/>
      <c r="AE264" s="379"/>
      <c r="AF264" s="379"/>
      <c r="AG264" s="156"/>
      <c r="AH264" s="379"/>
    </row>
    <row r="265" spans="1:40" x14ac:dyDescent="0.25">
      <c r="A265" s="54"/>
    </row>
    <row r="267" spans="1:40" x14ac:dyDescent="0.25">
      <c r="J267" s="53"/>
      <c r="K267" s="53"/>
      <c r="Z267" s="53"/>
    </row>
    <row r="268" spans="1:40" x14ac:dyDescent="0.25">
      <c r="H268" s="54"/>
      <c r="I268" s="54"/>
      <c r="Y268" s="54"/>
    </row>
    <row r="269" spans="1:40" x14ac:dyDescent="0.25">
      <c r="J269" s="53"/>
      <c r="K269" s="53"/>
      <c r="Z269" s="53"/>
    </row>
    <row r="270" spans="1:40" x14ac:dyDescent="0.25">
      <c r="L270" s="54"/>
      <c r="M270" s="54"/>
      <c r="AA270" s="54"/>
      <c r="AB270" s="54"/>
    </row>
    <row r="271" spans="1:40" x14ac:dyDescent="0.25">
      <c r="A271" s="53"/>
      <c r="R271" s="54"/>
      <c r="AK271" s="161"/>
      <c r="AL271" s="54"/>
    </row>
    <row r="272" spans="1:40" x14ac:dyDescent="0.25">
      <c r="A272" s="53"/>
      <c r="R272" s="54"/>
      <c r="AK272" s="161"/>
      <c r="AL272" s="54"/>
    </row>
    <row r="273" spans="1:40" x14ac:dyDescent="0.25">
      <c r="A273" s="54"/>
      <c r="R273" s="54"/>
      <c r="AK273" s="161"/>
      <c r="AL273" s="54"/>
    </row>
    <row r="274" spans="1:40" x14ac:dyDescent="0.25">
      <c r="L274" s="54"/>
      <c r="M274" s="54"/>
      <c r="R274" s="53"/>
      <c r="AA274" s="54"/>
      <c r="AB274" s="54"/>
      <c r="AK274" s="156"/>
      <c r="AL274" s="53"/>
    </row>
    <row r="275" spans="1:40" x14ac:dyDescent="0.25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154"/>
      <c r="AH275" s="55"/>
      <c r="AI275" s="55"/>
      <c r="AJ275" s="55"/>
      <c r="AK275" s="154"/>
      <c r="AL275" s="55"/>
      <c r="AM275" s="55"/>
      <c r="AN275" s="55"/>
    </row>
    <row r="276" spans="1:40" x14ac:dyDescent="0.25">
      <c r="L276" s="56"/>
      <c r="M276" s="56"/>
      <c r="N276" s="56"/>
      <c r="O276" s="56"/>
      <c r="R276" s="56"/>
      <c r="AA276" s="56"/>
      <c r="AB276" s="56"/>
      <c r="AC276" s="56"/>
      <c r="AD276" s="56"/>
      <c r="AE276" s="56"/>
      <c r="AF276" s="56"/>
      <c r="AG276" s="155"/>
      <c r="AH276" s="56"/>
      <c r="AK276" s="155"/>
      <c r="AL276" s="56"/>
      <c r="AM276" s="56"/>
      <c r="AN276" s="56"/>
    </row>
    <row r="277" spans="1:40" x14ac:dyDescent="0.25">
      <c r="L277" s="56"/>
      <c r="M277" s="56"/>
      <c r="N277" s="56"/>
      <c r="O277" s="56"/>
      <c r="R277" s="56"/>
      <c r="Z277" s="56"/>
      <c r="AA277" s="56"/>
      <c r="AB277" s="56"/>
      <c r="AC277" s="56"/>
      <c r="AD277" s="56"/>
      <c r="AE277" s="56"/>
      <c r="AF277" s="56"/>
      <c r="AG277" s="155"/>
      <c r="AH277" s="56"/>
      <c r="AK277" s="155"/>
      <c r="AL277" s="56"/>
      <c r="AM277" s="56"/>
      <c r="AN277" s="56"/>
    </row>
    <row r="278" spans="1:40" x14ac:dyDescent="0.25">
      <c r="A278" s="56"/>
      <c r="C278" s="56"/>
      <c r="D278" s="56"/>
      <c r="E278" s="56"/>
      <c r="F278" s="56"/>
      <c r="J278" s="56"/>
      <c r="K278" s="56"/>
      <c r="L278" s="56"/>
      <c r="M278" s="56"/>
      <c r="N278" s="56"/>
      <c r="O278" s="56"/>
      <c r="P278" s="56"/>
      <c r="Q278" s="56"/>
      <c r="R278" s="56"/>
      <c r="T278" s="56"/>
      <c r="U278" s="56"/>
      <c r="V278" s="56"/>
      <c r="Z278" s="56"/>
      <c r="AA278" s="56"/>
      <c r="AB278" s="56"/>
      <c r="AC278" s="56"/>
      <c r="AD278" s="56"/>
      <c r="AE278" s="56"/>
      <c r="AF278" s="56"/>
      <c r="AG278" s="155"/>
      <c r="AH278" s="56"/>
      <c r="AI278" s="56"/>
      <c r="AJ278" s="56"/>
      <c r="AK278" s="155"/>
      <c r="AL278" s="56"/>
      <c r="AM278" s="56"/>
      <c r="AN278" s="56"/>
    </row>
    <row r="279" spans="1:40" x14ac:dyDescent="0.25">
      <c r="A279" s="56"/>
      <c r="C279" s="56"/>
      <c r="D279" s="56"/>
      <c r="E279" s="56"/>
      <c r="F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T279" s="56"/>
      <c r="U279" s="56"/>
      <c r="V279" s="56"/>
      <c r="Y279" s="56"/>
      <c r="Z279" s="56"/>
      <c r="AA279" s="56"/>
      <c r="AB279" s="56"/>
      <c r="AC279" s="56"/>
      <c r="AD279" s="56"/>
      <c r="AE279" s="56"/>
      <c r="AF279" s="56"/>
      <c r="AG279" s="155"/>
      <c r="AH279" s="56"/>
      <c r="AI279" s="56"/>
      <c r="AJ279" s="56"/>
      <c r="AK279" s="155"/>
      <c r="AL279" s="56"/>
      <c r="AM279" s="56"/>
      <c r="AN279" s="56"/>
    </row>
    <row r="280" spans="1:40" x14ac:dyDescent="0.25">
      <c r="C280" s="56"/>
      <c r="D280" s="56"/>
      <c r="E280" s="56"/>
      <c r="F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T280" s="56"/>
      <c r="U280" s="56"/>
      <c r="V280" s="56"/>
      <c r="Y280" s="56"/>
      <c r="Z280" s="56"/>
      <c r="AA280" s="56"/>
      <c r="AB280" s="56"/>
      <c r="AC280" s="56"/>
      <c r="AD280" s="56"/>
      <c r="AE280" s="56"/>
      <c r="AF280" s="56"/>
      <c r="AG280" s="155"/>
      <c r="AH280" s="56"/>
      <c r="AI280" s="56"/>
      <c r="AJ280" s="56"/>
      <c r="AK280" s="155"/>
      <c r="AL280" s="56"/>
      <c r="AM280" s="56"/>
      <c r="AN280" s="56"/>
    </row>
    <row r="281" spans="1:40" x14ac:dyDescent="0.25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154"/>
      <c r="AH281" s="55"/>
      <c r="AI281" s="55"/>
      <c r="AJ281" s="55"/>
      <c r="AK281" s="154"/>
      <c r="AL281" s="55"/>
      <c r="AM281" s="55"/>
      <c r="AN281" s="55"/>
    </row>
    <row r="282" spans="1:40" x14ac:dyDescent="0.25"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Y282" s="56"/>
      <c r="Z282" s="56"/>
      <c r="AA282" s="56"/>
      <c r="AB282" s="56"/>
      <c r="AC282" s="56"/>
      <c r="AD282" s="56"/>
      <c r="AE282" s="56"/>
      <c r="AF282" s="56"/>
      <c r="AG282" s="155"/>
      <c r="AH282" s="56"/>
      <c r="AI282" s="56"/>
      <c r="AJ282" s="56"/>
      <c r="AK282" s="155"/>
      <c r="AL282" s="56"/>
      <c r="AM282" s="56"/>
      <c r="AN282" s="56"/>
    </row>
    <row r="283" spans="1:40" x14ac:dyDescent="0.25">
      <c r="A283" s="53"/>
      <c r="C283" s="54"/>
      <c r="D283" s="54"/>
      <c r="E283" s="54"/>
      <c r="T283" s="54"/>
      <c r="U283" s="54"/>
    </row>
    <row r="284" spans="1:40" x14ac:dyDescent="0.25">
      <c r="A284" s="53"/>
      <c r="C284" s="54"/>
      <c r="T284" s="54"/>
    </row>
    <row r="286" spans="1:40" x14ac:dyDescent="0.25">
      <c r="A286" s="53"/>
      <c r="C286" s="54"/>
      <c r="F286" s="449"/>
      <c r="H286" s="449"/>
      <c r="I286" s="449"/>
      <c r="J286" s="461"/>
      <c r="K286" s="461"/>
      <c r="L286" s="379"/>
      <c r="M286" s="379"/>
      <c r="N286" s="50"/>
      <c r="O286" s="50"/>
      <c r="P286" s="53"/>
      <c r="Q286" s="53"/>
      <c r="R286" s="379"/>
      <c r="T286" s="54"/>
      <c r="V286" s="379"/>
      <c r="Y286" s="449"/>
      <c r="Z286" s="461"/>
      <c r="AA286" s="379"/>
      <c r="AB286" s="379"/>
      <c r="AC286" s="50"/>
      <c r="AD286" s="50"/>
      <c r="AE286" s="379"/>
      <c r="AF286" s="379"/>
      <c r="AG286" s="156"/>
      <c r="AH286" s="60"/>
      <c r="AI286" s="53"/>
      <c r="AJ286" s="53"/>
      <c r="AK286" s="156"/>
      <c r="AL286" s="379"/>
      <c r="AM286" s="50"/>
      <c r="AN286" s="50"/>
    </row>
    <row r="287" spans="1:40" x14ac:dyDescent="0.25">
      <c r="F287" s="381"/>
      <c r="H287" s="379"/>
      <c r="I287" s="379"/>
      <c r="J287" s="464"/>
      <c r="K287" s="464"/>
      <c r="L287" s="381"/>
      <c r="M287" s="381"/>
      <c r="N287" s="381"/>
      <c r="O287" s="381"/>
      <c r="P287" s="381"/>
      <c r="Q287" s="381"/>
      <c r="R287" s="381"/>
      <c r="V287" s="381"/>
      <c r="Y287" s="379"/>
      <c r="Z287" s="464"/>
      <c r="AA287" s="381"/>
      <c r="AB287" s="381"/>
      <c r="AC287" s="381"/>
      <c r="AD287" s="381"/>
      <c r="AE287" s="381"/>
      <c r="AF287" s="381"/>
      <c r="AI287" s="381"/>
      <c r="AJ287" s="381"/>
      <c r="AK287" s="162"/>
      <c r="AL287" s="381"/>
      <c r="AM287" s="50"/>
      <c r="AN287" s="50"/>
    </row>
    <row r="288" spans="1:40" x14ac:dyDescent="0.25">
      <c r="A288" s="53"/>
      <c r="C288" s="54"/>
      <c r="F288" s="449"/>
      <c r="H288" s="449"/>
      <c r="I288" s="449"/>
      <c r="J288" s="477"/>
      <c r="K288" s="477"/>
      <c r="L288" s="379"/>
      <c r="M288" s="379"/>
      <c r="N288" s="50"/>
      <c r="O288" s="50"/>
      <c r="P288" s="379"/>
      <c r="Q288" s="379"/>
      <c r="R288" s="379"/>
      <c r="S288" s="379"/>
      <c r="T288" s="54"/>
      <c r="V288" s="449"/>
      <c r="Y288" s="449"/>
      <c r="Z288" s="477"/>
      <c r="AA288" s="379"/>
      <c r="AB288" s="379"/>
      <c r="AC288" s="50"/>
      <c r="AD288" s="50"/>
      <c r="AE288" s="379"/>
      <c r="AF288" s="379"/>
      <c r="AG288" s="156"/>
      <c r="AH288" s="50"/>
      <c r="AI288" s="379"/>
      <c r="AJ288" s="379"/>
      <c r="AK288" s="156"/>
      <c r="AL288" s="379"/>
      <c r="AM288" s="50"/>
      <c r="AN288" s="50"/>
    </row>
    <row r="289" spans="1:40" x14ac:dyDescent="0.25">
      <c r="A289" s="53"/>
      <c r="C289" s="54"/>
      <c r="F289" s="449"/>
      <c r="H289" s="449"/>
      <c r="I289" s="449"/>
      <c r="J289" s="461"/>
      <c r="K289" s="461"/>
      <c r="L289" s="379"/>
      <c r="M289" s="379"/>
      <c r="N289" s="50"/>
      <c r="O289" s="50"/>
      <c r="P289" s="379"/>
      <c r="Q289" s="379"/>
      <c r="R289" s="379"/>
      <c r="T289" s="54"/>
      <c r="V289" s="449"/>
      <c r="Y289" s="379"/>
      <c r="Z289" s="461"/>
      <c r="AA289" s="379"/>
      <c r="AB289" s="379"/>
      <c r="AC289" s="50"/>
      <c r="AD289" s="50"/>
      <c r="AE289" s="379"/>
      <c r="AF289" s="379"/>
      <c r="AG289" s="156"/>
      <c r="AH289" s="60"/>
      <c r="AI289" s="379"/>
      <c r="AJ289" s="379"/>
      <c r="AK289" s="156"/>
      <c r="AL289" s="379"/>
      <c r="AM289" s="50"/>
      <c r="AN289" s="50"/>
    </row>
    <row r="290" spans="1:40" x14ac:dyDescent="0.25">
      <c r="A290" s="53"/>
      <c r="C290" s="54"/>
      <c r="F290" s="449"/>
      <c r="H290" s="449"/>
      <c r="I290" s="449"/>
      <c r="J290" s="461"/>
      <c r="K290" s="461"/>
      <c r="L290" s="379"/>
      <c r="M290" s="379"/>
      <c r="N290" s="50"/>
      <c r="O290" s="50"/>
      <c r="P290" s="379"/>
      <c r="Q290" s="379"/>
      <c r="R290" s="379"/>
      <c r="T290" s="54"/>
      <c r="V290" s="449"/>
      <c r="Y290" s="379"/>
      <c r="Z290" s="461"/>
      <c r="AA290" s="379"/>
      <c r="AB290" s="379"/>
      <c r="AC290" s="50"/>
      <c r="AD290" s="50"/>
      <c r="AE290" s="379"/>
      <c r="AF290" s="379"/>
      <c r="AG290" s="156"/>
      <c r="AH290" s="60"/>
      <c r="AI290" s="379"/>
      <c r="AJ290" s="379"/>
      <c r="AK290" s="156"/>
      <c r="AL290" s="379"/>
      <c r="AM290" s="50"/>
      <c r="AN290" s="50"/>
    </row>
    <row r="291" spans="1:40" x14ac:dyDescent="0.25">
      <c r="F291" s="381"/>
      <c r="H291" s="381"/>
      <c r="I291" s="381"/>
      <c r="J291" s="464"/>
      <c r="K291" s="464"/>
      <c r="L291" s="381"/>
      <c r="M291" s="381"/>
      <c r="N291" s="381"/>
      <c r="O291" s="381"/>
      <c r="P291" s="381"/>
      <c r="Q291" s="381"/>
      <c r="R291" s="381"/>
      <c r="V291" s="381"/>
      <c r="Y291" s="381"/>
      <c r="Z291" s="464"/>
      <c r="AA291" s="381"/>
      <c r="AB291" s="381"/>
      <c r="AC291" s="381"/>
      <c r="AD291" s="381"/>
      <c r="AE291" s="381"/>
      <c r="AF291" s="381"/>
      <c r="AI291" s="381"/>
      <c r="AJ291" s="381"/>
      <c r="AK291" s="162"/>
      <c r="AL291" s="381"/>
      <c r="AM291" s="50"/>
      <c r="AN291" s="50"/>
    </row>
    <row r="292" spans="1:40" x14ac:dyDescent="0.25">
      <c r="A292" s="53"/>
      <c r="C292" s="54"/>
      <c r="F292" s="379"/>
      <c r="H292" s="379"/>
      <c r="I292" s="379"/>
      <c r="J292" s="59"/>
      <c r="K292" s="59"/>
      <c r="L292" s="379"/>
      <c r="M292" s="379"/>
      <c r="N292" s="50"/>
      <c r="O292" s="50"/>
      <c r="P292" s="379"/>
      <c r="Q292" s="379"/>
      <c r="R292" s="379"/>
      <c r="T292" s="54"/>
      <c r="V292" s="379"/>
      <c r="Y292" s="379"/>
      <c r="Z292" s="59"/>
      <c r="AA292" s="379"/>
      <c r="AB292" s="379"/>
      <c r="AC292" s="50"/>
      <c r="AD292" s="50"/>
      <c r="AE292" s="379"/>
      <c r="AF292" s="379"/>
      <c r="AG292" s="156"/>
      <c r="AH292" s="60"/>
      <c r="AI292" s="379"/>
      <c r="AJ292" s="379"/>
      <c r="AK292" s="156"/>
      <c r="AL292" s="379"/>
      <c r="AM292" s="50"/>
      <c r="AN292" s="50"/>
    </row>
    <row r="293" spans="1:40" x14ac:dyDescent="0.25">
      <c r="F293" s="381"/>
      <c r="H293" s="381"/>
      <c r="I293" s="381"/>
      <c r="J293" s="464"/>
      <c r="K293" s="464"/>
      <c r="L293" s="381"/>
      <c r="M293" s="381"/>
      <c r="N293" s="381"/>
      <c r="O293" s="381"/>
      <c r="P293" s="381"/>
      <c r="Q293" s="381"/>
      <c r="R293" s="381"/>
      <c r="V293" s="381"/>
      <c r="Y293" s="381"/>
      <c r="Z293" s="464"/>
      <c r="AA293" s="381"/>
      <c r="AB293" s="381"/>
      <c r="AC293" s="381"/>
      <c r="AD293" s="381"/>
      <c r="AE293" s="381"/>
      <c r="AF293" s="381"/>
      <c r="AI293" s="381"/>
      <c r="AJ293" s="381"/>
      <c r="AK293" s="162"/>
      <c r="AL293" s="381"/>
      <c r="AM293" s="50"/>
      <c r="AN293" s="50"/>
    </row>
    <row r="294" spans="1:40" x14ac:dyDescent="0.25">
      <c r="A294" s="53"/>
      <c r="C294" s="54"/>
      <c r="F294" s="379"/>
      <c r="H294" s="379"/>
      <c r="I294" s="379"/>
      <c r="J294" s="59"/>
      <c r="K294" s="59"/>
      <c r="L294" s="379"/>
      <c r="M294" s="379"/>
      <c r="N294" s="50"/>
      <c r="O294" s="50"/>
      <c r="P294" s="379"/>
      <c r="Q294" s="379"/>
      <c r="R294" s="379"/>
      <c r="T294" s="54"/>
      <c r="V294" s="379"/>
      <c r="Y294" s="379"/>
      <c r="Z294" s="59"/>
      <c r="AA294" s="379"/>
      <c r="AB294" s="379"/>
      <c r="AC294" s="50"/>
      <c r="AD294" s="50"/>
      <c r="AE294" s="379"/>
      <c r="AF294" s="379"/>
      <c r="AG294" s="156"/>
      <c r="AH294" s="60"/>
      <c r="AI294" s="379"/>
      <c r="AJ294" s="379"/>
      <c r="AK294" s="156"/>
      <c r="AL294" s="379"/>
      <c r="AM294" s="50"/>
      <c r="AN294" s="50"/>
    </row>
    <row r="295" spans="1:40" x14ac:dyDescent="0.25">
      <c r="A295" s="53"/>
      <c r="C295" s="54"/>
      <c r="F295" s="379"/>
      <c r="H295" s="449"/>
      <c r="I295" s="449"/>
      <c r="J295" s="472"/>
      <c r="K295" s="472"/>
      <c r="L295" s="379"/>
      <c r="M295" s="379"/>
      <c r="N295" s="50"/>
      <c r="O295" s="50"/>
      <c r="P295" s="379"/>
      <c r="Q295" s="379"/>
      <c r="R295" s="379"/>
      <c r="T295" s="54"/>
      <c r="V295" s="379"/>
      <c r="Y295" s="379"/>
      <c r="Z295" s="463"/>
      <c r="AA295" s="379"/>
      <c r="AB295" s="379"/>
      <c r="AC295" s="50"/>
      <c r="AD295" s="50"/>
      <c r="AE295" s="379"/>
      <c r="AF295" s="379"/>
      <c r="AG295" s="156"/>
      <c r="AH295" s="60"/>
      <c r="AI295" s="379"/>
      <c r="AJ295" s="379"/>
      <c r="AK295" s="156"/>
      <c r="AL295" s="379"/>
      <c r="AM295" s="50"/>
      <c r="AN295" s="50"/>
    </row>
    <row r="296" spans="1:40" x14ac:dyDescent="0.25">
      <c r="F296" s="381"/>
      <c r="H296" s="381"/>
      <c r="I296" s="381"/>
      <c r="J296" s="464"/>
      <c r="K296" s="464"/>
      <c r="L296" s="381"/>
      <c r="M296" s="381"/>
      <c r="N296" s="381"/>
      <c r="O296" s="381"/>
      <c r="P296" s="381"/>
      <c r="Q296" s="381"/>
      <c r="R296" s="381"/>
      <c r="V296" s="381"/>
      <c r="Y296" s="381"/>
      <c r="Z296" s="464"/>
      <c r="AA296" s="381"/>
      <c r="AB296" s="381"/>
      <c r="AC296" s="381"/>
      <c r="AD296" s="381"/>
      <c r="AE296" s="381"/>
      <c r="AF296" s="381"/>
      <c r="AI296" s="381"/>
      <c r="AJ296" s="381"/>
      <c r="AK296" s="162"/>
      <c r="AL296" s="381"/>
      <c r="AM296" s="50"/>
      <c r="AN296" s="50"/>
    </row>
    <row r="298" spans="1:40" x14ac:dyDescent="0.25">
      <c r="A298" s="53"/>
      <c r="C298" s="54"/>
      <c r="F298" s="379"/>
      <c r="H298" s="379"/>
      <c r="I298" s="379"/>
      <c r="J298" s="464"/>
      <c r="K298" s="464"/>
      <c r="L298" s="379"/>
      <c r="M298" s="379"/>
      <c r="N298" s="50"/>
      <c r="O298" s="50"/>
      <c r="P298" s="379"/>
      <c r="Q298" s="379"/>
      <c r="R298" s="379"/>
      <c r="S298" s="379"/>
      <c r="T298" s="54"/>
      <c r="V298" s="379"/>
      <c r="Y298" s="379"/>
      <c r="Z298" s="464"/>
      <c r="AA298" s="379"/>
      <c r="AB298" s="379"/>
      <c r="AC298" s="50"/>
      <c r="AD298" s="50"/>
      <c r="AE298" s="379"/>
      <c r="AF298" s="379"/>
      <c r="AG298" s="156"/>
      <c r="AH298" s="50"/>
      <c r="AI298" s="379"/>
      <c r="AJ298" s="379"/>
      <c r="AK298" s="156"/>
      <c r="AL298" s="379"/>
      <c r="AM298" s="50"/>
      <c r="AN298" s="50"/>
    </row>
    <row r="299" spans="1:40" x14ac:dyDescent="0.25">
      <c r="F299" s="381"/>
      <c r="H299" s="381"/>
      <c r="I299" s="381"/>
      <c r="J299" s="464"/>
      <c r="K299" s="464"/>
      <c r="L299" s="381"/>
      <c r="M299" s="381"/>
      <c r="N299" s="381"/>
      <c r="O299" s="381"/>
      <c r="P299" s="381"/>
      <c r="Q299" s="381"/>
      <c r="R299" s="381"/>
      <c r="S299" s="379"/>
      <c r="V299" s="381"/>
      <c r="Y299" s="381"/>
      <c r="Z299" s="464"/>
      <c r="AA299" s="381"/>
      <c r="AB299" s="381"/>
      <c r="AC299" s="381"/>
      <c r="AD299" s="381"/>
      <c r="AE299" s="381"/>
      <c r="AF299" s="381"/>
      <c r="AI299" s="381"/>
      <c r="AJ299" s="381"/>
      <c r="AK299" s="162"/>
      <c r="AL299" s="381"/>
      <c r="AM299" s="50"/>
      <c r="AN299" s="50"/>
    </row>
    <row r="300" spans="1:40" x14ac:dyDescent="0.25">
      <c r="A300" s="53"/>
      <c r="C300" s="54"/>
      <c r="F300" s="449"/>
      <c r="H300" s="449"/>
      <c r="I300" s="449"/>
      <c r="J300" s="464"/>
      <c r="K300" s="464"/>
      <c r="L300" s="379"/>
      <c r="M300" s="379"/>
      <c r="N300" s="50"/>
      <c r="O300" s="50"/>
      <c r="P300" s="379"/>
      <c r="Q300" s="379"/>
      <c r="R300" s="379"/>
      <c r="S300" s="379"/>
      <c r="T300" s="54"/>
      <c r="V300" s="449"/>
      <c r="Y300" s="449"/>
      <c r="Z300" s="464"/>
      <c r="AA300" s="379"/>
      <c r="AB300" s="379"/>
      <c r="AC300" s="50"/>
      <c r="AD300" s="50"/>
      <c r="AE300" s="379"/>
      <c r="AF300" s="379"/>
      <c r="AI300" s="379"/>
      <c r="AJ300" s="379"/>
      <c r="AK300" s="156"/>
      <c r="AL300" s="379"/>
      <c r="AM300" s="50"/>
      <c r="AN300" s="50"/>
    </row>
    <row r="302" spans="1:40" x14ac:dyDescent="0.25">
      <c r="A302" s="53"/>
      <c r="C302" s="54"/>
      <c r="F302" s="449"/>
      <c r="H302" s="449"/>
      <c r="I302" s="449"/>
      <c r="J302" s="461"/>
      <c r="K302" s="461"/>
      <c r="L302" s="379"/>
      <c r="M302" s="379"/>
      <c r="N302" s="50"/>
      <c r="O302" s="50"/>
      <c r="P302" s="53"/>
      <c r="Q302" s="53"/>
      <c r="R302" s="379"/>
      <c r="T302" s="54"/>
      <c r="V302" s="379"/>
      <c r="Y302" s="449"/>
      <c r="Z302" s="461"/>
      <c r="AA302" s="379"/>
      <c r="AB302" s="379"/>
      <c r="AC302" s="50"/>
      <c r="AD302" s="50"/>
      <c r="AE302" s="379"/>
      <c r="AF302" s="379"/>
      <c r="AG302" s="156"/>
      <c r="AH302" s="60"/>
      <c r="AI302" s="53"/>
      <c r="AJ302" s="53"/>
      <c r="AK302" s="156"/>
      <c r="AL302" s="379"/>
      <c r="AM302" s="50"/>
      <c r="AN302" s="50"/>
    </row>
    <row r="303" spans="1:40" x14ac:dyDescent="0.25">
      <c r="F303" s="381"/>
      <c r="H303" s="379"/>
      <c r="I303" s="379"/>
      <c r="J303" s="464"/>
      <c r="K303" s="464"/>
      <c r="L303" s="381"/>
      <c r="M303" s="381"/>
      <c r="N303" s="381"/>
      <c r="O303" s="381"/>
      <c r="P303" s="381"/>
      <c r="Q303" s="381"/>
      <c r="R303" s="381"/>
      <c r="V303" s="381"/>
      <c r="Y303" s="379"/>
      <c r="Z303" s="464"/>
      <c r="AA303" s="381"/>
      <c r="AB303" s="381"/>
      <c r="AC303" s="381"/>
      <c r="AD303" s="381"/>
      <c r="AE303" s="381"/>
      <c r="AF303" s="381"/>
      <c r="AI303" s="381"/>
      <c r="AJ303" s="381"/>
      <c r="AK303" s="162"/>
      <c r="AL303" s="381"/>
      <c r="AM303" s="50"/>
      <c r="AN303" s="50"/>
    </row>
    <row r="304" spans="1:40" x14ac:dyDescent="0.25">
      <c r="A304" s="53"/>
      <c r="C304" s="54"/>
      <c r="F304" s="449"/>
      <c r="H304" s="449"/>
      <c r="I304" s="449"/>
      <c r="J304" s="477"/>
      <c r="K304" s="477"/>
      <c r="L304" s="379"/>
      <c r="M304" s="379"/>
      <c r="N304" s="50"/>
      <c r="O304" s="50"/>
      <c r="P304" s="379"/>
      <c r="Q304" s="379"/>
      <c r="R304" s="379"/>
      <c r="S304" s="379"/>
      <c r="T304" s="54"/>
      <c r="V304" s="449"/>
      <c r="Y304" s="449"/>
      <c r="Z304" s="477"/>
      <c r="AA304" s="379"/>
      <c r="AB304" s="379"/>
      <c r="AC304" s="50"/>
      <c r="AD304" s="50"/>
      <c r="AE304" s="379"/>
      <c r="AF304" s="379"/>
      <c r="AG304" s="156"/>
      <c r="AH304" s="50"/>
      <c r="AI304" s="379"/>
      <c r="AJ304" s="379"/>
      <c r="AK304" s="156"/>
      <c r="AL304" s="379"/>
      <c r="AM304" s="50"/>
      <c r="AN304" s="50"/>
    </row>
    <row r="305" spans="1:40" x14ac:dyDescent="0.25">
      <c r="A305" s="53"/>
      <c r="C305" s="54"/>
      <c r="F305" s="449"/>
      <c r="H305" s="449"/>
      <c r="I305" s="449"/>
      <c r="J305" s="461"/>
      <c r="K305" s="461"/>
      <c r="L305" s="379"/>
      <c r="M305" s="379"/>
      <c r="N305" s="50"/>
      <c r="O305" s="50"/>
      <c r="P305" s="379"/>
      <c r="Q305" s="379"/>
      <c r="R305" s="379"/>
      <c r="T305" s="54"/>
      <c r="V305" s="449"/>
      <c r="Y305" s="379"/>
      <c r="Z305" s="461"/>
      <c r="AA305" s="379"/>
      <c r="AB305" s="379"/>
      <c r="AC305" s="50"/>
      <c r="AD305" s="50"/>
      <c r="AE305" s="379"/>
      <c r="AF305" s="379"/>
      <c r="AG305" s="156"/>
      <c r="AH305" s="60"/>
      <c r="AI305" s="379"/>
      <c r="AJ305" s="379"/>
      <c r="AK305" s="156"/>
      <c r="AL305" s="379"/>
      <c r="AM305" s="50"/>
      <c r="AN305" s="50"/>
    </row>
    <row r="306" spans="1:40" x14ac:dyDescent="0.25">
      <c r="A306" s="53"/>
      <c r="C306" s="54"/>
      <c r="F306" s="449"/>
      <c r="H306" s="449"/>
      <c r="I306" s="449"/>
      <c r="J306" s="461"/>
      <c r="K306" s="461"/>
      <c r="L306" s="379"/>
      <c r="M306" s="379"/>
      <c r="N306" s="50"/>
      <c r="O306" s="50"/>
      <c r="P306" s="379"/>
      <c r="Q306" s="379"/>
      <c r="R306" s="379"/>
      <c r="T306" s="54"/>
      <c r="V306" s="449"/>
      <c r="Y306" s="379"/>
      <c r="Z306" s="461"/>
      <c r="AA306" s="379"/>
      <c r="AB306" s="379"/>
      <c r="AC306" s="50"/>
      <c r="AD306" s="50"/>
      <c r="AE306" s="379"/>
      <c r="AF306" s="379"/>
      <c r="AG306" s="156"/>
      <c r="AH306" s="60"/>
      <c r="AI306" s="379"/>
      <c r="AJ306" s="379"/>
      <c r="AK306" s="156"/>
      <c r="AL306" s="379"/>
      <c r="AM306" s="50"/>
      <c r="AN306" s="50"/>
    </row>
    <row r="307" spans="1:40" x14ac:dyDescent="0.25">
      <c r="F307" s="381"/>
      <c r="H307" s="381"/>
      <c r="I307" s="381"/>
      <c r="J307" s="464"/>
      <c r="K307" s="464"/>
      <c r="L307" s="381"/>
      <c r="M307" s="381"/>
      <c r="N307" s="381"/>
      <c r="O307" s="381"/>
      <c r="P307" s="381"/>
      <c r="Q307" s="381"/>
      <c r="R307" s="381"/>
      <c r="V307" s="381"/>
      <c r="Y307" s="381"/>
      <c r="Z307" s="464"/>
      <c r="AA307" s="381"/>
      <c r="AB307" s="381"/>
      <c r="AC307" s="381"/>
      <c r="AD307" s="381"/>
      <c r="AE307" s="381"/>
      <c r="AF307" s="381"/>
      <c r="AI307" s="381"/>
      <c r="AJ307" s="381"/>
      <c r="AK307" s="162"/>
      <c r="AL307" s="381"/>
      <c r="AM307" s="50"/>
      <c r="AN307" s="50"/>
    </row>
    <row r="308" spans="1:40" x14ac:dyDescent="0.25">
      <c r="A308" s="53"/>
      <c r="C308" s="54"/>
      <c r="F308" s="379"/>
      <c r="H308" s="379"/>
      <c r="I308" s="379"/>
      <c r="J308" s="59"/>
      <c r="K308" s="59"/>
      <c r="L308" s="379"/>
      <c r="M308" s="379"/>
      <c r="N308" s="50"/>
      <c r="O308" s="50"/>
      <c r="P308" s="379"/>
      <c r="Q308" s="379"/>
      <c r="R308" s="379"/>
      <c r="T308" s="54"/>
      <c r="V308" s="379"/>
      <c r="Y308" s="379"/>
      <c r="Z308" s="59"/>
      <c r="AA308" s="379"/>
      <c r="AB308" s="379"/>
      <c r="AC308" s="50"/>
      <c r="AD308" s="50"/>
      <c r="AE308" s="379"/>
      <c r="AF308" s="379"/>
      <c r="AG308" s="156"/>
      <c r="AH308" s="60"/>
      <c r="AI308" s="379"/>
      <c r="AJ308" s="379"/>
      <c r="AK308" s="156"/>
      <c r="AL308" s="379"/>
      <c r="AM308" s="50"/>
      <c r="AN308" s="50"/>
    </row>
    <row r="309" spans="1:40" x14ac:dyDescent="0.25">
      <c r="F309" s="381"/>
      <c r="H309" s="381"/>
      <c r="I309" s="381"/>
      <c r="J309" s="464"/>
      <c r="K309" s="464"/>
      <c r="L309" s="381"/>
      <c r="M309" s="381"/>
      <c r="N309" s="381"/>
      <c r="O309" s="381"/>
      <c r="P309" s="381"/>
      <c r="Q309" s="381"/>
      <c r="R309" s="381"/>
      <c r="V309" s="381"/>
      <c r="Y309" s="381"/>
      <c r="Z309" s="464"/>
      <c r="AA309" s="381"/>
      <c r="AB309" s="381"/>
      <c r="AC309" s="381"/>
      <c r="AD309" s="381"/>
      <c r="AE309" s="381"/>
      <c r="AF309" s="381"/>
      <c r="AI309" s="381"/>
      <c r="AJ309" s="381"/>
      <c r="AK309" s="162"/>
      <c r="AL309" s="381"/>
      <c r="AM309" s="50"/>
      <c r="AN309" s="50"/>
    </row>
    <row r="310" spans="1:40" x14ac:dyDescent="0.25">
      <c r="A310" s="53"/>
      <c r="C310" s="54"/>
      <c r="F310" s="379"/>
      <c r="H310" s="379"/>
      <c r="I310" s="379"/>
      <c r="J310" s="59"/>
      <c r="K310" s="59"/>
      <c r="L310" s="379"/>
      <c r="M310" s="379"/>
      <c r="N310" s="50"/>
      <c r="O310" s="50"/>
      <c r="P310" s="379"/>
      <c r="Q310" s="379"/>
      <c r="R310" s="379"/>
      <c r="T310" s="54"/>
      <c r="V310" s="379"/>
      <c r="Y310" s="379"/>
      <c r="Z310" s="59"/>
      <c r="AA310" s="379"/>
      <c r="AB310" s="379"/>
      <c r="AC310" s="50"/>
      <c r="AD310" s="50"/>
      <c r="AE310" s="379"/>
      <c r="AF310" s="379"/>
      <c r="AG310" s="156"/>
      <c r="AH310" s="60"/>
      <c r="AI310" s="379"/>
      <c r="AJ310" s="379"/>
      <c r="AK310" s="156"/>
      <c r="AL310" s="379"/>
      <c r="AM310" s="50"/>
      <c r="AN310" s="50"/>
    </row>
    <row r="311" spans="1:40" x14ac:dyDescent="0.25">
      <c r="A311" s="53"/>
      <c r="C311" s="54"/>
      <c r="F311" s="379"/>
      <c r="H311" s="449"/>
      <c r="I311" s="449"/>
      <c r="J311" s="472"/>
      <c r="K311" s="472"/>
      <c r="L311" s="379"/>
      <c r="M311" s="379"/>
      <c r="N311" s="50"/>
      <c r="O311" s="50"/>
      <c r="P311" s="379"/>
      <c r="Q311" s="379"/>
      <c r="R311" s="379"/>
      <c r="T311" s="54"/>
      <c r="V311" s="379"/>
      <c r="Y311" s="379"/>
      <c r="Z311" s="463"/>
      <c r="AA311" s="379"/>
      <c r="AB311" s="379"/>
      <c r="AC311" s="50"/>
      <c r="AD311" s="50"/>
      <c r="AE311" s="379"/>
      <c r="AF311" s="379"/>
      <c r="AG311" s="156"/>
      <c r="AH311" s="60"/>
      <c r="AI311" s="379"/>
      <c r="AJ311" s="379"/>
      <c r="AK311" s="156"/>
      <c r="AL311" s="379"/>
      <c r="AM311" s="50"/>
      <c r="AN311" s="50"/>
    </row>
    <row r="312" spans="1:40" x14ac:dyDescent="0.25">
      <c r="F312" s="381"/>
      <c r="H312" s="381"/>
      <c r="I312" s="381"/>
      <c r="J312" s="464"/>
      <c r="K312" s="464"/>
      <c r="L312" s="381"/>
      <c r="M312" s="381"/>
      <c r="N312" s="381"/>
      <c r="O312" s="381"/>
      <c r="P312" s="381"/>
      <c r="Q312" s="381"/>
      <c r="R312" s="381"/>
      <c r="V312" s="381"/>
      <c r="Y312" s="381"/>
      <c r="Z312" s="464"/>
      <c r="AA312" s="381"/>
      <c r="AB312" s="381"/>
      <c r="AC312" s="381"/>
      <c r="AD312" s="381"/>
      <c r="AE312" s="381"/>
      <c r="AF312" s="381"/>
      <c r="AI312" s="381"/>
      <c r="AJ312" s="381"/>
      <c r="AK312" s="162"/>
      <c r="AL312" s="381"/>
      <c r="AM312" s="50"/>
      <c r="AN312" s="50"/>
    </row>
    <row r="314" spans="1:40" x14ac:dyDescent="0.25">
      <c r="A314" s="53"/>
      <c r="C314" s="54"/>
      <c r="F314" s="379"/>
      <c r="H314" s="379"/>
      <c r="I314" s="379"/>
      <c r="J314" s="464"/>
      <c r="K314" s="464"/>
      <c r="L314" s="379"/>
      <c r="M314" s="379"/>
      <c r="N314" s="50"/>
      <c r="O314" s="50"/>
      <c r="P314" s="379"/>
      <c r="Q314" s="379"/>
      <c r="R314" s="379"/>
      <c r="S314" s="379"/>
      <c r="T314" s="54"/>
      <c r="V314" s="379"/>
      <c r="Y314" s="379"/>
      <c r="Z314" s="464"/>
      <c r="AA314" s="379"/>
      <c r="AB314" s="379"/>
      <c r="AC314" s="50"/>
      <c r="AD314" s="50"/>
      <c r="AE314" s="379"/>
      <c r="AF314" s="379"/>
      <c r="AG314" s="156"/>
      <c r="AH314" s="50"/>
      <c r="AI314" s="379"/>
      <c r="AJ314" s="379"/>
      <c r="AK314" s="156"/>
      <c r="AL314" s="379"/>
      <c r="AM314" s="50"/>
      <c r="AN314" s="50"/>
    </row>
    <row r="315" spans="1:40" x14ac:dyDescent="0.25">
      <c r="F315" s="381"/>
      <c r="H315" s="381"/>
      <c r="I315" s="381"/>
      <c r="J315" s="464"/>
      <c r="K315" s="464"/>
      <c r="L315" s="381"/>
      <c r="M315" s="381"/>
      <c r="N315" s="381"/>
      <c r="O315" s="381"/>
      <c r="P315" s="381"/>
      <c r="Q315" s="381"/>
      <c r="R315" s="381"/>
      <c r="S315" s="379"/>
      <c r="V315" s="381"/>
      <c r="Y315" s="381"/>
      <c r="Z315" s="464"/>
      <c r="AA315" s="381"/>
      <c r="AB315" s="381"/>
      <c r="AC315" s="381"/>
      <c r="AD315" s="381"/>
      <c r="AE315" s="381"/>
      <c r="AF315" s="381"/>
      <c r="AI315" s="381"/>
      <c r="AJ315" s="381"/>
      <c r="AK315" s="162"/>
      <c r="AL315" s="381"/>
      <c r="AM315" s="50"/>
      <c r="AN315" s="50"/>
    </row>
    <row r="316" spans="1:40" x14ac:dyDescent="0.25">
      <c r="A316" s="53"/>
      <c r="C316" s="54"/>
      <c r="T316" s="54"/>
    </row>
    <row r="317" spans="1:40" x14ac:dyDescent="0.25">
      <c r="A317" s="53"/>
      <c r="C317" s="54"/>
      <c r="F317" s="379"/>
      <c r="H317" s="379"/>
      <c r="I317" s="379"/>
      <c r="L317" s="379"/>
      <c r="M317" s="379"/>
      <c r="N317" s="50"/>
      <c r="O317" s="50"/>
      <c r="P317" s="449"/>
      <c r="Q317" s="449"/>
      <c r="R317" s="379"/>
      <c r="T317" s="54"/>
      <c r="V317" s="379"/>
      <c r="Y317" s="379"/>
      <c r="AA317" s="379"/>
      <c r="AB317" s="379"/>
      <c r="AC317" s="50"/>
      <c r="AD317" s="50"/>
      <c r="AE317" s="379"/>
      <c r="AF317" s="379"/>
      <c r="AG317" s="156"/>
      <c r="AH317" s="50"/>
      <c r="AI317" s="449"/>
      <c r="AJ317" s="449"/>
      <c r="AK317" s="156"/>
      <c r="AL317" s="379"/>
      <c r="AM317" s="50"/>
      <c r="AN317" s="50"/>
    </row>
    <row r="318" spans="1:40" x14ac:dyDescent="0.25">
      <c r="F318" s="381"/>
      <c r="H318" s="381"/>
      <c r="I318" s="381"/>
      <c r="J318" s="464"/>
      <c r="K318" s="464"/>
      <c r="L318" s="381"/>
      <c r="M318" s="381"/>
      <c r="N318" s="381"/>
      <c r="O318" s="381"/>
      <c r="P318" s="381"/>
      <c r="Q318" s="381"/>
      <c r="R318" s="381"/>
      <c r="V318" s="381"/>
      <c r="Y318" s="381"/>
      <c r="Z318" s="464"/>
      <c r="AA318" s="381"/>
      <c r="AB318" s="381"/>
      <c r="AC318" s="381"/>
      <c r="AD318" s="381"/>
      <c r="AE318" s="381"/>
      <c r="AF318" s="381"/>
      <c r="AI318" s="381"/>
      <c r="AJ318" s="381"/>
      <c r="AK318" s="162"/>
      <c r="AL318" s="381"/>
    </row>
    <row r="320" spans="1:40" x14ac:dyDescent="0.25">
      <c r="C320" s="54"/>
      <c r="L320" s="379"/>
      <c r="M320" s="379"/>
      <c r="N320" s="379"/>
      <c r="O320" s="379"/>
      <c r="P320" s="379"/>
      <c r="Q320" s="379"/>
      <c r="R320" s="379"/>
      <c r="S320" s="379"/>
      <c r="T320" s="54"/>
      <c r="AA320" s="379"/>
      <c r="AB320" s="379"/>
      <c r="AC320" s="379"/>
      <c r="AD320" s="379"/>
      <c r="AI320" s="379"/>
      <c r="AJ320" s="379"/>
      <c r="AK320" s="156"/>
      <c r="AL320" s="379"/>
    </row>
    <row r="321" spans="1:40" x14ac:dyDescent="0.25">
      <c r="A321" s="54"/>
    </row>
    <row r="322" spans="1:40" x14ac:dyDescent="0.25">
      <c r="J322" s="53"/>
      <c r="K322" s="53"/>
      <c r="Z322" s="53"/>
    </row>
    <row r="323" spans="1:40" x14ac:dyDescent="0.25">
      <c r="H323" s="54"/>
      <c r="I323" s="54"/>
      <c r="Y323" s="54"/>
    </row>
    <row r="324" spans="1:40" x14ac:dyDescent="0.25">
      <c r="J324" s="53"/>
      <c r="K324" s="53"/>
      <c r="Z324" s="53"/>
    </row>
    <row r="325" spans="1:40" x14ac:dyDescent="0.25">
      <c r="L325" s="54"/>
      <c r="M325" s="54"/>
      <c r="AA325" s="54"/>
      <c r="AB325" s="54"/>
    </row>
    <row r="326" spans="1:40" x14ac:dyDescent="0.25">
      <c r="A326" s="53"/>
      <c r="R326" s="54"/>
      <c r="AK326" s="161"/>
      <c r="AL326" s="54"/>
    </row>
    <row r="327" spans="1:40" x14ac:dyDescent="0.25">
      <c r="A327" s="53"/>
      <c r="R327" s="54"/>
      <c r="AK327" s="161"/>
      <c r="AL327" s="54"/>
    </row>
    <row r="328" spans="1:40" x14ac:dyDescent="0.25">
      <c r="A328" s="54"/>
      <c r="R328" s="54"/>
      <c r="AK328" s="161"/>
      <c r="AL328" s="54"/>
    </row>
    <row r="329" spans="1:40" x14ac:dyDescent="0.25">
      <c r="L329" s="54"/>
      <c r="M329" s="54"/>
      <c r="R329" s="53"/>
      <c r="AA329" s="54"/>
      <c r="AB329" s="54"/>
      <c r="AK329" s="156"/>
      <c r="AL329" s="53"/>
    </row>
    <row r="330" spans="1:40" x14ac:dyDescent="0.25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154"/>
      <c r="AH330" s="55"/>
      <c r="AI330" s="55"/>
      <c r="AJ330" s="55"/>
      <c r="AK330" s="154"/>
      <c r="AL330" s="55"/>
      <c r="AM330" s="55"/>
      <c r="AN330" s="55"/>
    </row>
    <row r="331" spans="1:40" x14ac:dyDescent="0.25">
      <c r="L331" s="56"/>
      <c r="M331" s="56"/>
      <c r="N331" s="56"/>
      <c r="O331" s="56"/>
      <c r="R331" s="56"/>
      <c r="AA331" s="56"/>
      <c r="AB331" s="56"/>
      <c r="AC331" s="56"/>
      <c r="AD331" s="56"/>
      <c r="AE331" s="56"/>
      <c r="AF331" s="56"/>
      <c r="AG331" s="155"/>
      <c r="AH331" s="56"/>
      <c r="AK331" s="155"/>
      <c r="AL331" s="56"/>
      <c r="AM331" s="56"/>
      <c r="AN331" s="56"/>
    </row>
    <row r="332" spans="1:40" x14ac:dyDescent="0.25">
      <c r="L332" s="56"/>
      <c r="M332" s="56"/>
      <c r="N332" s="56"/>
      <c r="O332" s="56"/>
      <c r="R332" s="56"/>
      <c r="Z332" s="56"/>
      <c r="AA332" s="56"/>
      <c r="AB332" s="56"/>
      <c r="AC332" s="56"/>
      <c r="AD332" s="56"/>
      <c r="AE332" s="56"/>
      <c r="AF332" s="56"/>
      <c r="AG332" s="155"/>
      <c r="AH332" s="56"/>
      <c r="AK332" s="155"/>
      <c r="AL332" s="56"/>
      <c r="AM332" s="56"/>
      <c r="AN332" s="56"/>
    </row>
    <row r="333" spans="1:40" x14ac:dyDescent="0.25">
      <c r="A333" s="56"/>
      <c r="C333" s="56"/>
      <c r="D333" s="56"/>
      <c r="E333" s="56"/>
      <c r="F333" s="56"/>
      <c r="J333" s="56"/>
      <c r="K333" s="56"/>
      <c r="L333" s="56"/>
      <c r="M333" s="56"/>
      <c r="N333" s="56"/>
      <c r="O333" s="56"/>
      <c r="P333" s="56"/>
      <c r="Q333" s="56"/>
      <c r="R333" s="56"/>
      <c r="T333" s="56"/>
      <c r="U333" s="56"/>
      <c r="V333" s="56"/>
      <c r="Z333" s="56"/>
      <c r="AA333" s="56"/>
      <c r="AB333" s="56"/>
      <c r="AC333" s="56"/>
      <c r="AD333" s="56"/>
      <c r="AE333" s="56"/>
      <c r="AF333" s="56"/>
      <c r="AG333" s="155"/>
      <c r="AH333" s="56"/>
      <c r="AI333" s="56"/>
      <c r="AJ333" s="56"/>
      <c r="AK333" s="155"/>
      <c r="AL333" s="56"/>
      <c r="AM333" s="56"/>
      <c r="AN333" s="56"/>
    </row>
    <row r="334" spans="1:40" x14ac:dyDescent="0.25">
      <c r="A334" s="56"/>
      <c r="C334" s="56"/>
      <c r="D334" s="56"/>
      <c r="E334" s="56"/>
      <c r="F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T334" s="56"/>
      <c r="U334" s="56"/>
      <c r="V334" s="56"/>
      <c r="Y334" s="56"/>
      <c r="Z334" s="56"/>
      <c r="AA334" s="56"/>
      <c r="AB334" s="56"/>
      <c r="AC334" s="56"/>
      <c r="AD334" s="56"/>
      <c r="AE334" s="56"/>
      <c r="AF334" s="56"/>
      <c r="AG334" s="155"/>
      <c r="AH334" s="56"/>
      <c r="AI334" s="56"/>
      <c r="AJ334" s="56"/>
      <c r="AK334" s="155"/>
      <c r="AL334" s="56"/>
      <c r="AM334" s="56"/>
      <c r="AN334" s="56"/>
    </row>
    <row r="335" spans="1:40" x14ac:dyDescent="0.25">
      <c r="C335" s="56"/>
      <c r="D335" s="56"/>
      <c r="E335" s="56"/>
      <c r="F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T335" s="56"/>
      <c r="U335" s="56"/>
      <c r="V335" s="56"/>
      <c r="Y335" s="56"/>
      <c r="Z335" s="56"/>
      <c r="AA335" s="56"/>
      <c r="AB335" s="56"/>
      <c r="AC335" s="56"/>
      <c r="AD335" s="56"/>
      <c r="AE335" s="56"/>
      <c r="AF335" s="56"/>
      <c r="AG335" s="155"/>
      <c r="AH335" s="56"/>
      <c r="AI335" s="56"/>
      <c r="AJ335" s="56"/>
      <c r="AK335" s="155"/>
      <c r="AL335" s="56"/>
      <c r="AM335" s="56"/>
      <c r="AN335" s="56"/>
    </row>
    <row r="336" spans="1:40" x14ac:dyDescent="0.25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154"/>
      <c r="AH336" s="55"/>
      <c r="AI336" s="55"/>
      <c r="AJ336" s="55"/>
      <c r="AK336" s="154"/>
      <c r="AL336" s="55"/>
      <c r="AM336" s="55"/>
      <c r="AN336" s="55"/>
    </row>
    <row r="337" spans="1:40" x14ac:dyDescent="0.25"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Y337" s="56"/>
      <c r="Z337" s="56"/>
      <c r="AA337" s="56"/>
      <c r="AB337" s="56"/>
      <c r="AC337" s="56"/>
      <c r="AD337" s="56"/>
      <c r="AE337" s="56"/>
      <c r="AF337" s="56"/>
      <c r="AG337" s="155"/>
      <c r="AH337" s="56"/>
      <c r="AI337" s="56"/>
      <c r="AJ337" s="56"/>
      <c r="AK337" s="155"/>
      <c r="AL337" s="56"/>
      <c r="AM337" s="56"/>
      <c r="AN337" s="56"/>
    </row>
    <row r="338" spans="1:40" x14ac:dyDescent="0.25">
      <c r="A338" s="53"/>
      <c r="C338" s="54"/>
      <c r="D338" s="54"/>
      <c r="E338" s="54"/>
      <c r="T338" s="54"/>
      <c r="U338" s="54"/>
    </row>
    <row r="339" spans="1:40" x14ac:dyDescent="0.25">
      <c r="D339" s="54"/>
      <c r="E339" s="54"/>
      <c r="U339" s="54"/>
    </row>
    <row r="341" spans="1:40" x14ac:dyDescent="0.25">
      <c r="A341" s="53"/>
      <c r="C341" s="54"/>
      <c r="T341" s="54"/>
    </row>
    <row r="342" spans="1:40" x14ac:dyDescent="0.25">
      <c r="A342" s="53"/>
      <c r="C342" s="54"/>
      <c r="F342" s="449"/>
      <c r="H342" s="449"/>
      <c r="I342" s="449"/>
      <c r="J342" s="221"/>
      <c r="K342" s="221"/>
      <c r="L342" s="379"/>
      <c r="M342" s="379"/>
      <c r="N342" s="50"/>
      <c r="O342" s="50"/>
      <c r="P342" s="379"/>
      <c r="Q342" s="379"/>
      <c r="R342" s="379"/>
      <c r="T342" s="54"/>
      <c r="V342" s="449"/>
      <c r="W342" s="379"/>
      <c r="X342" s="379"/>
      <c r="Y342" s="449"/>
      <c r="Z342" s="221"/>
      <c r="AA342" s="379"/>
      <c r="AB342" s="379"/>
      <c r="AC342" s="50"/>
      <c r="AD342" s="50"/>
      <c r="AE342" s="379"/>
      <c r="AF342" s="379"/>
      <c r="AG342" s="156"/>
      <c r="AH342" s="60"/>
      <c r="AI342" s="379"/>
      <c r="AJ342" s="379"/>
      <c r="AK342" s="156"/>
      <c r="AL342" s="379"/>
      <c r="AM342" s="50"/>
      <c r="AN342" s="50"/>
    </row>
    <row r="343" spans="1:40" x14ac:dyDescent="0.25">
      <c r="A343" s="53"/>
      <c r="C343" s="54"/>
      <c r="F343" s="379"/>
      <c r="H343" s="379"/>
      <c r="I343" s="379"/>
      <c r="J343" s="464"/>
      <c r="K343" s="464"/>
      <c r="L343" s="379"/>
      <c r="M343" s="379"/>
      <c r="N343" s="50"/>
      <c r="O343" s="50"/>
      <c r="P343" s="379"/>
      <c r="Q343" s="379"/>
      <c r="R343" s="379"/>
      <c r="T343" s="54"/>
      <c r="V343" s="449"/>
      <c r="W343" s="379"/>
      <c r="X343" s="379"/>
      <c r="Y343" s="449"/>
      <c r="Z343" s="464"/>
      <c r="AA343" s="379"/>
      <c r="AB343" s="379"/>
      <c r="AC343" s="50"/>
      <c r="AD343" s="50"/>
      <c r="AE343" s="379"/>
      <c r="AF343" s="379"/>
      <c r="AG343" s="156"/>
      <c r="AH343" s="60"/>
      <c r="AI343" s="379"/>
      <c r="AJ343" s="379"/>
      <c r="AK343" s="156"/>
      <c r="AL343" s="379"/>
      <c r="AM343" s="50"/>
      <c r="AN343" s="50"/>
    </row>
    <row r="344" spans="1:40" x14ac:dyDescent="0.25">
      <c r="A344" s="53"/>
      <c r="C344" s="54"/>
      <c r="F344" s="449"/>
      <c r="H344" s="449"/>
      <c r="I344" s="449"/>
      <c r="J344" s="221"/>
      <c r="K344" s="221"/>
      <c r="L344" s="379"/>
      <c r="M344" s="379"/>
      <c r="N344" s="50"/>
      <c r="O344" s="50"/>
      <c r="P344" s="379"/>
      <c r="Q344" s="379"/>
      <c r="R344" s="379"/>
      <c r="T344" s="54"/>
      <c r="V344" s="449"/>
      <c r="W344" s="379"/>
      <c r="X344" s="379"/>
      <c r="Y344" s="449"/>
      <c r="Z344" s="221"/>
      <c r="AA344" s="379"/>
      <c r="AB344" s="379"/>
      <c r="AC344" s="50"/>
      <c r="AD344" s="50"/>
      <c r="AE344" s="379"/>
      <c r="AF344" s="379"/>
      <c r="AG344" s="156"/>
      <c r="AH344" s="60"/>
      <c r="AI344" s="379"/>
      <c r="AJ344" s="379"/>
      <c r="AK344" s="156"/>
      <c r="AL344" s="379"/>
      <c r="AM344" s="50"/>
      <c r="AN344" s="50"/>
    </row>
    <row r="345" spans="1:40" x14ac:dyDescent="0.25">
      <c r="A345" s="53"/>
      <c r="C345" s="54"/>
      <c r="F345" s="449"/>
      <c r="H345" s="449"/>
      <c r="I345" s="449"/>
      <c r="J345" s="221"/>
      <c r="K345" s="221"/>
      <c r="L345" s="379"/>
      <c r="M345" s="379"/>
      <c r="N345" s="50"/>
      <c r="O345" s="50"/>
      <c r="P345" s="379"/>
      <c r="Q345" s="379"/>
      <c r="R345" s="379"/>
      <c r="T345" s="54"/>
      <c r="V345" s="449"/>
      <c r="W345" s="379"/>
      <c r="X345" s="379"/>
      <c r="Y345" s="449"/>
      <c r="Z345" s="221"/>
      <c r="AA345" s="379"/>
      <c r="AB345" s="379"/>
      <c r="AC345" s="50"/>
      <c r="AD345" s="50"/>
      <c r="AE345" s="379"/>
      <c r="AF345" s="379"/>
      <c r="AG345" s="156"/>
      <c r="AH345" s="60"/>
      <c r="AI345" s="379"/>
      <c r="AJ345" s="379"/>
      <c r="AK345" s="156"/>
      <c r="AL345" s="379"/>
      <c r="AM345" s="50"/>
      <c r="AN345" s="50"/>
    </row>
    <row r="346" spans="1:40" x14ac:dyDescent="0.25">
      <c r="A346" s="53"/>
      <c r="C346" s="54"/>
      <c r="F346" s="449"/>
      <c r="H346" s="449"/>
      <c r="I346" s="449"/>
      <c r="J346" s="221"/>
      <c r="K346" s="221"/>
      <c r="L346" s="379"/>
      <c r="M346" s="379"/>
      <c r="N346" s="50"/>
      <c r="O346" s="50"/>
      <c r="P346" s="379"/>
      <c r="Q346" s="379"/>
      <c r="R346" s="379"/>
      <c r="T346" s="54"/>
      <c r="V346" s="449"/>
      <c r="W346" s="379"/>
      <c r="X346" s="379"/>
      <c r="Y346" s="449"/>
      <c r="Z346" s="221"/>
      <c r="AA346" s="379"/>
      <c r="AB346" s="379"/>
      <c r="AC346" s="50"/>
      <c r="AD346" s="50"/>
      <c r="AE346" s="379"/>
      <c r="AF346" s="379"/>
      <c r="AG346" s="156"/>
      <c r="AH346" s="60"/>
      <c r="AI346" s="379"/>
      <c r="AJ346" s="379"/>
      <c r="AK346" s="156"/>
      <c r="AL346" s="379"/>
      <c r="AM346" s="50"/>
      <c r="AN346" s="50"/>
    </row>
    <row r="347" spans="1:40" x14ac:dyDescent="0.25">
      <c r="A347" s="53"/>
      <c r="C347" s="54"/>
      <c r="F347" s="379"/>
      <c r="H347" s="379"/>
      <c r="I347" s="379"/>
      <c r="J347" s="221"/>
      <c r="K347" s="221"/>
      <c r="L347" s="379"/>
      <c r="M347" s="379"/>
      <c r="N347" s="50"/>
      <c r="O347" s="50"/>
      <c r="P347" s="379"/>
      <c r="Q347" s="379"/>
      <c r="R347" s="379"/>
      <c r="T347" s="54"/>
      <c r="V347" s="449"/>
      <c r="W347" s="379"/>
      <c r="X347" s="379"/>
      <c r="Y347" s="449"/>
      <c r="Z347" s="221"/>
      <c r="AA347" s="379"/>
      <c r="AB347" s="379"/>
      <c r="AC347" s="50"/>
      <c r="AD347" s="50"/>
      <c r="AE347" s="379"/>
      <c r="AF347" s="379"/>
      <c r="AG347" s="156"/>
      <c r="AH347" s="60"/>
      <c r="AI347" s="379"/>
      <c r="AJ347" s="379"/>
      <c r="AK347" s="156"/>
      <c r="AL347" s="379"/>
      <c r="AM347" s="50"/>
      <c r="AN347" s="50"/>
    </row>
    <row r="348" spans="1:40" x14ac:dyDescent="0.25">
      <c r="A348" s="53"/>
      <c r="C348" s="54"/>
      <c r="F348" s="379"/>
      <c r="H348" s="379"/>
      <c r="I348" s="379"/>
      <c r="J348" s="221"/>
      <c r="K348" s="221"/>
      <c r="L348" s="379"/>
      <c r="M348" s="379"/>
      <c r="N348" s="50"/>
      <c r="O348" s="50"/>
      <c r="P348" s="379"/>
      <c r="Q348" s="379"/>
      <c r="R348" s="379"/>
      <c r="T348" s="54"/>
      <c r="V348" s="449"/>
      <c r="W348" s="379"/>
      <c r="X348" s="379"/>
      <c r="Y348" s="449"/>
      <c r="Z348" s="221"/>
      <c r="AA348" s="379"/>
      <c r="AB348" s="379"/>
      <c r="AC348" s="50"/>
      <c r="AD348" s="50"/>
      <c r="AE348" s="379"/>
      <c r="AF348" s="379"/>
      <c r="AG348" s="156"/>
      <c r="AH348" s="60"/>
      <c r="AI348" s="379"/>
      <c r="AJ348" s="379"/>
      <c r="AK348" s="156"/>
      <c r="AL348" s="379"/>
      <c r="AM348" s="50"/>
      <c r="AN348" s="50"/>
    </row>
    <row r="349" spans="1:40" x14ac:dyDescent="0.25">
      <c r="F349" s="63"/>
      <c r="H349" s="479"/>
      <c r="I349" s="479"/>
      <c r="J349" s="221"/>
      <c r="K349" s="221"/>
      <c r="L349" s="63"/>
      <c r="M349" s="63"/>
      <c r="N349" s="381"/>
      <c r="O349" s="381"/>
      <c r="P349" s="63"/>
      <c r="Q349" s="63"/>
      <c r="R349" s="63"/>
      <c r="V349" s="63"/>
      <c r="W349" s="379"/>
      <c r="X349" s="379"/>
      <c r="Y349" s="63"/>
      <c r="Z349" s="221"/>
      <c r="AA349" s="63"/>
      <c r="AB349" s="63"/>
      <c r="AC349" s="64"/>
      <c r="AD349" s="64"/>
      <c r="AE349" s="63"/>
      <c r="AF349" s="63"/>
      <c r="AG349" s="156"/>
      <c r="AH349" s="60"/>
      <c r="AI349" s="63"/>
      <c r="AJ349" s="63"/>
      <c r="AK349" s="154"/>
      <c r="AL349" s="63"/>
      <c r="AM349" s="50"/>
      <c r="AN349" s="50"/>
    </row>
    <row r="350" spans="1:40" x14ac:dyDescent="0.25">
      <c r="A350" s="53"/>
      <c r="C350" s="54"/>
      <c r="F350" s="379"/>
      <c r="H350" s="379"/>
      <c r="I350" s="379"/>
      <c r="J350" s="221"/>
      <c r="K350" s="221"/>
      <c r="L350" s="379"/>
      <c r="M350" s="379"/>
      <c r="N350" s="60"/>
      <c r="O350" s="60"/>
      <c r="P350" s="379"/>
      <c r="Q350" s="379"/>
      <c r="R350" s="379"/>
      <c r="T350" s="56"/>
      <c r="V350" s="379"/>
      <c r="W350" s="379"/>
      <c r="X350" s="379"/>
      <c r="Y350" s="379"/>
      <c r="Z350" s="221"/>
      <c r="AA350" s="379"/>
      <c r="AB350" s="379"/>
      <c r="AC350" s="60"/>
      <c r="AD350" s="60"/>
      <c r="AE350" s="379"/>
      <c r="AF350" s="379"/>
      <c r="AG350" s="156"/>
      <c r="AH350" s="60"/>
      <c r="AI350" s="379"/>
      <c r="AJ350" s="379"/>
      <c r="AK350" s="156"/>
      <c r="AL350" s="379"/>
      <c r="AM350" s="50"/>
      <c r="AN350" s="50"/>
    </row>
    <row r="351" spans="1:40" x14ac:dyDescent="0.25">
      <c r="F351" s="55"/>
      <c r="H351" s="55"/>
      <c r="I351" s="55"/>
      <c r="L351" s="55"/>
      <c r="M351" s="55"/>
      <c r="N351" s="64"/>
      <c r="O351" s="64"/>
      <c r="P351" s="63"/>
      <c r="Q351" s="63"/>
      <c r="R351" s="63"/>
      <c r="V351" s="63"/>
      <c r="Y351" s="63"/>
      <c r="Z351" s="464"/>
      <c r="AA351" s="63"/>
      <c r="AB351" s="63"/>
      <c r="AC351" s="63"/>
      <c r="AD351" s="63"/>
      <c r="AE351" s="63"/>
      <c r="AF351" s="63"/>
      <c r="AI351" s="63"/>
      <c r="AJ351" s="63"/>
      <c r="AK351" s="154"/>
      <c r="AL351" s="63"/>
      <c r="AM351" s="64"/>
      <c r="AN351" s="64"/>
    </row>
    <row r="352" spans="1:40" x14ac:dyDescent="0.25">
      <c r="AI352" s="53"/>
      <c r="AJ352" s="53"/>
    </row>
    <row r="356" spans="1:40" x14ac:dyDescent="0.25">
      <c r="N356" s="379"/>
      <c r="O356" s="379"/>
      <c r="P356" s="379"/>
      <c r="Q356" s="379"/>
      <c r="R356" s="379"/>
      <c r="V356" s="379"/>
      <c r="Y356" s="379"/>
      <c r="Z356" s="59"/>
      <c r="AA356" s="379"/>
      <c r="AB356" s="379"/>
      <c r="AC356" s="50"/>
      <c r="AD356" s="50"/>
      <c r="AE356" s="379"/>
      <c r="AF356" s="379"/>
      <c r="AG356" s="156"/>
      <c r="AH356" s="60"/>
      <c r="AI356" s="379"/>
      <c r="AJ356" s="379"/>
      <c r="AK356" s="156"/>
      <c r="AL356" s="379"/>
      <c r="AM356" s="50"/>
      <c r="AN356" s="50"/>
    </row>
    <row r="357" spans="1:40" x14ac:dyDescent="0.25">
      <c r="A357" s="53"/>
      <c r="C357" s="54"/>
      <c r="D357" s="54"/>
      <c r="E357" s="54"/>
      <c r="J357" s="65"/>
      <c r="K357" s="65"/>
      <c r="T357" s="54"/>
      <c r="U357" s="54"/>
      <c r="Z357" s="65"/>
      <c r="AE357" s="379"/>
      <c r="AF357" s="379"/>
      <c r="AI357" s="379"/>
      <c r="AJ357" s="379"/>
      <c r="AK357" s="156"/>
      <c r="AL357" s="379"/>
      <c r="AM357" s="50"/>
      <c r="AN357" s="50"/>
    </row>
    <row r="358" spans="1:40" x14ac:dyDescent="0.25">
      <c r="D358" s="54"/>
      <c r="E358" s="54"/>
      <c r="F358" s="379"/>
      <c r="H358" s="379"/>
      <c r="I358" s="379"/>
      <c r="J358" s="221"/>
      <c r="K358" s="221"/>
      <c r="L358" s="379"/>
      <c r="M358" s="379"/>
      <c r="N358" s="50"/>
      <c r="O358" s="50"/>
      <c r="P358" s="379"/>
      <c r="Q358" s="379"/>
      <c r="R358" s="379"/>
      <c r="U358" s="54"/>
      <c r="V358" s="379"/>
      <c r="Y358" s="379"/>
      <c r="Z358" s="221"/>
      <c r="AA358" s="379"/>
      <c r="AB358" s="379"/>
      <c r="AC358" s="50"/>
      <c r="AD358" s="50"/>
      <c r="AE358" s="379"/>
      <c r="AF358" s="379"/>
      <c r="AG358" s="156"/>
      <c r="AH358" s="60"/>
      <c r="AI358" s="379"/>
      <c r="AJ358" s="379"/>
      <c r="AK358" s="156"/>
      <c r="AL358" s="379"/>
      <c r="AM358" s="50"/>
      <c r="AN358" s="50"/>
    </row>
    <row r="359" spans="1:40" x14ac:dyDescent="0.25">
      <c r="F359" s="379"/>
      <c r="H359" s="379"/>
      <c r="I359" s="379"/>
      <c r="J359" s="464"/>
      <c r="K359" s="464"/>
      <c r="L359" s="379"/>
      <c r="M359" s="379"/>
      <c r="N359" s="379"/>
      <c r="O359" s="379"/>
      <c r="P359" s="379"/>
      <c r="Q359" s="379"/>
      <c r="R359" s="379"/>
      <c r="V359" s="379"/>
      <c r="Y359" s="379"/>
      <c r="Z359" s="464"/>
      <c r="AA359" s="379"/>
      <c r="AB359" s="379"/>
      <c r="AC359" s="379"/>
      <c r="AD359" s="379"/>
      <c r="AE359" s="379"/>
      <c r="AF359" s="379"/>
      <c r="AG359" s="156"/>
      <c r="AH359" s="60"/>
      <c r="AI359" s="449"/>
      <c r="AJ359" s="449"/>
      <c r="AK359" s="156"/>
      <c r="AL359" s="379"/>
      <c r="AM359" s="50"/>
      <c r="AN359" s="50"/>
    </row>
    <row r="360" spans="1:40" x14ac:dyDescent="0.25">
      <c r="A360" s="53"/>
      <c r="C360" s="54"/>
      <c r="F360" s="449"/>
      <c r="H360" s="449"/>
      <c r="I360" s="449"/>
      <c r="J360" s="463"/>
      <c r="K360" s="463"/>
      <c r="L360" s="379"/>
      <c r="M360" s="379"/>
      <c r="N360" s="50"/>
      <c r="O360" s="50"/>
      <c r="P360" s="379"/>
      <c r="Q360" s="379"/>
      <c r="R360" s="379"/>
      <c r="T360" s="54"/>
      <c r="V360" s="449"/>
      <c r="Y360" s="449"/>
      <c r="Z360" s="463"/>
      <c r="AA360" s="379"/>
      <c r="AB360" s="379"/>
      <c r="AC360" s="50"/>
      <c r="AD360" s="50"/>
      <c r="AE360" s="379"/>
      <c r="AF360" s="379"/>
      <c r="AG360" s="156"/>
      <c r="AH360" s="60"/>
      <c r="AI360" s="379"/>
      <c r="AJ360" s="379"/>
      <c r="AK360" s="156"/>
      <c r="AL360" s="379"/>
      <c r="AM360" s="50"/>
      <c r="AN360" s="50"/>
    </row>
    <row r="361" spans="1:40" x14ac:dyDescent="0.25">
      <c r="F361" s="55"/>
      <c r="H361" s="55"/>
      <c r="I361" s="55"/>
      <c r="L361" s="55"/>
      <c r="M361" s="55"/>
      <c r="N361" s="55"/>
      <c r="O361" s="55"/>
      <c r="P361" s="55"/>
      <c r="Q361" s="55"/>
      <c r="R361" s="55"/>
      <c r="V361" s="55"/>
      <c r="Y361" s="55"/>
      <c r="AA361" s="55"/>
      <c r="AB361" s="55"/>
      <c r="AC361" s="55"/>
      <c r="AD361" s="55"/>
      <c r="AE361" s="55"/>
      <c r="AF361" s="55"/>
      <c r="AG361" s="154"/>
      <c r="AH361" s="55"/>
      <c r="AI361" s="55"/>
      <c r="AJ361" s="55"/>
      <c r="AK361" s="154"/>
      <c r="AL361" s="55"/>
      <c r="AM361" s="55"/>
      <c r="AN361" s="55"/>
    </row>
    <row r="362" spans="1:40" x14ac:dyDescent="0.25">
      <c r="A362" s="53"/>
      <c r="C362" s="56"/>
      <c r="F362" s="449"/>
      <c r="H362" s="449"/>
      <c r="I362" s="449"/>
      <c r="J362" s="461"/>
      <c r="K362" s="461"/>
      <c r="L362" s="449"/>
      <c r="M362" s="449"/>
      <c r="N362" s="50"/>
      <c r="O362" s="50"/>
      <c r="P362" s="449"/>
      <c r="Q362" s="449"/>
      <c r="R362" s="449"/>
      <c r="T362" s="56"/>
      <c r="V362" s="379"/>
      <c r="Y362" s="379"/>
      <c r="Z362" s="59"/>
      <c r="AA362" s="379"/>
      <c r="AB362" s="379"/>
      <c r="AC362" s="50"/>
      <c r="AD362" s="50"/>
      <c r="AE362" s="53"/>
      <c r="AF362" s="53"/>
      <c r="AG362" s="156"/>
      <c r="AH362" s="60"/>
      <c r="AI362" s="379"/>
      <c r="AJ362" s="379"/>
      <c r="AK362" s="156"/>
      <c r="AL362" s="379"/>
      <c r="AM362" s="50"/>
      <c r="AN362" s="50"/>
    </row>
    <row r="363" spans="1:40" x14ac:dyDescent="0.25">
      <c r="F363" s="63"/>
      <c r="H363" s="63"/>
      <c r="I363" s="63"/>
      <c r="J363" s="464"/>
      <c r="K363" s="464"/>
      <c r="L363" s="63"/>
      <c r="M363" s="63"/>
      <c r="N363" s="63"/>
      <c r="O363" s="63"/>
      <c r="P363" s="63"/>
      <c r="Q363" s="63"/>
      <c r="R363" s="63"/>
      <c r="V363" s="55"/>
      <c r="Y363" s="55"/>
      <c r="AA363" s="55"/>
      <c r="AB363" s="55"/>
      <c r="AC363" s="55"/>
      <c r="AD363" s="55"/>
      <c r="AE363" s="55"/>
      <c r="AF363" s="55"/>
      <c r="AG363" s="154"/>
      <c r="AH363" s="55"/>
      <c r="AI363" s="55"/>
      <c r="AJ363" s="55"/>
      <c r="AK363" s="154"/>
      <c r="AL363" s="55"/>
      <c r="AM363" s="55"/>
      <c r="AN363" s="55"/>
    </row>
    <row r="364" spans="1:40" x14ac:dyDescent="0.25">
      <c r="F364" s="449"/>
      <c r="H364" s="449"/>
      <c r="I364" s="449"/>
      <c r="J364" s="477"/>
      <c r="K364" s="477"/>
      <c r="L364" s="379"/>
      <c r="M364" s="379"/>
      <c r="N364" s="50"/>
      <c r="O364" s="50"/>
      <c r="P364" s="379"/>
      <c r="Q364" s="379"/>
      <c r="R364" s="379"/>
    </row>
    <row r="365" spans="1:40" x14ac:dyDescent="0.25">
      <c r="A365" s="54"/>
      <c r="F365" s="449"/>
      <c r="H365" s="449"/>
      <c r="I365" s="449"/>
      <c r="J365" s="461"/>
      <c r="K365" s="461"/>
      <c r="L365" s="379"/>
      <c r="M365" s="379"/>
      <c r="N365" s="50"/>
      <c r="O365" s="50"/>
      <c r="P365" s="379"/>
      <c r="Q365" s="379"/>
      <c r="R365" s="379"/>
    </row>
    <row r="366" spans="1:40" x14ac:dyDescent="0.25">
      <c r="F366" s="449"/>
      <c r="H366" s="449"/>
      <c r="I366" s="449"/>
      <c r="J366" s="461"/>
      <c r="K366" s="461"/>
      <c r="L366" s="379"/>
      <c r="M366" s="379"/>
      <c r="N366" s="50"/>
      <c r="O366" s="50"/>
      <c r="P366" s="379"/>
      <c r="Q366" s="379"/>
      <c r="R366" s="379"/>
    </row>
    <row r="367" spans="1:40" x14ac:dyDescent="0.25">
      <c r="A367" s="54"/>
    </row>
    <row r="369" spans="1:40" x14ac:dyDescent="0.25">
      <c r="J369" s="53"/>
      <c r="K369" s="53"/>
      <c r="Z369" s="53"/>
    </row>
    <row r="370" spans="1:40" x14ac:dyDescent="0.25">
      <c r="H370" s="54"/>
      <c r="I370" s="54"/>
      <c r="Y370" s="54"/>
    </row>
    <row r="371" spans="1:40" x14ac:dyDescent="0.25">
      <c r="J371" s="53"/>
      <c r="K371" s="53"/>
      <c r="Z371" s="53"/>
    </row>
    <row r="372" spans="1:40" x14ac:dyDescent="0.25">
      <c r="L372" s="54"/>
      <c r="M372" s="54"/>
      <c r="AA372" s="54"/>
      <c r="AB372" s="54"/>
    </row>
    <row r="373" spans="1:40" x14ac:dyDescent="0.25">
      <c r="A373" s="53"/>
      <c r="R373" s="54"/>
      <c r="AK373" s="161"/>
      <c r="AL373" s="54"/>
    </row>
    <row r="374" spans="1:40" x14ac:dyDescent="0.25">
      <c r="A374" s="53"/>
      <c r="R374" s="54"/>
      <c r="AK374" s="161"/>
      <c r="AL374" s="54"/>
    </row>
    <row r="375" spans="1:40" x14ac:dyDescent="0.25">
      <c r="A375" s="54"/>
      <c r="R375" s="54"/>
      <c r="AK375" s="161"/>
      <c r="AL375" s="54"/>
    </row>
    <row r="376" spans="1:40" x14ac:dyDescent="0.25">
      <c r="L376" s="54"/>
      <c r="M376" s="54"/>
      <c r="R376" s="53"/>
      <c r="AA376" s="54"/>
      <c r="AB376" s="54"/>
      <c r="AK376" s="156"/>
      <c r="AL376" s="53"/>
    </row>
    <row r="377" spans="1:40" x14ac:dyDescent="0.25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154"/>
      <c r="AH377" s="55"/>
      <c r="AI377" s="55"/>
      <c r="AJ377" s="55"/>
      <c r="AK377" s="154"/>
      <c r="AL377" s="55"/>
      <c r="AM377" s="55"/>
      <c r="AN377" s="55"/>
    </row>
    <row r="378" spans="1:40" x14ac:dyDescent="0.25">
      <c r="L378" s="56"/>
      <c r="M378" s="56"/>
      <c r="N378" s="56"/>
      <c r="O378" s="56"/>
      <c r="R378" s="56"/>
      <c r="AA378" s="56"/>
      <c r="AB378" s="56"/>
      <c r="AC378" s="56"/>
      <c r="AD378" s="56"/>
      <c r="AE378" s="56"/>
      <c r="AF378" s="56"/>
      <c r="AG378" s="155"/>
      <c r="AH378" s="56"/>
      <c r="AK378" s="155"/>
      <c r="AL378" s="56"/>
      <c r="AM378" s="56"/>
      <c r="AN378" s="56"/>
    </row>
    <row r="379" spans="1:40" x14ac:dyDescent="0.25">
      <c r="L379" s="56"/>
      <c r="M379" s="56"/>
      <c r="N379" s="56"/>
      <c r="O379" s="56"/>
      <c r="R379" s="56"/>
      <c r="Z379" s="56"/>
      <c r="AA379" s="56"/>
      <c r="AB379" s="56"/>
      <c r="AC379" s="56"/>
      <c r="AD379" s="56"/>
      <c r="AE379" s="56"/>
      <c r="AF379" s="56"/>
      <c r="AG379" s="155"/>
      <c r="AH379" s="56"/>
      <c r="AK379" s="155"/>
      <c r="AL379" s="56"/>
      <c r="AM379" s="56"/>
      <c r="AN379" s="56"/>
    </row>
    <row r="380" spans="1:40" x14ac:dyDescent="0.25">
      <c r="A380" s="56"/>
      <c r="C380" s="56"/>
      <c r="D380" s="56"/>
      <c r="E380" s="56"/>
      <c r="F380" s="56"/>
      <c r="J380" s="56"/>
      <c r="K380" s="56"/>
      <c r="L380" s="56"/>
      <c r="M380" s="56"/>
      <c r="N380" s="56"/>
      <c r="O380" s="56"/>
      <c r="P380" s="56"/>
      <c r="Q380" s="56"/>
      <c r="R380" s="56"/>
      <c r="T380" s="56"/>
      <c r="U380" s="56"/>
      <c r="V380" s="56"/>
      <c r="Z380" s="56"/>
      <c r="AA380" s="56"/>
      <c r="AB380" s="56"/>
      <c r="AC380" s="56"/>
      <c r="AD380" s="56"/>
      <c r="AE380" s="56"/>
      <c r="AF380" s="56"/>
      <c r="AG380" s="155"/>
      <c r="AH380" s="56"/>
      <c r="AI380" s="56"/>
      <c r="AJ380" s="56"/>
      <c r="AK380" s="155"/>
      <c r="AL380" s="56"/>
      <c r="AM380" s="56"/>
      <c r="AN380" s="56"/>
    </row>
    <row r="381" spans="1:40" x14ac:dyDescent="0.25">
      <c r="A381" s="56"/>
      <c r="C381" s="56"/>
      <c r="D381" s="56"/>
      <c r="E381" s="56"/>
      <c r="F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T381" s="56"/>
      <c r="U381" s="56"/>
      <c r="V381" s="56"/>
      <c r="Y381" s="56"/>
      <c r="Z381" s="56"/>
      <c r="AA381" s="56"/>
      <c r="AB381" s="56"/>
      <c r="AC381" s="56"/>
      <c r="AD381" s="56"/>
      <c r="AE381" s="56"/>
      <c r="AF381" s="56"/>
      <c r="AG381" s="155"/>
      <c r="AH381" s="56"/>
      <c r="AI381" s="56"/>
      <c r="AJ381" s="56"/>
      <c r="AK381" s="155"/>
      <c r="AL381" s="56"/>
      <c r="AM381" s="56"/>
      <c r="AN381" s="56"/>
    </row>
    <row r="382" spans="1:40" x14ac:dyDescent="0.25">
      <c r="C382" s="56"/>
      <c r="D382" s="56"/>
      <c r="E382" s="56"/>
      <c r="F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T382" s="56"/>
      <c r="U382" s="56"/>
      <c r="V382" s="56"/>
      <c r="Y382" s="56"/>
      <c r="Z382" s="56"/>
      <c r="AA382" s="56"/>
      <c r="AB382" s="56"/>
      <c r="AC382" s="56"/>
      <c r="AD382" s="56"/>
      <c r="AE382" s="56"/>
      <c r="AF382" s="56"/>
      <c r="AG382" s="155"/>
      <c r="AH382" s="56"/>
      <c r="AI382" s="56"/>
      <c r="AJ382" s="56"/>
      <c r="AK382" s="155"/>
      <c r="AL382" s="56"/>
      <c r="AM382" s="56"/>
      <c r="AN382" s="56"/>
    </row>
    <row r="383" spans="1:40" x14ac:dyDescent="0.25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154"/>
      <c r="AH383" s="55"/>
      <c r="AI383" s="55"/>
      <c r="AJ383" s="55"/>
      <c r="AK383" s="154"/>
      <c r="AL383" s="55"/>
      <c r="AM383" s="55"/>
      <c r="AN383" s="55"/>
    </row>
    <row r="384" spans="1:40" x14ac:dyDescent="0.25"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Y384" s="56"/>
      <c r="Z384" s="56"/>
      <c r="AA384" s="56"/>
      <c r="AB384" s="56"/>
      <c r="AC384" s="56"/>
      <c r="AD384" s="56"/>
      <c r="AE384" s="56"/>
      <c r="AF384" s="56"/>
      <c r="AG384" s="155"/>
      <c r="AH384" s="56"/>
      <c r="AI384" s="56"/>
      <c r="AJ384" s="56"/>
      <c r="AK384" s="155"/>
      <c r="AL384" s="56"/>
      <c r="AM384" s="56"/>
      <c r="AN384" s="56"/>
    </row>
    <row r="385" spans="1:40" x14ac:dyDescent="0.25">
      <c r="A385" s="53"/>
      <c r="C385" s="54"/>
      <c r="D385" s="54"/>
      <c r="E385" s="54"/>
      <c r="T385" s="54"/>
      <c r="U385" s="54"/>
    </row>
    <row r="387" spans="1:40" x14ac:dyDescent="0.25">
      <c r="A387" s="53"/>
      <c r="C387" s="54"/>
      <c r="T387" s="54"/>
    </row>
    <row r="388" spans="1:40" x14ac:dyDescent="0.25">
      <c r="A388" s="53"/>
      <c r="C388" s="54"/>
      <c r="F388" s="449"/>
      <c r="H388" s="449"/>
      <c r="I388" s="449"/>
      <c r="J388" s="464"/>
      <c r="K388" s="464"/>
      <c r="L388" s="379"/>
      <c r="M388" s="379"/>
      <c r="N388" s="50"/>
      <c r="O388" s="50"/>
      <c r="P388" s="379"/>
      <c r="Q388" s="379"/>
      <c r="R388" s="379"/>
      <c r="T388" s="54"/>
      <c r="V388" s="449"/>
      <c r="Y388" s="449"/>
      <c r="Z388" s="464"/>
      <c r="AA388" s="379"/>
      <c r="AB388" s="379"/>
      <c r="AC388" s="50"/>
      <c r="AD388" s="50"/>
      <c r="AE388" s="379"/>
      <c r="AF388" s="379"/>
      <c r="AG388" s="156"/>
      <c r="AH388" s="60"/>
      <c r="AI388" s="379"/>
      <c r="AJ388" s="379"/>
      <c r="AK388" s="156"/>
      <c r="AL388" s="379"/>
      <c r="AM388" s="50"/>
      <c r="AN388" s="50"/>
    </row>
    <row r="389" spans="1:40" x14ac:dyDescent="0.25">
      <c r="A389" s="53"/>
      <c r="C389" s="54"/>
      <c r="T389" s="54"/>
    </row>
    <row r="390" spans="1:40" x14ac:dyDescent="0.25">
      <c r="A390" s="53"/>
      <c r="C390" s="54"/>
      <c r="F390" s="449"/>
      <c r="H390" s="449"/>
      <c r="I390" s="449"/>
      <c r="J390" s="221"/>
      <c r="K390" s="221"/>
      <c r="L390" s="379"/>
      <c r="M390" s="379"/>
      <c r="N390" s="50"/>
      <c r="O390" s="50"/>
      <c r="P390" s="379"/>
      <c r="Q390" s="379"/>
      <c r="R390" s="379"/>
      <c r="T390" s="54"/>
      <c r="V390" s="379"/>
      <c r="Y390" s="379"/>
      <c r="Z390" s="221"/>
      <c r="AA390" s="379"/>
      <c r="AB390" s="379"/>
      <c r="AC390" s="50"/>
      <c r="AD390" s="50"/>
      <c r="AE390" s="379"/>
      <c r="AF390" s="379"/>
      <c r="AG390" s="156"/>
      <c r="AH390" s="60"/>
      <c r="AI390" s="379"/>
      <c r="AJ390" s="379"/>
      <c r="AK390" s="156"/>
      <c r="AL390" s="379"/>
      <c r="AM390" s="50"/>
      <c r="AN390" s="50"/>
    </row>
    <row r="391" spans="1:40" x14ac:dyDescent="0.25">
      <c r="A391" s="53"/>
      <c r="C391" s="54"/>
      <c r="F391" s="449"/>
      <c r="H391" s="449"/>
      <c r="I391" s="449"/>
      <c r="J391" s="221"/>
      <c r="K391" s="221"/>
      <c r="L391" s="379"/>
      <c r="M391" s="379"/>
      <c r="N391" s="50"/>
      <c r="O391" s="50"/>
      <c r="P391" s="379"/>
      <c r="Q391" s="379"/>
      <c r="R391" s="379"/>
      <c r="T391" s="54"/>
      <c r="V391" s="379"/>
      <c r="Y391" s="379"/>
      <c r="Z391" s="221"/>
      <c r="AA391" s="379"/>
      <c r="AB391" s="379"/>
      <c r="AC391" s="50"/>
      <c r="AD391" s="50"/>
      <c r="AE391" s="379"/>
      <c r="AF391" s="379"/>
      <c r="AG391" s="156"/>
      <c r="AH391" s="60"/>
      <c r="AI391" s="379"/>
      <c r="AJ391" s="379"/>
      <c r="AK391" s="156"/>
      <c r="AL391" s="379"/>
      <c r="AM391" s="50"/>
      <c r="AN391" s="50"/>
    </row>
    <row r="392" spans="1:40" x14ac:dyDescent="0.25">
      <c r="A392" s="53"/>
      <c r="C392" s="54"/>
      <c r="F392" s="449"/>
      <c r="H392" s="449"/>
      <c r="I392" s="449"/>
      <c r="J392" s="221"/>
      <c r="K392" s="221"/>
      <c r="L392" s="379"/>
      <c r="M392" s="379"/>
      <c r="N392" s="50"/>
      <c r="O392" s="50"/>
      <c r="P392" s="379"/>
      <c r="Q392" s="379"/>
      <c r="R392" s="379"/>
      <c r="T392" s="54"/>
      <c r="V392" s="379"/>
      <c r="Y392" s="379"/>
      <c r="Z392" s="221"/>
      <c r="AA392" s="379"/>
      <c r="AB392" s="379"/>
      <c r="AC392" s="50"/>
      <c r="AD392" s="50"/>
      <c r="AE392" s="379"/>
      <c r="AF392" s="379"/>
      <c r="AG392" s="156"/>
      <c r="AH392" s="60"/>
      <c r="AI392" s="379"/>
      <c r="AJ392" s="379"/>
      <c r="AK392" s="156"/>
      <c r="AL392" s="379"/>
      <c r="AM392" s="50"/>
      <c r="AN392" s="50"/>
    </row>
    <row r="393" spans="1:40" x14ac:dyDescent="0.25">
      <c r="A393" s="53"/>
      <c r="C393" s="54"/>
      <c r="F393" s="449"/>
      <c r="H393" s="449"/>
      <c r="I393" s="449"/>
      <c r="J393" s="221"/>
      <c r="K393" s="221"/>
      <c r="L393" s="379"/>
      <c r="M393" s="379"/>
      <c r="N393" s="50"/>
      <c r="O393" s="50"/>
      <c r="P393" s="379"/>
      <c r="Q393" s="379"/>
      <c r="R393" s="379"/>
      <c r="T393" s="54"/>
      <c r="V393" s="379"/>
      <c r="Y393" s="379"/>
      <c r="Z393" s="221"/>
      <c r="AA393" s="379"/>
      <c r="AB393" s="379"/>
      <c r="AC393" s="50"/>
      <c r="AD393" s="50"/>
      <c r="AE393" s="379"/>
      <c r="AF393" s="379"/>
      <c r="AG393" s="156"/>
      <c r="AH393" s="60"/>
      <c r="AI393" s="379"/>
      <c r="AJ393" s="379"/>
      <c r="AK393" s="156"/>
      <c r="AL393" s="379"/>
      <c r="AM393" s="50"/>
      <c r="AN393" s="50"/>
    </row>
    <row r="394" spans="1:40" x14ac:dyDescent="0.25">
      <c r="A394" s="53"/>
      <c r="C394" s="54"/>
      <c r="J394" s="65"/>
      <c r="K394" s="65"/>
      <c r="T394" s="54"/>
      <c r="Z394" s="65"/>
    </row>
    <row r="395" spans="1:40" x14ac:dyDescent="0.25">
      <c r="A395" s="53"/>
      <c r="C395" s="54"/>
      <c r="F395" s="449"/>
      <c r="H395" s="449"/>
      <c r="I395" s="449"/>
      <c r="J395" s="221"/>
      <c r="K395" s="221"/>
      <c r="L395" s="379"/>
      <c r="M395" s="379"/>
      <c r="N395" s="50"/>
      <c r="O395" s="50"/>
      <c r="P395" s="379"/>
      <c r="Q395" s="379"/>
      <c r="R395" s="379"/>
      <c r="T395" s="54"/>
      <c r="V395" s="379"/>
      <c r="Y395" s="379"/>
      <c r="Z395" s="221"/>
      <c r="AA395" s="379"/>
      <c r="AB395" s="379"/>
      <c r="AC395" s="50"/>
      <c r="AD395" s="50"/>
      <c r="AE395" s="379"/>
      <c r="AF395" s="379"/>
      <c r="AG395" s="156"/>
      <c r="AH395" s="60"/>
      <c r="AI395" s="379"/>
      <c r="AJ395" s="379"/>
      <c r="AK395" s="156"/>
      <c r="AL395" s="379"/>
      <c r="AM395" s="50"/>
      <c r="AN395" s="50"/>
    </row>
    <row r="396" spans="1:40" x14ac:dyDescent="0.25">
      <c r="A396" s="53"/>
      <c r="C396" s="54"/>
      <c r="F396" s="449"/>
      <c r="H396" s="449"/>
      <c r="I396" s="449"/>
      <c r="J396" s="221"/>
      <c r="K396" s="221"/>
      <c r="L396" s="379"/>
      <c r="M396" s="379"/>
      <c r="N396" s="50"/>
      <c r="O396" s="50"/>
      <c r="P396" s="379"/>
      <c r="Q396" s="379"/>
      <c r="R396" s="379"/>
      <c r="T396" s="54"/>
      <c r="V396" s="379"/>
      <c r="Y396" s="379"/>
      <c r="Z396" s="221"/>
      <c r="AA396" s="379"/>
      <c r="AB396" s="379"/>
      <c r="AC396" s="50"/>
      <c r="AD396" s="50"/>
      <c r="AE396" s="379"/>
      <c r="AF396" s="379"/>
      <c r="AG396" s="156"/>
      <c r="AH396" s="60"/>
      <c r="AI396" s="379"/>
      <c r="AJ396" s="379"/>
      <c r="AK396" s="156"/>
      <c r="AL396" s="379"/>
      <c r="AM396" s="50"/>
      <c r="AN396" s="50"/>
    </row>
    <row r="397" spans="1:40" x14ac:dyDescent="0.25">
      <c r="A397" s="53"/>
      <c r="C397" s="54"/>
      <c r="F397" s="449"/>
      <c r="H397" s="449"/>
      <c r="I397" s="449"/>
      <c r="J397" s="221"/>
      <c r="K397" s="221"/>
      <c r="L397" s="379"/>
      <c r="M397" s="379"/>
      <c r="N397" s="50"/>
      <c r="O397" s="50"/>
      <c r="P397" s="379"/>
      <c r="Q397" s="379"/>
      <c r="R397" s="379"/>
      <c r="T397" s="54"/>
      <c r="V397" s="379"/>
      <c r="Y397" s="379"/>
      <c r="Z397" s="221"/>
      <c r="AA397" s="379"/>
      <c r="AB397" s="379"/>
      <c r="AC397" s="50"/>
      <c r="AD397" s="50"/>
      <c r="AE397" s="379"/>
      <c r="AF397" s="379"/>
      <c r="AG397" s="156"/>
      <c r="AH397" s="60"/>
      <c r="AI397" s="379"/>
      <c r="AJ397" s="379"/>
      <c r="AK397" s="156"/>
      <c r="AL397" s="379"/>
      <c r="AM397" s="50"/>
      <c r="AN397" s="50"/>
    </row>
    <row r="398" spans="1:40" x14ac:dyDescent="0.25">
      <c r="A398" s="53"/>
      <c r="C398" s="54"/>
      <c r="J398" s="65"/>
      <c r="K398" s="65"/>
      <c r="T398" s="54"/>
      <c r="Z398" s="65"/>
    </row>
    <row r="399" spans="1:40" x14ac:dyDescent="0.25">
      <c r="A399" s="53"/>
      <c r="C399" s="54"/>
      <c r="F399" s="449"/>
      <c r="H399" s="449"/>
      <c r="I399" s="449"/>
      <c r="J399" s="221"/>
      <c r="K399" s="221"/>
      <c r="L399" s="379"/>
      <c r="M399" s="379"/>
      <c r="N399" s="50"/>
      <c r="O399" s="50"/>
      <c r="P399" s="379"/>
      <c r="Q399" s="379"/>
      <c r="R399" s="379"/>
      <c r="T399" s="54"/>
      <c r="V399" s="379"/>
      <c r="Y399" s="379"/>
      <c r="Z399" s="221"/>
      <c r="AA399" s="379"/>
      <c r="AB399" s="379"/>
      <c r="AC399" s="50"/>
      <c r="AD399" s="50"/>
      <c r="AE399" s="379"/>
      <c r="AF399" s="379"/>
      <c r="AG399" s="156"/>
      <c r="AH399" s="60"/>
      <c r="AI399" s="379"/>
      <c r="AJ399" s="379"/>
      <c r="AK399" s="156"/>
      <c r="AL399" s="379"/>
      <c r="AM399" s="50"/>
      <c r="AN399" s="50"/>
    </row>
    <row r="400" spans="1:40" x14ac:dyDescent="0.25">
      <c r="A400" s="53"/>
      <c r="C400" s="54"/>
      <c r="F400" s="449"/>
      <c r="H400" s="449"/>
      <c r="I400" s="449"/>
      <c r="J400" s="221"/>
      <c r="K400" s="221"/>
      <c r="L400" s="379"/>
      <c r="M400" s="379"/>
      <c r="N400" s="50"/>
      <c r="O400" s="50"/>
      <c r="P400" s="379"/>
      <c r="Q400" s="379"/>
      <c r="R400" s="379"/>
      <c r="T400" s="54"/>
      <c r="V400" s="379"/>
      <c r="Y400" s="379"/>
      <c r="Z400" s="221"/>
      <c r="AA400" s="379"/>
      <c r="AB400" s="379"/>
      <c r="AC400" s="50"/>
      <c r="AD400" s="50"/>
      <c r="AE400" s="379"/>
      <c r="AF400" s="379"/>
      <c r="AG400" s="156"/>
      <c r="AH400" s="60"/>
      <c r="AI400" s="379"/>
      <c r="AJ400" s="379"/>
      <c r="AK400" s="156"/>
      <c r="AL400" s="379"/>
      <c r="AM400" s="50"/>
      <c r="AN400" s="50"/>
    </row>
    <row r="401" spans="1:40" x14ac:dyDescent="0.25">
      <c r="A401" s="53"/>
      <c r="C401" s="54"/>
      <c r="J401" s="65"/>
      <c r="K401" s="65"/>
      <c r="T401" s="54"/>
      <c r="Z401" s="65"/>
    </row>
    <row r="402" spans="1:40" x14ac:dyDescent="0.25">
      <c r="A402" s="53"/>
      <c r="C402" s="54"/>
      <c r="F402" s="449"/>
      <c r="H402" s="449"/>
      <c r="I402" s="449"/>
      <c r="J402" s="221"/>
      <c r="K402" s="221"/>
      <c r="L402" s="379"/>
      <c r="M402" s="379"/>
      <c r="N402" s="50"/>
      <c r="O402" s="50"/>
      <c r="P402" s="379"/>
      <c r="Q402" s="379"/>
      <c r="R402" s="379"/>
      <c r="T402" s="54"/>
      <c r="V402" s="379"/>
      <c r="Y402" s="379"/>
      <c r="Z402" s="221"/>
      <c r="AA402" s="379"/>
      <c r="AB402" s="379"/>
      <c r="AC402" s="50"/>
      <c r="AD402" s="50"/>
      <c r="AE402" s="379"/>
      <c r="AF402" s="379"/>
      <c r="AG402" s="156"/>
      <c r="AH402" s="60"/>
      <c r="AI402" s="379"/>
      <c r="AJ402" s="379"/>
      <c r="AK402" s="156"/>
      <c r="AL402" s="379"/>
      <c r="AM402" s="50"/>
      <c r="AN402" s="50"/>
    </row>
    <row r="403" spans="1:40" x14ac:dyDescent="0.25">
      <c r="A403" s="53"/>
      <c r="C403" s="54"/>
      <c r="F403" s="449"/>
      <c r="H403" s="449"/>
      <c r="I403" s="449"/>
      <c r="J403" s="221"/>
      <c r="K403" s="221"/>
      <c r="L403" s="379"/>
      <c r="M403" s="379"/>
      <c r="N403" s="50"/>
      <c r="O403" s="50"/>
      <c r="P403" s="379"/>
      <c r="Q403" s="379"/>
      <c r="R403" s="379"/>
      <c r="T403" s="54"/>
      <c r="V403" s="379"/>
      <c r="Y403" s="379"/>
      <c r="Z403" s="221"/>
      <c r="AA403" s="379"/>
      <c r="AB403" s="379"/>
      <c r="AC403" s="50"/>
      <c r="AD403" s="50"/>
      <c r="AE403" s="379"/>
      <c r="AF403" s="379"/>
      <c r="AG403" s="156"/>
      <c r="AH403" s="60"/>
      <c r="AI403" s="379"/>
      <c r="AJ403" s="379"/>
      <c r="AK403" s="156"/>
      <c r="AL403" s="379"/>
      <c r="AM403" s="50"/>
      <c r="AN403" s="50"/>
    </row>
    <row r="404" spans="1:40" x14ac:dyDescent="0.25">
      <c r="A404" s="53"/>
      <c r="C404" s="54"/>
      <c r="F404" s="449"/>
      <c r="H404" s="449"/>
      <c r="I404" s="449"/>
      <c r="J404" s="221"/>
      <c r="K404" s="221"/>
      <c r="L404" s="379"/>
      <c r="M404" s="379"/>
      <c r="N404" s="50"/>
      <c r="O404" s="50"/>
      <c r="P404" s="379"/>
      <c r="Q404" s="379"/>
      <c r="R404" s="379"/>
      <c r="T404" s="54"/>
      <c r="V404" s="379"/>
      <c r="Y404" s="379"/>
      <c r="Z404" s="221"/>
      <c r="AA404" s="379"/>
      <c r="AB404" s="379"/>
      <c r="AC404" s="50"/>
      <c r="AD404" s="50"/>
      <c r="AE404" s="379"/>
      <c r="AF404" s="379"/>
      <c r="AG404" s="156"/>
      <c r="AH404" s="60"/>
      <c r="AI404" s="379"/>
      <c r="AJ404" s="379"/>
      <c r="AK404" s="156"/>
      <c r="AL404" s="379"/>
      <c r="AM404" s="50"/>
      <c r="AN404" s="50"/>
    </row>
    <row r="405" spans="1:40" x14ac:dyDescent="0.25">
      <c r="F405" s="381"/>
      <c r="H405" s="381"/>
      <c r="I405" s="381"/>
      <c r="J405" s="221"/>
      <c r="K405" s="221"/>
      <c r="L405" s="381"/>
      <c r="M405" s="381"/>
      <c r="N405" s="381"/>
      <c r="O405" s="381"/>
      <c r="P405" s="381"/>
      <c r="Q405" s="381"/>
      <c r="R405" s="381"/>
      <c r="V405" s="381"/>
      <c r="Y405" s="381"/>
      <c r="Z405" s="221"/>
      <c r="AA405" s="381"/>
      <c r="AB405" s="381"/>
      <c r="AC405" s="381"/>
      <c r="AD405" s="381"/>
      <c r="AE405" s="381"/>
      <c r="AF405" s="381"/>
      <c r="AI405" s="381"/>
      <c r="AJ405" s="381"/>
      <c r="AK405" s="162"/>
      <c r="AL405" s="381"/>
    </row>
    <row r="406" spans="1:40" x14ac:dyDescent="0.25">
      <c r="A406" s="53"/>
      <c r="C406" s="56"/>
      <c r="F406" s="379"/>
      <c r="H406" s="379"/>
      <c r="I406" s="379"/>
      <c r="J406" s="65"/>
      <c r="K406" s="65"/>
      <c r="L406" s="379"/>
      <c r="M406" s="379"/>
      <c r="N406" s="60"/>
      <c r="O406" s="60"/>
      <c r="P406" s="379"/>
      <c r="Q406" s="379"/>
      <c r="R406" s="379"/>
      <c r="T406" s="56"/>
      <c r="V406" s="379"/>
      <c r="Y406" s="379"/>
      <c r="Z406" s="65"/>
      <c r="AA406" s="379"/>
      <c r="AB406" s="379"/>
      <c r="AC406" s="379"/>
      <c r="AD406" s="379"/>
      <c r="AE406" s="379"/>
      <c r="AF406" s="379"/>
      <c r="AG406" s="156"/>
      <c r="AH406" s="60"/>
      <c r="AI406" s="379"/>
      <c r="AJ406" s="379"/>
      <c r="AK406" s="156"/>
      <c r="AL406" s="379"/>
      <c r="AM406" s="50"/>
      <c r="AN406" s="50"/>
    </row>
    <row r="407" spans="1:40" x14ac:dyDescent="0.25">
      <c r="F407" s="381"/>
      <c r="H407" s="381"/>
      <c r="I407" s="381"/>
      <c r="J407" s="221"/>
      <c r="K407" s="221"/>
      <c r="L407" s="381"/>
      <c r="M407" s="381"/>
      <c r="N407" s="381"/>
      <c r="O407" s="381"/>
      <c r="P407" s="381"/>
      <c r="Q407" s="381"/>
      <c r="R407" s="381"/>
      <c r="V407" s="381"/>
      <c r="Y407" s="381"/>
      <c r="Z407" s="221"/>
      <c r="AA407" s="381"/>
      <c r="AB407" s="381"/>
      <c r="AC407" s="381"/>
      <c r="AD407" s="381"/>
      <c r="AE407" s="381"/>
      <c r="AF407" s="381"/>
      <c r="AI407" s="381"/>
      <c r="AJ407" s="381"/>
      <c r="AK407" s="162"/>
      <c r="AL407" s="381"/>
    </row>
    <row r="408" spans="1:40" x14ac:dyDescent="0.25">
      <c r="A408" s="53"/>
      <c r="C408" s="54"/>
      <c r="J408" s="65"/>
      <c r="K408" s="65"/>
      <c r="T408" s="54"/>
      <c r="Z408" s="65"/>
    </row>
    <row r="409" spans="1:40" x14ac:dyDescent="0.25">
      <c r="A409" s="53"/>
      <c r="C409" s="54"/>
      <c r="J409" s="65"/>
      <c r="K409" s="65"/>
      <c r="T409" s="54"/>
      <c r="Z409" s="65"/>
    </row>
    <row r="410" spans="1:40" x14ac:dyDescent="0.25">
      <c r="A410" s="53"/>
      <c r="C410" s="54"/>
      <c r="F410" s="449"/>
      <c r="H410" s="449"/>
      <c r="I410" s="449"/>
      <c r="J410" s="221"/>
      <c r="K410" s="221"/>
      <c r="L410" s="379"/>
      <c r="M410" s="379"/>
      <c r="N410" s="50"/>
      <c r="O410" s="50"/>
      <c r="P410" s="379"/>
      <c r="Q410" s="379"/>
      <c r="R410" s="379"/>
      <c r="T410" s="54"/>
      <c r="V410" s="379"/>
      <c r="Y410" s="379"/>
      <c r="Z410" s="221"/>
      <c r="AA410" s="379"/>
      <c r="AB410" s="379"/>
      <c r="AC410" s="50"/>
      <c r="AD410" s="50"/>
      <c r="AE410" s="379"/>
      <c r="AF410" s="379"/>
      <c r="AG410" s="156"/>
      <c r="AH410" s="60"/>
      <c r="AI410" s="379"/>
      <c r="AJ410" s="379"/>
      <c r="AK410" s="156"/>
      <c r="AL410" s="379"/>
      <c r="AM410" s="50"/>
      <c r="AN410" s="50"/>
    </row>
    <row r="411" spans="1:40" x14ac:dyDescent="0.25">
      <c r="A411" s="53"/>
      <c r="C411" s="54"/>
      <c r="F411" s="449"/>
      <c r="H411" s="449"/>
      <c r="I411" s="449"/>
      <c r="J411" s="221"/>
      <c r="K411" s="221"/>
      <c r="L411" s="379"/>
      <c r="M411" s="379"/>
      <c r="N411" s="50"/>
      <c r="O411" s="50"/>
      <c r="P411" s="379"/>
      <c r="Q411" s="379"/>
      <c r="R411" s="379"/>
      <c r="T411" s="54"/>
      <c r="V411" s="379"/>
      <c r="Y411" s="379"/>
      <c r="Z411" s="221"/>
      <c r="AA411" s="379"/>
      <c r="AB411" s="379"/>
      <c r="AC411" s="50"/>
      <c r="AD411" s="50"/>
      <c r="AE411" s="379"/>
      <c r="AF411" s="379"/>
      <c r="AG411" s="156"/>
      <c r="AH411" s="60"/>
      <c r="AI411" s="379"/>
      <c r="AJ411" s="379"/>
      <c r="AK411" s="156"/>
      <c r="AL411" s="379"/>
      <c r="AM411" s="50"/>
      <c r="AN411" s="50"/>
    </row>
    <row r="412" spans="1:40" x14ac:dyDescent="0.25">
      <c r="A412" s="53"/>
      <c r="C412" s="54"/>
      <c r="F412" s="449"/>
      <c r="H412" s="449"/>
      <c r="I412" s="449"/>
      <c r="J412" s="221"/>
      <c r="K412" s="221"/>
      <c r="L412" s="379"/>
      <c r="M412" s="379"/>
      <c r="N412" s="50"/>
      <c r="O412" s="50"/>
      <c r="P412" s="379"/>
      <c r="Q412" s="379"/>
      <c r="R412" s="379"/>
      <c r="T412" s="54"/>
      <c r="V412" s="379"/>
      <c r="Y412" s="379"/>
      <c r="Z412" s="221"/>
      <c r="AA412" s="379"/>
      <c r="AB412" s="379"/>
      <c r="AC412" s="50"/>
      <c r="AD412" s="50"/>
      <c r="AE412" s="379"/>
      <c r="AF412" s="379"/>
      <c r="AG412" s="156"/>
      <c r="AH412" s="60"/>
      <c r="AI412" s="379"/>
      <c r="AJ412" s="379"/>
      <c r="AK412" s="156"/>
      <c r="AL412" s="379"/>
      <c r="AM412" s="50"/>
      <c r="AN412" s="50"/>
    </row>
    <row r="413" spans="1:40" x14ac:dyDescent="0.25">
      <c r="A413" s="53"/>
      <c r="C413" s="54"/>
      <c r="F413" s="449"/>
      <c r="H413" s="449"/>
      <c r="I413" s="449"/>
      <c r="J413" s="221"/>
      <c r="K413" s="221"/>
      <c r="L413" s="379"/>
      <c r="M413" s="379"/>
      <c r="N413" s="50"/>
      <c r="O413" s="50"/>
      <c r="P413" s="379"/>
      <c r="Q413" s="379"/>
      <c r="R413" s="379"/>
      <c r="T413" s="54"/>
      <c r="V413" s="379"/>
      <c r="Y413" s="379"/>
      <c r="Z413" s="221"/>
      <c r="AA413" s="379"/>
      <c r="AB413" s="379"/>
      <c r="AC413" s="50"/>
      <c r="AD413" s="50"/>
      <c r="AE413" s="379"/>
      <c r="AF413" s="379"/>
      <c r="AG413" s="156"/>
      <c r="AH413" s="60"/>
      <c r="AI413" s="379"/>
      <c r="AJ413" s="379"/>
      <c r="AK413" s="156"/>
      <c r="AL413" s="379"/>
      <c r="AM413" s="50"/>
      <c r="AN413" s="50"/>
    </row>
    <row r="414" spans="1:40" x14ac:dyDescent="0.25">
      <c r="A414" s="53"/>
      <c r="C414" s="54"/>
      <c r="F414" s="449"/>
      <c r="H414" s="449"/>
      <c r="I414" s="449"/>
      <c r="J414" s="221"/>
      <c r="K414" s="221"/>
      <c r="L414" s="379"/>
      <c r="M414" s="379"/>
      <c r="N414" s="50"/>
      <c r="O414" s="50"/>
      <c r="P414" s="379"/>
      <c r="Q414" s="379"/>
      <c r="R414" s="379"/>
      <c r="T414" s="54"/>
      <c r="V414" s="379"/>
      <c r="Y414" s="379"/>
      <c r="Z414" s="221"/>
      <c r="AA414" s="379"/>
      <c r="AB414" s="379"/>
      <c r="AC414" s="50"/>
      <c r="AD414" s="50"/>
      <c r="AE414" s="379"/>
      <c r="AF414" s="379"/>
      <c r="AG414" s="156"/>
      <c r="AH414" s="60"/>
      <c r="AI414" s="379"/>
      <c r="AJ414" s="379"/>
      <c r="AK414" s="156"/>
      <c r="AL414" s="379"/>
      <c r="AM414" s="50"/>
      <c r="AN414" s="50"/>
    </row>
    <row r="415" spans="1:40" x14ac:dyDescent="0.25">
      <c r="A415" s="53"/>
      <c r="C415" s="54"/>
      <c r="F415" s="449"/>
      <c r="H415" s="449"/>
      <c r="I415" s="449"/>
      <c r="J415" s="221"/>
      <c r="K415" s="221"/>
      <c r="L415" s="379"/>
      <c r="M415" s="379"/>
      <c r="N415" s="50"/>
      <c r="O415" s="50"/>
      <c r="P415" s="379"/>
      <c r="Q415" s="379"/>
      <c r="R415" s="379"/>
      <c r="T415" s="54"/>
      <c r="V415" s="379"/>
      <c r="Y415" s="379"/>
      <c r="Z415" s="221"/>
      <c r="AA415" s="379"/>
      <c r="AB415" s="379"/>
      <c r="AC415" s="50"/>
      <c r="AD415" s="50"/>
      <c r="AE415" s="379"/>
      <c r="AF415" s="379"/>
      <c r="AG415" s="156"/>
      <c r="AH415" s="60"/>
      <c r="AI415" s="379"/>
      <c r="AJ415" s="379"/>
      <c r="AK415" s="156"/>
      <c r="AL415" s="379"/>
      <c r="AM415" s="50"/>
      <c r="AN415" s="50"/>
    </row>
    <row r="416" spans="1:40" x14ac:dyDescent="0.25">
      <c r="A416" s="53"/>
      <c r="C416" s="54"/>
      <c r="F416" s="449"/>
      <c r="H416" s="449"/>
      <c r="I416" s="449"/>
      <c r="J416" s="221"/>
      <c r="K416" s="221"/>
      <c r="L416" s="379"/>
      <c r="M416" s="379"/>
      <c r="N416" s="50"/>
      <c r="O416" s="50"/>
      <c r="P416" s="379"/>
      <c r="Q416" s="379"/>
      <c r="R416" s="379"/>
      <c r="T416" s="54"/>
      <c r="V416" s="379"/>
      <c r="Y416" s="379"/>
      <c r="Z416" s="221"/>
      <c r="AA416" s="379"/>
      <c r="AB416" s="379"/>
      <c r="AC416" s="50"/>
      <c r="AD416" s="50"/>
      <c r="AE416" s="379"/>
      <c r="AF416" s="379"/>
      <c r="AG416" s="156"/>
      <c r="AH416" s="60"/>
      <c r="AI416" s="379"/>
      <c r="AJ416" s="379"/>
      <c r="AK416" s="156"/>
      <c r="AL416" s="379"/>
      <c r="AM416" s="50"/>
      <c r="AN416" s="50"/>
    </row>
    <row r="417" spans="1:40" x14ac:dyDescent="0.25">
      <c r="A417" s="53"/>
      <c r="C417" s="54"/>
      <c r="J417" s="65"/>
      <c r="K417" s="65"/>
      <c r="T417" s="54"/>
      <c r="Z417" s="65"/>
    </row>
    <row r="418" spans="1:40" x14ac:dyDescent="0.25">
      <c r="A418" s="53"/>
      <c r="C418" s="54"/>
      <c r="F418" s="449"/>
      <c r="H418" s="449"/>
      <c r="I418" s="449"/>
      <c r="J418" s="221"/>
      <c r="K418" s="221"/>
      <c r="L418" s="379"/>
      <c r="M418" s="379"/>
      <c r="N418" s="50"/>
      <c r="O418" s="50"/>
      <c r="P418" s="379"/>
      <c r="Q418" s="379"/>
      <c r="R418" s="379"/>
      <c r="T418" s="54"/>
      <c r="V418" s="379"/>
      <c r="Y418" s="379"/>
      <c r="Z418" s="221"/>
      <c r="AA418" s="379"/>
      <c r="AB418" s="379"/>
      <c r="AC418" s="50"/>
      <c r="AD418" s="50"/>
      <c r="AE418" s="379"/>
      <c r="AF418" s="379"/>
      <c r="AG418" s="156"/>
      <c r="AH418" s="60"/>
      <c r="AI418" s="379"/>
      <c r="AJ418" s="379"/>
      <c r="AK418" s="156"/>
      <c r="AL418" s="379"/>
      <c r="AM418" s="50"/>
      <c r="AN418" s="50"/>
    </row>
    <row r="419" spans="1:40" x14ac:dyDescent="0.25">
      <c r="A419" s="53"/>
      <c r="C419" s="54"/>
      <c r="F419" s="449"/>
      <c r="H419" s="449"/>
      <c r="I419" s="449"/>
      <c r="J419" s="221"/>
      <c r="K419" s="221"/>
      <c r="L419" s="379"/>
      <c r="M419" s="379"/>
      <c r="N419" s="50"/>
      <c r="O419" s="50"/>
      <c r="P419" s="379"/>
      <c r="Q419" s="379"/>
      <c r="R419" s="379"/>
      <c r="T419" s="54"/>
      <c r="V419" s="379"/>
      <c r="Y419" s="379"/>
      <c r="Z419" s="221"/>
      <c r="AA419" s="379"/>
      <c r="AB419" s="379"/>
      <c r="AC419" s="50"/>
      <c r="AD419" s="50"/>
      <c r="AE419" s="379"/>
      <c r="AF419" s="379"/>
      <c r="AG419" s="156"/>
      <c r="AH419" s="60"/>
      <c r="AI419" s="379"/>
      <c r="AJ419" s="379"/>
      <c r="AK419" s="156"/>
      <c r="AL419" s="379"/>
      <c r="AM419" s="50"/>
      <c r="AN419" s="50"/>
    </row>
    <row r="420" spans="1:40" x14ac:dyDescent="0.25">
      <c r="A420" s="53"/>
      <c r="C420" s="54"/>
      <c r="F420" s="449"/>
      <c r="H420" s="449"/>
      <c r="I420" s="449"/>
      <c r="J420" s="221"/>
      <c r="K420" s="221"/>
      <c r="L420" s="379"/>
      <c r="M420" s="379"/>
      <c r="N420" s="50"/>
      <c r="O420" s="50"/>
      <c r="P420" s="379"/>
      <c r="Q420" s="379"/>
      <c r="R420" s="379"/>
      <c r="T420" s="54"/>
      <c r="V420" s="379"/>
      <c r="Y420" s="379"/>
      <c r="Z420" s="221"/>
      <c r="AA420" s="379"/>
      <c r="AB420" s="379"/>
      <c r="AC420" s="50"/>
      <c r="AD420" s="50"/>
      <c r="AE420" s="379"/>
      <c r="AF420" s="379"/>
      <c r="AG420" s="156"/>
      <c r="AH420" s="60"/>
      <c r="AI420" s="379"/>
      <c r="AJ420" s="379"/>
      <c r="AK420" s="156"/>
      <c r="AL420" s="379"/>
      <c r="AM420" s="50"/>
      <c r="AN420" s="50"/>
    </row>
    <row r="421" spans="1:40" x14ac:dyDescent="0.25">
      <c r="A421" s="53"/>
      <c r="C421" s="54"/>
      <c r="F421" s="449"/>
      <c r="H421" s="449"/>
      <c r="I421" s="449"/>
      <c r="J421" s="221"/>
      <c r="K421" s="221"/>
      <c r="L421" s="379"/>
      <c r="M421" s="379"/>
      <c r="N421" s="50"/>
      <c r="O421" s="50"/>
      <c r="P421" s="379"/>
      <c r="Q421" s="379"/>
      <c r="R421" s="379"/>
      <c r="T421" s="54"/>
      <c r="V421" s="379"/>
      <c r="Y421" s="379"/>
      <c r="Z421" s="221"/>
      <c r="AA421" s="379"/>
      <c r="AB421" s="379"/>
      <c r="AC421" s="50"/>
      <c r="AD421" s="50"/>
      <c r="AE421" s="379"/>
      <c r="AF421" s="379"/>
      <c r="AG421" s="156"/>
      <c r="AH421" s="60"/>
      <c r="AI421" s="379"/>
      <c r="AJ421" s="379"/>
      <c r="AK421" s="156"/>
      <c r="AL421" s="379"/>
      <c r="AM421" s="50"/>
      <c r="AN421" s="50"/>
    </row>
    <row r="422" spans="1:40" x14ac:dyDescent="0.25">
      <c r="A422" s="53"/>
      <c r="C422" s="54"/>
      <c r="J422" s="65"/>
      <c r="K422" s="65"/>
      <c r="T422" s="54"/>
      <c r="Z422" s="65"/>
    </row>
    <row r="423" spans="1:40" x14ac:dyDescent="0.25">
      <c r="A423" s="53"/>
      <c r="C423" s="54"/>
      <c r="F423" s="449"/>
      <c r="H423" s="449"/>
      <c r="I423" s="449"/>
      <c r="J423" s="221"/>
      <c r="K423" s="221"/>
      <c r="L423" s="379"/>
      <c r="M423" s="379"/>
      <c r="N423" s="50"/>
      <c r="O423" s="50"/>
      <c r="P423" s="379"/>
      <c r="Q423" s="379"/>
      <c r="R423" s="379"/>
      <c r="T423" s="54"/>
      <c r="V423" s="379"/>
      <c r="Y423" s="379"/>
      <c r="Z423" s="221"/>
      <c r="AA423" s="379"/>
      <c r="AB423" s="379"/>
      <c r="AC423" s="50"/>
      <c r="AD423" s="50"/>
      <c r="AE423" s="379"/>
      <c r="AF423" s="379"/>
      <c r="AG423" s="156"/>
      <c r="AH423" s="60"/>
      <c r="AI423" s="379"/>
      <c r="AJ423" s="379"/>
      <c r="AK423" s="156"/>
      <c r="AL423" s="379"/>
      <c r="AM423" s="50"/>
      <c r="AN423" s="50"/>
    </row>
    <row r="424" spans="1:40" x14ac:dyDescent="0.25">
      <c r="A424" s="53"/>
      <c r="C424" s="54"/>
      <c r="F424" s="449"/>
      <c r="H424" s="449"/>
      <c r="I424" s="449"/>
      <c r="J424" s="221"/>
      <c r="K424" s="221"/>
      <c r="L424" s="379"/>
      <c r="M424" s="379"/>
      <c r="N424" s="50"/>
      <c r="O424" s="50"/>
      <c r="P424" s="379"/>
      <c r="Q424" s="379"/>
      <c r="R424" s="379"/>
      <c r="T424" s="54"/>
      <c r="V424" s="379"/>
      <c r="Y424" s="379"/>
      <c r="Z424" s="221"/>
      <c r="AA424" s="379"/>
      <c r="AB424" s="379"/>
      <c r="AC424" s="50"/>
      <c r="AD424" s="50"/>
      <c r="AE424" s="379"/>
      <c r="AF424" s="379"/>
      <c r="AG424" s="156"/>
      <c r="AH424" s="60"/>
      <c r="AI424" s="379"/>
      <c r="AJ424" s="379"/>
      <c r="AK424" s="156"/>
      <c r="AL424" s="379"/>
      <c r="AM424" s="50"/>
      <c r="AN424" s="50"/>
    </row>
    <row r="425" spans="1:40" x14ac:dyDescent="0.25">
      <c r="A425" s="53"/>
      <c r="C425" s="54"/>
      <c r="F425" s="449"/>
      <c r="H425" s="449"/>
      <c r="I425" s="449"/>
      <c r="J425" s="221"/>
      <c r="K425" s="221"/>
      <c r="L425" s="379"/>
      <c r="M425" s="379"/>
      <c r="N425" s="50"/>
      <c r="O425" s="50"/>
      <c r="P425" s="379"/>
      <c r="Q425" s="379"/>
      <c r="R425" s="379"/>
      <c r="T425" s="54"/>
      <c r="V425" s="379"/>
      <c r="Y425" s="379"/>
      <c r="Z425" s="221"/>
      <c r="AA425" s="379"/>
      <c r="AB425" s="379"/>
      <c r="AC425" s="50"/>
      <c r="AD425" s="50"/>
      <c r="AE425" s="379"/>
      <c r="AF425" s="379"/>
      <c r="AG425" s="156"/>
      <c r="AH425" s="60"/>
      <c r="AI425" s="379"/>
      <c r="AJ425" s="379"/>
      <c r="AK425" s="156"/>
      <c r="AL425" s="379"/>
      <c r="AM425" s="50"/>
      <c r="AN425" s="50"/>
    </row>
    <row r="426" spans="1:40" x14ac:dyDescent="0.25">
      <c r="A426" s="53"/>
      <c r="C426" s="54"/>
      <c r="F426" s="449"/>
      <c r="H426" s="449"/>
      <c r="I426" s="449"/>
      <c r="J426" s="221"/>
      <c r="K426" s="221"/>
      <c r="L426" s="379"/>
      <c r="M426" s="379"/>
      <c r="N426" s="50"/>
      <c r="O426" s="50"/>
      <c r="P426" s="379"/>
      <c r="Q426" s="379"/>
      <c r="R426" s="379"/>
      <c r="T426" s="54"/>
      <c r="V426" s="379"/>
      <c r="Y426" s="379"/>
      <c r="Z426" s="221"/>
      <c r="AA426" s="379"/>
      <c r="AB426" s="379"/>
      <c r="AC426" s="50"/>
      <c r="AD426" s="50"/>
      <c r="AE426" s="379"/>
      <c r="AF426" s="379"/>
      <c r="AG426" s="156"/>
      <c r="AH426" s="60"/>
      <c r="AI426" s="379"/>
      <c r="AJ426" s="379"/>
      <c r="AK426" s="156"/>
      <c r="AL426" s="379"/>
      <c r="AM426" s="50"/>
      <c r="AN426" s="50"/>
    </row>
    <row r="427" spans="1:40" x14ac:dyDescent="0.25">
      <c r="A427" s="53"/>
      <c r="C427" s="54"/>
      <c r="F427" s="449"/>
      <c r="H427" s="449"/>
      <c r="I427" s="449"/>
      <c r="J427" s="221"/>
      <c r="K427" s="221"/>
      <c r="L427" s="379"/>
      <c r="M427" s="379"/>
      <c r="N427" s="50"/>
      <c r="O427" s="50"/>
      <c r="P427" s="379"/>
      <c r="Q427" s="379"/>
      <c r="R427" s="379"/>
      <c r="T427" s="54"/>
      <c r="V427" s="379"/>
      <c r="Y427" s="379"/>
      <c r="Z427" s="221"/>
      <c r="AA427" s="379"/>
      <c r="AB427" s="379"/>
      <c r="AC427" s="50"/>
      <c r="AD427" s="50"/>
      <c r="AE427" s="379"/>
      <c r="AF427" s="379"/>
      <c r="AG427" s="156"/>
      <c r="AH427" s="60"/>
      <c r="AI427" s="379"/>
      <c r="AJ427" s="379"/>
      <c r="AK427" s="156"/>
      <c r="AL427" s="379"/>
      <c r="AM427" s="50"/>
      <c r="AN427" s="50"/>
    </row>
    <row r="428" spans="1:40" x14ac:dyDescent="0.25">
      <c r="F428" s="381"/>
      <c r="H428" s="381"/>
      <c r="I428" s="381"/>
      <c r="J428" s="464"/>
      <c r="K428" s="464"/>
      <c r="L428" s="381"/>
      <c r="M428" s="381"/>
      <c r="N428" s="381"/>
      <c r="O428" s="381"/>
      <c r="P428" s="381"/>
      <c r="Q428" s="381"/>
      <c r="R428" s="381"/>
      <c r="V428" s="381"/>
      <c r="Y428" s="381"/>
      <c r="Z428" s="221"/>
      <c r="AA428" s="381"/>
      <c r="AB428" s="381"/>
      <c r="AC428" s="381"/>
      <c r="AD428" s="381"/>
      <c r="AE428" s="381"/>
      <c r="AF428" s="381"/>
      <c r="AI428" s="381"/>
      <c r="AJ428" s="381"/>
      <c r="AK428" s="162"/>
      <c r="AL428" s="381"/>
    </row>
    <row r="429" spans="1:40" x14ac:dyDescent="0.25">
      <c r="A429" s="53"/>
      <c r="C429" s="54"/>
      <c r="F429" s="379"/>
      <c r="H429" s="379"/>
      <c r="I429" s="379"/>
      <c r="L429" s="379"/>
      <c r="M429" s="379"/>
      <c r="N429" s="60"/>
      <c r="O429" s="60"/>
      <c r="P429" s="379"/>
      <c r="Q429" s="379"/>
      <c r="R429" s="379"/>
      <c r="T429" s="54"/>
      <c r="V429" s="379"/>
      <c r="Y429" s="379"/>
      <c r="AA429" s="379"/>
      <c r="AB429" s="379"/>
      <c r="AC429" s="50"/>
      <c r="AD429" s="50"/>
      <c r="AE429" s="379"/>
      <c r="AF429" s="379"/>
      <c r="AG429" s="156"/>
      <c r="AH429" s="60"/>
      <c r="AI429" s="379"/>
      <c r="AJ429" s="379"/>
      <c r="AK429" s="156"/>
      <c r="AL429" s="379"/>
      <c r="AM429" s="50"/>
      <c r="AN429" s="50"/>
    </row>
    <row r="430" spans="1:40" x14ac:dyDescent="0.25">
      <c r="F430" s="381"/>
      <c r="H430" s="381"/>
      <c r="I430" s="381"/>
      <c r="J430" s="464"/>
      <c r="K430" s="464"/>
      <c r="L430" s="381"/>
      <c r="M430" s="381"/>
      <c r="N430" s="381"/>
      <c r="O430" s="381"/>
      <c r="P430" s="381"/>
      <c r="Q430" s="381"/>
      <c r="R430" s="381"/>
      <c r="V430" s="381"/>
      <c r="Y430" s="381"/>
      <c r="Z430" s="464"/>
      <c r="AA430" s="381"/>
      <c r="AB430" s="381"/>
      <c r="AC430" s="381"/>
      <c r="AD430" s="381"/>
      <c r="AE430" s="381"/>
      <c r="AF430" s="381"/>
      <c r="AI430" s="381"/>
      <c r="AJ430" s="381"/>
      <c r="AK430" s="162"/>
      <c r="AL430" s="381"/>
    </row>
    <row r="431" spans="1:40" x14ac:dyDescent="0.25">
      <c r="A431" s="53"/>
      <c r="C431" s="54"/>
      <c r="T431" s="54"/>
    </row>
    <row r="432" spans="1:40" x14ac:dyDescent="0.25">
      <c r="A432" s="53"/>
      <c r="C432" s="54"/>
      <c r="F432" s="449"/>
      <c r="H432" s="449"/>
      <c r="I432" s="449"/>
      <c r="J432" s="461"/>
      <c r="K432" s="461"/>
      <c r="L432" s="379"/>
      <c r="M432" s="379"/>
      <c r="N432" s="50"/>
      <c r="O432" s="50"/>
      <c r="P432" s="379"/>
      <c r="Q432" s="379"/>
      <c r="R432" s="379"/>
      <c r="T432" s="54"/>
      <c r="V432" s="379"/>
      <c r="Y432" s="379"/>
      <c r="Z432" s="461"/>
      <c r="AA432" s="379"/>
      <c r="AB432" s="379"/>
      <c r="AC432" s="50"/>
      <c r="AD432" s="50"/>
      <c r="AE432" s="379"/>
      <c r="AF432" s="379"/>
      <c r="AG432" s="156"/>
      <c r="AH432" s="60"/>
      <c r="AI432" s="379"/>
      <c r="AJ432" s="379"/>
      <c r="AK432" s="156"/>
      <c r="AL432" s="379"/>
      <c r="AM432" s="50"/>
      <c r="AN432" s="50"/>
    </row>
    <row r="433" spans="1:40" x14ac:dyDescent="0.25">
      <c r="A433" s="53"/>
      <c r="C433" s="54"/>
      <c r="F433" s="449"/>
      <c r="H433" s="449"/>
      <c r="I433" s="449"/>
      <c r="J433" s="461"/>
      <c r="K433" s="461"/>
      <c r="L433" s="379"/>
      <c r="M433" s="379"/>
      <c r="N433" s="50"/>
      <c r="O433" s="50"/>
      <c r="P433" s="379"/>
      <c r="Q433" s="379"/>
      <c r="R433" s="379"/>
      <c r="T433" s="54"/>
      <c r="V433" s="379"/>
      <c r="Y433" s="379"/>
      <c r="Z433" s="461"/>
      <c r="AA433" s="379"/>
      <c r="AB433" s="379"/>
      <c r="AC433" s="50"/>
      <c r="AD433" s="50"/>
      <c r="AE433" s="379"/>
      <c r="AF433" s="379"/>
      <c r="AG433" s="156"/>
      <c r="AH433" s="60"/>
      <c r="AI433" s="379"/>
      <c r="AJ433" s="379"/>
      <c r="AK433" s="156"/>
      <c r="AL433" s="379"/>
      <c r="AM433" s="50"/>
      <c r="AN433" s="50"/>
    </row>
    <row r="434" spans="1:40" x14ac:dyDescent="0.25">
      <c r="F434" s="381"/>
      <c r="H434" s="379"/>
      <c r="I434" s="379"/>
      <c r="J434" s="464"/>
      <c r="K434" s="464"/>
      <c r="L434" s="381"/>
      <c r="M434" s="381"/>
      <c r="N434" s="381"/>
      <c r="O434" s="381"/>
      <c r="P434" s="381"/>
      <c r="Q434" s="381"/>
      <c r="R434" s="381"/>
      <c r="V434" s="381"/>
      <c r="Y434" s="379"/>
      <c r="Z434" s="464"/>
      <c r="AA434" s="381"/>
      <c r="AB434" s="381"/>
      <c r="AC434" s="381"/>
      <c r="AD434" s="381"/>
      <c r="AE434" s="381"/>
      <c r="AF434" s="381"/>
      <c r="AI434" s="381"/>
      <c r="AJ434" s="381"/>
      <c r="AK434" s="162"/>
      <c r="AL434" s="381"/>
    </row>
    <row r="435" spans="1:40" x14ac:dyDescent="0.25">
      <c r="F435" s="379"/>
      <c r="H435" s="379"/>
      <c r="I435" s="379"/>
      <c r="J435" s="464"/>
      <c r="K435" s="464"/>
      <c r="L435" s="379"/>
      <c r="M435" s="379"/>
      <c r="N435" s="379"/>
      <c r="O435" s="379"/>
      <c r="P435" s="379"/>
      <c r="Q435" s="379"/>
      <c r="R435" s="379"/>
      <c r="V435" s="379"/>
      <c r="Y435" s="379"/>
      <c r="Z435" s="464"/>
      <c r="AA435" s="379"/>
      <c r="AB435" s="379"/>
      <c r="AC435" s="379"/>
      <c r="AD435" s="379"/>
      <c r="AE435" s="379"/>
      <c r="AF435" s="379"/>
      <c r="AI435" s="379"/>
      <c r="AJ435" s="379"/>
      <c r="AK435" s="156"/>
      <c r="AL435" s="379"/>
    </row>
    <row r="436" spans="1:40" x14ac:dyDescent="0.25">
      <c r="A436" s="53"/>
      <c r="C436" s="54"/>
      <c r="F436" s="379"/>
      <c r="H436" s="379"/>
      <c r="I436" s="379"/>
      <c r="L436" s="379"/>
      <c r="M436" s="379"/>
      <c r="N436" s="50"/>
      <c r="O436" s="50"/>
      <c r="P436" s="379"/>
      <c r="Q436" s="379"/>
      <c r="R436" s="379"/>
      <c r="T436" s="54"/>
      <c r="V436" s="379"/>
      <c r="Y436" s="379"/>
      <c r="AA436" s="379"/>
      <c r="AB436" s="379"/>
      <c r="AC436" s="50"/>
      <c r="AD436" s="50"/>
      <c r="AE436" s="379"/>
      <c r="AF436" s="379"/>
      <c r="AG436" s="156"/>
      <c r="AH436" s="60"/>
      <c r="AI436" s="449"/>
      <c r="AJ436" s="449"/>
      <c r="AK436" s="156"/>
      <c r="AL436" s="379"/>
      <c r="AM436" s="50"/>
      <c r="AN436" s="50"/>
    </row>
    <row r="437" spans="1:40" x14ac:dyDescent="0.25">
      <c r="F437" s="381"/>
      <c r="H437" s="381"/>
      <c r="I437" s="381"/>
      <c r="J437" s="464"/>
      <c r="K437" s="464"/>
      <c r="L437" s="381"/>
      <c r="M437" s="381"/>
      <c r="N437" s="381"/>
      <c r="O437" s="381"/>
      <c r="P437" s="381"/>
      <c r="Q437" s="381"/>
      <c r="R437" s="381"/>
      <c r="V437" s="381"/>
      <c r="Y437" s="381"/>
      <c r="Z437" s="464"/>
      <c r="AA437" s="381"/>
      <c r="AB437" s="381"/>
      <c r="AC437" s="381"/>
      <c r="AD437" s="381"/>
      <c r="AE437" s="381"/>
      <c r="AF437" s="381"/>
      <c r="AI437" s="381"/>
      <c r="AJ437" s="381"/>
      <c r="AK437" s="162"/>
      <c r="AL437" s="381"/>
    </row>
    <row r="439" spans="1:40" x14ac:dyDescent="0.25">
      <c r="A439" s="54"/>
      <c r="T439" s="54"/>
    </row>
    <row r="440" spans="1:40" x14ac:dyDescent="0.25">
      <c r="A440" s="54"/>
      <c r="T440" s="54"/>
    </row>
    <row r="441" spans="1:40" x14ac:dyDescent="0.25">
      <c r="A441" s="54"/>
      <c r="T441" s="54"/>
    </row>
    <row r="442" spans="1:40" x14ac:dyDescent="0.25">
      <c r="A442" s="54"/>
      <c r="T442" s="54"/>
    </row>
    <row r="443" spans="1:40" x14ac:dyDescent="0.25">
      <c r="A443" s="54"/>
      <c r="T443" s="54"/>
    </row>
    <row r="444" spans="1:40" x14ac:dyDescent="0.25">
      <c r="A444" s="54"/>
      <c r="T444" s="54"/>
    </row>
    <row r="445" spans="1:40" x14ac:dyDescent="0.25">
      <c r="A445" s="54"/>
      <c r="T445" s="54"/>
    </row>
    <row r="446" spans="1:40" x14ac:dyDescent="0.25">
      <c r="A446" s="54"/>
      <c r="T446" s="54"/>
    </row>
    <row r="447" spans="1:40" x14ac:dyDescent="0.25">
      <c r="A447" s="54"/>
      <c r="T447" s="54"/>
    </row>
    <row r="449" spans="1:40" x14ac:dyDescent="0.25">
      <c r="A449" s="54"/>
    </row>
    <row r="450" spans="1:40" x14ac:dyDescent="0.25">
      <c r="J450" s="53"/>
      <c r="K450" s="53"/>
      <c r="Z450" s="53"/>
    </row>
    <row r="451" spans="1:40" x14ac:dyDescent="0.25">
      <c r="H451" s="54"/>
      <c r="I451" s="54"/>
      <c r="Y451" s="54"/>
    </row>
    <row r="452" spans="1:40" x14ac:dyDescent="0.25">
      <c r="J452" s="53"/>
      <c r="K452" s="53"/>
      <c r="Z452" s="53"/>
    </row>
    <row r="453" spans="1:40" x14ac:dyDescent="0.25">
      <c r="L453" s="54"/>
      <c r="M453" s="54"/>
      <c r="AA453" s="54"/>
      <c r="AB453" s="54"/>
    </row>
    <row r="454" spans="1:40" x14ac:dyDescent="0.25">
      <c r="A454" s="53"/>
      <c r="R454" s="54"/>
      <c r="AK454" s="161"/>
      <c r="AL454" s="54"/>
    </row>
    <row r="455" spans="1:40" x14ac:dyDescent="0.25">
      <c r="A455" s="53"/>
      <c r="R455" s="54"/>
      <c r="AK455" s="161"/>
      <c r="AL455" s="54"/>
    </row>
    <row r="456" spans="1:40" x14ac:dyDescent="0.25">
      <c r="A456" s="54"/>
      <c r="R456" s="54"/>
      <c r="AK456" s="161"/>
      <c r="AL456" s="54"/>
    </row>
    <row r="457" spans="1:40" x14ac:dyDescent="0.25">
      <c r="L457" s="54"/>
      <c r="M457" s="54"/>
      <c r="R457" s="53"/>
      <c r="AA457" s="54"/>
      <c r="AB457" s="54"/>
      <c r="AK457" s="156"/>
      <c r="AL457" s="53"/>
    </row>
    <row r="458" spans="1:40" x14ac:dyDescent="0.25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154"/>
      <c r="AH458" s="55"/>
      <c r="AI458" s="55"/>
      <c r="AJ458" s="55"/>
      <c r="AK458" s="154"/>
      <c r="AL458" s="55"/>
      <c r="AM458" s="55"/>
      <c r="AN458" s="55"/>
    </row>
    <row r="459" spans="1:40" x14ac:dyDescent="0.25">
      <c r="L459" s="56"/>
      <c r="M459" s="56"/>
      <c r="N459" s="56"/>
      <c r="O459" s="56"/>
      <c r="R459" s="56"/>
      <c r="AA459" s="56"/>
      <c r="AB459" s="56"/>
      <c r="AC459" s="56"/>
      <c r="AD459" s="56"/>
      <c r="AE459" s="56"/>
      <c r="AF459" s="56"/>
      <c r="AG459" s="155"/>
      <c r="AH459" s="56"/>
      <c r="AK459" s="155"/>
      <c r="AL459" s="56"/>
      <c r="AM459" s="56"/>
      <c r="AN459" s="56"/>
    </row>
    <row r="460" spans="1:40" x14ac:dyDescent="0.25">
      <c r="L460" s="56"/>
      <c r="M460" s="56"/>
      <c r="N460" s="56"/>
      <c r="O460" s="56"/>
      <c r="R460" s="56"/>
      <c r="Z460" s="56"/>
      <c r="AA460" s="56"/>
      <c r="AB460" s="56"/>
      <c r="AC460" s="56"/>
      <c r="AD460" s="56"/>
      <c r="AE460" s="56"/>
      <c r="AF460" s="56"/>
      <c r="AG460" s="155"/>
      <c r="AH460" s="56"/>
      <c r="AK460" s="155"/>
      <c r="AL460" s="56"/>
      <c r="AM460" s="56"/>
      <c r="AN460" s="56"/>
    </row>
    <row r="461" spans="1:40" x14ac:dyDescent="0.25">
      <c r="A461" s="56"/>
      <c r="C461" s="56"/>
      <c r="D461" s="56"/>
      <c r="E461" s="56"/>
      <c r="F461" s="56"/>
      <c r="J461" s="56"/>
      <c r="K461" s="56"/>
      <c r="L461" s="56"/>
      <c r="M461" s="56"/>
      <c r="N461" s="56"/>
      <c r="O461" s="56"/>
      <c r="P461" s="56"/>
      <c r="Q461" s="56"/>
      <c r="R461" s="56"/>
      <c r="T461" s="56"/>
      <c r="U461" s="56"/>
      <c r="V461" s="56"/>
      <c r="Z461" s="56"/>
      <c r="AA461" s="56"/>
      <c r="AB461" s="56"/>
      <c r="AC461" s="56"/>
      <c r="AD461" s="56"/>
      <c r="AE461" s="56"/>
      <c r="AF461" s="56"/>
      <c r="AG461" s="155"/>
      <c r="AH461" s="56"/>
      <c r="AI461" s="56"/>
      <c r="AJ461" s="56"/>
      <c r="AK461" s="155"/>
      <c r="AL461" s="56"/>
      <c r="AM461" s="56"/>
      <c r="AN461" s="56"/>
    </row>
    <row r="462" spans="1:40" x14ac:dyDescent="0.25">
      <c r="A462" s="56"/>
      <c r="C462" s="56"/>
      <c r="D462" s="56"/>
      <c r="E462" s="56"/>
      <c r="F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T462" s="56"/>
      <c r="U462" s="56"/>
      <c r="V462" s="56"/>
      <c r="Y462" s="56"/>
      <c r="Z462" s="56"/>
      <c r="AA462" s="56"/>
      <c r="AB462" s="56"/>
      <c r="AC462" s="56"/>
      <c r="AD462" s="56"/>
      <c r="AE462" s="56"/>
      <c r="AF462" s="56"/>
      <c r="AG462" s="155"/>
      <c r="AH462" s="56"/>
      <c r="AI462" s="56"/>
      <c r="AJ462" s="56"/>
      <c r="AK462" s="155"/>
      <c r="AL462" s="56"/>
      <c r="AM462" s="56"/>
      <c r="AN462" s="56"/>
    </row>
    <row r="463" spans="1:40" x14ac:dyDescent="0.25">
      <c r="C463" s="56"/>
      <c r="D463" s="56"/>
      <c r="E463" s="56"/>
      <c r="F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T463" s="56"/>
      <c r="U463" s="56"/>
      <c r="V463" s="56"/>
      <c r="Y463" s="56"/>
      <c r="Z463" s="56"/>
      <c r="AA463" s="56"/>
      <c r="AB463" s="56"/>
      <c r="AC463" s="56"/>
      <c r="AD463" s="56"/>
      <c r="AE463" s="56"/>
      <c r="AF463" s="56"/>
      <c r="AG463" s="155"/>
      <c r="AH463" s="56"/>
      <c r="AI463" s="56"/>
      <c r="AJ463" s="56"/>
      <c r="AK463" s="155"/>
      <c r="AL463" s="56"/>
      <c r="AM463" s="56"/>
      <c r="AN463" s="56"/>
    </row>
    <row r="464" spans="1:40" x14ac:dyDescent="0.25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154"/>
      <c r="AH464" s="55"/>
      <c r="AI464" s="55"/>
      <c r="AJ464" s="55"/>
      <c r="AK464" s="154"/>
      <c r="AL464" s="55"/>
      <c r="AM464" s="55"/>
      <c r="AN464" s="55"/>
    </row>
    <row r="465" spans="1:40" x14ac:dyDescent="0.25"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Y465" s="56"/>
      <c r="Z465" s="56"/>
      <c r="AA465" s="56"/>
      <c r="AB465" s="56"/>
      <c r="AC465" s="56"/>
      <c r="AD465" s="56"/>
      <c r="AE465" s="56"/>
      <c r="AF465" s="56"/>
      <c r="AG465" s="155"/>
      <c r="AH465" s="56"/>
      <c r="AI465" s="56"/>
      <c r="AJ465" s="56"/>
      <c r="AK465" s="155"/>
      <c r="AL465" s="56"/>
      <c r="AM465" s="56"/>
      <c r="AN465" s="56"/>
    </row>
    <row r="466" spans="1:40" x14ac:dyDescent="0.25">
      <c r="A466" s="53"/>
      <c r="C466" s="54"/>
      <c r="D466" s="54"/>
      <c r="E466" s="54"/>
      <c r="T466" s="54"/>
      <c r="U466" s="54"/>
    </row>
    <row r="467" spans="1:40" x14ac:dyDescent="0.25">
      <c r="A467" s="53"/>
      <c r="D467" s="54"/>
      <c r="E467" s="54"/>
      <c r="U467" s="54"/>
    </row>
    <row r="469" spans="1:40" x14ac:dyDescent="0.25">
      <c r="A469" s="53"/>
      <c r="C469" s="54"/>
      <c r="F469" s="379"/>
      <c r="J469" s="62"/>
      <c r="K469" s="62"/>
      <c r="L469" s="379"/>
      <c r="M469" s="379"/>
      <c r="R469" s="379"/>
      <c r="T469" s="54"/>
      <c r="V469" s="379"/>
      <c r="Z469" s="62"/>
      <c r="AA469" s="379"/>
      <c r="AB469" s="379"/>
      <c r="AG469" s="156"/>
      <c r="AH469" s="379"/>
      <c r="AK469" s="156"/>
      <c r="AL469" s="379"/>
    </row>
    <row r="470" spans="1:40" x14ac:dyDescent="0.25">
      <c r="A470" s="53"/>
      <c r="C470" s="54"/>
      <c r="F470" s="379"/>
      <c r="R470" s="379"/>
      <c r="T470" s="54"/>
      <c r="V470" s="379"/>
      <c r="AG470" s="156"/>
      <c r="AH470" s="379"/>
      <c r="AK470" s="156"/>
      <c r="AL470" s="379"/>
    </row>
    <row r="471" spans="1:40" x14ac:dyDescent="0.25">
      <c r="AI471" s="379"/>
      <c r="AJ471" s="379"/>
      <c r="AK471" s="156"/>
      <c r="AL471" s="379"/>
      <c r="AM471" s="50"/>
      <c r="AN471" s="50"/>
    </row>
    <row r="472" spans="1:40" x14ac:dyDescent="0.25">
      <c r="A472" s="53"/>
      <c r="C472" s="54"/>
      <c r="F472" s="449"/>
      <c r="H472" s="449"/>
      <c r="I472" s="449"/>
      <c r="J472" s="477"/>
      <c r="K472" s="477"/>
      <c r="L472" s="379"/>
      <c r="M472" s="379"/>
      <c r="N472" s="50"/>
      <c r="O472" s="50"/>
      <c r="P472" s="379"/>
      <c r="Q472" s="379"/>
      <c r="R472" s="379"/>
      <c r="T472" s="54"/>
      <c r="V472" s="379"/>
      <c r="Y472" s="379"/>
      <c r="Z472" s="477"/>
      <c r="AA472" s="379"/>
      <c r="AB472" s="379"/>
      <c r="AC472" s="50"/>
      <c r="AD472" s="50"/>
      <c r="AE472" s="379"/>
      <c r="AF472" s="379"/>
      <c r="AG472" s="156"/>
      <c r="AH472" s="60"/>
      <c r="AI472" s="379"/>
      <c r="AJ472" s="379"/>
      <c r="AK472" s="156"/>
      <c r="AL472" s="379"/>
      <c r="AM472" s="50"/>
      <c r="AN472" s="50"/>
    </row>
    <row r="473" spans="1:40" x14ac:dyDescent="0.25">
      <c r="F473" s="379"/>
      <c r="H473" s="379"/>
      <c r="I473" s="379"/>
      <c r="J473" s="59"/>
      <c r="K473" s="59"/>
      <c r="L473" s="379"/>
      <c r="M473" s="379"/>
      <c r="P473" s="379"/>
      <c r="Q473" s="379"/>
      <c r="R473" s="379"/>
      <c r="V473" s="379"/>
      <c r="Y473" s="379"/>
      <c r="Z473" s="59"/>
      <c r="AA473" s="379"/>
      <c r="AB473" s="379"/>
      <c r="AI473" s="379"/>
      <c r="AJ473" s="379"/>
      <c r="AK473" s="156"/>
      <c r="AL473" s="379"/>
      <c r="AM473" s="50"/>
      <c r="AN473" s="50"/>
    </row>
    <row r="474" spans="1:40" x14ac:dyDescent="0.25">
      <c r="F474" s="379"/>
      <c r="R474" s="379"/>
      <c r="V474" s="379"/>
      <c r="AK474" s="156"/>
      <c r="AL474" s="379"/>
      <c r="AM474" s="50"/>
      <c r="AN474" s="50"/>
    </row>
    <row r="475" spans="1:40" x14ac:dyDescent="0.25">
      <c r="A475" s="53"/>
      <c r="C475" s="54"/>
      <c r="F475" s="379"/>
      <c r="J475" s="62"/>
      <c r="K475" s="62"/>
      <c r="L475" s="379"/>
      <c r="M475" s="379"/>
      <c r="N475" s="50"/>
      <c r="O475" s="50"/>
      <c r="R475" s="379"/>
      <c r="T475" s="54"/>
      <c r="V475" s="379"/>
      <c r="Z475" s="62"/>
      <c r="AA475" s="379"/>
      <c r="AB475" s="379"/>
      <c r="AC475" s="50"/>
      <c r="AD475" s="50"/>
      <c r="AK475" s="156"/>
      <c r="AL475" s="379"/>
      <c r="AM475" s="50"/>
      <c r="AN475" s="50"/>
    </row>
    <row r="476" spans="1:40" x14ac:dyDescent="0.25">
      <c r="A476" s="53"/>
      <c r="C476" s="54"/>
      <c r="F476" s="379"/>
      <c r="H476" s="379"/>
      <c r="I476" s="379"/>
      <c r="J476" s="62"/>
      <c r="K476" s="62"/>
      <c r="L476" s="379"/>
      <c r="M476" s="379"/>
      <c r="N476" s="50"/>
      <c r="O476" s="50"/>
      <c r="P476" s="379"/>
      <c r="Q476" s="379"/>
      <c r="R476" s="379"/>
      <c r="T476" s="54"/>
      <c r="V476" s="379"/>
      <c r="Y476" s="379"/>
      <c r="Z476" s="62"/>
      <c r="AA476" s="379"/>
      <c r="AB476" s="379"/>
      <c r="AC476" s="50"/>
      <c r="AD476" s="50"/>
      <c r="AI476" s="379"/>
      <c r="AJ476" s="379"/>
      <c r="AK476" s="156"/>
      <c r="AL476" s="379"/>
      <c r="AM476" s="50"/>
      <c r="AN476" s="50"/>
    </row>
    <row r="477" spans="1:40" x14ac:dyDescent="0.25">
      <c r="A477" s="53"/>
      <c r="C477" s="54"/>
      <c r="T477" s="54"/>
      <c r="AM477" s="50"/>
      <c r="AN477" s="50"/>
    </row>
    <row r="478" spans="1:40" x14ac:dyDescent="0.25">
      <c r="A478" s="53"/>
      <c r="C478" s="54"/>
      <c r="T478" s="54"/>
      <c r="AM478" s="50"/>
      <c r="AN478" s="50"/>
    </row>
    <row r="479" spans="1:40" x14ac:dyDescent="0.25">
      <c r="AM479" s="50"/>
      <c r="AN479" s="50"/>
    </row>
    <row r="480" spans="1:40" x14ac:dyDescent="0.25">
      <c r="A480" s="53"/>
      <c r="C480" s="54"/>
      <c r="F480" s="449"/>
      <c r="H480" s="449"/>
      <c r="I480" s="449"/>
      <c r="J480" s="477"/>
      <c r="K480" s="477"/>
      <c r="L480" s="379"/>
      <c r="M480" s="379"/>
      <c r="N480" s="50"/>
      <c r="O480" s="50"/>
      <c r="P480" s="379"/>
      <c r="Q480" s="379"/>
      <c r="R480" s="379"/>
      <c r="T480" s="54"/>
      <c r="V480" s="379"/>
      <c r="Y480" s="379"/>
      <c r="Z480" s="477"/>
      <c r="AA480" s="379"/>
      <c r="AB480" s="379"/>
      <c r="AC480" s="50"/>
      <c r="AD480" s="50"/>
      <c r="AE480" s="379"/>
      <c r="AF480" s="379"/>
      <c r="AG480" s="156"/>
      <c r="AH480" s="60"/>
      <c r="AI480" s="379"/>
      <c r="AJ480" s="379"/>
      <c r="AK480" s="156"/>
      <c r="AL480" s="379"/>
      <c r="AM480" s="50"/>
      <c r="AN480" s="50"/>
    </row>
    <row r="481" spans="1:40" x14ac:dyDescent="0.25">
      <c r="F481" s="381"/>
      <c r="H481" s="381"/>
      <c r="I481" s="381"/>
      <c r="J481" s="464"/>
      <c r="K481" s="464"/>
      <c r="L481" s="381"/>
      <c r="M481" s="381"/>
      <c r="N481" s="381"/>
      <c r="O481" s="381"/>
      <c r="P481" s="381"/>
      <c r="Q481" s="381"/>
      <c r="R481" s="381"/>
      <c r="V481" s="381"/>
      <c r="Y481" s="381"/>
      <c r="Z481" s="464"/>
      <c r="AA481" s="381"/>
      <c r="AB481" s="381"/>
      <c r="AC481" s="381"/>
      <c r="AD481" s="381"/>
      <c r="AE481" s="381"/>
      <c r="AF481" s="381"/>
      <c r="AI481" s="381"/>
      <c r="AJ481" s="381"/>
      <c r="AK481" s="162"/>
      <c r="AL481" s="381"/>
      <c r="AM481" s="50"/>
      <c r="AN481" s="50"/>
    </row>
    <row r="482" spans="1:40" x14ac:dyDescent="0.25">
      <c r="H482" s="379"/>
      <c r="I482" s="379"/>
      <c r="Y482" s="379"/>
      <c r="AM482" s="50"/>
      <c r="AN482" s="50"/>
    </row>
    <row r="483" spans="1:40" x14ac:dyDescent="0.25">
      <c r="A483" s="53"/>
      <c r="C483" s="54"/>
      <c r="F483" s="379"/>
      <c r="H483" s="379"/>
      <c r="I483" s="379"/>
      <c r="L483" s="379"/>
      <c r="M483" s="379"/>
      <c r="N483" s="50"/>
      <c r="O483" s="50"/>
      <c r="P483" s="449"/>
      <c r="Q483" s="449"/>
      <c r="R483" s="379"/>
      <c r="T483" s="54"/>
      <c r="V483" s="379"/>
      <c r="Y483" s="379"/>
      <c r="AA483" s="379"/>
      <c r="AB483" s="379"/>
      <c r="AC483" s="50"/>
      <c r="AD483" s="50"/>
      <c r="AE483" s="379"/>
      <c r="AF483" s="379"/>
      <c r="AG483" s="156"/>
      <c r="AH483" s="60"/>
      <c r="AI483" s="449"/>
      <c r="AJ483" s="449"/>
      <c r="AK483" s="156"/>
      <c r="AL483" s="379"/>
      <c r="AM483" s="50"/>
      <c r="AN483" s="50"/>
    </row>
    <row r="484" spans="1:40" x14ac:dyDescent="0.25">
      <c r="F484" s="381"/>
      <c r="H484" s="381"/>
      <c r="I484" s="381"/>
      <c r="J484" s="464"/>
      <c r="K484" s="464"/>
      <c r="L484" s="381"/>
      <c r="M484" s="381"/>
      <c r="N484" s="381"/>
      <c r="O484" s="381"/>
      <c r="P484" s="381"/>
      <c r="Q484" s="381"/>
      <c r="R484" s="381"/>
      <c r="V484" s="381"/>
      <c r="Y484" s="381"/>
      <c r="Z484" s="464"/>
      <c r="AA484" s="381"/>
      <c r="AB484" s="381"/>
      <c r="AC484" s="381"/>
      <c r="AD484" s="381"/>
      <c r="AE484" s="381"/>
      <c r="AF484" s="381"/>
      <c r="AI484" s="381"/>
      <c r="AJ484" s="381"/>
      <c r="AK484" s="162"/>
      <c r="AL484" s="381"/>
      <c r="AM484" s="50"/>
      <c r="AN484" s="50"/>
    </row>
    <row r="486" spans="1:40" x14ac:dyDescent="0.25">
      <c r="F486" s="379"/>
      <c r="H486" s="379"/>
      <c r="I486" s="379"/>
      <c r="J486" s="59"/>
      <c r="K486" s="59"/>
      <c r="L486" s="379"/>
      <c r="M486" s="379"/>
      <c r="N486" s="379"/>
      <c r="O486" s="379"/>
      <c r="P486" s="379"/>
      <c r="Q486" s="379"/>
      <c r="R486" s="379"/>
      <c r="V486" s="379"/>
      <c r="Y486" s="379"/>
      <c r="Z486" s="59"/>
      <c r="AA486" s="379"/>
      <c r="AB486" s="379"/>
      <c r="AC486" s="379"/>
      <c r="AD486" s="379"/>
      <c r="AE486" s="379"/>
      <c r="AF486" s="379"/>
      <c r="AG486" s="156"/>
      <c r="AH486" s="379"/>
      <c r="AI486" s="379"/>
      <c r="AJ486" s="379"/>
      <c r="AK486" s="156"/>
      <c r="AL486" s="379"/>
    </row>
    <row r="487" spans="1:40" x14ac:dyDescent="0.25">
      <c r="A487" s="54"/>
    </row>
    <row r="488" spans="1:40" x14ac:dyDescent="0.25">
      <c r="J488" s="53"/>
      <c r="K488" s="53"/>
      <c r="Z488" s="53"/>
    </row>
    <row r="489" spans="1:40" x14ac:dyDescent="0.25">
      <c r="H489" s="54"/>
      <c r="I489" s="54"/>
      <c r="Y489" s="54"/>
    </row>
    <row r="490" spans="1:40" x14ac:dyDescent="0.25">
      <c r="J490" s="53"/>
      <c r="K490" s="53"/>
      <c r="Z490" s="53"/>
    </row>
    <row r="491" spans="1:40" x14ac:dyDescent="0.25">
      <c r="L491" s="54"/>
      <c r="M491" s="54"/>
      <c r="AA491" s="54"/>
      <c r="AB491" s="54"/>
    </row>
    <row r="492" spans="1:40" x14ac:dyDescent="0.25">
      <c r="A492" s="53"/>
      <c r="R492" s="54"/>
      <c r="AK492" s="161"/>
      <c r="AL492" s="54"/>
    </row>
    <row r="493" spans="1:40" x14ac:dyDescent="0.25">
      <c r="A493" s="53"/>
      <c r="R493" s="54"/>
      <c r="AK493" s="161"/>
      <c r="AL493" s="54"/>
    </row>
    <row r="494" spans="1:40" x14ac:dyDescent="0.25">
      <c r="A494" s="54"/>
      <c r="R494" s="54"/>
      <c r="AK494" s="161"/>
      <c r="AL494" s="54"/>
    </row>
    <row r="495" spans="1:40" x14ac:dyDescent="0.25">
      <c r="L495" s="54"/>
      <c r="M495" s="54"/>
      <c r="R495" s="53"/>
      <c r="AA495" s="54"/>
      <c r="AB495" s="54"/>
      <c r="AK495" s="156"/>
      <c r="AL495" s="53"/>
    </row>
    <row r="496" spans="1:40" x14ac:dyDescent="0.25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154"/>
      <c r="AH496" s="55"/>
      <c r="AI496" s="55"/>
      <c r="AJ496" s="55"/>
      <c r="AK496" s="154"/>
      <c r="AL496" s="55"/>
      <c r="AM496" s="55"/>
      <c r="AN496" s="55"/>
    </row>
    <row r="497" spans="1:40" x14ac:dyDescent="0.25">
      <c r="L497" s="56"/>
      <c r="M497" s="56"/>
      <c r="N497" s="56"/>
      <c r="O497" s="56"/>
      <c r="R497" s="56"/>
      <c r="AA497" s="56"/>
      <c r="AB497" s="56"/>
      <c r="AC497" s="56"/>
      <c r="AD497" s="56"/>
      <c r="AE497" s="56"/>
      <c r="AF497" s="56"/>
      <c r="AG497" s="155"/>
      <c r="AH497" s="56"/>
      <c r="AK497" s="155"/>
      <c r="AL497" s="56"/>
      <c r="AM497" s="56"/>
      <c r="AN497" s="56"/>
    </row>
    <row r="498" spans="1:40" x14ac:dyDescent="0.25">
      <c r="L498" s="56"/>
      <c r="M498" s="56"/>
      <c r="N498" s="56"/>
      <c r="O498" s="56"/>
      <c r="R498" s="56"/>
      <c r="Z498" s="56"/>
      <c r="AA498" s="56"/>
      <c r="AB498" s="56"/>
      <c r="AC498" s="56"/>
      <c r="AD498" s="56"/>
      <c r="AE498" s="56"/>
      <c r="AF498" s="56"/>
      <c r="AG498" s="155"/>
      <c r="AH498" s="56"/>
      <c r="AK498" s="155"/>
      <c r="AL498" s="56"/>
      <c r="AM498" s="56"/>
      <c r="AN498" s="56"/>
    </row>
    <row r="499" spans="1:40" x14ac:dyDescent="0.25">
      <c r="A499" s="56"/>
      <c r="C499" s="56"/>
      <c r="D499" s="56"/>
      <c r="E499" s="56"/>
      <c r="F499" s="56"/>
      <c r="J499" s="56"/>
      <c r="K499" s="56"/>
      <c r="L499" s="56"/>
      <c r="M499" s="56"/>
      <c r="N499" s="56"/>
      <c r="O499" s="56"/>
      <c r="P499" s="56"/>
      <c r="Q499" s="56"/>
      <c r="R499" s="56"/>
      <c r="T499" s="56"/>
      <c r="U499" s="56"/>
      <c r="V499" s="56"/>
      <c r="Z499" s="56"/>
      <c r="AA499" s="56"/>
      <c r="AB499" s="56"/>
      <c r="AC499" s="56"/>
      <c r="AD499" s="56"/>
      <c r="AE499" s="56"/>
      <c r="AF499" s="56"/>
      <c r="AG499" s="155"/>
      <c r="AH499" s="56"/>
      <c r="AI499" s="56"/>
      <c r="AJ499" s="56"/>
      <c r="AK499" s="155"/>
      <c r="AL499" s="56"/>
      <c r="AM499" s="56"/>
      <c r="AN499" s="56"/>
    </row>
    <row r="500" spans="1:40" x14ac:dyDescent="0.25">
      <c r="A500" s="56"/>
      <c r="C500" s="56"/>
      <c r="D500" s="56"/>
      <c r="E500" s="56"/>
      <c r="F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T500" s="56"/>
      <c r="U500" s="56"/>
      <c r="V500" s="56"/>
      <c r="Y500" s="56"/>
      <c r="Z500" s="56"/>
      <c r="AA500" s="56"/>
      <c r="AB500" s="56"/>
      <c r="AC500" s="56"/>
      <c r="AD500" s="56"/>
      <c r="AE500" s="56"/>
      <c r="AF500" s="56"/>
      <c r="AG500" s="155"/>
      <c r="AH500" s="56"/>
      <c r="AI500" s="56"/>
      <c r="AJ500" s="56"/>
      <c r="AK500" s="155"/>
      <c r="AL500" s="56"/>
      <c r="AM500" s="56"/>
      <c r="AN500" s="56"/>
    </row>
    <row r="501" spans="1:40" x14ac:dyDescent="0.25">
      <c r="C501" s="56"/>
      <c r="D501" s="56"/>
      <c r="E501" s="56"/>
      <c r="F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T501" s="56"/>
      <c r="U501" s="56"/>
      <c r="V501" s="56"/>
      <c r="Y501" s="56"/>
      <c r="Z501" s="56"/>
      <c r="AA501" s="56"/>
      <c r="AB501" s="56"/>
      <c r="AC501" s="56"/>
      <c r="AD501" s="56"/>
      <c r="AE501" s="56"/>
      <c r="AF501" s="56"/>
      <c r="AG501" s="155"/>
      <c r="AH501" s="56"/>
      <c r="AI501" s="56"/>
      <c r="AJ501" s="56"/>
      <c r="AK501" s="155"/>
      <c r="AL501" s="56"/>
      <c r="AM501" s="56"/>
      <c r="AN501" s="56"/>
    </row>
    <row r="502" spans="1:40" x14ac:dyDescent="0.25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154"/>
      <c r="AH502" s="55"/>
      <c r="AI502" s="55"/>
      <c r="AJ502" s="55"/>
      <c r="AK502" s="154"/>
      <c r="AL502" s="55"/>
      <c r="AM502" s="55"/>
      <c r="AN502" s="55"/>
    </row>
    <row r="503" spans="1:40" x14ac:dyDescent="0.25"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Y503" s="56"/>
      <c r="Z503" s="56"/>
      <c r="AA503" s="56"/>
      <c r="AB503" s="56"/>
      <c r="AC503" s="56"/>
      <c r="AD503" s="56"/>
      <c r="AE503" s="56"/>
      <c r="AF503" s="56"/>
      <c r="AG503" s="155"/>
      <c r="AH503" s="56"/>
      <c r="AI503" s="56"/>
      <c r="AJ503" s="56"/>
      <c r="AK503" s="155"/>
      <c r="AL503" s="56"/>
      <c r="AM503" s="56"/>
      <c r="AN503" s="56"/>
    </row>
    <row r="504" spans="1:40" x14ac:dyDescent="0.25">
      <c r="A504" s="53"/>
      <c r="C504" s="54"/>
      <c r="D504" s="54"/>
      <c r="E504" s="54"/>
      <c r="T504" s="54"/>
      <c r="U504" s="54"/>
      <c r="V504" s="379"/>
      <c r="W504" s="379"/>
      <c r="X504" s="379"/>
      <c r="Y504" s="379"/>
      <c r="Z504" s="477"/>
    </row>
    <row r="506" spans="1:40" x14ac:dyDescent="0.25">
      <c r="A506" s="53"/>
      <c r="C506" s="54"/>
      <c r="T506" s="54"/>
      <c r="V506" s="379"/>
      <c r="W506" s="379"/>
      <c r="X506" s="379"/>
      <c r="Y506" s="379"/>
      <c r="Z506" s="477"/>
    </row>
    <row r="507" spans="1:40" x14ac:dyDescent="0.25">
      <c r="A507" s="53"/>
      <c r="C507" s="54"/>
      <c r="F507" s="449"/>
      <c r="H507" s="449"/>
      <c r="I507" s="449"/>
      <c r="J507" s="221"/>
      <c r="K507" s="221"/>
      <c r="L507" s="379"/>
      <c r="M507" s="379"/>
      <c r="N507" s="50"/>
      <c r="O507" s="50"/>
      <c r="P507" s="379"/>
      <c r="Q507" s="379"/>
      <c r="R507" s="379"/>
      <c r="T507" s="54"/>
      <c r="V507" s="379"/>
      <c r="W507" s="379"/>
      <c r="X507" s="379"/>
      <c r="Y507" s="379"/>
      <c r="Z507" s="221"/>
      <c r="AA507" s="379"/>
      <c r="AB507" s="379"/>
      <c r="AC507" s="50"/>
      <c r="AD507" s="50"/>
      <c r="AE507" s="379"/>
      <c r="AF507" s="379"/>
      <c r="AG507" s="156"/>
      <c r="AH507" s="60"/>
      <c r="AI507" s="379"/>
      <c r="AJ507" s="379"/>
      <c r="AK507" s="156"/>
      <c r="AL507" s="379"/>
      <c r="AM507" s="50"/>
      <c r="AN507" s="50"/>
    </row>
    <row r="508" spans="1:40" x14ac:dyDescent="0.25">
      <c r="A508" s="53"/>
      <c r="C508" s="54"/>
      <c r="F508" s="449"/>
      <c r="H508" s="449"/>
      <c r="I508" s="449"/>
      <c r="J508" s="221"/>
      <c r="K508" s="221"/>
      <c r="L508" s="379"/>
      <c r="M508" s="379"/>
      <c r="N508" s="50"/>
      <c r="O508" s="50"/>
      <c r="P508" s="379"/>
      <c r="Q508" s="379"/>
      <c r="R508" s="379"/>
      <c r="T508" s="54"/>
      <c r="V508" s="379"/>
      <c r="W508" s="379"/>
      <c r="X508" s="379"/>
      <c r="Y508" s="379"/>
      <c r="Z508" s="221"/>
      <c r="AA508" s="379"/>
      <c r="AB508" s="379"/>
      <c r="AC508" s="50"/>
      <c r="AD508" s="50"/>
      <c r="AE508" s="379"/>
      <c r="AF508" s="379"/>
      <c r="AG508" s="156"/>
      <c r="AH508" s="60"/>
      <c r="AI508" s="379"/>
      <c r="AJ508" s="379"/>
      <c r="AK508" s="156"/>
      <c r="AL508" s="379"/>
      <c r="AM508" s="50"/>
      <c r="AN508" s="50"/>
    </row>
    <row r="509" spans="1:40" x14ac:dyDescent="0.25">
      <c r="A509" s="53"/>
      <c r="C509" s="54"/>
      <c r="F509" s="449"/>
      <c r="H509" s="449"/>
      <c r="I509" s="449"/>
      <c r="J509" s="221"/>
      <c r="K509" s="221"/>
      <c r="L509" s="379"/>
      <c r="M509" s="379"/>
      <c r="N509" s="50"/>
      <c r="O509" s="50"/>
      <c r="P509" s="379"/>
      <c r="Q509" s="379"/>
      <c r="R509" s="379"/>
      <c r="T509" s="54"/>
      <c r="V509" s="379"/>
      <c r="W509" s="379"/>
      <c r="X509" s="379"/>
      <c r="Y509" s="379"/>
      <c r="Z509" s="221"/>
      <c r="AA509" s="379"/>
      <c r="AB509" s="379"/>
      <c r="AC509" s="50"/>
      <c r="AD509" s="50"/>
      <c r="AE509" s="379"/>
      <c r="AF509" s="379"/>
      <c r="AG509" s="156"/>
      <c r="AH509" s="60"/>
      <c r="AI509" s="379"/>
      <c r="AJ509" s="379"/>
      <c r="AK509" s="156"/>
      <c r="AL509" s="379"/>
      <c r="AM509" s="50"/>
      <c r="AN509" s="50"/>
    </row>
    <row r="510" spans="1:40" x14ac:dyDescent="0.25">
      <c r="A510" s="53"/>
      <c r="C510" s="54"/>
      <c r="F510" s="449"/>
      <c r="H510" s="449"/>
      <c r="I510" s="449"/>
      <c r="J510" s="221"/>
      <c r="K510" s="221"/>
      <c r="L510" s="379"/>
      <c r="M510" s="379"/>
      <c r="N510" s="50"/>
      <c r="O510" s="50"/>
      <c r="P510" s="379"/>
      <c r="Q510" s="379"/>
      <c r="R510" s="379"/>
      <c r="T510" s="54"/>
      <c r="V510" s="379"/>
      <c r="W510" s="379"/>
      <c r="X510" s="379"/>
      <c r="Y510" s="379"/>
      <c r="Z510" s="221"/>
      <c r="AA510" s="379"/>
      <c r="AB510" s="379"/>
      <c r="AC510" s="50"/>
      <c r="AD510" s="50"/>
      <c r="AE510" s="379"/>
      <c r="AF510" s="379"/>
      <c r="AG510" s="156"/>
      <c r="AH510" s="60"/>
      <c r="AI510" s="379"/>
      <c r="AJ510" s="379"/>
      <c r="AK510" s="156"/>
      <c r="AL510" s="379"/>
      <c r="AM510" s="50"/>
      <c r="AN510" s="50"/>
    </row>
    <row r="511" spans="1:40" x14ac:dyDescent="0.25">
      <c r="J511" s="65"/>
      <c r="K511" s="65"/>
      <c r="V511" s="379"/>
      <c r="W511" s="379"/>
      <c r="X511" s="379"/>
      <c r="Y511" s="379"/>
      <c r="Z511" s="221"/>
    </row>
    <row r="512" spans="1:40" x14ac:dyDescent="0.25">
      <c r="A512" s="53"/>
      <c r="C512" s="54"/>
      <c r="F512" s="449"/>
      <c r="H512" s="449"/>
      <c r="I512" s="449"/>
      <c r="J512" s="221"/>
      <c r="K512" s="221"/>
      <c r="L512" s="379"/>
      <c r="M512" s="379"/>
      <c r="N512" s="50"/>
      <c r="O512" s="50"/>
      <c r="P512" s="379"/>
      <c r="Q512" s="379"/>
      <c r="R512" s="379"/>
      <c r="T512" s="54"/>
      <c r="V512" s="379"/>
      <c r="W512" s="379"/>
      <c r="X512" s="379"/>
      <c r="Y512" s="379"/>
      <c r="Z512" s="221"/>
      <c r="AA512" s="379"/>
      <c r="AB512" s="379"/>
      <c r="AC512" s="50"/>
      <c r="AD512" s="50"/>
      <c r="AE512" s="379"/>
      <c r="AF512" s="379"/>
      <c r="AG512" s="156"/>
      <c r="AH512" s="60"/>
      <c r="AI512" s="379"/>
      <c r="AJ512" s="379"/>
      <c r="AK512" s="156"/>
      <c r="AL512" s="379"/>
      <c r="AM512" s="60"/>
      <c r="AN512" s="60"/>
    </row>
    <row r="513" spans="1:40" x14ac:dyDescent="0.25">
      <c r="A513" s="53"/>
      <c r="C513" s="54"/>
      <c r="J513" s="65"/>
      <c r="K513" s="65"/>
      <c r="T513" s="54"/>
      <c r="V513" s="379"/>
      <c r="W513" s="379"/>
      <c r="X513" s="379"/>
      <c r="Y513" s="379"/>
      <c r="Z513" s="221"/>
    </row>
    <row r="514" spans="1:40" x14ac:dyDescent="0.25">
      <c r="A514" s="53"/>
      <c r="C514" s="54"/>
      <c r="F514" s="449"/>
      <c r="H514" s="449"/>
      <c r="I514" s="449"/>
      <c r="J514" s="221"/>
      <c r="K514" s="221"/>
      <c r="L514" s="379"/>
      <c r="M514" s="379"/>
      <c r="N514" s="50"/>
      <c r="O514" s="50"/>
      <c r="P514" s="379"/>
      <c r="Q514" s="379"/>
      <c r="R514" s="379"/>
      <c r="T514" s="54"/>
      <c r="V514" s="379"/>
      <c r="W514" s="379"/>
      <c r="X514" s="379"/>
      <c r="Y514" s="379"/>
      <c r="Z514" s="221"/>
      <c r="AA514" s="379"/>
      <c r="AB514" s="379"/>
      <c r="AC514" s="50"/>
      <c r="AD514" s="50"/>
      <c r="AE514" s="379"/>
      <c r="AF514" s="379"/>
      <c r="AG514" s="156"/>
      <c r="AH514" s="60"/>
      <c r="AI514" s="379"/>
      <c r="AJ514" s="379"/>
      <c r="AK514" s="156"/>
      <c r="AL514" s="379"/>
      <c r="AM514" s="60"/>
      <c r="AN514" s="60"/>
    </row>
    <row r="515" spans="1:40" x14ac:dyDescent="0.25">
      <c r="J515" s="65"/>
      <c r="K515" s="65"/>
      <c r="Z515" s="65"/>
    </row>
    <row r="516" spans="1:40" x14ac:dyDescent="0.25">
      <c r="A516" s="53"/>
      <c r="C516" s="54"/>
      <c r="J516" s="65"/>
      <c r="K516" s="65"/>
      <c r="T516" s="54"/>
      <c r="V516" s="379"/>
      <c r="W516" s="379"/>
      <c r="X516" s="379"/>
      <c r="Y516" s="379"/>
      <c r="Z516" s="221"/>
    </row>
    <row r="517" spans="1:40" x14ac:dyDescent="0.25">
      <c r="A517" s="53"/>
      <c r="C517" s="54"/>
      <c r="F517" s="449"/>
      <c r="H517" s="449"/>
      <c r="I517" s="449"/>
      <c r="J517" s="221"/>
      <c r="K517" s="221"/>
      <c r="L517" s="379"/>
      <c r="M517" s="379"/>
      <c r="N517" s="50"/>
      <c r="O517" s="50"/>
      <c r="P517" s="379"/>
      <c r="Q517" s="379"/>
      <c r="R517" s="379"/>
      <c r="T517" s="54"/>
      <c r="V517" s="379"/>
      <c r="W517" s="379"/>
      <c r="X517" s="379"/>
      <c r="Y517" s="379"/>
      <c r="Z517" s="221"/>
      <c r="AA517" s="379"/>
      <c r="AB517" s="379"/>
      <c r="AC517" s="50"/>
      <c r="AD517" s="50"/>
      <c r="AE517" s="379"/>
      <c r="AF517" s="379"/>
      <c r="AG517" s="156"/>
      <c r="AH517" s="60"/>
      <c r="AI517" s="379"/>
      <c r="AJ517" s="379"/>
      <c r="AK517" s="156"/>
      <c r="AL517" s="379"/>
      <c r="AM517" s="60"/>
      <c r="AN517" s="60"/>
    </row>
    <row r="518" spans="1:40" x14ac:dyDescent="0.25">
      <c r="A518" s="53"/>
      <c r="C518" s="54"/>
      <c r="F518" s="449"/>
      <c r="H518" s="449"/>
      <c r="I518" s="449"/>
      <c r="J518" s="221"/>
      <c r="K518" s="221"/>
      <c r="L518" s="379"/>
      <c r="M518" s="379"/>
      <c r="N518" s="50"/>
      <c r="O518" s="50"/>
      <c r="P518" s="379"/>
      <c r="Q518" s="379"/>
      <c r="R518" s="379"/>
      <c r="T518" s="54"/>
      <c r="V518" s="379"/>
      <c r="W518" s="379"/>
      <c r="X518" s="379"/>
      <c r="Y518" s="379"/>
      <c r="Z518" s="221"/>
      <c r="AA518" s="379"/>
      <c r="AB518" s="379"/>
      <c r="AC518" s="50"/>
      <c r="AD518" s="50"/>
      <c r="AE518" s="379"/>
      <c r="AF518" s="379"/>
      <c r="AG518" s="156"/>
      <c r="AH518" s="60"/>
      <c r="AI518" s="379"/>
      <c r="AJ518" s="379"/>
      <c r="AK518" s="156"/>
      <c r="AL518" s="379"/>
      <c r="AM518" s="60"/>
      <c r="AN518" s="60"/>
    </row>
    <row r="519" spans="1:40" x14ac:dyDescent="0.25">
      <c r="F519" s="381"/>
      <c r="H519" s="381"/>
      <c r="I519" s="381"/>
      <c r="J519" s="221"/>
      <c r="K519" s="221"/>
      <c r="L519" s="381"/>
      <c r="M519" s="381"/>
      <c r="N519" s="381"/>
      <c r="O519" s="381"/>
      <c r="P519" s="381"/>
      <c r="Q519" s="381"/>
      <c r="R519" s="381"/>
      <c r="V519" s="381"/>
      <c r="Y519" s="381"/>
      <c r="Z519" s="464"/>
      <c r="AA519" s="381"/>
      <c r="AB519" s="381"/>
      <c r="AC519" s="381"/>
      <c r="AD519" s="381"/>
      <c r="AE519" s="381"/>
      <c r="AF519" s="381"/>
      <c r="AI519" s="381"/>
      <c r="AJ519" s="381"/>
      <c r="AK519" s="162"/>
      <c r="AL519" s="381"/>
    </row>
    <row r="520" spans="1:40" x14ac:dyDescent="0.25">
      <c r="A520" s="53"/>
      <c r="C520" s="54"/>
      <c r="F520" s="379"/>
      <c r="H520" s="379"/>
      <c r="I520" s="379"/>
      <c r="L520" s="379"/>
      <c r="M520" s="379"/>
      <c r="N520" s="50"/>
      <c r="O520" s="50"/>
      <c r="P520" s="449"/>
      <c r="Q520" s="449"/>
      <c r="R520" s="379"/>
      <c r="T520" s="54"/>
      <c r="V520" s="379"/>
      <c r="W520" s="379"/>
      <c r="X520" s="379"/>
      <c r="Y520" s="379"/>
      <c r="Z520" s="477"/>
      <c r="AA520" s="379"/>
      <c r="AB520" s="379"/>
      <c r="AC520" s="50"/>
      <c r="AD520" s="50"/>
      <c r="AE520" s="379"/>
      <c r="AF520" s="379"/>
      <c r="AG520" s="156"/>
      <c r="AH520" s="60"/>
      <c r="AI520" s="449"/>
      <c r="AJ520" s="449"/>
      <c r="AK520" s="156"/>
      <c r="AL520" s="379"/>
      <c r="AM520" s="60"/>
      <c r="AN520" s="60"/>
    </row>
    <row r="521" spans="1:40" x14ac:dyDescent="0.25">
      <c r="F521" s="381"/>
      <c r="H521" s="381"/>
      <c r="I521" s="381"/>
      <c r="J521" s="464"/>
      <c r="K521" s="464"/>
      <c r="L521" s="381"/>
      <c r="M521" s="381"/>
      <c r="N521" s="381"/>
      <c r="O521" s="381"/>
      <c r="P521" s="381"/>
      <c r="Q521" s="381"/>
      <c r="R521" s="381"/>
      <c r="V521" s="381"/>
      <c r="Y521" s="381"/>
      <c r="Z521" s="464"/>
      <c r="AA521" s="381"/>
      <c r="AB521" s="381"/>
      <c r="AC521" s="381"/>
      <c r="AD521" s="381"/>
      <c r="AE521" s="381"/>
      <c r="AF521" s="381"/>
      <c r="AI521" s="381"/>
      <c r="AJ521" s="381"/>
      <c r="AK521" s="162"/>
      <c r="AL521" s="381"/>
    </row>
    <row r="523" spans="1:40" x14ac:dyDescent="0.25">
      <c r="C523" s="53"/>
      <c r="T523" s="53"/>
    </row>
    <row r="524" spans="1:40" x14ac:dyDescent="0.25">
      <c r="A524" s="54"/>
    </row>
    <row r="525" spans="1:40" x14ac:dyDescent="0.25">
      <c r="J525" s="53"/>
      <c r="K525" s="53"/>
      <c r="Z525" s="53"/>
    </row>
    <row r="526" spans="1:40" x14ac:dyDescent="0.25">
      <c r="H526" s="54"/>
      <c r="I526" s="54"/>
      <c r="Y526" s="54"/>
    </row>
    <row r="527" spans="1:40" x14ac:dyDescent="0.25">
      <c r="J527" s="53"/>
      <c r="K527" s="53"/>
      <c r="Z527" s="53"/>
    </row>
    <row r="528" spans="1:40" x14ac:dyDescent="0.25">
      <c r="L528" s="54"/>
      <c r="M528" s="54"/>
      <c r="AA528" s="54"/>
      <c r="AB528" s="54"/>
    </row>
    <row r="529" spans="1:40" x14ac:dyDescent="0.25">
      <c r="A529" s="53"/>
      <c r="R529" s="54"/>
      <c r="AK529" s="161"/>
      <c r="AL529" s="54"/>
    </row>
    <row r="530" spans="1:40" x14ac:dyDescent="0.25">
      <c r="A530" s="53"/>
      <c r="R530" s="54"/>
      <c r="AK530" s="161"/>
      <c r="AL530" s="54"/>
    </row>
    <row r="531" spans="1:40" x14ac:dyDescent="0.25">
      <c r="A531" s="54"/>
      <c r="R531" s="54"/>
      <c r="AK531" s="161"/>
      <c r="AL531" s="54"/>
    </row>
    <row r="532" spans="1:40" x14ac:dyDescent="0.25">
      <c r="L532" s="54"/>
      <c r="M532" s="54"/>
      <c r="R532" s="53"/>
      <c r="AA532" s="54"/>
      <c r="AB532" s="54"/>
      <c r="AK532" s="156"/>
      <c r="AL532" s="53"/>
    </row>
    <row r="533" spans="1:40" x14ac:dyDescent="0.25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154"/>
      <c r="AH533" s="55"/>
      <c r="AI533" s="55"/>
      <c r="AJ533" s="55"/>
      <c r="AK533" s="154"/>
      <c r="AL533" s="55"/>
      <c r="AM533" s="55"/>
      <c r="AN533" s="55"/>
    </row>
    <row r="534" spans="1:40" x14ac:dyDescent="0.25">
      <c r="L534" s="56"/>
      <c r="M534" s="56"/>
      <c r="N534" s="56"/>
      <c r="O534" s="56"/>
      <c r="R534" s="56"/>
      <c r="AA534" s="56"/>
      <c r="AB534" s="56"/>
      <c r="AC534" s="56"/>
      <c r="AD534" s="56"/>
      <c r="AE534" s="56"/>
      <c r="AF534" s="56"/>
      <c r="AG534" s="155"/>
      <c r="AH534" s="56"/>
      <c r="AK534" s="155"/>
      <c r="AL534" s="56"/>
      <c r="AM534" s="56"/>
      <c r="AN534" s="56"/>
    </row>
    <row r="535" spans="1:40" x14ac:dyDescent="0.25">
      <c r="L535" s="56"/>
      <c r="M535" s="56"/>
      <c r="N535" s="56"/>
      <c r="O535" s="56"/>
      <c r="R535" s="56"/>
      <c r="Z535" s="56"/>
      <c r="AA535" s="56"/>
      <c r="AB535" s="56"/>
      <c r="AC535" s="56"/>
      <c r="AD535" s="56"/>
      <c r="AE535" s="56"/>
      <c r="AF535" s="56"/>
      <c r="AG535" s="155"/>
      <c r="AH535" s="56"/>
      <c r="AK535" s="155"/>
      <c r="AL535" s="56"/>
      <c r="AM535" s="56"/>
      <c r="AN535" s="56"/>
    </row>
    <row r="536" spans="1:40" x14ac:dyDescent="0.25">
      <c r="A536" s="56"/>
      <c r="C536" s="56"/>
      <c r="D536" s="56"/>
      <c r="E536" s="56"/>
      <c r="F536" s="56"/>
      <c r="J536" s="56"/>
      <c r="K536" s="56"/>
      <c r="L536" s="56"/>
      <c r="M536" s="56"/>
      <c r="N536" s="56"/>
      <c r="O536" s="56"/>
      <c r="P536" s="56"/>
      <c r="Q536" s="56"/>
      <c r="R536" s="56"/>
      <c r="T536" s="56"/>
      <c r="U536" s="56"/>
      <c r="V536" s="56"/>
      <c r="Z536" s="56"/>
      <c r="AA536" s="56"/>
      <c r="AB536" s="56"/>
      <c r="AC536" s="56"/>
      <c r="AD536" s="56"/>
      <c r="AE536" s="56"/>
      <c r="AF536" s="56"/>
      <c r="AG536" s="155"/>
      <c r="AH536" s="56"/>
      <c r="AI536" s="56"/>
      <c r="AJ536" s="56"/>
      <c r="AK536" s="155"/>
      <c r="AL536" s="56"/>
      <c r="AM536" s="56"/>
      <c r="AN536" s="56"/>
    </row>
    <row r="537" spans="1:40" x14ac:dyDescent="0.25">
      <c r="A537" s="56"/>
      <c r="C537" s="56"/>
      <c r="D537" s="56"/>
      <c r="E537" s="56"/>
      <c r="F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T537" s="56"/>
      <c r="U537" s="56"/>
      <c r="V537" s="56"/>
      <c r="Y537" s="56"/>
      <c r="Z537" s="56"/>
      <c r="AA537" s="56"/>
      <c r="AB537" s="56"/>
      <c r="AC537" s="56"/>
      <c r="AD537" s="56"/>
      <c r="AE537" s="56"/>
      <c r="AF537" s="56"/>
      <c r="AG537" s="155"/>
      <c r="AH537" s="56"/>
      <c r="AI537" s="56"/>
      <c r="AJ537" s="56"/>
      <c r="AK537" s="155"/>
      <c r="AL537" s="56"/>
      <c r="AM537" s="56"/>
      <c r="AN537" s="56"/>
    </row>
    <row r="538" spans="1:40" x14ac:dyDescent="0.25">
      <c r="C538" s="56"/>
      <c r="D538" s="56"/>
      <c r="E538" s="56"/>
      <c r="F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T538" s="56"/>
      <c r="U538" s="56"/>
      <c r="V538" s="56"/>
      <c r="Y538" s="56"/>
      <c r="Z538" s="56"/>
      <c r="AA538" s="56"/>
      <c r="AB538" s="56"/>
      <c r="AC538" s="56"/>
      <c r="AD538" s="56"/>
      <c r="AE538" s="56"/>
      <c r="AF538" s="56"/>
      <c r="AG538" s="155"/>
      <c r="AH538" s="56"/>
      <c r="AI538" s="56"/>
      <c r="AJ538" s="56"/>
      <c r="AK538" s="155"/>
      <c r="AL538" s="56"/>
      <c r="AM538" s="56"/>
      <c r="AN538" s="56"/>
    </row>
    <row r="539" spans="1:40" x14ac:dyDescent="0.25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154"/>
      <c r="AH539" s="55"/>
      <c r="AI539" s="55"/>
      <c r="AJ539" s="55"/>
      <c r="AK539" s="154"/>
      <c r="AL539" s="55"/>
      <c r="AM539" s="55"/>
      <c r="AN539" s="55"/>
    </row>
    <row r="540" spans="1:40" x14ac:dyDescent="0.25"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Y540" s="56"/>
      <c r="Z540" s="56"/>
      <c r="AA540" s="56"/>
      <c r="AB540" s="56"/>
      <c r="AC540" s="56"/>
      <c r="AD540" s="56"/>
      <c r="AE540" s="56"/>
      <c r="AF540" s="56"/>
      <c r="AG540" s="155"/>
      <c r="AH540" s="56"/>
      <c r="AI540" s="56"/>
      <c r="AJ540" s="56"/>
      <c r="AK540" s="155"/>
      <c r="AL540" s="56"/>
      <c r="AM540" s="56"/>
      <c r="AN540" s="56"/>
    </row>
    <row r="541" spans="1:40" x14ac:dyDescent="0.25">
      <c r="A541" s="53"/>
      <c r="C541" s="54"/>
      <c r="D541" s="54"/>
      <c r="E541" s="54"/>
      <c r="T541" s="54"/>
      <c r="U541" s="54"/>
    </row>
    <row r="543" spans="1:40" x14ac:dyDescent="0.25">
      <c r="A543" s="53"/>
      <c r="C543" s="54"/>
      <c r="T543" s="54"/>
    </row>
    <row r="544" spans="1:40" x14ac:dyDescent="0.25">
      <c r="A544" s="53"/>
      <c r="C544" s="54"/>
      <c r="T544" s="54"/>
    </row>
    <row r="545" spans="1:40" x14ac:dyDescent="0.25">
      <c r="A545" s="53"/>
      <c r="C545" s="54"/>
      <c r="F545" s="449"/>
      <c r="H545" s="449"/>
      <c r="I545" s="449"/>
      <c r="J545" s="221"/>
      <c r="K545" s="221"/>
      <c r="L545" s="379"/>
      <c r="M545" s="379"/>
      <c r="N545" s="50"/>
      <c r="O545" s="50"/>
      <c r="P545" s="379"/>
      <c r="Q545" s="379"/>
      <c r="R545" s="379"/>
      <c r="T545" s="54"/>
      <c r="V545" s="379"/>
      <c r="W545" s="379"/>
      <c r="X545" s="379"/>
      <c r="Y545" s="379"/>
      <c r="Z545" s="221"/>
      <c r="AA545" s="379"/>
      <c r="AB545" s="379"/>
      <c r="AC545" s="50"/>
      <c r="AD545" s="50"/>
      <c r="AE545" s="379"/>
      <c r="AF545" s="379"/>
      <c r="AG545" s="156"/>
      <c r="AH545" s="60"/>
      <c r="AI545" s="379"/>
      <c r="AJ545" s="379"/>
      <c r="AK545" s="156"/>
      <c r="AL545" s="379"/>
      <c r="AM545" s="60"/>
      <c r="AN545" s="60"/>
    </row>
    <row r="546" spans="1:40" x14ac:dyDescent="0.25">
      <c r="A546" s="53"/>
      <c r="C546" s="54"/>
      <c r="F546" s="379"/>
      <c r="H546" s="379"/>
      <c r="I546" s="379"/>
      <c r="J546" s="65"/>
      <c r="K546" s="65"/>
      <c r="L546" s="379"/>
      <c r="M546" s="379"/>
      <c r="N546" s="50"/>
      <c r="O546" s="50"/>
      <c r="P546" s="379"/>
      <c r="Q546" s="379"/>
      <c r="R546" s="379"/>
      <c r="T546" s="54"/>
      <c r="V546" s="379"/>
      <c r="W546" s="379"/>
      <c r="X546" s="379"/>
      <c r="Y546" s="379"/>
      <c r="Z546" s="65"/>
      <c r="AA546" s="379"/>
      <c r="AB546" s="379"/>
      <c r="AC546" s="50"/>
      <c r="AD546" s="50"/>
      <c r="AE546" s="379"/>
      <c r="AF546" s="379"/>
      <c r="AG546" s="156"/>
      <c r="AH546" s="60"/>
      <c r="AI546" s="379"/>
      <c r="AJ546" s="379"/>
      <c r="AK546" s="156"/>
      <c r="AL546" s="379"/>
      <c r="AM546" s="60"/>
      <c r="AN546" s="60"/>
    </row>
    <row r="547" spans="1:40" x14ac:dyDescent="0.25">
      <c r="A547" s="53"/>
      <c r="C547" s="54"/>
      <c r="F547" s="379"/>
      <c r="H547" s="379"/>
      <c r="I547" s="379"/>
      <c r="J547" s="65"/>
      <c r="K547" s="65"/>
      <c r="L547" s="379"/>
      <c r="M547" s="379"/>
      <c r="N547" s="50"/>
      <c r="O547" s="50"/>
      <c r="P547" s="379"/>
      <c r="Q547" s="379"/>
      <c r="R547" s="379"/>
      <c r="T547" s="54"/>
      <c r="V547" s="379"/>
      <c r="W547" s="379"/>
      <c r="X547" s="379"/>
      <c r="Y547" s="379"/>
      <c r="Z547" s="65"/>
      <c r="AA547" s="379"/>
      <c r="AB547" s="379"/>
      <c r="AC547" s="50"/>
      <c r="AD547" s="50"/>
      <c r="AE547" s="379"/>
      <c r="AF547" s="379"/>
      <c r="AG547" s="156"/>
      <c r="AH547" s="60"/>
      <c r="AI547" s="379"/>
      <c r="AJ547" s="379"/>
      <c r="AK547" s="156"/>
      <c r="AL547" s="379"/>
      <c r="AM547" s="60"/>
      <c r="AN547" s="60"/>
    </row>
    <row r="548" spans="1:40" x14ac:dyDescent="0.25">
      <c r="A548" s="53"/>
      <c r="C548" s="54"/>
      <c r="F548" s="379"/>
      <c r="H548" s="379"/>
      <c r="I548" s="379"/>
      <c r="J548" s="65"/>
      <c r="K548" s="65"/>
      <c r="T548" s="54"/>
      <c r="V548" s="379"/>
      <c r="Z548" s="65"/>
    </row>
    <row r="549" spans="1:40" x14ac:dyDescent="0.25">
      <c r="A549" s="53"/>
      <c r="C549" s="54"/>
      <c r="F549" s="449"/>
      <c r="H549" s="449"/>
      <c r="I549" s="449"/>
      <c r="J549" s="221"/>
      <c r="K549" s="221"/>
      <c r="L549" s="379"/>
      <c r="M549" s="379"/>
      <c r="N549" s="50"/>
      <c r="O549" s="50"/>
      <c r="P549" s="379"/>
      <c r="Q549" s="379"/>
      <c r="R549" s="379"/>
      <c r="T549" s="54"/>
      <c r="V549" s="379"/>
      <c r="W549" s="379"/>
      <c r="X549" s="379"/>
      <c r="Y549" s="379"/>
      <c r="Z549" s="221"/>
      <c r="AA549" s="379"/>
      <c r="AB549" s="379"/>
      <c r="AC549" s="50"/>
      <c r="AD549" s="50"/>
      <c r="AE549" s="379"/>
      <c r="AF549" s="379"/>
      <c r="AG549" s="156"/>
      <c r="AH549" s="60"/>
      <c r="AI549" s="379"/>
      <c r="AJ549" s="379"/>
      <c r="AK549" s="156"/>
      <c r="AL549" s="379"/>
      <c r="AM549" s="60"/>
      <c r="AN549" s="60"/>
    </row>
    <row r="550" spans="1:40" x14ac:dyDescent="0.25">
      <c r="A550" s="53"/>
      <c r="C550" s="54"/>
      <c r="F550" s="379"/>
      <c r="H550" s="379"/>
      <c r="I550" s="379"/>
      <c r="J550" s="65"/>
      <c r="K550" s="65"/>
      <c r="T550" s="54"/>
      <c r="V550" s="379"/>
      <c r="W550" s="379"/>
      <c r="X550" s="379"/>
      <c r="Y550" s="379"/>
      <c r="Z550" s="65"/>
      <c r="AC550" s="50"/>
      <c r="AD550" s="50"/>
      <c r="AE550" s="379"/>
      <c r="AF550" s="379"/>
      <c r="AG550" s="156"/>
      <c r="AH550" s="60"/>
      <c r="AI550" s="379"/>
      <c r="AJ550" s="379"/>
      <c r="AK550" s="156"/>
      <c r="AL550" s="379"/>
      <c r="AM550" s="60"/>
      <c r="AN550" s="60"/>
    </row>
    <row r="551" spans="1:40" x14ac:dyDescent="0.25">
      <c r="A551" s="53"/>
      <c r="C551" s="54"/>
      <c r="F551" s="449"/>
      <c r="H551" s="449"/>
      <c r="I551" s="449"/>
      <c r="J551" s="221"/>
      <c r="K551" s="221"/>
      <c r="L551" s="379"/>
      <c r="M551" s="379"/>
      <c r="N551" s="50"/>
      <c r="O551" s="50"/>
      <c r="P551" s="379"/>
      <c r="Q551" s="379"/>
      <c r="R551" s="379"/>
      <c r="T551" s="54"/>
      <c r="V551" s="379"/>
      <c r="W551" s="379"/>
      <c r="X551" s="379"/>
      <c r="Y551" s="379"/>
      <c r="Z551" s="221"/>
      <c r="AA551" s="379"/>
      <c r="AB551" s="379"/>
      <c r="AC551" s="50"/>
      <c r="AD551" s="50"/>
      <c r="AE551" s="379"/>
      <c r="AF551" s="379"/>
      <c r="AG551" s="156"/>
      <c r="AH551" s="60"/>
      <c r="AI551" s="379"/>
      <c r="AJ551" s="379"/>
      <c r="AK551" s="156"/>
      <c r="AL551" s="379"/>
      <c r="AM551" s="60"/>
      <c r="AN551" s="60"/>
    </row>
    <row r="552" spans="1:40" x14ac:dyDescent="0.25">
      <c r="A552" s="53"/>
      <c r="C552" s="54"/>
      <c r="F552" s="379"/>
      <c r="H552" s="379"/>
      <c r="I552" s="379"/>
      <c r="J552" s="65"/>
      <c r="K552" s="65"/>
      <c r="L552" s="379"/>
      <c r="M552" s="379"/>
      <c r="N552" s="50"/>
      <c r="O552" s="50"/>
      <c r="P552" s="379"/>
      <c r="Q552" s="379"/>
      <c r="R552" s="379"/>
      <c r="T552" s="54"/>
      <c r="V552" s="379"/>
      <c r="W552" s="379"/>
      <c r="X552" s="379"/>
      <c r="Y552" s="379"/>
      <c r="Z552" s="65"/>
      <c r="AA552" s="379"/>
      <c r="AB552" s="379"/>
      <c r="AC552" s="50"/>
      <c r="AD552" s="50"/>
      <c r="AE552" s="379"/>
      <c r="AF552" s="379"/>
      <c r="AG552" s="156"/>
      <c r="AH552" s="60"/>
      <c r="AI552" s="379"/>
      <c r="AJ552" s="379"/>
      <c r="AK552" s="156"/>
      <c r="AL552" s="379"/>
      <c r="AM552" s="60"/>
      <c r="AN552" s="60"/>
    </row>
    <row r="553" spans="1:40" x14ac:dyDescent="0.25">
      <c r="F553" s="379"/>
      <c r="H553" s="379"/>
      <c r="I553" s="379"/>
      <c r="J553" s="65"/>
      <c r="K553" s="65"/>
      <c r="Z553" s="65"/>
    </row>
    <row r="554" spans="1:40" x14ac:dyDescent="0.25">
      <c r="A554" s="53"/>
      <c r="C554" s="54"/>
      <c r="F554" s="379"/>
      <c r="H554" s="449"/>
      <c r="I554" s="449"/>
      <c r="J554" s="221"/>
      <c r="K554" s="221"/>
      <c r="L554" s="379"/>
      <c r="M554" s="379"/>
      <c r="N554" s="50"/>
      <c r="O554" s="50"/>
      <c r="P554" s="379"/>
      <c r="Q554" s="379"/>
      <c r="R554" s="379"/>
      <c r="T554" s="54"/>
      <c r="V554" s="379"/>
      <c r="W554" s="379"/>
      <c r="X554" s="379"/>
      <c r="Y554" s="379"/>
      <c r="Z554" s="221"/>
      <c r="AA554" s="379"/>
      <c r="AB554" s="379"/>
      <c r="AC554" s="50"/>
      <c r="AD554" s="50"/>
      <c r="AE554" s="379"/>
      <c r="AF554" s="379"/>
      <c r="AG554" s="156"/>
      <c r="AH554" s="60"/>
      <c r="AI554" s="379"/>
      <c r="AJ554" s="379"/>
      <c r="AK554" s="156"/>
      <c r="AL554" s="379"/>
      <c r="AM554" s="60"/>
      <c r="AN554" s="60"/>
    </row>
    <row r="555" spans="1:40" x14ac:dyDescent="0.25">
      <c r="F555" s="381"/>
      <c r="H555" s="381"/>
      <c r="I555" s="381"/>
      <c r="J555" s="221"/>
      <c r="K555" s="221"/>
      <c r="L555" s="381"/>
      <c r="M555" s="381"/>
      <c r="N555" s="381"/>
      <c r="O555" s="381"/>
      <c r="P555" s="381"/>
      <c r="Q555" s="381"/>
      <c r="R555" s="381"/>
      <c r="V555" s="381"/>
      <c r="Y555" s="381"/>
      <c r="Z555" s="221"/>
      <c r="AA555" s="381"/>
      <c r="AB555" s="381"/>
      <c r="AC555" s="381"/>
      <c r="AD555" s="381"/>
      <c r="AE555" s="381"/>
      <c r="AF555" s="381"/>
      <c r="AI555" s="381"/>
      <c r="AJ555" s="381"/>
      <c r="AK555" s="162"/>
      <c r="AL555" s="381"/>
    </row>
    <row r="556" spans="1:40" x14ac:dyDescent="0.25">
      <c r="A556" s="53"/>
      <c r="C556" s="54"/>
      <c r="F556" s="379"/>
      <c r="H556" s="379"/>
      <c r="I556" s="379"/>
      <c r="J556" s="65"/>
      <c r="K556" s="65"/>
      <c r="L556" s="379"/>
      <c r="M556" s="379"/>
      <c r="N556" s="53"/>
      <c r="O556" s="53"/>
      <c r="P556" s="379"/>
      <c r="Q556" s="379"/>
      <c r="R556" s="379"/>
      <c r="T556" s="54"/>
      <c r="V556" s="379"/>
      <c r="Y556" s="379"/>
      <c r="Z556" s="65"/>
      <c r="AA556" s="379"/>
      <c r="AB556" s="379"/>
      <c r="AC556" s="60"/>
      <c r="AD556" s="60"/>
      <c r="AE556" s="379"/>
      <c r="AF556" s="379"/>
      <c r="AG556" s="156"/>
      <c r="AH556" s="60"/>
      <c r="AI556" s="379"/>
      <c r="AJ556" s="379"/>
      <c r="AK556" s="156"/>
      <c r="AL556" s="379"/>
      <c r="AM556" s="60"/>
      <c r="AN556" s="60"/>
    </row>
    <row r="557" spans="1:40" x14ac:dyDescent="0.25">
      <c r="F557" s="381"/>
      <c r="H557" s="381"/>
      <c r="I557" s="381"/>
      <c r="J557" s="221"/>
      <c r="K557" s="221"/>
      <c r="L557" s="381"/>
      <c r="M557" s="381"/>
      <c r="N557" s="381"/>
      <c r="O557" s="381"/>
      <c r="P557" s="381"/>
      <c r="Q557" s="381"/>
      <c r="R557" s="381"/>
      <c r="V557" s="381"/>
      <c r="Y557" s="381"/>
      <c r="Z557" s="221"/>
      <c r="AA557" s="381"/>
      <c r="AB557" s="381"/>
      <c r="AC557" s="381"/>
      <c r="AD557" s="381"/>
      <c r="AE557" s="381"/>
      <c r="AF557" s="381"/>
      <c r="AI557" s="381"/>
      <c r="AJ557" s="381"/>
      <c r="AK557" s="162"/>
      <c r="AL557" s="381"/>
    </row>
    <row r="558" spans="1:40" x14ac:dyDescent="0.25">
      <c r="J558" s="65"/>
      <c r="K558" s="65"/>
      <c r="Z558" s="65"/>
    </row>
    <row r="559" spans="1:40" x14ac:dyDescent="0.25">
      <c r="A559" s="53"/>
      <c r="C559" s="54"/>
      <c r="J559" s="65"/>
      <c r="K559" s="65"/>
      <c r="T559" s="54"/>
      <c r="Z559" s="65"/>
    </row>
    <row r="560" spans="1:40" x14ac:dyDescent="0.25">
      <c r="A560" s="53"/>
      <c r="C560" s="54"/>
      <c r="J560" s="65"/>
      <c r="K560" s="65"/>
      <c r="T560" s="54"/>
      <c r="Z560" s="65"/>
    </row>
    <row r="561" spans="1:40" x14ac:dyDescent="0.25">
      <c r="A561" s="53"/>
      <c r="C561" s="54"/>
      <c r="F561" s="449"/>
      <c r="H561" s="449"/>
      <c r="I561" s="449"/>
      <c r="J561" s="221"/>
      <c r="K561" s="221"/>
      <c r="L561" s="379"/>
      <c r="M561" s="379"/>
      <c r="N561" s="50"/>
      <c r="O561" s="50"/>
      <c r="P561" s="379"/>
      <c r="Q561" s="379"/>
      <c r="R561" s="379"/>
      <c r="T561" s="54"/>
      <c r="V561" s="379"/>
      <c r="W561" s="379"/>
      <c r="X561" s="379"/>
      <c r="Y561" s="379"/>
      <c r="Z561" s="221"/>
      <c r="AA561" s="379"/>
      <c r="AB561" s="379"/>
      <c r="AC561" s="50"/>
      <c r="AD561" s="50"/>
      <c r="AE561" s="379"/>
      <c r="AF561" s="379"/>
      <c r="AG561" s="156"/>
      <c r="AH561" s="60"/>
      <c r="AI561" s="379"/>
      <c r="AJ561" s="379"/>
      <c r="AK561" s="156"/>
      <c r="AL561" s="379"/>
      <c r="AM561" s="60"/>
      <c r="AN561" s="60"/>
    </row>
    <row r="562" spans="1:40" x14ac:dyDescent="0.25">
      <c r="A562" s="53"/>
      <c r="C562" s="54"/>
      <c r="J562" s="65"/>
      <c r="K562" s="65"/>
      <c r="T562" s="54"/>
      <c r="Z562" s="65"/>
    </row>
    <row r="563" spans="1:40" x14ac:dyDescent="0.25">
      <c r="A563" s="53"/>
      <c r="C563" s="54"/>
      <c r="F563" s="449"/>
      <c r="H563" s="449"/>
      <c r="I563" s="449"/>
      <c r="J563" s="221"/>
      <c r="K563" s="221"/>
      <c r="L563" s="379"/>
      <c r="M563" s="379"/>
      <c r="N563" s="50"/>
      <c r="O563" s="50"/>
      <c r="P563" s="379"/>
      <c r="Q563" s="379"/>
      <c r="R563" s="379"/>
      <c r="T563" s="54"/>
      <c r="V563" s="379"/>
      <c r="W563" s="379"/>
      <c r="X563" s="379"/>
      <c r="Y563" s="379"/>
      <c r="Z563" s="221"/>
      <c r="AA563" s="379"/>
      <c r="AB563" s="379"/>
      <c r="AC563" s="50"/>
      <c r="AD563" s="50"/>
      <c r="AE563" s="379"/>
      <c r="AF563" s="379"/>
      <c r="AG563" s="156"/>
      <c r="AH563" s="60"/>
      <c r="AI563" s="379"/>
      <c r="AJ563" s="379"/>
      <c r="AK563" s="156"/>
      <c r="AL563" s="379"/>
      <c r="AM563" s="60"/>
      <c r="AN563" s="60"/>
    </row>
    <row r="564" spans="1:40" x14ac:dyDescent="0.25">
      <c r="F564" s="381"/>
      <c r="H564" s="381"/>
      <c r="I564" s="381"/>
      <c r="J564" s="221"/>
      <c r="K564" s="221"/>
      <c r="L564" s="381"/>
      <c r="M564" s="381"/>
      <c r="N564" s="381"/>
      <c r="O564" s="381"/>
      <c r="P564" s="381"/>
      <c r="Q564" s="381"/>
      <c r="R564" s="381"/>
      <c r="V564" s="381"/>
      <c r="Y564" s="381"/>
      <c r="Z564" s="221"/>
      <c r="AA564" s="381"/>
      <c r="AB564" s="381"/>
      <c r="AC564" s="381"/>
      <c r="AD564" s="381"/>
      <c r="AE564" s="381"/>
      <c r="AF564" s="381"/>
      <c r="AI564" s="381"/>
      <c r="AJ564" s="381"/>
      <c r="AK564" s="162"/>
      <c r="AL564" s="381"/>
    </row>
    <row r="565" spans="1:40" x14ac:dyDescent="0.25">
      <c r="A565" s="53"/>
      <c r="C565" s="54"/>
      <c r="F565" s="379"/>
      <c r="H565" s="379"/>
      <c r="I565" s="379"/>
      <c r="J565" s="65"/>
      <c r="K565" s="65"/>
      <c r="L565" s="379"/>
      <c r="M565" s="379"/>
      <c r="N565" s="60"/>
      <c r="O565" s="60"/>
      <c r="P565" s="379"/>
      <c r="Q565" s="379"/>
      <c r="R565" s="379"/>
      <c r="T565" s="54"/>
      <c r="V565" s="379"/>
      <c r="Y565" s="379"/>
      <c r="Z565" s="65"/>
      <c r="AA565" s="379"/>
      <c r="AB565" s="379"/>
      <c r="AC565" s="60"/>
      <c r="AD565" s="60"/>
      <c r="AE565" s="379"/>
      <c r="AF565" s="379"/>
      <c r="AG565" s="156"/>
      <c r="AH565" s="60"/>
      <c r="AI565" s="379"/>
      <c r="AJ565" s="379"/>
      <c r="AK565" s="156"/>
      <c r="AL565" s="379"/>
      <c r="AM565" s="60"/>
      <c r="AN565" s="60"/>
    </row>
    <row r="566" spans="1:40" x14ac:dyDescent="0.25">
      <c r="F566" s="381"/>
      <c r="H566" s="381"/>
      <c r="I566" s="381"/>
      <c r="J566" s="221"/>
      <c r="K566" s="221"/>
      <c r="L566" s="381"/>
      <c r="M566" s="381"/>
      <c r="N566" s="381"/>
      <c r="O566" s="381"/>
      <c r="P566" s="381"/>
      <c r="Q566" s="381"/>
      <c r="R566" s="381"/>
      <c r="V566" s="381"/>
      <c r="Y566" s="381"/>
      <c r="Z566" s="464"/>
      <c r="AA566" s="381"/>
      <c r="AB566" s="381"/>
      <c r="AC566" s="381"/>
      <c r="AD566" s="381"/>
      <c r="AE566" s="381"/>
      <c r="AF566" s="381"/>
      <c r="AI566" s="381"/>
      <c r="AJ566" s="381"/>
      <c r="AK566" s="162"/>
      <c r="AL566" s="381"/>
    </row>
    <row r="567" spans="1:40" x14ac:dyDescent="0.25">
      <c r="J567" s="65"/>
      <c r="K567" s="65"/>
    </row>
    <row r="568" spans="1:40" x14ac:dyDescent="0.25">
      <c r="A568" s="53"/>
      <c r="C568" s="54"/>
      <c r="F568" s="379"/>
      <c r="H568" s="379"/>
      <c r="I568" s="379"/>
      <c r="J568" s="65"/>
      <c r="K568" s="65"/>
      <c r="L568" s="379"/>
      <c r="M568" s="379"/>
      <c r="N568" s="50"/>
      <c r="O568" s="50"/>
      <c r="P568" s="449"/>
      <c r="Q568" s="449"/>
      <c r="R568" s="379"/>
      <c r="T568" s="54"/>
      <c r="V568" s="379"/>
      <c r="Y568" s="379"/>
      <c r="AA568" s="379"/>
      <c r="AB568" s="379"/>
      <c r="AC568" s="60"/>
      <c r="AD568" s="60"/>
      <c r="AE568" s="379"/>
      <c r="AF568" s="379"/>
      <c r="AG568" s="156"/>
      <c r="AH568" s="60"/>
      <c r="AI568" s="449"/>
      <c r="AJ568" s="449"/>
      <c r="AK568" s="156"/>
      <c r="AL568" s="379"/>
      <c r="AM568" s="60"/>
      <c r="AN568" s="60"/>
    </row>
    <row r="569" spans="1:40" x14ac:dyDescent="0.25">
      <c r="F569" s="381"/>
      <c r="H569" s="381"/>
      <c r="I569" s="381"/>
      <c r="J569" s="221"/>
      <c r="K569" s="221"/>
      <c r="L569" s="381"/>
      <c r="M569" s="381"/>
      <c r="N569" s="381"/>
      <c r="O569" s="381"/>
      <c r="P569" s="381"/>
      <c r="Q569" s="381"/>
      <c r="R569" s="381"/>
      <c r="V569" s="381"/>
      <c r="Y569" s="381"/>
      <c r="Z569" s="464"/>
      <c r="AA569" s="381"/>
      <c r="AB569" s="381"/>
      <c r="AC569" s="381"/>
      <c r="AD569" s="381"/>
      <c r="AE569" s="381"/>
      <c r="AF569" s="381"/>
      <c r="AI569" s="381"/>
      <c r="AJ569" s="381"/>
      <c r="AK569" s="162"/>
      <c r="AL569" s="381"/>
    </row>
    <row r="571" spans="1:40" x14ac:dyDescent="0.25">
      <c r="C571" s="53"/>
      <c r="T571" s="53"/>
    </row>
    <row r="572" spans="1:40" x14ac:dyDescent="0.25">
      <c r="A572" s="54"/>
    </row>
    <row r="573" spans="1:40" x14ac:dyDescent="0.25">
      <c r="J573" s="53"/>
      <c r="K573" s="53"/>
      <c r="Z573" s="53"/>
    </row>
    <row r="574" spans="1:40" x14ac:dyDescent="0.25">
      <c r="H574" s="54"/>
      <c r="I574" s="54"/>
      <c r="Y574" s="54"/>
    </row>
    <row r="575" spans="1:40" x14ac:dyDescent="0.25">
      <c r="J575" s="53"/>
      <c r="K575" s="53"/>
      <c r="Z575" s="53"/>
    </row>
    <row r="576" spans="1:40" x14ac:dyDescent="0.25">
      <c r="L576" s="54"/>
      <c r="M576" s="54"/>
      <c r="AA576" s="54"/>
      <c r="AB576" s="54"/>
    </row>
    <row r="577" spans="1:40" x14ac:dyDescent="0.25">
      <c r="A577" s="53"/>
      <c r="R577" s="54"/>
      <c r="AK577" s="161"/>
      <c r="AL577" s="54"/>
    </row>
    <row r="578" spans="1:40" x14ac:dyDescent="0.25">
      <c r="A578" s="53"/>
      <c r="R578" s="54"/>
      <c r="AK578" s="161"/>
      <c r="AL578" s="54"/>
    </row>
    <row r="579" spans="1:40" x14ac:dyDescent="0.25">
      <c r="A579" s="54"/>
      <c r="R579" s="54"/>
      <c r="AK579" s="161"/>
      <c r="AL579" s="54"/>
    </row>
    <row r="580" spans="1:40" x14ac:dyDescent="0.25">
      <c r="L580" s="54"/>
      <c r="M580" s="54"/>
      <c r="R580" s="53"/>
      <c r="AA580" s="54"/>
      <c r="AB580" s="54"/>
      <c r="AK580" s="156"/>
      <c r="AL580" s="53"/>
    </row>
    <row r="581" spans="1:40" x14ac:dyDescent="0.25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154"/>
      <c r="AH581" s="55"/>
      <c r="AI581" s="55"/>
      <c r="AJ581" s="55"/>
      <c r="AK581" s="154"/>
      <c r="AL581" s="55"/>
      <c r="AM581" s="55"/>
      <c r="AN581" s="55"/>
    </row>
    <row r="582" spans="1:40" x14ac:dyDescent="0.25">
      <c r="L582" s="56"/>
      <c r="M582" s="56"/>
      <c r="N582" s="56"/>
      <c r="O582" s="56"/>
      <c r="R582" s="56"/>
      <c r="AA582" s="56"/>
      <c r="AB582" s="56"/>
      <c r="AC582" s="56"/>
      <c r="AD582" s="56"/>
      <c r="AE582" s="56"/>
      <c r="AF582" s="56"/>
      <c r="AG582" s="155"/>
      <c r="AH582" s="56"/>
      <c r="AK582" s="155"/>
      <c r="AL582" s="56"/>
      <c r="AM582" s="56"/>
      <c r="AN582" s="56"/>
    </row>
    <row r="583" spans="1:40" x14ac:dyDescent="0.25">
      <c r="L583" s="56"/>
      <c r="M583" s="56"/>
      <c r="N583" s="56"/>
      <c r="O583" s="56"/>
      <c r="R583" s="56"/>
      <c r="Z583" s="56"/>
      <c r="AA583" s="56"/>
      <c r="AB583" s="56"/>
      <c r="AC583" s="56"/>
      <c r="AD583" s="56"/>
      <c r="AE583" s="56"/>
      <c r="AF583" s="56"/>
      <c r="AG583" s="155"/>
      <c r="AH583" s="56"/>
      <c r="AK583" s="155"/>
      <c r="AL583" s="56"/>
      <c r="AM583" s="56"/>
      <c r="AN583" s="56"/>
    </row>
    <row r="584" spans="1:40" x14ac:dyDescent="0.25">
      <c r="A584" s="56"/>
      <c r="C584" s="56"/>
      <c r="D584" s="56"/>
      <c r="E584" s="56"/>
      <c r="F584" s="56"/>
      <c r="J584" s="56"/>
      <c r="K584" s="56"/>
      <c r="L584" s="56"/>
      <c r="M584" s="56"/>
      <c r="N584" s="56"/>
      <c r="O584" s="56"/>
      <c r="P584" s="56"/>
      <c r="Q584" s="56"/>
      <c r="R584" s="56"/>
      <c r="T584" s="56"/>
      <c r="U584" s="56"/>
      <c r="V584" s="56"/>
      <c r="Z584" s="56"/>
      <c r="AA584" s="56"/>
      <c r="AB584" s="56"/>
      <c r="AC584" s="56"/>
      <c r="AD584" s="56"/>
      <c r="AE584" s="56"/>
      <c r="AF584" s="56"/>
      <c r="AG584" s="155"/>
      <c r="AH584" s="56"/>
      <c r="AI584" s="56"/>
      <c r="AJ584" s="56"/>
      <c r="AK584" s="155"/>
      <c r="AL584" s="56"/>
      <c r="AM584" s="56"/>
      <c r="AN584" s="56"/>
    </row>
    <row r="585" spans="1:40" x14ac:dyDescent="0.25">
      <c r="A585" s="56"/>
      <c r="C585" s="56"/>
      <c r="D585" s="56"/>
      <c r="E585" s="56"/>
      <c r="F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T585" s="56"/>
      <c r="U585" s="56"/>
      <c r="V585" s="56"/>
      <c r="Y585" s="56"/>
      <c r="Z585" s="56"/>
      <c r="AA585" s="56"/>
      <c r="AB585" s="56"/>
      <c r="AC585" s="56"/>
      <c r="AD585" s="56"/>
      <c r="AE585" s="56"/>
      <c r="AF585" s="56"/>
      <c r="AG585" s="155"/>
      <c r="AH585" s="56"/>
      <c r="AI585" s="56"/>
      <c r="AJ585" s="56"/>
      <c r="AK585" s="155"/>
      <c r="AL585" s="56"/>
      <c r="AM585" s="56"/>
      <c r="AN585" s="56"/>
    </row>
    <row r="586" spans="1:40" x14ac:dyDescent="0.25">
      <c r="C586" s="56"/>
      <c r="D586" s="56"/>
      <c r="E586" s="56"/>
      <c r="F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T586" s="56"/>
      <c r="U586" s="56"/>
      <c r="V586" s="56"/>
      <c r="Y586" s="56"/>
      <c r="Z586" s="56"/>
      <c r="AA586" s="56"/>
      <c r="AB586" s="56"/>
      <c r="AC586" s="56"/>
      <c r="AD586" s="56"/>
      <c r="AE586" s="56"/>
      <c r="AF586" s="56"/>
      <c r="AG586" s="155"/>
      <c r="AH586" s="56"/>
      <c r="AI586" s="56"/>
      <c r="AJ586" s="56"/>
      <c r="AK586" s="155"/>
      <c r="AL586" s="56"/>
      <c r="AM586" s="56"/>
      <c r="AN586" s="56"/>
    </row>
    <row r="587" spans="1:40" x14ac:dyDescent="0.25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154"/>
      <c r="AH587" s="55"/>
      <c r="AI587" s="55"/>
      <c r="AJ587" s="55"/>
      <c r="AK587" s="154"/>
      <c r="AL587" s="55"/>
      <c r="AM587" s="55"/>
      <c r="AN587" s="55"/>
    </row>
    <row r="588" spans="1:40" x14ac:dyDescent="0.25"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Y588" s="56"/>
      <c r="Z588" s="56"/>
      <c r="AA588" s="56"/>
      <c r="AB588" s="56"/>
      <c r="AC588" s="56"/>
      <c r="AD588" s="56"/>
      <c r="AE588" s="56"/>
      <c r="AF588" s="56"/>
      <c r="AG588" s="155"/>
      <c r="AH588" s="56"/>
      <c r="AI588" s="56"/>
      <c r="AJ588" s="56"/>
      <c r="AK588" s="155"/>
      <c r="AL588" s="56"/>
      <c r="AM588" s="56"/>
      <c r="AN588" s="56"/>
    </row>
    <row r="589" spans="1:40" x14ac:dyDescent="0.25">
      <c r="A589" s="53"/>
      <c r="C589" s="54"/>
      <c r="D589" s="54"/>
      <c r="E589" s="54"/>
      <c r="T589" s="54"/>
      <c r="U589" s="54"/>
    </row>
    <row r="591" spans="1:40" x14ac:dyDescent="0.25">
      <c r="A591" s="53"/>
      <c r="C591" s="54"/>
      <c r="D591" s="54"/>
      <c r="E591" s="54"/>
      <c r="T591" s="54"/>
      <c r="U591" s="54"/>
    </row>
    <row r="592" spans="1:40" x14ac:dyDescent="0.25">
      <c r="A592" s="53"/>
      <c r="C592" s="54"/>
      <c r="T592" s="54"/>
    </row>
    <row r="593" spans="1:40" x14ac:dyDescent="0.25">
      <c r="A593" s="53"/>
      <c r="C593" s="54"/>
      <c r="T593" s="54"/>
    </row>
    <row r="594" spans="1:40" x14ac:dyDescent="0.25">
      <c r="A594" s="53"/>
      <c r="C594" s="54"/>
      <c r="F594" s="449"/>
      <c r="H594" s="449"/>
      <c r="I594" s="449"/>
      <c r="J594" s="221"/>
      <c r="K594" s="221"/>
      <c r="L594" s="379"/>
      <c r="M594" s="379"/>
      <c r="N594" s="50"/>
      <c r="O594" s="50"/>
      <c r="P594" s="379"/>
      <c r="Q594" s="379"/>
      <c r="R594" s="379"/>
      <c r="T594" s="54"/>
      <c r="V594" s="379"/>
      <c r="W594" s="379"/>
      <c r="X594" s="379"/>
      <c r="Y594" s="379"/>
      <c r="Z594" s="221"/>
      <c r="AA594" s="379"/>
      <c r="AB594" s="379"/>
      <c r="AC594" s="50"/>
      <c r="AD594" s="50"/>
      <c r="AE594" s="379"/>
      <c r="AF594" s="379"/>
      <c r="AG594" s="156"/>
      <c r="AH594" s="60"/>
      <c r="AI594" s="379"/>
      <c r="AJ594" s="379"/>
      <c r="AK594" s="156"/>
      <c r="AL594" s="379"/>
      <c r="AM594" s="50"/>
      <c r="AN594" s="50"/>
    </row>
    <row r="595" spans="1:40" x14ac:dyDescent="0.25">
      <c r="A595" s="53"/>
      <c r="C595" s="54"/>
      <c r="J595" s="65"/>
      <c r="K595" s="65"/>
      <c r="T595" s="54"/>
      <c r="V595" s="379"/>
      <c r="W595" s="379"/>
      <c r="X595" s="379"/>
      <c r="Y595" s="379"/>
      <c r="Z595" s="221"/>
    </row>
    <row r="596" spans="1:40" x14ac:dyDescent="0.25">
      <c r="A596" s="53"/>
      <c r="C596" s="54"/>
      <c r="F596" s="449"/>
      <c r="H596" s="449"/>
      <c r="I596" s="449"/>
      <c r="J596" s="221"/>
      <c r="K596" s="221"/>
      <c r="L596" s="379"/>
      <c r="M596" s="379"/>
      <c r="N596" s="50"/>
      <c r="O596" s="50"/>
      <c r="P596" s="379"/>
      <c r="Q596" s="379"/>
      <c r="R596" s="379"/>
      <c r="T596" s="54"/>
      <c r="V596" s="379"/>
      <c r="W596" s="379"/>
      <c r="X596" s="379"/>
      <c r="Y596" s="379"/>
      <c r="Z596" s="221"/>
      <c r="AA596" s="379"/>
      <c r="AB596" s="379"/>
      <c r="AC596" s="50"/>
      <c r="AD596" s="50"/>
      <c r="AE596" s="379"/>
      <c r="AF596" s="379"/>
      <c r="AG596" s="156"/>
      <c r="AH596" s="60"/>
      <c r="AI596" s="379"/>
      <c r="AJ596" s="379"/>
      <c r="AK596" s="156"/>
      <c r="AL596" s="379"/>
      <c r="AM596" s="50"/>
      <c r="AN596" s="50"/>
    </row>
    <row r="597" spans="1:40" x14ac:dyDescent="0.25">
      <c r="A597" s="53"/>
      <c r="C597" s="54"/>
      <c r="J597" s="65"/>
      <c r="K597" s="65"/>
      <c r="T597" s="54"/>
      <c r="V597" s="379"/>
      <c r="W597" s="379"/>
      <c r="X597" s="379"/>
      <c r="Y597" s="379"/>
      <c r="Z597" s="221"/>
    </row>
    <row r="598" spans="1:40" x14ac:dyDescent="0.25">
      <c r="A598" s="53"/>
      <c r="C598" s="54"/>
      <c r="F598" s="449"/>
      <c r="H598" s="449"/>
      <c r="I598" s="449"/>
      <c r="J598" s="221"/>
      <c r="K598" s="221"/>
      <c r="L598" s="379"/>
      <c r="M598" s="379"/>
      <c r="N598" s="50"/>
      <c r="O598" s="50"/>
      <c r="P598" s="379"/>
      <c r="Q598" s="379"/>
      <c r="R598" s="379"/>
      <c r="T598" s="54"/>
      <c r="V598" s="379"/>
      <c r="W598" s="379"/>
      <c r="X598" s="379"/>
      <c r="Y598" s="379"/>
      <c r="Z598" s="221"/>
      <c r="AA598" s="379"/>
      <c r="AB598" s="379"/>
      <c r="AC598" s="50"/>
      <c r="AD598" s="50"/>
      <c r="AE598" s="379"/>
      <c r="AF598" s="379"/>
      <c r="AG598" s="156"/>
      <c r="AH598" s="60"/>
      <c r="AI598" s="379"/>
      <c r="AJ598" s="379"/>
      <c r="AK598" s="156"/>
      <c r="AL598" s="379"/>
      <c r="AM598" s="50"/>
      <c r="AN598" s="50"/>
    </row>
    <row r="599" spans="1:40" x14ac:dyDescent="0.25">
      <c r="A599" s="53"/>
      <c r="C599" s="54"/>
      <c r="J599" s="65"/>
      <c r="K599" s="65"/>
      <c r="T599" s="54"/>
      <c r="V599" s="379"/>
      <c r="W599" s="379"/>
      <c r="X599" s="379"/>
      <c r="Y599" s="379"/>
      <c r="Z599" s="221"/>
    </row>
    <row r="600" spans="1:40" x14ac:dyDescent="0.25">
      <c r="A600" s="53"/>
      <c r="C600" s="54"/>
      <c r="F600" s="449"/>
      <c r="H600" s="449"/>
      <c r="I600" s="449"/>
      <c r="J600" s="221"/>
      <c r="K600" s="221"/>
      <c r="L600" s="379"/>
      <c r="M600" s="379"/>
      <c r="N600" s="50"/>
      <c r="O600" s="50"/>
      <c r="P600" s="379"/>
      <c r="Q600" s="379"/>
      <c r="R600" s="379"/>
      <c r="T600" s="54"/>
      <c r="V600" s="379"/>
      <c r="W600" s="379"/>
      <c r="X600" s="379"/>
      <c r="Y600" s="379"/>
      <c r="Z600" s="221"/>
      <c r="AA600" s="379"/>
      <c r="AB600" s="379"/>
      <c r="AC600" s="50"/>
      <c r="AD600" s="50"/>
      <c r="AE600" s="379"/>
      <c r="AF600" s="379"/>
      <c r="AG600" s="156"/>
      <c r="AH600" s="60"/>
      <c r="AI600" s="379"/>
      <c r="AJ600" s="379"/>
      <c r="AK600" s="156"/>
      <c r="AL600" s="379"/>
      <c r="AM600" s="50"/>
      <c r="AN600" s="50"/>
    </row>
    <row r="601" spans="1:40" x14ac:dyDescent="0.25">
      <c r="A601" s="53"/>
      <c r="C601" s="54"/>
      <c r="J601" s="65"/>
      <c r="K601" s="65"/>
      <c r="T601" s="54"/>
      <c r="V601" s="379"/>
      <c r="W601" s="379"/>
      <c r="X601" s="379"/>
      <c r="Y601" s="379"/>
      <c r="Z601" s="221"/>
    </row>
    <row r="602" spans="1:40" x14ac:dyDescent="0.25">
      <c r="A602" s="53"/>
      <c r="C602" s="54"/>
      <c r="F602" s="449"/>
      <c r="H602" s="449"/>
      <c r="I602" s="449"/>
      <c r="J602" s="221"/>
      <c r="K602" s="221"/>
      <c r="L602" s="379"/>
      <c r="M602" s="379"/>
      <c r="N602" s="50"/>
      <c r="O602" s="50"/>
      <c r="P602" s="379"/>
      <c r="Q602" s="379"/>
      <c r="R602" s="379"/>
      <c r="T602" s="54"/>
      <c r="V602" s="379"/>
      <c r="W602" s="379"/>
      <c r="X602" s="379"/>
      <c r="Y602" s="379"/>
      <c r="Z602" s="221"/>
      <c r="AA602" s="379"/>
      <c r="AB602" s="379"/>
      <c r="AC602" s="50"/>
      <c r="AD602" s="50"/>
      <c r="AE602" s="379"/>
      <c r="AF602" s="379"/>
      <c r="AG602" s="156"/>
      <c r="AH602" s="60"/>
      <c r="AI602" s="379"/>
      <c r="AJ602" s="379"/>
      <c r="AK602" s="156"/>
      <c r="AL602" s="379"/>
      <c r="AM602" s="50"/>
      <c r="AN602" s="50"/>
    </row>
    <row r="603" spans="1:40" x14ac:dyDescent="0.25">
      <c r="A603" s="53"/>
      <c r="C603" s="54"/>
      <c r="J603" s="65"/>
      <c r="K603" s="65"/>
      <c r="T603" s="54"/>
      <c r="V603" s="379"/>
      <c r="W603" s="379"/>
      <c r="X603" s="379"/>
      <c r="Y603" s="379"/>
      <c r="Z603" s="221"/>
    </row>
    <row r="604" spans="1:40" x14ac:dyDescent="0.25">
      <c r="A604" s="53"/>
      <c r="C604" s="54"/>
      <c r="F604" s="449"/>
      <c r="H604" s="449"/>
      <c r="I604" s="449"/>
      <c r="J604" s="221"/>
      <c r="K604" s="221"/>
      <c r="L604" s="379"/>
      <c r="M604" s="379"/>
      <c r="N604" s="50"/>
      <c r="O604" s="50"/>
      <c r="P604" s="379"/>
      <c r="Q604" s="379"/>
      <c r="R604" s="379"/>
      <c r="T604" s="54"/>
      <c r="V604" s="379"/>
      <c r="W604" s="379"/>
      <c r="X604" s="379"/>
      <c r="Y604" s="379"/>
      <c r="Z604" s="221"/>
      <c r="AA604" s="379"/>
      <c r="AB604" s="379"/>
      <c r="AC604" s="50"/>
      <c r="AD604" s="50"/>
      <c r="AE604" s="379"/>
      <c r="AF604" s="379"/>
      <c r="AG604" s="156"/>
      <c r="AH604" s="60"/>
      <c r="AI604" s="379"/>
      <c r="AJ604" s="379"/>
      <c r="AK604" s="156"/>
      <c r="AL604" s="379"/>
      <c r="AM604" s="50"/>
      <c r="AN604" s="50"/>
    </row>
    <row r="605" spans="1:40" x14ac:dyDescent="0.25">
      <c r="F605" s="381"/>
      <c r="H605" s="381"/>
      <c r="I605" s="381"/>
      <c r="J605" s="221"/>
      <c r="K605" s="221"/>
      <c r="L605" s="381"/>
      <c r="M605" s="381"/>
      <c r="N605" s="381"/>
      <c r="O605" s="381"/>
      <c r="P605" s="381"/>
      <c r="Q605" s="381"/>
      <c r="R605" s="381"/>
      <c r="V605" s="381"/>
      <c r="Y605" s="381"/>
      <c r="Z605" s="221"/>
      <c r="AA605" s="381"/>
      <c r="AB605" s="381"/>
      <c r="AC605" s="381"/>
      <c r="AD605" s="381"/>
      <c r="AE605" s="381"/>
      <c r="AF605" s="381"/>
      <c r="AI605" s="381"/>
      <c r="AJ605" s="381"/>
      <c r="AK605" s="162"/>
      <c r="AL605" s="381"/>
      <c r="AM605" s="50"/>
      <c r="AN605" s="50"/>
    </row>
    <row r="606" spans="1:40" x14ac:dyDescent="0.25">
      <c r="A606" s="53"/>
      <c r="C606" s="54"/>
      <c r="F606" s="379"/>
      <c r="H606" s="379"/>
      <c r="I606" s="379"/>
      <c r="J606" s="65"/>
      <c r="K606" s="65"/>
      <c r="L606" s="379"/>
      <c r="M606" s="379"/>
      <c r="N606" s="50"/>
      <c r="O606" s="50"/>
      <c r="P606" s="449"/>
      <c r="Q606" s="449"/>
      <c r="R606" s="379"/>
      <c r="T606" s="54"/>
      <c r="V606" s="379"/>
      <c r="W606" s="379"/>
      <c r="X606" s="379"/>
      <c r="Y606" s="379"/>
      <c r="Z606" s="221"/>
      <c r="AA606" s="379"/>
      <c r="AB606" s="379"/>
      <c r="AC606" s="50"/>
      <c r="AD606" s="50"/>
      <c r="AE606" s="379"/>
      <c r="AF606" s="379"/>
      <c r="AG606" s="156"/>
      <c r="AH606" s="60"/>
      <c r="AI606" s="449"/>
      <c r="AJ606" s="449"/>
      <c r="AK606" s="156"/>
      <c r="AL606" s="379"/>
      <c r="AM606" s="50"/>
      <c r="AN606" s="50"/>
    </row>
    <row r="607" spans="1:40" x14ac:dyDescent="0.25">
      <c r="F607" s="381"/>
      <c r="H607" s="381"/>
      <c r="I607" s="381"/>
      <c r="J607" s="221"/>
      <c r="K607" s="221"/>
      <c r="L607" s="381"/>
      <c r="M607" s="381"/>
      <c r="N607" s="381"/>
      <c r="O607" s="381"/>
      <c r="P607" s="381"/>
      <c r="Q607" s="381"/>
      <c r="R607" s="381"/>
      <c r="V607" s="381"/>
      <c r="Y607" s="381"/>
      <c r="Z607" s="221"/>
      <c r="AA607" s="381"/>
      <c r="AB607" s="381"/>
      <c r="AC607" s="381"/>
      <c r="AD607" s="381"/>
      <c r="AE607" s="381"/>
      <c r="AF607" s="381"/>
      <c r="AI607" s="381"/>
      <c r="AJ607" s="381"/>
      <c r="AK607" s="162"/>
      <c r="AL607" s="381"/>
    </row>
    <row r="608" spans="1:40" x14ac:dyDescent="0.25">
      <c r="A608" s="53"/>
      <c r="C608" s="54"/>
      <c r="D608" s="54"/>
      <c r="E608" s="54"/>
      <c r="J608" s="65"/>
      <c r="K608" s="65"/>
      <c r="T608" s="54"/>
      <c r="U608" s="54"/>
      <c r="V608" s="379"/>
      <c r="W608" s="379"/>
      <c r="X608" s="379"/>
      <c r="Y608" s="379"/>
      <c r="Z608" s="221"/>
    </row>
    <row r="609" spans="1:40" x14ac:dyDescent="0.25">
      <c r="A609" s="53"/>
      <c r="C609" s="54"/>
      <c r="J609" s="65"/>
      <c r="K609" s="65"/>
      <c r="T609" s="54"/>
      <c r="V609" s="379"/>
      <c r="W609" s="379"/>
      <c r="X609" s="379"/>
      <c r="Y609" s="379"/>
      <c r="Z609" s="221"/>
    </row>
    <row r="610" spans="1:40" x14ac:dyDescent="0.25">
      <c r="A610" s="53"/>
      <c r="C610" s="54"/>
      <c r="J610" s="65"/>
      <c r="K610" s="65"/>
      <c r="T610" s="54"/>
      <c r="V610" s="379"/>
      <c r="W610" s="379"/>
      <c r="X610" s="379"/>
      <c r="Y610" s="379"/>
      <c r="Z610" s="221"/>
    </row>
    <row r="611" spans="1:40" x14ac:dyDescent="0.25">
      <c r="A611" s="53"/>
      <c r="C611" s="54"/>
      <c r="F611" s="449"/>
      <c r="H611" s="449"/>
      <c r="I611" s="449"/>
      <c r="J611" s="221"/>
      <c r="K611" s="221"/>
      <c r="L611" s="379"/>
      <c r="M611" s="379"/>
      <c r="N611" s="50"/>
      <c r="O611" s="50"/>
      <c r="P611" s="379"/>
      <c r="Q611" s="379"/>
      <c r="R611" s="379"/>
      <c r="T611" s="54"/>
      <c r="V611" s="379"/>
      <c r="W611" s="379"/>
      <c r="X611" s="379"/>
      <c r="Y611" s="379"/>
      <c r="Z611" s="221"/>
      <c r="AA611" s="379"/>
      <c r="AB611" s="379"/>
      <c r="AC611" s="50"/>
      <c r="AD611" s="50"/>
      <c r="AE611" s="379"/>
      <c r="AF611" s="379"/>
      <c r="AG611" s="156"/>
      <c r="AH611" s="60"/>
      <c r="AI611" s="379"/>
      <c r="AJ611" s="379"/>
      <c r="AK611" s="156"/>
      <c r="AL611" s="379"/>
      <c r="AM611" s="50"/>
      <c r="AN611" s="50"/>
    </row>
    <row r="612" spans="1:40" x14ac:dyDescent="0.25">
      <c r="A612" s="53"/>
      <c r="C612" s="54"/>
      <c r="J612" s="65"/>
      <c r="K612" s="65"/>
      <c r="T612" s="54"/>
      <c r="V612" s="379"/>
      <c r="W612" s="379"/>
      <c r="X612" s="379"/>
      <c r="Y612" s="379"/>
      <c r="Z612" s="221"/>
    </row>
    <row r="613" spans="1:40" x14ac:dyDescent="0.25">
      <c r="A613" s="53"/>
      <c r="C613" s="54"/>
      <c r="F613" s="449"/>
      <c r="H613" s="449"/>
      <c r="I613" s="449"/>
      <c r="J613" s="221"/>
      <c r="K613" s="221"/>
      <c r="L613" s="379"/>
      <c r="M613" s="379"/>
      <c r="N613" s="50"/>
      <c r="O613" s="50"/>
      <c r="P613" s="379"/>
      <c r="Q613" s="379"/>
      <c r="R613" s="379"/>
      <c r="T613" s="54"/>
      <c r="V613" s="379"/>
      <c r="W613" s="379"/>
      <c r="X613" s="379"/>
      <c r="Y613" s="379"/>
      <c r="Z613" s="221"/>
      <c r="AA613" s="379"/>
      <c r="AB613" s="379"/>
      <c r="AC613" s="50"/>
      <c r="AD613" s="50"/>
      <c r="AE613" s="379"/>
      <c r="AF613" s="379"/>
      <c r="AG613" s="156"/>
      <c r="AH613" s="60"/>
      <c r="AI613" s="379"/>
      <c r="AJ613" s="379"/>
      <c r="AK613" s="156"/>
      <c r="AL613" s="379"/>
      <c r="AM613" s="50"/>
      <c r="AN613" s="50"/>
    </row>
    <row r="614" spans="1:40" x14ac:dyDescent="0.25">
      <c r="F614" s="381"/>
      <c r="H614" s="381"/>
      <c r="I614" s="381"/>
      <c r="J614" s="221"/>
      <c r="K614" s="221"/>
      <c r="L614" s="381"/>
      <c r="M614" s="381"/>
      <c r="N614" s="381"/>
      <c r="O614" s="381"/>
      <c r="P614" s="381"/>
      <c r="Q614" s="381"/>
      <c r="R614" s="381"/>
      <c r="V614" s="381"/>
      <c r="Y614" s="381"/>
      <c r="Z614" s="464"/>
      <c r="AA614" s="381"/>
      <c r="AB614" s="381"/>
      <c r="AC614" s="381"/>
      <c r="AD614" s="381"/>
      <c r="AE614" s="381"/>
      <c r="AF614" s="381"/>
      <c r="AI614" s="381"/>
      <c r="AJ614" s="381"/>
      <c r="AK614" s="162"/>
      <c r="AL614" s="381"/>
    </row>
    <row r="615" spans="1:40" x14ac:dyDescent="0.25">
      <c r="A615" s="53"/>
      <c r="C615" s="54"/>
      <c r="F615" s="379"/>
      <c r="H615" s="379"/>
      <c r="I615" s="379"/>
      <c r="L615" s="379"/>
      <c r="M615" s="379"/>
      <c r="N615" s="50"/>
      <c r="O615" s="50"/>
      <c r="P615" s="449"/>
      <c r="Q615" s="449"/>
      <c r="R615" s="379"/>
      <c r="T615" s="54"/>
      <c r="V615" s="379"/>
      <c r="W615" s="379"/>
      <c r="X615" s="379"/>
      <c r="Y615" s="379"/>
      <c r="Z615" s="477"/>
      <c r="AA615" s="379"/>
      <c r="AB615" s="379"/>
      <c r="AC615" s="50"/>
      <c r="AD615" s="50"/>
      <c r="AE615" s="379"/>
      <c r="AF615" s="379"/>
      <c r="AG615" s="156"/>
      <c r="AH615" s="60"/>
      <c r="AI615" s="449"/>
      <c r="AJ615" s="449"/>
      <c r="AK615" s="156"/>
      <c r="AL615" s="379"/>
      <c r="AM615" s="50"/>
      <c r="AN615" s="50"/>
    </row>
    <row r="616" spans="1:40" x14ac:dyDescent="0.25">
      <c r="F616" s="381"/>
      <c r="H616" s="381"/>
      <c r="I616" s="381"/>
      <c r="J616" s="464"/>
      <c r="K616" s="464"/>
      <c r="L616" s="381"/>
      <c r="M616" s="381"/>
      <c r="N616" s="381"/>
      <c r="O616" s="381"/>
      <c r="P616" s="381"/>
      <c r="Q616" s="381"/>
      <c r="R616" s="381"/>
      <c r="V616" s="381"/>
      <c r="Y616" s="381"/>
      <c r="Z616" s="464"/>
      <c r="AA616" s="381"/>
      <c r="AB616" s="381"/>
      <c r="AC616" s="381"/>
      <c r="AD616" s="381"/>
      <c r="AE616" s="381"/>
      <c r="AF616" s="381"/>
      <c r="AI616" s="381"/>
      <c r="AJ616" s="381"/>
      <c r="AK616" s="162"/>
      <c r="AL616" s="381"/>
    </row>
    <row r="617" spans="1:40" x14ac:dyDescent="0.25">
      <c r="A617" s="53"/>
      <c r="C617" s="54"/>
      <c r="D617" s="54"/>
      <c r="E617" s="54"/>
      <c r="T617" s="54"/>
      <c r="U617" s="54"/>
      <c r="V617" s="379"/>
      <c r="W617" s="379"/>
      <c r="X617" s="379"/>
      <c r="Y617" s="379"/>
      <c r="Z617" s="477"/>
    </row>
    <row r="618" spans="1:40" x14ac:dyDescent="0.25">
      <c r="A618" s="53"/>
      <c r="C618" s="54"/>
      <c r="T618" s="54"/>
      <c r="V618" s="379"/>
      <c r="W618" s="379"/>
      <c r="X618" s="379"/>
      <c r="Y618" s="379"/>
      <c r="Z618" s="477"/>
    </row>
    <row r="619" spans="1:40" x14ac:dyDescent="0.25">
      <c r="A619" s="53"/>
      <c r="C619" s="54"/>
      <c r="F619" s="449"/>
      <c r="H619" s="449"/>
      <c r="I619" s="449"/>
      <c r="J619" s="477"/>
      <c r="K619" s="477"/>
      <c r="L619" s="379"/>
      <c r="M619" s="379"/>
      <c r="N619" s="50"/>
      <c r="O619" s="50"/>
      <c r="P619" s="379"/>
      <c r="Q619" s="379"/>
      <c r="R619" s="379"/>
      <c r="T619" s="54"/>
      <c r="V619" s="379"/>
      <c r="W619" s="379"/>
      <c r="X619" s="379"/>
      <c r="Y619" s="379"/>
      <c r="Z619" s="477"/>
      <c r="AA619" s="379"/>
      <c r="AB619" s="379"/>
      <c r="AC619" s="50"/>
      <c r="AD619" s="50"/>
      <c r="AE619" s="379"/>
      <c r="AF619" s="379"/>
      <c r="AG619" s="156"/>
      <c r="AH619" s="60"/>
      <c r="AI619" s="379"/>
      <c r="AJ619" s="379"/>
      <c r="AK619" s="156"/>
      <c r="AL619" s="379"/>
      <c r="AM619" s="50"/>
      <c r="AN619" s="50"/>
    </row>
    <row r="620" spans="1:40" x14ac:dyDescent="0.25">
      <c r="A620" s="53"/>
      <c r="C620" s="54"/>
      <c r="T620" s="54"/>
      <c r="V620" s="379"/>
      <c r="W620" s="379"/>
      <c r="X620" s="379"/>
      <c r="Y620" s="379"/>
      <c r="Z620" s="477"/>
    </row>
    <row r="621" spans="1:40" x14ac:dyDescent="0.25">
      <c r="A621" s="53"/>
      <c r="C621" s="54"/>
      <c r="F621" s="449"/>
      <c r="H621" s="449"/>
      <c r="I621" s="449"/>
      <c r="J621" s="477"/>
      <c r="K621" s="477"/>
      <c r="L621" s="379"/>
      <c r="M621" s="379"/>
      <c r="N621" s="50"/>
      <c r="O621" s="50"/>
      <c r="P621" s="379"/>
      <c r="Q621" s="379"/>
      <c r="R621" s="379"/>
      <c r="T621" s="54"/>
      <c r="V621" s="379"/>
      <c r="W621" s="379"/>
      <c r="X621" s="379"/>
      <c r="Y621" s="379"/>
      <c r="Z621" s="477"/>
      <c r="AA621" s="379"/>
      <c r="AB621" s="379"/>
      <c r="AC621" s="50"/>
      <c r="AD621" s="50"/>
      <c r="AE621" s="379"/>
      <c r="AF621" s="379"/>
      <c r="AG621" s="156"/>
      <c r="AH621" s="60"/>
      <c r="AI621" s="379"/>
      <c r="AJ621" s="379"/>
      <c r="AK621" s="156"/>
      <c r="AL621" s="379"/>
      <c r="AM621" s="50"/>
      <c r="AN621" s="50"/>
    </row>
    <row r="622" spans="1:40" x14ac:dyDescent="0.25">
      <c r="A622" s="53"/>
      <c r="C622" s="54"/>
      <c r="T622" s="54"/>
      <c r="V622" s="379"/>
      <c r="W622" s="379"/>
      <c r="X622" s="379"/>
      <c r="Y622" s="379"/>
      <c r="Z622" s="477"/>
    </row>
    <row r="623" spans="1:40" x14ac:dyDescent="0.25">
      <c r="A623" s="53"/>
      <c r="C623" s="54"/>
      <c r="F623" s="449"/>
      <c r="H623" s="449"/>
      <c r="I623" s="449"/>
      <c r="J623" s="477"/>
      <c r="K623" s="477"/>
      <c r="L623" s="379"/>
      <c r="M623" s="379"/>
      <c r="N623" s="50"/>
      <c r="O623" s="50"/>
      <c r="P623" s="379"/>
      <c r="Q623" s="379"/>
      <c r="R623" s="379"/>
      <c r="T623" s="54"/>
      <c r="V623" s="379"/>
      <c r="W623" s="379"/>
      <c r="X623" s="379"/>
      <c r="Y623" s="379"/>
      <c r="Z623" s="477"/>
      <c r="AA623" s="379"/>
      <c r="AB623" s="379"/>
      <c r="AC623" s="50"/>
      <c r="AD623" s="50"/>
      <c r="AE623" s="379"/>
      <c r="AF623" s="379"/>
      <c r="AG623" s="156"/>
      <c r="AH623" s="60"/>
      <c r="AI623" s="379"/>
      <c r="AJ623" s="379"/>
      <c r="AK623" s="156"/>
      <c r="AL623" s="379"/>
      <c r="AM623" s="50"/>
      <c r="AN623" s="50"/>
    </row>
    <row r="624" spans="1:40" x14ac:dyDescent="0.25">
      <c r="A624" s="53"/>
      <c r="C624" s="54"/>
      <c r="T624" s="54"/>
      <c r="V624" s="379"/>
      <c r="W624" s="379"/>
      <c r="X624" s="379"/>
      <c r="Y624" s="379"/>
      <c r="Z624" s="477"/>
    </row>
    <row r="625" spans="1:40" x14ac:dyDescent="0.25">
      <c r="A625" s="53"/>
      <c r="C625" s="54"/>
      <c r="F625" s="449"/>
      <c r="H625" s="449"/>
      <c r="I625" s="449"/>
      <c r="J625" s="477"/>
      <c r="K625" s="477"/>
      <c r="L625" s="379"/>
      <c r="M625" s="379"/>
      <c r="N625" s="50"/>
      <c r="O625" s="50"/>
      <c r="P625" s="379"/>
      <c r="Q625" s="379"/>
      <c r="R625" s="379"/>
      <c r="T625" s="54"/>
      <c r="V625" s="379"/>
      <c r="W625" s="379"/>
      <c r="X625" s="379"/>
      <c r="Y625" s="379"/>
      <c r="Z625" s="477"/>
      <c r="AA625" s="379"/>
      <c r="AB625" s="379"/>
      <c r="AC625" s="50"/>
      <c r="AD625" s="50"/>
      <c r="AE625" s="379"/>
      <c r="AF625" s="379"/>
      <c r="AG625" s="156"/>
      <c r="AH625" s="60"/>
      <c r="AI625" s="379"/>
      <c r="AJ625" s="379"/>
      <c r="AK625" s="156"/>
      <c r="AL625" s="379"/>
      <c r="AM625" s="50"/>
      <c r="AN625" s="50"/>
    </row>
    <row r="626" spans="1:40" x14ac:dyDescent="0.25">
      <c r="F626" s="381"/>
      <c r="H626" s="381"/>
      <c r="I626" s="381"/>
      <c r="J626" s="464"/>
      <c r="K626" s="464"/>
      <c r="L626" s="381"/>
      <c r="M626" s="381"/>
      <c r="N626" s="381"/>
      <c r="O626" s="381"/>
      <c r="P626" s="381"/>
      <c r="Q626" s="381"/>
      <c r="R626" s="381"/>
      <c r="V626" s="381"/>
      <c r="Y626" s="381"/>
      <c r="Z626" s="464"/>
      <c r="AA626" s="381"/>
      <c r="AB626" s="381"/>
      <c r="AC626" s="381"/>
      <c r="AD626" s="381"/>
      <c r="AE626" s="381"/>
      <c r="AF626" s="381"/>
      <c r="AI626" s="381"/>
      <c r="AJ626" s="381"/>
      <c r="AK626" s="162"/>
      <c r="AL626" s="381"/>
    </row>
    <row r="627" spans="1:40" x14ac:dyDescent="0.25">
      <c r="A627" s="53"/>
      <c r="C627" s="54"/>
      <c r="F627" s="379"/>
      <c r="H627" s="379"/>
      <c r="I627" s="379"/>
      <c r="L627" s="379"/>
      <c r="M627" s="379"/>
      <c r="N627" s="50"/>
      <c r="O627" s="50"/>
      <c r="P627" s="449"/>
      <c r="Q627" s="449"/>
      <c r="R627" s="379"/>
      <c r="T627" s="54"/>
      <c r="V627" s="379"/>
      <c r="W627" s="379"/>
      <c r="X627" s="379"/>
      <c r="Y627" s="379"/>
      <c r="Z627" s="477"/>
      <c r="AA627" s="379"/>
      <c r="AB627" s="379"/>
      <c r="AC627" s="50"/>
      <c r="AD627" s="50"/>
      <c r="AE627" s="379"/>
      <c r="AF627" s="379"/>
      <c r="AG627" s="156"/>
      <c r="AH627" s="60"/>
      <c r="AI627" s="449"/>
      <c r="AJ627" s="449"/>
      <c r="AK627" s="156"/>
      <c r="AL627" s="379"/>
      <c r="AM627" s="50"/>
      <c r="AN627" s="50"/>
    </row>
    <row r="628" spans="1:40" x14ac:dyDescent="0.25">
      <c r="F628" s="381"/>
      <c r="H628" s="381"/>
      <c r="I628" s="381"/>
      <c r="J628" s="464"/>
      <c r="K628" s="464"/>
      <c r="L628" s="381"/>
      <c r="M628" s="381"/>
      <c r="N628" s="381"/>
      <c r="O628" s="381"/>
      <c r="P628" s="381"/>
      <c r="Q628" s="381"/>
      <c r="R628" s="381"/>
      <c r="V628" s="381"/>
      <c r="Y628" s="381"/>
      <c r="Z628" s="464"/>
      <c r="AA628" s="381"/>
      <c r="AB628" s="381"/>
      <c r="AC628" s="381"/>
      <c r="AD628" s="381"/>
      <c r="AE628" s="381"/>
      <c r="AF628" s="381"/>
      <c r="AI628" s="381"/>
      <c r="AJ628" s="381"/>
      <c r="AK628" s="162"/>
      <c r="AL628" s="381"/>
    </row>
    <row r="629" spans="1:40" x14ac:dyDescent="0.25">
      <c r="A629" s="53"/>
      <c r="C629" s="54"/>
      <c r="F629" s="379"/>
      <c r="H629" s="379"/>
      <c r="I629" s="379"/>
      <c r="L629" s="379"/>
      <c r="M629" s="379"/>
      <c r="N629" s="50"/>
      <c r="O629" s="50"/>
      <c r="P629" s="379"/>
      <c r="Q629" s="379"/>
      <c r="R629" s="379"/>
      <c r="T629" s="54"/>
      <c r="V629" s="379"/>
      <c r="W629" s="379"/>
      <c r="X629" s="379"/>
      <c r="Y629" s="379"/>
      <c r="AA629" s="379"/>
      <c r="AB629" s="379"/>
      <c r="AC629" s="50"/>
      <c r="AD629" s="50"/>
      <c r="AE629" s="379"/>
      <c r="AF629" s="379"/>
      <c r="AG629" s="156"/>
      <c r="AH629" s="60"/>
      <c r="AI629" s="379"/>
      <c r="AJ629" s="379"/>
      <c r="AK629" s="156"/>
      <c r="AL629" s="379"/>
      <c r="AM629" s="60"/>
      <c r="AN629" s="60"/>
    </row>
    <row r="630" spans="1:40" x14ac:dyDescent="0.25">
      <c r="F630" s="381"/>
      <c r="H630" s="381"/>
      <c r="I630" s="381"/>
      <c r="J630" s="464"/>
      <c r="K630" s="464"/>
      <c r="L630" s="381"/>
      <c r="M630" s="381"/>
      <c r="N630" s="381"/>
      <c r="O630" s="381"/>
      <c r="P630" s="381"/>
      <c r="Q630" s="381"/>
      <c r="R630" s="381"/>
      <c r="V630" s="381"/>
      <c r="Y630" s="381"/>
      <c r="Z630" s="464"/>
      <c r="AA630" s="381"/>
      <c r="AB630" s="381"/>
      <c r="AC630" s="381"/>
      <c r="AD630" s="381"/>
      <c r="AE630" s="381"/>
      <c r="AF630" s="381"/>
      <c r="AI630" s="381"/>
      <c r="AJ630" s="381"/>
      <c r="AK630" s="162"/>
      <c r="AL630" s="381"/>
    </row>
    <row r="632" spans="1:40" x14ac:dyDescent="0.25">
      <c r="C632" s="53"/>
      <c r="T632" s="53"/>
    </row>
    <row r="633" spans="1:40" x14ac:dyDescent="0.25">
      <c r="A633" s="54"/>
    </row>
    <row r="634" spans="1:40" x14ac:dyDescent="0.25">
      <c r="J634" s="53"/>
      <c r="K634" s="53"/>
      <c r="Z634" s="53"/>
    </row>
    <row r="635" spans="1:40" x14ac:dyDescent="0.25">
      <c r="H635" s="54"/>
      <c r="I635" s="54"/>
      <c r="Y635" s="54"/>
    </row>
    <row r="636" spans="1:40" x14ac:dyDescent="0.25">
      <c r="J636" s="53"/>
      <c r="K636" s="53"/>
      <c r="Z636" s="53"/>
    </row>
    <row r="637" spans="1:40" x14ac:dyDescent="0.25">
      <c r="L637" s="54"/>
      <c r="M637" s="54"/>
      <c r="AA637" s="54"/>
      <c r="AB637" s="54"/>
    </row>
    <row r="638" spans="1:40" x14ac:dyDescent="0.25">
      <c r="A638" s="53"/>
      <c r="R638" s="54"/>
      <c r="AK638" s="161"/>
      <c r="AL638" s="54"/>
    </row>
    <row r="639" spans="1:40" x14ac:dyDescent="0.25">
      <c r="A639" s="53"/>
      <c r="R639" s="54"/>
      <c r="AK639" s="161"/>
      <c r="AL639" s="54"/>
    </row>
    <row r="640" spans="1:40" x14ac:dyDescent="0.25">
      <c r="A640" s="54"/>
      <c r="R640" s="54"/>
      <c r="AK640" s="161"/>
      <c r="AL640" s="54"/>
    </row>
    <row r="641" spans="1:40" x14ac:dyDescent="0.25">
      <c r="L641" s="54"/>
      <c r="M641" s="54"/>
      <c r="R641" s="53"/>
      <c r="AA641" s="54"/>
      <c r="AB641" s="54"/>
      <c r="AK641" s="156"/>
      <c r="AL641" s="53"/>
    </row>
    <row r="642" spans="1:40" x14ac:dyDescent="0.25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154"/>
      <c r="AH642" s="55"/>
      <c r="AI642" s="55"/>
      <c r="AJ642" s="55"/>
      <c r="AK642" s="154"/>
      <c r="AL642" s="55"/>
      <c r="AM642" s="55"/>
      <c r="AN642" s="55"/>
    </row>
    <row r="643" spans="1:40" x14ac:dyDescent="0.25">
      <c r="L643" s="56"/>
      <c r="M643" s="56"/>
      <c r="N643" s="56"/>
      <c r="O643" s="56"/>
      <c r="R643" s="56"/>
      <c r="AA643" s="56"/>
      <c r="AB643" s="56"/>
      <c r="AC643" s="56"/>
      <c r="AD643" s="56"/>
      <c r="AE643" s="56"/>
      <c r="AF643" s="56"/>
      <c r="AG643" s="155"/>
      <c r="AH643" s="56"/>
      <c r="AK643" s="155"/>
      <c r="AL643" s="56"/>
      <c r="AM643" s="56"/>
      <c r="AN643" s="56"/>
    </row>
    <row r="644" spans="1:40" x14ac:dyDescent="0.25">
      <c r="L644" s="56"/>
      <c r="M644" s="56"/>
      <c r="N644" s="56"/>
      <c r="O644" s="56"/>
      <c r="R644" s="56"/>
      <c r="Z644" s="56"/>
      <c r="AA644" s="56"/>
      <c r="AB644" s="56"/>
      <c r="AC644" s="56"/>
      <c r="AD644" s="56"/>
      <c r="AE644" s="56"/>
      <c r="AF644" s="56"/>
      <c r="AG644" s="155"/>
      <c r="AH644" s="56"/>
      <c r="AK644" s="155"/>
      <c r="AL644" s="56"/>
      <c r="AM644" s="56"/>
      <c r="AN644" s="56"/>
    </row>
    <row r="645" spans="1:40" x14ac:dyDescent="0.25">
      <c r="A645" s="56"/>
      <c r="C645" s="56"/>
      <c r="D645" s="56"/>
      <c r="E645" s="56"/>
      <c r="F645" s="56"/>
      <c r="J645" s="56"/>
      <c r="K645" s="56"/>
      <c r="L645" s="56"/>
      <c r="M645" s="56"/>
      <c r="N645" s="56"/>
      <c r="O645" s="56"/>
      <c r="P645" s="56"/>
      <c r="Q645" s="56"/>
      <c r="R645" s="56"/>
      <c r="T645" s="56"/>
      <c r="U645" s="56"/>
      <c r="V645" s="56"/>
      <c r="Z645" s="56"/>
      <c r="AA645" s="56"/>
      <c r="AB645" s="56"/>
      <c r="AC645" s="56"/>
      <c r="AD645" s="56"/>
      <c r="AE645" s="56"/>
      <c r="AF645" s="56"/>
      <c r="AG645" s="155"/>
      <c r="AH645" s="56"/>
      <c r="AI645" s="56"/>
      <c r="AJ645" s="56"/>
      <c r="AK645" s="155"/>
      <c r="AL645" s="56"/>
      <c r="AM645" s="56"/>
      <c r="AN645" s="56"/>
    </row>
    <row r="646" spans="1:40" x14ac:dyDescent="0.25">
      <c r="A646" s="56"/>
      <c r="C646" s="56"/>
      <c r="D646" s="56"/>
      <c r="E646" s="56"/>
      <c r="F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T646" s="56"/>
      <c r="U646" s="56"/>
      <c r="V646" s="56"/>
      <c r="Y646" s="56"/>
      <c r="Z646" s="56"/>
      <c r="AA646" s="56"/>
      <c r="AB646" s="56"/>
      <c r="AC646" s="56"/>
      <c r="AD646" s="56"/>
      <c r="AE646" s="56"/>
      <c r="AF646" s="56"/>
      <c r="AG646" s="155"/>
      <c r="AH646" s="56"/>
      <c r="AI646" s="56"/>
      <c r="AJ646" s="56"/>
      <c r="AK646" s="155"/>
      <c r="AL646" s="56"/>
      <c r="AM646" s="56"/>
      <c r="AN646" s="56"/>
    </row>
    <row r="647" spans="1:40" x14ac:dyDescent="0.25">
      <c r="C647" s="56"/>
      <c r="D647" s="56"/>
      <c r="E647" s="56"/>
      <c r="F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T647" s="56"/>
      <c r="U647" s="56"/>
      <c r="V647" s="56"/>
      <c r="Y647" s="56"/>
      <c r="Z647" s="56"/>
      <c r="AA647" s="56"/>
      <c r="AB647" s="56"/>
      <c r="AC647" s="56"/>
      <c r="AD647" s="56"/>
      <c r="AE647" s="56"/>
      <c r="AF647" s="56"/>
      <c r="AG647" s="155"/>
      <c r="AH647" s="56"/>
      <c r="AI647" s="56"/>
      <c r="AJ647" s="56"/>
      <c r="AK647" s="155"/>
      <c r="AL647" s="56"/>
      <c r="AM647" s="56"/>
      <c r="AN647" s="56"/>
    </row>
    <row r="648" spans="1:40" x14ac:dyDescent="0.25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154"/>
      <c r="AH648" s="55"/>
      <c r="AI648" s="55"/>
      <c r="AJ648" s="55"/>
      <c r="AK648" s="154"/>
      <c r="AL648" s="55"/>
      <c r="AM648" s="55"/>
      <c r="AN648" s="55"/>
    </row>
    <row r="649" spans="1:40" x14ac:dyDescent="0.25"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Y649" s="56"/>
      <c r="Z649" s="56"/>
      <c r="AA649" s="56"/>
      <c r="AB649" s="56"/>
      <c r="AC649" s="56"/>
      <c r="AD649" s="56"/>
      <c r="AE649" s="56"/>
      <c r="AF649" s="56"/>
      <c r="AG649" s="155"/>
      <c r="AH649" s="56"/>
      <c r="AI649" s="56"/>
      <c r="AJ649" s="56"/>
      <c r="AK649" s="155"/>
      <c r="AL649" s="56"/>
      <c r="AM649" s="56"/>
      <c r="AN649" s="56"/>
    </row>
    <row r="650" spans="1:40" x14ac:dyDescent="0.25">
      <c r="A650" s="53"/>
      <c r="C650" s="54"/>
      <c r="D650" s="54"/>
      <c r="E650" s="54"/>
      <c r="F650" s="379"/>
      <c r="H650" s="379"/>
      <c r="I650" s="379"/>
      <c r="J650" s="59"/>
      <c r="K650" s="59"/>
      <c r="L650" s="379"/>
      <c r="M650" s="379"/>
      <c r="N650" s="59"/>
      <c r="O650" s="59"/>
      <c r="P650" s="379"/>
      <c r="Q650" s="379"/>
      <c r="R650" s="379"/>
      <c r="T650" s="54"/>
      <c r="U650" s="54"/>
      <c r="V650" s="379"/>
      <c r="Y650" s="379"/>
      <c r="Z650" s="59"/>
      <c r="AA650" s="379"/>
      <c r="AB650" s="379"/>
      <c r="AC650" s="59"/>
      <c r="AD650" s="59"/>
      <c r="AE650" s="379"/>
      <c r="AF650" s="379"/>
      <c r="AG650" s="156"/>
      <c r="AH650" s="60"/>
      <c r="AI650" s="379"/>
      <c r="AJ650" s="379"/>
      <c r="AK650" s="156"/>
      <c r="AL650" s="379"/>
      <c r="AM650" s="50"/>
      <c r="AN650" s="50"/>
    </row>
    <row r="651" spans="1:40" x14ac:dyDescent="0.25">
      <c r="F651" s="381"/>
      <c r="H651" s="381"/>
      <c r="I651" s="381"/>
      <c r="J651" s="464"/>
      <c r="K651" s="464"/>
      <c r="L651" s="381"/>
      <c r="M651" s="381"/>
      <c r="N651" s="381"/>
      <c r="O651" s="381"/>
      <c r="P651" s="381"/>
      <c r="Q651" s="381"/>
      <c r="R651" s="381"/>
      <c r="V651" s="381"/>
      <c r="Y651" s="381"/>
      <c r="Z651" s="464"/>
      <c r="AA651" s="381"/>
      <c r="AB651" s="381"/>
      <c r="AC651" s="381"/>
      <c r="AD651" s="381"/>
      <c r="AE651" s="381"/>
      <c r="AF651" s="381"/>
      <c r="AI651" s="381"/>
      <c r="AJ651" s="381"/>
      <c r="AK651" s="162"/>
      <c r="AL651" s="381"/>
      <c r="AM651" s="50"/>
      <c r="AN651" s="50"/>
    </row>
    <row r="652" spans="1:40" x14ac:dyDescent="0.25">
      <c r="A652" s="53"/>
      <c r="C652" s="54"/>
      <c r="F652" s="379"/>
      <c r="H652" s="379"/>
      <c r="I652" s="379"/>
      <c r="J652" s="59"/>
      <c r="K652" s="59"/>
      <c r="L652" s="379"/>
      <c r="M652" s="379"/>
      <c r="N652" s="59"/>
      <c r="O652" s="59"/>
      <c r="P652" s="379"/>
      <c r="Q652" s="379"/>
      <c r="R652" s="379"/>
      <c r="T652" s="54"/>
      <c r="V652" s="379"/>
      <c r="Y652" s="379"/>
      <c r="Z652" s="59"/>
      <c r="AA652" s="379"/>
      <c r="AB652" s="379"/>
      <c r="AC652" s="59"/>
      <c r="AD652" s="59"/>
      <c r="AE652" s="379"/>
      <c r="AF652" s="379"/>
      <c r="AG652" s="156"/>
      <c r="AH652" s="60"/>
      <c r="AI652" s="379"/>
      <c r="AJ652" s="379"/>
      <c r="AK652" s="156"/>
      <c r="AL652" s="379"/>
      <c r="AM652" s="50"/>
      <c r="AN652" s="50"/>
    </row>
    <row r="653" spans="1:40" x14ac:dyDescent="0.25">
      <c r="F653" s="379"/>
      <c r="H653" s="379"/>
      <c r="I653" s="379"/>
      <c r="J653" s="59"/>
      <c r="K653" s="59"/>
      <c r="L653" s="379"/>
      <c r="M653" s="379"/>
      <c r="N653" s="59"/>
      <c r="O653" s="59"/>
      <c r="P653" s="379"/>
      <c r="Q653" s="379"/>
      <c r="R653" s="379"/>
      <c r="V653" s="379"/>
      <c r="Y653" s="379"/>
      <c r="Z653" s="59"/>
      <c r="AA653" s="379"/>
      <c r="AB653" s="379"/>
      <c r="AC653" s="59"/>
      <c r="AD653" s="59"/>
      <c r="AG653" s="156"/>
      <c r="AH653" s="60"/>
      <c r="AI653" s="379"/>
      <c r="AJ653" s="379"/>
      <c r="AK653" s="156"/>
      <c r="AL653" s="379"/>
      <c r="AM653" s="50"/>
      <c r="AN653" s="50"/>
    </row>
    <row r="654" spans="1:40" x14ac:dyDescent="0.25">
      <c r="A654" s="53"/>
      <c r="C654" s="54"/>
      <c r="D654" s="54"/>
      <c r="E654" s="54"/>
      <c r="F654" s="379"/>
      <c r="H654" s="379"/>
      <c r="I654" s="379"/>
      <c r="J654" s="59"/>
      <c r="K654" s="59"/>
      <c r="L654" s="379"/>
      <c r="M654" s="379"/>
      <c r="N654" s="59"/>
      <c r="O654" s="59"/>
      <c r="P654" s="379"/>
      <c r="Q654" s="379"/>
      <c r="R654" s="379"/>
      <c r="T654" s="54"/>
      <c r="U654" s="54"/>
      <c r="V654" s="379"/>
      <c r="Y654" s="379"/>
      <c r="Z654" s="59"/>
      <c r="AA654" s="379"/>
      <c r="AB654" s="379"/>
      <c r="AC654" s="59"/>
      <c r="AD654" s="59"/>
      <c r="AE654" s="379"/>
      <c r="AF654" s="379"/>
      <c r="AG654" s="156"/>
      <c r="AH654" s="60"/>
      <c r="AI654" s="379"/>
      <c r="AJ654" s="379"/>
      <c r="AK654" s="156"/>
      <c r="AL654" s="379"/>
      <c r="AM654" s="50"/>
      <c r="AN654" s="50"/>
    </row>
    <row r="655" spans="1:40" x14ac:dyDescent="0.25">
      <c r="A655" s="53"/>
      <c r="C655" s="54"/>
      <c r="D655" s="54"/>
      <c r="E655" s="54"/>
      <c r="F655" s="379"/>
      <c r="H655" s="379"/>
      <c r="I655" s="379"/>
      <c r="J655" s="59"/>
      <c r="K655" s="59"/>
      <c r="L655" s="379"/>
      <c r="M655" s="379"/>
      <c r="N655" s="59"/>
      <c r="O655" s="59"/>
      <c r="P655" s="379"/>
      <c r="Q655" s="379"/>
      <c r="R655" s="379"/>
      <c r="T655" s="54"/>
      <c r="U655" s="54"/>
      <c r="V655" s="379"/>
      <c r="Y655" s="379"/>
      <c r="Z655" s="59"/>
      <c r="AA655" s="379"/>
      <c r="AB655" s="379"/>
      <c r="AC655" s="59"/>
      <c r="AD655" s="59"/>
      <c r="AE655" s="379"/>
      <c r="AF655" s="379"/>
      <c r="AG655" s="156"/>
      <c r="AH655" s="60"/>
      <c r="AI655" s="379"/>
      <c r="AJ655" s="379"/>
      <c r="AK655" s="156"/>
      <c r="AL655" s="379"/>
      <c r="AM655" s="50"/>
      <c r="AN655" s="50"/>
    </row>
    <row r="656" spans="1:40" x14ac:dyDescent="0.25">
      <c r="A656" s="53"/>
      <c r="C656" s="54"/>
      <c r="D656" s="54"/>
      <c r="E656" s="54"/>
      <c r="F656" s="379"/>
      <c r="H656" s="379"/>
      <c r="I656" s="379"/>
      <c r="J656" s="59"/>
      <c r="K656" s="59"/>
      <c r="L656" s="379"/>
      <c r="M656" s="379"/>
      <c r="N656" s="59"/>
      <c r="O656" s="59"/>
      <c r="P656" s="379"/>
      <c r="Q656" s="379"/>
      <c r="R656" s="379"/>
      <c r="T656" s="54"/>
      <c r="U656" s="54"/>
      <c r="V656" s="379"/>
      <c r="Y656" s="379"/>
      <c r="Z656" s="59"/>
      <c r="AA656" s="379"/>
      <c r="AB656" s="379"/>
      <c r="AC656" s="59"/>
      <c r="AD656" s="59"/>
      <c r="AE656" s="379"/>
      <c r="AF656" s="379"/>
      <c r="AG656" s="156"/>
      <c r="AH656" s="60"/>
      <c r="AI656" s="379"/>
      <c r="AJ656" s="379"/>
      <c r="AK656" s="156"/>
      <c r="AL656" s="379"/>
      <c r="AM656" s="50"/>
      <c r="AN656" s="50"/>
    </row>
    <row r="657" spans="1:40" x14ac:dyDescent="0.25">
      <c r="A657" s="53"/>
      <c r="C657" s="54"/>
      <c r="D657" s="54"/>
      <c r="E657" s="54"/>
      <c r="F657" s="379"/>
      <c r="H657" s="379"/>
      <c r="I657" s="379"/>
      <c r="J657" s="59"/>
      <c r="K657" s="59"/>
      <c r="L657" s="379"/>
      <c r="M657" s="379"/>
      <c r="N657" s="59"/>
      <c r="O657" s="59"/>
      <c r="P657" s="379"/>
      <c r="Q657" s="379"/>
      <c r="R657" s="379"/>
      <c r="T657" s="54"/>
      <c r="U657" s="54"/>
      <c r="V657" s="379"/>
      <c r="Y657" s="379"/>
      <c r="Z657" s="59"/>
      <c r="AA657" s="379"/>
      <c r="AB657" s="379"/>
      <c r="AC657" s="59"/>
      <c r="AD657" s="59"/>
      <c r="AE657" s="379"/>
      <c r="AF657" s="379"/>
      <c r="AG657" s="156"/>
      <c r="AH657" s="60"/>
      <c r="AI657" s="379"/>
      <c r="AJ657" s="379"/>
      <c r="AK657" s="156"/>
      <c r="AL657" s="379"/>
      <c r="AM657" s="50"/>
      <c r="AN657" s="50"/>
    </row>
    <row r="658" spans="1:40" x14ac:dyDescent="0.25">
      <c r="A658" s="53"/>
      <c r="C658" s="54"/>
      <c r="D658" s="54"/>
      <c r="E658" s="54"/>
      <c r="F658" s="379"/>
      <c r="H658" s="379"/>
      <c r="I658" s="379"/>
      <c r="J658" s="59"/>
      <c r="K658" s="59"/>
      <c r="L658" s="379"/>
      <c r="M658" s="379"/>
      <c r="N658" s="59"/>
      <c r="O658" s="59"/>
      <c r="P658" s="379"/>
      <c r="Q658" s="379"/>
      <c r="R658" s="379"/>
      <c r="T658" s="54"/>
      <c r="U658" s="54"/>
      <c r="V658" s="379"/>
      <c r="Y658" s="379"/>
      <c r="Z658" s="59"/>
      <c r="AA658" s="379"/>
      <c r="AB658" s="379"/>
      <c r="AC658" s="59"/>
      <c r="AD658" s="59"/>
      <c r="AE658" s="379"/>
      <c r="AF658" s="379"/>
      <c r="AG658" s="156"/>
      <c r="AH658" s="60"/>
      <c r="AI658" s="379"/>
      <c r="AJ658" s="379"/>
      <c r="AK658" s="156"/>
      <c r="AL658" s="379"/>
      <c r="AM658" s="50"/>
      <c r="AN658" s="50"/>
    </row>
    <row r="659" spans="1:40" x14ac:dyDescent="0.25">
      <c r="A659" s="53"/>
      <c r="C659" s="54"/>
      <c r="D659" s="54"/>
      <c r="E659" s="54"/>
      <c r="F659" s="379"/>
      <c r="H659" s="379"/>
      <c r="I659" s="379"/>
      <c r="J659" s="59"/>
      <c r="K659" s="59"/>
      <c r="L659" s="379"/>
      <c r="M659" s="379"/>
      <c r="N659" s="59"/>
      <c r="O659" s="59"/>
      <c r="P659" s="379"/>
      <c r="Q659" s="379"/>
      <c r="R659" s="379"/>
      <c r="T659" s="54"/>
      <c r="U659" s="54"/>
      <c r="V659" s="379"/>
      <c r="Y659" s="379"/>
      <c r="Z659" s="59"/>
      <c r="AA659" s="379"/>
      <c r="AB659" s="379"/>
      <c r="AC659" s="59"/>
      <c r="AD659" s="59"/>
      <c r="AE659" s="379"/>
      <c r="AF659" s="379"/>
      <c r="AG659" s="156"/>
      <c r="AH659" s="60"/>
      <c r="AI659" s="379"/>
      <c r="AJ659" s="379"/>
      <c r="AK659" s="156"/>
      <c r="AL659" s="379"/>
      <c r="AM659" s="50"/>
      <c r="AN659" s="50"/>
    </row>
    <row r="660" spans="1:40" x14ac:dyDescent="0.25">
      <c r="F660" s="381"/>
      <c r="H660" s="381"/>
      <c r="I660" s="381"/>
      <c r="J660" s="464"/>
      <c r="K660" s="464"/>
      <c r="L660" s="381"/>
      <c r="M660" s="381"/>
      <c r="N660" s="381"/>
      <c r="O660" s="381"/>
      <c r="P660" s="381"/>
      <c r="Q660" s="381"/>
      <c r="R660" s="381"/>
      <c r="V660" s="381"/>
      <c r="Y660" s="381"/>
      <c r="Z660" s="464"/>
      <c r="AA660" s="381"/>
      <c r="AB660" s="381"/>
      <c r="AC660" s="381"/>
      <c r="AD660" s="381"/>
      <c r="AE660" s="381"/>
      <c r="AF660" s="381"/>
      <c r="AI660" s="381"/>
      <c r="AJ660" s="381"/>
      <c r="AK660" s="162"/>
      <c r="AL660" s="381"/>
      <c r="AM660" s="50"/>
      <c r="AN660" s="50"/>
    </row>
    <row r="661" spans="1:40" x14ac:dyDescent="0.25">
      <c r="A661" s="53"/>
      <c r="C661" s="54"/>
      <c r="F661" s="379"/>
      <c r="H661" s="379"/>
      <c r="I661" s="379"/>
      <c r="J661" s="59"/>
      <c r="K661" s="59"/>
      <c r="L661" s="379"/>
      <c r="M661" s="379"/>
      <c r="N661" s="59"/>
      <c r="O661" s="59"/>
      <c r="P661" s="379"/>
      <c r="Q661" s="379"/>
      <c r="R661" s="379"/>
      <c r="T661" s="54"/>
      <c r="V661" s="379"/>
      <c r="Y661" s="379"/>
      <c r="Z661" s="59"/>
      <c r="AA661" s="379"/>
      <c r="AB661" s="379"/>
      <c r="AC661" s="59"/>
      <c r="AD661" s="59"/>
      <c r="AE661" s="379"/>
      <c r="AF661" s="379"/>
      <c r="AG661" s="156"/>
      <c r="AH661" s="60"/>
      <c r="AI661" s="379"/>
      <c r="AJ661" s="379"/>
      <c r="AK661" s="156"/>
      <c r="AL661" s="379"/>
      <c r="AM661" s="50"/>
      <c r="AN661" s="50"/>
    </row>
    <row r="662" spans="1:40" x14ac:dyDescent="0.25">
      <c r="F662" s="379"/>
      <c r="H662" s="379"/>
      <c r="I662" s="379"/>
      <c r="J662" s="59"/>
      <c r="K662" s="59"/>
      <c r="L662" s="379"/>
      <c r="M662" s="379"/>
      <c r="N662" s="59"/>
      <c r="O662" s="59"/>
      <c r="P662" s="379"/>
      <c r="Q662" s="379"/>
      <c r="R662" s="379"/>
      <c r="V662" s="379"/>
      <c r="Y662" s="379"/>
      <c r="Z662" s="59"/>
      <c r="AA662" s="379"/>
      <c r="AB662" s="379"/>
      <c r="AC662" s="59"/>
      <c r="AD662" s="59"/>
      <c r="AG662" s="156"/>
      <c r="AH662" s="60"/>
      <c r="AI662" s="379"/>
      <c r="AJ662" s="379"/>
      <c r="AK662" s="156"/>
      <c r="AL662" s="379"/>
      <c r="AM662" s="50"/>
      <c r="AN662" s="50"/>
    </row>
    <row r="663" spans="1:40" x14ac:dyDescent="0.25">
      <c r="A663" s="53"/>
      <c r="C663" s="54"/>
      <c r="D663" s="54"/>
      <c r="E663" s="54"/>
      <c r="F663" s="379"/>
      <c r="H663" s="379"/>
      <c r="I663" s="379"/>
      <c r="J663" s="59"/>
      <c r="K663" s="59"/>
      <c r="L663" s="379"/>
      <c r="M663" s="379"/>
      <c r="N663" s="59"/>
      <c r="O663" s="59"/>
      <c r="P663" s="379"/>
      <c r="Q663" s="379"/>
      <c r="R663" s="379"/>
      <c r="T663" s="54"/>
      <c r="U663" s="54"/>
      <c r="V663" s="379"/>
      <c r="Y663" s="379"/>
      <c r="Z663" s="59"/>
      <c r="AA663" s="379"/>
      <c r="AB663" s="379"/>
      <c r="AC663" s="59"/>
      <c r="AD663" s="59"/>
      <c r="AE663" s="379"/>
      <c r="AF663" s="379"/>
      <c r="AG663" s="156"/>
      <c r="AH663" s="60"/>
      <c r="AI663" s="379"/>
      <c r="AJ663" s="379"/>
      <c r="AK663" s="156"/>
      <c r="AL663" s="379"/>
      <c r="AM663" s="50"/>
      <c r="AN663" s="50"/>
    </row>
    <row r="664" spans="1:40" x14ac:dyDescent="0.25">
      <c r="F664" s="381"/>
      <c r="H664" s="381"/>
      <c r="I664" s="381"/>
      <c r="J664" s="464"/>
      <c r="K664" s="464"/>
      <c r="L664" s="381"/>
      <c r="M664" s="381"/>
      <c r="N664" s="381"/>
      <c r="O664" s="381"/>
      <c r="P664" s="381"/>
      <c r="Q664" s="381"/>
      <c r="R664" s="381"/>
      <c r="V664" s="381"/>
      <c r="Y664" s="381"/>
      <c r="Z664" s="464"/>
      <c r="AA664" s="381"/>
      <c r="AB664" s="381"/>
      <c r="AC664" s="381"/>
      <c r="AD664" s="381"/>
      <c r="AE664" s="381"/>
      <c r="AF664" s="381"/>
      <c r="AI664" s="381"/>
      <c r="AJ664" s="381"/>
      <c r="AK664" s="162"/>
      <c r="AL664" s="381"/>
      <c r="AM664" s="50"/>
      <c r="AN664" s="50"/>
    </row>
    <row r="665" spans="1:40" x14ac:dyDescent="0.25">
      <c r="A665" s="53"/>
      <c r="C665" s="54"/>
      <c r="F665" s="379"/>
      <c r="H665" s="379"/>
      <c r="I665" s="379"/>
      <c r="J665" s="59"/>
      <c r="K665" s="59"/>
      <c r="L665" s="379"/>
      <c r="M665" s="379"/>
      <c r="N665" s="59"/>
      <c r="O665" s="59"/>
      <c r="P665" s="379"/>
      <c r="Q665" s="379"/>
      <c r="R665" s="379"/>
      <c r="T665" s="54"/>
      <c r="V665" s="379"/>
      <c r="Y665" s="379"/>
      <c r="Z665" s="59"/>
      <c r="AA665" s="379"/>
      <c r="AB665" s="379"/>
      <c r="AC665" s="59"/>
      <c r="AD665" s="59"/>
      <c r="AE665" s="379"/>
      <c r="AF665" s="379"/>
      <c r="AG665" s="156"/>
      <c r="AH665" s="60"/>
      <c r="AI665" s="379"/>
      <c r="AJ665" s="379"/>
      <c r="AK665" s="156"/>
      <c r="AL665" s="379"/>
      <c r="AM665" s="50"/>
      <c r="AN665" s="50"/>
    </row>
    <row r="666" spans="1:40" x14ac:dyDescent="0.25">
      <c r="F666" s="379"/>
      <c r="H666" s="379"/>
      <c r="I666" s="379"/>
      <c r="J666" s="59"/>
      <c r="K666" s="59"/>
      <c r="L666" s="379"/>
      <c r="M666" s="379"/>
      <c r="N666" s="59"/>
      <c r="O666" s="59"/>
      <c r="P666" s="379"/>
      <c r="Q666" s="379"/>
      <c r="R666" s="379"/>
      <c r="V666" s="379"/>
      <c r="Y666" s="379"/>
      <c r="Z666" s="59"/>
      <c r="AA666" s="379"/>
      <c r="AB666" s="379"/>
      <c r="AC666" s="59"/>
      <c r="AD666" s="59"/>
      <c r="AG666" s="156"/>
      <c r="AH666" s="60"/>
      <c r="AI666" s="379"/>
      <c r="AJ666" s="379"/>
      <c r="AK666" s="156"/>
      <c r="AL666" s="379"/>
      <c r="AM666" s="50"/>
      <c r="AN666" s="50"/>
    </row>
    <row r="667" spans="1:40" x14ac:dyDescent="0.25">
      <c r="A667" s="53"/>
      <c r="C667" s="54"/>
      <c r="D667" s="54"/>
      <c r="E667" s="54"/>
      <c r="F667" s="379"/>
      <c r="H667" s="379"/>
      <c r="I667" s="379"/>
      <c r="J667" s="59"/>
      <c r="K667" s="59"/>
      <c r="L667" s="379"/>
      <c r="M667" s="379"/>
      <c r="N667" s="59"/>
      <c r="O667" s="59"/>
      <c r="P667" s="379"/>
      <c r="Q667" s="379"/>
      <c r="R667" s="379"/>
      <c r="T667" s="54"/>
      <c r="U667" s="54"/>
      <c r="V667" s="379"/>
      <c r="Y667" s="379"/>
      <c r="Z667" s="59"/>
      <c r="AA667" s="379"/>
      <c r="AB667" s="379"/>
      <c r="AC667" s="59"/>
      <c r="AD667" s="59"/>
      <c r="AE667" s="379"/>
      <c r="AF667" s="379"/>
      <c r="AG667" s="156"/>
      <c r="AH667" s="60"/>
      <c r="AI667" s="379"/>
      <c r="AJ667" s="379"/>
      <c r="AK667" s="156"/>
      <c r="AL667" s="379"/>
      <c r="AM667" s="50"/>
      <c r="AN667" s="50"/>
    </row>
    <row r="668" spans="1:40" x14ac:dyDescent="0.25">
      <c r="A668" s="53"/>
      <c r="C668" s="54"/>
      <c r="D668" s="54"/>
      <c r="E668" s="54"/>
      <c r="F668" s="379"/>
      <c r="G668" s="379"/>
      <c r="H668" s="379"/>
      <c r="I668" s="379"/>
      <c r="J668" s="59"/>
      <c r="K668" s="59"/>
      <c r="L668" s="379"/>
      <c r="M668" s="379"/>
      <c r="N668" s="59"/>
      <c r="O668" s="59"/>
      <c r="P668" s="379"/>
      <c r="Q668" s="379"/>
      <c r="R668" s="379"/>
      <c r="T668" s="54"/>
      <c r="U668" s="54"/>
      <c r="V668" s="379"/>
      <c r="W668" s="379"/>
      <c r="X668" s="379"/>
      <c r="Y668" s="379"/>
      <c r="Z668" s="59"/>
      <c r="AA668" s="379"/>
      <c r="AB668" s="379"/>
      <c r="AC668" s="59"/>
      <c r="AD668" s="59"/>
      <c r="AE668" s="379"/>
      <c r="AF668" s="379"/>
      <c r="AG668" s="156"/>
      <c r="AH668" s="60"/>
      <c r="AI668" s="379"/>
      <c r="AJ668" s="379"/>
      <c r="AK668" s="156"/>
      <c r="AL668" s="379"/>
      <c r="AM668" s="50"/>
      <c r="AN668" s="50"/>
    </row>
    <row r="669" spans="1:40" x14ac:dyDescent="0.25">
      <c r="A669" s="53"/>
      <c r="C669" s="54"/>
      <c r="D669" s="54"/>
      <c r="E669" s="54"/>
      <c r="F669" s="379"/>
      <c r="G669" s="379"/>
      <c r="H669" s="379"/>
      <c r="I669" s="379"/>
      <c r="J669" s="59"/>
      <c r="K669" s="59"/>
      <c r="L669" s="379"/>
      <c r="M669" s="379"/>
      <c r="N669" s="59"/>
      <c r="O669" s="59"/>
      <c r="P669" s="379"/>
      <c r="Q669" s="379"/>
      <c r="R669" s="379"/>
      <c r="T669" s="54"/>
      <c r="U669" s="54"/>
      <c r="V669" s="379"/>
      <c r="W669" s="379"/>
      <c r="X669" s="379"/>
      <c r="Y669" s="379"/>
      <c r="Z669" s="59"/>
      <c r="AA669" s="379"/>
      <c r="AB669" s="379"/>
      <c r="AC669" s="59"/>
      <c r="AD669" s="59"/>
      <c r="AE669" s="379"/>
      <c r="AF669" s="379"/>
      <c r="AG669" s="156"/>
      <c r="AH669" s="60"/>
      <c r="AI669" s="379"/>
      <c r="AJ669" s="379"/>
      <c r="AK669" s="156"/>
      <c r="AL669" s="379"/>
      <c r="AM669" s="50"/>
      <c r="AN669" s="50"/>
    </row>
    <row r="670" spans="1:40" x14ac:dyDescent="0.25">
      <c r="A670" s="53"/>
      <c r="C670" s="54"/>
      <c r="D670" s="54"/>
      <c r="E670" s="54"/>
      <c r="F670" s="379"/>
      <c r="H670" s="379"/>
      <c r="I670" s="379"/>
      <c r="J670" s="59"/>
      <c r="K670" s="59"/>
      <c r="L670" s="379"/>
      <c r="M670" s="379"/>
      <c r="N670" s="59"/>
      <c r="O670" s="59"/>
      <c r="P670" s="379"/>
      <c r="Q670" s="379"/>
      <c r="R670" s="379"/>
      <c r="T670" s="54"/>
      <c r="U670" s="54"/>
      <c r="V670" s="379"/>
      <c r="Y670" s="379"/>
      <c r="Z670" s="59"/>
      <c r="AA670" s="379"/>
      <c r="AB670" s="379"/>
      <c r="AC670" s="59"/>
      <c r="AD670" s="59"/>
      <c r="AE670" s="379"/>
      <c r="AF670" s="379"/>
      <c r="AG670" s="156"/>
      <c r="AH670" s="60"/>
      <c r="AI670" s="379"/>
      <c r="AJ670" s="379"/>
      <c r="AK670" s="156"/>
      <c r="AL670" s="379"/>
      <c r="AM670" s="50"/>
      <c r="AN670" s="50"/>
    </row>
    <row r="671" spans="1:40" x14ac:dyDescent="0.25">
      <c r="A671" s="53"/>
      <c r="C671" s="54"/>
      <c r="D671" s="54"/>
      <c r="E671" s="54"/>
      <c r="F671" s="379"/>
      <c r="H671" s="379"/>
      <c r="I671" s="379"/>
      <c r="J671" s="59"/>
      <c r="K671" s="59"/>
      <c r="L671" s="379"/>
      <c r="M671" s="379"/>
      <c r="N671" s="59"/>
      <c r="O671" s="59"/>
      <c r="P671" s="379"/>
      <c r="Q671" s="379"/>
      <c r="R671" s="379"/>
      <c r="T671" s="54"/>
      <c r="U671" s="54"/>
      <c r="V671" s="379"/>
      <c r="Y671" s="379"/>
      <c r="Z671" s="59"/>
      <c r="AA671" s="379"/>
      <c r="AB671" s="379"/>
      <c r="AC671" s="59"/>
      <c r="AD671" s="59"/>
      <c r="AE671" s="379"/>
      <c r="AF671" s="379"/>
      <c r="AG671" s="156"/>
      <c r="AH671" s="60"/>
      <c r="AI671" s="379"/>
      <c r="AJ671" s="379"/>
      <c r="AK671" s="156"/>
      <c r="AL671" s="379"/>
      <c r="AM671" s="50"/>
      <c r="AN671" s="50"/>
    </row>
    <row r="672" spans="1:40" x14ac:dyDescent="0.25">
      <c r="A672" s="53"/>
      <c r="C672" s="54"/>
      <c r="D672" s="54"/>
      <c r="E672" s="54"/>
      <c r="F672" s="379"/>
      <c r="H672" s="379"/>
      <c r="I672" s="379"/>
      <c r="J672" s="59"/>
      <c r="K672" s="59"/>
      <c r="L672" s="379"/>
      <c r="M672" s="379"/>
      <c r="N672" s="59"/>
      <c r="O672" s="59"/>
      <c r="P672" s="379"/>
      <c r="Q672" s="379"/>
      <c r="R672" s="379"/>
      <c r="T672" s="54"/>
      <c r="U672" s="54"/>
      <c r="V672" s="379"/>
      <c r="Y672" s="379"/>
      <c r="Z672" s="59"/>
      <c r="AA672" s="379"/>
      <c r="AB672" s="379"/>
      <c r="AC672" s="59"/>
      <c r="AD672" s="59"/>
      <c r="AE672" s="379"/>
      <c r="AF672" s="379"/>
      <c r="AG672" s="156"/>
      <c r="AH672" s="60"/>
      <c r="AI672" s="379"/>
      <c r="AJ672" s="379"/>
      <c r="AK672" s="156"/>
      <c r="AL672" s="379"/>
      <c r="AM672" s="50"/>
      <c r="AN672" s="50"/>
    </row>
    <row r="673" spans="1:40" x14ac:dyDescent="0.25">
      <c r="A673" s="53"/>
      <c r="C673" s="54"/>
      <c r="D673" s="54"/>
      <c r="E673" s="54"/>
      <c r="F673" s="379"/>
      <c r="H673" s="379"/>
      <c r="I673" s="379"/>
      <c r="J673" s="59"/>
      <c r="K673" s="59"/>
      <c r="L673" s="379"/>
      <c r="M673" s="379"/>
      <c r="N673" s="59"/>
      <c r="O673" s="59"/>
      <c r="P673" s="379"/>
      <c r="Q673" s="379"/>
      <c r="R673" s="379"/>
      <c r="T673" s="54"/>
      <c r="U673" s="54"/>
      <c r="V673" s="379"/>
      <c r="Y673" s="379"/>
      <c r="Z673" s="59"/>
      <c r="AA673" s="379"/>
      <c r="AB673" s="379"/>
      <c r="AC673" s="59"/>
      <c r="AD673" s="59"/>
      <c r="AE673" s="379"/>
      <c r="AF673" s="379"/>
      <c r="AG673" s="156"/>
      <c r="AH673" s="60"/>
      <c r="AI673" s="379"/>
      <c r="AJ673" s="379"/>
      <c r="AK673" s="156"/>
      <c r="AL673" s="379"/>
      <c r="AM673" s="50"/>
      <c r="AN673" s="50"/>
    </row>
    <row r="674" spans="1:40" x14ac:dyDescent="0.25">
      <c r="F674" s="381"/>
      <c r="H674" s="381"/>
      <c r="I674" s="381"/>
      <c r="J674" s="464"/>
      <c r="K674" s="464"/>
      <c r="L674" s="381"/>
      <c r="M674" s="381"/>
      <c r="N674" s="381"/>
      <c r="O674" s="381"/>
      <c r="P674" s="381"/>
      <c r="Q674" s="381"/>
      <c r="R674" s="381"/>
      <c r="V674" s="381"/>
      <c r="Y674" s="381"/>
      <c r="Z674" s="464"/>
      <c r="AA674" s="381"/>
      <c r="AB674" s="381"/>
      <c r="AC674" s="381"/>
      <c r="AD674" s="381"/>
      <c r="AE674" s="381"/>
      <c r="AF674" s="381"/>
      <c r="AI674" s="381"/>
      <c r="AJ674" s="381"/>
      <c r="AK674" s="162"/>
      <c r="AL674" s="381"/>
      <c r="AM674" s="50"/>
      <c r="AN674" s="50"/>
    </row>
    <row r="675" spans="1:40" x14ac:dyDescent="0.25">
      <c r="A675" s="53"/>
      <c r="C675" s="54"/>
      <c r="F675" s="379"/>
      <c r="H675" s="379"/>
      <c r="I675" s="379"/>
      <c r="J675" s="59"/>
      <c r="K675" s="59"/>
      <c r="L675" s="379"/>
      <c r="M675" s="379"/>
      <c r="N675" s="59"/>
      <c r="O675" s="59"/>
      <c r="P675" s="379"/>
      <c r="Q675" s="379"/>
      <c r="R675" s="379"/>
      <c r="T675" s="54"/>
      <c r="V675" s="379"/>
      <c r="Y675" s="379"/>
      <c r="Z675" s="59"/>
      <c r="AA675" s="379"/>
      <c r="AB675" s="379"/>
      <c r="AC675" s="59"/>
      <c r="AD675" s="59"/>
      <c r="AE675" s="379"/>
      <c r="AF675" s="379"/>
      <c r="AG675" s="156"/>
      <c r="AH675" s="60"/>
      <c r="AI675" s="379"/>
      <c r="AJ675" s="379"/>
      <c r="AK675" s="156"/>
      <c r="AL675" s="379"/>
      <c r="AM675" s="50"/>
      <c r="AN675" s="50"/>
    </row>
    <row r="676" spans="1:40" x14ac:dyDescent="0.25">
      <c r="V676" s="379"/>
      <c r="Y676" s="379"/>
      <c r="Z676" s="464"/>
      <c r="AA676" s="379"/>
      <c r="AB676" s="379"/>
      <c r="AC676" s="379"/>
      <c r="AD676" s="379"/>
      <c r="AE676" s="379"/>
      <c r="AF676" s="379"/>
      <c r="AI676" s="379"/>
      <c r="AJ676" s="379"/>
      <c r="AK676" s="156"/>
      <c r="AL676" s="379"/>
      <c r="AM676" s="50"/>
      <c r="AN676" s="50"/>
    </row>
    <row r="677" spans="1:40" x14ac:dyDescent="0.25">
      <c r="A677" s="53"/>
      <c r="C677" s="54"/>
      <c r="D677" s="54"/>
      <c r="E677" s="54"/>
      <c r="L677" s="379"/>
      <c r="M677" s="379"/>
      <c r="N677" s="59"/>
      <c r="O677" s="59"/>
      <c r="P677" s="53"/>
      <c r="Q677" s="53"/>
      <c r="R677" s="379"/>
      <c r="T677" s="54"/>
      <c r="U677" s="54"/>
      <c r="AA677" s="379"/>
      <c r="AB677" s="379"/>
      <c r="AC677" s="59"/>
      <c r="AD677" s="59"/>
      <c r="AE677" s="379"/>
      <c r="AF677" s="379"/>
      <c r="AG677" s="156"/>
      <c r="AH677" s="60"/>
      <c r="AI677" s="53"/>
      <c r="AJ677" s="53"/>
      <c r="AK677" s="156"/>
      <c r="AL677" s="379"/>
      <c r="AM677" s="50"/>
      <c r="AN677" s="50"/>
    </row>
    <row r="678" spans="1:40" x14ac:dyDescent="0.25">
      <c r="A678" s="53"/>
      <c r="D678" s="54"/>
      <c r="E678" s="54"/>
      <c r="F678" s="449"/>
      <c r="H678" s="449"/>
      <c r="I678" s="449"/>
      <c r="J678" s="59"/>
      <c r="K678" s="59"/>
      <c r="L678" s="379"/>
      <c r="M678" s="379"/>
      <c r="N678" s="59"/>
      <c r="O678" s="59"/>
      <c r="P678" s="449"/>
      <c r="Q678" s="449"/>
      <c r="R678" s="379"/>
      <c r="U678" s="54"/>
      <c r="V678" s="379"/>
      <c r="Y678" s="379"/>
      <c r="Z678" s="59"/>
      <c r="AA678" s="379"/>
      <c r="AB678" s="379"/>
      <c r="AC678" s="59"/>
      <c r="AD678" s="59"/>
      <c r="AE678" s="379"/>
      <c r="AF678" s="379"/>
      <c r="AG678" s="156"/>
      <c r="AH678" s="60"/>
      <c r="AI678" s="379"/>
      <c r="AJ678" s="379"/>
      <c r="AK678" s="156"/>
      <c r="AL678" s="379"/>
      <c r="AM678" s="50"/>
      <c r="AN678" s="50"/>
    </row>
    <row r="679" spans="1:40" x14ac:dyDescent="0.25">
      <c r="F679" s="381"/>
      <c r="H679" s="381"/>
      <c r="I679" s="381"/>
      <c r="J679" s="464"/>
      <c r="K679" s="464"/>
      <c r="L679" s="381"/>
      <c r="M679" s="381"/>
      <c r="N679" s="381"/>
      <c r="O679" s="381"/>
      <c r="P679" s="381"/>
      <c r="Q679" s="381"/>
      <c r="R679" s="381"/>
      <c r="V679" s="381"/>
      <c r="Y679" s="381"/>
      <c r="Z679" s="464"/>
      <c r="AA679" s="381"/>
      <c r="AB679" s="381"/>
      <c r="AC679" s="381"/>
      <c r="AD679" s="381"/>
      <c r="AE679" s="381"/>
      <c r="AF679" s="381"/>
      <c r="AI679" s="381"/>
      <c r="AJ679" s="381"/>
      <c r="AK679" s="162"/>
      <c r="AL679" s="381"/>
      <c r="AM679" s="50"/>
      <c r="AN679" s="50"/>
    </row>
    <row r="680" spans="1:40" x14ac:dyDescent="0.25">
      <c r="A680" s="53"/>
      <c r="C680" s="54"/>
      <c r="F680" s="379"/>
      <c r="H680" s="379"/>
      <c r="I680" s="379"/>
      <c r="J680" s="59"/>
      <c r="K680" s="59"/>
      <c r="L680" s="379"/>
      <c r="M680" s="379"/>
      <c r="N680" s="59"/>
      <c r="O680" s="59"/>
      <c r="P680" s="379"/>
      <c r="Q680" s="379"/>
      <c r="R680" s="379"/>
      <c r="T680" s="54"/>
      <c r="V680" s="379"/>
      <c r="Y680" s="379"/>
      <c r="Z680" s="59"/>
      <c r="AA680" s="379"/>
      <c r="AB680" s="379"/>
      <c r="AC680" s="59"/>
      <c r="AD680" s="59"/>
      <c r="AE680" s="379"/>
      <c r="AF680" s="379"/>
      <c r="AG680" s="156"/>
      <c r="AH680" s="60"/>
      <c r="AI680" s="379"/>
      <c r="AJ680" s="379"/>
      <c r="AK680" s="156"/>
      <c r="AL680" s="379"/>
      <c r="AM680" s="50"/>
      <c r="AN680" s="50"/>
    </row>
    <row r="681" spans="1:40" x14ac:dyDescent="0.25">
      <c r="F681" s="379"/>
      <c r="H681" s="379"/>
      <c r="I681" s="379"/>
      <c r="J681" s="59"/>
      <c r="K681" s="59"/>
      <c r="L681" s="379"/>
      <c r="M681" s="379"/>
      <c r="N681" s="59"/>
      <c r="O681" s="59"/>
      <c r="P681" s="379"/>
      <c r="Q681" s="379"/>
      <c r="R681" s="379"/>
      <c r="V681" s="379"/>
      <c r="Y681" s="379"/>
      <c r="Z681" s="59"/>
      <c r="AA681" s="379"/>
      <c r="AB681" s="379"/>
      <c r="AC681" s="59"/>
      <c r="AD681" s="59"/>
      <c r="AG681" s="156"/>
      <c r="AH681" s="60"/>
      <c r="AI681" s="379"/>
      <c r="AJ681" s="379"/>
      <c r="AK681" s="156"/>
      <c r="AL681" s="379"/>
      <c r="AM681" s="50"/>
      <c r="AN681" s="50"/>
    </row>
    <row r="682" spans="1:40" x14ac:dyDescent="0.25">
      <c r="A682" s="53"/>
      <c r="D682" s="54"/>
      <c r="E682" s="54"/>
      <c r="F682" s="379"/>
      <c r="H682" s="379"/>
      <c r="I682" s="379"/>
      <c r="J682" s="59"/>
      <c r="K682" s="59"/>
      <c r="L682" s="449"/>
      <c r="M682" s="449"/>
      <c r="N682" s="59"/>
      <c r="O682" s="59"/>
      <c r="P682" s="379"/>
      <c r="Q682" s="379"/>
      <c r="R682" s="379"/>
      <c r="U682" s="54"/>
      <c r="V682" s="379"/>
      <c r="Y682" s="379"/>
      <c r="Z682" s="59"/>
      <c r="AA682" s="449"/>
      <c r="AB682" s="449"/>
      <c r="AC682" s="59"/>
      <c r="AD682" s="59"/>
      <c r="AE682" s="379"/>
      <c r="AF682" s="379"/>
      <c r="AG682" s="156"/>
      <c r="AH682" s="60"/>
      <c r="AI682" s="379"/>
      <c r="AJ682" s="379"/>
      <c r="AK682" s="156"/>
      <c r="AL682" s="379"/>
      <c r="AM682" s="50"/>
      <c r="AN682" s="50"/>
    </row>
    <row r="683" spans="1:40" x14ac:dyDescent="0.25">
      <c r="A683" s="53"/>
      <c r="D683" s="54"/>
      <c r="E683" s="54"/>
      <c r="F683" s="379"/>
      <c r="H683" s="379"/>
      <c r="I683" s="379"/>
      <c r="J683" s="59"/>
      <c r="K683" s="59"/>
      <c r="L683" s="449"/>
      <c r="M683" s="449"/>
      <c r="N683" s="59"/>
      <c r="O683" s="59"/>
      <c r="P683" s="379"/>
      <c r="Q683" s="379"/>
      <c r="R683" s="379"/>
      <c r="U683" s="54"/>
      <c r="V683" s="379"/>
      <c r="Y683" s="379"/>
      <c r="Z683" s="59"/>
      <c r="AA683" s="449"/>
      <c r="AB683" s="449"/>
      <c r="AC683" s="59"/>
      <c r="AD683" s="59"/>
      <c r="AE683" s="379"/>
      <c r="AF683" s="379"/>
      <c r="AG683" s="156"/>
      <c r="AH683" s="60"/>
      <c r="AI683" s="379"/>
      <c r="AJ683" s="379"/>
      <c r="AK683" s="156"/>
      <c r="AL683" s="379"/>
      <c r="AM683" s="50"/>
      <c r="AN683" s="50"/>
    </row>
    <row r="684" spans="1:40" x14ac:dyDescent="0.25">
      <c r="A684" s="53"/>
      <c r="D684" s="54"/>
      <c r="E684" s="54"/>
      <c r="F684" s="379"/>
      <c r="H684" s="379"/>
      <c r="I684" s="379"/>
      <c r="J684" s="59"/>
      <c r="K684" s="59"/>
      <c r="L684" s="449"/>
      <c r="M684" s="449"/>
      <c r="N684" s="59"/>
      <c r="O684" s="59"/>
      <c r="P684" s="379"/>
      <c r="Q684" s="379"/>
      <c r="R684" s="379"/>
      <c r="U684" s="54"/>
      <c r="V684" s="379"/>
      <c r="Y684" s="379"/>
      <c r="Z684" s="59"/>
      <c r="AA684" s="449"/>
      <c r="AB684" s="449"/>
      <c r="AC684" s="59"/>
      <c r="AD684" s="59"/>
      <c r="AE684" s="379"/>
      <c r="AF684" s="379"/>
      <c r="AG684" s="156"/>
      <c r="AH684" s="60"/>
      <c r="AI684" s="379"/>
      <c r="AJ684" s="379"/>
      <c r="AK684" s="156"/>
      <c r="AL684" s="379"/>
      <c r="AM684" s="50"/>
      <c r="AN684" s="50"/>
    </row>
    <row r="685" spans="1:40" x14ac:dyDescent="0.25">
      <c r="F685" s="381"/>
      <c r="H685" s="381"/>
      <c r="I685" s="381"/>
      <c r="J685" s="464"/>
      <c r="K685" s="464"/>
      <c r="L685" s="381"/>
      <c r="M685" s="381"/>
      <c r="N685" s="381"/>
      <c r="O685" s="381"/>
      <c r="P685" s="381"/>
      <c r="Q685" s="381"/>
      <c r="R685" s="381"/>
      <c r="V685" s="381"/>
      <c r="Y685" s="381"/>
      <c r="Z685" s="464"/>
      <c r="AA685" s="381"/>
      <c r="AB685" s="381"/>
      <c r="AC685" s="381"/>
      <c r="AD685" s="381"/>
      <c r="AE685" s="381"/>
      <c r="AF685" s="381"/>
      <c r="AI685" s="381"/>
      <c r="AJ685" s="381"/>
      <c r="AK685" s="162"/>
      <c r="AL685" s="381"/>
      <c r="AM685" s="50"/>
      <c r="AN685" s="50"/>
    </row>
    <row r="686" spans="1:40" x14ac:dyDescent="0.25">
      <c r="A686" s="53"/>
      <c r="C686" s="54"/>
      <c r="F686" s="379"/>
      <c r="H686" s="379"/>
      <c r="I686" s="379"/>
      <c r="J686" s="59"/>
      <c r="K686" s="59"/>
      <c r="L686" s="379"/>
      <c r="M686" s="379"/>
      <c r="N686" s="59"/>
      <c r="O686" s="59"/>
      <c r="P686" s="379"/>
      <c r="Q686" s="379"/>
      <c r="R686" s="379"/>
      <c r="T686" s="54"/>
      <c r="V686" s="379"/>
      <c r="Y686" s="379"/>
      <c r="Z686" s="59"/>
      <c r="AA686" s="379"/>
      <c r="AB686" s="379"/>
      <c r="AC686" s="59"/>
      <c r="AD686" s="59"/>
      <c r="AE686" s="379"/>
      <c r="AF686" s="379"/>
      <c r="AG686" s="156"/>
      <c r="AH686" s="60"/>
      <c r="AI686" s="379"/>
      <c r="AJ686" s="379"/>
      <c r="AK686" s="156"/>
      <c r="AL686" s="379"/>
      <c r="AM686" s="50"/>
      <c r="AN686" s="50"/>
    </row>
    <row r="687" spans="1:40" x14ac:dyDescent="0.25">
      <c r="F687" s="379"/>
      <c r="H687" s="379"/>
      <c r="I687" s="379"/>
      <c r="J687" s="59"/>
      <c r="K687" s="59"/>
      <c r="L687" s="379"/>
      <c r="M687" s="379"/>
      <c r="N687" s="59"/>
      <c r="O687" s="59"/>
      <c r="P687" s="379"/>
      <c r="Q687" s="379"/>
      <c r="R687" s="379"/>
      <c r="V687" s="379"/>
      <c r="Y687" s="379"/>
      <c r="Z687" s="59"/>
      <c r="AA687" s="379"/>
      <c r="AB687" s="379"/>
      <c r="AC687" s="59"/>
      <c r="AD687" s="59"/>
      <c r="AG687" s="156"/>
      <c r="AH687" s="60"/>
      <c r="AI687" s="379"/>
      <c r="AJ687" s="379"/>
      <c r="AK687" s="156"/>
      <c r="AL687" s="379"/>
      <c r="AM687" s="50"/>
      <c r="AN687" s="50"/>
    </row>
    <row r="688" spans="1:40" x14ac:dyDescent="0.25">
      <c r="A688" s="53"/>
      <c r="C688" s="54"/>
      <c r="F688" s="379"/>
      <c r="H688" s="379"/>
      <c r="I688" s="379"/>
      <c r="J688" s="59"/>
      <c r="K688" s="59"/>
      <c r="L688" s="379"/>
      <c r="M688" s="379"/>
      <c r="N688" s="59"/>
      <c r="O688" s="59"/>
      <c r="P688" s="379"/>
      <c r="Q688" s="379"/>
      <c r="R688" s="379"/>
      <c r="T688" s="54"/>
      <c r="V688" s="379"/>
      <c r="Y688" s="379"/>
      <c r="Z688" s="59"/>
      <c r="AA688" s="379"/>
      <c r="AB688" s="379"/>
      <c r="AC688" s="59"/>
      <c r="AD688" s="59"/>
      <c r="AE688" s="379"/>
      <c r="AF688" s="379"/>
      <c r="AG688" s="156"/>
      <c r="AH688" s="60"/>
      <c r="AI688" s="379"/>
      <c r="AJ688" s="379"/>
      <c r="AK688" s="156"/>
      <c r="AL688" s="379"/>
      <c r="AM688" s="50"/>
      <c r="AN688" s="50"/>
    </row>
    <row r="689" spans="1:38" x14ac:dyDescent="0.25">
      <c r="F689" s="381"/>
      <c r="H689" s="381"/>
      <c r="I689" s="381"/>
      <c r="J689" s="464"/>
      <c r="K689" s="464"/>
      <c r="L689" s="381"/>
      <c r="M689" s="381"/>
      <c r="N689" s="381"/>
      <c r="O689" s="381"/>
      <c r="P689" s="381"/>
      <c r="Q689" s="381"/>
      <c r="R689" s="381"/>
      <c r="V689" s="381"/>
      <c r="Y689" s="381"/>
      <c r="Z689" s="464"/>
      <c r="AA689" s="381"/>
      <c r="AB689" s="381"/>
      <c r="AC689" s="381"/>
      <c r="AD689" s="381"/>
      <c r="AE689" s="381"/>
      <c r="AF689" s="381"/>
      <c r="AI689" s="381"/>
      <c r="AJ689" s="381"/>
      <c r="AK689" s="162"/>
      <c r="AL689" s="381"/>
    </row>
    <row r="691" spans="1:38" x14ac:dyDescent="0.25">
      <c r="C691" s="54"/>
      <c r="L691" s="379"/>
      <c r="M691" s="379"/>
      <c r="P691" s="379"/>
      <c r="Q691" s="379"/>
      <c r="R691" s="379"/>
      <c r="T691" s="54"/>
    </row>
    <row r="692" spans="1:38" x14ac:dyDescent="0.25">
      <c r="A692" s="54"/>
      <c r="L692" s="379"/>
      <c r="M692" s="379"/>
      <c r="P692" s="379"/>
      <c r="Q692" s="379"/>
      <c r="R692" s="379"/>
    </row>
    <row r="693" spans="1:38" x14ac:dyDescent="0.25">
      <c r="L693" s="379"/>
      <c r="M693" s="379"/>
      <c r="P693" s="379"/>
      <c r="Q693" s="379"/>
      <c r="R693" s="379"/>
    </row>
    <row r="694" spans="1:38" x14ac:dyDescent="0.25">
      <c r="L694" s="379"/>
      <c r="M694" s="379"/>
      <c r="P694" s="379"/>
      <c r="Q694" s="379"/>
      <c r="R694" s="379"/>
    </row>
    <row r="695" spans="1:38" x14ac:dyDescent="0.25">
      <c r="L695" s="379"/>
      <c r="M695" s="379"/>
      <c r="P695" s="379"/>
      <c r="Q695" s="379"/>
      <c r="R695" s="379"/>
    </row>
    <row r="696" spans="1:38" x14ac:dyDescent="0.25">
      <c r="L696" s="379"/>
      <c r="M696" s="379"/>
      <c r="P696" s="379"/>
      <c r="Q696" s="379"/>
      <c r="R696" s="379"/>
    </row>
    <row r="697" spans="1:38" x14ac:dyDescent="0.25">
      <c r="L697" s="379"/>
      <c r="M697" s="379"/>
      <c r="P697" s="379"/>
      <c r="Q697" s="379"/>
      <c r="R697" s="379"/>
    </row>
    <row r="730" spans="49:49" x14ac:dyDescent="0.25">
      <c r="AW730" s="379"/>
    </row>
    <row r="731" spans="49:49" x14ac:dyDescent="0.25">
      <c r="AW731" s="379"/>
    </row>
    <row r="732" spans="49:49" x14ac:dyDescent="0.25">
      <c r="AW732" s="379"/>
    </row>
    <row r="733" spans="49:49" x14ac:dyDescent="0.25">
      <c r="AW733" s="379"/>
    </row>
    <row r="734" spans="49:49" x14ac:dyDescent="0.25">
      <c r="AW734" s="379"/>
    </row>
    <row r="735" spans="49:49" x14ac:dyDescent="0.25">
      <c r="AW735" s="379"/>
    </row>
    <row r="738" spans="49:49" x14ac:dyDescent="0.25">
      <c r="AW738" s="379"/>
    </row>
    <row r="739" spans="49:49" x14ac:dyDescent="0.25">
      <c r="AW739" s="379"/>
    </row>
    <row r="740" spans="49:49" x14ac:dyDescent="0.25">
      <c r="AW740" s="379"/>
    </row>
    <row r="741" spans="49:49" x14ac:dyDescent="0.25">
      <c r="AW741" s="379"/>
    </row>
    <row r="742" spans="49:49" x14ac:dyDescent="0.25">
      <c r="AW742" s="379"/>
    </row>
    <row r="743" spans="49:49" x14ac:dyDescent="0.25">
      <c r="AW743" s="379"/>
    </row>
    <row r="744" spans="49:49" x14ac:dyDescent="0.25">
      <c r="AW744" s="379"/>
    </row>
    <row r="745" spans="49:49" x14ac:dyDescent="0.25">
      <c r="AW745" s="379"/>
    </row>
    <row r="748" spans="49:49" x14ac:dyDescent="0.25">
      <c r="AW748" s="379"/>
    </row>
    <row r="749" spans="49:49" x14ac:dyDescent="0.25">
      <c r="AW749" s="379"/>
    </row>
    <row r="752" spans="49:49" x14ac:dyDescent="0.25">
      <c r="AW752" s="379"/>
    </row>
    <row r="753" spans="45:56" x14ac:dyDescent="0.25">
      <c r="AW753" s="379"/>
    </row>
    <row r="754" spans="45:56" x14ac:dyDescent="0.25">
      <c r="AW754" s="379"/>
    </row>
    <row r="755" spans="45:56" x14ac:dyDescent="0.25">
      <c r="AW755" s="379"/>
    </row>
    <row r="761" spans="45:56" x14ac:dyDescent="0.25">
      <c r="AY761" s="53"/>
    </row>
    <row r="762" spans="45:56" x14ac:dyDescent="0.25">
      <c r="AY762" s="53"/>
    </row>
    <row r="763" spans="45:56" x14ac:dyDescent="0.25">
      <c r="AY763" s="54"/>
    </row>
    <row r="764" spans="45:56" x14ac:dyDescent="0.25">
      <c r="AY764" s="54"/>
    </row>
    <row r="765" spans="45:56" x14ac:dyDescent="0.25">
      <c r="AS765" s="53"/>
      <c r="BD765" s="54"/>
    </row>
    <row r="766" spans="45:56" x14ac:dyDescent="0.25">
      <c r="AS766" s="53"/>
      <c r="BD766" s="54"/>
    </row>
    <row r="767" spans="45:56" x14ac:dyDescent="0.25">
      <c r="AS767" s="54"/>
      <c r="BD767" s="54"/>
    </row>
    <row r="768" spans="45:56" x14ac:dyDescent="0.25">
      <c r="BD768" s="53"/>
    </row>
    <row r="769" spans="45:69" x14ac:dyDescent="0.25"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</row>
    <row r="770" spans="45:69" x14ac:dyDescent="0.25">
      <c r="AX770" s="54"/>
    </row>
    <row r="771" spans="45:69" x14ac:dyDescent="0.25">
      <c r="AX771" s="55"/>
      <c r="AY771" s="55"/>
      <c r="AZ771" s="55"/>
      <c r="BA771" s="55"/>
      <c r="BC771" s="56"/>
      <c r="BD771" s="56"/>
    </row>
    <row r="772" spans="45:69" x14ac:dyDescent="0.25">
      <c r="AV772" s="56"/>
      <c r="AW772" s="56"/>
      <c r="AZ772" s="56"/>
      <c r="BA772" s="56"/>
      <c r="BC772" s="56"/>
      <c r="BD772" s="56"/>
      <c r="BE772" s="56"/>
      <c r="BG772" s="55"/>
      <c r="BH772" s="54"/>
      <c r="BK772" s="55"/>
      <c r="BM772" s="55"/>
      <c r="BN772" s="54"/>
      <c r="BQ772" s="55"/>
    </row>
    <row r="773" spans="45:69" x14ac:dyDescent="0.25"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H773" s="56"/>
      <c r="BI773" s="56"/>
      <c r="BJ773" s="56"/>
      <c r="BN773" s="56"/>
      <c r="BO773" s="56"/>
      <c r="BP773" s="56"/>
    </row>
    <row r="774" spans="45:69" x14ac:dyDescent="0.25">
      <c r="AS774" s="56"/>
      <c r="AU774" s="54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G774" s="56"/>
      <c r="BH774" s="56"/>
      <c r="BI774" s="56"/>
      <c r="BJ774" s="56"/>
      <c r="BK774" s="56"/>
      <c r="BM774" s="56"/>
      <c r="BN774" s="56"/>
      <c r="BO774" s="56"/>
      <c r="BP774" s="56"/>
      <c r="BQ774" s="56"/>
    </row>
    <row r="775" spans="45:69" x14ac:dyDescent="0.25">
      <c r="AS775" s="56"/>
      <c r="AU775" s="54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G775" s="56"/>
      <c r="BH775" s="56"/>
      <c r="BI775" s="56"/>
      <c r="BJ775" s="56"/>
      <c r="BK775" s="56"/>
      <c r="BM775" s="56"/>
      <c r="BN775" s="56"/>
      <c r="BO775" s="56"/>
      <c r="BP775" s="56"/>
      <c r="BQ775" s="56"/>
    </row>
    <row r="776" spans="45:69" x14ac:dyDescent="0.25"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G776" s="55"/>
      <c r="BH776" s="55"/>
      <c r="BI776" s="55"/>
      <c r="BJ776" s="55"/>
      <c r="BK776" s="55"/>
      <c r="BM776" s="55"/>
      <c r="BN776" s="55"/>
      <c r="BO776" s="55"/>
      <c r="BP776" s="55"/>
      <c r="BQ776" s="55"/>
    </row>
    <row r="777" spans="45:69" x14ac:dyDescent="0.25"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</row>
    <row r="778" spans="45:69" x14ac:dyDescent="0.25">
      <c r="AS778" s="53"/>
      <c r="AU778" s="54"/>
      <c r="AV778" s="56"/>
      <c r="AY778" s="59"/>
    </row>
    <row r="779" spans="45:69" x14ac:dyDescent="0.25">
      <c r="AS779" s="53"/>
      <c r="AV779" s="56"/>
      <c r="AW779" s="379"/>
      <c r="AX779" s="65"/>
      <c r="AY779" s="65"/>
      <c r="AZ779" s="65"/>
      <c r="BA779" s="50"/>
      <c r="BB779" s="65"/>
      <c r="BC779" s="59"/>
      <c r="BD779" s="59"/>
      <c r="BE779" s="50"/>
      <c r="BG779" s="65"/>
      <c r="BH779" s="65"/>
      <c r="BI779" s="65"/>
      <c r="BJ779" s="65"/>
      <c r="BK779" s="65"/>
      <c r="BM779" s="65"/>
      <c r="BN779" s="65"/>
      <c r="BO779" s="65"/>
      <c r="BP779" s="65"/>
      <c r="BQ779" s="65"/>
    </row>
    <row r="780" spans="45:69" x14ac:dyDescent="0.25">
      <c r="AS780" s="53"/>
      <c r="AV780" s="56"/>
      <c r="AW780" s="379"/>
      <c r="AX780" s="65"/>
      <c r="AY780" s="65"/>
      <c r="AZ780" s="65"/>
      <c r="BA780" s="50"/>
      <c r="BB780" s="65"/>
      <c r="BC780" s="59"/>
      <c r="BD780" s="59"/>
      <c r="BE780" s="50"/>
      <c r="BG780" s="65"/>
      <c r="BH780" s="65"/>
      <c r="BI780" s="65"/>
      <c r="BJ780" s="65"/>
      <c r="BK780" s="65"/>
      <c r="BM780" s="65"/>
      <c r="BN780" s="65"/>
      <c r="BO780" s="65"/>
      <c r="BP780" s="65"/>
      <c r="BQ780" s="65"/>
    </row>
    <row r="781" spans="45:69" x14ac:dyDescent="0.25">
      <c r="AS781" s="53"/>
      <c r="AV781" s="56"/>
      <c r="AW781" s="379"/>
      <c r="AX781" s="65"/>
      <c r="AY781" s="65"/>
      <c r="AZ781" s="65"/>
      <c r="BA781" s="50"/>
      <c r="BB781" s="65"/>
      <c r="BC781" s="59"/>
      <c r="BD781" s="59"/>
      <c r="BE781" s="50"/>
      <c r="BG781" s="65"/>
      <c r="BH781" s="65"/>
      <c r="BI781" s="65"/>
      <c r="BJ781" s="65"/>
      <c r="BK781" s="65"/>
      <c r="BM781" s="65"/>
      <c r="BN781" s="65"/>
      <c r="BO781" s="65"/>
      <c r="BP781" s="65"/>
      <c r="BQ781" s="65"/>
    </row>
    <row r="782" spans="45:69" x14ac:dyDescent="0.25">
      <c r="AS782" s="53"/>
      <c r="AV782" s="56"/>
      <c r="AW782" s="379"/>
      <c r="AX782" s="65"/>
      <c r="AY782" s="65"/>
      <c r="AZ782" s="65"/>
      <c r="BA782" s="50"/>
      <c r="BB782" s="65"/>
      <c r="BC782" s="59"/>
      <c r="BD782" s="59"/>
      <c r="BE782" s="50"/>
      <c r="BG782" s="65"/>
      <c r="BH782" s="65"/>
      <c r="BI782" s="65"/>
      <c r="BJ782" s="65"/>
      <c r="BK782" s="65"/>
      <c r="BM782" s="65"/>
      <c r="BN782" s="65"/>
      <c r="BO782" s="65"/>
      <c r="BP782" s="65"/>
      <c r="BQ782" s="65"/>
    </row>
    <row r="783" spans="45:69" x14ac:dyDescent="0.25">
      <c r="AS783" s="53"/>
      <c r="AV783" s="56"/>
      <c r="AW783" s="379"/>
      <c r="AX783" s="65"/>
      <c r="AY783" s="65"/>
      <c r="AZ783" s="65"/>
      <c r="BA783" s="50"/>
      <c r="BB783" s="65"/>
      <c r="BC783" s="59"/>
      <c r="BD783" s="59"/>
      <c r="BE783" s="50"/>
      <c r="BG783" s="65"/>
      <c r="BH783" s="65"/>
      <c r="BI783" s="65"/>
      <c r="BJ783" s="65"/>
      <c r="BK783" s="65"/>
      <c r="BM783" s="65"/>
      <c r="BN783" s="65"/>
      <c r="BO783" s="65"/>
      <c r="BP783" s="65"/>
      <c r="BQ783" s="65"/>
    </row>
    <row r="784" spans="45:69" x14ac:dyDescent="0.25">
      <c r="AS784" s="53"/>
      <c r="AV784" s="56"/>
      <c r="AW784" s="379"/>
      <c r="AX784" s="65"/>
      <c r="AY784" s="65"/>
      <c r="AZ784" s="65"/>
      <c r="BA784" s="50"/>
      <c r="BB784" s="65"/>
      <c r="BC784" s="59"/>
      <c r="BD784" s="59"/>
      <c r="BE784" s="50"/>
      <c r="BG784" s="65"/>
      <c r="BH784" s="65"/>
      <c r="BI784" s="65"/>
      <c r="BJ784" s="65"/>
      <c r="BK784" s="65"/>
      <c r="BM784" s="65"/>
      <c r="BN784" s="65"/>
      <c r="BO784" s="65"/>
      <c r="BP784" s="65"/>
      <c r="BQ784" s="65"/>
    </row>
    <row r="785" spans="45:69" x14ac:dyDescent="0.25">
      <c r="AS785" s="53"/>
      <c r="AV785" s="56"/>
      <c r="AW785" s="379"/>
      <c r="AX785" s="65"/>
      <c r="AY785" s="65"/>
      <c r="AZ785" s="65"/>
      <c r="BA785" s="50"/>
      <c r="BB785" s="65"/>
      <c r="BC785" s="59"/>
      <c r="BD785" s="59"/>
      <c r="BE785" s="50"/>
      <c r="BG785" s="65"/>
      <c r="BH785" s="65"/>
      <c r="BI785" s="65"/>
      <c r="BJ785" s="65"/>
      <c r="BK785" s="65"/>
      <c r="BM785" s="65"/>
      <c r="BN785" s="65"/>
      <c r="BO785" s="65"/>
      <c r="BP785" s="65"/>
      <c r="BQ785" s="65"/>
    </row>
    <row r="786" spans="45:69" x14ac:dyDescent="0.25">
      <c r="AY786" s="59"/>
      <c r="AZ786" s="65"/>
      <c r="BA786" s="50"/>
      <c r="BB786" s="65"/>
      <c r="BC786" s="59"/>
      <c r="BD786" s="59"/>
      <c r="BE786" s="50"/>
      <c r="BK786" s="65"/>
      <c r="BQ786" s="65"/>
    </row>
    <row r="787" spans="45:69" x14ac:dyDescent="0.25">
      <c r="AS787" s="53"/>
      <c r="AV787" s="56"/>
      <c r="AY787" s="59"/>
      <c r="AZ787" s="65"/>
      <c r="BA787" s="50"/>
      <c r="BB787" s="65"/>
      <c r="BC787" s="59"/>
      <c r="BD787" s="59"/>
      <c r="BE787" s="50"/>
      <c r="BK787" s="65"/>
      <c r="BQ787" s="65"/>
    </row>
    <row r="788" spans="45:69" x14ac:dyDescent="0.25">
      <c r="AS788" s="53"/>
      <c r="AV788" s="56"/>
      <c r="AW788" s="379"/>
      <c r="AX788" s="65"/>
      <c r="AY788" s="65"/>
      <c r="AZ788" s="65"/>
      <c r="BA788" s="50"/>
      <c r="BB788" s="65"/>
      <c r="BC788" s="59"/>
      <c r="BD788" s="59"/>
      <c r="BE788" s="50"/>
      <c r="BG788" s="65"/>
      <c r="BH788" s="65"/>
      <c r="BI788" s="65"/>
      <c r="BJ788" s="65"/>
      <c r="BK788" s="65"/>
      <c r="BM788" s="65"/>
      <c r="BN788" s="65"/>
      <c r="BO788" s="65"/>
      <c r="BP788" s="65"/>
      <c r="BQ788" s="65"/>
    </row>
    <row r="789" spans="45:69" x14ac:dyDescent="0.25">
      <c r="AS789" s="53"/>
      <c r="AV789" s="56"/>
      <c r="AW789" s="379"/>
      <c r="AX789" s="65"/>
      <c r="AY789" s="65"/>
      <c r="AZ789" s="65"/>
      <c r="BA789" s="50"/>
      <c r="BB789" s="65"/>
      <c r="BC789" s="59"/>
      <c r="BD789" s="59"/>
      <c r="BE789" s="50"/>
      <c r="BG789" s="65"/>
      <c r="BH789" s="65"/>
      <c r="BI789" s="65"/>
      <c r="BJ789" s="65"/>
      <c r="BK789" s="65"/>
      <c r="BM789" s="65"/>
      <c r="BN789" s="65"/>
      <c r="BO789" s="65"/>
      <c r="BP789" s="65"/>
      <c r="BQ789" s="65"/>
    </row>
    <row r="790" spans="45:69" x14ac:dyDescent="0.25">
      <c r="AS790" s="53"/>
      <c r="AV790" s="56"/>
      <c r="AW790" s="379"/>
      <c r="AX790" s="65"/>
      <c r="AY790" s="65"/>
      <c r="AZ790" s="65"/>
      <c r="BA790" s="50"/>
      <c r="BB790" s="65"/>
      <c r="BC790" s="59"/>
      <c r="BD790" s="59"/>
      <c r="BE790" s="50"/>
      <c r="BG790" s="65"/>
      <c r="BH790" s="65"/>
      <c r="BI790" s="65"/>
      <c r="BJ790" s="65"/>
      <c r="BK790" s="65"/>
      <c r="BM790" s="65"/>
      <c r="BN790" s="65"/>
      <c r="BO790" s="65"/>
      <c r="BP790" s="65"/>
      <c r="BQ790" s="65"/>
    </row>
    <row r="791" spans="45:69" x14ac:dyDescent="0.25">
      <c r="AS791" s="53"/>
      <c r="AV791" s="56"/>
      <c r="AW791" s="379"/>
      <c r="AX791" s="65"/>
      <c r="AY791" s="65"/>
      <c r="AZ791" s="65"/>
      <c r="BA791" s="50"/>
      <c r="BB791" s="65"/>
      <c r="BC791" s="59"/>
      <c r="BD791" s="59"/>
      <c r="BE791" s="50"/>
      <c r="BG791" s="65"/>
      <c r="BH791" s="65"/>
      <c r="BI791" s="65"/>
      <c r="BJ791" s="65"/>
      <c r="BK791" s="65"/>
      <c r="BM791" s="65"/>
      <c r="BN791" s="65"/>
      <c r="BO791" s="65"/>
      <c r="BP791" s="65"/>
      <c r="BQ791" s="65"/>
    </row>
    <row r="792" spans="45:69" x14ac:dyDescent="0.25">
      <c r="AS792" s="53"/>
      <c r="AV792" s="56"/>
      <c r="AW792" s="379"/>
      <c r="AX792" s="65"/>
      <c r="AY792" s="65"/>
      <c r="AZ792" s="65"/>
      <c r="BA792" s="50"/>
      <c r="BB792" s="65"/>
      <c r="BC792" s="59"/>
      <c r="BD792" s="59"/>
      <c r="BE792" s="50"/>
      <c r="BG792" s="65"/>
      <c r="BH792" s="65"/>
      <c r="BI792" s="65"/>
      <c r="BJ792" s="65"/>
      <c r="BK792" s="65"/>
      <c r="BM792" s="65"/>
      <c r="BN792" s="65"/>
      <c r="BO792" s="65"/>
      <c r="BP792" s="65"/>
      <c r="BQ792" s="65"/>
    </row>
    <row r="793" spans="45:69" x14ac:dyDescent="0.25">
      <c r="AS793" s="53"/>
      <c r="AV793" s="56"/>
      <c r="AW793" s="379"/>
      <c r="AX793" s="65"/>
      <c r="AY793" s="65"/>
      <c r="AZ793" s="65"/>
      <c r="BA793" s="50"/>
      <c r="BB793" s="65"/>
      <c r="BC793" s="59"/>
      <c r="BD793" s="59"/>
      <c r="BE793" s="50"/>
      <c r="BG793" s="65"/>
      <c r="BH793" s="65"/>
      <c r="BI793" s="65"/>
      <c r="BJ793" s="65"/>
      <c r="BK793" s="65"/>
      <c r="BM793" s="65"/>
      <c r="BN793" s="65"/>
      <c r="BO793" s="65"/>
      <c r="BP793" s="65"/>
      <c r="BQ793" s="65"/>
    </row>
    <row r="794" spans="45:69" x14ac:dyDescent="0.25">
      <c r="AS794" s="53"/>
      <c r="AV794" s="56"/>
      <c r="AW794" s="379"/>
      <c r="AX794" s="65"/>
      <c r="AY794" s="65"/>
      <c r="AZ794" s="65"/>
      <c r="BA794" s="50"/>
      <c r="BB794" s="65"/>
      <c r="BC794" s="59"/>
      <c r="BD794" s="59"/>
      <c r="BE794" s="50"/>
      <c r="BG794" s="65"/>
      <c r="BH794" s="65"/>
      <c r="BI794" s="65"/>
      <c r="BJ794" s="65"/>
      <c r="BK794" s="65"/>
      <c r="BM794" s="65"/>
      <c r="BN794" s="65"/>
      <c r="BO794" s="65"/>
      <c r="BP794" s="65"/>
      <c r="BQ794" s="65"/>
    </row>
    <row r="795" spans="45:69" x14ac:dyDescent="0.25">
      <c r="AS795" s="53"/>
      <c r="AV795" s="56"/>
      <c r="AW795" s="379"/>
      <c r="AX795" s="65"/>
      <c r="AY795" s="65"/>
      <c r="AZ795" s="65"/>
      <c r="BA795" s="50"/>
      <c r="BB795" s="65"/>
      <c r="BC795" s="59"/>
      <c r="BD795" s="59"/>
      <c r="BE795" s="50"/>
      <c r="BG795" s="65"/>
      <c r="BH795" s="65"/>
      <c r="BI795" s="65"/>
      <c r="BJ795" s="65"/>
      <c r="BK795" s="65"/>
      <c r="BM795" s="65"/>
      <c r="BN795" s="65"/>
      <c r="BO795" s="65"/>
      <c r="BP795" s="65"/>
      <c r="BQ795" s="65"/>
    </row>
    <row r="796" spans="45:69" x14ac:dyDescent="0.25">
      <c r="AY796" s="59"/>
      <c r="AZ796" s="65"/>
      <c r="BA796" s="50"/>
      <c r="BB796" s="65"/>
      <c r="BC796" s="59"/>
      <c r="BD796" s="59"/>
      <c r="BE796" s="50"/>
      <c r="BK796" s="65"/>
      <c r="BQ796" s="65"/>
    </row>
    <row r="797" spans="45:69" x14ac:dyDescent="0.25">
      <c r="AU797" s="54"/>
      <c r="AZ797" s="65"/>
      <c r="BB797" s="65"/>
      <c r="BG797" s="65"/>
      <c r="BH797" s="65"/>
      <c r="BJ797" s="65"/>
      <c r="BK797" s="65"/>
    </row>
    <row r="798" spans="45:69" x14ac:dyDescent="0.25">
      <c r="AZ798" s="65"/>
      <c r="BB798" s="65"/>
    </row>
    <row r="799" spans="45:69" x14ac:dyDescent="0.25">
      <c r="AS799" s="54"/>
      <c r="AZ799" s="65"/>
      <c r="BB799" s="65"/>
      <c r="BI799" s="65"/>
    </row>
    <row r="800" spans="45:69" x14ac:dyDescent="0.25">
      <c r="AY800" s="53"/>
      <c r="AZ800" s="65"/>
      <c r="BB800" s="65"/>
    </row>
    <row r="801" spans="45:75" x14ac:dyDescent="0.25">
      <c r="AY801" s="65"/>
      <c r="BB801" s="65"/>
    </row>
    <row r="802" spans="45:75" x14ac:dyDescent="0.25">
      <c r="AY802" s="54"/>
      <c r="AZ802" s="65"/>
      <c r="BB802" s="65"/>
    </row>
    <row r="803" spans="45:75" x14ac:dyDescent="0.25">
      <c r="AY803" s="54"/>
      <c r="AZ803" s="65"/>
      <c r="BB803" s="65"/>
    </row>
    <row r="804" spans="45:75" x14ac:dyDescent="0.25">
      <c r="AS804" s="53"/>
      <c r="AZ804" s="65"/>
      <c r="BB804" s="65"/>
      <c r="BD804" s="54"/>
    </row>
    <row r="805" spans="45:75" x14ac:dyDescent="0.25">
      <c r="AS805" s="53"/>
      <c r="AZ805" s="65"/>
      <c r="BB805" s="65"/>
      <c r="BD805" s="54"/>
    </row>
    <row r="806" spans="45:75" x14ac:dyDescent="0.25">
      <c r="AS806" s="54"/>
      <c r="AZ806" s="65"/>
      <c r="BB806" s="65"/>
      <c r="BD806" s="54"/>
    </row>
    <row r="807" spans="45:75" x14ac:dyDescent="0.25">
      <c r="AZ807" s="65"/>
      <c r="BB807" s="65"/>
      <c r="BD807" s="53"/>
    </row>
    <row r="808" spans="45:75" x14ac:dyDescent="0.25">
      <c r="AS808" s="55"/>
      <c r="AT808" s="55"/>
      <c r="AU808" s="55"/>
      <c r="AV808" s="55"/>
      <c r="AW808" s="55"/>
      <c r="AX808" s="55"/>
      <c r="AY808" s="55"/>
      <c r="AZ808" s="66"/>
      <c r="BA808" s="55"/>
      <c r="BB808" s="66"/>
      <c r="BC808" s="55"/>
      <c r="BD808" s="55"/>
      <c r="BE808" s="55"/>
    </row>
    <row r="809" spans="45:75" x14ac:dyDescent="0.25">
      <c r="AX809" s="54"/>
      <c r="AZ809" s="65"/>
      <c r="BB809" s="65"/>
    </row>
    <row r="810" spans="45:75" x14ac:dyDescent="0.25">
      <c r="AX810" s="55"/>
      <c r="AY810" s="55"/>
      <c r="AZ810" s="66"/>
      <c r="BA810" s="55"/>
      <c r="BB810" s="65"/>
      <c r="BC810" s="56"/>
      <c r="BD810" s="56"/>
    </row>
    <row r="811" spans="45:75" x14ac:dyDescent="0.25">
      <c r="AV811" s="56"/>
      <c r="AW811" s="56"/>
      <c r="AZ811" s="67"/>
      <c r="BA811" s="56"/>
      <c r="BB811" s="65"/>
      <c r="BC811" s="56"/>
      <c r="BD811" s="56"/>
      <c r="BE811" s="56"/>
      <c r="BG811" s="55"/>
      <c r="BH811" s="55"/>
      <c r="BI811" s="54"/>
      <c r="BM811" s="55"/>
      <c r="BN811" s="55"/>
      <c r="BP811" s="55"/>
      <c r="BQ811" s="55"/>
      <c r="BR811" s="54"/>
      <c r="BV811" s="55"/>
      <c r="BW811" s="55"/>
    </row>
    <row r="812" spans="45:75" x14ac:dyDescent="0.25">
      <c r="AV812" s="56"/>
      <c r="AW812" s="56"/>
      <c r="AX812" s="56"/>
      <c r="AY812" s="56"/>
      <c r="AZ812" s="67"/>
      <c r="BA812" s="56"/>
      <c r="BB812" s="67"/>
      <c r="BC812" s="56"/>
      <c r="BD812" s="56"/>
      <c r="BE812" s="56"/>
      <c r="BH812" s="56"/>
      <c r="BI812" s="56"/>
      <c r="BJ812" s="56"/>
      <c r="BK812" s="56"/>
      <c r="BL812" s="56"/>
      <c r="BM812" s="56"/>
      <c r="BQ812" s="56"/>
      <c r="BR812" s="56"/>
      <c r="BS812" s="56"/>
      <c r="BT812" s="56"/>
      <c r="BU812" s="56"/>
      <c r="BV812" s="56"/>
    </row>
    <row r="813" spans="45:75" x14ac:dyDescent="0.25">
      <c r="AS813" s="56"/>
      <c r="AU813" s="54"/>
      <c r="AV813" s="56"/>
      <c r="AW813" s="56"/>
      <c r="AX813" s="56"/>
      <c r="AY813" s="56"/>
      <c r="AZ813" s="67"/>
      <c r="BA813" s="56"/>
      <c r="BB813" s="67"/>
      <c r="BC813" s="56"/>
      <c r="BD813" s="56"/>
      <c r="BE813" s="56"/>
      <c r="BG813" s="56"/>
      <c r="BH813" s="56"/>
      <c r="BI813" s="56"/>
      <c r="BJ813" s="56"/>
      <c r="BK813" s="56"/>
      <c r="BL813" s="56"/>
      <c r="BM813" s="56"/>
      <c r="BN813" s="56"/>
      <c r="BP813" s="56"/>
      <c r="BQ813" s="56"/>
      <c r="BR813" s="56"/>
      <c r="BS813" s="56"/>
      <c r="BT813" s="56"/>
      <c r="BU813" s="56"/>
      <c r="BV813" s="56"/>
      <c r="BW813" s="56"/>
    </row>
    <row r="814" spans="45:75" x14ac:dyDescent="0.25">
      <c r="AS814" s="56"/>
      <c r="AU814" s="54"/>
      <c r="AV814" s="56"/>
      <c r="AW814" s="56"/>
      <c r="AX814" s="56"/>
      <c r="AY814" s="56"/>
      <c r="AZ814" s="67"/>
      <c r="BA814" s="56"/>
      <c r="BB814" s="67"/>
      <c r="BC814" s="56"/>
      <c r="BD814" s="56"/>
      <c r="BE814" s="56"/>
      <c r="BG814" s="56"/>
      <c r="BH814" s="56"/>
      <c r="BI814" s="56"/>
      <c r="BJ814" s="56"/>
      <c r="BK814" s="56"/>
      <c r="BL814" s="56"/>
      <c r="BM814" s="56"/>
      <c r="BN814" s="56"/>
      <c r="BP814" s="56"/>
      <c r="BQ814" s="56"/>
      <c r="BR814" s="56"/>
      <c r="BS814" s="56"/>
      <c r="BT814" s="56"/>
      <c r="BU814" s="56"/>
      <c r="BV814" s="56"/>
      <c r="BW814" s="56"/>
    </row>
    <row r="815" spans="45:75" x14ac:dyDescent="0.25">
      <c r="AS815" s="55"/>
      <c r="AT815" s="55"/>
      <c r="AU815" s="55"/>
      <c r="AV815" s="55"/>
      <c r="AW815" s="55"/>
      <c r="AX815" s="55"/>
      <c r="AY815" s="55"/>
      <c r="AZ815" s="66"/>
      <c r="BA815" s="55"/>
      <c r="BB815" s="66"/>
      <c r="BC815" s="55"/>
      <c r="BD815" s="55"/>
      <c r="BE815" s="55"/>
      <c r="BG815" s="55"/>
      <c r="BH815" s="55"/>
      <c r="BI815" s="55"/>
      <c r="BJ815" s="55"/>
      <c r="BK815" s="55"/>
      <c r="BL815" s="55"/>
      <c r="BM815" s="55"/>
      <c r="BN815" s="55"/>
      <c r="BP815" s="55"/>
      <c r="BQ815" s="55"/>
      <c r="BR815" s="55"/>
      <c r="BS815" s="55"/>
      <c r="BT815" s="55"/>
      <c r="BU815" s="55"/>
      <c r="BV815" s="55"/>
      <c r="BW815" s="55"/>
    </row>
    <row r="816" spans="45:75" x14ac:dyDescent="0.25">
      <c r="AV816" s="56"/>
      <c r="AW816" s="56"/>
      <c r="AX816" s="56"/>
      <c r="AY816" s="56"/>
      <c r="AZ816" s="67"/>
      <c r="BA816" s="56"/>
      <c r="BB816" s="67"/>
      <c r="BC816" s="56"/>
      <c r="BD816" s="56"/>
      <c r="BE816" s="56"/>
      <c r="BG816" s="65"/>
      <c r="BH816" s="65"/>
      <c r="BI816" s="65"/>
      <c r="BJ816" s="65"/>
      <c r="BK816" s="65"/>
      <c r="BL816" s="65"/>
      <c r="BM816" s="65"/>
      <c r="BN816" s="65"/>
      <c r="BO816" s="65"/>
      <c r="BP816" s="65"/>
      <c r="BQ816" s="65"/>
      <c r="BR816" s="65"/>
      <c r="BS816" s="65"/>
      <c r="BT816" s="65"/>
      <c r="BU816" s="65"/>
      <c r="BV816" s="65"/>
      <c r="BW816" s="65"/>
    </row>
    <row r="817" spans="45:75" x14ac:dyDescent="0.25">
      <c r="AS817" s="53"/>
      <c r="AU817" s="54"/>
      <c r="AV817" s="53"/>
      <c r="AW817" s="379"/>
      <c r="AX817" s="65"/>
      <c r="AY817" s="65"/>
      <c r="AZ817" s="65"/>
      <c r="BA817" s="60"/>
      <c r="BB817" s="65"/>
      <c r="BC817" s="65"/>
      <c r="BD817" s="65"/>
      <c r="BE817" s="60"/>
      <c r="BG817" s="65"/>
      <c r="BH817" s="65"/>
      <c r="BI817" s="65"/>
      <c r="BJ817" s="65"/>
      <c r="BK817" s="65"/>
      <c r="BL817" s="65"/>
      <c r="BM817" s="65"/>
      <c r="BN817" s="65"/>
      <c r="BO817" s="65"/>
      <c r="BP817" s="65"/>
      <c r="BQ817" s="65"/>
      <c r="BR817" s="65"/>
      <c r="BS817" s="65"/>
      <c r="BT817" s="65"/>
      <c r="BU817" s="65"/>
      <c r="BV817" s="65"/>
      <c r="BW817" s="65"/>
    </row>
    <row r="818" spans="45:75" x14ac:dyDescent="0.25">
      <c r="AS818" s="53"/>
      <c r="AV818" s="53"/>
      <c r="AW818" s="379"/>
      <c r="AX818" s="65"/>
      <c r="AY818" s="65"/>
      <c r="AZ818" s="65"/>
      <c r="BA818" s="60"/>
      <c r="BB818" s="65"/>
      <c r="BC818" s="65"/>
      <c r="BD818" s="65"/>
      <c r="BE818" s="60"/>
      <c r="BG818" s="65"/>
      <c r="BH818" s="65"/>
      <c r="BI818" s="65"/>
      <c r="BJ818" s="65"/>
      <c r="BK818" s="65"/>
      <c r="BL818" s="65"/>
      <c r="BM818" s="65"/>
      <c r="BN818" s="65"/>
      <c r="BO818" s="65"/>
      <c r="BP818" s="65"/>
      <c r="BQ818" s="65"/>
      <c r="BR818" s="65"/>
      <c r="BS818" s="65"/>
      <c r="BT818" s="65"/>
      <c r="BU818" s="65"/>
      <c r="BV818" s="65"/>
      <c r="BW818" s="65"/>
    </row>
    <row r="819" spans="45:75" x14ac:dyDescent="0.25">
      <c r="AS819" s="53"/>
      <c r="AV819" s="53"/>
      <c r="AW819" s="379"/>
      <c r="AX819" s="65"/>
      <c r="AY819" s="65"/>
      <c r="AZ819" s="65"/>
      <c r="BA819" s="60"/>
      <c r="BB819" s="65"/>
      <c r="BC819" s="65"/>
      <c r="BD819" s="65"/>
      <c r="BE819" s="60"/>
      <c r="BG819" s="65"/>
      <c r="BH819" s="65"/>
      <c r="BI819" s="65"/>
      <c r="BJ819" s="65"/>
      <c r="BK819" s="65"/>
      <c r="BL819" s="65"/>
      <c r="BM819" s="65"/>
      <c r="BN819" s="65"/>
      <c r="BO819" s="65"/>
      <c r="BP819" s="65"/>
      <c r="BQ819" s="65"/>
      <c r="BR819" s="65"/>
      <c r="BS819" s="65"/>
      <c r="BT819" s="65"/>
      <c r="BU819" s="65"/>
      <c r="BV819" s="65"/>
      <c r="BW819" s="65"/>
    </row>
    <row r="820" spans="45:75" x14ac:dyDescent="0.25">
      <c r="AS820" s="53"/>
      <c r="AV820" s="53"/>
      <c r="AW820" s="379"/>
      <c r="AX820" s="65"/>
      <c r="AY820" s="65"/>
      <c r="AZ820" s="65"/>
      <c r="BA820" s="60"/>
      <c r="BB820" s="65"/>
      <c r="BC820" s="65"/>
      <c r="BD820" s="65"/>
      <c r="BE820" s="60"/>
      <c r="BG820" s="65"/>
      <c r="BH820" s="65"/>
      <c r="BI820" s="65"/>
      <c r="BJ820" s="65"/>
      <c r="BK820" s="65"/>
      <c r="BL820" s="65"/>
      <c r="BM820" s="65"/>
      <c r="BN820" s="65"/>
      <c r="BO820" s="65"/>
      <c r="BP820" s="65"/>
      <c r="BQ820" s="65"/>
      <c r="BR820" s="65"/>
      <c r="BS820" s="65"/>
      <c r="BT820" s="65"/>
      <c r="BU820" s="65"/>
      <c r="BV820" s="65"/>
      <c r="BW820" s="65"/>
    </row>
    <row r="821" spans="45:75" x14ac:dyDescent="0.25">
      <c r="AS821" s="53"/>
      <c r="AV821" s="53"/>
      <c r="AW821" s="379"/>
      <c r="AX821" s="65"/>
      <c r="AY821" s="65"/>
      <c r="AZ821" s="65"/>
      <c r="BA821" s="60"/>
      <c r="BB821" s="65"/>
      <c r="BC821" s="65"/>
      <c r="BD821" s="65"/>
      <c r="BE821" s="60"/>
      <c r="BG821" s="65"/>
      <c r="BH821" s="65"/>
      <c r="BI821" s="65"/>
      <c r="BJ821" s="65"/>
      <c r="BK821" s="65"/>
      <c r="BL821" s="65"/>
      <c r="BM821" s="65"/>
      <c r="BN821" s="65"/>
      <c r="BO821" s="65"/>
      <c r="BP821" s="65"/>
      <c r="BQ821" s="65"/>
      <c r="BR821" s="65"/>
      <c r="BS821" s="65"/>
      <c r="BT821" s="65"/>
      <c r="BU821" s="65"/>
      <c r="BV821" s="65"/>
      <c r="BW821" s="65"/>
    </row>
    <row r="822" spans="45:75" x14ac:dyDescent="0.25">
      <c r="AS822" s="53"/>
      <c r="AV822" s="53"/>
      <c r="AW822" s="379"/>
      <c r="AX822" s="65"/>
      <c r="AY822" s="65"/>
      <c r="AZ822" s="65"/>
      <c r="BA822" s="60"/>
      <c r="BB822" s="65"/>
      <c r="BC822" s="65"/>
      <c r="BD822" s="65"/>
      <c r="BE822" s="60"/>
      <c r="BG822" s="65"/>
      <c r="BH822" s="65"/>
      <c r="BI822" s="65"/>
      <c r="BJ822" s="65"/>
      <c r="BK822" s="65"/>
      <c r="BL822" s="65"/>
      <c r="BM822" s="65"/>
      <c r="BN822" s="65"/>
      <c r="BO822" s="65"/>
      <c r="BP822" s="65"/>
      <c r="BQ822" s="65"/>
      <c r="BR822" s="65"/>
      <c r="BS822" s="65"/>
      <c r="BT822" s="65"/>
      <c r="BU822" s="65"/>
      <c r="BV822" s="65"/>
      <c r="BW822" s="65"/>
    </row>
    <row r="823" spans="45:75" x14ac:dyDescent="0.25">
      <c r="AS823" s="53"/>
      <c r="AV823" s="53"/>
      <c r="AW823" s="379"/>
      <c r="AX823" s="65"/>
      <c r="AY823" s="65"/>
      <c r="AZ823" s="65"/>
      <c r="BA823" s="60"/>
      <c r="BB823" s="65"/>
      <c r="BC823" s="65"/>
      <c r="BD823" s="65"/>
      <c r="BE823" s="60"/>
      <c r="BG823" s="65"/>
      <c r="BH823" s="65"/>
      <c r="BI823" s="65"/>
      <c r="BJ823" s="65"/>
      <c r="BK823" s="65"/>
      <c r="BL823" s="65"/>
      <c r="BM823" s="65"/>
      <c r="BN823" s="65"/>
      <c r="BO823" s="65"/>
      <c r="BP823" s="65"/>
      <c r="BQ823" s="65"/>
      <c r="BR823" s="65"/>
      <c r="BS823" s="65"/>
      <c r="BT823" s="65"/>
      <c r="BU823" s="65"/>
      <c r="BV823" s="65"/>
      <c r="BW823" s="65"/>
    </row>
    <row r="824" spans="45:75" x14ac:dyDescent="0.25">
      <c r="AS824" s="53"/>
      <c r="AV824" s="53"/>
      <c r="AW824" s="379"/>
      <c r="AX824" s="65"/>
      <c r="AY824" s="65"/>
      <c r="AZ824" s="65"/>
      <c r="BA824" s="60"/>
      <c r="BB824" s="65"/>
      <c r="BC824" s="65"/>
      <c r="BD824" s="65"/>
      <c r="BE824" s="60"/>
      <c r="BG824" s="65"/>
      <c r="BH824" s="65"/>
      <c r="BI824" s="65"/>
      <c r="BJ824" s="65"/>
      <c r="BK824" s="65"/>
      <c r="BL824" s="65"/>
      <c r="BM824" s="65"/>
      <c r="BN824" s="65"/>
      <c r="BO824" s="65"/>
      <c r="BP824" s="65"/>
      <c r="BQ824" s="65"/>
      <c r="BR824" s="65"/>
      <c r="BS824" s="65"/>
      <c r="BT824" s="65"/>
      <c r="BU824" s="65"/>
      <c r="BV824" s="65"/>
      <c r="BW824" s="65"/>
    </row>
    <row r="825" spans="45:75" x14ac:dyDescent="0.25">
      <c r="AS825" s="53"/>
      <c r="AV825" s="53"/>
      <c r="AW825" s="379"/>
      <c r="AX825" s="65"/>
      <c r="AY825" s="65"/>
      <c r="AZ825" s="65"/>
      <c r="BA825" s="60"/>
      <c r="BB825" s="65"/>
      <c r="BC825" s="65"/>
      <c r="BD825" s="65"/>
      <c r="BE825" s="60"/>
      <c r="BG825" s="65"/>
      <c r="BH825" s="65"/>
      <c r="BI825" s="65"/>
      <c r="BJ825" s="65"/>
      <c r="BK825" s="65"/>
      <c r="BL825" s="65"/>
      <c r="BM825" s="65"/>
      <c r="BN825" s="65"/>
      <c r="BO825" s="65"/>
      <c r="BP825" s="65"/>
      <c r="BQ825" s="65"/>
      <c r="BR825" s="65"/>
      <c r="BS825" s="65"/>
      <c r="BT825" s="65"/>
      <c r="BU825" s="65"/>
      <c r="BV825" s="65"/>
      <c r="BW825" s="65"/>
    </row>
    <row r="826" spans="45:75" x14ac:dyDescent="0.25">
      <c r="AS826" s="53"/>
      <c r="AV826" s="53"/>
      <c r="AW826" s="379"/>
      <c r="AX826" s="65"/>
      <c r="AY826" s="65"/>
      <c r="AZ826" s="65"/>
      <c r="BA826" s="60"/>
      <c r="BB826" s="65"/>
      <c r="BC826" s="65"/>
      <c r="BD826" s="65"/>
      <c r="BE826" s="60"/>
      <c r="BG826" s="65"/>
      <c r="BH826" s="65"/>
      <c r="BI826" s="65"/>
      <c r="BJ826" s="65"/>
      <c r="BK826" s="65"/>
      <c r="BL826" s="65"/>
      <c r="BM826" s="65"/>
      <c r="BN826" s="65"/>
      <c r="BO826" s="65"/>
      <c r="BP826" s="65"/>
      <c r="BQ826" s="65"/>
      <c r="BR826" s="65"/>
      <c r="BS826" s="65"/>
      <c r="BT826" s="65"/>
      <c r="BU826" s="65"/>
      <c r="BV826" s="65"/>
      <c r="BW826" s="65"/>
    </row>
    <row r="827" spans="45:75" x14ac:dyDescent="0.25">
      <c r="AS827" s="53"/>
      <c r="AV827" s="53"/>
      <c r="AW827" s="379"/>
      <c r="AX827" s="65"/>
      <c r="AY827" s="65"/>
      <c r="AZ827" s="65"/>
      <c r="BA827" s="60"/>
      <c r="BB827" s="65"/>
      <c r="BC827" s="65"/>
      <c r="BD827" s="65"/>
      <c r="BE827" s="60"/>
      <c r="BG827" s="65"/>
      <c r="BH827" s="65"/>
      <c r="BI827" s="65"/>
      <c r="BJ827" s="65"/>
      <c r="BK827" s="65"/>
      <c r="BL827" s="65"/>
      <c r="BM827" s="65"/>
      <c r="BN827" s="65"/>
      <c r="BO827" s="65"/>
      <c r="BP827" s="65"/>
      <c r="BQ827" s="65"/>
      <c r="BR827" s="65"/>
      <c r="BS827" s="65"/>
      <c r="BT827" s="65"/>
      <c r="BU827" s="65"/>
      <c r="BV827" s="65"/>
      <c r="BW827" s="65"/>
    </row>
    <row r="828" spans="45:75" x14ac:dyDescent="0.25">
      <c r="AS828" s="53"/>
      <c r="AV828" s="53"/>
      <c r="AW828" s="379"/>
      <c r="AX828" s="65"/>
      <c r="AY828" s="65"/>
      <c r="AZ828" s="65"/>
      <c r="BA828" s="60"/>
      <c r="BB828" s="65"/>
      <c r="BC828" s="65"/>
      <c r="BD828" s="65"/>
      <c r="BE828" s="60"/>
      <c r="BG828" s="65"/>
      <c r="BH828" s="65"/>
      <c r="BI828" s="65"/>
      <c r="BJ828" s="65"/>
      <c r="BK828" s="65"/>
      <c r="BL828" s="65"/>
      <c r="BM828" s="65"/>
      <c r="BN828" s="65"/>
      <c r="BO828" s="65"/>
      <c r="BP828" s="65"/>
      <c r="BQ828" s="65"/>
      <c r="BR828" s="65"/>
      <c r="BS828" s="65"/>
      <c r="BT828" s="65"/>
      <c r="BU828" s="65"/>
      <c r="BV828" s="65"/>
      <c r="BW828" s="65"/>
    </row>
    <row r="829" spans="45:75" x14ac:dyDescent="0.25">
      <c r="AS829" s="53"/>
      <c r="AV829" s="53"/>
      <c r="AW829" s="379"/>
      <c r="AX829" s="65"/>
      <c r="AY829" s="65"/>
      <c r="AZ829" s="65"/>
      <c r="BA829" s="60"/>
      <c r="BB829" s="65"/>
      <c r="BC829" s="65"/>
      <c r="BD829" s="65"/>
      <c r="BE829" s="60"/>
      <c r="BG829" s="65"/>
      <c r="BH829" s="65"/>
      <c r="BI829" s="65"/>
      <c r="BJ829" s="65"/>
      <c r="BK829" s="65"/>
      <c r="BL829" s="65"/>
      <c r="BM829" s="65"/>
      <c r="BN829" s="65"/>
      <c r="BO829" s="65"/>
      <c r="BP829" s="65"/>
      <c r="BQ829" s="65"/>
      <c r="BR829" s="65"/>
      <c r="BS829" s="65"/>
      <c r="BT829" s="65"/>
      <c r="BU829" s="65"/>
      <c r="BV829" s="65"/>
      <c r="BW829" s="65"/>
    </row>
    <row r="830" spans="45:75" x14ac:dyDescent="0.25">
      <c r="AS830" s="53"/>
      <c r="AV830" s="53"/>
      <c r="AW830" s="379"/>
      <c r="AX830" s="65"/>
      <c r="AY830" s="65"/>
      <c r="AZ830" s="65"/>
      <c r="BA830" s="60"/>
      <c r="BB830" s="65"/>
      <c r="BC830" s="65"/>
      <c r="BD830" s="65"/>
      <c r="BE830" s="60"/>
      <c r="BG830" s="65"/>
      <c r="BH830" s="65"/>
      <c r="BI830" s="65"/>
      <c r="BJ830" s="65"/>
      <c r="BK830" s="65"/>
      <c r="BL830" s="65"/>
      <c r="BM830" s="65"/>
      <c r="BN830" s="65"/>
      <c r="BO830" s="65"/>
      <c r="BP830" s="65"/>
      <c r="BQ830" s="65"/>
      <c r="BR830" s="65"/>
      <c r="BS830" s="65"/>
      <c r="BT830" s="65"/>
      <c r="BU830" s="65"/>
      <c r="BV830" s="65"/>
      <c r="BW830" s="65"/>
    </row>
    <row r="831" spans="45:75" x14ac:dyDescent="0.25">
      <c r="AS831" s="53"/>
      <c r="AV831" s="53"/>
      <c r="AW831" s="379"/>
      <c r="AX831" s="65"/>
      <c r="AY831" s="65"/>
      <c r="AZ831" s="65"/>
      <c r="BA831" s="60"/>
      <c r="BB831" s="65"/>
      <c r="BC831" s="65"/>
      <c r="BD831" s="65"/>
      <c r="BE831" s="60"/>
      <c r="BG831" s="65"/>
      <c r="BH831" s="65"/>
      <c r="BI831" s="65"/>
      <c r="BJ831" s="65"/>
      <c r="BK831" s="65"/>
      <c r="BL831" s="65"/>
      <c r="BM831" s="65"/>
      <c r="BN831" s="65"/>
      <c r="BO831" s="65"/>
      <c r="BP831" s="65"/>
      <c r="BQ831" s="65"/>
      <c r="BR831" s="65"/>
      <c r="BS831" s="65"/>
      <c r="BT831" s="65"/>
      <c r="BU831" s="65"/>
      <c r="BV831" s="65"/>
      <c r="BW831" s="65"/>
    </row>
    <row r="832" spans="45:75" x14ac:dyDescent="0.25">
      <c r="AS832" s="53"/>
      <c r="AV832" s="53"/>
      <c r="AW832" s="379"/>
      <c r="AX832" s="65"/>
      <c r="AY832" s="65"/>
      <c r="AZ832" s="65"/>
      <c r="BA832" s="60"/>
      <c r="BB832" s="65"/>
      <c r="BC832" s="65"/>
      <c r="BD832" s="65"/>
      <c r="BE832" s="60"/>
      <c r="BG832" s="65"/>
      <c r="BH832" s="65"/>
      <c r="BI832" s="65"/>
      <c r="BJ832" s="65"/>
      <c r="BK832" s="65"/>
      <c r="BL832" s="65"/>
      <c r="BM832" s="65"/>
      <c r="BN832" s="65"/>
      <c r="BO832" s="65"/>
      <c r="BP832" s="65"/>
      <c r="BQ832" s="65"/>
      <c r="BR832" s="65"/>
      <c r="BS832" s="65"/>
      <c r="BT832" s="65"/>
      <c r="BU832" s="65"/>
      <c r="BV832" s="65"/>
      <c r="BW832" s="65"/>
    </row>
    <row r="833" spans="45:75" x14ac:dyDescent="0.25">
      <c r="AS833" s="53"/>
      <c r="AV833" s="53"/>
      <c r="AW833" s="379"/>
      <c r="AX833" s="65"/>
      <c r="AY833" s="65"/>
      <c r="AZ833" s="65"/>
      <c r="BA833" s="60"/>
      <c r="BB833" s="65"/>
      <c r="BC833" s="65"/>
      <c r="BD833" s="65"/>
      <c r="BE833" s="60"/>
      <c r="BG833" s="65"/>
      <c r="BH833" s="65"/>
      <c r="BI833" s="65"/>
      <c r="BJ833" s="65"/>
      <c r="BK833" s="65"/>
      <c r="BL833" s="65"/>
      <c r="BM833" s="65"/>
      <c r="BN833" s="65"/>
      <c r="BO833" s="65"/>
      <c r="BP833" s="65"/>
      <c r="BQ833" s="65"/>
      <c r="BR833" s="65"/>
      <c r="BS833" s="65"/>
      <c r="BT833" s="65"/>
      <c r="BU833" s="65"/>
      <c r="BV833" s="65"/>
      <c r="BW833" s="65"/>
    </row>
    <row r="834" spans="45:75" x14ac:dyDescent="0.25">
      <c r="AS834" s="53"/>
      <c r="AV834" s="53"/>
      <c r="AW834" s="379"/>
      <c r="AX834" s="65"/>
      <c r="AY834" s="65"/>
      <c r="AZ834" s="65"/>
      <c r="BA834" s="60"/>
      <c r="BB834" s="65"/>
      <c r="BC834" s="65"/>
      <c r="BD834" s="65"/>
      <c r="BE834" s="60"/>
      <c r="BG834" s="65"/>
      <c r="BH834" s="65"/>
      <c r="BI834" s="65"/>
      <c r="BJ834" s="65"/>
      <c r="BK834" s="65"/>
      <c r="BL834" s="65"/>
      <c r="BM834" s="65"/>
      <c r="BN834" s="65"/>
      <c r="BO834" s="65"/>
      <c r="BP834" s="65"/>
      <c r="BQ834" s="65"/>
      <c r="BR834" s="65"/>
      <c r="BS834" s="65"/>
      <c r="BT834" s="65"/>
      <c r="BU834" s="65"/>
      <c r="BV834" s="65"/>
      <c r="BW834" s="65"/>
    </row>
    <row r="835" spans="45:75" x14ac:dyDescent="0.25">
      <c r="AS835" s="53"/>
      <c r="AV835" s="53"/>
      <c r="AW835" s="379"/>
      <c r="AX835" s="65"/>
      <c r="AY835" s="65"/>
      <c r="AZ835" s="65"/>
      <c r="BA835" s="60"/>
      <c r="BB835" s="65"/>
      <c r="BC835" s="65"/>
      <c r="BD835" s="65"/>
      <c r="BE835" s="60"/>
      <c r="BG835" s="65"/>
      <c r="BH835" s="65"/>
      <c r="BI835" s="65"/>
      <c r="BJ835" s="65"/>
      <c r="BK835" s="65"/>
      <c r="BL835" s="65"/>
      <c r="BM835" s="65"/>
      <c r="BN835" s="65"/>
      <c r="BO835" s="65"/>
      <c r="BP835" s="65"/>
      <c r="BQ835" s="65"/>
      <c r="BR835" s="65"/>
      <c r="BS835" s="65"/>
      <c r="BT835" s="65"/>
      <c r="BU835" s="65"/>
      <c r="BV835" s="65"/>
      <c r="BW835" s="65"/>
    </row>
    <row r="836" spans="45:75" x14ac:dyDescent="0.25">
      <c r="AS836" s="53"/>
      <c r="AV836" s="53"/>
      <c r="AW836" s="379"/>
      <c r="AX836" s="65"/>
      <c r="AY836" s="65"/>
      <c r="AZ836" s="65"/>
      <c r="BA836" s="60"/>
      <c r="BB836" s="65"/>
      <c r="BC836" s="65"/>
      <c r="BD836" s="65"/>
      <c r="BE836" s="60"/>
      <c r="BG836" s="65"/>
      <c r="BH836" s="65"/>
      <c r="BI836" s="65"/>
      <c r="BJ836" s="65"/>
      <c r="BK836" s="65"/>
      <c r="BL836" s="65"/>
      <c r="BM836" s="65"/>
      <c r="BN836" s="65"/>
      <c r="BO836" s="65"/>
      <c r="BP836" s="65"/>
      <c r="BQ836" s="65"/>
      <c r="BR836" s="65"/>
      <c r="BS836" s="65"/>
      <c r="BT836" s="65"/>
      <c r="BU836" s="65"/>
      <c r="BV836" s="65"/>
      <c r="BW836" s="65"/>
    </row>
    <row r="837" spans="45:75" x14ac:dyDescent="0.25">
      <c r="AS837" s="53"/>
      <c r="AV837" s="53"/>
      <c r="AW837" s="379"/>
      <c r="AX837" s="65"/>
      <c r="AY837" s="65"/>
      <c r="AZ837" s="65"/>
      <c r="BA837" s="60"/>
      <c r="BB837" s="65"/>
      <c r="BC837" s="65"/>
      <c r="BD837" s="65"/>
      <c r="BE837" s="60"/>
      <c r="BG837" s="65"/>
      <c r="BH837" s="65"/>
      <c r="BI837" s="65"/>
      <c r="BJ837" s="65"/>
      <c r="BK837" s="65"/>
      <c r="BL837" s="65"/>
      <c r="BM837" s="65"/>
      <c r="BN837" s="65"/>
      <c r="BO837" s="65"/>
      <c r="BP837" s="65"/>
      <c r="BQ837" s="65"/>
      <c r="BR837" s="65"/>
      <c r="BS837" s="65"/>
      <c r="BT837" s="65"/>
      <c r="BU837" s="65"/>
      <c r="BV837" s="65"/>
      <c r="BW837" s="65"/>
    </row>
    <row r="838" spans="45:75" x14ac:dyDescent="0.25">
      <c r="AW838" s="379"/>
      <c r="AX838" s="65"/>
      <c r="AY838" s="65"/>
      <c r="AZ838" s="65"/>
      <c r="BA838" s="60"/>
      <c r="BB838" s="65"/>
      <c r="BC838" s="65"/>
      <c r="BD838" s="65"/>
      <c r="BE838" s="60"/>
      <c r="BG838" s="55"/>
      <c r="BH838" s="55"/>
      <c r="BI838" s="54"/>
      <c r="BM838" s="55"/>
      <c r="BN838" s="55"/>
      <c r="BO838" s="65"/>
      <c r="BP838" s="55"/>
      <c r="BQ838" s="55"/>
      <c r="BR838" s="54"/>
      <c r="BV838" s="55"/>
      <c r="BW838" s="55"/>
    </row>
    <row r="839" spans="45:75" x14ac:dyDescent="0.25">
      <c r="AS839" s="53"/>
      <c r="AU839" s="54"/>
      <c r="AV839" s="56"/>
      <c r="AW839" s="379"/>
      <c r="AX839" s="65"/>
      <c r="AY839" s="65"/>
      <c r="AZ839" s="65"/>
      <c r="BA839" s="60"/>
      <c r="BB839" s="65"/>
      <c r="BC839" s="65"/>
      <c r="BD839" s="65"/>
      <c r="BE839" s="60"/>
      <c r="BG839" s="67"/>
      <c r="BH839" s="65"/>
      <c r="BI839" s="65"/>
      <c r="BJ839" s="65"/>
      <c r="BK839" s="67"/>
      <c r="BL839" s="68"/>
      <c r="BM839" s="65"/>
      <c r="BN839" s="67"/>
      <c r="BO839" s="65"/>
      <c r="BP839" s="67"/>
      <c r="BQ839" s="65"/>
      <c r="BR839" s="65"/>
      <c r="BS839" s="65"/>
      <c r="BT839" s="67"/>
      <c r="BU839" s="68"/>
      <c r="BV839" s="65"/>
      <c r="BW839" s="67"/>
    </row>
    <row r="840" spans="45:75" x14ac:dyDescent="0.25">
      <c r="AS840" s="53"/>
      <c r="AV840" s="56"/>
      <c r="AW840" s="379"/>
      <c r="AX840" s="65"/>
      <c r="AY840" s="65"/>
      <c r="AZ840" s="65"/>
      <c r="BA840" s="60"/>
      <c r="BB840" s="65"/>
      <c r="BC840" s="65"/>
      <c r="BD840" s="65"/>
      <c r="BE840" s="60"/>
      <c r="BG840" s="65"/>
      <c r="BH840" s="65"/>
      <c r="BI840" s="65"/>
      <c r="BJ840" s="65"/>
      <c r="BK840" s="65"/>
      <c r="BL840" s="68"/>
      <c r="BM840" s="65"/>
      <c r="BN840" s="65"/>
      <c r="BO840" s="65"/>
      <c r="BP840" s="65"/>
      <c r="BQ840" s="65"/>
      <c r="BR840" s="65"/>
      <c r="BS840" s="65"/>
      <c r="BT840" s="65"/>
      <c r="BU840" s="68"/>
      <c r="BV840" s="65"/>
      <c r="BW840" s="65"/>
    </row>
    <row r="841" spans="45:75" x14ac:dyDescent="0.25">
      <c r="AS841" s="53"/>
      <c r="AV841" s="56"/>
      <c r="AW841" s="379"/>
      <c r="AX841" s="65"/>
      <c r="AY841" s="65"/>
      <c r="AZ841" s="65"/>
      <c r="BA841" s="60"/>
      <c r="BB841" s="65"/>
      <c r="BC841" s="65"/>
      <c r="BD841" s="65"/>
      <c r="BE841" s="60"/>
      <c r="BG841" s="65"/>
      <c r="BH841" s="65"/>
      <c r="BI841" s="65"/>
      <c r="BJ841" s="65"/>
      <c r="BK841" s="65"/>
      <c r="BL841" s="68"/>
      <c r="BM841" s="65"/>
      <c r="BN841" s="65"/>
      <c r="BO841" s="65"/>
      <c r="BP841" s="65"/>
      <c r="BQ841" s="65"/>
      <c r="BR841" s="65"/>
      <c r="BS841" s="65"/>
      <c r="BT841" s="65"/>
      <c r="BU841" s="68"/>
      <c r="BV841" s="65"/>
      <c r="BW841" s="65"/>
    </row>
    <row r="842" spans="45:75" x14ac:dyDescent="0.25">
      <c r="AS842" s="53"/>
      <c r="AV842" s="56"/>
      <c r="AW842" s="379"/>
      <c r="AX842" s="65"/>
      <c r="AY842" s="65"/>
      <c r="AZ842" s="65"/>
      <c r="BA842" s="60"/>
      <c r="BB842" s="65"/>
      <c r="BC842" s="65"/>
      <c r="BD842" s="65"/>
      <c r="BE842" s="60"/>
      <c r="BG842" s="65"/>
      <c r="BH842" s="65"/>
      <c r="BI842" s="65"/>
      <c r="BJ842" s="65"/>
      <c r="BK842" s="65"/>
      <c r="BL842" s="68"/>
      <c r="BM842" s="65"/>
      <c r="BN842" s="65"/>
      <c r="BO842" s="65"/>
      <c r="BP842" s="65"/>
      <c r="BQ842" s="65"/>
      <c r="BR842" s="65"/>
      <c r="BS842" s="65"/>
      <c r="BT842" s="65"/>
      <c r="BU842" s="68"/>
      <c r="BV842" s="65"/>
      <c r="BW842" s="65"/>
    </row>
    <row r="843" spans="45:75" x14ac:dyDescent="0.25">
      <c r="AX843" s="65"/>
      <c r="AY843" s="65"/>
      <c r="AZ843" s="65"/>
      <c r="BA843" s="60"/>
      <c r="BB843" s="65"/>
      <c r="BC843" s="65"/>
      <c r="BD843" s="65"/>
      <c r="BE843" s="60"/>
      <c r="BG843" s="65"/>
      <c r="BH843" s="65"/>
      <c r="BI843" s="65"/>
      <c r="BJ843" s="65"/>
      <c r="BK843" s="65"/>
      <c r="BL843" s="65"/>
      <c r="BM843" s="65"/>
      <c r="BN843" s="65"/>
      <c r="BO843" s="65"/>
      <c r="BP843" s="65"/>
      <c r="BQ843" s="65"/>
      <c r="BR843" s="65"/>
      <c r="BS843" s="65"/>
      <c r="BT843" s="65"/>
      <c r="BU843" s="65"/>
      <c r="BV843" s="65"/>
    </row>
    <row r="844" spans="45:75" x14ac:dyDescent="0.25">
      <c r="AU844" s="54"/>
    </row>
    <row r="845" spans="45:75" x14ac:dyDescent="0.25">
      <c r="AU845" s="54"/>
      <c r="AZ845" s="65"/>
      <c r="BA845" s="60"/>
      <c r="BB845" s="65"/>
      <c r="BC845" s="65"/>
      <c r="BD845" s="65"/>
      <c r="BE845" s="60"/>
      <c r="BG845" s="65"/>
      <c r="BH845" s="65"/>
      <c r="BI845" s="65"/>
      <c r="BJ845" s="65"/>
      <c r="BK845" s="65"/>
      <c r="BL845" s="65"/>
      <c r="BM845" s="65"/>
      <c r="BN845" s="65"/>
      <c r="BO845" s="65"/>
      <c r="BP845" s="65"/>
      <c r="BQ845" s="65"/>
      <c r="BR845" s="65"/>
      <c r="BS845" s="65"/>
      <c r="BT845" s="65"/>
      <c r="BU845" s="65"/>
      <c r="BV845" s="65"/>
    </row>
    <row r="846" spans="45:75" x14ac:dyDescent="0.25">
      <c r="AS846" s="54"/>
      <c r="AZ846" s="65"/>
      <c r="BB846" s="65"/>
    </row>
    <row r="847" spans="45:75" x14ac:dyDescent="0.25">
      <c r="AY847" s="53"/>
      <c r="AZ847" s="65"/>
      <c r="BB847" s="65"/>
      <c r="BO847" s="65"/>
      <c r="BP847" s="65"/>
      <c r="BQ847" s="65"/>
      <c r="BR847" s="65"/>
      <c r="BS847" s="65"/>
      <c r="BT847" s="65"/>
      <c r="BU847" s="65"/>
      <c r="BV847" s="65"/>
    </row>
    <row r="848" spans="45:75" x14ac:dyDescent="0.25">
      <c r="AY848" s="65"/>
      <c r="AZ848" s="65"/>
      <c r="BB848" s="65"/>
      <c r="BO848" s="65"/>
      <c r="BP848" s="65"/>
      <c r="BQ848" s="65"/>
      <c r="BR848" s="65"/>
      <c r="BS848" s="65"/>
      <c r="BT848" s="65"/>
      <c r="BU848" s="65"/>
      <c r="BV848" s="65"/>
    </row>
    <row r="849" spans="45:74" x14ac:dyDescent="0.25">
      <c r="AY849" s="54"/>
      <c r="AZ849" s="65"/>
      <c r="BB849" s="65"/>
      <c r="BO849" s="65"/>
      <c r="BP849" s="65"/>
      <c r="BQ849" s="65"/>
      <c r="BR849" s="65"/>
      <c r="BS849" s="65"/>
      <c r="BT849" s="65"/>
      <c r="BU849" s="65"/>
      <c r="BV849" s="65"/>
    </row>
    <row r="850" spans="45:74" x14ac:dyDescent="0.25">
      <c r="AY850" s="54"/>
      <c r="AZ850" s="65"/>
      <c r="BB850" s="65"/>
      <c r="BO850" s="65"/>
      <c r="BP850" s="65"/>
      <c r="BQ850" s="65"/>
      <c r="BR850" s="65"/>
      <c r="BS850" s="65"/>
      <c r="BT850" s="65"/>
      <c r="BU850" s="65"/>
      <c r="BV850" s="65"/>
    </row>
    <row r="851" spans="45:74" x14ac:dyDescent="0.25">
      <c r="AS851" s="53"/>
      <c r="AZ851" s="65"/>
      <c r="BB851" s="65"/>
      <c r="BD851" s="54"/>
      <c r="BO851" s="65"/>
      <c r="BP851" s="65"/>
      <c r="BQ851" s="65"/>
      <c r="BR851" s="65"/>
      <c r="BS851" s="65"/>
      <c r="BT851" s="65"/>
      <c r="BU851" s="65"/>
      <c r="BV851" s="65"/>
    </row>
    <row r="852" spans="45:74" x14ac:dyDescent="0.25">
      <c r="AS852" s="53"/>
      <c r="AZ852" s="65"/>
      <c r="BB852" s="65"/>
      <c r="BD852" s="54"/>
      <c r="BO852" s="65"/>
      <c r="BP852" s="65"/>
      <c r="BQ852" s="65"/>
      <c r="BR852" s="65"/>
      <c r="BS852" s="65"/>
      <c r="BT852" s="65"/>
      <c r="BU852" s="65"/>
      <c r="BV852" s="65"/>
    </row>
    <row r="853" spans="45:74" x14ac:dyDescent="0.25">
      <c r="AS853" s="54"/>
      <c r="AZ853" s="65"/>
      <c r="BB853" s="65"/>
      <c r="BD853" s="54"/>
      <c r="BO853" s="65"/>
      <c r="BP853" s="65"/>
      <c r="BQ853" s="65"/>
      <c r="BR853" s="65"/>
      <c r="BS853" s="65"/>
      <c r="BT853" s="65"/>
      <c r="BU853" s="65"/>
      <c r="BV853" s="65"/>
    </row>
    <row r="854" spans="45:74" x14ac:dyDescent="0.25">
      <c r="AZ854" s="65"/>
      <c r="BB854" s="65"/>
      <c r="BD854" s="53"/>
      <c r="BO854" s="65"/>
      <c r="BP854" s="65"/>
      <c r="BQ854" s="65"/>
      <c r="BR854" s="65"/>
      <c r="BS854" s="65"/>
      <c r="BT854" s="65"/>
      <c r="BU854" s="65"/>
      <c r="BV854" s="65"/>
    </row>
    <row r="855" spans="45:74" x14ac:dyDescent="0.25">
      <c r="AS855" s="55"/>
      <c r="AT855" s="55"/>
      <c r="AU855" s="55"/>
      <c r="AV855" s="55"/>
      <c r="AW855" s="55"/>
      <c r="AX855" s="55"/>
      <c r="AY855" s="55"/>
      <c r="AZ855" s="66"/>
      <c r="BA855" s="55"/>
      <c r="BB855" s="66"/>
      <c r="BC855" s="55"/>
      <c r="BD855" s="55"/>
      <c r="BE855" s="55"/>
      <c r="BO855" s="65"/>
      <c r="BP855" s="65"/>
      <c r="BQ855" s="65"/>
      <c r="BR855" s="65"/>
      <c r="BS855" s="65"/>
      <c r="BT855" s="65"/>
      <c r="BU855" s="65"/>
      <c r="BV855" s="65"/>
    </row>
    <row r="856" spans="45:74" x14ac:dyDescent="0.25">
      <c r="AX856" s="54"/>
      <c r="AZ856" s="65"/>
      <c r="BB856" s="65"/>
      <c r="BO856" s="65"/>
      <c r="BP856" s="65"/>
      <c r="BQ856" s="65"/>
      <c r="BR856" s="65"/>
      <c r="BS856" s="65"/>
      <c r="BT856" s="65"/>
      <c r="BU856" s="65"/>
      <c r="BV856" s="65"/>
    </row>
    <row r="857" spans="45:74" x14ac:dyDescent="0.25">
      <c r="AX857" s="55"/>
      <c r="AY857" s="55"/>
      <c r="AZ857" s="66"/>
      <c r="BA857" s="55"/>
      <c r="BB857" s="65"/>
      <c r="BC857" s="56"/>
      <c r="BD857" s="56"/>
      <c r="BO857" s="65"/>
      <c r="BP857" s="65"/>
      <c r="BQ857" s="65"/>
      <c r="BR857" s="65"/>
      <c r="BS857" s="65"/>
      <c r="BT857" s="65"/>
      <c r="BU857" s="65"/>
      <c r="BV857" s="65"/>
    </row>
    <row r="858" spans="45:74" x14ac:dyDescent="0.25">
      <c r="AV858" s="56"/>
      <c r="AW858" s="56"/>
      <c r="AZ858" s="67"/>
      <c r="BA858" s="56"/>
      <c r="BB858" s="65"/>
      <c r="BC858" s="56"/>
      <c r="BD858" s="56"/>
      <c r="BE858" s="56"/>
      <c r="BG858" s="55"/>
      <c r="BH858" s="54"/>
      <c r="BK858" s="55"/>
      <c r="BM858" s="55"/>
      <c r="BN858" s="54"/>
      <c r="BQ858" s="55"/>
    </row>
    <row r="859" spans="45:74" x14ac:dyDescent="0.25">
      <c r="AV859" s="56"/>
      <c r="AW859" s="56"/>
      <c r="AX859" s="56"/>
      <c r="AY859" s="56"/>
      <c r="AZ859" s="67"/>
      <c r="BA859" s="56"/>
      <c r="BB859" s="67"/>
      <c r="BC859" s="56"/>
      <c r="BD859" s="56"/>
      <c r="BE859" s="56"/>
      <c r="BH859" s="56"/>
      <c r="BI859" s="56"/>
      <c r="BN859" s="56"/>
      <c r="BO859" s="56"/>
    </row>
    <row r="860" spans="45:74" x14ac:dyDescent="0.25">
      <c r="AS860" s="56"/>
      <c r="AU860" s="54"/>
      <c r="AV860" s="56"/>
      <c r="AW860" s="56"/>
      <c r="AX860" s="56"/>
      <c r="AY860" s="56"/>
      <c r="AZ860" s="67"/>
      <c r="BA860" s="56"/>
      <c r="BB860" s="67"/>
      <c r="BC860" s="56"/>
      <c r="BD860" s="56"/>
      <c r="BE860" s="56"/>
      <c r="BG860" s="56"/>
      <c r="BH860" s="56"/>
      <c r="BI860" s="56"/>
      <c r="BJ860" s="56"/>
      <c r="BK860" s="56"/>
      <c r="BM860" s="56"/>
      <c r="BN860" s="56"/>
      <c r="BO860" s="56"/>
      <c r="BP860" s="56"/>
      <c r="BQ860" s="56"/>
    </row>
    <row r="861" spans="45:74" x14ac:dyDescent="0.25">
      <c r="AS861" s="56"/>
      <c r="AU861" s="54"/>
      <c r="AV861" s="56"/>
      <c r="AW861" s="56"/>
      <c r="AX861" s="56"/>
      <c r="AY861" s="56"/>
      <c r="AZ861" s="67"/>
      <c r="BA861" s="56"/>
      <c r="BB861" s="67"/>
      <c r="BC861" s="56"/>
      <c r="BD861" s="56"/>
      <c r="BE861" s="56"/>
      <c r="BG861" s="56"/>
      <c r="BH861" s="56"/>
      <c r="BI861" s="56"/>
      <c r="BJ861" s="56"/>
      <c r="BK861" s="56"/>
      <c r="BM861" s="56"/>
      <c r="BN861" s="56"/>
      <c r="BO861" s="56"/>
      <c r="BP861" s="56"/>
      <c r="BQ861" s="56"/>
    </row>
    <row r="862" spans="45:74" x14ac:dyDescent="0.25">
      <c r="AS862" s="55"/>
      <c r="AT862" s="55"/>
      <c r="AU862" s="55"/>
      <c r="AV862" s="55"/>
      <c r="AW862" s="55"/>
      <c r="AX862" s="55"/>
      <c r="AY862" s="55"/>
      <c r="AZ862" s="66"/>
      <c r="BA862" s="55"/>
      <c r="BB862" s="66"/>
      <c r="BC862" s="55"/>
      <c r="BD862" s="55"/>
      <c r="BE862" s="55"/>
      <c r="BG862" s="55"/>
      <c r="BH862" s="55"/>
      <c r="BI862" s="55"/>
      <c r="BJ862" s="55"/>
      <c r="BK862" s="55"/>
      <c r="BM862" s="55"/>
      <c r="BN862" s="55"/>
      <c r="BO862" s="55"/>
      <c r="BP862" s="55"/>
      <c r="BQ862" s="55"/>
    </row>
    <row r="863" spans="45:74" x14ac:dyDescent="0.25">
      <c r="AV863" s="56"/>
      <c r="AW863" s="56"/>
      <c r="AX863" s="56"/>
      <c r="AY863" s="56"/>
      <c r="AZ863" s="67"/>
      <c r="BA863" s="56"/>
      <c r="BB863" s="67"/>
      <c r="BC863" s="56"/>
      <c r="BD863" s="56"/>
      <c r="BE863" s="56"/>
      <c r="BG863" s="65"/>
      <c r="BH863" s="65"/>
      <c r="BI863" s="65"/>
      <c r="BJ863" s="65"/>
      <c r="BK863" s="65"/>
      <c r="BL863" s="65"/>
      <c r="BM863" s="65"/>
      <c r="BN863" s="65"/>
      <c r="BO863" s="65"/>
      <c r="BP863" s="65"/>
      <c r="BQ863" s="65"/>
    </row>
    <row r="864" spans="45:74" x14ac:dyDescent="0.25">
      <c r="AS864" s="53"/>
      <c r="AT864" s="54"/>
      <c r="AV864" s="379"/>
      <c r="AW864" s="379"/>
      <c r="AX864" s="65"/>
      <c r="AY864" s="65"/>
      <c r="AZ864" s="65"/>
      <c r="BA864" s="60"/>
      <c r="BB864" s="65"/>
      <c r="BC864" s="65"/>
      <c r="BD864" s="65"/>
      <c r="BE864" s="60"/>
      <c r="BG864" s="65"/>
      <c r="BH864" s="65"/>
      <c r="BI864" s="65"/>
      <c r="BJ864" s="65"/>
      <c r="BK864" s="65"/>
      <c r="BL864" s="65"/>
      <c r="BM864" s="65"/>
      <c r="BN864" s="65"/>
      <c r="BO864" s="65"/>
      <c r="BP864" s="65"/>
      <c r="BQ864" s="65"/>
      <c r="BR864" s="65"/>
      <c r="BS864" s="65"/>
    </row>
    <row r="865" spans="45:71" x14ac:dyDescent="0.25">
      <c r="AS865" s="53"/>
      <c r="AV865" s="379"/>
      <c r="AW865" s="379"/>
      <c r="AX865" s="65"/>
      <c r="AY865" s="65"/>
      <c r="AZ865" s="65"/>
      <c r="BA865" s="60"/>
      <c r="BB865" s="65"/>
      <c r="BC865" s="65"/>
      <c r="BD865" s="65"/>
      <c r="BE865" s="60"/>
      <c r="BG865" s="65"/>
      <c r="BH865" s="65"/>
      <c r="BI865" s="65"/>
      <c r="BJ865" s="65"/>
      <c r="BK865" s="65"/>
      <c r="BL865" s="65"/>
      <c r="BM865" s="65"/>
      <c r="BN865" s="65"/>
      <c r="BO865" s="65"/>
      <c r="BP865" s="65"/>
      <c r="BQ865" s="65"/>
      <c r="BR865" s="65"/>
      <c r="BS865" s="65"/>
    </row>
    <row r="866" spans="45:71" x14ac:dyDescent="0.25">
      <c r="AS866" s="53"/>
      <c r="AV866" s="379"/>
      <c r="AW866" s="379"/>
      <c r="AX866" s="65"/>
      <c r="AY866" s="65"/>
      <c r="AZ866" s="65"/>
      <c r="BA866" s="60"/>
      <c r="BB866" s="65"/>
      <c r="BC866" s="65"/>
      <c r="BD866" s="65"/>
      <c r="BE866" s="60"/>
      <c r="BG866" s="65"/>
      <c r="BH866" s="65"/>
      <c r="BI866" s="65"/>
      <c r="BJ866" s="65"/>
      <c r="BK866" s="65"/>
      <c r="BL866" s="65"/>
      <c r="BM866" s="65"/>
      <c r="BN866" s="65"/>
      <c r="BO866" s="65"/>
      <c r="BP866" s="65"/>
      <c r="BQ866" s="65"/>
      <c r="BR866" s="65"/>
      <c r="BS866" s="65"/>
    </row>
    <row r="867" spans="45:71" x14ac:dyDescent="0.25">
      <c r="AS867" s="53"/>
      <c r="AV867" s="379"/>
      <c r="AW867" s="379"/>
      <c r="AX867" s="65"/>
      <c r="AY867" s="65"/>
      <c r="AZ867" s="65"/>
      <c r="BA867" s="60"/>
      <c r="BB867" s="65"/>
      <c r="BC867" s="65"/>
      <c r="BD867" s="65"/>
      <c r="BE867" s="60"/>
      <c r="BG867" s="65"/>
      <c r="BH867" s="65"/>
      <c r="BI867" s="65"/>
      <c r="BJ867" s="65"/>
      <c r="BK867" s="65"/>
      <c r="BL867" s="65"/>
      <c r="BM867" s="65"/>
      <c r="BN867" s="65"/>
      <c r="BO867" s="65"/>
      <c r="BP867" s="65"/>
      <c r="BQ867" s="65"/>
      <c r="BR867" s="65"/>
      <c r="BS867" s="65"/>
    </row>
    <row r="868" spans="45:71" x14ac:dyDescent="0.25">
      <c r="AS868" s="53"/>
      <c r="AV868" s="379"/>
      <c r="AW868" s="379"/>
      <c r="AX868" s="65"/>
      <c r="AY868" s="65"/>
      <c r="AZ868" s="65"/>
      <c r="BA868" s="60"/>
      <c r="BB868" s="65"/>
      <c r="BC868" s="65"/>
      <c r="BD868" s="65"/>
      <c r="BE868" s="60"/>
      <c r="BG868" s="65"/>
      <c r="BH868" s="65"/>
      <c r="BI868" s="65"/>
      <c r="BJ868" s="65"/>
      <c r="BK868" s="65"/>
      <c r="BL868" s="65"/>
      <c r="BM868" s="65"/>
      <c r="BN868" s="65"/>
      <c r="BO868" s="65"/>
      <c r="BP868" s="65"/>
      <c r="BQ868" s="65"/>
      <c r="BR868" s="65"/>
      <c r="BS868" s="65"/>
    </row>
    <row r="869" spans="45:71" x14ac:dyDescent="0.25">
      <c r="AS869" s="53"/>
      <c r="AV869" s="379"/>
      <c r="AW869" s="379"/>
      <c r="AX869" s="65"/>
      <c r="AY869" s="65"/>
      <c r="AZ869" s="65"/>
      <c r="BA869" s="60"/>
      <c r="BB869" s="65"/>
      <c r="BC869" s="65"/>
      <c r="BD869" s="65"/>
      <c r="BE869" s="60"/>
      <c r="BG869" s="65"/>
      <c r="BH869" s="65"/>
      <c r="BI869" s="65"/>
      <c r="BJ869" s="65"/>
      <c r="BK869" s="65"/>
      <c r="BL869" s="65"/>
      <c r="BM869" s="65"/>
      <c r="BN869" s="65"/>
      <c r="BO869" s="65"/>
      <c r="BP869" s="65"/>
      <c r="BQ869" s="65"/>
      <c r="BR869" s="65"/>
      <c r="BS869" s="65"/>
    </row>
    <row r="870" spans="45:71" x14ac:dyDescent="0.25">
      <c r="AS870" s="53"/>
      <c r="AV870" s="379"/>
      <c r="AW870" s="379"/>
      <c r="AX870" s="65"/>
      <c r="AY870" s="65"/>
      <c r="AZ870" s="65"/>
      <c r="BA870" s="60"/>
      <c r="BB870" s="65"/>
      <c r="BC870" s="65"/>
      <c r="BD870" s="65"/>
      <c r="BE870" s="60"/>
      <c r="BG870" s="65"/>
      <c r="BH870" s="65"/>
      <c r="BI870" s="65"/>
      <c r="BJ870" s="65"/>
      <c r="BK870" s="65"/>
      <c r="BL870" s="65"/>
      <c r="BM870" s="65"/>
      <c r="BN870" s="65"/>
      <c r="BO870" s="65"/>
      <c r="BP870" s="65"/>
      <c r="BQ870" s="65"/>
      <c r="BR870" s="65"/>
      <c r="BS870" s="65"/>
    </row>
    <row r="871" spans="45:71" x14ac:dyDescent="0.25">
      <c r="AS871" s="53"/>
      <c r="AV871" s="379"/>
      <c r="AW871" s="379"/>
      <c r="AX871" s="65"/>
      <c r="AY871" s="65"/>
      <c r="AZ871" s="65"/>
      <c r="BA871" s="60"/>
      <c r="BB871" s="65"/>
      <c r="BC871" s="65"/>
      <c r="BD871" s="65"/>
      <c r="BE871" s="60"/>
      <c r="BG871" s="65"/>
      <c r="BH871" s="65"/>
      <c r="BI871" s="65"/>
      <c r="BJ871" s="65"/>
      <c r="BK871" s="65"/>
      <c r="BL871" s="65"/>
      <c r="BM871" s="65"/>
      <c r="BN871" s="65"/>
      <c r="BO871" s="65"/>
      <c r="BP871" s="65"/>
      <c r="BQ871" s="65"/>
      <c r="BR871" s="65"/>
      <c r="BS871" s="65"/>
    </row>
    <row r="872" spans="45:71" x14ac:dyDescent="0.25">
      <c r="AS872" s="53"/>
      <c r="AV872" s="379"/>
      <c r="AW872" s="379"/>
      <c r="AX872" s="65"/>
      <c r="AY872" s="65"/>
      <c r="AZ872" s="65"/>
      <c r="BA872" s="60"/>
      <c r="BB872" s="65"/>
      <c r="BC872" s="65"/>
      <c r="BD872" s="65"/>
      <c r="BE872" s="60"/>
      <c r="BG872" s="65"/>
      <c r="BH872" s="65"/>
      <c r="BI872" s="65"/>
      <c r="BJ872" s="65"/>
      <c r="BK872" s="65"/>
      <c r="BL872" s="65"/>
      <c r="BM872" s="65"/>
      <c r="BN872" s="65"/>
      <c r="BO872" s="65"/>
      <c r="BP872" s="65"/>
      <c r="BQ872" s="65"/>
      <c r="BR872" s="65"/>
      <c r="BS872" s="65"/>
    </row>
    <row r="873" spans="45:71" x14ac:dyDescent="0.25">
      <c r="AS873" s="53"/>
      <c r="AV873" s="379"/>
      <c r="AW873" s="379"/>
      <c r="AX873" s="65"/>
      <c r="AY873" s="65"/>
      <c r="AZ873" s="65"/>
      <c r="BA873" s="60"/>
      <c r="BB873" s="65"/>
      <c r="BC873" s="65"/>
      <c r="BD873" s="65"/>
      <c r="BE873" s="60"/>
      <c r="BG873" s="65"/>
      <c r="BH873" s="65"/>
      <c r="BI873" s="65"/>
      <c r="BJ873" s="65"/>
      <c r="BK873" s="65"/>
      <c r="BL873" s="65"/>
      <c r="BM873" s="65"/>
      <c r="BN873" s="65"/>
      <c r="BO873" s="65"/>
      <c r="BP873" s="65"/>
      <c r="BQ873" s="65"/>
      <c r="BR873" s="65"/>
      <c r="BS873" s="65"/>
    </row>
    <row r="874" spans="45:71" x14ac:dyDescent="0.25">
      <c r="AS874" s="53"/>
      <c r="AV874" s="379"/>
      <c r="AW874" s="379"/>
      <c r="AX874" s="65"/>
      <c r="AY874" s="65"/>
      <c r="AZ874" s="65"/>
      <c r="BA874" s="60"/>
      <c r="BB874" s="65"/>
      <c r="BC874" s="65"/>
      <c r="BD874" s="65"/>
      <c r="BE874" s="60"/>
      <c r="BG874" s="65"/>
      <c r="BH874" s="65"/>
      <c r="BI874" s="65"/>
      <c r="BJ874" s="65"/>
      <c r="BK874" s="65"/>
      <c r="BL874" s="65"/>
      <c r="BM874" s="65"/>
      <c r="BN874" s="65"/>
      <c r="BO874" s="65"/>
      <c r="BP874" s="65"/>
      <c r="BQ874" s="65"/>
      <c r="BR874" s="65"/>
      <c r="BS874" s="65"/>
    </row>
    <row r="875" spans="45:71" x14ac:dyDescent="0.25">
      <c r="AS875" s="53"/>
      <c r="AV875" s="379"/>
      <c r="AW875" s="379"/>
      <c r="AX875" s="65"/>
      <c r="AY875" s="65"/>
      <c r="AZ875" s="65"/>
      <c r="BA875" s="60"/>
      <c r="BB875" s="65"/>
      <c r="BC875" s="65"/>
      <c r="BD875" s="65"/>
      <c r="BE875" s="60"/>
      <c r="BG875" s="65"/>
      <c r="BH875" s="65"/>
      <c r="BI875" s="65"/>
      <c r="BJ875" s="65"/>
      <c r="BK875" s="65"/>
      <c r="BL875" s="65"/>
      <c r="BM875" s="65"/>
      <c r="BN875" s="65"/>
      <c r="BO875" s="65"/>
      <c r="BP875" s="65"/>
      <c r="BQ875" s="65"/>
      <c r="BR875" s="65"/>
      <c r="BS875" s="65"/>
    </row>
    <row r="876" spans="45:71" x14ac:dyDescent="0.25">
      <c r="AS876" s="53"/>
      <c r="AV876" s="379"/>
      <c r="AW876" s="379"/>
      <c r="AX876" s="65"/>
      <c r="AY876" s="65"/>
      <c r="AZ876" s="65"/>
      <c r="BA876" s="60"/>
      <c r="BB876" s="65"/>
      <c r="BC876" s="65"/>
      <c r="BD876" s="65"/>
      <c r="BE876" s="60"/>
      <c r="BG876" s="65"/>
      <c r="BH876" s="65"/>
      <c r="BI876" s="65"/>
      <c r="BJ876" s="65"/>
      <c r="BK876" s="65"/>
      <c r="BL876" s="65"/>
      <c r="BM876" s="65"/>
      <c r="BN876" s="65"/>
      <c r="BO876" s="65"/>
      <c r="BP876" s="65"/>
      <c r="BQ876" s="65"/>
      <c r="BR876" s="65"/>
      <c r="BS876" s="65"/>
    </row>
    <row r="877" spans="45:71" x14ac:dyDescent="0.25">
      <c r="AS877" s="53"/>
      <c r="AV877" s="379"/>
      <c r="AW877" s="379"/>
      <c r="AX877" s="65"/>
      <c r="AY877" s="65"/>
      <c r="AZ877" s="65"/>
      <c r="BA877" s="60"/>
      <c r="BB877" s="65"/>
      <c r="BC877" s="65"/>
      <c r="BD877" s="65"/>
      <c r="BE877" s="60"/>
      <c r="BG877" s="65"/>
      <c r="BH877" s="65"/>
      <c r="BI877" s="65"/>
      <c r="BJ877" s="65"/>
      <c r="BK877" s="65"/>
      <c r="BL877" s="65"/>
      <c r="BM877" s="65"/>
      <c r="BN877" s="65"/>
      <c r="BO877" s="65"/>
      <c r="BP877" s="65"/>
      <c r="BQ877" s="65"/>
      <c r="BR877" s="65"/>
      <c r="BS877" s="65"/>
    </row>
    <row r="878" spans="45:71" x14ac:dyDescent="0.25">
      <c r="AS878" s="53"/>
      <c r="AV878" s="379"/>
      <c r="AW878" s="379"/>
      <c r="AX878" s="65"/>
      <c r="AY878" s="65"/>
      <c r="AZ878" s="65"/>
      <c r="BA878" s="60"/>
      <c r="BB878" s="65"/>
      <c r="BC878" s="65"/>
      <c r="BD878" s="65"/>
      <c r="BE878" s="60"/>
      <c r="BG878" s="65"/>
      <c r="BH878" s="65"/>
      <c r="BI878" s="65"/>
      <c r="BJ878" s="65"/>
      <c r="BK878" s="65"/>
      <c r="BL878" s="65"/>
      <c r="BM878" s="65"/>
      <c r="BN878" s="65"/>
      <c r="BO878" s="65"/>
      <c r="BP878" s="65"/>
      <c r="BQ878" s="65"/>
      <c r="BR878" s="65"/>
      <c r="BS878" s="65"/>
    </row>
    <row r="879" spans="45:71" x14ac:dyDescent="0.25">
      <c r="AS879" s="53"/>
      <c r="AV879" s="379"/>
      <c r="AW879" s="379"/>
      <c r="AX879" s="65"/>
      <c r="AY879" s="65"/>
      <c r="AZ879" s="65"/>
      <c r="BA879" s="60"/>
      <c r="BB879" s="65"/>
      <c r="BC879" s="65"/>
      <c r="BD879" s="65"/>
      <c r="BE879" s="60"/>
      <c r="BG879" s="65"/>
      <c r="BH879" s="65"/>
      <c r="BI879" s="65"/>
      <c r="BJ879" s="65"/>
      <c r="BK879" s="65"/>
      <c r="BL879" s="65"/>
      <c r="BM879" s="65"/>
      <c r="BN879" s="65"/>
      <c r="BO879" s="65"/>
      <c r="BP879" s="65"/>
      <c r="BQ879" s="65"/>
      <c r="BR879" s="65"/>
      <c r="BS879" s="65"/>
    </row>
    <row r="880" spans="45:71" x14ac:dyDescent="0.25">
      <c r="AS880" s="53"/>
      <c r="AV880" s="379"/>
      <c r="AW880" s="379"/>
      <c r="AX880" s="65"/>
      <c r="AY880" s="65"/>
      <c r="AZ880" s="65"/>
      <c r="BA880" s="60"/>
      <c r="BB880" s="65"/>
      <c r="BC880" s="65"/>
      <c r="BD880" s="65"/>
      <c r="BE880" s="60"/>
      <c r="BG880" s="65"/>
      <c r="BH880" s="65"/>
      <c r="BI880" s="65"/>
      <c r="BJ880" s="65"/>
      <c r="BK880" s="65"/>
      <c r="BL880" s="65"/>
      <c r="BM880" s="65"/>
      <c r="BN880" s="65"/>
      <c r="BO880" s="65"/>
      <c r="BP880" s="65"/>
      <c r="BQ880" s="65"/>
      <c r="BR880" s="65"/>
      <c r="BS880" s="65"/>
    </row>
    <row r="881" spans="45:71" x14ac:dyDescent="0.25">
      <c r="AS881" s="53"/>
      <c r="AV881" s="379"/>
      <c r="AW881" s="379"/>
      <c r="AX881" s="65"/>
      <c r="AY881" s="65"/>
      <c r="AZ881" s="65"/>
      <c r="BA881" s="60"/>
      <c r="BB881" s="65"/>
      <c r="BC881" s="65"/>
      <c r="BD881" s="65"/>
      <c r="BE881" s="60"/>
      <c r="BG881" s="65"/>
      <c r="BH881" s="65"/>
      <c r="BI881" s="65"/>
      <c r="BJ881" s="65"/>
      <c r="BK881" s="65"/>
      <c r="BL881" s="65"/>
      <c r="BM881" s="65"/>
      <c r="BN881" s="65"/>
      <c r="BO881" s="65"/>
      <c r="BP881" s="65"/>
      <c r="BQ881" s="65"/>
      <c r="BR881" s="65"/>
      <c r="BS881" s="65"/>
    </row>
    <row r="882" spans="45:71" x14ac:dyDescent="0.25">
      <c r="AZ882" s="65"/>
      <c r="BB882" s="65"/>
      <c r="BC882" s="65"/>
      <c r="BD882" s="65"/>
      <c r="BG882" s="65"/>
      <c r="BH882" s="65"/>
      <c r="BI882" s="65"/>
      <c r="BJ882" s="65"/>
      <c r="BK882" s="65"/>
      <c r="BL882" s="65"/>
      <c r="BM882" s="65"/>
      <c r="BN882" s="65"/>
      <c r="BO882" s="65"/>
      <c r="BP882" s="65"/>
      <c r="BQ882" s="65"/>
      <c r="BR882" s="65"/>
      <c r="BS882" s="65"/>
    </row>
    <row r="883" spans="45:71" x14ac:dyDescent="0.25">
      <c r="AS883" s="53"/>
      <c r="AT883" s="54"/>
      <c r="AV883" s="379"/>
      <c r="AW883" s="379"/>
      <c r="AX883" s="65"/>
      <c r="AY883" s="65"/>
      <c r="AZ883" s="65"/>
      <c r="BA883" s="60"/>
      <c r="BB883" s="65"/>
      <c r="BC883" s="65"/>
      <c r="BD883" s="65"/>
      <c r="BE883" s="60"/>
    </row>
    <row r="884" spans="45:71" x14ac:dyDescent="0.25">
      <c r="AS884" s="53"/>
      <c r="AV884" s="379"/>
      <c r="AW884" s="379"/>
      <c r="AX884" s="65"/>
      <c r="AY884" s="65"/>
      <c r="AZ884" s="65"/>
      <c r="BA884" s="60"/>
      <c r="BB884" s="65"/>
      <c r="BC884" s="65"/>
      <c r="BD884" s="65"/>
      <c r="BE884" s="60"/>
    </row>
    <row r="885" spans="45:71" x14ac:dyDescent="0.25">
      <c r="AS885" s="53"/>
      <c r="AV885" s="379"/>
      <c r="AW885" s="379"/>
      <c r="AX885" s="65"/>
      <c r="AY885" s="65"/>
      <c r="AZ885" s="65"/>
      <c r="BA885" s="60"/>
      <c r="BB885" s="65"/>
      <c r="BC885" s="65"/>
      <c r="BD885" s="65"/>
      <c r="BE885" s="60"/>
    </row>
    <row r="886" spans="45:71" x14ac:dyDescent="0.25">
      <c r="AS886" s="53"/>
      <c r="AV886" s="379"/>
      <c r="AW886" s="379"/>
      <c r="AX886" s="65"/>
      <c r="AY886" s="65"/>
      <c r="AZ886" s="65"/>
      <c r="BA886" s="60"/>
      <c r="BB886" s="65"/>
      <c r="BC886" s="65"/>
      <c r="BD886" s="65"/>
      <c r="BE886" s="60"/>
    </row>
    <row r="887" spans="45:71" x14ac:dyDescent="0.25">
      <c r="AS887" s="53"/>
      <c r="AV887" s="379"/>
      <c r="AW887" s="379"/>
      <c r="AX887" s="65"/>
      <c r="AY887" s="65"/>
      <c r="AZ887" s="65"/>
      <c r="BA887" s="60"/>
      <c r="BB887" s="65"/>
      <c r="BC887" s="65"/>
      <c r="BD887" s="65"/>
      <c r="BE887" s="60"/>
    </row>
    <row r="888" spans="45:71" x14ac:dyDescent="0.25">
      <c r="AS888" s="53"/>
      <c r="AV888" s="379"/>
      <c r="AW888" s="379"/>
      <c r="AX888" s="65"/>
      <c r="AY888" s="65"/>
      <c r="AZ888" s="65"/>
      <c r="BA888" s="60"/>
      <c r="BB888" s="65"/>
      <c r="BC888" s="65"/>
      <c r="BD888" s="65"/>
      <c r="BE888" s="60"/>
    </row>
    <row r="889" spans="45:71" x14ac:dyDescent="0.25">
      <c r="AS889" s="53"/>
      <c r="AV889" s="379"/>
      <c r="AW889" s="379"/>
      <c r="AX889" s="65"/>
      <c r="AY889" s="65"/>
      <c r="AZ889" s="65"/>
      <c r="BA889" s="60"/>
      <c r="BB889" s="65"/>
      <c r="BC889" s="65"/>
      <c r="BD889" s="65"/>
      <c r="BE889" s="60"/>
    </row>
    <row r="890" spans="45:71" x14ac:dyDescent="0.25">
      <c r="AS890" s="53"/>
      <c r="AV890" s="379"/>
      <c r="AW890" s="379"/>
      <c r="AX890" s="65"/>
      <c r="AY890" s="65"/>
      <c r="AZ890" s="65"/>
      <c r="BA890" s="60"/>
      <c r="BB890" s="65"/>
      <c r="BC890" s="65"/>
      <c r="BD890" s="65"/>
      <c r="BE890" s="60"/>
    </row>
    <row r="891" spans="45:71" x14ac:dyDescent="0.25">
      <c r="AS891" s="53"/>
      <c r="AV891" s="379"/>
      <c r="AW891" s="379"/>
      <c r="AX891" s="65"/>
      <c r="AY891" s="65"/>
      <c r="AZ891" s="65"/>
      <c r="BA891" s="60"/>
      <c r="BB891" s="65"/>
      <c r="BC891" s="65"/>
      <c r="BD891" s="65"/>
      <c r="BE891" s="60"/>
    </row>
    <row r="892" spans="45:71" x14ac:dyDescent="0.25">
      <c r="AS892" s="53"/>
      <c r="AV892" s="379"/>
      <c r="AW892" s="379"/>
      <c r="AX892" s="65"/>
      <c r="AY892" s="65"/>
      <c r="AZ892" s="65"/>
      <c r="BA892" s="60"/>
      <c r="BB892" s="65"/>
      <c r="BC892" s="65"/>
      <c r="BD892" s="65"/>
      <c r="BE892" s="60"/>
    </row>
    <row r="893" spans="45:71" x14ac:dyDescent="0.25">
      <c r="AS893" s="53"/>
      <c r="AV893" s="379"/>
      <c r="AW893" s="379"/>
      <c r="AX893" s="65"/>
      <c r="AY893" s="65"/>
      <c r="AZ893" s="65"/>
      <c r="BA893" s="60"/>
      <c r="BB893" s="65"/>
      <c r="BC893" s="65"/>
      <c r="BD893" s="65"/>
      <c r="BE893" s="60"/>
    </row>
    <row r="894" spans="45:71" x14ac:dyDescent="0.25">
      <c r="AS894" s="53"/>
      <c r="AV894" s="379"/>
      <c r="AW894" s="379"/>
      <c r="AX894" s="65"/>
      <c r="AY894" s="65"/>
      <c r="AZ894" s="65"/>
      <c r="BA894" s="60"/>
      <c r="BB894" s="65"/>
      <c r="BC894" s="65"/>
      <c r="BD894" s="65"/>
      <c r="BE894" s="60"/>
    </row>
    <row r="895" spans="45:71" x14ac:dyDescent="0.25">
      <c r="AS895" s="53"/>
      <c r="AV895" s="379"/>
      <c r="AW895" s="379"/>
      <c r="AX895" s="65"/>
      <c r="AY895" s="65"/>
      <c r="AZ895" s="65"/>
      <c r="BA895" s="60"/>
      <c r="BB895" s="65"/>
      <c r="BC895" s="65"/>
      <c r="BD895" s="65"/>
      <c r="BE895" s="60"/>
    </row>
    <row r="896" spans="45:71" x14ac:dyDescent="0.25">
      <c r="AS896" s="53"/>
      <c r="AV896" s="379"/>
      <c r="AW896" s="379"/>
      <c r="AX896" s="65"/>
      <c r="AY896" s="65"/>
      <c r="AZ896" s="65"/>
      <c r="BA896" s="60"/>
      <c r="BB896" s="65"/>
      <c r="BC896" s="65"/>
      <c r="BD896" s="65"/>
      <c r="BE896" s="60"/>
    </row>
    <row r="897" spans="45:57" x14ac:dyDescent="0.25">
      <c r="AS897" s="53"/>
      <c r="AV897" s="379"/>
      <c r="AW897" s="379"/>
      <c r="AX897" s="65"/>
      <c r="AY897" s="65"/>
      <c r="AZ897" s="65"/>
      <c r="BA897" s="60"/>
      <c r="BB897" s="65"/>
      <c r="BC897" s="65"/>
      <c r="BD897" s="65"/>
      <c r="BE897" s="60"/>
    </row>
    <row r="898" spans="45:57" x14ac:dyDescent="0.25">
      <c r="AS898" s="53"/>
      <c r="AV898" s="379"/>
      <c r="AW898" s="379"/>
      <c r="AX898" s="65"/>
      <c r="AY898" s="65"/>
      <c r="AZ898" s="65"/>
      <c r="BA898" s="60"/>
      <c r="BB898" s="65"/>
      <c r="BC898" s="65"/>
      <c r="BD898" s="65"/>
      <c r="BE898" s="60"/>
    </row>
    <row r="899" spans="45:57" x14ac:dyDescent="0.25">
      <c r="AS899" s="53"/>
      <c r="AV899" s="379"/>
      <c r="AW899" s="379"/>
      <c r="AX899" s="65"/>
      <c r="AY899" s="65"/>
      <c r="AZ899" s="65"/>
      <c r="BA899" s="60"/>
      <c r="BB899" s="65"/>
      <c r="BC899" s="65"/>
      <c r="BD899" s="65"/>
      <c r="BE899" s="60"/>
    </row>
    <row r="900" spans="45:57" x14ac:dyDescent="0.25">
      <c r="AS900" s="53"/>
      <c r="AV900" s="379"/>
      <c r="AW900" s="379"/>
      <c r="AX900" s="65"/>
      <c r="AY900" s="65"/>
      <c r="AZ900" s="65"/>
      <c r="BA900" s="60"/>
      <c r="BB900" s="65"/>
      <c r="BC900" s="65"/>
      <c r="BD900" s="65"/>
      <c r="BE900" s="60"/>
    </row>
    <row r="901" spans="45:57" x14ac:dyDescent="0.25">
      <c r="BB901" s="65"/>
    </row>
    <row r="902" spans="45:57" x14ac:dyDescent="0.25">
      <c r="AU902" s="54"/>
      <c r="BB902" s="65"/>
    </row>
    <row r="903" spans="45:57" x14ac:dyDescent="0.25">
      <c r="AU903" s="54"/>
    </row>
    <row r="904" spans="45:57" x14ac:dyDescent="0.25">
      <c r="AU904" s="54"/>
      <c r="BB904" s="65"/>
    </row>
    <row r="905" spans="45:57" x14ac:dyDescent="0.25">
      <c r="AS905" s="54"/>
      <c r="AZ905" s="65"/>
      <c r="BB905" s="65"/>
    </row>
    <row r="906" spans="45:57" x14ac:dyDescent="0.25">
      <c r="AY906" s="53"/>
      <c r="AZ906" s="65"/>
      <c r="BB906" s="65"/>
    </row>
    <row r="907" spans="45:57" x14ac:dyDescent="0.25">
      <c r="AY907" s="65"/>
      <c r="AZ907" s="65"/>
      <c r="BB907" s="65"/>
    </row>
    <row r="908" spans="45:57" x14ac:dyDescent="0.25">
      <c r="AY908" s="54"/>
      <c r="AZ908" s="65"/>
      <c r="BB908" s="65"/>
    </row>
    <row r="909" spans="45:57" x14ac:dyDescent="0.25">
      <c r="AY909" s="54"/>
      <c r="AZ909" s="65"/>
      <c r="BB909" s="65"/>
    </row>
    <row r="910" spans="45:57" x14ac:dyDescent="0.25">
      <c r="AS910" s="53"/>
      <c r="AZ910" s="65"/>
      <c r="BB910" s="65"/>
      <c r="BD910" s="54"/>
    </row>
    <row r="911" spans="45:57" x14ac:dyDescent="0.25">
      <c r="AS911" s="53"/>
      <c r="AZ911" s="65"/>
      <c r="BB911" s="65"/>
      <c r="BD911" s="54"/>
    </row>
    <row r="912" spans="45:57" x14ac:dyDescent="0.25">
      <c r="AS912" s="54"/>
      <c r="AZ912" s="65"/>
      <c r="BB912" s="65"/>
      <c r="BD912" s="54"/>
    </row>
    <row r="913" spans="45:57" x14ac:dyDescent="0.25">
      <c r="AZ913" s="65"/>
      <c r="BB913" s="65"/>
      <c r="BD913" s="53"/>
    </row>
    <row r="914" spans="45:57" x14ac:dyDescent="0.25">
      <c r="AS914" s="55"/>
      <c r="AT914" s="55"/>
      <c r="AU914" s="55"/>
      <c r="AV914" s="55"/>
      <c r="AW914" s="55"/>
      <c r="AX914" s="55"/>
      <c r="AY914" s="55"/>
      <c r="AZ914" s="66"/>
      <c r="BA914" s="55"/>
      <c r="BB914" s="66"/>
      <c r="BC914" s="55"/>
      <c r="BD914" s="55"/>
      <c r="BE914" s="55"/>
    </row>
    <row r="915" spans="45:57" x14ac:dyDescent="0.25">
      <c r="AX915" s="54"/>
      <c r="AZ915" s="65"/>
      <c r="BB915" s="65"/>
    </row>
    <row r="916" spans="45:57" x14ac:dyDescent="0.25">
      <c r="AX916" s="55"/>
      <c r="AY916" s="55"/>
      <c r="AZ916" s="66"/>
      <c r="BA916" s="55"/>
      <c r="BB916" s="65"/>
      <c r="BC916" s="56"/>
      <c r="BD916" s="56"/>
    </row>
    <row r="917" spans="45:57" x14ac:dyDescent="0.25">
      <c r="AV917" s="56"/>
      <c r="AW917" s="56"/>
      <c r="AZ917" s="67"/>
      <c r="BA917" s="56"/>
      <c r="BB917" s="65"/>
      <c r="BC917" s="56"/>
      <c r="BD917" s="56"/>
      <c r="BE917" s="56"/>
    </row>
    <row r="918" spans="45:57" x14ac:dyDescent="0.25">
      <c r="AV918" s="56"/>
      <c r="AW918" s="56"/>
      <c r="AX918" s="56"/>
      <c r="AY918" s="56"/>
      <c r="AZ918" s="67"/>
      <c r="BA918" s="56"/>
      <c r="BB918" s="67"/>
      <c r="BC918" s="56"/>
      <c r="BD918" s="56"/>
      <c r="BE918" s="56"/>
    </row>
    <row r="919" spans="45:57" x14ac:dyDescent="0.25">
      <c r="AS919" s="56"/>
      <c r="AU919" s="54"/>
      <c r="AV919" s="56"/>
      <c r="AW919" s="56"/>
      <c r="AX919" s="56"/>
      <c r="AY919" s="56"/>
      <c r="AZ919" s="67"/>
      <c r="BA919" s="56"/>
      <c r="BB919" s="67"/>
      <c r="BC919" s="56"/>
      <c r="BD919" s="56"/>
      <c r="BE919" s="56"/>
    </row>
    <row r="920" spans="45:57" x14ac:dyDescent="0.25">
      <c r="AS920" s="56"/>
      <c r="AU920" s="54"/>
      <c r="AV920" s="56"/>
      <c r="AW920" s="56"/>
      <c r="AX920" s="56"/>
      <c r="AY920" s="56"/>
      <c r="AZ920" s="67"/>
      <c r="BA920" s="56"/>
      <c r="BB920" s="67"/>
      <c r="BC920" s="56"/>
      <c r="BD920" s="56"/>
      <c r="BE920" s="56"/>
    </row>
    <row r="921" spans="45:57" x14ac:dyDescent="0.25">
      <c r="AS921" s="55"/>
      <c r="AT921" s="55"/>
      <c r="AU921" s="55"/>
      <c r="AV921" s="55"/>
      <c r="AW921" s="55"/>
      <c r="AX921" s="55"/>
      <c r="AY921" s="55"/>
      <c r="AZ921" s="66"/>
      <c r="BA921" s="55"/>
      <c r="BB921" s="66"/>
      <c r="BC921" s="55"/>
      <c r="BD921" s="55"/>
      <c r="BE921" s="55"/>
    </row>
    <row r="922" spans="45:57" x14ac:dyDescent="0.25">
      <c r="AV922" s="56"/>
      <c r="AW922" s="56"/>
      <c r="AX922" s="56"/>
      <c r="AY922" s="56"/>
      <c r="AZ922" s="67"/>
      <c r="BA922" s="56"/>
      <c r="BB922" s="67"/>
      <c r="BC922" s="56"/>
      <c r="BD922" s="56"/>
      <c r="BE922" s="56"/>
    </row>
    <row r="923" spans="45:57" x14ac:dyDescent="0.25">
      <c r="AS923" s="53"/>
      <c r="AT923" s="54"/>
      <c r="AV923" s="379"/>
      <c r="AW923" s="379"/>
      <c r="AX923" s="65"/>
      <c r="AY923" s="65"/>
      <c r="AZ923" s="65"/>
      <c r="BA923" s="60"/>
      <c r="BB923" s="65"/>
      <c r="BC923" s="65"/>
      <c r="BD923" s="65"/>
      <c r="BE923" s="60"/>
    </row>
    <row r="924" spans="45:57" x14ac:dyDescent="0.25">
      <c r="AS924" s="53"/>
      <c r="AV924" s="379"/>
      <c r="AW924" s="379"/>
      <c r="AX924" s="65"/>
      <c r="AY924" s="65"/>
      <c r="AZ924" s="65"/>
      <c r="BA924" s="60"/>
      <c r="BB924" s="65"/>
      <c r="BC924" s="65"/>
      <c r="BD924" s="65"/>
      <c r="BE924" s="60"/>
    </row>
    <row r="925" spans="45:57" x14ac:dyDescent="0.25">
      <c r="AS925" s="53"/>
      <c r="AV925" s="379"/>
      <c r="AW925" s="379"/>
      <c r="AX925" s="65"/>
      <c r="AY925" s="65"/>
      <c r="AZ925" s="65"/>
      <c r="BA925" s="60"/>
      <c r="BB925" s="65"/>
      <c r="BC925" s="65"/>
      <c r="BD925" s="65"/>
      <c r="BE925" s="60"/>
    </row>
    <row r="926" spans="45:57" x14ac:dyDescent="0.25">
      <c r="AS926" s="53"/>
      <c r="AV926" s="379"/>
      <c r="AW926" s="379"/>
      <c r="AX926" s="65"/>
      <c r="AY926" s="65"/>
      <c r="AZ926" s="65"/>
      <c r="BA926" s="60"/>
      <c r="BB926" s="65"/>
      <c r="BC926" s="65"/>
      <c r="BD926" s="65"/>
      <c r="BE926" s="60"/>
    </row>
    <row r="927" spans="45:57" x14ac:dyDescent="0.25">
      <c r="AS927" s="53"/>
      <c r="AV927" s="379"/>
      <c r="AW927" s="379"/>
      <c r="AX927" s="65"/>
      <c r="AY927" s="65"/>
      <c r="AZ927" s="65"/>
      <c r="BA927" s="60"/>
      <c r="BB927" s="65"/>
      <c r="BC927" s="65"/>
      <c r="BD927" s="65"/>
      <c r="BE927" s="60"/>
    </row>
    <row r="928" spans="45:57" x14ac:dyDescent="0.25">
      <c r="AS928" s="53"/>
      <c r="AV928" s="379"/>
      <c r="AW928" s="379"/>
      <c r="AX928" s="65"/>
      <c r="AY928" s="65"/>
      <c r="AZ928" s="65"/>
      <c r="BA928" s="60"/>
      <c r="BB928" s="65"/>
      <c r="BC928" s="65"/>
      <c r="BD928" s="65"/>
      <c r="BE928" s="60"/>
    </row>
    <row r="929" spans="45:57" x14ac:dyDescent="0.25">
      <c r="AS929" s="53"/>
      <c r="AV929" s="379"/>
      <c r="AW929" s="379"/>
      <c r="AX929" s="65"/>
      <c r="AY929" s="65"/>
      <c r="AZ929" s="65"/>
      <c r="BA929" s="60"/>
      <c r="BB929" s="65"/>
      <c r="BC929" s="65"/>
      <c r="BD929" s="65"/>
      <c r="BE929" s="60"/>
    </row>
    <row r="930" spans="45:57" x14ac:dyDescent="0.25">
      <c r="AS930" s="53"/>
      <c r="AV930" s="379"/>
      <c r="AW930" s="379"/>
      <c r="AX930" s="65"/>
      <c r="AY930" s="65"/>
      <c r="AZ930" s="65"/>
      <c r="BA930" s="60"/>
      <c r="BB930" s="65"/>
      <c r="BC930" s="65"/>
      <c r="BD930" s="65"/>
      <c r="BE930" s="60"/>
    </row>
    <row r="931" spans="45:57" x14ac:dyDescent="0.25">
      <c r="AS931" s="53"/>
      <c r="AV931" s="379"/>
      <c r="AW931" s="379"/>
      <c r="AX931" s="65"/>
      <c r="AY931" s="65"/>
      <c r="AZ931" s="65"/>
      <c r="BA931" s="60"/>
      <c r="BB931" s="65"/>
      <c r="BC931" s="65"/>
      <c r="BD931" s="65"/>
      <c r="BE931" s="60"/>
    </row>
    <row r="932" spans="45:57" x14ac:dyDescent="0.25">
      <c r="AS932" s="53"/>
      <c r="AV932" s="379"/>
      <c r="AW932" s="379"/>
      <c r="AX932" s="65"/>
      <c r="AY932" s="65"/>
      <c r="AZ932" s="65"/>
      <c r="BA932" s="60"/>
      <c r="BB932" s="65"/>
      <c r="BC932" s="65"/>
      <c r="BD932" s="65"/>
      <c r="BE932" s="60"/>
    </row>
    <row r="933" spans="45:57" x14ac:dyDescent="0.25">
      <c r="AV933" s="379"/>
      <c r="AW933" s="379"/>
      <c r="BB933" s="65"/>
    </row>
    <row r="934" spans="45:57" x14ac:dyDescent="0.25">
      <c r="AS934" s="53"/>
      <c r="AT934" s="54"/>
      <c r="AV934" s="379"/>
      <c r="AW934" s="379"/>
      <c r="AX934" s="65"/>
      <c r="AY934" s="65"/>
      <c r="AZ934" s="65"/>
      <c r="BA934" s="60"/>
      <c r="BB934" s="65"/>
      <c r="BC934" s="65"/>
      <c r="BD934" s="65"/>
      <c r="BE934" s="60"/>
    </row>
    <row r="935" spans="45:57" x14ac:dyDescent="0.25">
      <c r="AS935" s="53"/>
      <c r="AV935" s="379"/>
      <c r="AW935" s="379"/>
      <c r="AX935" s="65"/>
      <c r="AY935" s="65"/>
      <c r="AZ935" s="65"/>
      <c r="BA935" s="60"/>
      <c r="BB935" s="65"/>
      <c r="BC935" s="65"/>
      <c r="BD935" s="65"/>
      <c r="BE935" s="60"/>
    </row>
    <row r="936" spans="45:57" x14ac:dyDescent="0.25">
      <c r="AS936" s="53"/>
      <c r="AV936" s="379"/>
      <c r="AW936" s="379"/>
      <c r="AX936" s="65"/>
      <c r="AY936" s="65"/>
      <c r="AZ936" s="65"/>
      <c r="BA936" s="60"/>
      <c r="BB936" s="65"/>
      <c r="BC936" s="65"/>
      <c r="BD936" s="65"/>
      <c r="BE936" s="60"/>
    </row>
    <row r="937" spans="45:57" x14ac:dyDescent="0.25">
      <c r="AS937" s="53"/>
      <c r="AV937" s="379"/>
      <c r="AW937" s="379"/>
      <c r="AX937" s="65"/>
      <c r="AY937" s="65"/>
      <c r="AZ937" s="65"/>
      <c r="BA937" s="60"/>
      <c r="BB937" s="65"/>
      <c r="BC937" s="65"/>
      <c r="BD937" s="65"/>
      <c r="BE937" s="60"/>
    </row>
    <row r="938" spans="45:57" x14ac:dyDescent="0.25">
      <c r="AS938" s="53"/>
      <c r="AV938" s="379"/>
      <c r="AW938" s="379"/>
      <c r="AX938" s="65"/>
      <c r="AY938" s="65"/>
      <c r="AZ938" s="65"/>
      <c r="BA938" s="60"/>
      <c r="BB938" s="65"/>
      <c r="BC938" s="65"/>
      <c r="BD938" s="65"/>
      <c r="BE938" s="60"/>
    </row>
    <row r="939" spans="45:57" x14ac:dyDescent="0.25">
      <c r="AS939" s="53"/>
      <c r="AV939" s="379"/>
      <c r="AW939" s="379"/>
      <c r="AX939" s="65"/>
      <c r="AY939" s="65"/>
      <c r="AZ939" s="65"/>
      <c r="BA939" s="60"/>
      <c r="BB939" s="65"/>
      <c r="BC939" s="65"/>
      <c r="BD939" s="65"/>
      <c r="BE939" s="60"/>
    </row>
    <row r="940" spans="45:57" x14ac:dyDescent="0.25">
      <c r="AS940" s="53"/>
      <c r="AV940" s="379"/>
      <c r="AW940" s="379"/>
      <c r="AX940" s="65"/>
      <c r="AY940" s="65"/>
      <c r="AZ940" s="65"/>
      <c r="BA940" s="60"/>
      <c r="BB940" s="65"/>
      <c r="BC940" s="65"/>
      <c r="BD940" s="65"/>
      <c r="BE940" s="60"/>
    </row>
    <row r="941" spans="45:57" x14ac:dyDescent="0.25">
      <c r="AS941" s="53"/>
      <c r="AV941" s="379"/>
      <c r="AW941" s="379"/>
      <c r="AX941" s="65"/>
      <c r="AY941" s="65"/>
      <c r="AZ941" s="65"/>
      <c r="BA941" s="60"/>
      <c r="BB941" s="65"/>
      <c r="BC941" s="65"/>
      <c r="BD941" s="65"/>
      <c r="BE941" s="60"/>
    </row>
    <row r="942" spans="45:57" x14ac:dyDescent="0.25">
      <c r="AS942" s="53"/>
      <c r="AV942" s="379"/>
      <c r="AW942" s="379"/>
      <c r="AX942" s="65"/>
      <c r="AY942" s="65"/>
      <c r="AZ942" s="65"/>
      <c r="BA942" s="60"/>
      <c r="BB942" s="65"/>
      <c r="BC942" s="65"/>
      <c r="BD942" s="65"/>
      <c r="BE942" s="60"/>
    </row>
    <row r="943" spans="45:57" x14ac:dyDescent="0.25">
      <c r="AS943" s="53"/>
      <c r="AV943" s="379"/>
      <c r="AW943" s="379"/>
      <c r="AX943" s="65"/>
      <c r="AY943" s="65"/>
      <c r="AZ943" s="65"/>
      <c r="BA943" s="60"/>
      <c r="BB943" s="65"/>
      <c r="BC943" s="65"/>
      <c r="BD943" s="65"/>
      <c r="BE943" s="60"/>
    </row>
    <row r="945" spans="45:47" x14ac:dyDescent="0.25">
      <c r="AU945" s="54"/>
    </row>
    <row r="946" spans="45:47" x14ac:dyDescent="0.25">
      <c r="AU946" s="54"/>
    </row>
    <row r="947" spans="45:47" x14ac:dyDescent="0.25">
      <c r="AU947" s="54"/>
    </row>
    <row r="948" spans="45:47" x14ac:dyDescent="0.25">
      <c r="AS948" s="54"/>
    </row>
    <row r="969" spans="52:71" x14ac:dyDescent="0.25">
      <c r="AZ969" s="65"/>
      <c r="BB969" s="65"/>
      <c r="BC969" s="65"/>
      <c r="BD969" s="65"/>
      <c r="BG969" s="65"/>
      <c r="BH969" s="65"/>
      <c r="BI969" s="65"/>
      <c r="BJ969" s="65"/>
      <c r="BK969" s="65"/>
      <c r="BL969" s="65"/>
      <c r="BM969" s="65"/>
      <c r="BN969" s="65"/>
      <c r="BO969" s="65"/>
      <c r="BP969" s="65"/>
      <c r="BQ969" s="65"/>
      <c r="BR969" s="65"/>
      <c r="BS969" s="65"/>
    </row>
    <row r="970" spans="52:71" x14ac:dyDescent="0.25">
      <c r="AZ970" s="65"/>
      <c r="BB970" s="65"/>
      <c r="BC970" s="65"/>
      <c r="BD970" s="65"/>
      <c r="BG970" s="65"/>
      <c r="BH970" s="65"/>
      <c r="BI970" s="65"/>
      <c r="BJ970" s="65"/>
      <c r="BK970" s="65"/>
      <c r="BL970" s="65"/>
      <c r="BM970" s="65"/>
      <c r="BN970" s="65"/>
      <c r="BO970" s="65"/>
      <c r="BP970" s="65"/>
      <c r="BQ970" s="65"/>
      <c r="BR970" s="65"/>
      <c r="BS970" s="65"/>
    </row>
    <row r="971" spans="52:71" x14ac:dyDescent="0.25">
      <c r="AZ971" s="65"/>
      <c r="BB971" s="65"/>
      <c r="BC971" s="65"/>
      <c r="BD971" s="65"/>
      <c r="BG971" s="65"/>
      <c r="BH971" s="65"/>
      <c r="BI971" s="65"/>
      <c r="BJ971" s="65"/>
      <c r="BK971" s="65"/>
      <c r="BL971" s="65"/>
      <c r="BM971" s="65"/>
      <c r="BN971" s="65"/>
      <c r="BO971" s="65"/>
      <c r="BP971" s="65"/>
      <c r="BQ971" s="65"/>
      <c r="BR971" s="65"/>
      <c r="BS971" s="65"/>
    </row>
    <row r="972" spans="52:71" x14ac:dyDescent="0.25">
      <c r="AZ972" s="65"/>
      <c r="BB972" s="65"/>
      <c r="BC972" s="65"/>
      <c r="BD972" s="65"/>
      <c r="BG972" s="65"/>
      <c r="BH972" s="65"/>
      <c r="BI972" s="65"/>
      <c r="BJ972" s="65"/>
      <c r="BK972" s="65"/>
      <c r="BL972" s="65"/>
      <c r="BM972" s="65"/>
      <c r="BN972" s="65"/>
      <c r="BO972" s="65"/>
      <c r="BP972" s="65"/>
      <c r="BQ972" s="65"/>
      <c r="BR972" s="65"/>
      <c r="BS972" s="65"/>
    </row>
    <row r="973" spans="52:71" x14ac:dyDescent="0.25">
      <c r="AZ973" s="65"/>
      <c r="BB973" s="65"/>
      <c r="BC973" s="65"/>
      <c r="BD973" s="65"/>
      <c r="BG973" s="65"/>
      <c r="BH973" s="65"/>
      <c r="BI973" s="65"/>
      <c r="BJ973" s="65"/>
      <c r="BK973" s="65"/>
      <c r="BL973" s="65"/>
      <c r="BM973" s="65"/>
      <c r="BN973" s="65"/>
      <c r="BO973" s="65"/>
      <c r="BP973" s="65"/>
      <c r="BQ973" s="65"/>
      <c r="BR973" s="65"/>
      <c r="BS973" s="65"/>
    </row>
    <row r="974" spans="52:71" x14ac:dyDescent="0.25">
      <c r="AZ974" s="65"/>
      <c r="BB974" s="65"/>
      <c r="BC974" s="65"/>
      <c r="BD974" s="65"/>
      <c r="BG974" s="65"/>
      <c r="BH974" s="65"/>
      <c r="BI974" s="65"/>
      <c r="BJ974" s="65"/>
      <c r="BK974" s="65"/>
      <c r="BL974" s="65"/>
      <c r="BM974" s="65"/>
      <c r="BN974" s="65"/>
      <c r="BO974" s="65"/>
      <c r="BP974" s="65"/>
      <c r="BQ974" s="65"/>
      <c r="BR974" s="65"/>
      <c r="BS974" s="65"/>
    </row>
    <row r="975" spans="52:71" x14ac:dyDescent="0.25">
      <c r="AZ975" s="65"/>
      <c r="BB975" s="65"/>
      <c r="BC975" s="65"/>
      <c r="BD975" s="65"/>
      <c r="BG975" s="65"/>
      <c r="BH975" s="65"/>
      <c r="BI975" s="65"/>
      <c r="BJ975" s="65"/>
      <c r="BK975" s="65"/>
      <c r="BL975" s="65"/>
      <c r="BM975" s="65"/>
      <c r="BN975" s="65"/>
      <c r="BO975" s="65"/>
      <c r="BP975" s="65"/>
      <c r="BQ975" s="65"/>
      <c r="BR975" s="65"/>
      <c r="BS975" s="65"/>
    </row>
    <row r="976" spans="52:71" x14ac:dyDescent="0.25">
      <c r="AZ976" s="65"/>
      <c r="BB976" s="65"/>
      <c r="BC976" s="65"/>
      <c r="BD976" s="65"/>
      <c r="BG976" s="65"/>
      <c r="BH976" s="65"/>
      <c r="BI976" s="65"/>
      <c r="BJ976" s="65"/>
      <c r="BK976" s="65"/>
      <c r="BL976" s="65"/>
      <c r="BM976" s="65"/>
      <c r="BN976" s="65"/>
      <c r="BO976" s="65"/>
      <c r="BP976" s="65"/>
      <c r="BQ976" s="65"/>
      <c r="BR976" s="65"/>
      <c r="BS976" s="65"/>
    </row>
    <row r="977" spans="52:71" x14ac:dyDescent="0.25">
      <c r="AZ977" s="65"/>
      <c r="BB977" s="65"/>
      <c r="BC977" s="65"/>
      <c r="BD977" s="65"/>
      <c r="BG977" s="65"/>
      <c r="BH977" s="65"/>
      <c r="BI977" s="65"/>
      <c r="BJ977" s="65"/>
      <c r="BK977" s="65"/>
      <c r="BL977" s="65"/>
      <c r="BM977" s="65"/>
      <c r="BN977" s="65"/>
      <c r="BO977" s="65"/>
      <c r="BP977" s="65"/>
      <c r="BQ977" s="65"/>
      <c r="BR977" s="65"/>
      <c r="BS977" s="65"/>
    </row>
    <row r="978" spans="52:71" x14ac:dyDescent="0.25">
      <c r="AZ978" s="65"/>
      <c r="BB978" s="65"/>
      <c r="BC978" s="65"/>
      <c r="BD978" s="65"/>
      <c r="BG978" s="65"/>
      <c r="BH978" s="65"/>
      <c r="BI978" s="65"/>
      <c r="BJ978" s="65"/>
      <c r="BK978" s="65"/>
      <c r="BL978" s="65"/>
      <c r="BM978" s="65"/>
      <c r="BN978" s="65"/>
      <c r="BO978" s="65"/>
      <c r="BP978" s="65"/>
      <c r="BQ978" s="65"/>
      <c r="BR978" s="65"/>
      <c r="BS978" s="65"/>
    </row>
    <row r="979" spans="52:71" x14ac:dyDescent="0.25">
      <c r="AZ979" s="65"/>
      <c r="BB979" s="65"/>
      <c r="BC979" s="65"/>
      <c r="BD979" s="65"/>
      <c r="BG979" s="65"/>
      <c r="BH979" s="65"/>
      <c r="BI979" s="65"/>
      <c r="BJ979" s="65"/>
      <c r="BK979" s="65"/>
      <c r="BL979" s="65"/>
      <c r="BM979" s="65"/>
      <c r="BN979" s="65"/>
      <c r="BO979" s="65"/>
      <c r="BP979" s="65"/>
      <c r="BQ979" s="65"/>
      <c r="BR979" s="65"/>
      <c r="BS979" s="65"/>
    </row>
    <row r="980" spans="52:71" x14ac:dyDescent="0.25">
      <c r="AZ980" s="65"/>
      <c r="BB980" s="65"/>
      <c r="BC980" s="65"/>
      <c r="BD980" s="65"/>
      <c r="BG980" s="65"/>
      <c r="BH980" s="65"/>
      <c r="BI980" s="65"/>
      <c r="BJ980" s="65"/>
      <c r="BK980" s="65"/>
      <c r="BL980" s="65"/>
      <c r="BM980" s="65"/>
      <c r="BN980" s="65"/>
      <c r="BO980" s="65"/>
      <c r="BP980" s="65"/>
      <c r="BQ980" s="65"/>
      <c r="BR980" s="65"/>
      <c r="BS980" s="65"/>
    </row>
    <row r="981" spans="52:71" x14ac:dyDescent="0.25">
      <c r="AZ981" s="65"/>
      <c r="BG981" s="65"/>
      <c r="BH981" s="65"/>
      <c r="BI981" s="65"/>
      <c r="BJ981" s="65"/>
      <c r="BK981" s="65"/>
      <c r="BL981" s="65"/>
      <c r="BM981" s="65"/>
      <c r="BN981" s="65"/>
      <c r="BO981" s="65"/>
      <c r="BP981" s="65"/>
      <c r="BQ981" s="65"/>
      <c r="BR981" s="65"/>
      <c r="BS981" s="65"/>
    </row>
    <row r="982" spans="52:71" x14ac:dyDescent="0.25">
      <c r="AZ982" s="65"/>
      <c r="BG982" s="65"/>
      <c r="BH982" s="65"/>
      <c r="BI982" s="65"/>
      <c r="BJ982" s="65"/>
      <c r="BK982" s="65"/>
      <c r="BL982" s="65"/>
      <c r="BM982" s="65"/>
      <c r="BN982" s="65"/>
      <c r="BO982" s="65"/>
      <c r="BP982" s="65"/>
      <c r="BQ982" s="65"/>
      <c r="BR982" s="65"/>
      <c r="BS982" s="65"/>
    </row>
    <row r="983" spans="52:71" x14ac:dyDescent="0.25">
      <c r="AZ983" s="65"/>
      <c r="BG983" s="65"/>
      <c r="BH983" s="65"/>
      <c r="BI983" s="65"/>
      <c r="BJ983" s="65"/>
      <c r="BK983" s="65"/>
      <c r="BL983" s="65"/>
      <c r="BM983" s="65"/>
      <c r="BN983" s="65"/>
      <c r="BO983" s="65"/>
      <c r="BP983" s="65"/>
      <c r="BQ983" s="65"/>
      <c r="BR983" s="65"/>
      <c r="BS983" s="65"/>
    </row>
    <row r="984" spans="52:71" x14ac:dyDescent="0.25">
      <c r="AZ984" s="65"/>
      <c r="BG984" s="65"/>
      <c r="BH984" s="65"/>
      <c r="BI984" s="65"/>
      <c r="BJ984" s="65"/>
      <c r="BK984" s="65"/>
      <c r="BL984" s="65"/>
      <c r="BM984" s="65"/>
      <c r="BN984" s="65"/>
      <c r="BO984" s="65"/>
      <c r="BP984" s="65"/>
      <c r="BQ984" s="65"/>
      <c r="BR984" s="65"/>
      <c r="BS984" s="65"/>
    </row>
    <row r="985" spans="52:71" x14ac:dyDescent="0.25">
      <c r="AZ985" s="65"/>
      <c r="BG985" s="65"/>
      <c r="BH985" s="65"/>
      <c r="BI985" s="65"/>
      <c r="BJ985" s="65"/>
      <c r="BK985" s="65"/>
      <c r="BL985" s="65"/>
      <c r="BM985" s="65"/>
      <c r="BN985" s="65"/>
      <c r="BO985" s="65"/>
      <c r="BP985" s="65"/>
      <c r="BQ985" s="65"/>
      <c r="BR985" s="65"/>
      <c r="BS985" s="65"/>
    </row>
    <row r="986" spans="52:71" x14ac:dyDescent="0.25">
      <c r="AZ986" s="65"/>
      <c r="BG986" s="65"/>
      <c r="BH986" s="65"/>
      <c r="BI986" s="65"/>
      <c r="BJ986" s="65"/>
      <c r="BK986" s="65"/>
      <c r="BL986" s="65"/>
      <c r="BM986" s="65"/>
      <c r="BN986" s="65"/>
      <c r="BO986" s="65"/>
      <c r="BP986" s="65"/>
      <c r="BQ986" s="65"/>
      <c r="BR986" s="65"/>
      <c r="BS986" s="65"/>
    </row>
    <row r="987" spans="52:71" x14ac:dyDescent="0.25">
      <c r="AZ987" s="65"/>
      <c r="BG987" s="65"/>
      <c r="BH987" s="65"/>
      <c r="BI987" s="65"/>
      <c r="BJ987" s="65"/>
      <c r="BK987" s="65"/>
      <c r="BL987" s="65"/>
      <c r="BM987" s="65"/>
      <c r="BN987" s="65"/>
      <c r="BO987" s="65"/>
      <c r="BP987" s="65"/>
      <c r="BQ987" s="65"/>
      <c r="BR987" s="65"/>
      <c r="BS987" s="65"/>
    </row>
    <row r="988" spans="52:71" x14ac:dyDescent="0.25">
      <c r="AZ988" s="65"/>
    </row>
    <row r="989" spans="52:71" x14ac:dyDescent="0.25">
      <c r="AZ989" s="65"/>
    </row>
    <row r="1003" spans="1:28" x14ac:dyDescent="0.25">
      <c r="A1003" s="54"/>
    </row>
    <row r="1006" spans="1:28" x14ac:dyDescent="0.25">
      <c r="Y1006" s="54"/>
    </row>
    <row r="1007" spans="1:28" x14ac:dyDescent="0.25">
      <c r="A1007" s="54"/>
      <c r="H1007" s="54"/>
      <c r="I1007" s="54"/>
    </row>
    <row r="1008" spans="1:28" x14ac:dyDescent="0.25">
      <c r="A1008" s="54"/>
      <c r="V1008" s="56"/>
      <c r="AA1008" s="56"/>
      <c r="AB1008" s="56"/>
    </row>
    <row r="1009" spans="1:28" x14ac:dyDescent="0.25">
      <c r="A1009" s="54"/>
      <c r="V1009" s="55"/>
      <c r="AA1009" s="55"/>
      <c r="AB1009" s="55"/>
    </row>
    <row r="1010" spans="1:28" x14ac:dyDescent="0.25">
      <c r="A1010" s="54"/>
      <c r="U1010" s="54"/>
      <c r="AA1010" s="56"/>
      <c r="AB1010" s="56"/>
    </row>
    <row r="1011" spans="1:28" x14ac:dyDescent="0.25">
      <c r="A1011" s="54"/>
    </row>
    <row r="1012" spans="1:28" x14ac:dyDescent="0.25">
      <c r="A1012" s="54"/>
      <c r="U1012" s="54"/>
      <c r="AA1012" s="56"/>
      <c r="AB1012" s="56"/>
    </row>
    <row r="1013" spans="1:28" x14ac:dyDescent="0.25">
      <c r="A1013" s="54"/>
    </row>
    <row r="1014" spans="1:28" x14ac:dyDescent="0.25">
      <c r="A1014" s="54"/>
      <c r="U1014" s="54"/>
      <c r="V1014" s="480"/>
      <c r="AA1014" s="56"/>
      <c r="AB1014" s="56"/>
    </row>
    <row r="1015" spans="1:28" x14ac:dyDescent="0.25">
      <c r="A1015" s="54"/>
    </row>
    <row r="1016" spans="1:28" x14ac:dyDescent="0.25">
      <c r="A1016" s="54"/>
      <c r="U1016" s="54"/>
      <c r="AA1016" s="56"/>
      <c r="AB1016" s="56"/>
    </row>
    <row r="1017" spans="1:28" x14ac:dyDescent="0.25">
      <c r="A1017" s="54"/>
    </row>
    <row r="1018" spans="1:28" x14ac:dyDescent="0.25">
      <c r="A1018" s="54"/>
      <c r="U1018" s="54"/>
      <c r="AA1018" s="56"/>
      <c r="AB1018" s="56"/>
    </row>
    <row r="1019" spans="1:28" x14ac:dyDescent="0.25">
      <c r="A1019" s="54"/>
    </row>
    <row r="1020" spans="1:28" x14ac:dyDescent="0.25">
      <c r="A1020" s="54"/>
    </row>
    <row r="1021" spans="1:28" x14ac:dyDescent="0.25">
      <c r="A1021" s="54"/>
    </row>
    <row r="1022" spans="1:28" x14ac:dyDescent="0.25">
      <c r="A1022" s="54"/>
    </row>
    <row r="1023" spans="1:28" x14ac:dyDescent="0.25">
      <c r="A1023" s="54"/>
    </row>
    <row r="1024" spans="1:28" x14ac:dyDescent="0.25">
      <c r="A1024" s="54"/>
    </row>
    <row r="1025" spans="1:9" x14ac:dyDescent="0.25">
      <c r="A1025" s="54"/>
    </row>
    <row r="1026" spans="1:9" x14ac:dyDescent="0.25">
      <c r="A1026" s="54"/>
    </row>
    <row r="1027" spans="1:9" x14ac:dyDescent="0.25">
      <c r="A1027" s="54"/>
    </row>
    <row r="1028" spans="1:9" x14ac:dyDescent="0.25">
      <c r="A1028" s="54"/>
    </row>
    <row r="1029" spans="1:9" x14ac:dyDescent="0.25">
      <c r="A1029" s="54"/>
      <c r="H1029" s="54"/>
      <c r="I1029" s="54"/>
    </row>
    <row r="1032" spans="1:9" x14ac:dyDescent="0.25">
      <c r="A1032" s="54"/>
    </row>
    <row r="1035" spans="1:9" x14ac:dyDescent="0.25">
      <c r="A1035" s="54"/>
    </row>
    <row r="1038" spans="1:9" x14ac:dyDescent="0.25">
      <c r="A1038" s="54"/>
    </row>
    <row r="1039" spans="1:9" x14ac:dyDescent="0.25">
      <c r="A1039" s="54"/>
    </row>
    <row r="1040" spans="1:9" x14ac:dyDescent="0.25">
      <c r="A1040" s="54"/>
    </row>
    <row r="1041" spans="1:1" x14ac:dyDescent="0.25">
      <c r="A1041" s="54"/>
    </row>
    <row r="1042" spans="1:1" x14ac:dyDescent="0.25">
      <c r="A1042" s="54"/>
    </row>
    <row r="1043" spans="1:1" x14ac:dyDescent="0.25">
      <c r="A1043" s="54"/>
    </row>
    <row r="1044" spans="1:1" x14ac:dyDescent="0.25">
      <c r="A1044" s="54"/>
    </row>
    <row r="1045" spans="1:1" x14ac:dyDescent="0.25">
      <c r="A1045" s="54"/>
    </row>
    <row r="1046" spans="1:1" x14ac:dyDescent="0.25">
      <c r="A1046" s="54"/>
    </row>
    <row r="1047" spans="1:1" x14ac:dyDescent="0.25">
      <c r="A1047" s="54"/>
    </row>
    <row r="1048" spans="1:1" x14ac:dyDescent="0.25">
      <c r="A1048" s="54"/>
    </row>
    <row r="1049" spans="1:1" x14ac:dyDescent="0.25">
      <c r="A1049" s="54"/>
    </row>
    <row r="1050" spans="1:1" x14ac:dyDescent="0.25">
      <c r="A1050" s="54"/>
    </row>
    <row r="1051" spans="1:1" x14ac:dyDescent="0.25">
      <c r="A1051" s="54"/>
    </row>
    <row r="1052" spans="1:1" x14ac:dyDescent="0.25">
      <c r="A1052" s="54"/>
    </row>
    <row r="1053" spans="1:1" x14ac:dyDescent="0.25">
      <c r="A1053" s="54"/>
    </row>
    <row r="1054" spans="1:1" x14ac:dyDescent="0.25">
      <c r="A1054" s="54"/>
    </row>
    <row r="1055" spans="1:1" x14ac:dyDescent="0.25">
      <c r="A1055" s="54"/>
    </row>
    <row r="1056" spans="1:1" x14ac:dyDescent="0.25">
      <c r="A1056" s="54"/>
    </row>
    <row r="1057" spans="1:1" x14ac:dyDescent="0.25">
      <c r="A1057" s="54"/>
    </row>
    <row r="1058" spans="1:1" x14ac:dyDescent="0.25">
      <c r="A1058" s="54"/>
    </row>
    <row r="1059" spans="1:1" x14ac:dyDescent="0.25">
      <c r="A1059" s="54"/>
    </row>
    <row r="1060" spans="1:1" x14ac:dyDescent="0.25">
      <c r="A1060" s="54"/>
    </row>
    <row r="1061" spans="1:1" x14ac:dyDescent="0.25">
      <c r="A1061" s="54"/>
    </row>
    <row r="1062" spans="1:1" x14ac:dyDescent="0.25">
      <c r="A1062" s="54"/>
    </row>
    <row r="1063" spans="1:1" x14ac:dyDescent="0.25">
      <c r="A1063" s="54"/>
    </row>
    <row r="1064" spans="1:1" x14ac:dyDescent="0.25">
      <c r="A1064" s="54"/>
    </row>
    <row r="1065" spans="1:1" x14ac:dyDescent="0.25">
      <c r="A1065" s="54"/>
    </row>
    <row r="1066" spans="1:1" x14ac:dyDescent="0.25">
      <c r="A1066" s="54"/>
    </row>
    <row r="1067" spans="1:1" x14ac:dyDescent="0.25">
      <c r="A1067" s="54"/>
    </row>
    <row r="1068" spans="1:1" x14ac:dyDescent="0.25">
      <c r="A1068" s="54"/>
    </row>
    <row r="1069" spans="1:1" x14ac:dyDescent="0.25">
      <c r="A1069" s="54"/>
    </row>
    <row r="1070" spans="1:1" x14ac:dyDescent="0.25">
      <c r="A1070" s="54"/>
    </row>
    <row r="1071" spans="1:1" x14ac:dyDescent="0.25">
      <c r="A1071" s="54"/>
    </row>
    <row r="1072" spans="1:1" x14ac:dyDescent="0.25">
      <c r="A1072" s="54"/>
    </row>
    <row r="1077" spans="1:1" x14ac:dyDescent="0.25">
      <c r="A1077" s="54"/>
    </row>
    <row r="1078" spans="1:1" x14ac:dyDescent="0.25">
      <c r="A1078" s="54"/>
    </row>
    <row r="1081" spans="1:1" x14ac:dyDescent="0.25">
      <c r="A1081" s="54"/>
    </row>
    <row r="1083" spans="1:1" x14ac:dyDescent="0.25">
      <c r="A1083" s="54"/>
    </row>
    <row r="1085" spans="1:1" x14ac:dyDescent="0.25">
      <c r="A1085" s="54"/>
    </row>
    <row r="1087" spans="1:1" x14ac:dyDescent="0.25">
      <c r="A1087" s="54"/>
    </row>
    <row r="1090" spans="1:1" x14ac:dyDescent="0.25">
      <c r="A1090" s="54"/>
    </row>
    <row r="1091" spans="1:1" x14ac:dyDescent="0.25">
      <c r="A1091" s="54"/>
    </row>
    <row r="1092" spans="1:1" x14ac:dyDescent="0.25">
      <c r="A1092" s="54"/>
    </row>
    <row r="1093" spans="1:1" x14ac:dyDescent="0.25">
      <c r="A1093" s="54"/>
    </row>
    <row r="1094" spans="1:1" x14ac:dyDescent="0.25">
      <c r="A1094" s="54"/>
    </row>
    <row r="1095" spans="1:1" x14ac:dyDescent="0.25">
      <c r="A1095" s="54"/>
    </row>
    <row r="1096" spans="1:1" x14ac:dyDescent="0.25">
      <c r="A1096" s="54"/>
    </row>
    <row r="1097" spans="1:1" x14ac:dyDescent="0.25">
      <c r="A1097" s="54"/>
    </row>
  </sheetData>
  <customSheetViews>
    <customSheetView guid="{195DF303-1BBD-4236-94B5-47432850B006}" scale="75" fitToPage="1" showRuler="0">
      <pane xSplit="9.9418604651162799" topLeftCell="T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1"/>
      <headerFooter alignWithMargins="0"/>
    </customSheetView>
    <customSheetView guid="{0C49E549-011E-46F4-A82E-2CC8951A9C1E}" scale="75" fitToPage="1" showRuler="0">
      <pane xSplit="11.181818181818182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2"/>
      <headerFooter alignWithMargins="0"/>
    </customSheetView>
    <customSheetView guid="{4BC93440-BA85-4935-A8C9-66DC6AE5DE5E}" scale="75" fitToPage="1" showRuler="0" topLeftCell="Z90">
      <selection activeCell="AM99" sqref="AM9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8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8" orientation="landscape" r:id="rId4"/>
      <headerFooter alignWithMargins="0"/>
    </customSheetView>
    <customSheetView guid="{2EA35095-1ADC-4CC7-8C3C-B487D65FA247}" scale="75" fitToPage="1" showRuler="0">
      <pane xSplit="17.961290322580645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5"/>
      <headerFooter alignWithMargins="0"/>
    </customSheetView>
    <customSheetView guid="{8FC77C99-DBF7-40B8-99B8-01B75826CDCB}" scale="75" fitToPage="1" showRuler="0">
      <pane xSplit="19.114285714285714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6"/>
      <headerFooter alignWithMargins="0"/>
    </customSheetView>
    <customSheetView guid="{8FB94551-8874-4095-B8FB-5316E0D2FD2C}" scale="75" fitToPage="1" showRuler="0">
      <pane xSplit="19.114285714285714" topLeftCell="T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7"/>
      <headerFooter alignWithMargins="0"/>
    </customSheetView>
    <customSheetView guid="{6B3D5C27-2FDE-4561-9575-1E98BFB869D0}" scale="75" fitToPage="1" showRuler="0" topLeftCell="B30">
      <pane xSplit="19.75" topLeftCell="T1"/>
      <selection activeCell="L38" sqref="L3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1" orientation="landscape" r:id="rId8"/>
      <headerFooter alignWithMargins="0"/>
    </customSheetView>
    <customSheetView guid="{0BC1F393-8A13-47D5-BC6C-0C99615B5AB9}" scale="75" fitToPage="1" showRuler="0" topLeftCell="B20">
      <pane xSplit="19.75" topLeftCell="T1"/>
      <selection activeCell="L38" sqref="L3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9"/>
      <headerFooter alignWithMargins="0"/>
    </customSheetView>
    <customSheetView guid="{18BDED73-BFA0-442E-87EC-CED86EE4CF94}" scale="75" fitToPage="1" showRuler="0" topLeftCell="K87">
      <selection activeCell="AA100" sqref="AA10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10"/>
      <headerFooter alignWithMargins="0"/>
    </customSheetView>
    <customSheetView guid="{35F19056-2E6F-4935-B863-78836FE990BF}" scale="75" fitToPage="1" showRuler="0" topLeftCell="A7">
      <selection activeCell="J35" sqref="J35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6" orientation="landscape" r:id="rId11"/>
      <headerFooter alignWithMargins="0"/>
    </customSheetView>
    <customSheetView guid="{F562D92E-120C-4AE9-9663-89E64D41DC53}" scale="75" fitToPage="1" topLeftCell="W85">
      <selection activeCell="P58" sqref="P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6" orientation="landscape" r:id="rId12"/>
      <headerFooter alignWithMargins="0"/>
    </customSheetView>
  </customSheetViews>
  <phoneticPr fontId="9" type="noConversion"/>
  <printOptions horizontalCentered="1"/>
  <pageMargins left="0.75" right="0.75" top="1" bottom="1" header="0.5" footer="0.5"/>
  <pageSetup scale="43" orientation="landscape" r:id="rId13"/>
  <headerFooter alignWithMargins="0">
    <oddHeader>&amp;C&amp;A&amp;R&amp;"Times New Roman,Bold"KyPSC Case No. 2019-00271
STAFF-DR-01-054 Attachment SCH M and N Base Period
Page &amp;P of &amp;N</oddHeader>
    <oddFooter>Page &amp;P</oddFooter>
  </headerFooter>
  <rowBreaks count="16" manualBreakCount="16">
    <brk id="124" max="65535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71E3306A1E394C8AAFCF6CCB6BA2C1" ma:contentTypeVersion="10" ma:contentTypeDescription="Create a new document." ma:contentTypeScope="" ma:versionID="98d888c96e568fa88e6d45b3b9813cc3">
  <xsd:schema xmlns:xsd="http://www.w3.org/2001/XMLSchema" xmlns:xs="http://www.w3.org/2001/XMLSchema" xmlns:p="http://schemas.microsoft.com/office/2006/metadata/properties" xmlns:ns1="http://schemas.microsoft.com/sharepoint/v3" xmlns:ns3="5bbf2fa6-4553-44db-8e16-dac3f2a4809a" targetNamespace="http://schemas.microsoft.com/office/2006/metadata/properties" ma:root="true" ma:fieldsID="d3d8ad448a7a24278058b13c50bd4ded" ns1:_="" ns3:_="">
    <xsd:import namespace="http://schemas.microsoft.com/sharepoint/v3"/>
    <xsd:import namespace="5bbf2fa6-4553-44db-8e16-dac3f2a4809a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bf2fa6-4553-44db-8e16-dac3f2a480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4C63F1F-F48D-464E-8793-9E286DEE1715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5bbf2fa6-4553-44db-8e16-dac3f2a4809a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2299DF2-A2FF-41F3-903A-4A6A4C98ADD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ECD304-F1DD-455B-8ABD-C714092568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bbf2fa6-4553-44db-8e16-dac3f2a480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278</vt:i4>
      </vt:variant>
    </vt:vector>
  </HeadingPairs>
  <TitlesOfParts>
    <vt:vector size="305" baseType="lpstr">
      <vt:lpstr>INPUT</vt:lpstr>
      <vt:lpstr>PRINT</vt:lpstr>
      <vt:lpstr>SCH M</vt:lpstr>
      <vt:lpstr>SCH M-2.1</vt:lpstr>
      <vt:lpstr>SCH M-2.2</vt:lpstr>
      <vt:lpstr>SCH M-2.3</vt:lpstr>
      <vt:lpstr>Rate RS</vt:lpstr>
      <vt:lpstr>Rate DS</vt:lpstr>
      <vt:lpstr>Rate DT-Pri</vt:lpstr>
      <vt:lpstr>Rate DT-Sec</vt:lpstr>
      <vt:lpstr>Rate EH</vt:lpstr>
      <vt:lpstr>Rate SP GSFL</vt:lpstr>
      <vt:lpstr>Rate DP</vt:lpstr>
      <vt:lpstr>Rate TT</vt:lpstr>
      <vt:lpstr>Rate DT RTP-P</vt:lpstr>
      <vt:lpstr>Rate DT RTP-S</vt:lpstr>
      <vt:lpstr>Rate DS RTP</vt:lpstr>
      <vt:lpstr>Rate TT RTP</vt:lpstr>
      <vt:lpstr>Rate SL</vt:lpstr>
      <vt:lpstr>Rate TL</vt:lpstr>
      <vt:lpstr>Rate UOLS</vt:lpstr>
      <vt:lpstr>Rate NSU</vt:lpstr>
      <vt:lpstr>Rate SC</vt:lpstr>
      <vt:lpstr>Rate SE</vt:lpstr>
      <vt:lpstr>Rate LED</vt:lpstr>
      <vt:lpstr>SCH N</vt:lpstr>
      <vt:lpstr>BILL CALC</vt:lpstr>
      <vt:lpstr>CASE_NO</vt:lpstr>
      <vt:lpstr>CUR_BASE_FUEL</vt:lpstr>
      <vt:lpstr>CUR_DCI</vt:lpstr>
      <vt:lpstr>CUR_DCI_DIST</vt:lpstr>
      <vt:lpstr>CUR_DCI_DP</vt:lpstr>
      <vt:lpstr>CUR_DCI_DTP</vt:lpstr>
      <vt:lpstr>CUR_DCI_DTS</vt:lpstr>
      <vt:lpstr>CUR_DCI_EH</vt:lpstr>
      <vt:lpstr>CUR_DCI_GSFL</vt:lpstr>
      <vt:lpstr>CUR_DCI_SL</vt:lpstr>
      <vt:lpstr>CUR_DCI_SP</vt:lpstr>
      <vt:lpstr>CUR_DP_CST</vt:lpstr>
      <vt:lpstr>CUR_DP_DEMAND</vt:lpstr>
      <vt:lpstr>CUR_DP_KWH1</vt:lpstr>
      <vt:lpstr>CUR_DP_KWH2</vt:lpstr>
      <vt:lpstr>CUR_DP_LMR</vt:lpstr>
      <vt:lpstr>'Rate DT RTP-S'!CUR_DP_RTP_COM</vt:lpstr>
      <vt:lpstr>'Rate DT RTP-S'!CUR_DP_RTP_CUST</vt:lpstr>
      <vt:lpstr>'Rate DT RTP-S'!CUR_DP_RTP_KWH1</vt:lpstr>
      <vt:lpstr>CUR_DS_CST_1</vt:lpstr>
      <vt:lpstr>CUR_DS_CST_2</vt:lpstr>
      <vt:lpstr>CUR_DS_DEM_1</vt:lpstr>
      <vt:lpstr>CUR_DS_DEM_3</vt:lpstr>
      <vt:lpstr>CUR_DS_KWH_1</vt:lpstr>
      <vt:lpstr>CUR_DS_KWH_2</vt:lpstr>
      <vt:lpstr>CUR_DS_KWH_3</vt:lpstr>
      <vt:lpstr>'Rate DS RTP'!CUR_DS_RTP</vt:lpstr>
      <vt:lpstr>'Rate DS RTP'!CUR_DS_RTP_COM</vt:lpstr>
      <vt:lpstr>'Rate DS RTP'!CUR_DS_RTP_CUST</vt:lpstr>
      <vt:lpstr>'Rate DS RTP'!CUR_DS_RTP_KWH1</vt:lpstr>
      <vt:lpstr>CUR_DT_DISC</vt:lpstr>
      <vt:lpstr>CUR_DT_DISC1</vt:lpstr>
      <vt:lpstr>CUR_DT_PRI</vt:lpstr>
      <vt:lpstr>'Rate DT RTP-P'!CUR_DT_RTP_COM</vt:lpstr>
      <vt:lpstr>'Rate DT RTP-P'!CUR_DT_RTP_CUST</vt:lpstr>
      <vt:lpstr>'Rate DT RTP-P'!CUR_DT_RTP_KWH1</vt:lpstr>
      <vt:lpstr>'Rate DT RTP-P'!CUR_DT_RTP_P</vt:lpstr>
      <vt:lpstr>'Rate DT RTP-S'!CUR_DT_RTP_S</vt:lpstr>
      <vt:lpstr>CUR_DT_SEC</vt:lpstr>
      <vt:lpstr>CUR_DT_SEC_CST1</vt:lpstr>
      <vt:lpstr>CUR_DT_SEC_CST3</vt:lpstr>
      <vt:lpstr>CUR_DT_SEC_DEMOFF</vt:lpstr>
      <vt:lpstr>CUR_DT_SEC_DEMON</vt:lpstr>
      <vt:lpstr>CUR_DT_SEC_SUMKWH</vt:lpstr>
      <vt:lpstr>CUR_DT_SEC_WINKWH</vt:lpstr>
      <vt:lpstr>CUR_DT_SEC_WINOFF</vt:lpstr>
      <vt:lpstr>CUR_DT_SEC_WINON</vt:lpstr>
      <vt:lpstr>CUR_DT_SUM_E_OFF</vt:lpstr>
      <vt:lpstr>CUR_DT_SUM_E_ON</vt:lpstr>
      <vt:lpstr>CUR_DT_SUM_PEAK_ON</vt:lpstr>
      <vt:lpstr>CUR_DT_SUM_PK_OFF</vt:lpstr>
      <vt:lpstr>CUR_DT_WIN_E_ON</vt:lpstr>
      <vt:lpstr>CUR_DT_WIN_PEAK_ON</vt:lpstr>
      <vt:lpstr>CUR_DT_WIN_PK_OFF</vt:lpstr>
      <vt:lpstr>CUR_EH_CST_1</vt:lpstr>
      <vt:lpstr>CUR_EH_CST_2</vt:lpstr>
      <vt:lpstr>CUR_EH_CST_3</vt:lpstr>
      <vt:lpstr>CUR_EH_KWH_1</vt:lpstr>
      <vt:lpstr>CUR_ESM</vt:lpstr>
      <vt:lpstr>CUR_ESM_NONRES</vt:lpstr>
      <vt:lpstr>CUR_FAC</vt:lpstr>
      <vt:lpstr>CUR_FTR_DIST</vt:lpstr>
      <vt:lpstr>CUR_FTR_DP</vt:lpstr>
      <vt:lpstr>CUR_FTR_DTP</vt:lpstr>
      <vt:lpstr>CUR_FTR_DTS</vt:lpstr>
      <vt:lpstr>CUR_FTR_EH</vt:lpstr>
      <vt:lpstr>CUR_FTR_GSFL</vt:lpstr>
      <vt:lpstr>CUR_FTR_RES</vt:lpstr>
      <vt:lpstr>CUR_FTR_SL</vt:lpstr>
      <vt:lpstr>CUR_FTR_SP</vt:lpstr>
      <vt:lpstr>CUR_FTR_TT</vt:lpstr>
      <vt:lpstr>CUR_RS_CUST</vt:lpstr>
      <vt:lpstr>CUR_RS_ENERGY</vt:lpstr>
      <vt:lpstr>CUR_TT_KWH</vt:lpstr>
      <vt:lpstr>'Rate TT RTP'!CUR_TT_RTP</vt:lpstr>
      <vt:lpstr>'Rate TT RTP'!CUR_TT_RTP_COM</vt:lpstr>
      <vt:lpstr>'Rate TT RTP'!CUR_TT_RTP_CUST</vt:lpstr>
      <vt:lpstr>'Rate TT RTP'!CUR_TT_RTP_KWH1</vt:lpstr>
      <vt:lpstr>CUR_TT_SUM_CST</vt:lpstr>
      <vt:lpstr>CUR_TT_SUM_PEAK</vt:lpstr>
      <vt:lpstr>CUR_TT_SUM_PK_OFF</vt:lpstr>
      <vt:lpstr>CUR_TT_WIN_CST</vt:lpstr>
      <vt:lpstr>CUR_TT_WIN_PEAK</vt:lpstr>
      <vt:lpstr>CUR_TT_WIN_PK_OFF</vt:lpstr>
      <vt:lpstr>DATA_PERIOD</vt:lpstr>
      <vt:lpstr>DATE</vt:lpstr>
      <vt:lpstr>DCI_Name</vt:lpstr>
      <vt:lpstr>DS_MSRE</vt:lpstr>
      <vt:lpstr>DSM_DIST</vt:lpstr>
      <vt:lpstr>DSM_RES</vt:lpstr>
      <vt:lpstr>DSM_RS_CUST</vt:lpstr>
      <vt:lpstr>DSM_TRANS</vt:lpstr>
      <vt:lpstr>DSMR_Name</vt:lpstr>
      <vt:lpstr>ESM_Name</vt:lpstr>
      <vt:lpstr>FAC_Name</vt:lpstr>
      <vt:lpstr>FTR_Name</vt:lpstr>
      <vt:lpstr>HEA_Name</vt:lpstr>
      <vt:lpstr>LT_COS_RATE</vt:lpstr>
      <vt:lpstr>LT_MSRE</vt:lpstr>
      <vt:lpstr>NAME</vt:lpstr>
      <vt:lpstr>Page_Num_2.2</vt:lpstr>
      <vt:lpstr>Page_Num_2.3</vt:lpstr>
      <vt:lpstr>'Rate DP'!Print_Area</vt:lpstr>
      <vt:lpstr>'Rate DS'!Print_Area</vt:lpstr>
      <vt:lpstr>'Rate DS RTP'!Print_Area</vt:lpstr>
      <vt:lpstr>'Rate DT RTP-P'!Print_Area</vt:lpstr>
      <vt:lpstr>'Rate DT RTP-S'!Print_Area</vt:lpstr>
      <vt:lpstr>'Rate DT-Pri'!Print_Area</vt:lpstr>
      <vt:lpstr>'Rate DT-Sec'!Print_Area</vt:lpstr>
      <vt:lpstr>'Rate EH'!Print_Area</vt:lpstr>
      <vt:lpstr>'Rate LED'!Print_Area</vt:lpstr>
      <vt:lpstr>'Rate NSU'!Print_Area</vt:lpstr>
      <vt:lpstr>'Rate RS'!Print_Area</vt:lpstr>
      <vt:lpstr>'Rate SC'!Print_Area</vt:lpstr>
      <vt:lpstr>'Rate SE'!Print_Area</vt:lpstr>
      <vt:lpstr>'Rate SL'!Print_Area</vt:lpstr>
      <vt:lpstr>'Rate SP GSFL'!Print_Area</vt:lpstr>
      <vt:lpstr>'Rate TL'!Print_Area</vt:lpstr>
      <vt:lpstr>'Rate TT'!Print_Area</vt:lpstr>
      <vt:lpstr>'Rate TT RTP'!Print_Area</vt:lpstr>
      <vt:lpstr>'Rate UOLS'!Print_Area</vt:lpstr>
      <vt:lpstr>'SCH M'!Print_Area</vt:lpstr>
      <vt:lpstr>'SCH M-2.1'!Print_Area</vt:lpstr>
      <vt:lpstr>'SCH M-2.2'!Print_Area</vt:lpstr>
      <vt:lpstr>'SCH M-2.3'!Print_Area</vt:lpstr>
      <vt:lpstr>'SCH N'!Print_Area</vt:lpstr>
      <vt:lpstr>PRO_BASE_FUEL</vt:lpstr>
      <vt:lpstr>PRO_DCI</vt:lpstr>
      <vt:lpstr>PRO_DCI_DIST</vt:lpstr>
      <vt:lpstr>PRO_DCI_DP</vt:lpstr>
      <vt:lpstr>PRO_DCI_DTP</vt:lpstr>
      <vt:lpstr>PRO_DCI_DTS</vt:lpstr>
      <vt:lpstr>PRO_DCI_EH</vt:lpstr>
      <vt:lpstr>PRO_DCI_GSFL</vt:lpstr>
      <vt:lpstr>PRO_DCI_SL</vt:lpstr>
      <vt:lpstr>PRO_DCI_SP</vt:lpstr>
      <vt:lpstr>PRO_DP_CST</vt:lpstr>
      <vt:lpstr>PRO_DP_DEMAND</vt:lpstr>
      <vt:lpstr>PRO_DP_KWH1</vt:lpstr>
      <vt:lpstr>PRO_DP_KWH2</vt:lpstr>
      <vt:lpstr>PRO_DP_LMR</vt:lpstr>
      <vt:lpstr>'Rate DT RTP-S'!PRO_DP_RTP_COM</vt:lpstr>
      <vt:lpstr>'Rate DT RTP-S'!PRO_DP_RTP_CUST</vt:lpstr>
      <vt:lpstr>'Rate DT RTP-S'!PRO_DP_RTP_KWH1</vt:lpstr>
      <vt:lpstr>PRO_DS_CST_1</vt:lpstr>
      <vt:lpstr>PRO_DS_CST_2</vt:lpstr>
      <vt:lpstr>PRO_DS_DEM_1</vt:lpstr>
      <vt:lpstr>PRO_DS_DEM_3</vt:lpstr>
      <vt:lpstr>PRO_DS_KWH_1</vt:lpstr>
      <vt:lpstr>PRO_DS_KWH_2</vt:lpstr>
      <vt:lpstr>PRO_DS_KWH_3</vt:lpstr>
      <vt:lpstr>PRO_DS_MSRE</vt:lpstr>
      <vt:lpstr>'Rate DS RTP'!PRO_DS_RTP_COM</vt:lpstr>
      <vt:lpstr>'Rate DS RTP'!PRO_DS_RTP_CUST</vt:lpstr>
      <vt:lpstr>'Rate DS RTP'!PRO_DS_RTP_KWH1</vt:lpstr>
      <vt:lpstr>PRO_DSM_DIST</vt:lpstr>
      <vt:lpstr>PRO_DSM_RES</vt:lpstr>
      <vt:lpstr>PRO_DSM_TRANS</vt:lpstr>
      <vt:lpstr>PRO_DT_DEMOFF</vt:lpstr>
      <vt:lpstr>PRO_DT_DEMON</vt:lpstr>
      <vt:lpstr>PRO_DT_DISC</vt:lpstr>
      <vt:lpstr>PRO_DT_DISC1</vt:lpstr>
      <vt:lpstr>PRO_DT_PRI</vt:lpstr>
      <vt:lpstr>'Rate DT RTP-P'!PRO_DT_RTP_COM</vt:lpstr>
      <vt:lpstr>'Rate DT RTP-P'!PRO_DT_RTP_CUST</vt:lpstr>
      <vt:lpstr>'Rate DT RTP-P'!PRO_DT_RTP_KWH1</vt:lpstr>
      <vt:lpstr>PRO_DT_SEC_CST</vt:lpstr>
      <vt:lpstr>PRO_DT_SEC_CST3</vt:lpstr>
      <vt:lpstr>PRO_DT_SEC_DEMWINON</vt:lpstr>
      <vt:lpstr>PRO_DT_SEC_SUMKWH</vt:lpstr>
      <vt:lpstr>PRO_DT_SEC_WINKWH</vt:lpstr>
      <vt:lpstr>PRO_DT_SEC_WINOFF</vt:lpstr>
      <vt:lpstr>PRO_DT_SUM_E_OFF</vt:lpstr>
      <vt:lpstr>PRO_DT_SUM_E_ON</vt:lpstr>
      <vt:lpstr>PRO_DT_SUM_PEAK</vt:lpstr>
      <vt:lpstr>PRO_DT_SUM_PK_OFF</vt:lpstr>
      <vt:lpstr>PRO_DT_WIN_E_OFF</vt:lpstr>
      <vt:lpstr>PRO_DT_WIN_E_ON</vt:lpstr>
      <vt:lpstr>PRO_DT_WIN_PEAK</vt:lpstr>
      <vt:lpstr>PRO_DT_WIN_PK_OFF</vt:lpstr>
      <vt:lpstr>PRO_EH_CST_1</vt:lpstr>
      <vt:lpstr>PRO_EH_CST_2</vt:lpstr>
      <vt:lpstr>PRO_EH_CST_3</vt:lpstr>
      <vt:lpstr>PRO_EH_KWH_1</vt:lpstr>
      <vt:lpstr>PRO_ESM</vt:lpstr>
      <vt:lpstr>PRO_ESM_NONRES</vt:lpstr>
      <vt:lpstr>PRO_FAC</vt:lpstr>
      <vt:lpstr>PRO_FTR_DIST</vt:lpstr>
      <vt:lpstr>PRO_FTR_DP</vt:lpstr>
      <vt:lpstr>PRO_FTR_DTP</vt:lpstr>
      <vt:lpstr>PRO_FTR_DTS</vt:lpstr>
      <vt:lpstr>PRO_FTR_EH</vt:lpstr>
      <vt:lpstr>PRO_FTR_GSFL</vt:lpstr>
      <vt:lpstr>PRO_FTR_RES</vt:lpstr>
      <vt:lpstr>PRO_FTR_SL</vt:lpstr>
      <vt:lpstr>PRO_FTR_SP</vt:lpstr>
      <vt:lpstr>PRO_FTR_TT</vt:lpstr>
      <vt:lpstr>PRO_LT_MSRE</vt:lpstr>
      <vt:lpstr>PRO_PSM</vt:lpstr>
      <vt:lpstr>PRO_RS_CUST</vt:lpstr>
      <vt:lpstr>PRO_RS_ENERGY</vt:lpstr>
      <vt:lpstr>PRO_RS_MSRE</vt:lpstr>
      <vt:lpstr>PRO_SUM_TT_ON_KWH</vt:lpstr>
      <vt:lpstr>PRO_TT_MSRE</vt:lpstr>
      <vt:lpstr>PRO_TT_OFF</vt:lpstr>
      <vt:lpstr>'Rate TT RTP'!PRO_TT_RTP_COM</vt:lpstr>
      <vt:lpstr>'Rate TT RTP'!PRO_TT_RTP_CUST</vt:lpstr>
      <vt:lpstr>'Rate TT RTP'!PRO_TT_RTP_KWH1</vt:lpstr>
      <vt:lpstr>PRO_TT_SUM_CST</vt:lpstr>
      <vt:lpstr>PRO_TT_SUM_PEAK</vt:lpstr>
      <vt:lpstr>PRO_TT_SUM_PK_OFF</vt:lpstr>
      <vt:lpstr>PRO_TT_WIN_CST</vt:lpstr>
      <vt:lpstr>PRO_TT_WIN_PEAK</vt:lpstr>
      <vt:lpstr>PRO_TT_WIN_PK_OFF</vt:lpstr>
      <vt:lpstr>PRO_WIN_TT_ON_KWH</vt:lpstr>
      <vt:lpstr>PSM_Name</vt:lpstr>
      <vt:lpstr>RS_MSRE</vt:lpstr>
      <vt:lpstr>RS_PSM</vt:lpstr>
      <vt:lpstr>SCH_M</vt:lpstr>
      <vt:lpstr>SCH_M_2.1</vt:lpstr>
      <vt:lpstr>SCH_M_2.2PG1</vt:lpstr>
      <vt:lpstr>SCH_M_2.2PG10</vt:lpstr>
      <vt:lpstr>'Rate DT RTP-S'!SCH_M_2.2PG11</vt:lpstr>
      <vt:lpstr>SCH_M_2.2PG11</vt:lpstr>
      <vt:lpstr>SCH_M_2.2PG12</vt:lpstr>
      <vt:lpstr>SCH_M_2.2PG13</vt:lpstr>
      <vt:lpstr>SCH_M_2.2PG14</vt:lpstr>
      <vt:lpstr>SCH_M_2.2PG15</vt:lpstr>
      <vt:lpstr>SCH_M_2.2PG16</vt:lpstr>
      <vt:lpstr>SCH_M_2.2PG17</vt:lpstr>
      <vt:lpstr>SCH_M_2.2PG18</vt:lpstr>
      <vt:lpstr>SCH_M_2.2PG19</vt:lpstr>
      <vt:lpstr>SCH_M_2.2PG2</vt:lpstr>
      <vt:lpstr>SCH_M_2.2PG20</vt:lpstr>
      <vt:lpstr>SCH_M_2.2PG21</vt:lpstr>
      <vt:lpstr>SCH_M_2.2PG22</vt:lpstr>
      <vt:lpstr>SCH_M_2.2PG23</vt:lpstr>
      <vt:lpstr>SCH_M_2.2PG3</vt:lpstr>
      <vt:lpstr>SCH_M_2.2PG4</vt:lpstr>
      <vt:lpstr>SCH_M_2.2PG5</vt:lpstr>
      <vt:lpstr>SCH_M_2.2PG6</vt:lpstr>
      <vt:lpstr>SCH_M_2.2PG7</vt:lpstr>
      <vt:lpstr>SCH_M_2.2PG8</vt:lpstr>
      <vt:lpstr>SCH_M_2.2PG9</vt:lpstr>
      <vt:lpstr>SCH_M_2.3PG1</vt:lpstr>
      <vt:lpstr>SCH_M_2.3PG10</vt:lpstr>
      <vt:lpstr>SCH_M_2.3PG11</vt:lpstr>
      <vt:lpstr>SCH_M_2.3PG12</vt:lpstr>
      <vt:lpstr>SCH_M_2.3PG13</vt:lpstr>
      <vt:lpstr>SCH_M_2.3PG14</vt:lpstr>
      <vt:lpstr>SCH_M_2.3PG15</vt:lpstr>
      <vt:lpstr>SCH_M_2.3PG16</vt:lpstr>
      <vt:lpstr>SCH_M_2.3PG17</vt:lpstr>
      <vt:lpstr>SCH_M_2.3PG18</vt:lpstr>
      <vt:lpstr>SCH_M_2.3PG19</vt:lpstr>
      <vt:lpstr>SCH_M_2.3PG2</vt:lpstr>
      <vt:lpstr>SCH_M_2.3PG20</vt:lpstr>
      <vt:lpstr>SCH_M_2.3PG21</vt:lpstr>
      <vt:lpstr>SCH_M_2.3PG22</vt:lpstr>
      <vt:lpstr>SCH_M_2.3PG23</vt:lpstr>
      <vt:lpstr>SCH_M_2.3PG3</vt:lpstr>
      <vt:lpstr>SCH_M_2.3PG4</vt:lpstr>
      <vt:lpstr>SCH_M_2.3PG5</vt:lpstr>
      <vt:lpstr>SCH_M_2.3PG6</vt:lpstr>
      <vt:lpstr>SCH_M_2.3PG7</vt:lpstr>
      <vt:lpstr>SCH_M_2.3PG8</vt:lpstr>
      <vt:lpstr>SCH_M_2.3PG9</vt:lpstr>
      <vt:lpstr>SCH_N_1</vt:lpstr>
      <vt:lpstr>SCH_N_2</vt:lpstr>
      <vt:lpstr>SCH_N_3</vt:lpstr>
      <vt:lpstr>SCH_N_4</vt:lpstr>
      <vt:lpstr>SCH_N_5</vt:lpstr>
      <vt:lpstr>SERVICE</vt:lpstr>
      <vt:lpstr>TIME</vt:lpstr>
      <vt:lpstr>TITLE</vt:lpstr>
      <vt:lpstr>TT_MSRE</vt:lpstr>
      <vt:lpstr>TYPE</vt:lpstr>
      <vt:lpstr>WIT</vt:lpstr>
    </vt:vector>
  </TitlesOfParts>
  <Company>CINERGY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RAA</dc:creator>
  <cp:lastModifiedBy>Gates, Debbie</cp:lastModifiedBy>
  <cp:lastPrinted>2019-09-18T15:42:00Z</cp:lastPrinted>
  <dcterms:created xsi:type="dcterms:W3CDTF">1998-01-02T15:10:02Z</dcterms:created>
  <dcterms:modified xsi:type="dcterms:W3CDTF">2019-09-18T17:25:34Z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0x0101004571E3306A1E394C8AAFCF6CCB6BA2C1</vt:lpwstr>
  </property>
</Properties>
</file>